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worksheets/sheet3.xml" ContentType="application/vnd.openxmlformats-officedocument.spreadsheetml.worksheet+xml"/>
  <Override PartName="/xl/drawings/drawing3.xml" ContentType="application/vnd.openxmlformats-officedocument.drawing+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2.xml" ContentType="application/vnd.openxmlformats-officedocument.spreadsheetml.table+xml"/>
  <Override PartName="/xl/worksheets/sheet26.xml" ContentType="application/vnd.openxmlformats-officedocument.spreadsheetml.worksheet+xml"/>
  <Override PartName="/xl/tables/table3.xml" ContentType="application/vnd.openxmlformats-officedocument.spreadsheetml.table+xml"/>
  <Override PartName="/xl/worksheets/sheet2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2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29.xml" ContentType="application/vnd.openxmlformats-officedocument.spreadsheetml.worksheet+xml"/>
  <Override PartName="/xl/drawings/drawing4.xml" ContentType="application/vnd.openxmlformats-officedocument.drawing+xml"/>
  <Override PartName="/xl/drawings/charts/chart21.xml" ContentType="application/vnd.openxmlformats-officedocument.drawingml.chart+xml"/>
  <Override PartName="/xl/drawings/charts/chart22.xml" ContentType="application/vnd.openxmlformats-officedocument.drawingml.chart+xml"/>
  <Override PartName="/xl/worksheets/sheet3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72cb5c6da94133" /></Relationships>
</file>

<file path=xl/workbook.xml><?xml version="1.0" encoding="utf-8"?>
<x:workbook xmlns:x="http://schemas.openxmlformats.org/spreadsheetml/2006/main">
  <x:sheets>
    <x:sheet xmlns:r="http://schemas.openxmlformats.org/officeDocument/2006/relationships" name="Dashboard" sheetId="1" r:id="R618e8b6265234dd2"/>
    <x:sheet xmlns:r="http://schemas.openxmlformats.org/officeDocument/2006/relationships" name="Subsurface_Dashboard" sheetId="2" r:id="R9512b1047c5f42be"/>
    <x:sheet xmlns:r="http://schemas.openxmlformats.org/officeDocument/2006/relationships" name="Doppler_Depth_Inversion" sheetId="3" r:id="R842a3f08a1714c6f"/>
    <x:sheet xmlns:r="http://schemas.openxmlformats.org/officeDocument/2006/relationships" name="Doppler_Depth_Data" sheetId="4" r:id="R05d073b78f2744ac"/>
    <x:sheet xmlns:r="http://schemas.openxmlformats.org/officeDocument/2006/relationships" name="Inputs" sheetId="5" r:id="R140bd428c7d145f0"/>
    <x:sheet xmlns:r="http://schemas.openxmlformats.org/officeDocument/2006/relationships" name="Subsurface_Inputs" sheetId="6" r:id="Re3ed3a5d27f34c85"/>
    <x:sheet xmlns:r="http://schemas.openxmlformats.org/officeDocument/2006/relationships" name="Model_Data" sheetId="7" r:id="R134ca68a2df14097"/>
    <x:sheet xmlns:r="http://schemas.openxmlformats.org/officeDocument/2006/relationships" name="Subsurface_Live_Data" sheetId="8" r:id="R842b0d2a39434b55"/>
    <x:sheet xmlns:r="http://schemas.openxmlformats.org/officeDocument/2006/relationships" name="Subsurface_Scenario_Data" sheetId="9" r:id="R7a1285f71f94416e"/>
    <x:sheet xmlns:r="http://schemas.openxmlformats.org/officeDocument/2006/relationships" name="Subsurface_Materials_Evidence" sheetId="10" r:id="R3f818b845fc94175"/>
    <x:sheet xmlns:r="http://schemas.openxmlformats.org/officeDocument/2006/relationships" name="Subsurface_Radargram_Data" sheetId="11" r:id="R809e397db0fd4f81"/>
    <x:sheet xmlns:r="http://schemas.openxmlformats.org/officeDocument/2006/relationships" name="Subsurface_Chart_Data" sheetId="12" r:id="R9f8560c1377b4a68"/>
    <x:sheet xmlns:r="http://schemas.openxmlformats.org/officeDocument/2006/relationships" name="Chart_Data" sheetId="13" r:id="Rfa94c7be1f584d06"/>
    <x:sheet xmlns:r="http://schemas.openxmlformats.org/officeDocument/2006/relationships" name="Scenario_Data" sheetId="14" r:id="Rb5cdd91ae8ac4ca5"/>
    <x:sheet xmlns:r="http://schemas.openxmlformats.org/officeDocument/2006/relationships" name="PRF_Results" sheetId="15" r:id="R1233d9b352014cba"/>
    <x:sheet xmlns:r="http://schemas.openxmlformats.org/officeDocument/2006/relationships" name="Formula_Guide" sheetId="16" r:id="R982c7267cece4bd7"/>
    <x:sheet xmlns:r="http://schemas.openxmlformats.org/officeDocument/2006/relationships" name="Topography_Formulas" sheetId="17" r:id="R694a6faee598440d"/>
    <x:sheet xmlns:r="http://schemas.openxmlformats.org/officeDocument/2006/relationships" name="Checks" sheetId="18" r:id="R8f21232f0e8e4fff"/>
    <x:sheet xmlns:r="http://schemas.openxmlformats.org/officeDocument/2006/relationships" name="Graph_Guide" sheetId="19" r:id="Rdabdfc28b5344f98"/>
    <x:sheet xmlns:r="http://schemas.openxmlformats.org/officeDocument/2006/relationships" name="Dashboard_Live_Data" sheetId="20" r:id="R0ea74ba131ae42ab"/>
    <x:sheet xmlns:r="http://schemas.openxmlformats.org/officeDocument/2006/relationships" name="Native_Chart_Data" sheetId="21" r:id="R5f5c454ae9764f0e"/>
    <x:sheet xmlns:r="http://schemas.openxmlformats.org/officeDocument/2006/relationships" name="Subsurface_Checks" sheetId="22" r:id="Rcfe4c73440ca463e"/>
    <x:sheet xmlns:r="http://schemas.openxmlformats.org/officeDocument/2006/relationships" name="Subsurface_Formulas" sheetId="23" r:id="Raeb24c2ae516445c"/>
    <x:sheet xmlns:r="http://schemas.openxmlformats.org/officeDocument/2006/relationships" name="Subsurface_Model_Audit" sheetId="24" r:id="Rfe7d9bab25c643be"/>
    <x:sheet xmlns:r="http://schemas.openxmlformats.org/officeDocument/2006/relationships" name="V2_Summary" sheetId="25" r:id="R8903338185604e8a"/>
    <x:sheet xmlns:r="http://schemas.openxmlformats.org/officeDocument/2006/relationships" name="V2_Track_Examples" sheetId="26" r:id="Rf8d042b0ecba44c7"/>
    <x:sheet xmlns:r="http://schemas.openxmlformats.org/officeDocument/2006/relationships" name="V2_Sensitivity" sheetId="27" r:id="Rf9c472c64c0041eb"/>
    <x:sheet xmlns:r="http://schemas.openxmlformats.org/officeDocument/2006/relationships" name="V2_Sources" sheetId="28" r:id="R85866fce99004403"/>
    <x:sheet xmlns:r="http://schemas.openxmlformats.org/officeDocument/2006/relationships" name="V2_Dashboard" sheetId="29" r:id="R58437c676d3e4ee5"/>
    <x:sheet xmlns:r="http://schemas.openxmlformats.org/officeDocument/2006/relationships" name="Workbook_Error_Audit" sheetId="30" r:id="R508db1624df948c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00"/>
    <x:numFmt numFmtId="165" formatCode="0.0"/>
    <x:numFmt numFmtId="166" formatCode="0.000000"/>
    <x:numFmt numFmtId="200" formatCode="0.00"/>
    <x:numFmt numFmtId="201" formatCode="0.0%"/>
  </x:numFmts>
  <x:fonts count="54">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
      <x:b/>
      <x:sz val="11"/>
      <x:color rgb="FFFFFFFF"/>
      <x:name val="Carlito"/>
    </x:font>
    <x:font>
      <x:b/>
      <x:sz val="16"/>
      <x:color rgb="FF1F2937"/>
      <x:name val="Carlito"/>
    </x:font>
    <x:font>
      <x:sz val="11"/>
      <x:color rgb="FF526174"/>
      <x:name val="Carlito"/>
    </x:font>
    <x:font>
      <x:b/>
      <x:sz val="13"/>
      <x:color rgb="FF1F2937"/>
      <x:name val="Carlito"/>
    </x:font>
    <x:font>
      <x:b/>
      <x:sz val="12"/>
      <x:color rgb="FF1F2937"/>
      <x:name val="Carlito"/>
    </x:font>
    <x:font>
      <x:b/>
      <x:sz val="12"/>
      <x:color rgb="FF1F2937"/>
      <x:name val="Carlito"/>
    </x:font>
    <x:font>
      <x:b/>
      <x:sz val="11"/>
      <x:color rgb="FFFFFFFF"/>
      <x:name val="Carlito"/>
    </x:font>
    <x:font>
      <x:b/>
      <x:sz val="13"/>
      <x:color rgb="FF1F2937"/>
      <x:name val="Carlito"/>
    </x:font>
    <x:font>
      <x:b/>
      <x:sz val="11"/>
      <x:name val="Carlito"/>
    </x:font>
    <x:font>
      <x:b/>
      <x:sz val="16"/>
      <x:name val="Carlito"/>
    </x:font>
    <x:font>
      <x:b/>
      <x:sz val="11"/>
      <x:color rgb="FFFFFFFF"/>
      <x:name val="Aptos"/>
    </x:font>
    <x:font>
      <x:b/>
      <x:sz val="9"/>
      <x:color rgb="FF1F1F1F"/>
      <x:name val="Aptos"/>
    </x:font>
    <x:font>
      <x:sz val="9"/>
      <x:color rgb="FF1F1F1F"/>
      <x:name val="Aptos"/>
    </x:font>
    <x:font>
      <x:b/>
      <x:sz val="14"/>
      <x:color rgb="FFFFFFFF"/>
      <x:name val="Aptos Display"/>
    </x:font>
    <x:font>
      <x:b/>
      <x:sz val="8"/>
      <x:color rgb="FFFFFFFF"/>
      <x:name val="Aptos"/>
    </x:font>
    <x:font>
      <x:sz val="8"/>
      <x:color rgb="FF1F1F1F"/>
      <x:name val="Aptos"/>
    </x:font>
    <x:font>
      <x:b/>
      <x:sz val="18"/>
      <x:color rgb="FFFFFFFF"/>
      <x:name val="Aptos Display"/>
    </x:font>
    <x:font>
      <x:sz val="10"/>
      <x:color rgb="FFFFFFFF"/>
      <x:name val="Aptos"/>
    </x:font>
    <x:font>
      <x:b/>
      <x:sz val="10"/>
      <x:color rgb="FFFFFFFF"/>
      <x:name val="Aptos"/>
    </x:font>
    <x:font>
      <x:sz val="9"/>
      <x:color rgb="FF1F1F1F"/>
      <x:name val="Aptos"/>
    </x:font>
    <x:font>
      <x:b/>
      <x:sz val="14"/>
      <x:color rgb="FF17365D"/>
      <x:name val="Aptos Display"/>
    </x:font>
    <x:font>
      <x:sz val="8"/>
      <x:color rgb="FF404040"/>
      <x:name val="Aptos"/>
    </x:font>
    <x:font>
      <x:b/>
      <x:sz val="9"/>
      <x:color rgb="FF1F1F1F"/>
      <x:name val="Aptos"/>
    </x:font>
    <x:font>
      <x:b/>
      <x:sz val="18"/>
      <x:color rgb="FFFFFFFF"/>
      <x:name val="Aptos Display"/>
    </x:font>
    <x:font>
      <x:sz val="10"/>
      <x:color rgb="FFFFFFFF"/>
      <x:name val="Aptos"/>
    </x:font>
    <x:font>
      <x:b/>
      <x:sz val="11"/>
      <x:color rgb="FFFFFFFF"/>
      <x:name val="Aptos"/>
    </x:font>
    <x:font>
      <x:b/>
      <x:sz val="9"/>
      <x:color rgb="FF1F1F1F"/>
      <x:name val="Aptos"/>
    </x:font>
    <x:font>
      <x:sz val="9"/>
      <x:color rgb="FF1F1F1F"/>
      <x:name val="Aptos"/>
    </x:font>
    <x:font>
      <x:sz val="8"/>
      <x:color rgb="FF404040"/>
      <x:name val="Aptos"/>
    </x:font>
    <x:font>
      <x:b/>
      <x:sz val="13"/>
      <x:color rgb="FF17365D"/>
      <x:name val="Aptos Display"/>
    </x:font>
    <x:font>
      <x:b/>
      <x:sz val="8"/>
      <x:color rgb="FFFFFFFF"/>
      <x:name val="Aptos"/>
    </x:font>
    <x:font>
      <x:b/>
      <x:sz val="18"/>
      <x:color rgb="FFFFFFFF"/>
      <x:name val="Carlito"/>
    </x:font>
    <x:font>
      <x:sz val="11"/>
      <x:color rgb="FF6F768A"/>
      <x:name val="Carlito"/>
    </x:font>
    <x:font>
      <x:b/>
      <x:sz val="11"/>
      <x:color rgb="FF1F2430"/>
      <x:name val="Carlito"/>
    </x:font>
    <x:font>
      <x:b/>
      <x:sz val="18"/>
      <x:color rgb="FF1F2430"/>
      <x:name val="Carlito"/>
    </x:font>
    <x:font>
      <x:b/>
      <x:sz val="14"/>
      <x:color rgb="FF146C43"/>
      <x:name val="Aptos Display"/>
    </x:font>
    <x:font>
      <x:b/>
      <x:sz val="11"/>
      <x:color rgb="FF146C43"/>
      <x:name val="Carlito"/>
    </x:font>
    <x:font>
      <x:sz val="11"/>
      <x:color rgb="FF5E6678"/>
      <x:name val="Carlito"/>
    </x:font>
  </x:fonts>
  <x:fills count="51">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1F4E79"/>
      </x:patternFill>
    </x:fill>
    <x:fill>
      <x:patternFill patternType="solid">
        <x:fgColor rgb="FFFFF2CC"/>
      </x:patternFill>
    </x:fill>
    <x:fill>
      <x:patternFill patternType="solid">
        <x:fgColor rgb="FF1F4E79"/>
      </x:patternFill>
    </x:fill>
    <x:fill>
      <x:patternFill patternType="solid">
        <x:fgColor rgb="FF1F4E79"/>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244062"/>
      </x:patternFill>
    </x:fill>
    <x:fill>
      <x:patternFill patternType="solid">
        <x:fgColor rgb="FF1F4E79"/>
      </x:patternFill>
    </x:fill>
    <x:fill>
      <x:patternFill patternType="solid">
        <x:fgColor rgb="FFE2F0D9"/>
      </x:patternFill>
    </x:fill>
    <x:fill>
      <x:patternFill patternType="solid">
        <x:fgColor rgb="FFF2F2F2"/>
      </x:patternFill>
    </x:fill>
    <x:fill>
      <x:patternFill patternType="solid">
        <x:fgColor rgb="FFD9EAF7"/>
      </x:patternFill>
    </x:fill>
    <x:fill>
      <x:patternFill patternType="solid">
        <x:fgColor rgb="FFFCE4D6"/>
      </x:patternFill>
    </x:fill>
    <x:fill>
      <x:patternFill patternType="solid">
        <x:fgColor rgb="FF17365D"/>
      </x:patternFill>
    </x:fill>
    <x:fill>
      <x:patternFill patternType="solid">
        <x:fgColor rgb="FF244062"/>
      </x:patternFill>
    </x:fill>
    <x:fill>
      <x:patternFill patternType="solid">
        <x:fgColor rgb="FF1F4E79"/>
      </x:patternFill>
    </x:fill>
    <x:fill>
      <x:patternFill patternType="solid">
        <x:fgColor rgb="FFE2F0D9"/>
      </x:patternFill>
    </x:fill>
    <x:fill>
      <x:patternFill patternType="solid">
        <x:fgColor rgb="FFF2F2F2"/>
      </x:patternFill>
    </x:fill>
    <x:fill>
      <x:patternFill patternType="solid">
        <x:fgColor rgb="FFD9EAF7"/>
      </x:patternFill>
    </x:fill>
    <x:fill>
      <x:patternFill patternType="solid">
        <x:fgColor rgb="FFFCE4D6"/>
      </x:patternFill>
    </x:fill>
    <x:fill>
      <x:patternFill patternType="solid">
        <x:fgColor rgb="FFC00000"/>
      </x:patternFill>
    </x:fill>
    <x:fill>
      <x:patternFill patternType="solid">
        <x:fgColor rgb="FFF4CCCC"/>
      </x:patternFill>
    </x:fill>
    <x:fill>
      <x:patternFill patternType="solid">
        <x:fgColor rgb="FFEBF1DE"/>
      </x:patternFill>
    </x:fill>
    <x:fill>
      <x:patternFill patternType="solid">
        <x:fgColor rgb="FF5477C4"/>
      </x:patternFill>
    </x:fill>
    <x:fill>
      <x:patternFill patternType="solid">
        <x:fgColor rgb="FFCC6F47"/>
      </x:patternFill>
    </x:fill>
    <x:fill>
      <x:patternFill patternType="solid">
        <x:fgColor rgb="FF2E3440"/>
      </x:patternFill>
    </x:fill>
    <x:fill>
      <x:patternFill patternType="solid">
        <x:fgColor rgb="FFF7F9FC"/>
      </x:patternFill>
    </x:fill>
    <x:fill>
      <x:patternFill patternType="solid">
        <x:fgColor rgb="FFBD569B"/>
      </x:patternFill>
    </x:fill>
    <x:fill>
      <x:patternFill patternType="solid">
        <x:fgColor rgb="FF71B436"/>
      </x:patternFill>
    </x:fill>
    <x:fill>
      <x:patternFill patternType="solid">
        <x:fgColor rgb="FFB8A037"/>
      </x:patternFill>
    </x:fill>
    <x:fill>
      <x:patternFill patternType="solid">
        <x:fgColor rgb="FFEAF1FE"/>
      </x:patternFill>
    </x:fill>
    <x:fill>
      <x:patternFill patternType="solid">
        <x:fgColor rgb="FFFFEDDE"/>
      </x:patternFill>
    </x:fill>
    <x:fill>
      <x:patternFill patternType="solid">
        <x:fgColor rgb="FFFFF4C2"/>
      </x:patternFill>
    </x:fill>
    <x:fill>
      <x:patternFill patternType="solid">
        <x:fgColor rgb="FFFCDAD6"/>
      </x:patternFill>
    </x:fill>
    <x:fill>
      <x:patternFill patternType="solid">
        <x:fgColor rgb="FFFFFFFF"/>
      </x:patternFill>
    </x:fill>
    <x:fill>
      <x:patternFill patternType="solid">
        <x:fgColor rgb="FFEAF7EC"/>
      </x:patternFill>
    </x:fill>
    <x:fill>
      <x:patternFill patternType="solid">
        <x:fgColor rgb="FF2E3440"/>
      </x:patternFill>
    </x:fill>
    <x:fill>
      <x:patternFill patternType="solid">
        <x:fgColor rgb="FFF7F9FC"/>
      </x:patternFill>
    </x:fill>
    <x:fill>
      <x:patternFill patternType="solid">
        <x:fgColor rgb="FF5477C4"/>
      </x:patternFill>
    </x:fill>
  </x:fills>
  <x:borders count="24">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4DAE3"/>
      </x:left>
      <x:right style="thin">
        <x:color rgb="FFD4DAE3"/>
      </x:right>
      <x:top style="thin">
        <x:color rgb="FFD4DAE3"/>
      </x:top>
      <x:bottom style="thin">
        <x:color rgb="FFD4DAE3"/>
      </x:bottom>
    </x:border>
    <x:border>
      <x:left style="thin">
        <x:color rgb="FFD4DAE3"/>
      </x:left>
      <x:right style="thin">
        <x:color rgb="FFD4DAE3"/>
      </x:right>
      <x:top style="thin">
        <x:color rgb="FFD4DAE3"/>
      </x:top>
      <x:bottom style="thin">
        <x:color rgb="FFD4DAE3"/>
      </x:bottom>
    </x:border>
    <x:border>
      <x:left style="thin">
        <x:color rgb="FFD9E2F3"/>
      </x:left>
      <x:right style="thin">
        <x:color rgb="FFD9E2F3"/>
      </x:righ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top style="thin">
        <x:color rgb="FFD9E2EC"/>
      </x:top>
    </x:border>
    <x:border>
      <x:right style="thin">
        <x:color rgb="FFD9E2EC"/>
      </x:right>
      <x:top style="thin">
        <x:color rgb="FFD9E2EC"/>
      </x:top>
    </x:border>
    <x:border>
      <x:top style="thin">
        <x:color rgb="FFD0D5DD"/>
      </x:top>
    </x:border>
    <x:border>
      <x:right style="thin">
        <x:color rgb="FFD0D5DD"/>
      </x:right>
      <x:top style="thin">
        <x:color rgb="FFD0D5DD"/>
      </x:top>
    </x:border>
    <x:border>
      <x:top style="thin">
        <x:color rgb="FFD9E2F3"/>
      </x:top>
    </x:border>
    <x:border>
      <x:right style="thin">
        <x:color rgb="FFD9E2F3"/>
      </x:right>
      <x:top style="thin">
        <x:color rgb="FFD9E2F3"/>
      </x:top>
    </x:border>
    <x:border>
      <x:left style="thin">
        <x:color rgb="FFDDE3EE"/>
      </x:left>
      <x:right style="thin">
        <x:color rgb="FFDDE3EE"/>
      </x:right>
      <x:top style="thin">
        <x:color rgb="FFDDE3EE"/>
      </x:top>
      <x:bottom style="thin">
        <x:color rgb="FFDDE3EE"/>
      </x:bottom>
    </x:border>
  </x:borders>
  <x:cellStyleXfs count="1">
    <x:xf numFmtId="0" fontId="0" fillId="0" borderId="0"/>
  </x:cellStyleXfs>
  <x:cellXfs count="195">
    <x:xf numFmtId="0" fontId="0" fillId="0" borderId="0" xfId="0"/>
    <x:xf numFmtId="0" fontId="3" fillId="0" borderId="1" xfId="0" applyAlignment="1">
      <x:alignment vertical="center" wrapText="1"/>
    </x:xf>
    <x:xf numFmtId="0" fontId="4" fillId="3" borderId="1" xfId="0" applyAlignment="1">
      <x:alignment horizontal="center" vertical="center" wrapText="1"/>
    </x:xf>
    <x:xf numFmtId="2" fontId="4" fillId="4" borderId="1" xfId="0" applyAlignment="1">
      <x:alignment horizontal="right" vertical="center" wrapText="1"/>
    </x:xf>
    <x:xf numFmtId="1" fontId="4" fillId="4" borderId="1" xfId="0" applyAlignment="1">
      <x:alignment horizontal="right" vertical="center" wrapText="1"/>
    </x:xf>
    <x:xf numFmtId="0" fontId="3" fillId="5" borderId="2" xfId="0" applyAlignment="1">
      <x:alignment wrapText="1"/>
    </x:xf>
    <x:xf numFmtId="0" fontId="4" fillId="6" borderId="1" xfId="0" applyAlignment="1">
      <x:alignment horizontal="center" vertical="center" wrapText="1"/>
    </x:xf>
    <x:xf numFmtId="2" fontId="6" fillId="6" borderId="1" xfId="0" applyAlignment="1">
      <x:alignment horizontal="right" vertical="center" wrapText="1"/>
    </x:xf>
    <x:xf numFmtId="0" fontId="4" fillId="4" borderId="1" xfId="0" applyAlignment="1">
      <x:alignment horizontal="center" vertical="center" wrapText="1"/>
    </x:xf>
    <x:xf numFmtId="164" fontId="3" fillId="0" borderId="1" xfId="0" applyAlignment="1">
      <x:alignment vertical="center" wrapText="1"/>
    </x:xf>
    <x:xf numFmtId="164" fontId="0" fillId="0" borderId="0" xfId="0"/>
    <x:xf numFmtId="164" fontId="4" fillId="6" borderId="1" xfId="0" applyAlignment="1">
      <x:alignment horizontal="right" vertical="center" wrapText="1"/>
    </x:xf>
    <x:xf numFmtId="0" fontId="7" fillId="0" borderId="1" xfId="0" applyAlignment="1">
      <x:alignment vertical="center" wrapText="1"/>
    </x:xf>
    <x:xf numFmtId="0" fontId="8" fillId="7" borderId="0" xfId="0" applyAlignment="1">
      <x:alignment horizontal="center" vertical="center" wrapText="1"/>
    </x:xf>
    <x:xf numFmtId="0" fontId="9" fillId="8" borderId="5" xfId="0" applyAlignment="1">
      <x:alignment horizontal="center" vertical="center" wrapText="1"/>
    </x:xf>
    <x:xf numFmtId="0" fontId="10" fillId="0" borderId="5" xfId="0" applyAlignment="1">
      <x:alignment vertical="top" wrapText="1"/>
    </x:xf>
    <x:xf numFmtId="0" fontId="9" fillId="9" borderId="5" xfId="0" applyAlignment="1">
      <x:alignment vertical="top" wrapText="1"/>
    </x:xf>
    <x:xf numFmtId="0" fontId="13" fillId="0" borderId="0" xfId="0"/>
    <x:xf numFmtId="0" fontId="11" fillId="9" borderId="5" xfId="0" applyAlignment="1">
      <x:alignment vertical="top" wrapText="1"/>
    </x:xf>
    <x:xf numFmtId="0" fontId="13" fillId="0" borderId="5" xfId="0" applyAlignment="1">
      <x:alignment vertical="top" wrapText="1"/>
    </x:xf>
    <x:xf numFmtId="0" fontId="11" fillId="11" borderId="5" xfId="0" applyAlignment="1">
      <x:alignment vertical="top" wrapText="1"/>
    </x:xf>
    <x:xf numFmtId="164" fontId="11" fillId="11" borderId="5" xfId="0" applyAlignment="1">
      <x:alignment vertical="top" wrapText="1"/>
    </x:xf>
    <x:xf numFmtId="0" fontId="15" fillId="8" borderId="5" xfId="0" applyAlignment="1">
      <x:alignment horizontal="center" vertical="center" wrapText="1"/>
    </x:xf>
    <x:xf numFmtId="0" fontId="16" fillId="12" borderId="8" xfId="0" applyAlignment="1">
      <x:alignment vertical="top" wrapText="1"/>
    </x:xf>
    <x:xf numFmtId="164" fontId="0" fillId="0" borderId="8" xfId="0" applyAlignment="1">
      <x:alignment vertical="top" wrapText="1"/>
    </x:xf>
    <x:xf numFmtId="0" fontId="0" fillId="0" borderId="8" xfId="0" applyAlignment="1">
      <x:alignment vertical="top" wrapText="1"/>
    </x:xf>
    <x:xf numFmtId="0" fontId="17" fillId="0" borderId="0" xfId="0"/>
    <x:xf numFmtId="0" fontId="18" fillId="0" borderId="0" xfId="0" applyAlignment="1">
      <x:alignment vertical="top" wrapText="1"/>
    </x:xf>
    <x:xf numFmtId="0" fontId="19" fillId="0" borderId="0" xfId="0"/>
    <x:xf numFmtId="0" fontId="0" fillId="13" borderId="8" xfId="0" applyAlignment="1">
      <x:alignment vertical="top" wrapText="1"/>
    </x:xf>
    <x:xf numFmtId="9" fontId="0" fillId="0" borderId="8" xfId="0" applyAlignment="1">
      <x:alignment vertical="top" wrapText="1"/>
    </x:xf>
    <x:xf numFmtId="0" fontId="16" fillId="12" borderId="0" xfId="0" applyAlignment="1">
      <x:alignment wrapText="1"/>
    </x:xf>
    <x:xf numFmtId="0" fontId="21" fillId="0" borderId="0" xfId="0"/>
    <x:xf numFmtId="0" fontId="22" fillId="14" borderId="9" xfId="0" applyAlignment="1">
      <x:alignment vertical="top" wrapText="1"/>
    </x:xf>
    <x:xf numFmtId="0" fontId="0" fillId="0" borderId="9" xfId="0" applyAlignment="1">
      <x:alignment vertical="top" wrapText="1"/>
    </x:xf>
    <x:xf numFmtId="0" fontId="23" fillId="0" borderId="0" xfId="0" applyAlignment="1">
      <x:alignment vertical="top" wrapText="1"/>
    </x:xf>
    <x:xf numFmtId="0" fontId="0" fillId="0" borderId="0" xfId="0" applyAlignment="1">
      <x:alignment vertical="top" wrapText="1"/>
    </x:xf>
    <x:xf numFmtId="0" fontId="0" fillId="0" borderId="0" xfId="0" applyAlignment="1">
      <x:alignment wrapText="1"/>
    </x:xf>
    <x:xf numFmtId="0" fontId="8" fillId="15" borderId="9" xfId="0" applyAlignment="1">
      <x:alignment wrapText="1"/>
    </x:xf>
    <x:xf numFmtId="0" fontId="0" fillId="0" borderId="9" xfId="0" applyAlignment="1">
      <x:alignment wrapText="1"/>
    </x:xf>
    <x:xf numFmtId="0" fontId="24" fillId="0" borderId="9" xfId="0" applyAlignment="1">
      <x:alignment horizontal="center" wrapText="1"/>
    </x:xf>
    <x:xf numFmtId="0" fontId="28" fillId="0" borderId="10" xfId="0" applyAlignment="1">
      <x:alignment horizontal="left" vertical="center" wrapText="1"/>
    </x:xf>
    <x:xf numFmtId="0" fontId="27" fillId="17" borderId="10" xfId="0" applyAlignment="1">
      <x:alignment horizontal="left" vertical="center" wrapText="1"/>
    </x:xf>
    <x:xf numFmtId="0" fontId="35" fillId="21" borderId="13" xfId="0" applyAlignment="1">
      <x:alignment horizontal="left" vertical="center" wrapText="1"/>
    </x:xf>
    <x:xf numFmtId="164" fontId="36" fillId="22" borderId="13" xfId="0" applyAlignment="1">
      <x:alignment horizontal="right" vertical="center"/>
    </x:xf>
    <x:xf numFmtId="0" fontId="35" fillId="22" borderId="13" xfId="0" applyAlignment="1">
      <x:alignment horizontal="left" vertical="center" wrapText="1"/>
    </x:xf>
    <x:xf numFmtId="0" fontId="35" fillId="23" borderId="13" xfId="0" applyAlignment="1">
      <x:alignment horizontal="left" vertical="center" wrapText="1"/>
    </x:xf>
    <x:xf numFmtId="164" fontId="35" fillId="22" borderId="13" xfId="0" applyAlignment="1">
      <x:alignment horizontal="right" vertical="center"/>
    </x:xf>
    <x:xf numFmtId="0" fontId="35" fillId="24" borderId="13" xfId="0" applyAlignment="1">
      <x:alignment horizontal="left" vertical="center" wrapText="1"/>
    </x:xf>
    <x:xf numFmtId="0" fontId="35" fillId="21" borderId="13" xfId="0" applyAlignment="1">
      <x:alignment horizontal="center" vertical="center" wrapText="1"/>
    </x:xf>
    <x:xf numFmtId="49" fontId="36" fillId="22" borderId="13" xfId="0" applyAlignment="1">
      <x:alignment horizontal="right" vertical="center"/>
    </x:xf>
    <x:xf numFmtId="0" fontId="38" fillId="23" borderId="13" xfId="0" applyAlignment="1">
      <x:alignment horizontal="left" vertical="center" wrapText="1"/>
    </x:xf>
    <x:xf numFmtId="0" fontId="30" fillId="18" borderId="13" xfId="0" applyAlignment="1">
      <x:alignment horizontal="center" vertical="center" wrapText="1"/>
    </x:xf>
    <x:xf numFmtId="165" fontId="31" fillId="0" borderId="13" xfId="0" applyAlignment="1">
      <x:alignment horizontal="right" vertical="center"/>
    </x:xf>
    <x:xf numFmtId="164" fontId="31" fillId="0" borderId="13" xfId="0" applyAlignment="1">
      <x:alignment horizontal="right" vertical="center"/>
    </x:xf>
    <x:xf numFmtId="166" fontId="31" fillId="0" borderId="13" xfId="0" applyAlignment="1">
      <x:alignment horizontal="right" vertical="center"/>
    </x:xf>
    <x:xf numFmtId="0" fontId="42" fillId="28" borderId="14" xfId="0" applyAlignment="1">
      <x:alignment horizontal="left" vertical="center" wrapText="1"/>
    </x:xf>
    <x:xf numFmtId="0" fontId="43" fillId="29" borderId="14" xfId="0" applyAlignment="1">
      <x:alignment horizontal="left" vertical="center" wrapText="1"/>
    </x:xf>
    <x:xf numFmtId="0" fontId="42" fillId="30" borderId="14" xfId="0" applyAlignment="1">
      <x:alignment horizontal="center" vertical="center" wrapText="1"/>
    </x:xf>
    <x:xf numFmtId="0" fontId="43" fillId="28" borderId="14" xfId="0" applyAlignment="1">
      <x:alignment horizontal="left" vertical="center" wrapText="1"/>
    </x:xf>
    <x:xf numFmtId="0" fontId="43" fillId="31" borderId="14" xfId="0" applyAlignment="1">
      <x:alignment horizontal="left" vertical="center" wrapText="1"/>
    </x:xf>
    <x:xf numFmtId="0" fontId="43" fillId="0" borderId="14" xfId="0" applyAlignment="1">
      <x:alignment horizontal="left" vertical="center" wrapText="1"/>
    </x:xf>
    <x:xf numFmtId="0" fontId="44" fillId="0" borderId="14" xfId="0" applyAlignment="1">
      <x:alignment horizontal="left" vertical="center" wrapText="1"/>
    </x:xf>
    <x:xf numFmtId="0" fontId="42" fillId="33" borderId="14" xfId="0" applyAlignment="1">
      <x:alignment horizontal="left" vertical="center" wrapText="1"/>
    </x:xf>
    <x:xf numFmtId="0" fontId="43" fillId="34" borderId="14" xfId="0" applyAlignment="1">
      <x:alignment horizontal="left" vertical="center" wrapText="1"/>
    </x:xf>
    <x:xf numFmtId="164" fontId="45" fillId="30" borderId="14" xfId="0" applyAlignment="1">
      <x:alignment horizontal="right" vertical="center" wrapText="1"/>
    </x:xf>
    <x:xf numFmtId="164" fontId="45" fillId="29" borderId="14" xfId="0" applyAlignment="1">
      <x:alignment horizontal="right" vertical="center" wrapText="1"/>
    </x:xf>
    <x:xf numFmtId="0" fontId="45" fillId="29" borderId="14" xfId="0" applyAlignment="1">
      <x:alignment horizontal="right" vertical="center" wrapText="1"/>
    </x:xf>
    <x:xf numFmtId="0" fontId="46" fillId="25" borderId="14" xfId="0" applyAlignment="1">
      <x:alignment horizontal="center" vertical="center" wrapText="1"/>
    </x:xf>
    <x:xf numFmtId="165" fontId="44" fillId="0" borderId="14" xfId="0" applyAlignment="1">
      <x:alignment horizontal="right" vertical="center" wrapText="1"/>
    </x:xf>
    <x:xf numFmtId="164" fontId="44" fillId="0" borderId="14" xfId="0" applyAlignment="1">
      <x:alignment horizontal="right" vertical="center" wrapText="1"/>
    </x:xf>
    <x:xf numFmtId="0" fontId="44" fillId="0" borderId="14" xfId="0" applyAlignment="1">
      <x:alignment horizontal="right" vertical="center" wrapText="1"/>
    </x:xf>
    <x:xf numFmtId="0" fontId="14" fillId="7" borderId="0" xfId="0" applyAlignment="1">
      <x:alignment horizontal="center" vertical="center" wrapText="1"/>
    </x:xf>
    <x:xf numFmtId="0" fontId="0" fillId="0" borderId="0" xfId="0"/>
    <x:xf numFmtId="0" fontId="12" fillId="10" borderId="5" xfId="0" applyAlignment="1">
      <x:alignment wrapText="1"/>
    </x:xf>
    <x:xf numFmtId="0" fontId="0" fillId="0" borderId="6" xfId="0"/>
    <x:xf numFmtId="0" fontId="0" fillId="0" borderId="7" xfId="0"/>
    <x:xf numFmtId="0" fontId="10" fillId="0" borderId="5" xfId="0" applyAlignment="1">
      <x:alignment vertical="top" wrapText="1"/>
    </x:xf>
    <x:xf numFmtId="0" fontId="5" fillId="6" borderId="1" xfId="0" applyAlignment="1">
      <x:alignment horizontal="left" vertical="center"/>
    </x:xf>
    <x:xf numFmtId="0" fontId="0" fillId="0" borderId="3" xfId="0"/>
    <x:xf numFmtId="0" fontId="0" fillId="0" borderId="4" xfId="0"/>
    <x:xf numFmtId="0" fontId="1" fillId="2" borderId="0" xfId="0" applyAlignment="1">
      <x:alignment horizontal="center" vertical="center"/>
    </x:xf>
    <x:xf numFmtId="0" fontId="9" fillId="8" borderId="5" xfId="0" applyAlignment="1">
      <x:alignment horizontal="center" vertical="center" wrapText="1"/>
    </x:xf>
    <x:xf numFmtId="0" fontId="3" fillId="5" borderId="4" xfId="0" applyAlignment="1">
      <x:alignment wrapText="1"/>
    </x:xf>
    <x:xf numFmtId="0" fontId="8" fillId="7" borderId="0" xfId="0" applyAlignment="1">
      <x:alignment horizontal="center" vertical="center" wrapText="1"/>
    </x:xf>
    <x:xf numFmtId="0" fontId="3" fillId="5" borderId="1" xfId="0" applyAlignment="1">
      <x:alignment wrapText="1"/>
    </x:xf>
    <x:xf numFmtId="0" fontId="3" fillId="3" borderId="0" xfId="0" applyAlignment="1">
      <x:alignment wrapText="1"/>
    </x:xf>
    <x:xf numFmtId="0" fontId="20" fillId="0" borderId="0" xfId="0"/>
    <x:xf numFmtId="0" fontId="18" fillId="0" borderId="0" xfId="0" applyAlignment="1">
      <x:alignment vertical="top" wrapText="1"/>
    </x:xf>
    <x:xf numFmtId="0" fontId="17" fillId="0" borderId="0" xfId="0"/>
    <x:xf numFmtId="0" fontId="34" fillId="20" borderId="13" xfId="0" applyAlignment="1">
      <x:alignment horizontal="left" vertical="center" wrapText="1"/>
    </x:xf>
    <x:xf numFmtId="0" fontId="0" fillId="0" borderId="11" xfId="0"/>
    <x:xf numFmtId="0" fontId="0" fillId="0" borderId="12" xfId="0"/>
    <x:xf numFmtId="0" fontId="37" fillId="0" borderId="13" xfId="0" applyAlignment="1">
      <x:alignment horizontal="left" vertical="center" wrapText="1"/>
    </x:xf>
    <x:xf numFmtId="0" fontId="32" fillId="18" borderId="0" xfId="0" applyAlignment="1">
      <x:alignment horizontal="left" vertical="center" wrapText="1"/>
    </x:xf>
    <x:xf numFmtId="0" fontId="37" fillId="22" borderId="13" xfId="0" applyAlignment="1">
      <x:alignment horizontal="left" vertical="center" wrapText="1"/>
    </x:xf>
    <x:xf numFmtId="0" fontId="33" fillId="19" borderId="0" xfId="0" applyAlignment="1">
      <x:alignment horizontal="left" vertical="center" wrapText="1"/>
    </x:xf>
    <x:xf numFmtId="0" fontId="29" fillId="18" borderId="0" xfId="0" applyAlignment="1">
      <x:alignment horizontal="left" vertical="center"/>
    </x:xf>
    <x:xf numFmtId="0" fontId="43" fillId="29" borderId="14" xfId="0" applyAlignment="1">
      <x:alignment horizontal="left" vertical="center" wrapText="1"/>
    </x:xf>
    <x:xf numFmtId="0" fontId="0" fillId="0" borderId="15" xfId="0"/>
    <x:xf numFmtId="0" fontId="0" fillId="0" borderId="16" xfId="0"/>
    <x:xf numFmtId="0" fontId="39" fillId="25" borderId="0" xfId="0" applyAlignment="1">
      <x:alignment horizontal="left" vertical="center" wrapText="1"/>
    </x:xf>
    <x:xf numFmtId="0" fontId="41" fillId="27" borderId="14" xfId="0" applyAlignment="1">
      <x:alignment horizontal="left" vertical="center" wrapText="1"/>
    </x:xf>
    <x:xf numFmtId="0" fontId="41" fillId="32" borderId="14" xfId="0" applyAlignment="1">
      <x:alignment horizontal="left" vertical="center" wrapText="1"/>
    </x:xf>
    <x:xf numFmtId="0" fontId="40" fillId="26" borderId="0" xfId="0" applyAlignment="1">
      <x:alignment horizontal="left" vertical="center" wrapText="1"/>
    </x:xf>
    <x:xf numFmtId="0" fontId="44" fillId="29" borderId="14" xfId="0" applyAlignment="1">
      <x:alignment horizontal="left" vertical="center" wrapText="1"/>
    </x:xf>
    <x:xf numFmtId="0" fontId="2" fillId="3" borderId="0" xfId="0" applyAlignment="1">
      <x:alignment wrapText="1"/>
    </x:xf>
    <x:xf numFmtId="0" fontId="26" fillId="16" borderId="13" xfId="0" applyAlignment="1">
      <x:alignment horizontal="left" vertical="center" wrapText="1"/>
    </x:xf>
    <x:xf numFmtId="0" fontId="0" fillId="0" borderId="0" xfId="0" applyAlignment="1">
      <x:alignment wrapText="1"/>
    </x:xf>
    <x:xf numFmtId="0" fontId="25" fillId="0" borderId="0" xfId="0"/>
    <x:xf numFmtId="0" fontId="34" fillId="20" borderId="14" xfId="0" applyAlignment="1">
      <x:alignment horizontal="left" vertical="center" wrapText="1"/>
    </x:xf>
    <x:xf numFmtId="0" fontId="37" fillId="22" borderId="14" xfId="0" applyAlignment="1">
      <x:alignment horizontal="left" vertical="center" wrapText="1"/>
    </x:xf>
    <x:xf numFmtId="0" fontId="37" fillId="0" borderId="14" xfId="0" applyAlignment="1">
      <x:alignment horizontal="left" vertical="center" wrapText="1"/>
    </x:xf>
    <x:xf numFmtId="0" fontId="26" fillId="16" borderId="14" xfId="0" applyAlignment="1">
      <x:alignment horizontal="left" vertical="center" wrapText="1"/>
    </x:xf>
    <x:xf numFmtId="0" fontId="0" fillId="35" borderId="0" xfId="0" applyNumberFormat="1" applyFont="1" applyFill="1" applyBorder="1"/>
    <x:xf numFmtId="0" fontId="8" fillId="35" borderId="0" xfId="0" applyNumberFormat="1" applyFont="1" applyFill="1" applyBorder="1"/>
    <x:xf numFmtId="0" fontId="8" fillId="35" borderId="23" xfId="0" applyNumberFormat="1" applyFont="1" applyFill="1" applyBorder="1"/>
    <x:xf numFmtId="0" fontId="8" fillId="35" borderId="23" xfId="0" applyNumberFormat="1" applyFont="1" applyFill="1" applyBorder="1" applyAlignment="1">
      <x:alignment wrapText="1"/>
    </x:xf>
    <x:xf numFmtId="165" fontId="0" fillId="0" borderId="0" xfId="0" applyNumberFormat="1" applyFont="1" applyFill="1" applyBorder="1"/>
    <x:xf numFmtId="0" fontId="0" fillId="36" borderId="0" xfId="0" applyNumberFormat="1" applyFont="1" applyFill="1" applyBorder="1"/>
    <x:xf numFmtId="0" fontId="8" fillId="36" borderId="0" xfId="0" applyNumberFormat="1" applyFont="1" applyFill="1" applyBorder="1"/>
    <x:xf numFmtId="0" fontId="8" fillId="36" borderId="23" xfId="0" applyNumberFormat="1" applyFont="1" applyFill="1" applyBorder="1"/>
    <x:xf numFmtId="0" fontId="8" fillId="36" borderId="23" xfId="0" applyNumberFormat="1" applyFont="1" applyFill="1" applyBorder="1" applyAlignment="1">
      <x:alignment wrapText="1"/>
    </x:xf>
    <x:xf numFmtId="200" fontId="0" fillId="0" borderId="0" xfId="0" applyNumberFormat="1" applyFont="1" applyFill="1" applyBorder="1"/>
    <x:xf numFmtId="0" fontId="0" fillId="37" borderId="0" xfId="0" applyNumberFormat="1" applyFont="1" applyFill="1" applyBorder="1"/>
    <x:xf numFmtId="0" fontId="47" fillId="37" borderId="0" xfId="0" applyNumberFormat="1" applyFont="1" applyFill="1" applyBorder="1"/>
    <x:xf numFmtId="0" fontId="0" fillId="38" borderId="0" xfId="0" applyNumberFormat="1" applyFont="1" applyFill="1" applyBorder="1"/>
    <x:xf numFmtId="0" fontId="48" fillId="38" borderId="0" xfId="0" applyNumberFormat="1" applyFont="1" applyFill="1" applyBorder="1"/>
    <x:xf numFmtId="0" fontId="48" fillId="38" borderId="0" xfId="0" applyNumberFormat="1" applyFont="1" applyFill="1" applyBorder="1" applyAlignment="1">
      <x:alignment wrapText="1"/>
    </x:xf>
    <x:xf numFmtId="0" fontId="0" fillId="39" borderId="0" xfId="0" applyNumberFormat="1" applyFont="1" applyFill="1" applyBorder="1"/>
    <x:xf numFmtId="0" fontId="8" fillId="39" borderId="0" xfId="0" applyNumberFormat="1" applyFont="1" applyFill="1" applyBorder="1"/>
    <x:xf numFmtId="0" fontId="8" fillId="39" borderId="23" xfId="0" applyNumberFormat="1" applyFont="1" applyFill="1" applyBorder="1"/>
    <x:xf numFmtId="0" fontId="8" fillId="39" borderId="23" xfId="0" applyNumberFormat="1" applyFont="1" applyFill="1" applyBorder="1" applyAlignment="1">
      <x:alignment wrapText="1"/>
    </x:xf>
    <x:xf numFmtId="0" fontId="8" fillId="37" borderId="0" xfId="0" applyNumberFormat="1" applyFont="1" applyFill="1" applyBorder="1"/>
    <x:xf numFmtId="0" fontId="8" fillId="37" borderId="23" xfId="0" applyNumberFormat="1" applyFont="1" applyFill="1" applyBorder="1"/>
    <x:xf numFmtId="0" fontId="8" fillId="37" borderId="23" xfId="0" applyNumberFormat="1" applyFont="1" applyFill="1" applyBorder="1" applyAlignment="1">
      <x:alignment wrapText="1"/>
    </x:xf>
    <x:xf numFmtId="0" fontId="0" fillId="38" borderId="23" xfId="0" applyNumberFormat="1" applyFont="1" applyFill="1" applyBorder="1"/>
    <x:xf numFmtId="0" fontId="0" fillId="38" borderId="23"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0" borderId="0" xfId="0" applyNumberFormat="1" applyFont="1" applyFill="1" applyBorder="1"/>
    <x:xf numFmtId="0" fontId="8" fillId="40" borderId="0" xfId="0" applyNumberFormat="1" applyFont="1" applyFill="1" applyBorder="1"/>
    <x:xf numFmtId="0" fontId="8" fillId="40" borderId="23" xfId="0" applyNumberFormat="1" applyFont="1" applyFill="1" applyBorder="1"/>
    <x:xf numFmtId="0" fontId="8" fillId="40" borderId="23" xfId="0" applyNumberFormat="1" applyFont="1" applyFill="1" applyBorder="1" applyAlignment="1">
      <x:alignment wrapText="1"/>
    </x:xf>
    <x:xf numFmtId="0" fontId="0" fillId="41" borderId="0" xfId="0" applyNumberFormat="1" applyFont="1" applyFill="1" applyBorder="1"/>
    <x:xf numFmtId="0" fontId="8" fillId="41" borderId="0" xfId="0" applyNumberFormat="1" applyFont="1" applyFill="1" applyBorder="1"/>
    <x:xf numFmtId="0" fontId="8" fillId="41" borderId="23" xfId="0" applyNumberFormat="1" applyFont="1" applyFill="1" applyBorder="1"/>
    <x:xf numFmtId="0" fontId="8" fillId="41" borderId="23" xfId="0" applyNumberFormat="1" applyFont="1" applyFill="1" applyBorder="1" applyAlignment="1">
      <x:alignment wrapText="1"/>
    </x:xf>
    <x:xf numFmtId="0" fontId="0" fillId="42" borderId="0" xfId="0" applyNumberFormat="1" applyFont="1" applyFill="1" applyBorder="1"/>
    <x:xf numFmtId="0" fontId="0" fillId="42" borderId="23" xfId="0" applyNumberFormat="1" applyFont="1" applyFill="1" applyBorder="1"/>
    <x:xf numFmtId="0" fontId="0" fillId="42" borderId="23" xfId="0" applyNumberFormat="1" applyFont="1" applyFill="1" applyBorder="1" applyAlignment="1">
      <x:alignment wrapText="1"/>
    </x:xf>
    <x:xf numFmtId="0" fontId="49" fillId="42" borderId="23" xfId="0" applyNumberFormat="1" applyFont="1" applyFill="1" applyBorder="1" applyAlignment="1">
      <x:alignment wrapText="1"/>
    </x:xf>
    <x:xf numFmtId="0" fontId="50" fillId="42" borderId="23" xfId="0" applyNumberFormat="1" applyFont="1" applyFill="1" applyBorder="1" applyAlignment="1">
      <x:alignment wrapText="1"/>
    </x:xf>
    <x:xf numFmtId="0" fontId="48" fillId="42" borderId="23" xfId="0" applyNumberFormat="1" applyFont="1" applyFill="1" applyBorder="1" applyAlignment="1">
      <x:alignment wrapText="1"/>
    </x:xf>
    <x:xf numFmtId="165" fontId="50" fillId="42" borderId="23" xfId="0" applyNumberFormat="1" applyFont="1" applyFill="1" applyBorder="1" applyAlignment="1">
      <x:alignment wrapText="1"/>
    </x:xf>
    <x:xf numFmtId="0" fontId="0" fillId="43" borderId="0" xfId="0" applyNumberFormat="1" applyFont="1" applyFill="1" applyBorder="1"/>
    <x:xf numFmtId="0" fontId="0" fillId="43" borderId="23" xfId="0" applyNumberFormat="1" applyFont="1" applyFill="1" applyBorder="1"/>
    <x:xf numFmtId="0" fontId="0" fillId="43" borderId="23" xfId="0" applyNumberFormat="1" applyFont="1" applyFill="1" applyBorder="1" applyAlignment="1">
      <x:alignment wrapText="1"/>
    </x:xf>
    <x:xf numFmtId="0" fontId="49" fillId="43" borderId="23" xfId="0" applyNumberFormat="1" applyFont="1" applyFill="1" applyBorder="1" applyAlignment="1">
      <x:alignment wrapText="1"/>
    </x:xf>
    <x:xf numFmtId="0" fontId="50" fillId="43" borderId="23" xfId="0" applyNumberFormat="1" applyFont="1" applyFill="1" applyBorder="1" applyAlignment="1">
      <x:alignment wrapText="1"/>
    </x:xf>
    <x:xf numFmtId="0" fontId="48" fillId="43" borderId="23" xfId="0" applyNumberFormat="1" applyFont="1" applyFill="1" applyBorder="1" applyAlignment="1">
      <x:alignment wrapText="1"/>
    </x:xf>
    <x:xf numFmtId="201" fontId="50" fillId="43" borderId="23" xfId="0" applyNumberFormat="1" applyFont="1" applyFill="1" applyBorder="1" applyAlignment="1">
      <x:alignment wrapText="1"/>
    </x:xf>
    <x:xf numFmtId="0" fontId="0" fillId="44" borderId="0" xfId="0" applyNumberFormat="1" applyFont="1" applyFill="1" applyBorder="1"/>
    <x:xf numFmtId="0" fontId="0" fillId="44" borderId="23" xfId="0" applyNumberFormat="1" applyFont="1" applyFill="1" applyBorder="1"/>
    <x:xf numFmtId="0" fontId="0" fillId="44" borderId="23" xfId="0" applyNumberFormat="1" applyFont="1" applyFill="1" applyBorder="1" applyAlignment="1">
      <x:alignment wrapText="1"/>
    </x:xf>
    <x:xf numFmtId="0" fontId="49" fillId="44" borderId="23" xfId="0" applyNumberFormat="1" applyFont="1" applyFill="1" applyBorder="1" applyAlignment="1">
      <x:alignment wrapText="1"/>
    </x:xf>
    <x:xf numFmtId="0" fontId="50" fillId="44" borderId="23" xfId="0" applyNumberFormat="1" applyFont="1" applyFill="1" applyBorder="1" applyAlignment="1">
      <x:alignment wrapText="1"/>
    </x:xf>
    <x:xf numFmtId="0" fontId="48" fillId="44" borderId="23" xfId="0" applyNumberFormat="1" applyFont="1" applyFill="1" applyBorder="1" applyAlignment="1">
      <x:alignment wrapText="1"/>
    </x:xf>
    <x:xf numFmtId="201" fontId="50" fillId="44" borderId="23" xfId="0" applyNumberFormat="1" applyFont="1" applyFill="1" applyBorder="1" applyAlignment="1">
      <x:alignment wrapText="1"/>
    </x:xf>
    <x:xf numFmtId="0" fontId="0" fillId="45" borderId="0" xfId="0" applyNumberFormat="1" applyFont="1" applyFill="1" applyBorder="1"/>
    <x:xf numFmtId="0" fontId="0" fillId="45" borderId="23" xfId="0" applyNumberFormat="1" applyFont="1" applyFill="1" applyBorder="1"/>
    <x:xf numFmtId="0" fontId="0" fillId="45" borderId="23" xfId="0" applyNumberFormat="1" applyFont="1" applyFill="1" applyBorder="1" applyAlignment="1">
      <x:alignment wrapText="1"/>
    </x:xf>
    <x:xf numFmtId="0" fontId="49" fillId="45" borderId="23" xfId="0" applyNumberFormat="1" applyFont="1" applyFill="1" applyBorder="1" applyAlignment="1">
      <x:alignment wrapText="1"/>
    </x:xf>
    <x:xf numFmtId="0" fontId="50" fillId="45" borderId="23" xfId="0" applyNumberFormat="1" applyFont="1" applyFill="1" applyBorder="1" applyAlignment="1">
      <x:alignment wrapText="1"/>
    </x:xf>
    <x:xf numFmtId="0" fontId="48" fillId="45" borderId="23" xfId="0" applyNumberFormat="1" applyFont="1" applyFill="1" applyBorder="1" applyAlignment="1">
      <x:alignment wrapText="1"/>
    </x:xf>
    <x:xf numFmtId="201" fontId="50" fillId="45" borderId="23" xfId="0" applyNumberFormat="1" applyFont="1" applyFill="1" applyBorder="1" applyAlignment="1">
      <x:alignment wrapText="1"/>
    </x:xf>
    <x:xf numFmtId="0" fontId="0" fillId="46" borderId="0" xfId="0" applyNumberFormat="1" applyFont="1" applyFill="1" applyBorder="1"/>
    <x:xf numFmtId="0" fontId="0" fillId="46" borderId="23" xfId="0" applyNumberFormat="1" applyFont="1" applyFill="1" applyBorder="1"/>
    <x:xf numFmtId="0" fontId="0" fillId="46" borderId="23" xfId="0" applyNumberFormat="1" applyFont="1" applyFill="1" applyBorder="1" applyAlignment="1">
      <x:alignment wrapText="1"/>
    </x:xf>
    <x:xf numFmtId="201" fontId="0" fillId="46" borderId="23" xfId="0" applyNumberFormat="1" applyFont="1" applyFill="1" applyBorder="1" applyAlignment="1">
      <x:alignment wrapText="1"/>
    </x:xf>
    <x:xf numFmtId="166" fontId="36" fillId="22" borderId="10" xfId="0" applyNumberFormat="1" applyFont="1" applyFill="1" applyBorder="1" applyAlignment="1">
      <x:alignment horizontal="right" vertical="center"/>
    </x:xf>
    <x:xf numFmtId="49" fontId="36" fillId="47" borderId="10" xfId="0" applyNumberFormat="1" applyFont="1" applyFill="1" applyBorder="1" applyAlignment="1">
      <x:alignment horizontal="right" vertical="center"/>
    </x:xf>
    <x:xf numFmtId="49" fontId="51" fillId="47" borderId="10" xfId="0" applyNumberFormat="1" applyFont="1" applyFill="1" applyBorder="1" applyAlignment="1">
      <x:alignment horizontal="right" vertical="center"/>
    </x:xf>
    <x:xf numFmtId="49" fontId="51" fillId="47" borderId="23" xfId="0" applyNumberFormat="1" applyFont="1" applyFill="1" applyBorder="1" applyAlignment="1">
      <x:alignment horizontal="right" vertical="center"/>
    </x:xf>
    <x:xf numFmtId="0" fontId="24" fillId="47" borderId="8" xfId="0" applyNumberFormat="1" applyFont="1" applyFill="1" applyBorder="1" applyAlignment="1">
      <x:alignment horizontal="center" wrapText="1"/>
    </x:xf>
    <x:xf numFmtId="0" fontId="52" fillId="47" borderId="8" xfId="0" applyNumberFormat="1" applyFont="1" applyFill="1" applyBorder="1" applyAlignment="1">
      <x:alignment horizontal="center" wrapText="1"/>
    </x:xf>
    <x:xf numFmtId="0" fontId="52" fillId="47" borderId="23" xfId="0" applyNumberFormat="1" applyFont="1" applyFill="1" applyBorder="1" applyAlignment="1">
      <x:alignment horizontal="center" wrapText="1"/>
    </x:xf>
    <x:xf numFmtId="0" fontId="0" fillId="48" borderId="0" xfId="0" applyNumberFormat="1" applyFont="1" applyFill="1" applyBorder="1"/>
    <x:xf numFmtId="0" fontId="47" fillId="48" borderId="0" xfId="0" applyNumberFormat="1" applyFont="1" applyFill="1" applyBorder="1"/>
    <x:xf numFmtId="0" fontId="0" fillId="49" borderId="0" xfId="0" applyNumberFormat="1" applyFont="1" applyFill="1" applyBorder="1"/>
    <x:xf numFmtId="0" fontId="53" fillId="49" borderId="0" xfId="0" applyNumberFormat="1" applyFont="1" applyFill="1" applyBorder="1"/>
    <x:xf numFmtId="0" fontId="53" fillId="49" borderId="0" xfId="0" applyNumberFormat="1" applyFont="1" applyFill="1" applyBorder="1" applyAlignment="1">
      <x:alignment wrapText="1"/>
    </x:xf>
    <x:xf numFmtId="0" fontId="0" fillId="0" borderId="23" xfId="0" applyNumberFormat="1" applyFont="1" applyFill="1" applyBorder="1"/>
    <x:xf numFmtId="0" fontId="0" fillId="0" borderId="23" xfId="0" applyNumberFormat="1" applyFont="1" applyFill="1" applyBorder="1" applyAlignment="1">
      <x:alignment wrapText="1"/>
    </x:xf>
    <x:xf numFmtId="0" fontId="0" fillId="50" borderId="23" xfId="0" applyNumberFormat="1" applyFont="1" applyFill="1" applyBorder="1" applyAlignment="1">
      <x:alignment wrapText="1"/>
    </x:xf>
    <x:xf numFmtId="0" fontId="8" fillId="50" borderId="23" xfId="0" applyNumberFormat="1" applyFont="1" applyFill="1" applyBorder="1" applyAlignment="1">
      <x:alignment wrapText="1"/>
    </x:xf>
  </x:cellXfs>
  <x:cellStyles count="1">
    <x:cellStyle name="Normal" xfId="0"/>
  </x:cellStyles>
  <x:dxfs count="4">
    <x:dxf>
      <x:fill>
        <x:patternFill>
          <x:bgColor rgb="FFFCE4D6"/>
        </x:patternFill>
      </x:fill>
    </x:dxf>
    <x:dxf>
      <x:fill>
        <x:patternFill>
          <x:bgColor rgb="FFE2F4EA"/>
        </x:patternFill>
      </x:fill>
    </x:dxf>
    <x:dxf>
      <x:font>
        <x:b/>
        <x:color rgb="FF0B2545"/>
      </x:font>
      <x:fill>
        <x:patternFill>
          <x:bgColor rgb="FFFCEFD9"/>
        </x:patternFill>
      </x:fill>
    </x:dxf>
    <x:dxf>
      <x:font>
        <x:b/>
        <x:color rgb="FF0B2545"/>
      </x:font>
      <x:fill>
        <x:patternFill>
          <x:bgColor rgb="FFDFF4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9db0c4529044625" /><Relationship Type="http://schemas.openxmlformats.org/officeDocument/2006/relationships/theme" Target="/xl/theme/theme1.xml" Id="Raca4b8fc9e204e4c" /><Relationship Type="http://schemas.microsoft.com/office/2022/11/relationships/FeaturePropertyBag" Target="/xl/featurePropertyBag/featurePropertyBag.xml" Id="R7d9416e0e1b94a60" /><Relationship Type="http://schemas.openxmlformats.org/officeDocument/2006/relationships/sharedStrings" Target="/xl/sharedStrings.xml" Id="R863b71ada25644f2" /><Relationship Type="http://schemas.openxmlformats.org/officeDocument/2006/relationships/worksheet" Target="/xl/worksheets/sheet1.xml" Id="R618e8b6265234dd2" /><Relationship Type="http://schemas.openxmlformats.org/officeDocument/2006/relationships/worksheet" Target="/xl/worksheets/sheet2.xml" Id="R9512b1047c5f42be" /><Relationship Type="http://schemas.openxmlformats.org/officeDocument/2006/relationships/worksheet" Target="/xl/worksheets/sheet3.xml" Id="R842a3f08a1714c6f" /><Relationship Type="http://schemas.openxmlformats.org/officeDocument/2006/relationships/worksheet" Target="/xl/worksheets/sheet4.xml" Id="R05d073b78f2744ac" /><Relationship Type="http://schemas.openxmlformats.org/officeDocument/2006/relationships/worksheet" Target="/xl/worksheets/sheet5.xml" Id="R140bd428c7d145f0" /><Relationship Type="http://schemas.openxmlformats.org/officeDocument/2006/relationships/worksheet" Target="/xl/worksheets/sheet6.xml" Id="Re3ed3a5d27f34c85" /><Relationship Type="http://schemas.openxmlformats.org/officeDocument/2006/relationships/worksheet" Target="/xl/worksheets/sheet7.xml" Id="R134ca68a2df14097" /><Relationship Type="http://schemas.openxmlformats.org/officeDocument/2006/relationships/worksheet" Target="/xl/worksheets/sheet8.xml" Id="R842b0d2a39434b55" /><Relationship Type="http://schemas.openxmlformats.org/officeDocument/2006/relationships/worksheet" Target="/xl/worksheets/sheet9.xml" Id="R7a1285f71f94416e" /><Relationship Type="http://schemas.openxmlformats.org/officeDocument/2006/relationships/worksheet" Target="/xl/worksheets/sheet10.xml" Id="R3f818b845fc94175" /><Relationship Type="http://schemas.openxmlformats.org/officeDocument/2006/relationships/worksheet" Target="/xl/worksheets/sheet11.xml" Id="R809e397db0fd4f81" /><Relationship Type="http://schemas.openxmlformats.org/officeDocument/2006/relationships/worksheet" Target="/xl/worksheets/sheet12.xml" Id="R9f8560c1377b4a68" /><Relationship Type="http://schemas.openxmlformats.org/officeDocument/2006/relationships/worksheet" Target="/xl/worksheets/sheet13.xml" Id="Rfa94c7be1f584d06" /><Relationship Type="http://schemas.openxmlformats.org/officeDocument/2006/relationships/worksheet" Target="/xl/worksheets/sheet14.xml" Id="Rb5cdd91ae8ac4ca5" /><Relationship Type="http://schemas.openxmlformats.org/officeDocument/2006/relationships/worksheet" Target="/xl/worksheets/sheet15.xml" Id="R1233d9b352014cba" /><Relationship Type="http://schemas.openxmlformats.org/officeDocument/2006/relationships/worksheet" Target="/xl/worksheets/sheet16.xml" Id="R982c7267cece4bd7" /><Relationship Type="http://schemas.openxmlformats.org/officeDocument/2006/relationships/worksheet" Target="/xl/worksheets/sheet17.xml" Id="R694a6faee598440d" /><Relationship Type="http://schemas.openxmlformats.org/officeDocument/2006/relationships/worksheet" Target="/xl/worksheets/sheet18.xml" Id="R8f21232f0e8e4fff" /><Relationship Type="http://schemas.openxmlformats.org/officeDocument/2006/relationships/worksheet" Target="/xl/worksheets/sheet19.xml" Id="Rdabdfc28b5344f98" /><Relationship Type="http://schemas.openxmlformats.org/officeDocument/2006/relationships/worksheet" Target="/xl/worksheets/sheet20.xml" Id="R0ea74ba131ae42ab" /><Relationship Type="http://schemas.openxmlformats.org/officeDocument/2006/relationships/worksheet" Target="/xl/worksheets/sheet21.xml" Id="R5f5c454ae9764f0e" /><Relationship Type="http://schemas.openxmlformats.org/officeDocument/2006/relationships/worksheet" Target="/xl/worksheets/sheet22.xml" Id="Rcfe4c73440ca463e" /><Relationship Type="http://schemas.openxmlformats.org/officeDocument/2006/relationships/worksheet" Target="/xl/worksheets/sheet23.xml" Id="Raeb24c2ae516445c" /><Relationship Type="http://schemas.openxmlformats.org/officeDocument/2006/relationships/worksheet" Target="/xl/worksheets/sheet24.xml" Id="Rfe7d9bab25c643be" /><Relationship Type="http://schemas.openxmlformats.org/officeDocument/2006/relationships/worksheet" Target="/xl/worksheets/sheet25.xml" Id="R8903338185604e8a" /><Relationship Type="http://schemas.openxmlformats.org/officeDocument/2006/relationships/worksheet" Target="/xl/worksheets/sheet26.xml" Id="Rf8d042b0ecba44c7" /><Relationship Type="http://schemas.openxmlformats.org/officeDocument/2006/relationships/worksheet" Target="/xl/worksheets/sheet27.xml" Id="Rf9c472c64c0041eb" /><Relationship Type="http://schemas.openxmlformats.org/officeDocument/2006/relationships/worksheet" Target="/xl/worksheets/sheet28.xml" Id="R85866fce99004403" /><Relationship Type="http://schemas.openxmlformats.org/officeDocument/2006/relationships/worksheet" Target="/xl/worksheets/sheet29.xml" Id="R58437c676d3e4ee5" /><Relationship Type="http://schemas.openxmlformats.org/officeDocument/2006/relationships/worksheet" Target="/xl/worksheets/sheet30.xml" Id="R508db1624df948c7"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9efa6c678c4ecf" /><Relationship Type="http://schemas.openxmlformats.org/officeDocument/2006/relationships/chart" Target="/xl/drawings/charts/chart2.xml" Id="Re6bbaedf65c5472c" /><Relationship Type="http://schemas.openxmlformats.org/officeDocument/2006/relationships/chart" Target="/xl/drawings/charts/chart3.xml" Id="R117968371abe4027" /><Relationship Type="http://schemas.openxmlformats.org/officeDocument/2006/relationships/chart" Target="/xl/drawings/charts/chart4.xml" Id="Rab7035afd67c44dc" /><Relationship Type="http://schemas.openxmlformats.org/officeDocument/2006/relationships/chart" Target="/xl/drawings/charts/chart5.xml" Id="R4c8e7cd7049c465d" /><Relationship Type="http://schemas.openxmlformats.org/officeDocument/2006/relationships/chart" Target="/xl/drawings/charts/chart6.xml" Id="R89a4c4cb59f94a8f" /><Relationship Type="http://schemas.openxmlformats.org/officeDocument/2006/relationships/chart" Target="/xl/drawings/charts/chart7.xml" Id="Rf5a8767ef0ec4a11" /><Relationship Type="http://schemas.openxmlformats.org/officeDocument/2006/relationships/chart" Target="/xl/drawings/charts/chart8.xml" Id="R362b8bcb753548be" /></Relationships>
</file>

<file path=xl/drawings/_rels/drawing2.xml.rels>&#65279;<?xml version="1.0" encoding="utf-8"?><Relationships xmlns="http://schemas.openxmlformats.org/package/2006/relationships"><Relationship Type="http://schemas.openxmlformats.org/officeDocument/2006/relationships/chart" Target="/xl/drawings/charts/chart9.xml" Id="R6710e5f9c94b44fc" /><Relationship Type="http://schemas.openxmlformats.org/officeDocument/2006/relationships/chart" Target="/xl/drawings/charts/chart10.xml" Id="R135817a1a01e4c95" /><Relationship Type="http://schemas.openxmlformats.org/officeDocument/2006/relationships/chart" Target="/xl/drawings/charts/chart11.xml" Id="Red3b8575c5f84d98" /><Relationship Type="http://schemas.openxmlformats.org/officeDocument/2006/relationships/chart" Target="/xl/drawings/charts/chart12.xml" Id="R49deaa52b7094309" /><Relationship Type="http://schemas.openxmlformats.org/officeDocument/2006/relationships/chart" Target="/xl/drawings/charts/chart13.xml" Id="R276d6fb7f4734ed4" /><Relationship Type="http://schemas.openxmlformats.org/officeDocument/2006/relationships/chart" Target="/xl/drawings/charts/chart14.xml" Id="Rc4c3305500254234" /><Relationship Type="http://schemas.openxmlformats.org/officeDocument/2006/relationships/chart" Target="/xl/drawings/charts/chart15.xml" Id="R72a9e7cf4fac4a6f" /><Relationship Type="http://schemas.openxmlformats.org/officeDocument/2006/relationships/chart" Target="/xl/drawings/charts/chart16.xml" Id="R4d8f0c1b71ca498a" /></Relationships>
</file>

<file path=xl/drawings/_rels/drawing3.xml.rels>&#65279;<?xml version="1.0" encoding="utf-8"?><Relationships xmlns="http://schemas.openxmlformats.org/package/2006/relationships"><Relationship Type="http://schemas.openxmlformats.org/officeDocument/2006/relationships/chart" Target="/xl/drawings/charts/chart17.xml" Id="Re5370679f3694789" /><Relationship Type="http://schemas.openxmlformats.org/officeDocument/2006/relationships/chart" Target="/xl/drawings/charts/chart18.xml" Id="R9840876bcc9e444d" /><Relationship Type="http://schemas.openxmlformats.org/officeDocument/2006/relationships/chart" Target="/xl/drawings/charts/chart19.xml" Id="Rc6106c17068442fe" /><Relationship Type="http://schemas.openxmlformats.org/officeDocument/2006/relationships/chart" Target="/xl/drawings/charts/chart20.xml" Id="Re8b2e55e0c65476d" /></Relationships>
</file>

<file path=xl/drawings/_rels/drawing4.xml.rels>&#65279;<?xml version="1.0" encoding="utf-8"?><Relationships xmlns="http://schemas.openxmlformats.org/package/2006/relationships"><Relationship Type="http://schemas.openxmlformats.org/officeDocument/2006/relationships/chart" Target="/xl/drawings/charts/chart21.xml" Id="Rd9b33b1ac3d74432" /><Relationship Type="http://schemas.openxmlformats.org/officeDocument/2006/relationships/chart" Target="/xl/drawings/charts/chart22.xml" Id="R7a3e5873110644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Surface Height: Generated Topography Reference Floor, Target, and Nadir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Reference floor = generated topography</c:v>
          </c:tx>
          <c:spPr>
            <a:ln xmlns:a="http://schemas.openxmlformats.org/drawingml/2006/mai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1"/>
          <c:order val="1"/>
          <c:tx>
            <c:v>Off-nadir target terrain</c:v>
          </c:tx>
          <c:spPr>
            <a:ln xmlns:a="http://schemas.openxmlformats.org/drawingml/2006/mai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2"/>
          <c:order val="2"/>
          <c:tx>
            <c:v>Nadir terrain</c:v>
          </c:tx>
          <c:spPr>
            <a:ln xmlns:a="http://schemas.openxmlformats.org/drawingml/2006/mai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c:v>
                </c:pt>
                <c:pt idx="1">
                  <c:v>19.64511700640947</c:v>
                </c:pt>
                <c:pt idx="2">
                  <c:v>7.970448353767724</c:v>
                </c:pt>
                <c:pt idx="3">
                  <c:v>21.74731356664842</c:v>
                </c:pt>
                <c:pt idx="4">
                  <c:v>31.86691354901535</c:v>
                </c:pt>
                <c:pt idx="5">
                  <c:v>34.58634748797326</c:v>
                </c:pt>
                <c:pt idx="6">
                  <c:v>55.44088303799376</c:v>
                </c:pt>
                <c:pt idx="7">
                  <c:v>57.32564727891993</c:v>
                </c:pt>
                <c:pt idx="8">
                  <c:v>61.55956835196879</c:v>
                </c:pt>
                <c:pt idx="9">
                  <c:v>38.49658216595124</c:v>
                </c:pt>
                <c:pt idx="10">
                  <c:v>46.51195593176057</c:v>
                </c:pt>
                <c:pt idx="11">
                  <c:v>49.77469341509185</c:v>
                </c:pt>
                <c:pt idx="12">
                  <c:v>37.91568406723211</c:v>
                </c:pt>
                <c:pt idx="13">
                  <c:v>49.30569233360873</c:v>
                </c:pt>
                <c:pt idx="14">
                  <c:v>54.96182668326468</c:v>
                </c:pt>
                <c:pt idx="15">
                  <c:v>41.91353942684466</c:v>
                </c:pt>
                <c:pt idx="16">
                  <c:v>44.0092440465048</c:v>
                </c:pt>
                <c:pt idx="17">
                  <c:v>32.49161928310632</c:v>
                </c:pt>
                <c:pt idx="18">
                  <c:v>39.10881658677256</c:v>
                </c:pt>
                <c:pt idx="19">
                  <c:v>47.99583170220943</c:v>
                </c:pt>
                <c:pt idx="20">
                  <c:v>29.03441966438908</c:v>
                </c:pt>
                <c:pt idx="21">
                  <c:v>51.90461728837901</c:v>
                </c:pt>
                <c:pt idx="22">
                  <c:v>39.64300304421553</c:v>
                </c:pt>
                <c:pt idx="23">
                  <c:v>40.32936018728046</c:v>
                </c:pt>
                <c:pt idx="24">
                  <c:v>55.67705400563339</c:v>
                </c:pt>
                <c:pt idx="25">
                  <c:v>53.97495918560951</c:v>
                </c:pt>
                <c:pt idx="26">
                  <c:v>61.21344274775934</c:v>
                </c:pt>
                <c:pt idx="27">
                  <c:v>57.529820703344</c:v>
                </c:pt>
                <c:pt idx="28">
                  <c:v>49.53962065283257</c:v>
                </c:pt>
                <c:pt idx="29">
                  <c:v>36.88291850821592</c:v>
                </c:pt>
                <c:pt idx="30">
                  <c:v>46.59917835352822</c:v>
                </c:pt>
                <c:pt idx="31">
                  <c:v>27.91531821493412</c:v>
                </c:pt>
                <c:pt idx="32">
                  <c:v>18.82539201019003</c:v>
                </c:pt>
                <c:pt idx="33">
                  <c:v>22.55480739682735</c:v>
                </c:pt>
                <c:pt idx="34">
                  <c:v>3.69479063881065</c:v>
                </c:pt>
                <c:pt idx="35">
                  <c:v>9.477549494288523</c:v>
                </c:pt>
                <c:pt idx="36">
                  <c:v>-8.691303525994272</c:v>
                </c:pt>
                <c:pt idx="37">
                  <c:v>-15.79255541476989</c:v>
                </c:pt>
                <c:pt idx="38">
                  <c:v>-17.88626699668162</c:v>
                </c:pt>
                <c:pt idx="39">
                  <c:v>-15.04297747430343</c:v>
                </c:pt>
                <c:pt idx="40">
                  <c:v>-31.23171106427489</c:v>
                </c:pt>
                <c:pt idx="41">
                  <c:v>-33.24115132609855</c:v>
                </c:pt>
                <c:pt idx="42">
                  <c:v>-32.02020136507765</c:v>
                </c:pt>
                <c:pt idx="43">
                  <c:v>-34.29538414795402</c:v>
                </c:pt>
                <c:pt idx="44">
                  <c:v>-21.15737906152213</c:v>
                </c:pt>
                <c:pt idx="45">
                  <c:v>-18.69341167436205</c:v>
                </c:pt>
                <c:pt idx="46">
                  <c:v>-25.83766278531854</c:v>
                </c:pt>
                <c:pt idx="47">
                  <c:v>-21.54803532318482</c:v>
                </c:pt>
                <c:pt idx="48">
                  <c:v>-2.286662206392558</c:v>
                </c:pt>
                <c:pt idx="49">
                  <c:v>-0.6339718611461809</c:v>
                </c:pt>
                <c:pt idx="50">
                  <c:v>-9.708529731781153</c:v>
                </c:pt>
                <c:pt idx="51">
                  <c:v>-9.85965082687293</c:v>
                </c:pt>
                <c:pt idx="52">
                  <c:v>0.233219012771956</c:v>
                </c:pt>
                <c:pt idx="53">
                  <c:v>8.500195567439437</c:v>
                </c:pt>
                <c:pt idx="54">
                  <c:v>12.88497261730699</c:v>
                </c:pt>
                <c:pt idx="55">
                  <c:v>14.19690676536596</c:v>
                </c:pt>
                <c:pt idx="56">
                  <c:v>5.730826646134426</c:v>
                </c:pt>
                <c:pt idx="57">
                  <c:v>9.295817115602365</c:v>
                </c:pt>
                <c:pt idx="58">
                  <c:v>-13.18958267522941</c:v>
                </c:pt>
                <c:pt idx="59">
                  <c:v>-7.467318037700602</c:v>
                </c:pt>
                <c:pt idx="60">
                  <c:v>-17.51801383367201</c:v>
                </c:pt>
                <c:pt idx="61">
                  <c:v>-36.16787829777626</c:v>
                </c:pt>
                <c:pt idx="62">
                  <c:v>-22.86382175599607</c:v>
                </c:pt>
                <c:pt idx="63">
                  <c:v>-29.73137452027505</c:v>
                </c:pt>
                <c:pt idx="64">
                  <c:v>-53.01751827704016</c:v>
                </c:pt>
                <c:pt idx="65">
                  <c:v>-63.02108594889231</c:v>
                </c:pt>
                <c:pt idx="66">
                  <c:v>-69.67153928411518</c:v>
                </c:pt>
                <c:pt idx="67">
                  <c:v>-78.11942002863731</c:v>
                </c:pt>
                <c:pt idx="68">
                  <c:v>-82.17349441978894</c:v>
                </c:pt>
                <c:pt idx="69">
                  <c:v>-104.3181370193013</c:v>
                </c:pt>
                <c:pt idx="70">
                  <c:v>-97.5529758835811</c:v>
                </c:pt>
                <c:pt idx="71">
                  <c:v>-113.6158285193004</c:v>
                </c:pt>
                <c:pt idx="72">
                  <c:v>-111.4885369071169</c:v>
                </c:pt>
                <c:pt idx="73">
                  <c:v>-125.6516279464796</c:v>
                </c:pt>
                <c:pt idx="74">
                  <c:v>-132.5457898426781</c:v>
                </c:pt>
                <c:pt idx="75">
                  <c:v>-138.29494668429</c:v>
                </c:pt>
                <c:pt idx="76">
                  <c:v>-144.0992283446906</c:v>
                </c:pt>
                <c:pt idx="77">
                  <c:v>-156.9345481530768</c:v>
                </c:pt>
                <c:pt idx="78">
                  <c:v>-142.377949921966</c:v>
                </c:pt>
                <c:pt idx="79">
                  <c:v>-140.5508651158499</c:v>
                </c:pt>
                <c:pt idx="80">
                  <c:v>-146.3282218712658</c:v>
                </c:pt>
                <c:pt idx="81">
                  <c:v>-140.0483381286437</c:v>
                </c:pt>
                <c:pt idx="82">
                  <c:v>-144.8835230998442</c:v>
                </c:pt>
                <c:pt idx="83">
                  <c:v>-136.6636656046221</c:v>
                </c:pt>
                <c:pt idx="84">
                  <c:v>-149.1225987749559</c:v>
                </c:pt>
                <c:pt idx="85">
                  <c:v>-139.0731304771746</c:v>
                </c:pt>
                <c:pt idx="86">
                  <c:v>-125.708748998396</c:v>
                </c:pt>
                <c:pt idx="87">
                  <c:v>-123.8686135723571</c:v>
                </c:pt>
                <c:pt idx="88">
                  <c:v>-97.48037396441562</c:v>
                </c:pt>
                <c:pt idx="89">
                  <c:v>-109.3171297207138</c:v>
                </c:pt>
                <c:pt idx="90">
                  <c:v>-90.49530902944495</c:v>
                </c:pt>
                <c:pt idx="91">
                  <c:v>-86.65248482679937</c:v>
                </c:pt>
                <c:pt idx="92">
                  <c:v>-84.36597258140502</c:v>
                </c:pt>
                <c:pt idx="93">
                  <c:v>-61.03205493353448</c:v>
                </c:pt>
                <c:pt idx="94">
                  <c:v>-64.09243482429542</c:v>
                </c:pt>
                <c:pt idx="95">
                  <c:v>-70.18392228131138</c:v>
                </c:pt>
                <c:pt idx="96">
                  <c:v>-47.55794552962975</c:v>
                </c:pt>
                <c:pt idx="97">
                  <c:v>-48.06780811544866</c:v>
                </c:pt>
                <c:pt idx="98">
                  <c:v>-43.28983557333215</c:v>
                </c:pt>
                <c:pt idx="99">
                  <c:v>-52.09631463655199</c:v>
                </c:pt>
                <c:pt idx="100">
                  <c:v>-49.42313152111188</c:v>
                </c:pt>
                <c:pt idx="101">
                  <c:v>-32.2775579750835</c:v>
                </c:pt>
                <c:pt idx="102">
                  <c:v>-47.4214748383975</c:v>
                </c:pt>
                <c:pt idx="103">
                  <c:v>-61.84832289166857</c:v>
                </c:pt>
                <c:pt idx="104">
                  <c:v>-39.34099577037003</c:v>
                </c:pt>
                <c:pt idx="105">
                  <c:v>-43.22381145165265</c:v>
                </c:pt>
                <c:pt idx="106">
                  <c:v>-48.04634011268098</c:v>
                </c:pt>
                <c:pt idx="107">
                  <c:v>-59.46630365560559</c:v>
                </c:pt>
                <c:pt idx="108">
                  <c:v>-61.09864536071647</c:v>
                </c:pt>
                <c:pt idx="109">
                  <c:v>-63.59054434613801</c:v>
                </c:pt>
                <c:pt idx="110">
                  <c:v>-73.64560445817172</c:v>
                </c:pt>
                <c:pt idx="111">
                  <c:v>-73.08935088189128</c:v>
                </c:pt>
                <c:pt idx="112">
                  <c:v>-74.23673097551541</c:v>
                </c:pt>
                <c:pt idx="113">
                  <c:v>-78.64906809360804</c:v>
                </c:pt>
                <c:pt idx="114">
                  <c:v>-67.68197739460362</c:v>
                </c:pt>
                <c:pt idx="115">
                  <c:v>-49.83449295863612</c:v>
                </c:pt>
                <c:pt idx="116">
                  <c:v>-59.60727995622125</c:v>
                </c:pt>
                <c:pt idx="117">
                  <c:v>-34.15455011761312</c:v>
                </c:pt>
                <c:pt idx="118">
                  <c:v>-38.26579288799343</c:v>
                </c:pt>
                <c:pt idx="119">
                  <c:v>-15.94982819545798</c:v>
                </c:pt>
                <c:pt idx="120">
                  <c:v>-4.948127387128106</c:v>
                </c:pt>
                <c:pt idx="121">
                  <c:v>2.259569132321303</c:v>
                </c:pt>
                <c:pt idx="122">
                  <c:v>43.07644622126787</c:v>
                </c:pt>
                <c:pt idx="123">
                  <c:v>46.8149548284789</c:v>
                </c:pt>
                <c:pt idx="124">
                  <c:v>65.55817790320465</c:v>
                </c:pt>
                <c:pt idx="125">
                  <c:v>70.90088362648228</c:v>
                </c:pt>
                <c:pt idx="126">
                  <c:v>82.12086586426281</c:v>
                </c:pt>
                <c:pt idx="127">
                  <c:v>98.61636326587373</c:v>
                </c:pt>
                <c:pt idx="128">
                  <c:v>96.36311355528144</c:v>
                </c:pt>
                <c:pt idx="129">
                  <c:v>82.51998590748882</c:v>
                </c:pt>
                <c:pt idx="130">
                  <c:v>98.94976350623145</c:v>
                </c:pt>
                <c:pt idx="131">
                  <c:v>97.11441747768893</c:v>
                </c:pt>
                <c:pt idx="132">
                  <c:v>70.34255347941284</c:v>
                </c:pt>
                <c:pt idx="133">
                  <c:v>77.64795080795966</c:v>
                </c:pt>
                <c:pt idx="134">
                  <c:v>66.91550989907311</c:v>
                </c:pt>
                <c:pt idx="135">
                  <c:v>56.20203743694557</c:v>
                </c:pt>
                <c:pt idx="136">
                  <c:v>45.99320506201067</c:v>
                </c:pt>
                <c:pt idx="137">
                  <c:v>35.42120810065494</c:v>
                </c:pt>
                <c:pt idx="138">
                  <c:v>29.62814972124355</c:v>
                </c:pt>
                <c:pt idx="139">
                  <c:v>5.649927018638348</c:v>
                </c:pt>
                <c:pt idx="140">
                  <c:v>-8.569441618173812</c:v>
                </c:pt>
                <c:pt idx="141">
                  <c:v>4.936290407774814</c:v>
                </c:pt>
                <c:pt idx="142">
                  <c:v>1.940367838437304</c:v>
                </c:pt>
                <c:pt idx="143">
                  <c:v>4.044824683821267</c:v>
                </c:pt>
                <c:pt idx="144">
                  <c:v>7.073891806129688</c:v>
                </c:pt>
                <c:pt idx="145">
                  <c:v>-5.687454175445142</c:v>
                </c:pt>
                <c:pt idx="146">
                  <c:v>-3.618490966575764</c:v>
                </c:pt>
                <c:pt idx="147">
                  <c:v>0.04576132524433074</c:v>
                </c:pt>
                <c:pt idx="148">
                  <c:v>17.14805919414721</c:v>
                </c:pt>
                <c:pt idx="149">
                  <c:v>27.32542795072857</c:v>
                </c:pt>
                <c:pt idx="150">
                  <c:v>45.36290563914056</c:v>
                </c:pt>
                <c:pt idx="151">
                  <c:v>49.09017964195046</c:v>
                </c:pt>
                <c:pt idx="152">
                  <c:v>69.7201880441823</c:v>
                </c:pt>
                <c:pt idx="153">
                  <c:v>71.50919840907298</c:v>
                </c:pt>
                <c:pt idx="154">
                  <c:v>58.58618709398458</c:v>
                </c:pt>
                <c:pt idx="155">
                  <c:v>65.71226511619231</c:v>
                </c:pt>
                <c:pt idx="156">
                  <c:v>70.50298613715029</c:v>
                </c:pt>
                <c:pt idx="157">
                  <c:v>84.15381309689964</c:v>
                </c:pt>
                <c:pt idx="158">
                  <c:v>87.79516149602648</c:v>
                </c:pt>
                <c:pt idx="159">
                  <c:v>80.08578782325549</c:v>
                </c:pt>
                <c:pt idx="160">
                  <c:v>74.3316686390942</c:v>
                </c:pt>
                <c:pt idx="161">
                  <c:v>77.08298836787891</c:v>
                </c:pt>
                <c:pt idx="162">
                  <c:v>84.6060805836893</c:v>
                </c:pt>
                <c:pt idx="163">
                  <c:v>83.65167434978589</c:v>
                </c:pt>
                <c:pt idx="164">
                  <c:v>73.3658982637227</c:v>
                </c:pt>
                <c:pt idx="165">
                  <c:v>73.86322008676284</c:v>
                </c:pt>
                <c:pt idx="166">
                  <c:v>61.78154835850567</c:v>
                </c:pt>
                <c:pt idx="167">
                  <c:v>70.98866885242666</c:v>
                </c:pt>
                <c:pt idx="168">
                  <c:v>75.46815017056922</c:v>
                </c:pt>
                <c:pt idx="169">
                  <c:v>80.2881627342364</c:v>
                </c:pt>
                <c:pt idx="170">
                  <c:v>61.49854851819155</c:v>
                </c:pt>
                <c:pt idx="171">
                  <c:v>67.90188044896082</c:v>
                </c:pt>
                <c:pt idx="172">
                  <c:v>65.03267186217182</c:v>
                </c:pt>
                <c:pt idx="173">
                  <c:v>69.51659821200863</c:v>
                </c:pt>
                <c:pt idx="174">
                  <c:v>64.45446968061479</c:v>
                </c:pt>
                <c:pt idx="175">
                  <c:v>45.78588130375909</c:v>
                </c:pt>
                <c:pt idx="176">
                  <c:v>58.94439177362671</c:v>
                </c:pt>
                <c:pt idx="177">
                  <c:v>53.72705851492565</c:v>
                </c:pt>
                <c:pt idx="178">
                  <c:v>29.3621575955436</c:v>
                </c:pt>
                <c:pt idx="179">
                  <c:v>20.44582998899722</c:v>
                </c:pt>
                <c:pt idx="180">
                  <c:v>11.87911851420792</c:v>
                </c:pt>
                <c:pt idx="181">
                  <c:v>4.284803604386866</c:v>
                </c:pt>
                <c:pt idx="182">
                  <c:v>18.69232906138116</c:v>
                </c:pt>
                <c:pt idx="183">
                  <c:v>18.57980727911043</c:v>
                </c:pt>
                <c:pt idx="184">
                  <c:v>-1.358831660336268</c:v>
                </c:pt>
                <c:pt idx="185">
                  <c:v>5.846843018322446</c:v>
                </c:pt>
                <c:pt idx="186">
                  <c:v>-3.610290991247414</c:v>
                </c:pt>
                <c:pt idx="187">
                  <c:v>2.819381892846678</c:v>
                </c:pt>
                <c:pt idx="188">
                  <c:v>9.90157819415245</c:v>
                </c:pt>
                <c:pt idx="189">
                  <c:v>22.30619072538792</c:v>
                </c:pt>
                <c:pt idx="190">
                  <c:v>28.92396994213728</c:v>
                </c:pt>
                <c:pt idx="191">
                  <c:v>32.22761625647836</c:v>
                </c:pt>
                <c:pt idx="192">
                  <c:v>45.422536466318</c:v>
                </c:pt>
                <c:pt idx="193">
                  <c:v>44.98219479969489</c:v>
                </c:pt>
                <c:pt idx="194">
                  <c:v>58.36098804305038</c:v>
                </c:pt>
                <c:pt idx="195">
                  <c:v>56.08108474403666</c:v>
                </c:pt>
                <c:pt idx="196">
                  <c:v>74.89136844725374</c:v>
                </c:pt>
                <c:pt idx="197">
                  <c:v>81.22943665181958</c:v>
                </c:pt>
                <c:pt idx="198">
                  <c:v>82.75771702731363</c:v>
                </c:pt>
                <c:pt idx="199">
                  <c:v>76.31271490051972</c:v>
                </c:pt>
                <c:pt idx="200">
                  <c:v>66.26609020115302</c:v>
                </c:pt>
                <c:pt idx="201">
                  <c:v>60.15220516620921</c:v>
                </c:pt>
                <c:pt idx="202">
                  <c:v>52.60933898915909</c:v>
                </c:pt>
                <c:pt idx="203">
                  <c:v>58.38095189793533</c:v>
                </c:pt>
                <c:pt idx="204">
                  <c:v>34.52124211278962</c:v>
                </c:pt>
                <c:pt idx="205">
                  <c:v>40.25127636090155</c:v>
                </c:pt>
                <c:pt idx="206">
                  <c:v>33.32797910139238</c:v>
                </c:pt>
                <c:pt idx="207">
                  <c:v>20.5229483315575</c:v>
                </c:pt>
                <c:pt idx="208">
                  <c:v>7.051899638145716</c:v>
                </c:pt>
                <c:pt idx="209">
                  <c:v>-3.283716108943903</c:v>
                </c:pt>
                <c:pt idx="210">
                  <c:v>-4.7462079682678</c:v>
                </c:pt>
                <c:pt idx="211">
                  <c:v>-4.954776418919145</c:v>
                </c:pt>
                <c:pt idx="212">
                  <c:v>-0.04819256513620118</c:v>
                </c:pt>
                <c:pt idx="213">
                  <c:v>-12.32376640540756</c:v>
                </c:pt>
                <c:pt idx="214">
                  <c:v>5.624733438492097</c:v>
                </c:pt>
                <c:pt idx="215">
                  <c:v>4.725819493947934</c:v>
                </c:pt>
                <c:pt idx="216">
                  <c:v>-9.076914728959792</c:v>
                </c:pt>
                <c:pt idx="217">
                  <c:v>-2.040872790044316</c:v>
                </c:pt>
                <c:pt idx="218">
                  <c:v>10.43102720072224</c:v>
                </c:pt>
                <c:pt idx="219">
                  <c:v>-2.269930409454258</c:v>
                </c:pt>
                <c:pt idx="220">
                  <c:v>8.17258837755962</c:v>
                </c:pt>
                <c:pt idx="221">
                  <c:v>7.175411887720236</c:v>
                </c:pt>
                <c:pt idx="222">
                  <c:v>11.52523773866463</c:v>
                </c:pt>
                <c:pt idx="223">
                  <c:v>-4.550946531916537</c:v>
                </c:pt>
                <c:pt idx="224">
                  <c:v>-7.850949021571967</c:v>
                </c:pt>
                <c:pt idx="225">
                  <c:v>6.588346931965201</c:v>
                </c:pt>
                <c:pt idx="226">
                  <c:v>4.508396540761183</c:v>
                </c:pt>
                <c:pt idx="227">
                  <c:v>-0.1280560890739677</c:v>
                </c:pt>
                <c:pt idx="228">
                  <c:v>-7.852837825142384</c:v>
                </c:pt>
                <c:pt idx="229">
                  <c:v>-10.88592803052483</c:v>
                </c:pt>
                <c:pt idx="230">
                  <c:v>-2.739157825135949</c:v>
                </c:pt>
                <c:pt idx="231">
                  <c:v>-6.538094280084824</c:v>
                </c:pt>
                <c:pt idx="232">
                  <c:v>-4.357290177669684</c:v>
                </c:pt>
                <c:pt idx="233">
                  <c:v>21.715435034758</c:v>
                </c:pt>
                <c:pt idx="234">
                  <c:v>18.4135707545088</c:v>
                </c:pt>
                <c:pt idx="235">
                  <c:v>25.96877622316748</c:v>
                </c:pt>
                <c:pt idx="236">
                  <c:v>30.07018211325375</c:v>
                </c:pt>
                <c:pt idx="237">
                  <c:v>28.42529751808166</c:v>
                </c:pt>
                <c:pt idx="238">
                  <c:v>25.68701520498163</c:v>
                </c:pt>
                <c:pt idx="239">
                  <c:v>45.68157707931567</c:v>
                </c:pt>
                <c:pt idx="240">
                  <c:v>31.89413090916895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4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Apparent Depth: Spacecraft Motion Distortion by Run</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Native_Chart_Data!$A$248:$A$488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Native_Chart_Data!$B$248:$B$488</c:f>
              <c:numCache>
                <c:formatCode>General</c:formatCode>
                <c:ptCount val="241"/>
                <c:pt idx="0">
                  <c:v>-28.60683575205121</c:v>
                </c:pt>
                <c:pt idx="1">
                  <c:v>-27.78286314959087</c:v>
                </c:pt>
                <c:pt idx="2">
                  <c:v>-26.87743448522451</c:v>
                </c:pt>
                <c:pt idx="3">
                  <c:v>-26.09146951146931</c:v>
                </c:pt>
                <c:pt idx="4">
                  <c:v>-25.32298739184625</c:v>
                </c:pt>
                <c:pt idx="5">
                  <c:v>-24.47902381513677</c:v>
                </c:pt>
                <c:pt idx="6">
                  <c:v>-23.74684466008694</c:v>
                </c:pt>
                <c:pt idx="7">
                  <c:v>-23.03135332022248</c:v>
                </c:pt>
                <c:pt idx="8">
                  <c:v>-22.24605982589537</c:v>
                </c:pt>
                <c:pt idx="9">
                  <c:v>-21.56519744727166</c:v>
                </c:pt>
                <c:pt idx="10">
                  <c:v>-20.90024248669988</c:v>
                </c:pt>
                <c:pt idx="11">
                  <c:v>-20.17087555141279</c:v>
                </c:pt>
                <c:pt idx="12">
                  <c:v>-19.53890712421207</c:v>
                </c:pt>
                <c:pt idx="13">
                  <c:v>-18.92208078858994</c:v>
                </c:pt>
                <c:pt idx="14">
                  <c:v>-18.24594987093087</c:v>
                </c:pt>
                <c:pt idx="15">
                  <c:v>-17.6605001139551</c:v>
                </c:pt>
                <c:pt idx="16">
                  <c:v>-17.08944261679972</c:v>
                </c:pt>
                <c:pt idx="17">
                  <c:v>-16.46391163953194</c:v>
                </c:pt>
                <c:pt idx="18">
                  <c:v>-15.92265412907363</c:v>
                </c:pt>
                <c:pt idx="19">
                  <c:v>-15.39505495210642</c:v>
                </c:pt>
                <c:pt idx="20">
                  <c:v>-14.81754376156414</c:v>
                </c:pt>
                <c:pt idx="21">
                  <c:v>-14.31820222048145</c:v>
                </c:pt>
                <c:pt idx="22">
                  <c:v>-13.83180140237528</c:v>
                </c:pt>
                <c:pt idx="23">
                  <c:v>-13.29978720888084</c:v>
                </c:pt>
                <c:pt idx="24">
                  <c:v>-12.84013677697476</c:v>
                </c:pt>
                <c:pt idx="25">
                  <c:v>-12.39272618006999</c:v>
                </c:pt>
                <c:pt idx="26">
                  <c:v>-11.90374496671757</c:v>
                </c:pt>
                <c:pt idx="27">
                  <c:v>-11.48161345618246</c:v>
                </c:pt>
                <c:pt idx="28">
                  <c:v>-11.0710380019982</c:v>
                </c:pt>
                <c:pt idx="29">
                  <c:v>-10.62268592348209</c:v>
                </c:pt>
                <c:pt idx="30">
                  <c:v>-10.23595503838396</c:v>
                </c:pt>
                <c:pt idx="31">
                  <c:v>-9.86011393674653</c:v>
                </c:pt>
                <c:pt idx="32">
                  <c:v>-9.45004867322723</c:v>
                </c:pt>
                <c:pt idx="33">
                  <c:v>-9.096655219469085</c:v>
                </c:pt>
                <c:pt idx="34">
                  <c:v>-8.753503156986426</c:v>
                </c:pt>
                <c:pt idx="35">
                  <c:v>-8.379445258978194</c:v>
                </c:pt>
                <c:pt idx="36">
                  <c:v>-8.057382321536807</c:v>
                </c:pt>
                <c:pt idx="37">
                  <c:v>-7.744930637363723</c:v>
                </c:pt>
                <c:pt idx="38">
                  <c:v>-7.404664824446172</c:v>
                </c:pt>
                <c:pt idx="39">
                  <c:v>-7.111982920109767</c:v>
                </c:pt>
                <c:pt idx="40">
                  <c:v>-6.828300748499714</c:v>
                </c:pt>
                <c:pt idx="41">
                  <c:v>-6.51967719021377</c:v>
                </c:pt>
                <c:pt idx="42">
                  <c:v>-6.254485391421895</c:v>
                </c:pt>
                <c:pt idx="43">
                  <c:v>-5.997700776976217</c:v>
                </c:pt>
                <c:pt idx="44">
                  <c:v>-5.718636339065142</c:v>
                </c:pt>
                <c:pt idx="45">
                  <c:v>-5.479103372775171</c:v>
                </c:pt>
                <c:pt idx="46">
                  <c:v>-5.247404357237883</c:v>
                </c:pt>
                <c:pt idx="47">
                  <c:v>-4.995883813084447</c:v>
                </c:pt>
                <c:pt idx="48">
                  <c:v>-4.780239127223922</c:v>
                </c:pt>
                <c:pt idx="49">
                  <c:v>-4.571874809995052</c:v>
                </c:pt>
                <c:pt idx="50">
                  <c:v>-4.345952012872885</c:v>
                </c:pt>
                <c:pt idx="51">
                  <c:v>-4.152486814658005</c:v>
                </c:pt>
                <c:pt idx="52">
                  <c:v>-3.965768378529674</c:v>
                </c:pt>
                <c:pt idx="53">
                  <c:v>-3.763567414630188</c:v>
                </c:pt>
                <c:pt idx="54">
                  <c:v>-3.590635671074324</c:v>
                </c:pt>
                <c:pt idx="55">
                  <c:v>-3.423937371721422</c:v>
                </c:pt>
                <c:pt idx="56">
                  <c:v>-3.243653659340225</c:v>
                </c:pt>
                <c:pt idx="57">
                  <c:v>-3.089673071670859</c:v>
                </c:pt>
                <c:pt idx="58">
                  <c:v>-2.941433207470027</c:v>
                </c:pt>
                <c:pt idx="59">
                  <c:v>-2.781334565247334</c:v>
                </c:pt>
                <c:pt idx="60">
                  <c:v>-2.644787506822922</c:v>
                </c:pt>
                <c:pt idx="61">
                  <c:v>-2.513509340354176</c:v>
                </c:pt>
                <c:pt idx="62">
                  <c:v>-2.371937016364882</c:v>
                </c:pt>
                <c:pt idx="63">
                  <c:v>-2.251371436165755</c:v>
                </c:pt>
                <c:pt idx="64">
                  <c:v>-2.13562408544135</c:v>
                </c:pt>
                <c:pt idx="65">
                  <c:v>-2.010993750804801</c:v>
                </c:pt>
                <c:pt idx="66">
                  <c:v>-1.905024041508568</c:v>
                </c:pt>
                <c:pt idx="67">
                  <c:v>-1.803443336009423</c:v>
                </c:pt>
                <c:pt idx="68">
                  <c:v>-1.694246029607257</c:v>
                </c:pt>
                <c:pt idx="69">
                  <c:v>-1.601553853415453</c:v>
                </c:pt>
                <c:pt idx="70">
                  <c:v>-1.512843152252799</c:v>
                </c:pt>
                <c:pt idx="71">
                  <c:v>-1.417646187861919</c:v>
                </c:pt>
                <c:pt idx="72">
                  <c:v>-1.336981274958362</c:v>
                </c:pt>
                <c:pt idx="73">
                  <c:v>-1.259912249236322</c:v>
                </c:pt>
                <c:pt idx="74">
                  <c:v>-1.177360076066975</c:v>
                </c:pt>
                <c:pt idx="75">
                  <c:v>-1.107540974471704</c:v>
                </c:pt>
                <c:pt idx="76">
                  <c:v>-1.040954345966043</c:v>
                </c:pt>
                <c:pt idx="77">
                  <c:v>-0.9697693759256936</c:v>
                </c:pt>
                <c:pt idx="78">
                  <c:v>-0.9096841644008009</c:v>
                </c:pt>
                <c:pt idx="79">
                  <c:v>-0.8524904108952569</c:v>
                </c:pt>
                <c:pt idx="80">
                  <c:v>-0.791473780832689</c:v>
                </c:pt>
                <c:pt idx="81">
                  <c:v>-0.7400807499819848</c:v>
                </c:pt>
                <c:pt idx="82">
                  <c:v>-0.6912607618419315</c:v>
                </c:pt>
                <c:pt idx="83">
                  <c:v>-0.6392930692547907</c:v>
                </c:pt>
                <c:pt idx="84">
                  <c:v>-0.5956213488765343</c:v>
                </c:pt>
                <c:pt idx="85">
                  <c:v>-0.554227051803764</c:v>
                </c:pt>
                <c:pt idx="86">
                  <c:v>-0.5102690384285324</c:v>
                </c:pt>
                <c:pt idx="87">
                  <c:v>-0.4734191912100414</c:v>
                </c:pt>
                <c:pt idx="88">
                  <c:v>-0.4385741250238198</c:v>
                </c:pt>
                <c:pt idx="89">
                  <c:v>-0.4016673031354685</c:v>
                </c:pt>
                <c:pt idx="90">
                  <c:v>-0.3708118751720804</c:v>
                </c:pt>
                <c:pt idx="91">
                  <c:v>-0.3417117286797975</c:v>
                </c:pt>
                <c:pt idx="92">
                  <c:v>-0.3109789747541072</c:v>
                </c:pt>
                <c:pt idx="93">
                  <c:v>-0.2853629991561775</c:v>
                </c:pt>
                <c:pt idx="94">
                  <c:v>-0.2612761018814354</c:v>
                </c:pt>
                <c:pt idx="95">
                  <c:v>-0.235922191114355</c:v>
                </c:pt>
                <c:pt idx="96">
                  <c:v>-0.2148636522076686</c:v>
                </c:pt>
                <c:pt idx="97">
                  <c:v>-0.1951314257202057</c:v>
                </c:pt>
                <c:pt idx="98">
                  <c:v>-0.1744435194766538</c:v>
                </c:pt>
                <c:pt idx="99">
                  <c:v>-0.1573337744011951</c:v>
                </c:pt>
                <c:pt idx="100">
                  <c:v>-0.1413711323606321</c:v>
                </c:pt>
                <c:pt idx="101">
                  <c:v>-0.1247192180723005</c:v>
                </c:pt>
                <c:pt idx="102">
                  <c:v>-0.1110233672866343</c:v>
                </c:pt>
                <c:pt idx="103">
                  <c:v>-0.09831908205035234</c:v>
                </c:pt>
                <c:pt idx="104">
                  <c:v>-0.08515635971855318</c:v>
                </c:pt>
                <c:pt idx="105">
                  <c:v>-0.07441357867173792</c:v>
                </c:pt>
                <c:pt idx="106">
                  <c:v>-0.06453059099612801</c:v>
                </c:pt>
                <c:pt idx="107">
                  <c:v>-0.05439381022904399</c:v>
                </c:pt>
                <c:pt idx="108">
                  <c:v>-0.04621763118234412</c:v>
                </c:pt>
                <c:pt idx="109">
                  <c:v>-0.03879332262363278</c:v>
                </c:pt>
                <c:pt idx="110">
                  <c:v>-0.0313030724098553</c:v>
                </c:pt>
                <c:pt idx="111">
                  <c:v>-0.02538162771395491</c:v>
                </c:pt>
                <c:pt idx="112">
                  <c:v>-0.02012804017840608</c:v>
                </c:pt>
                <c:pt idx="113">
                  <c:v>-0.01498897683529776</c:v>
                </c:pt>
                <c:pt idx="114">
                  <c:v>-0.0110851852361975</c:v>
                </c:pt>
                <c:pt idx="115">
                  <c:v>-0.007789207541122778</c:v>
                </c:pt>
                <c:pt idx="116">
                  <c:v>-0.00479024185108301</c:v>
                </c:pt>
                <c:pt idx="117">
                  <c:v>-0.002741960690059386</c:v>
                </c:pt>
                <c:pt idx="118">
                  <c:v>-0.001265452661527888</c:v>
                </c:pt>
                <c:pt idx="119">
                  <c:v>-0.0002798786321136504</c:v>
                </c:pt>
                <c:pt idx="120">
                  <c:v>0</c:v>
                </c:pt>
                <c:pt idx="121">
                  <c:v>-0.0002798786321136504</c:v>
                </c:pt>
                <c:pt idx="122">
                  <c:v>-0.001265452661527888</c:v>
                </c:pt>
                <c:pt idx="123">
                  <c:v>-0.002741960690059386</c:v>
                </c:pt>
                <c:pt idx="124">
                  <c:v>-0.00479024185108301</c:v>
                </c:pt>
                <c:pt idx="125">
                  <c:v>-0.007789207541122778</c:v>
                </c:pt>
                <c:pt idx="126">
                  <c:v>-0.0110851852361975</c:v>
                </c:pt>
                <c:pt idx="127">
                  <c:v>-0.01498897683529776</c:v>
                </c:pt>
                <c:pt idx="128">
                  <c:v>-0.02012804017840608</c:v>
                </c:pt>
                <c:pt idx="129">
                  <c:v>-0.02538162771395491</c:v>
                </c:pt>
                <c:pt idx="130">
                  <c:v>-0.0313030724098553</c:v>
                </c:pt>
                <c:pt idx="131">
                  <c:v>-0.03879332262363278</c:v>
                </c:pt>
                <c:pt idx="132">
                  <c:v>-0.04621763118234412</c:v>
                </c:pt>
                <c:pt idx="133">
                  <c:v>-0.05439381022904399</c:v>
                </c:pt>
                <c:pt idx="134">
                  <c:v>-0.06453059099612801</c:v>
                </c:pt>
                <c:pt idx="135">
                  <c:v>-0.07441357867173792</c:v>
                </c:pt>
                <c:pt idx="136">
                  <c:v>-0.08515635971855318</c:v>
                </c:pt>
                <c:pt idx="137">
                  <c:v>-0.09831908205035234</c:v>
                </c:pt>
                <c:pt idx="138">
                  <c:v>-0.1110233672866343</c:v>
                </c:pt>
                <c:pt idx="139">
                  <c:v>-0.1247192180723005</c:v>
                </c:pt>
                <c:pt idx="140">
                  <c:v>-0.1413711323606321</c:v>
                </c:pt>
                <c:pt idx="141">
                  <c:v>-0.1573337744011951</c:v>
                </c:pt>
                <c:pt idx="142">
                  <c:v>-0.1744435194766538</c:v>
                </c:pt>
                <c:pt idx="143">
                  <c:v>-0.1951314257202057</c:v>
                </c:pt>
                <c:pt idx="144">
                  <c:v>-0.2148636522076686</c:v>
                </c:pt>
                <c:pt idx="145">
                  <c:v>-0.235922191114355</c:v>
                </c:pt>
                <c:pt idx="146">
                  <c:v>-0.2612761018814354</c:v>
                </c:pt>
                <c:pt idx="147">
                  <c:v>-0.2853629991561775</c:v>
                </c:pt>
                <c:pt idx="148">
                  <c:v>-0.3109789747541072</c:v>
                </c:pt>
                <c:pt idx="149">
                  <c:v>-0.3417117286797975</c:v>
                </c:pt>
                <c:pt idx="150">
                  <c:v>-0.3708118751720804</c:v>
                </c:pt>
                <c:pt idx="151">
                  <c:v>-0.4016673031354685</c:v>
                </c:pt>
                <c:pt idx="152">
                  <c:v>-0.4385741250238198</c:v>
                </c:pt>
                <c:pt idx="153">
                  <c:v>-0.4734191912100414</c:v>
                </c:pt>
                <c:pt idx="154">
                  <c:v>-0.5102690384285324</c:v>
                </c:pt>
                <c:pt idx="155">
                  <c:v>-0.554227051803764</c:v>
                </c:pt>
                <c:pt idx="156">
                  <c:v>-0.5956213488765343</c:v>
                </c:pt>
                <c:pt idx="157">
                  <c:v>-0.6392930692547907</c:v>
                </c:pt>
                <c:pt idx="158">
                  <c:v>-0.6912607618419315</c:v>
                </c:pt>
                <c:pt idx="159">
                  <c:v>-0.7400807499819848</c:v>
                </c:pt>
                <c:pt idx="160">
                  <c:v>-0.791473780832689</c:v>
                </c:pt>
                <c:pt idx="161">
                  <c:v>-0.8524904108952569</c:v>
                </c:pt>
                <c:pt idx="162">
                  <c:v>-0.9096841644008009</c:v>
                </c:pt>
                <c:pt idx="163">
                  <c:v>-0.9697693759256936</c:v>
                </c:pt>
                <c:pt idx="164">
                  <c:v>-1.040954345966043</c:v>
                </c:pt>
                <c:pt idx="165">
                  <c:v>-1.107540974471704</c:v>
                </c:pt>
                <c:pt idx="166">
                  <c:v>-1.177360076066975</c:v>
                </c:pt>
                <c:pt idx="167">
                  <c:v>-1.259912249236322</c:v>
                </c:pt>
                <c:pt idx="168">
                  <c:v>-1.336981274958362</c:v>
                </c:pt>
                <c:pt idx="169">
                  <c:v>-1.417646187861919</c:v>
                </c:pt>
                <c:pt idx="170">
                  <c:v>-1.512843152252799</c:v>
                </c:pt>
                <c:pt idx="171">
                  <c:v>-1.601553853415453</c:v>
                </c:pt>
                <c:pt idx="172">
                  <c:v>-1.694246029607257</c:v>
                </c:pt>
                <c:pt idx="173">
                  <c:v>-1.803443336009423</c:v>
                </c:pt>
                <c:pt idx="174">
                  <c:v>-1.905024041508568</c:v>
                </c:pt>
                <c:pt idx="175">
                  <c:v>-2.010993750804801</c:v>
                </c:pt>
                <c:pt idx="176">
                  <c:v>-2.13562408544135</c:v>
                </c:pt>
                <c:pt idx="177">
                  <c:v>-2.251371436165755</c:v>
                </c:pt>
                <c:pt idx="178">
                  <c:v>-2.371937016364882</c:v>
                </c:pt>
                <c:pt idx="179">
                  <c:v>-2.513509340354176</c:v>
                </c:pt>
                <c:pt idx="180">
                  <c:v>-2.644787506822922</c:v>
                </c:pt>
                <c:pt idx="181">
                  <c:v>-2.781334565247334</c:v>
                </c:pt>
                <c:pt idx="182">
                  <c:v>-2.941433207470027</c:v>
                </c:pt>
                <c:pt idx="183">
                  <c:v>-3.089673071670859</c:v>
                </c:pt>
                <c:pt idx="184">
                  <c:v>-3.243653659340225</c:v>
                </c:pt>
                <c:pt idx="185">
                  <c:v>-3.423937371721422</c:v>
                </c:pt>
                <c:pt idx="186">
                  <c:v>-3.590635671074324</c:v>
                </c:pt>
                <c:pt idx="187">
                  <c:v>-3.763567414630188</c:v>
                </c:pt>
                <c:pt idx="188">
                  <c:v>-3.965768378529674</c:v>
                </c:pt>
                <c:pt idx="189">
                  <c:v>-4.152486814658005</c:v>
                </c:pt>
                <c:pt idx="190">
                  <c:v>-4.345952012872885</c:v>
                </c:pt>
                <c:pt idx="191">
                  <c:v>-4.571874809995052</c:v>
                </c:pt>
                <c:pt idx="192">
                  <c:v>-4.780239127223922</c:v>
                </c:pt>
                <c:pt idx="193">
                  <c:v>-4.995883813084447</c:v>
                </c:pt>
                <c:pt idx="194">
                  <c:v>-5.247404357237883</c:v>
                </c:pt>
                <c:pt idx="195">
                  <c:v>-5.479103372775171</c:v>
                </c:pt>
                <c:pt idx="196">
                  <c:v>-5.718636339065142</c:v>
                </c:pt>
                <c:pt idx="197">
                  <c:v>-5.997700776976217</c:v>
                </c:pt>
                <c:pt idx="198">
                  <c:v>-6.254485391421895</c:v>
                </c:pt>
                <c:pt idx="199">
                  <c:v>-6.51967719021377</c:v>
                </c:pt>
                <c:pt idx="200">
                  <c:v>-6.828300748499714</c:v>
                </c:pt>
                <c:pt idx="201">
                  <c:v>-7.111982920109767</c:v>
                </c:pt>
                <c:pt idx="202">
                  <c:v>-7.404664824446172</c:v>
                </c:pt>
                <c:pt idx="203">
                  <c:v>-7.744930637363723</c:v>
                </c:pt>
                <c:pt idx="204">
                  <c:v>-8.057382321536807</c:v>
                </c:pt>
                <c:pt idx="205">
                  <c:v>-8.379445258978194</c:v>
                </c:pt>
                <c:pt idx="206">
                  <c:v>-8.753503156986426</c:v>
                </c:pt>
                <c:pt idx="207">
                  <c:v>-9.096655219469085</c:v>
                </c:pt>
                <c:pt idx="208">
                  <c:v>-9.45004867322723</c:v>
                </c:pt>
                <c:pt idx="209">
                  <c:v>-9.86011393674653</c:v>
                </c:pt>
                <c:pt idx="210">
                  <c:v>-10.23595503838396</c:v>
                </c:pt>
                <c:pt idx="211">
                  <c:v>-10.62268592348209</c:v>
                </c:pt>
                <c:pt idx="212">
                  <c:v>-11.0710380019982</c:v>
                </c:pt>
                <c:pt idx="213">
                  <c:v>-11.48161345618246</c:v>
                </c:pt>
                <c:pt idx="214">
                  <c:v>-11.90374496671757</c:v>
                </c:pt>
                <c:pt idx="215">
                  <c:v>-12.39272618006999</c:v>
                </c:pt>
                <c:pt idx="216">
                  <c:v>-12.84013677697476</c:v>
                </c:pt>
                <c:pt idx="217">
                  <c:v>-13.29978720888084</c:v>
                </c:pt>
                <c:pt idx="218">
                  <c:v>-13.83180140237528</c:v>
                </c:pt>
                <c:pt idx="219">
                  <c:v>-14.31820222048145</c:v>
                </c:pt>
                <c:pt idx="220">
                  <c:v>-14.81754376156414</c:v>
                </c:pt>
                <c:pt idx="221">
                  <c:v>-15.39505495210642</c:v>
                </c:pt>
                <c:pt idx="222">
                  <c:v>-15.92265412907363</c:v>
                </c:pt>
                <c:pt idx="223">
                  <c:v>-16.46391163953194</c:v>
                </c:pt>
                <c:pt idx="224">
                  <c:v>-17.08944261679972</c:v>
                </c:pt>
                <c:pt idx="225">
                  <c:v>-17.6605001139551</c:v>
                </c:pt>
                <c:pt idx="226">
                  <c:v>-18.24594987093087</c:v>
                </c:pt>
                <c:pt idx="227">
                  <c:v>-18.92208078858994</c:v>
                </c:pt>
                <c:pt idx="228">
                  <c:v>-19.53890712421207</c:v>
                </c:pt>
                <c:pt idx="229">
                  <c:v>-20.17087555141279</c:v>
                </c:pt>
                <c:pt idx="230">
                  <c:v>-20.90024248669988</c:v>
                </c:pt>
                <c:pt idx="231">
                  <c:v>-21.56519744727166</c:v>
                </c:pt>
                <c:pt idx="232">
                  <c:v>-22.24605982589537</c:v>
                </c:pt>
                <c:pt idx="233">
                  <c:v>-23.03135332022248</c:v>
                </c:pt>
                <c:pt idx="234">
                  <c:v>-23.74684466008694</c:v>
                </c:pt>
                <c:pt idx="235">
                  <c:v>-24.47902381513677</c:v>
                </c:pt>
                <c:pt idx="236">
                  <c:v>-25.32298739184625</c:v>
                </c:pt>
                <c:pt idx="237">
                  <c:v>-26.09146951146931</c:v>
                </c:pt>
                <c:pt idx="238">
                  <c:v>-26.87743448522451</c:v>
                </c:pt>
                <c:pt idx="239">
                  <c:v>-27.78286314959087</c:v>
                </c:pt>
                <c:pt idx="240">
                  <c:v>-28.60683575205121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Native_Chart_Data!$C$248:$C$488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Native_Chart_Data!$D$248:$D$488</c:f>
              <c:numCache>
                <c:formatCode>General</c:formatCode>
                <c:ptCount val="241"/>
                <c:pt idx="0">
                  <c:v>-95550.6968246352</c:v>
                </c:pt>
                <c:pt idx="1">
                  <c:v>-94429.87293064831</c:v>
                </c:pt>
                <c:pt idx="2">
                  <c:v>-93169.45002082347</c:v>
                </c:pt>
                <c:pt idx="3">
                  <c:v>-92049.59969520803</c:v>
                </c:pt>
                <c:pt idx="4">
                  <c:v>-90930.31855627525</c:v>
                </c:pt>
                <c:pt idx="5">
                  <c:v>-89671.89852079703</c:v>
                </c:pt>
                <c:pt idx="6">
                  <c:v>-88554.07088364325</c:v>
                </c:pt>
                <c:pt idx="7">
                  <c:v>-87437.04511505857</c:v>
                </c:pt>
                <c:pt idx="8">
                  <c:v>-86181.44608297395</c:v>
                </c:pt>
                <c:pt idx="9">
                  <c:v>-85066.38324979196</c:v>
                </c:pt>
                <c:pt idx="10">
                  <c:v>-83952.36924737085</c:v>
                </c:pt>
                <c:pt idx="11">
                  <c:v>-82700.4595564772</c:v>
                </c:pt>
                <c:pt idx="12">
                  <c:v>-81588.94913418307</c:v>
                </c:pt>
                <c:pt idx="13">
                  <c:v>-80478.7496070101</c:v>
                </c:pt>
                <c:pt idx="14">
                  <c:v>-79231.45069310423</c:v>
                </c:pt>
                <c:pt idx="15">
                  <c:v>-78124.32838336958</c:v>
                </c:pt>
                <c:pt idx="16">
                  <c:v>-77018.79498984448</c:v>
                </c:pt>
                <c:pt idx="17">
                  <c:v>-75777.08439083702</c:v>
                </c:pt>
                <c:pt idx="18">
                  <c:v>-74675.23669418608</c:v>
                </c:pt>
                <c:pt idx="19">
                  <c:v>-73575.27277737434</c:v>
                </c:pt>
                <c:pt idx="20">
                  <c:v>-72340.18724720042</c:v>
                </c:pt>
                <c:pt idx="21">
                  <c:v>-71244.55426280205</c:v>
                </c:pt>
                <c:pt idx="22">
                  <c:v>-70151.11767949266</c:v>
                </c:pt>
                <c:pt idx="23">
                  <c:v>-68923.75640485117</c:v>
                </c:pt>
                <c:pt idx="24">
                  <c:v>-67835.33471918713</c:v>
                </c:pt>
                <c:pt idx="25">
                  <c:v>-66749.44075526144</c:v>
                </c:pt>
                <c:pt idx="26">
                  <c:v>-65530.96866610383</c:v>
                </c:pt>
                <c:pt idx="27">
                  <c:v>-64450.81432177829</c:v>
                </c:pt>
                <c:pt idx="28">
                  <c:v>-63373.53868446994</c:v>
                </c:pt>
                <c:pt idx="29">
                  <c:v>-62165.18984686676</c:v>
                </c:pt>
                <c:pt idx="30">
                  <c:v>-61094.42138070978</c:v>
                </c:pt>
                <c:pt idx="31">
                  <c:v>-60026.90325623649</c:v>
                </c:pt>
                <c:pt idx="32">
                  <c:v>-58829.98433378036</c:v>
                </c:pt>
                <c:pt idx="33">
                  <c:v>-57769.78587117032</c:v>
                </c:pt>
                <c:pt idx="34">
                  <c:v>-56713.23103390145</c:v>
                </c:pt>
                <c:pt idx="35">
                  <c:v>-55529.12480120811</c:v>
                </c:pt>
                <c:pt idx="36">
                  <c:v>-54480.74919119819</c:v>
                </c:pt>
                <c:pt idx="37">
                  <c:v>-53436.43314820457</c:v>
                </c:pt>
                <c:pt idx="38">
                  <c:v>-52266.60203742246</c:v>
                </c:pt>
                <c:pt idx="39">
                  <c:v>-51231.37401091366</c:v>
                </c:pt>
                <c:pt idx="40">
                  <c:v>-50200.64516336976</c:v>
                </c:pt>
                <c:pt idx="41">
                  <c:v>-49046.63482196539</c:v>
                </c:pt>
                <c:pt idx="42">
                  <c:v>-48025.95415281111</c:v>
                </c:pt>
                <c:pt idx="43">
                  <c:v>-47010.23695345008</c:v>
                </c:pt>
                <c:pt idx="44">
                  <c:v>-45873.67978905515</c:v>
                </c:pt>
                <c:pt idx="45">
                  <c:v>-44869.02443589146</c:v>
                </c:pt>
                <c:pt idx="46">
                  <c:v>-43869.82251963826</c:v>
                </c:pt>
                <c:pt idx="47">
                  <c:v>-42752.44120550476</c:v>
                </c:pt>
                <c:pt idx="48">
                  <c:v>-41765.37041018438</c:v>
                </c:pt>
                <c:pt idx="49">
                  <c:v>-40784.26967339727</c:v>
                </c:pt>
                <c:pt idx="50">
                  <c:v>-39687.88058628065</c:v>
                </c:pt>
                <c:pt idx="51">
                  <c:v>-38720.0379034832</c:v>
                </c:pt>
                <c:pt idx="52">
                  <c:v>-37758.70950600904</c:v>
                </c:pt>
                <c:pt idx="53">
                  <c:v>-36685.22606722001</c:v>
                </c:pt>
                <c:pt idx="54">
                  <c:v>-35738.34229905622</c:v>
                </c:pt>
                <c:pt idx="55">
                  <c:v>-34798.54556291022</c:v>
                </c:pt>
                <c:pt idx="56">
                  <c:v>-33749.98145308542</c:v>
                </c:pt>
                <c:pt idx="57">
                  <c:v>-32825.87746268808</c:v>
                </c:pt>
                <c:pt idx="58">
                  <c:v>-31909.46264160071</c:v>
                </c:pt>
                <c:pt idx="59">
                  <c:v>-30887.93486067957</c:v>
                </c:pt>
                <c:pt idx="60">
                  <c:v>-29988.52423995399</c:v>
                </c:pt>
                <c:pt idx="61">
                  <c:v>-29097.43513552073</c:v>
                </c:pt>
                <c:pt idx="62">
                  <c:v>-28105.16688147812</c:v>
                </c:pt>
                <c:pt idx="63">
                  <c:v>-27232.45845031329</c:v>
                </c:pt>
                <c:pt idx="64">
                  <c:v>-26368.73485292532</c:v>
                </c:pt>
                <c:pt idx="65">
                  <c:v>-25408.05819572629</c:v>
                </c:pt>
                <c:pt idx="66">
                  <c:v>-24564.15831269111</c:v>
                </c:pt>
                <c:pt idx="67">
                  <c:v>-23729.93824807742</c:v>
                </c:pt>
                <c:pt idx="68">
                  <c:v>-22803.29657807221</c:v>
                </c:pt>
                <c:pt idx="69">
                  <c:v>-21990.41124452041</c:v>
                </c:pt>
                <c:pt idx="70">
                  <c:v>-21187.9330077644</c:v>
                </c:pt>
                <c:pt idx="71">
                  <c:v>-20297.88323737295</c:v>
                </c:pt>
                <c:pt idx="72">
                  <c:v>-19518.31997454776</c:v>
                </c:pt>
                <c:pt idx="73">
                  <c:v>-18749.92392848191</c:v>
                </c:pt>
                <c:pt idx="74">
                  <c:v>-17899.13841594477</c:v>
                </c:pt>
                <c:pt idx="75">
                  <c:v>-17155.30788033462</c:v>
                </c:pt>
                <c:pt idx="76">
                  <c:v>-16423.43797402611</c:v>
                </c:pt>
                <c:pt idx="77">
                  <c:v>-15614.70610330964</c:v>
                </c:pt>
                <c:pt idx="78">
                  <c:v>-14909.12336191417</c:v>
                </c:pt>
                <c:pt idx="79">
                  <c:v>-14216.32826550211</c:v>
                </c:pt>
                <c:pt idx="80">
                  <c:v>-13452.55752473721</c:v>
                </c:pt>
                <c:pt idx="81">
                  <c:v>-12787.84280136824</c:v>
                </c:pt>
                <c:pt idx="82">
                  <c:v>-12136.77640752552</c:v>
                </c:pt>
                <c:pt idx="83">
                  <c:v>-11420.99258852187</c:v>
                </c:pt>
                <c:pt idx="84">
                  <c:v>-10799.87103264331</c:v>
                </c:pt>
                <c:pt idx="85">
                  <c:v>-10193.29173629807</c:v>
                </c:pt>
                <c:pt idx="86">
                  <c:v>-9528.637373909565</c:v>
                </c:pt>
                <c:pt idx="87">
                  <c:v>-8953.936813090862</c:v>
                </c:pt>
                <c:pt idx="88">
                  <c:v>-8394.704215810816</c:v>
                </c:pt>
                <c:pt idx="89">
                  <c:v>-7784.433251420131</c:v>
                </c:pt>
                <c:pt idx="90">
                  <c:v>-7259.077562381237</c:v>
                </c:pt>
                <c:pt idx="91">
                  <c:v>-6750.143530491609</c:v>
                </c:pt>
                <c:pt idx="92">
                  <c:v>-6197.607639351329</c:v>
                </c:pt>
                <c:pt idx="93">
                  <c:v>-5724.600396393598</c:v>
                </c:pt>
                <c:pt idx="94">
                  <c:v>-5268.987544536823</c:v>
                </c:pt>
                <c:pt idx="95">
                  <c:v>-4777.603842826582</c:v>
                </c:pt>
                <c:pt idx="96">
                  <c:v>-4359.990199988479</c:v>
                </c:pt>
                <c:pt idx="97">
                  <c:v>-3960.742176330219</c:v>
                </c:pt>
                <c:pt idx="98">
                  <c:v>-3533.91911827782</c:v>
                </c:pt>
                <c:pt idx="99">
                  <c:v>-3174.698779983293</c:v>
                </c:pt>
                <c:pt idx="100">
                  <c:v>-2834.767181946718</c:v>
                </c:pt>
                <c:pt idx="101">
                  <c:v>-2475.736579407454</c:v>
                </c:pt>
                <c:pt idx="102">
                  <c:v>-2177.667184311747</c:v>
                </c:pt>
                <c:pt idx="103">
                  <c:v>-1899.657019259637</c:v>
                </c:pt>
                <c:pt idx="104">
                  <c:v>-1611.097851974435</c:v>
                </c:pt>
                <c:pt idx="105">
                  <c:v>-1376.257653004077</c:v>
                </c:pt>
                <c:pt idx="106">
                  <c:v>-1161.866242575867</c:v>
                </c:pt>
                <c:pt idx="107">
                  <c:v>-945.0864313584152</c:v>
                </c:pt>
                <c:pt idx="108">
                  <c:v>-773.9404461593731</c:v>
                </c:pt>
                <c:pt idx="109">
                  <c:v>-622.7876519774909</c:v>
                </c:pt>
                <c:pt idx="110">
                  <c:v>-476.0772849904715</c:v>
                </c:pt>
                <c:pt idx="111">
                  <c:v>-365.6858715468552</c:v>
                </c:pt>
                <c:pt idx="112">
                  <c:v>-273.206191505149</c:v>
                </c:pt>
                <c:pt idx="113">
                  <c:v>-189.1353146787869</c:v>
                </c:pt>
                <c:pt idx="114">
                  <c:v>-130.5838257490177</c:v>
                </c:pt>
                <c:pt idx="115">
                  <c:v>-85.53253798029891</c:v>
                </c:pt>
                <c:pt idx="116">
                  <c:v>-48.70715008078969</c:v>
                </c:pt>
                <c:pt idx="117">
                  <c:v>-26.20922916708696</c:v>
                </c:pt>
                <c:pt idx="118">
                  <c:v>-11.50117377239167</c:v>
                </c:pt>
                <c:pt idx="119">
                  <c:v>-2.451540094020856</c:v>
                </c:pt>
                <c:pt idx="120">
                  <c:v>0</c:v>
                </c:pt>
                <c:pt idx="121">
                  <c:v>-2.451540094020856</c:v>
                </c:pt>
                <c:pt idx="122">
                  <c:v>-11.50117377239167</c:v>
                </c:pt>
                <c:pt idx="123">
                  <c:v>-26.20922916708696</c:v>
                </c:pt>
                <c:pt idx="124">
                  <c:v>-48.70715008078969</c:v>
                </c:pt>
                <c:pt idx="125">
                  <c:v>-85.53253798029891</c:v>
                </c:pt>
                <c:pt idx="126">
                  <c:v>-130.5838257490177</c:v>
                </c:pt>
                <c:pt idx="127">
                  <c:v>-189.1353146787869</c:v>
                </c:pt>
                <c:pt idx="128">
                  <c:v>-273.206191505149</c:v>
                </c:pt>
                <c:pt idx="129">
                  <c:v>-365.6858715468552</c:v>
                </c:pt>
                <c:pt idx="130">
                  <c:v>-476.0772849904715</c:v>
                </c:pt>
                <c:pt idx="131">
                  <c:v>-622.7876519774909</c:v>
                </c:pt>
                <c:pt idx="132">
                  <c:v>-773.9404461593822</c:v>
                </c:pt>
                <c:pt idx="133">
                  <c:v>-945.0864313584188</c:v>
                </c:pt>
                <c:pt idx="134">
                  <c:v>-1161.866242575867</c:v>
                </c:pt>
                <c:pt idx="135">
                  <c:v>-1376.257653004077</c:v>
                </c:pt>
                <c:pt idx="136">
                  <c:v>-1611.097851974435</c:v>
                </c:pt>
                <c:pt idx="137">
                  <c:v>-1899.657019259626</c:v>
                </c:pt>
                <c:pt idx="138">
                  <c:v>-2177.66718431174</c:v>
                </c:pt>
                <c:pt idx="139">
                  <c:v>-2475.736579407454</c:v>
                </c:pt>
                <c:pt idx="140">
                  <c:v>-2834.767181946718</c:v>
                </c:pt>
                <c:pt idx="141">
                  <c:v>-3174.698779983293</c:v>
                </c:pt>
                <c:pt idx="142">
                  <c:v>-3533.91911827782</c:v>
                </c:pt>
                <c:pt idx="143">
                  <c:v>-3960.742176330219</c:v>
                </c:pt>
                <c:pt idx="144">
                  <c:v>-4359.990199988479</c:v>
                </c:pt>
                <c:pt idx="145">
                  <c:v>-4777.603842826582</c:v>
                </c:pt>
                <c:pt idx="146">
                  <c:v>-5268.987544536823</c:v>
                </c:pt>
                <c:pt idx="147">
                  <c:v>-5724.600396393605</c:v>
                </c:pt>
                <c:pt idx="148">
                  <c:v>-6197.607639351343</c:v>
                </c:pt>
                <c:pt idx="149">
                  <c:v>-6750.143530491609</c:v>
                </c:pt>
                <c:pt idx="150">
                  <c:v>-7259.077562381237</c:v>
                </c:pt>
                <c:pt idx="151">
                  <c:v>-7784.433251420131</c:v>
                </c:pt>
                <c:pt idx="152">
                  <c:v>-8394.704215810802</c:v>
                </c:pt>
                <c:pt idx="153">
                  <c:v>-8953.936813088847</c:v>
                </c:pt>
                <c:pt idx="154">
                  <c:v>-9528.637373909558</c:v>
                </c:pt>
                <c:pt idx="155">
                  <c:v>-10193.29173629809</c:v>
                </c:pt>
                <c:pt idx="156">
                  <c:v>-10799.87103264331</c:v>
                </c:pt>
                <c:pt idx="157">
                  <c:v>-11420.99258852187</c:v>
                </c:pt>
                <c:pt idx="158">
                  <c:v>-12136.77640752552</c:v>
                </c:pt>
                <c:pt idx="159">
                  <c:v>-12787.84280136824</c:v>
                </c:pt>
                <c:pt idx="160">
                  <c:v>-13452.55752473719</c:v>
                </c:pt>
                <c:pt idx="161">
                  <c:v>-14216.32826550213</c:v>
                </c:pt>
                <c:pt idx="162">
                  <c:v>-14909.12336191417</c:v>
                </c:pt>
                <c:pt idx="163">
                  <c:v>-15614.70610330965</c:v>
                </c:pt>
                <c:pt idx="164">
                  <c:v>-16423.43797402758</c:v>
                </c:pt>
                <c:pt idx="165">
                  <c:v>-17155.30788033462</c:v>
                </c:pt>
                <c:pt idx="166">
                  <c:v>-17899.1384159448</c:v>
                </c:pt>
                <c:pt idx="167">
                  <c:v>-18749.92392848187</c:v>
                </c:pt>
                <c:pt idx="168">
                  <c:v>-19518.31997454776</c:v>
                </c:pt>
                <c:pt idx="169">
                  <c:v>-20297.88323737291</c:v>
                </c:pt>
                <c:pt idx="170">
                  <c:v>-21187.93300776442</c:v>
                </c:pt>
                <c:pt idx="171">
                  <c:v>-21990.4112445204</c:v>
                </c:pt>
                <c:pt idx="172">
                  <c:v>-22803.29657807222</c:v>
                </c:pt>
                <c:pt idx="173">
                  <c:v>-23729.93824807741</c:v>
                </c:pt>
                <c:pt idx="174">
                  <c:v>-24564.15831269131</c:v>
                </c:pt>
                <c:pt idx="175">
                  <c:v>-25408.05819572626</c:v>
                </c:pt>
                <c:pt idx="176">
                  <c:v>-26368.73485292534</c:v>
                </c:pt>
                <c:pt idx="177">
                  <c:v>-27232.45845031329</c:v>
                </c:pt>
                <c:pt idx="178">
                  <c:v>-28105.16688147593</c:v>
                </c:pt>
                <c:pt idx="179">
                  <c:v>-29097.4351355207</c:v>
                </c:pt>
                <c:pt idx="180">
                  <c:v>-29988.52423995399</c:v>
                </c:pt>
                <c:pt idx="181">
                  <c:v>-30887.93486067958</c:v>
                </c:pt>
                <c:pt idx="182">
                  <c:v>-31909.46264160069</c:v>
                </c:pt>
                <c:pt idx="183">
                  <c:v>-32825.87746268808</c:v>
                </c:pt>
                <c:pt idx="184">
                  <c:v>-33749.98145308635</c:v>
                </c:pt>
                <c:pt idx="185">
                  <c:v>-34798.54556291025</c:v>
                </c:pt>
                <c:pt idx="186">
                  <c:v>-35738.34229905622</c:v>
                </c:pt>
                <c:pt idx="187">
                  <c:v>-36685.22606722002</c:v>
                </c:pt>
                <c:pt idx="188">
                  <c:v>-37758.70950600899</c:v>
                </c:pt>
                <c:pt idx="189">
                  <c:v>-38720.0379034832</c:v>
                </c:pt>
                <c:pt idx="190">
                  <c:v>-39687.88058628062</c:v>
                </c:pt>
                <c:pt idx="191">
                  <c:v>-40784.26967339731</c:v>
                </c:pt>
                <c:pt idx="192">
                  <c:v>-41765.37041018438</c:v>
                </c:pt>
                <c:pt idx="193">
                  <c:v>-42752.44120550565</c:v>
                </c:pt>
                <c:pt idx="194">
                  <c:v>-43869.82251963906</c:v>
                </c:pt>
                <c:pt idx="195">
                  <c:v>-44869.02443589146</c:v>
                </c:pt>
                <c:pt idx="196">
                  <c:v>-45873.67978905518</c:v>
                </c:pt>
                <c:pt idx="197">
                  <c:v>-47010.23695345006</c:v>
                </c:pt>
                <c:pt idx="198">
                  <c:v>-48025.95415281111</c:v>
                </c:pt>
                <c:pt idx="199">
                  <c:v>-49046.63482196606</c:v>
                </c:pt>
                <c:pt idx="200">
                  <c:v>-50200.64516336979</c:v>
                </c:pt>
                <c:pt idx="201">
                  <c:v>-51231.37401091366</c:v>
                </c:pt>
                <c:pt idx="202">
                  <c:v>-52266.60203742246</c:v>
                </c:pt>
                <c:pt idx="203">
                  <c:v>-53436.43314820457</c:v>
                </c:pt>
                <c:pt idx="204">
                  <c:v>-54480.74919119819</c:v>
                </c:pt>
                <c:pt idx="205">
                  <c:v>-55529.12480120808</c:v>
                </c:pt>
                <c:pt idx="206">
                  <c:v>-56713.23103390152</c:v>
                </c:pt>
                <c:pt idx="207">
                  <c:v>-57769.78587117032</c:v>
                </c:pt>
                <c:pt idx="208">
                  <c:v>-58829.98433378038</c:v>
                </c:pt>
                <c:pt idx="209">
                  <c:v>-60026.90325623647</c:v>
                </c:pt>
                <c:pt idx="210">
                  <c:v>-61094.42138070978</c:v>
                </c:pt>
                <c:pt idx="211">
                  <c:v>-62165.18984686682</c:v>
                </c:pt>
                <c:pt idx="212">
                  <c:v>-63373.53868446988</c:v>
                </c:pt>
                <c:pt idx="213">
                  <c:v>-64450.81432177829</c:v>
                </c:pt>
                <c:pt idx="214">
                  <c:v>-65530.96866610306</c:v>
                </c:pt>
                <c:pt idx="215">
                  <c:v>-66749.44075526152</c:v>
                </c:pt>
                <c:pt idx="216">
                  <c:v>-67835.33471918713</c:v>
                </c:pt>
                <c:pt idx="217">
                  <c:v>-68923.75640485117</c:v>
                </c:pt>
                <c:pt idx="218">
                  <c:v>-70151.11767949266</c:v>
                </c:pt>
                <c:pt idx="219">
                  <c:v>-71244.55426280205</c:v>
                </c:pt>
                <c:pt idx="220">
                  <c:v>-72340.18724720035</c:v>
                </c:pt>
                <c:pt idx="221">
                  <c:v>-73575.27277737437</c:v>
                </c:pt>
                <c:pt idx="222">
                  <c:v>-74675.23669418608</c:v>
                </c:pt>
                <c:pt idx="223">
                  <c:v>-75777.08439083706</c:v>
                </c:pt>
                <c:pt idx="224">
                  <c:v>-77018.79498984448</c:v>
                </c:pt>
                <c:pt idx="225">
                  <c:v>-78124.32838336958</c:v>
                </c:pt>
                <c:pt idx="226">
                  <c:v>-79231.45069310427</c:v>
                </c:pt>
                <c:pt idx="227">
                  <c:v>-80478.74960701005</c:v>
                </c:pt>
                <c:pt idx="228">
                  <c:v>-81588.94913418307</c:v>
                </c:pt>
                <c:pt idx="229">
                  <c:v>-82700.45955647714</c:v>
                </c:pt>
                <c:pt idx="230">
                  <c:v>-83952.36924737085</c:v>
                </c:pt>
                <c:pt idx="231">
                  <c:v>-85066.38324979196</c:v>
                </c:pt>
                <c:pt idx="232">
                  <c:v>-86181.44608297395</c:v>
                </c:pt>
                <c:pt idx="233">
                  <c:v>-87437.04511505857</c:v>
                </c:pt>
                <c:pt idx="234">
                  <c:v>-88554.07088364325</c:v>
                </c:pt>
                <c:pt idx="235">
                  <c:v>-89671.89852079697</c:v>
                </c:pt>
                <c:pt idx="236">
                  <c:v>-90930.31855627532</c:v>
                </c:pt>
                <c:pt idx="237">
                  <c:v>-92049.59969520803</c:v>
                </c:pt>
                <c:pt idx="238">
                  <c:v>-93169.45002082353</c:v>
                </c:pt>
                <c:pt idx="239">
                  <c:v>-94429.87293064826</c:v>
                </c:pt>
                <c:pt idx="240">
                  <c:v>-95550.6968246352</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Native_Chart_Data!$E$248:$E$488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Native_Chart_Data!$F$248:$F$488</c:f>
              <c:numCache>
                <c:formatCode>General</c:formatCode>
                <c:ptCount val="241"/>
                <c:pt idx="0">
                  <c:v>-192178.9131334473</c:v>
                </c:pt>
                <c:pt idx="1">
                  <c:v>-190472.5531477004</c:v>
                </c:pt>
                <c:pt idx="2">
                  <c:v>-188542.3489149387</c:v>
                </c:pt>
                <c:pt idx="3">
                  <c:v>-186817.3387345333</c:v>
                </c:pt>
                <c:pt idx="4">
                  <c:v>-185083.7019914568</c:v>
                </c:pt>
                <c:pt idx="5">
                  <c:v>-183123.1739756341</c:v>
                </c:pt>
                <c:pt idx="6">
                  <c:v>-181371.5420033857</c:v>
                </c:pt>
                <c:pt idx="7">
                  <c:v>-179611.6066396228</c:v>
                </c:pt>
                <c:pt idx="8">
                  <c:v>-177621.8913343613</c:v>
                </c:pt>
                <c:pt idx="9">
                  <c:v>-175844.6807689939</c:v>
                </c:pt>
                <c:pt idx="10">
                  <c:v>-174059.5218997983</c:v>
                </c:pt>
                <c:pt idx="11">
                  <c:v>-172041.8680372654</c:v>
                </c:pt>
                <c:pt idx="12">
                  <c:v>-170240.2247177474</c:v>
                </c:pt>
                <c:pt idx="13">
                  <c:v>-168431.0228830833</c:v>
                </c:pt>
                <c:pt idx="14">
                  <c:v>-166386.8012256961</c:v>
                </c:pt>
                <c:pt idx="15">
                  <c:v>-164561.9825993106</c:v>
                </c:pt>
                <c:pt idx="16">
                  <c:v>-162730.0329870773</c:v>
                </c:pt>
                <c:pt idx="17">
                  <c:v>-160660.7470162979</c:v>
                </c:pt>
                <c:pt idx="18">
                  <c:v>-158814.1319245927</c:v>
                </c:pt>
                <c:pt idx="19">
                  <c:v>-156960.8544311165</c:v>
                </c:pt>
                <c:pt idx="20">
                  <c:v>-154868.1520014535</c:v>
                </c:pt>
                <c:pt idx="21">
                  <c:v>-153001.2513449043</c:v>
                </c:pt>
                <c:pt idx="22">
                  <c:v>-151128.2015336879</c:v>
                </c:pt>
                <c:pt idx="23">
                  <c:v>-149013.8875605664</c:v>
                </c:pt>
                <c:pt idx="24">
                  <c:v>-147128.3559028736</c:v>
                </c:pt>
                <c:pt idx="25">
                  <c:v>-145237.2369222694</c:v>
                </c:pt>
                <c:pt idx="26">
                  <c:v>-143103.2871715021</c:v>
                </c:pt>
                <c:pt idx="27">
                  <c:v>-141200.9353430962</c:v>
                </c:pt>
                <c:pt idx="28">
                  <c:v>-139293.610861677</c:v>
                </c:pt>
                <c:pt idx="29">
                  <c:v>-137142.1869054523</c:v>
                </c:pt>
                <c:pt idx="30">
                  <c:v>-135224.9956625739</c:v>
                </c:pt>
                <c:pt idx="31">
                  <c:v>-133303.5038770739</c:v>
                </c:pt>
                <c:pt idx="32">
                  <c:v>-131136.9692760912</c:v>
                </c:pt>
                <c:pt idx="33">
                  <c:v>-129207.1040662871</c:v>
                </c:pt>
                <c:pt idx="34">
                  <c:v>-127273.6728305979</c:v>
                </c:pt>
                <c:pt idx="35">
                  <c:v>-125094.6105936719</c:v>
                </c:pt>
                <c:pt idx="36">
                  <c:v>-123154.4374700891</c:v>
                </c:pt>
                <c:pt idx="37">
                  <c:v>-121211.5005842751</c:v>
                </c:pt>
                <c:pt idx="38">
                  <c:v>-119022.7319446883</c:v>
                </c:pt>
                <c:pt idx="39">
                  <c:v>-117074.8346595702</c:v>
                </c:pt>
                <c:pt idx="40">
                  <c:v>-115125.0493446168</c:v>
                </c:pt>
                <c:pt idx="41">
                  <c:v>-112929.653875967</c:v>
                </c:pt>
                <c:pt idx="42">
                  <c:v>-110976.8521675513</c:v>
                </c:pt>
                <c:pt idx="43">
                  <c:v>-109023.1177338429</c:v>
                </c:pt>
                <c:pt idx="44">
                  <c:v>-106824.4548063117</c:v>
                </c:pt>
                <c:pt idx="45">
                  <c:v>-104869.8238721658</c:v>
                </c:pt>
                <c:pt idx="46">
                  <c:v>-102915.301566795</c:v>
                </c:pt>
                <c:pt idx="47">
                  <c:v>-100717.033116844</c:v>
                </c:pt>
                <c:pt idx="48">
                  <c:v>-98763.92423983713</c:v>
                </c:pt>
                <c:pt idx="49">
                  <c:v>-96812.05822906003</c:v>
                </c:pt>
                <c:pt idx="50">
                  <c:v>-94618.1727807392</c:v>
                </c:pt>
                <c:pt idx="51">
                  <c:v>-92670.23504071141</c:v>
                </c:pt>
                <c:pt idx="52">
                  <c:v>-90724.77444856224</c:v>
                </c:pt>
                <c:pt idx="53">
                  <c:v>-88539.61228230709</c:v>
                </c:pt>
                <c:pt idx="54">
                  <c:v>-86600.81524649766</c:v>
                </c:pt>
                <c:pt idx="55">
                  <c:v>-84665.83712834844</c:v>
                </c:pt>
                <c:pt idx="56">
                  <c:v>-82494.11644292489</c:v>
                </c:pt>
                <c:pt idx="57">
                  <c:v>-80568.7736811837</c:v>
                </c:pt>
                <c:pt idx="58">
                  <c:v>-78648.70676173814</c:v>
                </c:pt>
                <c:pt idx="59">
                  <c:v>-76495.55061689255</c:v>
                </c:pt>
                <c:pt idx="60">
                  <c:v>-74588.34383380503</c:v>
                </c:pt>
                <c:pt idx="61">
                  <c:v>-72687.99278310628</c:v>
                </c:pt>
                <c:pt idx="62">
                  <c:v>-70558.9565452948</c:v>
                </c:pt>
                <c:pt idx="63">
                  <c:v>-68674.96006151366</c:v>
                </c:pt>
                <c:pt idx="64">
                  <c:v>-66799.53002109205</c:v>
                </c:pt>
                <c:pt idx="65">
                  <c:v>-64700.62896395361</c:v>
                </c:pt>
                <c:pt idx="66">
                  <c:v>-62845.33421508742</c:v>
                </c:pt>
                <c:pt idx="67">
                  <c:v>-61000.45522179082</c:v>
                </c:pt>
                <c:pt idx="68">
                  <c:v>-58938.19185999589</c:v>
                </c:pt>
                <c:pt idx="69">
                  <c:v>-57117.53151668291</c:v>
                </c:pt>
                <c:pt idx="70">
                  <c:v>-55309.28240772686</c:v>
                </c:pt>
                <c:pt idx="71">
                  <c:v>-53290.67307252447</c:v>
                </c:pt>
                <c:pt idx="72">
                  <c:v>-51511.04432508859</c:v>
                </c:pt>
                <c:pt idx="73">
                  <c:v>-49745.97565061512</c:v>
                </c:pt>
                <c:pt idx="74">
                  <c:v>-47778.57575572333</c:v>
                </c:pt>
                <c:pt idx="75">
                  <c:v>-46046.86225919663</c:v>
                </c:pt>
                <c:pt idx="76">
                  <c:v>-44332.01768741841</c:v>
                </c:pt>
                <c:pt idx="77">
                  <c:v>-42423.94509695141</c:v>
                </c:pt>
                <c:pt idx="78">
                  <c:v>-40747.53704950534</c:v>
                </c:pt>
                <c:pt idx="79">
                  <c:v>-39090.47273823067</c:v>
                </c:pt>
                <c:pt idx="80">
                  <c:v>-37250.42865196269</c:v>
                </c:pt>
                <c:pt idx="81">
                  <c:v>-35637.24050020533</c:v>
                </c:pt>
                <c:pt idx="82">
                  <c:v>-34046.04194794646</c:v>
                </c:pt>
                <c:pt idx="83">
                  <c:v>-32283.3287901734</c:v>
                </c:pt>
                <c:pt idx="84">
                  <c:v>-30741.8141453946</c:v>
                </c:pt>
                <c:pt idx="85">
                  <c:v>-29225.110156037</c:v>
                </c:pt>
                <c:pt idx="86">
                  <c:v>-27549.64613181504</c:v>
                </c:pt>
                <c:pt idx="87">
                  <c:v>-26088.8096816492</c:v>
                </c:pt>
                <c:pt idx="88">
                  <c:v>-24655.78332287312</c:v>
                </c:pt>
                <c:pt idx="89">
                  <c:v>-23078.11364463285</c:v>
                </c:pt>
                <c:pt idx="90">
                  <c:v>-21707.52020829931</c:v>
                </c:pt>
                <c:pt idx="91">
                  <c:v>-20367.91707237235</c:v>
                </c:pt>
                <c:pt idx="92">
                  <c:v>-18899.22242547247</c:v>
                </c:pt>
                <c:pt idx="93">
                  <c:v>-17629.00388090192</c:v>
                </c:pt>
                <c:pt idx="94">
                  <c:v>-16393.13860799077</c:v>
                </c:pt>
                <c:pt idx="95">
                  <c:v>-15045.24223012434</c:v>
                </c:pt>
                <c:pt idx="96">
                  <c:v>-13886.10379726935</c:v>
                </c:pt>
                <c:pt idx="97">
                  <c:v>-12764.86656531011</c:v>
                </c:pt>
                <c:pt idx="98">
                  <c:v>-11550.2420277225</c:v>
                </c:pt>
                <c:pt idx="99">
                  <c:v>-10513.46974524825</c:v>
                </c:pt>
                <c:pt idx="100">
                  <c:v>-9518.334244312478</c:v>
                </c:pt>
                <c:pt idx="101">
                  <c:v>-8450.11460672399</c:v>
                </c:pt>
                <c:pt idx="102">
                  <c:v>-7547.582671763485</c:v>
                </c:pt>
                <c:pt idx="103">
                  <c:v>-6690.610806332428</c:v>
                </c:pt>
                <c:pt idx="104">
                  <c:v>-5782.586392976991</c:v>
                </c:pt>
                <c:pt idx="105">
                  <c:v>-5026.741503405137</c:v>
                </c:pt>
                <c:pt idx="106">
                  <c:v>-4320.543295968455</c:v>
                </c:pt>
                <c:pt idx="107">
                  <c:v>-3587.063067524843</c:v>
                </c:pt>
                <c:pt idx="108">
                  <c:v>-2990.752108016131</c:v>
                </c:pt>
                <c:pt idx="109">
                  <c:v>-2448.174221919682</c:v>
                </c:pt>
                <c:pt idx="110">
                  <c:v>-1903.505948859045</c:v>
                </c:pt>
                <c:pt idx="111">
                  <c:v>-1478.964224442476</c:v>
                </c:pt>
                <c:pt idx="112">
                  <c:v>-1111.366579203488</c:v>
                </c:pt>
                <c:pt idx="113">
                  <c:v>-766.3118882481267</c:v>
                </c:pt>
                <c:pt idx="114">
                  <c:v>-520.010223424264</c:v>
                </c:pt>
                <c:pt idx="115">
                  <c:v>-328.8502755227419</c:v>
                </c:pt>
                <c:pt idx="116">
                  <c:v>-175.284770540442</c:v>
                </c:pt>
                <c:pt idx="117">
                  <c:v>-86.79473246431189</c:v>
                </c:pt>
                <c:pt idx="118">
                  <c:v>-34.56744155919023</c:v>
                </c:pt>
                <c:pt idx="119">
                  <c:v>-6.701675417179104</c:v>
                </c:pt>
                <c:pt idx="120">
                  <c:v>0</c:v>
                </c:pt>
                <c:pt idx="121">
                  <c:v>-6.701675417179104</c:v>
                </c:pt>
                <c:pt idx="122">
                  <c:v>-34.56744155918659</c:v>
                </c:pt>
                <c:pt idx="123">
                  <c:v>-86.79473246430734</c:v>
                </c:pt>
                <c:pt idx="124">
                  <c:v>-175.284770540442</c:v>
                </c:pt>
                <c:pt idx="125">
                  <c:v>-328.8502755227419</c:v>
                </c:pt>
                <c:pt idx="126">
                  <c:v>-520.010223424264</c:v>
                </c:pt>
                <c:pt idx="127">
                  <c:v>-766.3118882481267</c:v>
                </c:pt>
                <c:pt idx="128">
                  <c:v>-1111.366579203488</c:v>
                </c:pt>
                <c:pt idx="129">
                  <c:v>-1478.964224442476</c:v>
                </c:pt>
                <c:pt idx="130">
                  <c:v>-1903.505948859045</c:v>
                </c:pt>
                <c:pt idx="131">
                  <c:v>-2448.174221919682</c:v>
                </c:pt>
                <c:pt idx="132">
                  <c:v>-2990.752108016142</c:v>
                </c:pt>
                <c:pt idx="133">
                  <c:v>-3587.063067524861</c:v>
                </c:pt>
                <c:pt idx="134">
                  <c:v>-4320.543295968455</c:v>
                </c:pt>
                <c:pt idx="135">
                  <c:v>-5026.741503405137</c:v>
                </c:pt>
                <c:pt idx="136">
                  <c:v>-5782.586392976991</c:v>
                </c:pt>
                <c:pt idx="137">
                  <c:v>-6690.610806334415</c:v>
                </c:pt>
                <c:pt idx="138">
                  <c:v>-7547.58267176729</c:v>
                </c:pt>
                <c:pt idx="139">
                  <c:v>-8450.11460672399</c:v>
                </c:pt>
                <c:pt idx="140">
                  <c:v>-9518.334244312478</c:v>
                </c:pt>
                <c:pt idx="141">
                  <c:v>-10513.46974524825</c:v>
                </c:pt>
                <c:pt idx="142">
                  <c:v>-11550.2420277225</c:v>
                </c:pt>
                <c:pt idx="143">
                  <c:v>-12764.86656531011</c:v>
                </c:pt>
                <c:pt idx="144">
                  <c:v>-13886.10379726935</c:v>
                </c:pt>
                <c:pt idx="145">
                  <c:v>-15045.24223012434</c:v>
                </c:pt>
                <c:pt idx="146">
                  <c:v>-16393.13860799077</c:v>
                </c:pt>
                <c:pt idx="147">
                  <c:v>-17629.00388090196</c:v>
                </c:pt>
                <c:pt idx="148">
                  <c:v>-18899.2224254725</c:v>
                </c:pt>
                <c:pt idx="149">
                  <c:v>-20367.91707237235</c:v>
                </c:pt>
                <c:pt idx="150">
                  <c:v>-21707.52020829931</c:v>
                </c:pt>
                <c:pt idx="151">
                  <c:v>-23078.11364463285</c:v>
                </c:pt>
                <c:pt idx="152">
                  <c:v>-24655.78332287309</c:v>
                </c:pt>
                <c:pt idx="153">
                  <c:v>-26088.80968164916</c:v>
                </c:pt>
                <c:pt idx="154">
                  <c:v>-27549.646131815</c:v>
                </c:pt>
                <c:pt idx="155">
                  <c:v>-29225.11015603603</c:v>
                </c:pt>
                <c:pt idx="156">
                  <c:v>-30741.8141453946</c:v>
                </c:pt>
                <c:pt idx="157">
                  <c:v>-32283.3287901734</c:v>
                </c:pt>
                <c:pt idx="158">
                  <c:v>-34046.04194794646</c:v>
                </c:pt>
                <c:pt idx="159">
                  <c:v>-35637.24050020533</c:v>
                </c:pt>
                <c:pt idx="160">
                  <c:v>-37250.42865196265</c:v>
                </c:pt>
                <c:pt idx="161">
                  <c:v>-39090.47273823073</c:v>
                </c:pt>
                <c:pt idx="162">
                  <c:v>-40747.53704950534</c:v>
                </c:pt>
                <c:pt idx="163">
                  <c:v>-42423.94509695144</c:v>
                </c:pt>
                <c:pt idx="164">
                  <c:v>-44332.01768741835</c:v>
                </c:pt>
                <c:pt idx="165">
                  <c:v>-46046.86225919663</c:v>
                </c:pt>
                <c:pt idx="166">
                  <c:v>-47778.5757557234</c:v>
                </c:pt>
                <c:pt idx="167">
                  <c:v>-49745.97565061507</c:v>
                </c:pt>
                <c:pt idx="168">
                  <c:v>-51511.04432508859</c:v>
                </c:pt>
                <c:pt idx="169">
                  <c:v>-53290.67307252441</c:v>
                </c:pt>
                <c:pt idx="170">
                  <c:v>-55309.2824077269</c:v>
                </c:pt>
                <c:pt idx="171">
                  <c:v>-57117.5315166829</c:v>
                </c:pt>
                <c:pt idx="172">
                  <c:v>-58938.1918599959</c:v>
                </c:pt>
                <c:pt idx="173">
                  <c:v>-61000.45522179079</c:v>
                </c:pt>
                <c:pt idx="174">
                  <c:v>-62845.33421508745</c:v>
                </c:pt>
                <c:pt idx="175">
                  <c:v>-64700.62896395409</c:v>
                </c:pt>
                <c:pt idx="176">
                  <c:v>-66799.5300210921</c:v>
                </c:pt>
                <c:pt idx="177">
                  <c:v>-68674.96006151366</c:v>
                </c:pt>
                <c:pt idx="178">
                  <c:v>-70558.95654529486</c:v>
                </c:pt>
                <c:pt idx="179">
                  <c:v>-72687.99278310622</c:v>
                </c:pt>
                <c:pt idx="180">
                  <c:v>-74588.34383380503</c:v>
                </c:pt>
                <c:pt idx="181">
                  <c:v>-76495.55061689264</c:v>
                </c:pt>
                <c:pt idx="182">
                  <c:v>-78648.70676173811</c:v>
                </c:pt>
                <c:pt idx="183">
                  <c:v>-80568.7736811837</c:v>
                </c:pt>
                <c:pt idx="184">
                  <c:v>-82494.11644292518</c:v>
                </c:pt>
                <c:pt idx="185">
                  <c:v>-84665.8371283485</c:v>
                </c:pt>
                <c:pt idx="186">
                  <c:v>-86600.81524649766</c:v>
                </c:pt>
                <c:pt idx="187">
                  <c:v>-88539.61228230715</c:v>
                </c:pt>
                <c:pt idx="188">
                  <c:v>-90724.77444856253</c:v>
                </c:pt>
                <c:pt idx="189">
                  <c:v>-92670.23504071141</c:v>
                </c:pt>
                <c:pt idx="190">
                  <c:v>-94618.17278073911</c:v>
                </c:pt>
                <c:pt idx="191">
                  <c:v>-96812.05822906029</c:v>
                </c:pt>
                <c:pt idx="192">
                  <c:v>-98763.92423983713</c:v>
                </c:pt>
                <c:pt idx="193">
                  <c:v>-100717.0331168441</c:v>
                </c:pt>
                <c:pt idx="194">
                  <c:v>-102915.3015667945</c:v>
                </c:pt>
                <c:pt idx="195">
                  <c:v>-104869.8238721658</c:v>
                </c:pt>
                <c:pt idx="196">
                  <c:v>-106824.4548063119</c:v>
                </c:pt>
                <c:pt idx="197">
                  <c:v>-109023.117733842</c:v>
                </c:pt>
                <c:pt idx="198">
                  <c:v>-110976.8521675513</c:v>
                </c:pt>
                <c:pt idx="199">
                  <c:v>-112929.6538759666</c:v>
                </c:pt>
                <c:pt idx="200">
                  <c:v>-115125.0493446169</c:v>
                </c:pt>
                <c:pt idx="201">
                  <c:v>-117074.8346595702</c:v>
                </c:pt>
                <c:pt idx="202">
                  <c:v>-119022.7319446883</c:v>
                </c:pt>
                <c:pt idx="203">
                  <c:v>-121211.5005842751</c:v>
                </c:pt>
                <c:pt idx="204">
                  <c:v>-123154.4374700891</c:v>
                </c:pt>
                <c:pt idx="205">
                  <c:v>-125094.6105936725</c:v>
                </c:pt>
                <c:pt idx="206">
                  <c:v>-127273.6728305982</c:v>
                </c:pt>
                <c:pt idx="207">
                  <c:v>-129207.1040662871</c:v>
                </c:pt>
                <c:pt idx="208">
                  <c:v>-131136.9692760912</c:v>
                </c:pt>
                <c:pt idx="209">
                  <c:v>-133303.5038770739</c:v>
                </c:pt>
                <c:pt idx="210">
                  <c:v>-135224.9956625739</c:v>
                </c:pt>
                <c:pt idx="211">
                  <c:v>-137142.1869054522</c:v>
                </c:pt>
                <c:pt idx="212">
                  <c:v>-139293.6108616769</c:v>
                </c:pt>
                <c:pt idx="213">
                  <c:v>-141200.9353430962</c:v>
                </c:pt>
                <c:pt idx="214">
                  <c:v>-143103.287171502</c:v>
                </c:pt>
                <c:pt idx="215">
                  <c:v>-145237.2369222694</c:v>
                </c:pt>
                <c:pt idx="216">
                  <c:v>-147128.3559028736</c:v>
                </c:pt>
                <c:pt idx="217">
                  <c:v>-149013.8875605664</c:v>
                </c:pt>
                <c:pt idx="218">
                  <c:v>-151128.2015336879</c:v>
                </c:pt>
                <c:pt idx="219">
                  <c:v>-153001.2513449043</c:v>
                </c:pt>
                <c:pt idx="220">
                  <c:v>-154868.1520014535</c:v>
                </c:pt>
                <c:pt idx="221">
                  <c:v>-156960.8544311166</c:v>
                </c:pt>
                <c:pt idx="222">
                  <c:v>-158814.1319245927</c:v>
                </c:pt>
                <c:pt idx="223">
                  <c:v>-160660.747016298</c:v>
                </c:pt>
                <c:pt idx="224">
                  <c:v>-162730.0329870773</c:v>
                </c:pt>
                <c:pt idx="225">
                  <c:v>-164561.9825993106</c:v>
                </c:pt>
                <c:pt idx="226">
                  <c:v>-166386.8012256964</c:v>
                </c:pt>
                <c:pt idx="227">
                  <c:v>-168431.0228830834</c:v>
                </c:pt>
                <c:pt idx="228">
                  <c:v>-170240.2247177474</c:v>
                </c:pt>
                <c:pt idx="229">
                  <c:v>-172041.8680372655</c:v>
                </c:pt>
                <c:pt idx="230">
                  <c:v>-174059.5218997984</c:v>
                </c:pt>
                <c:pt idx="231">
                  <c:v>-175844.6807689939</c:v>
                </c:pt>
                <c:pt idx="232">
                  <c:v>-177621.8913343613</c:v>
                </c:pt>
                <c:pt idx="233">
                  <c:v>-179611.6066396228</c:v>
                </c:pt>
                <c:pt idx="234">
                  <c:v>-181371.5420033857</c:v>
                </c:pt>
                <c:pt idx="235">
                  <c:v>-183123.173975634</c:v>
                </c:pt>
                <c:pt idx="236">
                  <c:v>-185083.7019914571</c:v>
                </c:pt>
                <c:pt idx="237">
                  <c:v>-186817.3387345333</c:v>
                </c:pt>
                <c:pt idx="238">
                  <c:v>-188542.3489149385</c:v>
                </c:pt>
                <c:pt idx="239">
                  <c:v>-190472.5531477006</c:v>
                </c:pt>
                <c:pt idx="240">
                  <c:v>-192178.9131334473</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Native_Chart_Data!$G$248:$G$488</c:f>
              <c:numCache>
                <c:formatCode>General</c:formatCode>
                <c:ptCount val="241"/>
                <c:pt idx="0">
                  <c:v>-1</c:v>
                </c:pt>
                <c:pt idx="1">
                  <c:v>-0.992</c:v>
                </c:pt>
                <c:pt idx="2">
                  <c:v>-0.983</c:v>
                </c:pt>
                <c:pt idx="3">
                  <c:v>-0.975</c:v>
                </c:pt>
                <c:pt idx="4">
                  <c:v>-0.967</c:v>
                </c:pt>
                <c:pt idx="5">
                  <c:v>-0.958</c:v>
                </c:pt>
                <c:pt idx="6">
                  <c:v>-0.95</c:v>
                </c:pt>
                <c:pt idx="7">
                  <c:v>-0.942</c:v>
                </c:pt>
                <c:pt idx="8">
                  <c:v>-0.933</c:v>
                </c:pt>
                <c:pt idx="9">
                  <c:v>-0.925</c:v>
                </c:pt>
                <c:pt idx="10">
                  <c:v>-0.917</c:v>
                </c:pt>
                <c:pt idx="11">
                  <c:v>-0.908</c:v>
                </c:pt>
                <c:pt idx="12">
                  <c:v>-0.9</c:v>
                </c:pt>
                <c:pt idx="13">
                  <c:v>-0.892</c:v>
                </c:pt>
                <c:pt idx="14">
                  <c:v>-0.883</c:v>
                </c:pt>
                <c:pt idx="15">
                  <c:v>-0.875</c:v>
                </c:pt>
                <c:pt idx="16">
                  <c:v>-0.867</c:v>
                </c:pt>
                <c:pt idx="17">
                  <c:v>-0.858</c:v>
                </c:pt>
                <c:pt idx="18">
                  <c:v>-0.85</c:v>
                </c:pt>
                <c:pt idx="19">
                  <c:v>-0.842</c:v>
                </c:pt>
                <c:pt idx="20">
                  <c:v>-0.833</c:v>
                </c:pt>
                <c:pt idx="21">
                  <c:v>-0.825</c:v>
                </c:pt>
                <c:pt idx="22">
                  <c:v>-0.817</c:v>
                </c:pt>
                <c:pt idx="23">
                  <c:v>-0.808</c:v>
                </c:pt>
                <c:pt idx="24">
                  <c:v>-0.8</c:v>
                </c:pt>
                <c:pt idx="25">
                  <c:v>-0.792</c:v>
                </c:pt>
                <c:pt idx="26">
                  <c:v>-0.783</c:v>
                </c:pt>
                <c:pt idx="27">
                  <c:v>-0.775</c:v>
                </c:pt>
                <c:pt idx="28">
                  <c:v>-0.767</c:v>
                </c:pt>
                <c:pt idx="29">
                  <c:v>-0.758</c:v>
                </c:pt>
                <c:pt idx="30">
                  <c:v>-0.75</c:v>
                </c:pt>
                <c:pt idx="31">
                  <c:v>-0.742</c:v>
                </c:pt>
                <c:pt idx="32">
                  <c:v>-0.733</c:v>
                </c:pt>
                <c:pt idx="33">
                  <c:v>-0.725</c:v>
                </c:pt>
                <c:pt idx="34">
                  <c:v>-0.717</c:v>
                </c:pt>
                <c:pt idx="35">
                  <c:v>-0.708</c:v>
                </c:pt>
                <c:pt idx="36">
                  <c:v>-0.7</c:v>
                </c:pt>
                <c:pt idx="37">
                  <c:v>-0.692</c:v>
                </c:pt>
                <c:pt idx="38">
                  <c:v>-0.683</c:v>
                </c:pt>
                <c:pt idx="39">
                  <c:v>-0.675</c:v>
                </c:pt>
                <c:pt idx="40">
                  <c:v>-0.667</c:v>
                </c:pt>
                <c:pt idx="41">
                  <c:v>-0.658</c:v>
                </c:pt>
                <c:pt idx="42">
                  <c:v>-0.65</c:v>
                </c:pt>
                <c:pt idx="43">
                  <c:v>-0.642</c:v>
                </c:pt>
                <c:pt idx="44">
                  <c:v>-0.633</c:v>
                </c:pt>
                <c:pt idx="45">
                  <c:v>-0.625</c:v>
                </c:pt>
                <c:pt idx="46">
                  <c:v>-0.617</c:v>
                </c:pt>
                <c:pt idx="47">
                  <c:v>-0.608</c:v>
                </c:pt>
                <c:pt idx="48">
                  <c:v>-0.6</c:v>
                </c:pt>
                <c:pt idx="49">
                  <c:v>-0.592</c:v>
                </c:pt>
                <c:pt idx="50">
                  <c:v>-0.583</c:v>
                </c:pt>
                <c:pt idx="51">
                  <c:v>-0.575</c:v>
                </c:pt>
                <c:pt idx="52">
                  <c:v>-0.567</c:v>
                </c:pt>
                <c:pt idx="53">
                  <c:v>-0.558</c:v>
                </c:pt>
                <c:pt idx="54">
                  <c:v>-0.55</c:v>
                </c:pt>
                <c:pt idx="55">
                  <c:v>-0.542</c:v>
                </c:pt>
                <c:pt idx="56">
                  <c:v>-0.533</c:v>
                </c:pt>
                <c:pt idx="57">
                  <c:v>-0.525</c:v>
                </c:pt>
                <c:pt idx="58">
                  <c:v>-0.517</c:v>
                </c:pt>
                <c:pt idx="59">
                  <c:v>-0.508</c:v>
                </c:pt>
                <c:pt idx="60">
                  <c:v>-0.5</c:v>
                </c:pt>
                <c:pt idx="61">
                  <c:v>-0.492</c:v>
                </c:pt>
                <c:pt idx="62">
                  <c:v>-0.483</c:v>
                </c:pt>
                <c:pt idx="63">
                  <c:v>-0.475</c:v>
                </c:pt>
                <c:pt idx="64">
                  <c:v>-0.467</c:v>
                </c:pt>
                <c:pt idx="65">
                  <c:v>-0.458</c:v>
                </c:pt>
                <c:pt idx="66">
                  <c:v>-0.45</c:v>
                </c:pt>
                <c:pt idx="67">
                  <c:v>-0.442</c:v>
                </c:pt>
                <c:pt idx="68">
                  <c:v>-0.433</c:v>
                </c:pt>
                <c:pt idx="69">
                  <c:v>-0.425</c:v>
                </c:pt>
                <c:pt idx="70">
                  <c:v>-0.417</c:v>
                </c:pt>
                <c:pt idx="71">
                  <c:v>-0.408</c:v>
                </c:pt>
                <c:pt idx="72">
                  <c:v>-0.4</c:v>
                </c:pt>
                <c:pt idx="73">
                  <c:v>-0.392</c:v>
                </c:pt>
                <c:pt idx="74">
                  <c:v>-0.383</c:v>
                </c:pt>
                <c:pt idx="75">
                  <c:v>-0.375</c:v>
                </c:pt>
                <c:pt idx="76">
                  <c:v>-0.367</c:v>
                </c:pt>
                <c:pt idx="77">
                  <c:v>-0.358</c:v>
                </c:pt>
                <c:pt idx="78">
                  <c:v>-0.35</c:v>
                </c:pt>
                <c:pt idx="79">
                  <c:v>-0.342</c:v>
                </c:pt>
                <c:pt idx="80">
                  <c:v>-0.333</c:v>
                </c:pt>
                <c:pt idx="81">
                  <c:v>-0.325</c:v>
                </c:pt>
                <c:pt idx="82">
                  <c:v>-0.317</c:v>
                </c:pt>
                <c:pt idx="83">
                  <c:v>-0.308</c:v>
                </c:pt>
                <c:pt idx="84">
                  <c:v>-0.3</c:v>
                </c:pt>
                <c:pt idx="85">
                  <c:v>-0.292</c:v>
                </c:pt>
                <c:pt idx="86">
                  <c:v>-0.283</c:v>
                </c:pt>
                <c:pt idx="87">
                  <c:v>-0.275</c:v>
                </c:pt>
                <c:pt idx="88">
                  <c:v>-0.267</c:v>
                </c:pt>
                <c:pt idx="89">
                  <c:v>-0.258</c:v>
                </c:pt>
                <c:pt idx="90">
                  <c:v>-0.25</c:v>
                </c:pt>
                <c:pt idx="91">
                  <c:v>-0.242</c:v>
                </c:pt>
                <c:pt idx="92">
                  <c:v>-0.233</c:v>
                </c:pt>
                <c:pt idx="93">
                  <c:v>-0.225</c:v>
                </c:pt>
                <c:pt idx="94">
                  <c:v>-0.217</c:v>
                </c:pt>
                <c:pt idx="95">
                  <c:v>-0.208</c:v>
                </c:pt>
                <c:pt idx="96">
                  <c:v>-0.2</c:v>
                </c:pt>
                <c:pt idx="97">
                  <c:v>-0.192</c:v>
                </c:pt>
                <c:pt idx="98">
                  <c:v>-0.183</c:v>
                </c:pt>
                <c:pt idx="99">
                  <c:v>-0.175</c:v>
                </c:pt>
                <c:pt idx="100">
                  <c:v>-0.167</c:v>
                </c:pt>
                <c:pt idx="101">
                  <c:v>-0.158</c:v>
                </c:pt>
                <c:pt idx="102">
                  <c:v>-0.15</c:v>
                </c:pt>
                <c:pt idx="103">
                  <c:v>-0.142</c:v>
                </c:pt>
                <c:pt idx="104">
                  <c:v>-0.133</c:v>
                </c:pt>
                <c:pt idx="105">
                  <c:v>-0.125</c:v>
                </c:pt>
                <c:pt idx="106">
                  <c:v>-0.117</c:v>
                </c:pt>
                <c:pt idx="107">
                  <c:v>-0.108</c:v>
                </c:pt>
                <c:pt idx="108">
                  <c:v>-0.1</c:v>
                </c:pt>
                <c:pt idx="109">
                  <c:v>-0.092</c:v>
                </c:pt>
                <c:pt idx="110">
                  <c:v>-0.083</c:v>
                </c:pt>
                <c:pt idx="111">
                  <c:v>-0.075</c:v>
                </c:pt>
                <c:pt idx="112">
                  <c:v>-0.067</c:v>
                </c:pt>
                <c:pt idx="113">
                  <c:v>-0.058</c:v>
                </c:pt>
                <c:pt idx="114">
                  <c:v>-0.05</c:v>
                </c:pt>
                <c:pt idx="115">
                  <c:v>-0.042</c:v>
                </c:pt>
                <c:pt idx="116">
                  <c:v>-0.033</c:v>
                </c:pt>
                <c:pt idx="117">
                  <c:v>-0.025</c:v>
                </c:pt>
                <c:pt idx="118">
                  <c:v>-0.017</c:v>
                </c:pt>
                <c:pt idx="119">
                  <c:v>-0.008</c:v>
                </c:pt>
                <c:pt idx="120">
                  <c:v>0</c:v>
                </c:pt>
                <c:pt idx="121">
                  <c:v>0.008</c:v>
                </c:pt>
                <c:pt idx="122">
                  <c:v>0.017</c:v>
                </c:pt>
                <c:pt idx="123">
                  <c:v>0.025</c:v>
                </c:pt>
                <c:pt idx="124">
                  <c:v>0.033</c:v>
                </c:pt>
                <c:pt idx="125">
                  <c:v>0.042</c:v>
                </c:pt>
                <c:pt idx="126">
                  <c:v>0.05</c:v>
                </c:pt>
                <c:pt idx="127">
                  <c:v>0.058</c:v>
                </c:pt>
                <c:pt idx="128">
                  <c:v>0.067</c:v>
                </c:pt>
                <c:pt idx="129">
                  <c:v>0.075</c:v>
                </c:pt>
                <c:pt idx="130">
                  <c:v>0.083</c:v>
                </c:pt>
                <c:pt idx="131">
                  <c:v>0.092</c:v>
                </c:pt>
                <c:pt idx="132">
                  <c:v>0.1</c:v>
                </c:pt>
                <c:pt idx="133">
                  <c:v>0.108</c:v>
                </c:pt>
                <c:pt idx="134">
                  <c:v>0.117</c:v>
                </c:pt>
                <c:pt idx="135">
                  <c:v>0.125</c:v>
                </c:pt>
                <c:pt idx="136">
                  <c:v>0.133</c:v>
                </c:pt>
                <c:pt idx="137">
                  <c:v>0.142</c:v>
                </c:pt>
                <c:pt idx="138">
                  <c:v>0.15</c:v>
                </c:pt>
                <c:pt idx="139">
                  <c:v>0.158</c:v>
                </c:pt>
                <c:pt idx="140">
                  <c:v>0.167</c:v>
                </c:pt>
                <c:pt idx="141">
                  <c:v>0.175</c:v>
                </c:pt>
                <c:pt idx="142">
                  <c:v>0.183</c:v>
                </c:pt>
                <c:pt idx="143">
                  <c:v>0.192</c:v>
                </c:pt>
                <c:pt idx="144">
                  <c:v>0.2</c:v>
                </c:pt>
                <c:pt idx="145">
                  <c:v>0.208</c:v>
                </c:pt>
                <c:pt idx="146">
                  <c:v>0.217</c:v>
                </c:pt>
                <c:pt idx="147">
                  <c:v>0.225</c:v>
                </c:pt>
                <c:pt idx="148">
                  <c:v>0.233</c:v>
                </c:pt>
                <c:pt idx="149">
                  <c:v>0.242</c:v>
                </c:pt>
                <c:pt idx="150">
                  <c:v>0.25</c:v>
                </c:pt>
                <c:pt idx="151">
                  <c:v>0.258</c:v>
                </c:pt>
                <c:pt idx="152">
                  <c:v>0.267</c:v>
                </c:pt>
                <c:pt idx="153">
                  <c:v>0.275</c:v>
                </c:pt>
                <c:pt idx="154">
                  <c:v>0.283</c:v>
                </c:pt>
                <c:pt idx="155">
                  <c:v>0.292</c:v>
                </c:pt>
                <c:pt idx="156">
                  <c:v>0.3</c:v>
                </c:pt>
                <c:pt idx="157">
                  <c:v>0.308</c:v>
                </c:pt>
                <c:pt idx="158">
                  <c:v>0.317</c:v>
                </c:pt>
                <c:pt idx="159">
                  <c:v>0.325</c:v>
                </c:pt>
                <c:pt idx="160">
                  <c:v>0.333</c:v>
                </c:pt>
                <c:pt idx="161">
                  <c:v>0.342</c:v>
                </c:pt>
                <c:pt idx="162">
                  <c:v>0.35</c:v>
                </c:pt>
                <c:pt idx="163">
                  <c:v>0.358</c:v>
                </c:pt>
                <c:pt idx="164">
                  <c:v>0.367</c:v>
                </c:pt>
                <c:pt idx="165">
                  <c:v>0.375</c:v>
                </c:pt>
                <c:pt idx="166">
                  <c:v>0.383</c:v>
                </c:pt>
                <c:pt idx="167">
                  <c:v>0.392</c:v>
                </c:pt>
                <c:pt idx="168">
                  <c:v>0.4</c:v>
                </c:pt>
                <c:pt idx="169">
                  <c:v>0.408</c:v>
                </c:pt>
                <c:pt idx="170">
                  <c:v>0.417</c:v>
                </c:pt>
                <c:pt idx="171">
                  <c:v>0.425</c:v>
                </c:pt>
                <c:pt idx="172">
                  <c:v>0.433</c:v>
                </c:pt>
                <c:pt idx="173">
                  <c:v>0.442</c:v>
                </c:pt>
                <c:pt idx="174">
                  <c:v>0.45</c:v>
                </c:pt>
                <c:pt idx="175">
                  <c:v>0.458</c:v>
                </c:pt>
                <c:pt idx="176">
                  <c:v>0.467</c:v>
                </c:pt>
                <c:pt idx="177">
                  <c:v>0.475</c:v>
                </c:pt>
                <c:pt idx="178">
                  <c:v>0.483</c:v>
                </c:pt>
                <c:pt idx="179">
                  <c:v>0.492</c:v>
                </c:pt>
                <c:pt idx="180">
                  <c:v>0.5</c:v>
                </c:pt>
                <c:pt idx="181">
                  <c:v>0.508</c:v>
                </c:pt>
                <c:pt idx="182">
                  <c:v>0.517</c:v>
                </c:pt>
                <c:pt idx="183">
                  <c:v>0.525</c:v>
                </c:pt>
                <c:pt idx="184">
                  <c:v>0.533</c:v>
                </c:pt>
                <c:pt idx="185">
                  <c:v>0.542</c:v>
                </c:pt>
                <c:pt idx="186">
                  <c:v>0.55</c:v>
                </c:pt>
                <c:pt idx="187">
                  <c:v>0.558</c:v>
                </c:pt>
                <c:pt idx="188">
                  <c:v>0.567</c:v>
                </c:pt>
                <c:pt idx="189">
                  <c:v>0.575</c:v>
                </c:pt>
                <c:pt idx="190">
                  <c:v>0.583</c:v>
                </c:pt>
                <c:pt idx="191">
                  <c:v>0.592</c:v>
                </c:pt>
                <c:pt idx="192">
                  <c:v>0.6</c:v>
                </c:pt>
                <c:pt idx="193">
                  <c:v>0.608</c:v>
                </c:pt>
                <c:pt idx="194">
                  <c:v>0.617</c:v>
                </c:pt>
                <c:pt idx="195">
                  <c:v>0.625</c:v>
                </c:pt>
                <c:pt idx="196">
                  <c:v>0.633</c:v>
                </c:pt>
                <c:pt idx="197">
                  <c:v>0.642</c:v>
                </c:pt>
                <c:pt idx="198">
                  <c:v>0.65</c:v>
                </c:pt>
                <c:pt idx="199">
                  <c:v>0.658</c:v>
                </c:pt>
                <c:pt idx="200">
                  <c:v>0.667</c:v>
                </c:pt>
                <c:pt idx="201">
                  <c:v>0.675</c:v>
                </c:pt>
                <c:pt idx="202">
                  <c:v>0.683</c:v>
                </c:pt>
                <c:pt idx="203">
                  <c:v>0.692</c:v>
                </c:pt>
                <c:pt idx="204">
                  <c:v>0.7</c:v>
                </c:pt>
                <c:pt idx="205">
                  <c:v>0.708</c:v>
                </c:pt>
                <c:pt idx="206">
                  <c:v>0.717</c:v>
                </c:pt>
                <c:pt idx="207">
                  <c:v>0.725</c:v>
                </c:pt>
                <c:pt idx="208">
                  <c:v>0.733</c:v>
                </c:pt>
                <c:pt idx="209">
                  <c:v>0.742</c:v>
                </c:pt>
                <c:pt idx="210">
                  <c:v>0.75</c:v>
                </c:pt>
                <c:pt idx="211">
                  <c:v>0.758</c:v>
                </c:pt>
                <c:pt idx="212">
                  <c:v>0.767</c:v>
                </c:pt>
                <c:pt idx="213">
                  <c:v>0.775</c:v>
                </c:pt>
                <c:pt idx="214">
                  <c:v>0.783</c:v>
                </c:pt>
                <c:pt idx="215">
                  <c:v>0.792</c:v>
                </c:pt>
                <c:pt idx="216">
                  <c:v>0.8</c:v>
                </c:pt>
                <c:pt idx="217">
                  <c:v>0.808</c:v>
                </c:pt>
                <c:pt idx="218">
                  <c:v>0.817</c:v>
                </c:pt>
                <c:pt idx="219">
                  <c:v>0.825</c:v>
                </c:pt>
                <c:pt idx="220">
                  <c:v>0.833</c:v>
                </c:pt>
                <c:pt idx="221">
                  <c:v>0.842</c:v>
                </c:pt>
                <c:pt idx="222">
                  <c:v>0.85</c:v>
                </c:pt>
                <c:pt idx="223">
                  <c:v>0.858</c:v>
                </c:pt>
                <c:pt idx="224">
                  <c:v>0.867</c:v>
                </c:pt>
                <c:pt idx="225">
                  <c:v>0.875</c:v>
                </c:pt>
                <c:pt idx="226">
                  <c:v>0.883</c:v>
                </c:pt>
                <c:pt idx="227">
                  <c:v>0.892</c:v>
                </c:pt>
                <c:pt idx="228">
                  <c:v>0.9</c:v>
                </c:pt>
                <c:pt idx="229">
                  <c:v>0.908</c:v>
                </c:pt>
                <c:pt idx="230">
                  <c:v>0.917</c:v>
                </c:pt>
                <c:pt idx="231">
                  <c:v>0.925</c:v>
                </c:pt>
                <c:pt idx="232">
                  <c:v>0.933</c:v>
                </c:pt>
                <c:pt idx="233">
                  <c:v>0.942</c:v>
                </c:pt>
                <c:pt idx="234">
                  <c:v>0.95</c:v>
                </c:pt>
                <c:pt idx="235">
                  <c:v>0.958</c:v>
                </c:pt>
                <c:pt idx="236">
                  <c:v>0.967</c:v>
                </c:pt>
                <c:pt idx="237">
                  <c:v>0.975</c:v>
                </c:pt>
                <c:pt idx="238">
                  <c:v>0.983</c:v>
                </c:pt>
                <c:pt idx="239">
                  <c:v>0.992</c:v>
                </c:pt>
                <c:pt idx="240">
                  <c:v>1</c:v>
                </c:pt>
              </c:numCache>
            </c:numRef>
          </c:xVal>
          <c:yVal>
            <c:numRef>
              <c:f>Native_Chart_Data!$H$248:$H$488</c:f>
              <c:numCache>
                <c:formatCode>General</c:formatCode>
                <c:ptCount val="241"/>
                <c:pt idx="0">
                  <c:v>-196175.9400728935</c:v>
                </c:pt>
                <c:pt idx="1">
                  <c:v>-194464.7383706524</c:v>
                </c:pt>
                <c:pt idx="2">
                  <c:v>-192528.7589427015</c:v>
                </c:pt>
                <c:pt idx="3">
                  <c:v>-190798.3181820776</c:v>
                </c:pt>
                <c:pt idx="4">
                  <c:v>-189058.9662057007</c:v>
                </c:pt>
                <c:pt idx="5">
                  <c:v>-187091.6621591745</c:v>
                </c:pt>
                <c:pt idx="6">
                  <c:v>-185333.6935937139</c:v>
                </c:pt>
                <c:pt idx="7">
                  <c:v>-183567.1213135333</c:v>
                </c:pt>
                <c:pt idx="8">
                  <c:v>-181569.5740504033</c:v>
                </c:pt>
                <c:pt idx="9">
                  <c:v>-179785.0711008741</c:v>
                </c:pt>
                <c:pt idx="10">
                  <c:v>-177992.3030914759</c:v>
                </c:pt>
                <c:pt idx="11">
                  <c:v>-175965.7035718355</c:v>
                </c:pt>
                <c:pt idx="12">
                  <c:v>-174155.7599109689</c:v>
                </c:pt>
                <c:pt idx="13">
                  <c:v>-172337.9237806311</c:v>
                </c:pt>
                <c:pt idx="14">
                  <c:v>-170283.5823050194</c:v>
                </c:pt>
                <c:pt idx="15">
                  <c:v>-168449.4008262297</c:v>
                </c:pt>
                <c:pt idx="16">
                  <c:v>-166607.7364499004</c:v>
                </c:pt>
                <c:pt idx="17">
                  <c:v>-164527.0933707742</c:v>
                </c:pt>
                <c:pt idx="18">
                  <c:v>-162669.9960054315</c:v>
                </c:pt>
                <c:pt idx="19">
                  <c:v>-160805.8656278071</c:v>
                </c:pt>
                <c:pt idx="20">
                  <c:v>-158700.5030658679</c:v>
                </c:pt>
                <c:pt idx="21">
                  <c:v>-156821.9415170548</c:v>
                </c:pt>
                <c:pt idx="22">
                  <c:v>-154936.8407941876</c:v>
                </c:pt>
                <c:pt idx="23">
                  <c:v>-152808.4954369969</c:v>
                </c:pt>
                <c:pt idx="24">
                  <c:v>-150910.062898851</c:v>
                </c:pt>
                <c:pt idx="25">
                  <c:v>-149005.6329474778</c:v>
                </c:pt>
                <c:pt idx="26">
                  <c:v>-146856.2100081471</c:v>
                </c:pt>
                <c:pt idx="27">
                  <c:v>-144939.6539396716</c:v>
                </c:pt>
                <c:pt idx="28">
                  <c:v>-143017.6944627409</c:v>
                </c:pt>
                <c:pt idx="29">
                  <c:v>-140849.2828749542</c:v>
                </c:pt>
                <c:pt idx="30">
                  <c:v>-138916.5188951826</c:v>
                </c:pt>
                <c:pt idx="31">
                  <c:v>-136979.0024493342</c:v>
                </c:pt>
                <c:pt idx="32">
                  <c:v>-134793.891371038</c:v>
                </c:pt>
                <c:pt idx="33">
                  <c:v>-132847.0183380536</c:v>
                </c:pt>
                <c:pt idx="34">
                  <c:v>-130896.105803573</c:v>
                </c:pt>
                <c:pt idx="35">
                  <c:v>-128696.8024946256</c:v>
                </c:pt>
                <c:pt idx="36">
                  <c:v>-126738.1188236044</c:v>
                </c:pt>
                <c:pt idx="37">
                  <c:v>-124776.1761289193</c:v>
                </c:pt>
                <c:pt idx="38">
                  <c:v>-122565.4252570747</c:v>
                </c:pt>
                <c:pt idx="39">
                  <c:v>-120597.4465214828</c:v>
                </c:pt>
                <c:pt idx="40">
                  <c:v>-118627.0626618838</c:v>
                </c:pt>
                <c:pt idx="41">
                  <c:v>-116407.8670758182</c:v>
                </c:pt>
                <c:pt idx="42">
                  <c:v>-114433.3449203098</c:v>
                </c:pt>
                <c:pt idx="43">
                  <c:v>-112457.3512933723</c:v>
                </c:pt>
                <c:pt idx="44">
                  <c:v>-110232.994280058</c:v>
                </c:pt>
                <c:pt idx="45">
                  <c:v>-108254.9366526784</c:v>
                </c:pt>
                <c:pt idx="46">
                  <c:v>-106276.4277099805</c:v>
                </c:pt>
                <c:pt idx="47">
                  <c:v>-104050.4967255258</c:v>
                </c:pt>
                <c:pt idx="48">
                  <c:v>-102072.1894095076</c:v>
                </c:pt>
                <c:pt idx="49">
                  <c:v>-100094.5445946968</c:v>
                </c:pt>
                <c:pt idx="50">
                  <c:v>-97870.95642178808</c:v>
                </c:pt>
                <c:pt idx="51">
                  <c:v>-95895.98581265062</c:v>
                </c:pt>
                <c:pt idx="52">
                  <c:v>-93922.89271885809</c:v>
                </c:pt>
                <c:pt idx="53">
                  <c:v>-91705.91995911699</c:v>
                </c:pt>
                <c:pt idx="54">
                  <c:v>-89738.19699014083</c:v>
                </c:pt>
                <c:pt idx="55">
                  <c:v>-87773.67562430885</c:v>
                </c:pt>
                <c:pt idx="56">
                  <c:v>-85567.97437946271</c:v>
                </c:pt>
                <c:pt idx="57">
                  <c:v>-83611.75944718669</c:v>
                </c:pt>
                <c:pt idx="58">
                  <c:v>-81660.18743462116</c:v>
                </c:pt>
                <c:pt idx="59">
                  <c:v>-79470.82596585053</c:v>
                </c:pt>
                <c:pt idx="60">
                  <c:v>-77530.75464681152</c:v>
                </c:pt>
                <c:pt idx="61">
                  <c:v>-75596.89314596457</c:v>
                </c:pt>
                <c:pt idx="62">
                  <c:v>-73429.38122625276</c:v>
                </c:pt>
                <c:pt idx="63">
                  <c:v>-71510.49050705163</c:v>
                </c:pt>
                <c:pt idx="64">
                  <c:v>-69599.51053278937</c:v>
                </c:pt>
                <c:pt idx="65">
                  <c:v>-67459.82912343887</c:v>
                </c:pt>
                <c:pt idx="66">
                  <c:v>-65567.5837894667</c:v>
                </c:pt>
                <c:pt idx="67">
                  <c:v>-63685.09256436476</c:v>
                </c:pt>
                <c:pt idx="68">
                  <c:v>-61579.72335626039</c:v>
                </c:pt>
                <c:pt idx="69">
                  <c:v>-59720.04210248677</c:v>
                </c:pt>
                <c:pt idx="70">
                  <c:v>-57872.10897282464</c:v>
                </c:pt>
                <c:pt idx="71">
                  <c:v>-55808.06323941442</c:v>
                </c:pt>
                <c:pt idx="72">
                  <c:v>-53987.34398363595</c:v>
                </c:pt>
                <c:pt idx="73">
                  <c:v>-52180.52535474439</c:v>
                </c:pt>
                <c:pt idx="74">
                  <c:v>-50165.37147333971</c:v>
                </c:pt>
                <c:pt idx="75">
                  <c:v>-48390.51527485564</c:v>
                </c:pt>
                <c:pt idx="76">
                  <c:v>-46631.87794663328</c:v>
                </c:pt>
                <c:pt idx="77">
                  <c:v>-44673.76686765761</c:v>
                </c:pt>
                <c:pt idx="78">
                  <c:v>-42952.19979250127</c:v>
                </c:pt>
                <c:pt idx="79">
                  <c:v>-41249.34202215516</c:v>
                </c:pt>
                <c:pt idx="80">
                  <c:v>-39357.02991700129</c:v>
                </c:pt>
                <c:pt idx="81">
                  <c:v>-37696.722160192</c:v>
                </c:pt>
                <c:pt idx="82">
                  <c:v>-36057.79176290192</c:v>
                </c:pt>
                <c:pt idx="83">
                  <c:v>-34240.65908349385</c:v>
                </c:pt>
                <c:pt idx="84">
                  <c:v>-32650.14068270584</c:v>
                </c:pt>
                <c:pt idx="85">
                  <c:v>-31083.84952937526</c:v>
                </c:pt>
                <c:pt idx="86">
                  <c:v>-29351.91580166448</c:v>
                </c:pt>
                <c:pt idx="87">
                  <c:v>-27840.28839250612</c:v>
                </c:pt>
                <c:pt idx="88">
                  <c:v>-26355.92282022885</c:v>
                </c:pt>
                <c:pt idx="89">
                  <c:v>-24719.85672730935</c:v>
                </c:pt>
                <c:pt idx="90">
                  <c:v>-23296.80105835728</c:v>
                </c:pt>
                <c:pt idx="91">
                  <c:v>-21904.22804430117</c:v>
                </c:pt>
                <c:pt idx="92">
                  <c:v>-20375.35282685111</c:v>
                </c:pt>
                <c:pt idx="93">
                  <c:v>-19051.1322716483</c:v>
                </c:pt>
                <c:pt idx="94">
                  <c:v>-17760.80185039583</c:v>
                </c:pt>
                <c:pt idx="95">
                  <c:v>-16351.09691409997</c:v>
                </c:pt>
                <c:pt idx="96">
                  <c:v>-15136.55814203358</c:v>
                </c:pt>
                <c:pt idx="97">
                  <c:v>-13959.5036406426</c:v>
                </c:pt>
                <c:pt idx="98">
                  <c:v>-12681.60471469578</c:v>
                </c:pt>
                <c:pt idx="99">
                  <c:v>-11588.17818289464</c:v>
                </c:pt>
                <c:pt idx="100">
                  <c:v>-10536.01753124872</c:v>
                </c:pt>
                <c:pt idx="101">
                  <c:v>-9403.219768093775</c:v>
                </c:pt>
                <c:pt idx="102">
                  <c:v>-8442.924503822665</c:v>
                </c:pt>
                <c:pt idx="103">
                  <c:v>-7527.867382246135</c:v>
                </c:pt>
                <c:pt idx="104">
                  <c:v>-6554.136414658264</c:v>
                </c:pt>
                <c:pt idx="105">
                  <c:v>-5739.591971731104</c:v>
                </c:pt>
                <c:pt idx="106">
                  <c:v>-4974.451853438622</c:v>
                </c:pt>
                <c:pt idx="107">
                  <c:v>-4174.431723955735</c:v>
                </c:pt>
                <c:pt idx="108">
                  <c:v>-3518.849415947065</c:v>
                </c:pt>
                <c:pt idx="109">
                  <c:v>-2916.999533156915</c:v>
                </c:pt>
                <c:pt idx="110">
                  <c:v>-2305.872585452667</c:v>
                </c:pt>
                <c:pt idx="111">
                  <c:v>-1822.767807815286</c:v>
                </c:pt>
                <c:pt idx="112">
                  <c:v>-1397.552072156148</c:v>
                </c:pt>
                <c:pt idx="113">
                  <c:v>-989.6747178815604</c:v>
                </c:pt>
                <c:pt idx="114">
                  <c:v>-690.4618564313296</c:v>
                </c:pt>
                <c:pt idx="115">
                  <c:v>-450.6876101131584</c:v>
                </c:pt>
                <c:pt idx="116">
                  <c:v>-249.9312263693864</c:v>
                </c:pt>
                <c:pt idx="117">
                  <c:v>-128.3739092290234</c:v>
                </c:pt>
                <c:pt idx="118">
                  <c:v>-52.8905544385043</c:v>
                </c:pt>
                <c:pt idx="119">
                  <c:v>-10.54136055730396</c:v>
                </c:pt>
                <c:pt idx="120">
                  <c:v>0</c:v>
                </c:pt>
                <c:pt idx="121">
                  <c:v>-10.54136055730396</c:v>
                </c:pt>
                <c:pt idx="122">
                  <c:v>-52.89055443850248</c:v>
                </c:pt>
                <c:pt idx="123">
                  <c:v>-128.3739092290198</c:v>
                </c:pt>
                <c:pt idx="124">
                  <c:v>-249.9312263693864</c:v>
                </c:pt>
                <c:pt idx="125">
                  <c:v>-450.6876101131584</c:v>
                </c:pt>
                <c:pt idx="126">
                  <c:v>-690.4618564313296</c:v>
                </c:pt>
                <c:pt idx="127">
                  <c:v>-989.6747178815604</c:v>
                </c:pt>
                <c:pt idx="128">
                  <c:v>-1397.552072156148</c:v>
                </c:pt>
                <c:pt idx="129">
                  <c:v>-1822.767807815286</c:v>
                </c:pt>
                <c:pt idx="130">
                  <c:v>-2305.872585452667</c:v>
                </c:pt>
                <c:pt idx="131">
                  <c:v>-2916.999533156915</c:v>
                </c:pt>
                <c:pt idx="132">
                  <c:v>-3518.849415947079</c:v>
                </c:pt>
                <c:pt idx="133">
                  <c:v>-4174.431723955749</c:v>
                </c:pt>
                <c:pt idx="134">
                  <c:v>-4974.451853438622</c:v>
                </c:pt>
                <c:pt idx="135">
                  <c:v>-5739.591971731104</c:v>
                </c:pt>
                <c:pt idx="136">
                  <c:v>-6554.136414658264</c:v>
                </c:pt>
                <c:pt idx="137">
                  <c:v>-7527.867382244032</c:v>
                </c:pt>
                <c:pt idx="138">
                  <c:v>-8442.924503822644</c:v>
                </c:pt>
                <c:pt idx="139">
                  <c:v>-9403.219768093775</c:v>
                </c:pt>
                <c:pt idx="140">
                  <c:v>-10536.01753124872</c:v>
                </c:pt>
                <c:pt idx="141">
                  <c:v>-11588.17818289464</c:v>
                </c:pt>
                <c:pt idx="142">
                  <c:v>-12681.60471469578</c:v>
                </c:pt>
                <c:pt idx="143">
                  <c:v>-13959.5036406426</c:v>
                </c:pt>
                <c:pt idx="144">
                  <c:v>-15136.55814203358</c:v>
                </c:pt>
                <c:pt idx="145">
                  <c:v>-16351.09691409997</c:v>
                </c:pt>
                <c:pt idx="146">
                  <c:v>-17760.80185039583</c:v>
                </c:pt>
                <c:pt idx="147">
                  <c:v>-19051.13227164834</c:v>
                </c:pt>
                <c:pt idx="148">
                  <c:v>-20375.35282685116</c:v>
                </c:pt>
                <c:pt idx="149">
                  <c:v>-21904.22804430117</c:v>
                </c:pt>
                <c:pt idx="150">
                  <c:v>-23296.80105835728</c:v>
                </c:pt>
                <c:pt idx="151">
                  <c:v>-24719.85672730935</c:v>
                </c:pt>
                <c:pt idx="152">
                  <c:v>-26355.92282022882</c:v>
                </c:pt>
                <c:pt idx="153">
                  <c:v>-27840.28839250606</c:v>
                </c:pt>
                <c:pt idx="154">
                  <c:v>-29351.91580166442</c:v>
                </c:pt>
                <c:pt idx="155">
                  <c:v>-31083.84952937637</c:v>
                </c:pt>
                <c:pt idx="156">
                  <c:v>-32650.14068270584</c:v>
                </c:pt>
                <c:pt idx="157">
                  <c:v>-34240.65908349385</c:v>
                </c:pt>
                <c:pt idx="158">
                  <c:v>-36057.79176290192</c:v>
                </c:pt>
                <c:pt idx="159">
                  <c:v>-37696.722160192</c:v>
                </c:pt>
                <c:pt idx="160">
                  <c:v>-39357.02991700124</c:v>
                </c:pt>
                <c:pt idx="161">
                  <c:v>-41249.34202215604</c:v>
                </c:pt>
                <c:pt idx="162">
                  <c:v>-42952.19979250127</c:v>
                </c:pt>
                <c:pt idx="163">
                  <c:v>-44673.76686765764</c:v>
                </c:pt>
                <c:pt idx="164">
                  <c:v>-46631.87794663398</c:v>
                </c:pt>
                <c:pt idx="165">
                  <c:v>-48390.51527485564</c:v>
                </c:pt>
                <c:pt idx="166">
                  <c:v>-50165.37147334049</c:v>
                </c:pt>
                <c:pt idx="167">
                  <c:v>-52180.52535474431</c:v>
                </c:pt>
                <c:pt idx="168">
                  <c:v>-53987.34398363595</c:v>
                </c:pt>
                <c:pt idx="169">
                  <c:v>-55808.06323941368</c:v>
                </c:pt>
                <c:pt idx="170">
                  <c:v>-57872.10897282533</c:v>
                </c:pt>
                <c:pt idx="171">
                  <c:v>-59720.04210248674</c:v>
                </c:pt>
                <c:pt idx="172">
                  <c:v>-61579.72335626042</c:v>
                </c:pt>
                <c:pt idx="173">
                  <c:v>-63685.09256436417</c:v>
                </c:pt>
                <c:pt idx="174">
                  <c:v>-65567.58378946672</c:v>
                </c:pt>
                <c:pt idx="175">
                  <c:v>-67459.8291234388</c:v>
                </c:pt>
                <c:pt idx="176">
                  <c:v>-69599.51053278941</c:v>
                </c:pt>
                <c:pt idx="177">
                  <c:v>-71510.49050705163</c:v>
                </c:pt>
                <c:pt idx="178">
                  <c:v>-73429.38122625335</c:v>
                </c:pt>
                <c:pt idx="179">
                  <c:v>-75596.89314596399</c:v>
                </c:pt>
                <c:pt idx="180">
                  <c:v>-77530.75464681152</c:v>
                </c:pt>
                <c:pt idx="181">
                  <c:v>-79470.82596585111</c:v>
                </c:pt>
                <c:pt idx="182">
                  <c:v>-81660.1874346211</c:v>
                </c:pt>
                <c:pt idx="183">
                  <c:v>-83611.75944718669</c:v>
                </c:pt>
                <c:pt idx="184">
                  <c:v>-85567.97437946207</c:v>
                </c:pt>
                <c:pt idx="185">
                  <c:v>-87773.67562430893</c:v>
                </c:pt>
                <c:pt idx="186">
                  <c:v>-89738.19699014083</c:v>
                </c:pt>
                <c:pt idx="187">
                  <c:v>-91705.91995911617</c:v>
                </c:pt>
                <c:pt idx="188">
                  <c:v>-93922.89271885797</c:v>
                </c:pt>
                <c:pt idx="189">
                  <c:v>-95895.98581265062</c:v>
                </c:pt>
                <c:pt idx="190">
                  <c:v>-97870.95642178803</c:v>
                </c:pt>
                <c:pt idx="191">
                  <c:v>-100094.5445946979</c:v>
                </c:pt>
                <c:pt idx="192">
                  <c:v>-102072.1894095076</c:v>
                </c:pt>
                <c:pt idx="193">
                  <c:v>-104050.4967255254</c:v>
                </c:pt>
                <c:pt idx="194">
                  <c:v>-106276.4277099808</c:v>
                </c:pt>
                <c:pt idx="195">
                  <c:v>-108254.9366526784</c:v>
                </c:pt>
                <c:pt idx="196">
                  <c:v>-110232.9942800576</c:v>
                </c:pt>
                <c:pt idx="197">
                  <c:v>-112457.3512933722</c:v>
                </c:pt>
                <c:pt idx="198">
                  <c:v>-114433.3449203098</c:v>
                </c:pt>
                <c:pt idx="199">
                  <c:v>-116407.8670758184</c:v>
                </c:pt>
                <c:pt idx="200">
                  <c:v>-118627.0626618836</c:v>
                </c:pt>
                <c:pt idx="201">
                  <c:v>-120597.4465214828</c:v>
                </c:pt>
                <c:pt idx="202">
                  <c:v>-122565.4252570747</c:v>
                </c:pt>
                <c:pt idx="203">
                  <c:v>-124776.1761289193</c:v>
                </c:pt>
                <c:pt idx="204">
                  <c:v>-126738.1188236044</c:v>
                </c:pt>
                <c:pt idx="205">
                  <c:v>-128696.8024946254</c:v>
                </c:pt>
                <c:pt idx="206">
                  <c:v>-130896.1058035729</c:v>
                </c:pt>
                <c:pt idx="207">
                  <c:v>-132847.0183380536</c:v>
                </c:pt>
                <c:pt idx="208">
                  <c:v>-134793.8913710381</c:v>
                </c:pt>
                <c:pt idx="209">
                  <c:v>-136979.0024493344</c:v>
                </c:pt>
                <c:pt idx="210">
                  <c:v>-138916.5188951826</c:v>
                </c:pt>
                <c:pt idx="211">
                  <c:v>-140849.282874954</c:v>
                </c:pt>
                <c:pt idx="212">
                  <c:v>-143017.6944627408</c:v>
                </c:pt>
                <c:pt idx="213">
                  <c:v>-144939.6539396716</c:v>
                </c:pt>
                <c:pt idx="214">
                  <c:v>-146856.2100081469</c:v>
                </c:pt>
                <c:pt idx="215">
                  <c:v>-149005.6329474774</c:v>
                </c:pt>
                <c:pt idx="216">
                  <c:v>-150910.062898851</c:v>
                </c:pt>
                <c:pt idx="217">
                  <c:v>-152808.4954369969</c:v>
                </c:pt>
                <c:pt idx="218">
                  <c:v>-154936.8407941876</c:v>
                </c:pt>
                <c:pt idx="219">
                  <c:v>-156821.9415170548</c:v>
                </c:pt>
                <c:pt idx="220">
                  <c:v>-158700.503065868</c:v>
                </c:pt>
                <c:pt idx="221">
                  <c:v>-160805.8656278072</c:v>
                </c:pt>
                <c:pt idx="222">
                  <c:v>-162669.9960054315</c:v>
                </c:pt>
                <c:pt idx="223">
                  <c:v>-164527.0933707741</c:v>
                </c:pt>
                <c:pt idx="224">
                  <c:v>-166607.7364499003</c:v>
                </c:pt>
                <c:pt idx="225">
                  <c:v>-168449.4008262297</c:v>
                </c:pt>
                <c:pt idx="226">
                  <c:v>-170283.5823050193</c:v>
                </c:pt>
                <c:pt idx="227">
                  <c:v>-172337.923780631</c:v>
                </c:pt>
                <c:pt idx="228">
                  <c:v>-174155.7599109689</c:v>
                </c:pt>
                <c:pt idx="229">
                  <c:v>-175965.7035718357</c:v>
                </c:pt>
                <c:pt idx="230">
                  <c:v>-177992.3030914759</c:v>
                </c:pt>
                <c:pt idx="231">
                  <c:v>-179785.0711008741</c:v>
                </c:pt>
                <c:pt idx="232">
                  <c:v>-181569.5740504033</c:v>
                </c:pt>
                <c:pt idx="233">
                  <c:v>-183567.1213135333</c:v>
                </c:pt>
                <c:pt idx="234">
                  <c:v>-185333.6935937139</c:v>
                </c:pt>
                <c:pt idx="235">
                  <c:v>-187091.6621591744</c:v>
                </c:pt>
                <c:pt idx="236">
                  <c:v>-189058.9662057004</c:v>
                </c:pt>
                <c:pt idx="237">
                  <c:v>-190798.3181820776</c:v>
                </c:pt>
                <c:pt idx="238">
                  <c:v>-192528.7589427018</c:v>
                </c:pt>
                <c:pt idx="239">
                  <c:v>-194464.7383706524</c:v>
                </c:pt>
                <c:pt idx="240">
                  <c:v>-196175.9400728935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50000"/>
          <c:min val="-250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Terrain Baseline: Total Radar Elevation Error</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Total radar elevation error - custom parabolic</c:v>
          </c:tx>
          <c:spPr>
            <a:ln xmlns:a="http://schemas.openxmlformats.org/drawingml/2006/mai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c:v>
                </c:pt>
                <c:pt idx="1">
                  <c:v>-21.83533178979366</c:v>
                </c:pt>
                <c:pt idx="2">
                  <c:v>-10.1755490948848</c:v>
                </c:pt>
                <c:pt idx="3">
                  <c:v>-24.33397914678592</c:v>
                </c:pt>
                <c:pt idx="4">
                  <c:v>-34.14594309585588</c:v>
                </c:pt>
                <c:pt idx="5">
                  <c:v>-37.18620756396368</c:v>
                </c:pt>
                <c:pt idx="6">
                  <c:v>-57.97778339698746</c:v>
                </c:pt>
                <c:pt idx="7">
                  <c:v>-59.89935707954884</c:v>
                </c:pt>
                <c:pt idx="8">
                  <c:v>-64.55713040328685</c:v>
                </c:pt>
                <c:pt idx="9">
                  <c:v>-41.33568476798443</c:v>
                </c:pt>
                <c:pt idx="10">
                  <c:v>-49.58095040517583</c:v>
                </c:pt>
                <c:pt idx="11">
                  <c:v>-53.11367179601942</c:v>
                </c:pt>
                <c:pt idx="12">
                  <c:v>-41.23963182688874</c:v>
                </c:pt>
                <c:pt idx="13">
                  <c:v>-52.89202961017506</c:v>
                </c:pt>
                <c:pt idx="14">
                  <c:v>-58.58124540527393</c:v>
                </c:pt>
                <c:pt idx="15">
                  <c:v>-45.61208712836554</c:v>
                </c:pt>
                <c:pt idx="16">
                  <c:v>-47.85601796566243</c:v>
                </c:pt>
                <c:pt idx="17">
                  <c:v>-36.59718199640741</c:v>
                </c:pt>
                <c:pt idx="18">
                  <c:v>-43.00623256223966</c:v>
                </c:pt>
                <c:pt idx="19">
                  <c:v>-51.79967795698167</c:v>
                </c:pt>
                <c:pt idx="20">
                  <c:v>-33.13988446377812</c:v>
                </c:pt>
                <c:pt idx="21">
                  <c:v>-55.72800260954079</c:v>
                </c:pt>
                <c:pt idx="22">
                  <c:v>-43.55059818784699</c:v>
                </c:pt>
                <c:pt idx="23">
                  <c:v>-44.12840969169716</c:v>
                </c:pt>
                <c:pt idx="24">
                  <c:v>-59.24933487502835</c:v>
                </c:pt>
                <c:pt idx="25">
                  <c:v>-57.61708752121564</c:v>
                </c:pt>
                <c:pt idx="26">
                  <c:v>-64.67682483280376</c:v>
                </c:pt>
                <c:pt idx="27">
                  <c:v>-60.9353736942775</c:v>
                </c:pt>
                <c:pt idx="28">
                  <c:v>-52.67423416471991</c:v>
                </c:pt>
                <c:pt idx="29">
                  <c:v>-39.87080279850994</c:v>
                </c:pt>
                <c:pt idx="30">
                  <c:v>-49.26702037465444</c:v>
                </c:pt>
                <c:pt idx="31">
                  <c:v>-30.44926148092549</c:v>
                </c:pt>
                <c:pt idx="32">
                  <c:v>-21.29823305713009</c:v>
                </c:pt>
                <c:pt idx="33">
                  <c:v>-25.11690437512837</c:v>
                </c:pt>
                <c:pt idx="34">
                  <c:v>-5.851868406506469</c:v>
                </c:pt>
                <c:pt idx="35">
                  <c:v>-11.61199298434587</c:v>
                </c:pt>
                <c:pt idx="36">
                  <c:v>6.721315243257379</c:v>
                </c:pt>
                <c:pt idx="37">
                  <c:v>13.84761035036362</c:v>
                </c:pt>
                <c:pt idx="38">
                  <c:v>15.91581281489027</c:v>
                </c:pt>
                <c:pt idx="39">
                  <c:v>12.9466902854939</c:v>
                </c:pt>
                <c:pt idx="40">
                  <c:v>29.10269437590242</c:v>
                </c:pt>
                <c:pt idx="41">
                  <c:v>31.11424964805272</c:v>
                </c:pt>
                <c:pt idx="42">
                  <c:v>30.10167325091712</c:v>
                </c:pt>
                <c:pt idx="43">
                  <c:v>32.13399470662858</c:v>
                </c:pt>
                <c:pt idx="44">
                  <c:v>19.12172334847037</c:v>
                </c:pt>
                <c:pt idx="45">
                  <c:v>16.33682565185896</c:v>
                </c:pt>
                <c:pt idx="46">
                  <c:v>23.55247975077813</c:v>
                </c:pt>
                <c:pt idx="47">
                  <c:v>19.03166123894414</c:v>
                </c:pt>
                <c:pt idx="48">
                  <c:v>-0.2623218193104435</c:v>
                </c:pt>
                <c:pt idx="49">
                  <c:v>-1.975732873976369</c:v>
                </c:pt>
                <c:pt idx="50">
                  <c:v>7.184875005316087</c:v>
                </c:pt>
                <c:pt idx="51">
                  <c:v>7.068156756689859</c:v>
                </c:pt>
                <c:pt idx="52">
                  <c:v>-2.999835813461118</c:v>
                </c:pt>
                <c:pt idx="53">
                  <c:v>-11.29209622370604</c:v>
                </c:pt>
                <c:pt idx="54">
                  <c:v>-15.73827559166062</c:v>
                </c:pt>
                <c:pt idx="55">
                  <c:v>-17.06917876670684</c:v>
                </c:pt>
                <c:pt idx="56">
                  <c:v>-8.468507015690818</c:v>
                </c:pt>
                <c:pt idx="57">
                  <c:v>-12.09386866815316</c:v>
                </c:pt>
                <c:pt idx="58">
                  <c:v>10.45938600042638</c:v>
                </c:pt>
                <c:pt idx="59">
                  <c:v>4.900052542946412</c:v>
                </c:pt>
                <c:pt idx="60">
                  <c:v>15.01244253972823</c:v>
                </c:pt>
                <c:pt idx="61">
                  <c:v>33.78877449254139</c:v>
                </c:pt>
                <c:pt idx="62">
                  <c:v>20.490290570502</c:v>
                </c:pt>
                <c:pt idx="63">
                  <c:v>27.55558811212802</c:v>
                </c:pt>
                <c:pt idx="64">
                  <c:v>50.86297851600432</c:v>
                </c:pt>
                <c:pt idx="65">
                  <c:v>61.01934725720247</c:v>
                </c:pt>
                <c:pt idx="66">
                  <c:v>67.75840286430258</c:v>
                </c:pt>
                <c:pt idx="67">
                  <c:v>76.23568800360908</c:v>
                </c:pt>
                <c:pt idx="68">
                  <c:v>80.44622831250399</c:v>
                </c:pt>
                <c:pt idx="69">
                  <c:v>102.6247584194219</c:v>
                </c:pt>
                <c:pt idx="70">
                  <c:v>95.9627285030823</c:v>
                </c:pt>
                <c:pt idx="71">
                  <c:v>111.959443364968</c:v>
                </c:pt>
                <c:pt idx="72">
                  <c:v>109.9110637934084</c:v>
                </c:pt>
                <c:pt idx="73">
                  <c:v>124.0741273746912</c:v>
                </c:pt>
                <c:pt idx="74">
                  <c:v>130.9673287407926</c:v>
                </c:pt>
                <c:pt idx="75">
                  <c:v>136.707680459905</c:v>
                </c:pt>
                <c:pt idx="76">
                  <c:v>142.3803481479948</c:v>
                </c:pt>
                <c:pt idx="77">
                  <c:v>155.1646138783244</c:v>
                </c:pt>
                <c:pt idx="78">
                  <c:v>140.7181723569108</c:v>
                </c:pt>
                <c:pt idx="79">
                  <c:v>138.7925823795582</c:v>
                </c:pt>
                <c:pt idx="80">
                  <c:v>144.6299048878972</c:v>
                </c:pt>
                <c:pt idx="81">
                  <c:v>138.2559120216306</c:v>
                </c:pt>
                <c:pt idx="82">
                  <c:v>143.0894233868169</c:v>
                </c:pt>
                <c:pt idx="83">
                  <c:v>134.9294543629348</c:v>
                </c:pt>
                <c:pt idx="84">
                  <c:v>147.2981342830377</c:v>
                </c:pt>
                <c:pt idx="85">
                  <c:v>137.2593918384372</c:v>
                </c:pt>
                <c:pt idx="86">
                  <c:v>123.9987589254881</c:v>
                </c:pt>
                <c:pt idx="87">
                  <c:v>122.1642571318593</c:v>
                </c:pt>
                <c:pt idx="88">
                  <c:v>95.69343337780924</c:v>
                </c:pt>
                <c:pt idx="89">
                  <c:v>107.596366340638</c:v>
                </c:pt>
                <c:pt idx="90">
                  <c:v>88.756788598213</c:v>
                </c:pt>
                <c:pt idx="91">
                  <c:v>84.90823497062411</c:v>
                </c:pt>
                <c:pt idx="92">
                  <c:v>82.66882036124099</c:v>
                </c:pt>
                <c:pt idx="93">
                  <c:v>59.37178148615698</c:v>
                </c:pt>
                <c:pt idx="94">
                  <c:v>62.40409195271275</c:v>
                </c:pt>
                <c:pt idx="95">
                  <c:v>68.46106537271447</c:v>
                </c:pt>
                <c:pt idx="96">
                  <c:v>45.90303877387475</c:v>
                </c:pt>
                <c:pt idx="97">
                  <c:v>46.36006761282579</c:v>
                </c:pt>
                <c:pt idx="98">
                  <c:v>41.59395285736048</c:v>
                </c:pt>
                <c:pt idx="99">
                  <c:v>50.3973368399773</c:v>
                </c:pt>
                <c:pt idx="100">
                  <c:v>47.74262749334355</c:v>
                </c:pt>
                <c:pt idx="101">
                  <c:v>30.62277815696842</c:v>
                </c:pt>
                <c:pt idx="102">
                  <c:v>45.75306376780679</c:v>
                </c:pt>
                <c:pt idx="103">
                  <c:v>60.26909079725334</c:v>
                </c:pt>
                <c:pt idx="104">
                  <c:v>37.72928503169089</c:v>
                </c:pt>
                <c:pt idx="105">
                  <c:v>41.64822705623317</c:v>
                </c:pt>
                <c:pt idx="106">
                  <c:v>46.5780342922273</c:v>
                </c:pt>
                <c:pt idx="107">
                  <c:v>57.97037664669824</c:v>
                </c:pt>
                <c:pt idx="108">
                  <c:v>59.64286286593574</c:v>
                </c:pt>
                <c:pt idx="109">
                  <c:v>62.18129300695398</c:v>
                </c:pt>
                <c:pt idx="110">
                  <c:v>72.28193903621099</c:v>
                </c:pt>
                <c:pt idx="111">
                  <c:v>71.74572140012543</c:v>
                </c:pt>
                <c:pt idx="112">
                  <c:v>72.8933434872161</c:v>
                </c:pt>
                <c:pt idx="113">
                  <c:v>77.37954858602365</c:v>
                </c:pt>
                <c:pt idx="114">
                  <c:v>66.37148842226225</c:v>
                </c:pt>
                <c:pt idx="115">
                  <c:v>48.52707596926308</c:v>
                </c:pt>
                <c:pt idx="116">
                  <c:v>58.25800243476237</c:v>
                </c:pt>
                <c:pt idx="117">
                  <c:v>32.8240715860631</c:v>
                </c:pt>
                <c:pt idx="118">
                  <c:v>36.90745807012206</c:v>
                </c:pt>
                <c:pt idx="119">
                  <c:v>14.49073206608045</c:v>
                </c:pt>
                <c:pt idx="120">
                  <c:v>3.470473001669973</c:v>
                </c:pt>
                <c:pt idx="121">
                  <c:v>-3.744887298194101</c:v>
                </c:pt>
                <c:pt idx="122">
                  <c:v>-44.60929521056897</c:v>
                </c:pt>
                <c:pt idx="123">
                  <c:v>-48.41044167320268</c:v>
                </c:pt>
                <c:pt idx="124">
                  <c:v>-67.2127716143965</c:v>
                </c:pt>
                <c:pt idx="125">
                  <c:v>-72.60871904794737</c:v>
                </c:pt>
                <c:pt idx="126">
                  <c:v>-83.79582951419684</c:v>
                </c:pt>
                <c:pt idx="127">
                  <c:v>-100.3817455304483</c:v>
                </c:pt>
                <c:pt idx="128">
                  <c:v>-98.13487225669684</c:v>
                </c:pt>
                <c:pt idx="129">
                  <c:v>-84.32559173978757</c:v>
                </c:pt>
                <c:pt idx="130">
                  <c:v>-100.7050658008189</c:v>
                </c:pt>
                <c:pt idx="131">
                  <c:v>-98.853802750613</c:v>
                </c:pt>
                <c:pt idx="132">
                  <c:v>-72.07812022820997</c:v>
                </c:pt>
                <c:pt idx="133">
                  <c:v>-79.36936471450957</c:v>
                </c:pt>
                <c:pt idx="134">
                  <c:v>-68.68735869698332</c:v>
                </c:pt>
                <c:pt idx="135">
                  <c:v>-57.88906159607785</c:v>
                </c:pt>
                <c:pt idx="136">
                  <c:v>-47.67806039653578</c:v>
                </c:pt>
                <c:pt idx="137">
                  <c:v>-37.06559531772615</c:v>
                </c:pt>
                <c:pt idx="138">
                  <c:v>-31.29867251468414</c:v>
                </c:pt>
                <c:pt idx="139">
                  <c:v>-7.331808066710664</c:v>
                </c:pt>
                <c:pt idx="140">
                  <c:v>6.950709341010338</c:v>
                </c:pt>
                <c:pt idx="141">
                  <c:v>-6.518900351173727</c:v>
                </c:pt>
                <c:pt idx="142">
                  <c:v>-3.571639906141741</c:v>
                </c:pt>
                <c:pt idx="143">
                  <c:v>-5.661420832986096</c:v>
                </c:pt>
                <c:pt idx="144">
                  <c:v>-8.671483580595464</c:v>
                </c:pt>
                <c:pt idx="145">
                  <c:v>4.021249498760881</c:v>
                </c:pt>
                <c:pt idx="146">
                  <c:v>1.945957887868531</c:v>
                </c:pt>
                <c:pt idx="147">
                  <c:v>-1.666650323524323</c:v>
                </c:pt>
                <c:pt idx="148">
                  <c:v>-18.81128421623464</c:v>
                </c:pt>
                <c:pt idx="149">
                  <c:v>-29.02966639904383</c:v>
                </c:pt>
                <c:pt idx="150">
                  <c:v>-47.02923022419986</c:v>
                </c:pt>
                <c:pt idx="151">
                  <c:v>-50.77028983950106</c:v>
                </c:pt>
                <c:pt idx="152">
                  <c:v>-71.45092295981351</c:v>
                </c:pt>
                <c:pt idx="153">
                  <c:v>-73.29754339504791</c:v>
                </c:pt>
                <c:pt idx="154">
                  <c:v>-60.39278368996094</c:v>
                </c:pt>
                <c:pt idx="155">
                  <c:v>-67.59699500577472</c:v>
                </c:pt>
                <c:pt idx="156">
                  <c:v>-72.44552854447926</c:v>
                </c:pt>
                <c:pt idx="157">
                  <c:v>-86.11751503190482</c:v>
                </c:pt>
                <c:pt idx="158">
                  <c:v>-89.87063812898208</c:v>
                </c:pt>
                <c:pt idx="159">
                  <c:v>-82.23751612797241</c:v>
                </c:pt>
                <c:pt idx="160">
                  <c:v>-76.53704728675359</c:v>
                </c:pt>
                <c:pt idx="161">
                  <c:v>-79.34560005519478</c:v>
                </c:pt>
                <c:pt idx="162">
                  <c:v>-86.91047035433752</c:v>
                </c:pt>
                <c:pt idx="163">
                  <c:v>-86.01689250798682</c:v>
                </c:pt>
                <c:pt idx="164">
                  <c:v>-75.79770446387516</c:v>
                </c:pt>
                <c:pt idx="165">
                  <c:v>-76.31405067890728</c:v>
                </c:pt>
                <c:pt idx="166">
                  <c:v>-64.25633636231674</c:v>
                </c:pt>
                <c:pt idx="167">
                  <c:v>-73.4728540128869</c:v>
                </c:pt>
                <c:pt idx="168">
                  <c:v>-78.06097148341985</c:v>
                </c:pt>
                <c:pt idx="169">
                  <c:v>-82.77777036732385</c:v>
                </c:pt>
                <c:pt idx="170">
                  <c:v>-64.0586008488292</c:v>
                </c:pt>
                <c:pt idx="171">
                  <c:v>-70.33405513005249</c:v>
                </c:pt>
                <c:pt idx="172">
                  <c:v>-67.49562383687334</c:v>
                </c:pt>
                <c:pt idx="173">
                  <c:v>-72.00336103907381</c:v>
                </c:pt>
                <c:pt idx="174">
                  <c:v>-66.74406286520434</c:v>
                </c:pt>
                <c:pt idx="175">
                  <c:v>-48.0588729619767</c:v>
                </c:pt>
                <c:pt idx="176">
                  <c:v>-61.09136424796961</c:v>
                </c:pt>
                <c:pt idx="177">
                  <c:v>-55.9044136699622</c:v>
                </c:pt>
                <c:pt idx="178">
                  <c:v>-31.39290658082129</c:v>
                </c:pt>
                <c:pt idx="179">
                  <c:v>-22.36724131943237</c:v>
                </c:pt>
                <c:pt idx="180">
                  <c:v>-13.79992443180913</c:v>
                </c:pt>
                <c:pt idx="181">
                  <c:v>-6.103628143161473</c:v>
                </c:pt>
                <c:pt idx="182">
                  <c:v>-20.54342009994792</c:v>
                </c:pt>
                <c:pt idx="183">
                  <c:v>-20.28539462774293</c:v>
                </c:pt>
                <c:pt idx="184">
                  <c:v>-0.4268979216300863</c:v>
                </c:pt>
                <c:pt idx="185">
                  <c:v>-7.712229584059514</c:v>
                </c:pt>
                <c:pt idx="186">
                  <c:v>1.724927204509129</c:v>
                </c:pt>
                <c:pt idx="187">
                  <c:v>-4.742014780555934</c:v>
                </c:pt>
                <c:pt idx="188">
                  <c:v>-12.00827060495973</c:v>
                </c:pt>
                <c:pt idx="189">
                  <c:v>-24.50186317950082</c:v>
                </c:pt>
                <c:pt idx="190">
                  <c:v>-31.09945778927886</c:v>
                </c:pt>
                <c:pt idx="191">
                  <c:v>-34.44955577121655</c:v>
                </c:pt>
                <c:pt idx="192">
                  <c:v>-47.77178417863914</c:v>
                </c:pt>
                <c:pt idx="193">
                  <c:v>-47.58850500560911</c:v>
                </c:pt>
                <c:pt idx="194">
                  <c:v>-61.04391279282535</c:v>
                </c:pt>
                <c:pt idx="195">
                  <c:v>-58.84680272570924</c:v>
                </c:pt>
                <c:pt idx="196">
                  <c:v>-77.72439146435559</c:v>
                </c:pt>
                <c:pt idx="197">
                  <c:v>-84.40826877550307</c:v>
                </c:pt>
                <c:pt idx="198">
                  <c:v>-85.90700470954434</c:v>
                </c:pt>
                <c:pt idx="199">
                  <c:v>-79.47691436006437</c:v>
                </c:pt>
                <c:pt idx="200">
                  <c:v>-69.55012271575345</c:v>
                </c:pt>
                <c:pt idx="201">
                  <c:v>-63.44908989814266</c:v>
                </c:pt>
                <c:pt idx="202">
                  <c:v>-55.69468625089738</c:v>
                </c:pt>
                <c:pt idx="203">
                  <c:v>-61.43683973487688</c:v>
                </c:pt>
                <c:pt idx="204">
                  <c:v>-37.65230230192819</c:v>
                </c:pt>
                <c:pt idx="205">
                  <c:v>-43.30298834836995</c:v>
                </c:pt>
                <c:pt idx="206">
                  <c:v>-36.28244299194577</c:v>
                </c:pt>
                <c:pt idx="207">
                  <c:v>-23.26142117274836</c:v>
                </c:pt>
                <c:pt idx="208">
                  <c:v>-9.63259125781883</c:v>
                </c:pt>
                <c:pt idx="209">
                  <c:v>1.035142800626886</c:v>
                </c:pt>
                <c:pt idx="210">
                  <c:v>2.635051893500531</c:v>
                </c:pt>
                <c:pt idx="211">
                  <c:v>2.762829766127794</c:v>
                </c:pt>
                <c:pt idx="212">
                  <c:v>-1.895271667048434</c:v>
                </c:pt>
                <c:pt idx="213">
                  <c:v>10.64312566206969</c:v>
                </c:pt>
                <c:pt idx="214">
                  <c:v>-7.248372089744151</c:v>
                </c:pt>
                <c:pt idx="215">
                  <c:v>-6.218848981770151</c:v>
                </c:pt>
                <c:pt idx="216">
                  <c:v>7.316979239027631</c:v>
                </c:pt>
                <c:pt idx="217">
                  <c:v>0.4063477295445352</c:v>
                </c:pt>
                <c:pt idx="218">
                  <c:v>-12.02291335515622</c:v>
                </c:pt>
                <c:pt idx="219">
                  <c:v>0.5602533864366706</c:v>
                </c:pt>
                <c:pt idx="220">
                  <c:v>-9.90034021804506</c:v>
                </c:pt>
                <c:pt idx="221">
                  <c:v>-9.261408253939592</c:v>
                </c:pt>
                <c:pt idx="222">
                  <c:v>-13.64503521568463</c:v>
                </c:pt>
                <c:pt idx="223">
                  <c:v>2.044556285263553</c:v>
                </c:pt>
                <c:pt idx="224">
                  <c:v>5.188627805772796</c:v>
                </c:pt>
                <c:pt idx="225">
                  <c:v>-9.24374226910868</c:v>
                </c:pt>
                <c:pt idx="226">
                  <c:v>-7.523615352549314</c:v>
                </c:pt>
                <c:pt idx="227">
                  <c:v>-2.890955997517267</c:v>
                </c:pt>
                <c:pt idx="228">
                  <c:v>4.780407983842736</c:v>
                </c:pt>
                <c:pt idx="229">
                  <c:v>7.851592639476451</c:v>
                </c:pt>
                <c:pt idx="230">
                  <c:v>-0.5459606868673177</c:v>
                </c:pt>
                <c:pt idx="231">
                  <c:v>3.310332055403848</c:v>
                </c:pt>
                <c:pt idx="232">
                  <c:v>1.004616212667287</c:v>
                </c:pt>
                <c:pt idx="233">
                  <c:v>-25.17407105003247</c:v>
                </c:pt>
                <c:pt idx="234">
                  <c:v>-22.11771875703303</c:v>
                </c:pt>
                <c:pt idx="235">
                  <c:v>-29.30596986523128</c:v>
                </c:pt>
                <c:pt idx="236">
                  <c:v>-33.7631620783506</c:v>
                </c:pt>
                <c:pt idx="237">
                  <c:v>-32.05079854149554</c:v>
                </c:pt>
                <c:pt idx="238">
                  <c:v>-29.46870143821081</c:v>
                </c:pt>
                <c:pt idx="239">
                  <c:v>-49.02543943363386</c:v>
                </c:pt>
                <c:pt idx="240">
                  <c:v>-35.49215422910294</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200"/>
          <c:min val="-15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plotVisOnly val="1"/>
  </c:chart>
  <c:spPr>
    <a:solidFill xmlns:a="http://schemas.openxmlformats.org/drawingml/2006/main">
      <a:srgbClr val="FFFFFF"/>
    </a:solidFill>
    <a:ln xmlns:a="http://schemas.openxmlformats.org/drawingml/2006/main">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Doppler: Flat Geometry vs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Flat VHF Doppler (Hz)</c:v>
          </c:tx>
          <c:spPr>
            <a:ln xmlns:a="http://schemas.openxmlformats.org/drawingml/2006/mai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502.8982336069021</c:v>
                </c:pt>
                <c:pt idx="1">
                  <c:v>500.8630129198536</c:v>
                </c:pt>
                <c:pt idx="2">
                  <c:v>496.7909104278988</c:v>
                </c:pt>
                <c:pt idx="3">
                  <c:v>492.7154965813315</c:v>
                </c:pt>
                <c:pt idx="4">
                  <c:v>488.6367932379471</c:v>
                </c:pt>
                <c:pt idx="5">
                  <c:v>484.554822402788</c:v>
                </c:pt>
                <c:pt idx="6">
                  <c:v>480.4696062107723</c:v>
                </c:pt>
                <c:pt idx="7">
                  <c:v>476.3811669553434</c:v>
                </c:pt>
                <c:pt idx="8">
                  <c:v>472.2895270569097</c:v>
                </c:pt>
                <c:pt idx="9">
                  <c:v>468.1947090801259</c:v>
                </c:pt>
                <c:pt idx="10">
                  <c:v>464.0967357390764</c:v>
                </c:pt>
                <c:pt idx="11">
                  <c:v>459.9956298745383</c:v>
                </c:pt>
                <c:pt idx="12">
                  <c:v>455.8914144732626</c:v>
                </c:pt>
                <c:pt idx="13">
                  <c:v>451.7841126563326</c:v>
                </c:pt>
                <c:pt idx="14">
                  <c:v>447.6737476930793</c:v>
                </c:pt>
                <c:pt idx="15">
                  <c:v>443.5603429712501</c:v>
                </c:pt>
                <c:pt idx="16">
                  <c:v>439.4439220161985</c:v>
                </c:pt>
                <c:pt idx="17">
                  <c:v>435.3245085102571</c:v>
                </c:pt>
                <c:pt idx="18">
                  <c:v>431.2021262460803</c:v>
                </c:pt>
                <c:pt idx="19">
                  <c:v>427.0767991610228</c:v>
                </c:pt>
                <c:pt idx="20">
                  <c:v>422.9485513214968</c:v>
                </c:pt>
                <c:pt idx="21">
                  <c:v>418.8174069217894</c:v>
                </c:pt>
                <c:pt idx="22">
                  <c:v>414.6833903003426</c:v>
                </c:pt>
                <c:pt idx="23">
                  <c:v>410.5465259111043</c:v>
                </c:pt>
                <c:pt idx="24">
                  <c:v>406.4068383446283</c:v>
                </c:pt>
                <c:pt idx="25">
                  <c:v>402.2643523236184</c:v>
                </c:pt>
                <c:pt idx="26">
                  <c:v>398.1190926891031</c:v>
                </c:pt>
                <c:pt idx="27">
                  <c:v>393.9710844109868</c:v>
                </c:pt>
                <c:pt idx="28">
                  <c:v>389.8203525829558</c:v>
                </c:pt>
                <c:pt idx="29">
                  <c:v>385.6669224382131</c:v>
                </c:pt>
                <c:pt idx="30">
                  <c:v>381.5108193193737</c:v>
                </c:pt>
                <c:pt idx="31">
                  <c:v>377.3520686901975</c:v>
                </c:pt>
                <c:pt idx="32">
                  <c:v>373.1906961457753</c:v>
                </c:pt>
                <c:pt idx="33">
                  <c:v>369.0267273985228</c:v>
                </c:pt>
                <c:pt idx="34">
                  <c:v>364.8601882793628</c:v>
                </c:pt>
                <c:pt idx="35">
                  <c:v>360.6911047401809</c:v>
                </c:pt>
                <c:pt idx="36">
                  <c:v>356.5195028526432</c:v>
                </c:pt>
                <c:pt idx="37">
                  <c:v>352.3454087967366</c:v>
                </c:pt>
                <c:pt idx="38">
                  <c:v>348.1688488831423</c:v>
                </c:pt>
                <c:pt idx="39">
                  <c:v>343.989849524587</c:v>
                </c:pt>
                <c:pt idx="40">
                  <c:v>339.8084372499397</c:v>
                </c:pt>
                <c:pt idx="41">
                  <c:v>335.6246387103965</c:v>
                </c:pt>
                <c:pt idx="42">
                  <c:v>331.4384806597445</c:v>
                </c:pt>
                <c:pt idx="43">
                  <c:v>327.2499899624563</c:v>
                </c:pt>
                <c:pt idx="44">
                  <c:v>323.0591935966004</c:v>
                </c:pt>
                <c:pt idx="45">
                  <c:v>318.8661186490208</c:v>
                </c:pt>
                <c:pt idx="46">
                  <c:v>314.6707923143367</c:v>
                </c:pt>
                <c:pt idx="47">
                  <c:v>310.4732418857566</c:v>
                </c:pt>
                <c:pt idx="48">
                  <c:v>306.2734947710851</c:v>
                </c:pt>
                <c:pt idx="49">
                  <c:v>302.0715784808999</c:v>
                </c:pt>
                <c:pt idx="50">
                  <c:v>297.8675206210937</c:v>
                </c:pt>
                <c:pt idx="51">
                  <c:v>293.6613489122465</c:v>
                </c:pt>
                <c:pt idx="52">
                  <c:v>289.4530911666152</c:v>
                </c:pt>
                <c:pt idx="53">
                  <c:v>285.2427752939548</c:v>
                </c:pt>
                <c:pt idx="54">
                  <c:v>281.0304293043373</c:v>
                </c:pt>
                <c:pt idx="55">
                  <c:v>276.816081312063</c:v>
                </c:pt>
                <c:pt idx="56">
                  <c:v>272.599759519926</c:v>
                </c:pt>
                <c:pt idx="57">
                  <c:v>268.3814922220336</c:v>
                </c:pt>
                <c:pt idx="58">
                  <c:v>264.1613078166301</c:v>
                </c:pt>
                <c:pt idx="59">
                  <c:v>259.939234788817</c:v>
                </c:pt>
                <c:pt idx="60">
                  <c:v>255.715301705095</c:v>
                </c:pt>
                <c:pt idx="61">
                  <c:v>251.4895372385581</c:v>
                </c:pt>
                <c:pt idx="62">
                  <c:v>247.261970144973</c:v>
                </c:pt>
                <c:pt idx="63">
                  <c:v>243.0326292542304</c:v>
                </c:pt>
                <c:pt idx="64">
                  <c:v>238.80154350054</c:v>
                </c:pt>
                <c:pt idx="65">
                  <c:v>234.5687418896887</c:v>
                </c:pt>
                <c:pt idx="66">
                  <c:v>230.3342535144111</c:v>
                </c:pt>
                <c:pt idx="67">
                  <c:v>226.0981075584823</c:v>
                </c:pt>
                <c:pt idx="68">
                  <c:v>221.8603332677048</c:v>
                </c:pt>
                <c:pt idx="69">
                  <c:v>217.6209599799222</c:v>
                </c:pt>
                <c:pt idx="70">
                  <c:v>213.3800171111943</c:v>
                </c:pt>
                <c:pt idx="71">
                  <c:v>209.137534148249</c:v>
                </c:pt>
                <c:pt idx="72">
                  <c:v>204.89354065312</c:v>
                </c:pt>
                <c:pt idx="73">
                  <c:v>200.6480662669674</c:v>
                </c:pt>
                <c:pt idx="74">
                  <c:v>196.4011407017097</c:v>
                </c:pt>
                <c:pt idx="75">
                  <c:v>192.1527937345672</c:v>
                </c:pt>
                <c:pt idx="76">
                  <c:v>187.9030552198856</c:v>
                </c:pt>
                <c:pt idx="77">
                  <c:v>183.6519550712183</c:v>
                </c:pt>
                <c:pt idx="78">
                  <c:v>179.3995232830639</c:v>
                </c:pt>
                <c:pt idx="79">
                  <c:v>175.1457899012166</c:v>
                </c:pt>
                <c:pt idx="80">
                  <c:v>170.8907850389551</c:v>
                </c:pt>
                <c:pt idx="81">
                  <c:v>166.6345388791342</c:v>
                </c:pt>
                <c:pt idx="82">
                  <c:v>162.3770816552678</c:v>
                </c:pt>
                <c:pt idx="83">
                  <c:v>158.1184436692638</c:v>
                </c:pt>
                <c:pt idx="84">
                  <c:v>153.8586552778725</c:v>
                </c:pt>
                <c:pt idx="85">
                  <c:v>149.5977468964156</c:v>
                </c:pt>
                <c:pt idx="86">
                  <c:v>145.3357489860537</c:v>
                </c:pt>
                <c:pt idx="87">
                  <c:v>141.0726920732486</c:v>
                </c:pt>
                <c:pt idx="88">
                  <c:v>136.8086067365766</c:v>
                </c:pt>
                <c:pt idx="89">
                  <c:v>132.5435235945406</c:v>
                </c:pt>
                <c:pt idx="90">
                  <c:v>128.2774733243059</c:v>
                </c:pt>
                <c:pt idx="91">
                  <c:v>124.0104866564252</c:v>
                </c:pt>
                <c:pt idx="92">
                  <c:v>119.7425943531016</c:v>
                </c:pt>
                <c:pt idx="93">
                  <c:v>115.4738272234681</c:v>
                </c:pt>
                <c:pt idx="94">
                  <c:v>111.2042161348654</c:v>
                </c:pt>
                <c:pt idx="95">
                  <c:v>106.9337919834652</c:v>
                </c:pt>
                <c:pt idx="96">
                  <c:v>102.6625857094587</c:v>
                </c:pt>
                <c:pt idx="97">
                  <c:v>98.39062828850729</c:v>
                </c:pt>
                <c:pt idx="98">
                  <c:v>94.1179507391098</c:v>
                </c:pt>
                <c:pt idx="99">
                  <c:v>89.8445841135981</c:v>
                </c:pt>
                <c:pt idx="100">
                  <c:v>85.5705594970459</c:v>
                </c:pt>
                <c:pt idx="101">
                  <c:v>81.2959080145447</c:v>
                </c:pt>
                <c:pt idx="102">
                  <c:v>77.0206608074659</c:v>
                </c:pt>
                <c:pt idx="103">
                  <c:v>72.74484905628924</c:v>
                </c:pt>
                <c:pt idx="104">
                  <c:v>68.46850397168964</c:v>
                </c:pt>
                <c:pt idx="105">
                  <c:v>64.19165678507852</c:v>
                </c:pt>
                <c:pt idx="106">
                  <c:v>59.91433876615702</c:v>
                </c:pt>
                <c:pt idx="107">
                  <c:v>55.63658118935564</c:v>
                </c:pt>
                <c:pt idx="108">
                  <c:v>51.35841535866348</c:v>
                </c:pt>
                <c:pt idx="109">
                  <c:v>47.07987260953814</c:v>
                </c:pt>
                <c:pt idx="110">
                  <c:v>42.80098427389021</c:v>
                </c:pt>
                <c:pt idx="111">
                  <c:v>38.52178171227933</c:v>
                </c:pt>
                <c:pt idx="112">
                  <c:v>34.24229631555136</c:v>
                </c:pt>
                <c:pt idx="113">
                  <c:v>29.96255946854944</c:v>
                </c:pt>
                <c:pt idx="114">
                  <c:v>25.68260257039583</c:v>
                </c:pt>
                <c:pt idx="115">
                  <c:v>21.40245704222252</c:v>
                </c:pt>
                <c:pt idx="116">
                  <c:v>17.12215430170545</c:v>
                </c:pt>
                <c:pt idx="117">
                  <c:v>12.84172578953076</c:v>
                </c:pt>
                <c:pt idx="118">
                  <c:v>8.561202941109514</c:v>
                </c:pt>
                <c:pt idx="119">
                  <c:v>4.280617193035141</c:v>
                </c:pt>
                <c:pt idx="120">
                  <c:v>0</c:v>
                </c:pt>
                <c:pt idx="121">
                  <c:v>-4.280617193035141</c:v>
                </c:pt>
                <c:pt idx="122">
                  <c:v>-8.561202941109514</c:v>
                </c:pt>
                <c:pt idx="123">
                  <c:v>-12.84172578953076</c:v>
                </c:pt>
                <c:pt idx="124">
                  <c:v>-17.12215430170545</c:v>
                </c:pt>
                <c:pt idx="125">
                  <c:v>-21.40245704222252</c:v>
                </c:pt>
                <c:pt idx="126">
                  <c:v>-25.68260257039583</c:v>
                </c:pt>
                <c:pt idx="127">
                  <c:v>-29.96255946854944</c:v>
                </c:pt>
                <c:pt idx="128">
                  <c:v>-34.24229631555136</c:v>
                </c:pt>
                <c:pt idx="129">
                  <c:v>-38.52178171227933</c:v>
                </c:pt>
                <c:pt idx="130">
                  <c:v>-42.80098427389021</c:v>
                </c:pt>
                <c:pt idx="131">
                  <c:v>-47.07987260953814</c:v>
                </c:pt>
                <c:pt idx="132">
                  <c:v>-51.35841535866348</c:v>
                </c:pt>
                <c:pt idx="133">
                  <c:v>-55.63658118935564</c:v>
                </c:pt>
                <c:pt idx="134">
                  <c:v>-59.91433876615702</c:v>
                </c:pt>
                <c:pt idx="135">
                  <c:v>-64.19165678507852</c:v>
                </c:pt>
                <c:pt idx="136">
                  <c:v>-68.46850397168964</c:v>
                </c:pt>
                <c:pt idx="137">
                  <c:v>-72.74484905628924</c:v>
                </c:pt>
                <c:pt idx="138">
                  <c:v>-77.0206608074659</c:v>
                </c:pt>
                <c:pt idx="139">
                  <c:v>-81.2959080145447</c:v>
                </c:pt>
                <c:pt idx="140">
                  <c:v>-85.5705594970459</c:v>
                </c:pt>
                <c:pt idx="141">
                  <c:v>-89.8445841135981</c:v>
                </c:pt>
                <c:pt idx="142">
                  <c:v>-94.1179507391098</c:v>
                </c:pt>
                <c:pt idx="143">
                  <c:v>-98.39062828850729</c:v>
                </c:pt>
                <c:pt idx="144">
                  <c:v>-102.6625857094587</c:v>
                </c:pt>
                <c:pt idx="145">
                  <c:v>-106.9337919834652</c:v>
                </c:pt>
                <c:pt idx="146">
                  <c:v>-111.2042161348654</c:v>
                </c:pt>
                <c:pt idx="147">
                  <c:v>-115.4738272234681</c:v>
                </c:pt>
                <c:pt idx="148">
                  <c:v>-119.7425943531016</c:v>
                </c:pt>
                <c:pt idx="149">
                  <c:v>-124.0104866564252</c:v>
                </c:pt>
                <c:pt idx="150">
                  <c:v>-128.2774733243059</c:v>
                </c:pt>
                <c:pt idx="151">
                  <c:v>-132.5435235945406</c:v>
                </c:pt>
                <c:pt idx="152">
                  <c:v>-136.8086067365766</c:v>
                </c:pt>
                <c:pt idx="153">
                  <c:v>-141.0726920732486</c:v>
                </c:pt>
                <c:pt idx="154">
                  <c:v>-145.3357489860537</c:v>
                </c:pt>
                <c:pt idx="155">
                  <c:v>-149.5977468964156</c:v>
                </c:pt>
                <c:pt idx="156">
                  <c:v>-153.8586552778725</c:v>
                </c:pt>
                <c:pt idx="157">
                  <c:v>-158.1184436692638</c:v>
                </c:pt>
                <c:pt idx="158">
                  <c:v>-162.3770816552678</c:v>
                </c:pt>
                <c:pt idx="159">
                  <c:v>-166.6345388791342</c:v>
                </c:pt>
                <c:pt idx="160">
                  <c:v>-170.8907850389551</c:v>
                </c:pt>
                <c:pt idx="161">
                  <c:v>-175.1457899012166</c:v>
                </c:pt>
                <c:pt idx="162">
                  <c:v>-179.3995232830639</c:v>
                </c:pt>
                <c:pt idx="163">
                  <c:v>-183.6519550712183</c:v>
                </c:pt>
                <c:pt idx="164">
                  <c:v>-187.9030552198856</c:v>
                </c:pt>
                <c:pt idx="165">
                  <c:v>-192.1527937345672</c:v>
                </c:pt>
                <c:pt idx="166">
                  <c:v>-196.4011407017097</c:v>
                </c:pt>
                <c:pt idx="167">
                  <c:v>-200.6480662669674</c:v>
                </c:pt>
                <c:pt idx="168">
                  <c:v>-204.89354065312</c:v>
                </c:pt>
                <c:pt idx="169">
                  <c:v>-209.137534148249</c:v>
                </c:pt>
                <c:pt idx="170">
                  <c:v>-213.3800171111943</c:v>
                </c:pt>
                <c:pt idx="171">
                  <c:v>-217.6209599799222</c:v>
                </c:pt>
                <c:pt idx="172">
                  <c:v>-221.8603332677048</c:v>
                </c:pt>
                <c:pt idx="173">
                  <c:v>-226.0981075584823</c:v>
                </c:pt>
                <c:pt idx="174">
                  <c:v>-230.3342535144111</c:v>
                </c:pt>
                <c:pt idx="175">
                  <c:v>-234.5687418896887</c:v>
                </c:pt>
                <c:pt idx="176">
                  <c:v>-238.80154350054</c:v>
                </c:pt>
                <c:pt idx="177">
                  <c:v>-243.0326292542304</c:v>
                </c:pt>
                <c:pt idx="178">
                  <c:v>-247.261970144973</c:v>
                </c:pt>
                <c:pt idx="179">
                  <c:v>-251.4895372385581</c:v>
                </c:pt>
                <c:pt idx="180">
                  <c:v>-255.715301705095</c:v>
                </c:pt>
                <c:pt idx="181">
                  <c:v>-259.939234788817</c:v>
                </c:pt>
                <c:pt idx="182">
                  <c:v>-264.1613078166301</c:v>
                </c:pt>
                <c:pt idx="183">
                  <c:v>-268.3814922220336</c:v>
                </c:pt>
                <c:pt idx="184">
                  <c:v>-272.599759519926</c:v>
                </c:pt>
                <c:pt idx="185">
                  <c:v>-276.816081312063</c:v>
                </c:pt>
                <c:pt idx="186">
                  <c:v>-281.0304293043373</c:v>
                </c:pt>
                <c:pt idx="187">
                  <c:v>-285.2427752939548</c:v>
                </c:pt>
                <c:pt idx="188">
                  <c:v>-289.4530911666152</c:v>
                </c:pt>
                <c:pt idx="189">
                  <c:v>-293.6613489122465</c:v>
                </c:pt>
                <c:pt idx="190">
                  <c:v>-297.8675206210937</c:v>
                </c:pt>
                <c:pt idx="191">
                  <c:v>-302.0715784808999</c:v>
                </c:pt>
                <c:pt idx="192">
                  <c:v>-306.2734947710851</c:v>
                </c:pt>
                <c:pt idx="193">
                  <c:v>-310.4732418857566</c:v>
                </c:pt>
                <c:pt idx="194">
                  <c:v>-314.6707923143367</c:v>
                </c:pt>
                <c:pt idx="195">
                  <c:v>-318.8661186490208</c:v>
                </c:pt>
                <c:pt idx="196">
                  <c:v>-323.0591935966004</c:v>
                </c:pt>
                <c:pt idx="197">
                  <c:v>-327.2499899624563</c:v>
                </c:pt>
                <c:pt idx="198">
                  <c:v>-331.4384806597445</c:v>
                </c:pt>
                <c:pt idx="199">
                  <c:v>-335.6246387103965</c:v>
                </c:pt>
                <c:pt idx="200">
                  <c:v>-339.8084372499397</c:v>
                </c:pt>
                <c:pt idx="201">
                  <c:v>-343.989849524587</c:v>
                </c:pt>
                <c:pt idx="202">
                  <c:v>-348.1688488831423</c:v>
                </c:pt>
                <c:pt idx="203">
                  <c:v>-352.3454087967366</c:v>
                </c:pt>
                <c:pt idx="204">
                  <c:v>-356.5195028526432</c:v>
                </c:pt>
                <c:pt idx="205">
                  <c:v>-360.6911047401809</c:v>
                </c:pt>
                <c:pt idx="206">
                  <c:v>-364.8601882793628</c:v>
                </c:pt>
                <c:pt idx="207">
                  <c:v>-369.0267273985228</c:v>
                </c:pt>
                <c:pt idx="208">
                  <c:v>-373.1906961457753</c:v>
                </c:pt>
                <c:pt idx="209">
                  <c:v>-377.3520686901975</c:v>
                </c:pt>
                <c:pt idx="210">
                  <c:v>-381.5108193193737</c:v>
                </c:pt>
                <c:pt idx="211">
                  <c:v>-385.6669224382131</c:v>
                </c:pt>
                <c:pt idx="212">
                  <c:v>-389.8203525829558</c:v>
                </c:pt>
                <c:pt idx="213">
                  <c:v>-393.9710844109868</c:v>
                </c:pt>
                <c:pt idx="214">
                  <c:v>-398.1190926891031</c:v>
                </c:pt>
                <c:pt idx="215">
                  <c:v>-402.2643523236184</c:v>
                </c:pt>
                <c:pt idx="216">
                  <c:v>-406.4068383446283</c:v>
                </c:pt>
                <c:pt idx="217">
                  <c:v>-410.5465259111043</c:v>
                </c:pt>
                <c:pt idx="218">
                  <c:v>-414.6833903003426</c:v>
                </c:pt>
                <c:pt idx="219">
                  <c:v>-418.8174069217894</c:v>
                </c:pt>
                <c:pt idx="220">
                  <c:v>-422.9485513214968</c:v>
                </c:pt>
                <c:pt idx="221">
                  <c:v>-427.0767991610228</c:v>
                </c:pt>
                <c:pt idx="222">
                  <c:v>-431.2021262460803</c:v>
                </c:pt>
                <c:pt idx="223">
                  <c:v>-435.3245085102571</c:v>
                </c:pt>
                <c:pt idx="224">
                  <c:v>-439.4439220161985</c:v>
                </c:pt>
                <c:pt idx="225">
                  <c:v>-443.5603429712501</c:v>
                </c:pt>
                <c:pt idx="226">
                  <c:v>-447.6737476930793</c:v>
                </c:pt>
                <c:pt idx="227">
                  <c:v>-451.7841126563326</c:v>
                </c:pt>
                <c:pt idx="228">
                  <c:v>-455.8914144732626</c:v>
                </c:pt>
                <c:pt idx="229">
                  <c:v>-459.9956298745383</c:v>
                </c:pt>
                <c:pt idx="230">
                  <c:v>-464.0967357390764</c:v>
                </c:pt>
                <c:pt idx="231">
                  <c:v>-468.1947090801259</c:v>
                </c:pt>
                <c:pt idx="232">
                  <c:v>-472.2895270569097</c:v>
                </c:pt>
                <c:pt idx="233">
                  <c:v>-476.3811669553434</c:v>
                </c:pt>
                <c:pt idx="234">
                  <c:v>-480.4696062107723</c:v>
                </c:pt>
                <c:pt idx="235">
                  <c:v>-484.554822402788</c:v>
                </c:pt>
                <c:pt idx="236">
                  <c:v>-488.6367932379471</c:v>
                </c:pt>
                <c:pt idx="237">
                  <c:v>-492.7154965813315</c:v>
                </c:pt>
                <c:pt idx="238">
                  <c:v>-496.7909104278988</c:v>
                </c:pt>
                <c:pt idx="239">
                  <c:v>-500.8630129198536</c:v>
                </c:pt>
                <c:pt idx="240">
                  <c:v>-502.8982336069021</c:v>
                </c:pt>
              </c:numCache>
            </c:numRef>
          </c:yVal>
        </c:ser>
        <c:ser>
          <c:idx val="1"/>
          <c:order val="1"/>
          <c:tx>
            <c:v>Topo VHF Doppler (Hz)</c:v>
          </c:tx>
          <c:spPr>
            <a:ln xmlns:a="http://schemas.openxmlformats.org/drawingml/2006/mai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c:v>
                </c:pt>
                <c:pt idx="1">
                  <c:v>490.87300120691</c:v>
                </c:pt>
                <c:pt idx="2">
                  <c:v>534.0602149449296</c:v>
                </c:pt>
                <c:pt idx="3">
                  <c:v>503.9209462031067</c:v>
                </c:pt>
                <c:pt idx="4">
                  <c:v>495.8407751602863</c:v>
                </c:pt>
                <c:pt idx="5">
                  <c:v>511.9766582025477</c:v>
                </c:pt>
                <c:pt idx="6">
                  <c:v>484.5983430347587</c:v>
                </c:pt>
                <c:pt idx="7">
                  <c:v>523.0828149356057</c:v>
                </c:pt>
                <c:pt idx="8">
                  <c:v>502.4626690393234</c:v>
                </c:pt>
                <c:pt idx="9">
                  <c:v>482.4716566599818</c:v>
                </c:pt>
                <c:pt idx="10">
                  <c:v>517.4251021308919</c:v>
                </c:pt>
                <c:pt idx="11">
                  <c:v>492.0461587946193</c:v>
                </c:pt>
                <c:pt idx="12">
                  <c:v>488.5124549069587</c:v>
                </c:pt>
                <c:pt idx="13">
                  <c:v>489.5231018730556</c:v>
                </c:pt>
                <c:pt idx="14">
                  <c:v>468.999278040701</c:v>
                </c:pt>
                <c:pt idx="15">
                  <c:v>476.7410332173313</c:v>
                </c:pt>
                <c:pt idx="16">
                  <c:v>491.4493947492701</c:v>
                </c:pt>
                <c:pt idx="17">
                  <c:v>452.4009292133996</c:v>
                </c:pt>
                <c:pt idx="18">
                  <c:v>413.0156258438547</c:v>
                </c:pt>
                <c:pt idx="19">
                  <c:v>461.5402613873812</c:v>
                </c:pt>
                <c:pt idx="20">
                  <c:v>437.6206746219395</c:v>
                </c:pt>
                <c:pt idx="21">
                  <c:v>411.2584073795915</c:v>
                </c:pt>
                <c:pt idx="22">
                  <c:v>425.2262899123707</c:v>
                </c:pt>
                <c:pt idx="23">
                  <c:v>386.8337905608314</c:v>
                </c:pt>
                <c:pt idx="24">
                  <c:v>402.2937246757465</c:v>
                </c:pt>
                <c:pt idx="25">
                  <c:v>402.8830502902565</c:v>
                </c:pt>
                <c:pt idx="26">
                  <c:v>384.0870449766044</c:v>
                </c:pt>
                <c:pt idx="27">
                  <c:v>368.0809299880821</c:v>
                </c:pt>
                <c:pt idx="28">
                  <c:v>352.5479884035121</c:v>
                </c:pt>
                <c:pt idx="29">
                  <c:v>340.6814882529943</c:v>
                </c:pt>
                <c:pt idx="30">
                  <c:v>336.8433451087185</c:v>
                </c:pt>
                <c:pt idx="31">
                  <c:v>363.7355827749161</c:v>
                </c:pt>
                <c:pt idx="32">
                  <c:v>387.8403153901672</c:v>
                </c:pt>
                <c:pt idx="33">
                  <c:v>338.2382872227936</c:v>
                </c:pt>
                <c:pt idx="34">
                  <c:v>318.9536821423644</c:v>
                </c:pt>
                <c:pt idx="35">
                  <c:v>345.1024300021345</c:v>
                </c:pt>
                <c:pt idx="36">
                  <c:v>340.2729461251511</c:v>
                </c:pt>
                <c:pt idx="37">
                  <c:v>362.0055736474569</c:v>
                </c:pt>
                <c:pt idx="38">
                  <c:v>379.704203484107</c:v>
                </c:pt>
                <c:pt idx="39">
                  <c:v>377.3350791899247</c:v>
                </c:pt>
                <c:pt idx="40">
                  <c:v>355.3358852125712</c:v>
                </c:pt>
                <c:pt idx="41">
                  <c:v>314.9672384550286</c:v>
                </c:pt>
                <c:pt idx="42">
                  <c:v>348.4273363549619</c:v>
                </c:pt>
                <c:pt idx="43">
                  <c:v>356.4903792555924</c:v>
                </c:pt>
                <c:pt idx="44">
                  <c:v>366.8314208311131</c:v>
                </c:pt>
                <c:pt idx="45">
                  <c:v>371.6702992657702</c:v>
                </c:pt>
                <c:pt idx="46">
                  <c:v>355.4813912054669</c:v>
                </c:pt>
                <c:pt idx="47">
                  <c:v>369.3429748225753</c:v>
                </c:pt>
                <c:pt idx="48">
                  <c:v>338.2824754723515</c:v>
                </c:pt>
                <c:pt idx="49">
                  <c:v>314.0598423313349</c:v>
                </c:pt>
                <c:pt idx="50">
                  <c:v>347.7564553854791</c:v>
                </c:pt>
                <c:pt idx="51">
                  <c:v>355.1955134131276</c:v>
                </c:pt>
                <c:pt idx="52">
                  <c:v>308.8603249510925</c:v>
                </c:pt>
                <c:pt idx="53">
                  <c:v>321.3310622830249</c:v>
                </c:pt>
                <c:pt idx="54">
                  <c:v>316.859491910418</c:v>
                </c:pt>
                <c:pt idx="55">
                  <c:v>275.1765872350006</c:v>
                </c:pt>
                <c:pt idx="56">
                  <c:v>279.4926860705345</c:v>
                </c:pt>
                <c:pt idx="57">
                  <c:v>288.1441785482821</c:v>
                </c:pt>
                <c:pt idx="58">
                  <c:v>238.138492771759</c:v>
                </c:pt>
                <c:pt idx="59">
                  <c:v>234.2433378880742</c:v>
                </c:pt>
                <c:pt idx="60">
                  <c:v>236.1606334059616</c:v>
                </c:pt>
                <c:pt idx="61">
                  <c:v>243.5422602002291</c:v>
                </c:pt>
                <c:pt idx="62">
                  <c:v>221.9795141225404</c:v>
                </c:pt>
                <c:pt idx="63">
                  <c:v>213.6323248183544</c:v>
                </c:pt>
                <c:pt idx="64">
                  <c:v>217.6420816668724</c:v>
                </c:pt>
                <c:pt idx="65">
                  <c:v>196.6495314187341</c:v>
                </c:pt>
                <c:pt idx="66">
                  <c:v>220.4686917265462</c:v>
                </c:pt>
                <c:pt idx="67">
                  <c:v>198.2375181276439</c:v>
                </c:pt>
                <c:pt idx="68">
                  <c:v>192.0256865545525</c:v>
                </c:pt>
                <c:pt idx="69">
                  <c:v>199.484756819129</c:v>
                </c:pt>
                <c:pt idx="70">
                  <c:v>221.0725897208249</c:v>
                </c:pt>
                <c:pt idx="71">
                  <c:v>222.4504399345278</c:v>
                </c:pt>
                <c:pt idx="72">
                  <c:v>200.9252976770767</c:v>
                </c:pt>
                <c:pt idx="73">
                  <c:v>218.2092253678093</c:v>
                </c:pt>
                <c:pt idx="74">
                  <c:v>216.8091400298181</c:v>
                </c:pt>
                <c:pt idx="75">
                  <c:v>251.2118348146942</c:v>
                </c:pt>
                <c:pt idx="76">
                  <c:v>260.8109679679728</c:v>
                </c:pt>
                <c:pt idx="77">
                  <c:v>185.8423922803922</c:v>
                </c:pt>
                <c:pt idx="78">
                  <c:v>196.9067869861647</c:v>
                </c:pt>
                <c:pt idx="79">
                  <c:v>207.4684121088467</c:v>
                </c:pt>
                <c:pt idx="80">
                  <c:v>203.531637983815</c:v>
                </c:pt>
                <c:pt idx="81">
                  <c:v>219.3262669654359</c:v>
                </c:pt>
                <c:pt idx="82">
                  <c:v>165.4684565979551</c:v>
                </c:pt>
                <c:pt idx="83">
                  <c:v>191.4068748553291</c:v>
                </c:pt>
                <c:pt idx="84">
                  <c:v>203.9434654629986</c:v>
                </c:pt>
                <c:pt idx="85">
                  <c:v>132.7425832706467</c:v>
                </c:pt>
                <c:pt idx="86">
                  <c:v>129.6261769766716</c:v>
                </c:pt>
                <c:pt idx="87">
                  <c:v>192.0255910846208</c:v>
                </c:pt>
                <c:pt idx="88">
                  <c:v>165.6403437944391</c:v>
                </c:pt>
                <c:pt idx="89">
                  <c:v>137.9563961577333</c:v>
                </c:pt>
                <c:pt idx="90">
                  <c:v>160.4549174724525</c:v>
                </c:pt>
                <c:pt idx="91">
                  <c:v>131.0004403195308</c:v>
                </c:pt>
                <c:pt idx="92">
                  <c:v>109.4070051834024</c:v>
                </c:pt>
                <c:pt idx="93">
                  <c:v>134.5708868784641</c:v>
                </c:pt>
                <c:pt idx="94">
                  <c:v>159.2613597626041</c:v>
                </c:pt>
                <c:pt idx="95">
                  <c:v>115.1592153447382</c:v>
                </c:pt>
                <c:pt idx="96">
                  <c:v>118.7548925145165</c:v>
                </c:pt>
                <c:pt idx="97">
                  <c:v>137.6040267078679</c:v>
                </c:pt>
                <c:pt idx="98">
                  <c:v>112.0371558296938</c:v>
                </c:pt>
                <c:pt idx="99">
                  <c:v>104.226366975945</c:v>
                </c:pt>
                <c:pt idx="100">
                  <c:v>86.40918325254461</c:v>
                </c:pt>
                <c:pt idx="101">
                  <c:v>95.88133801335061</c:v>
                </c:pt>
                <c:pt idx="102">
                  <c:v>61.20399632281988</c:v>
                </c:pt>
                <c:pt idx="103">
                  <c:v>64.91178834112361</c:v>
                </c:pt>
                <c:pt idx="104">
                  <c:v>83.90391525563246</c:v>
                </c:pt>
                <c:pt idx="105">
                  <c:v>12.08695914692726</c:v>
                </c:pt>
                <c:pt idx="106">
                  <c:v>36.91531491022033</c:v>
                </c:pt>
                <c:pt idx="107">
                  <c:v>63.33079653877576</c:v>
                </c:pt>
                <c:pt idx="108">
                  <c:v>21.7722713448893</c:v>
                </c:pt>
                <c:pt idx="109">
                  <c:v>13.21391055571439</c:v>
                </c:pt>
                <c:pt idx="110">
                  <c:v>20.62381640726016</c:v>
                </c:pt>
                <c:pt idx="111">
                  <c:v>37.7856622314539</c:v>
                </c:pt>
                <c:pt idx="112">
                  <c:v>5.015861757965467</c:v>
                </c:pt>
                <c:pt idx="113">
                  <c:v>20.62747261352342</c:v>
                </c:pt>
                <c:pt idx="114">
                  <c:v>51.23987584029237</c:v>
                </c:pt>
                <c:pt idx="115">
                  <c:v>46.6773382615429</c:v>
                </c:pt>
                <c:pt idx="116">
                  <c:v>33.29255923435994</c:v>
                </c:pt>
                <c:pt idx="117">
                  <c:v>20.84547727499739</c:v>
                </c:pt>
                <c:pt idx="118">
                  <c:v>77.35858270280005</c:v>
                </c:pt>
                <c:pt idx="119">
                  <c:v>67.21549524045258</c:v>
                </c:pt>
                <c:pt idx="120">
                  <c:v>13.57787587148778</c:v>
                </c:pt>
                <c:pt idx="121">
                  <c:v>23.04487073324708</c:v>
                </c:pt>
                <c:pt idx="122">
                  <c:v>45.85282185325923</c:v>
                </c:pt>
                <c:pt idx="123">
                  <c:v>46.04321213610092</c:v>
                </c:pt>
                <c:pt idx="124">
                  <c:v>35.28480728100476</c:v>
                </c:pt>
                <c:pt idx="125">
                  <c:v>-17.69645689573736</c:v>
                </c:pt>
                <c:pt idx="126">
                  <c:v>-4.673549830840784</c:v>
                </c:pt>
                <c:pt idx="127">
                  <c:v>9.605232376725326</c:v>
                </c:pt>
                <c:pt idx="128">
                  <c:v>-25.14726434355907</c:v>
                </c:pt>
                <c:pt idx="129">
                  <c:v>-59.06357460871732</c:v>
                </c:pt>
                <c:pt idx="130">
                  <c:v>-89.29079603231003</c:v>
                </c:pt>
                <c:pt idx="131">
                  <c:v>-71.24450372502906</c:v>
                </c:pt>
                <c:pt idx="132">
                  <c:v>-75.48150197753785</c:v>
                </c:pt>
                <c:pt idx="133">
                  <c:v>-54.54940081717723</c:v>
                </c:pt>
                <c:pt idx="134">
                  <c:v>-93.36744727406767</c:v>
                </c:pt>
                <c:pt idx="135">
                  <c:v>-123.5426727313097</c:v>
                </c:pt>
                <c:pt idx="136">
                  <c:v>-106.6112130421971</c:v>
                </c:pt>
                <c:pt idx="137">
                  <c:v>-98.32283519044722</c:v>
                </c:pt>
                <c:pt idx="138">
                  <c:v>-79.19680840677756</c:v>
                </c:pt>
                <c:pt idx="139">
                  <c:v>-124.4509292770999</c:v>
                </c:pt>
                <c:pt idx="140">
                  <c:v>-149.9577599586701</c:v>
                </c:pt>
                <c:pt idx="141">
                  <c:v>-104.686396683428</c:v>
                </c:pt>
                <c:pt idx="142">
                  <c:v>-99.76180605999616</c:v>
                </c:pt>
                <c:pt idx="143">
                  <c:v>-133.6965623294418</c:v>
                </c:pt>
                <c:pt idx="144">
                  <c:v>-103.2546697492762</c:v>
                </c:pt>
                <c:pt idx="145">
                  <c:v>-97.45932921296117</c:v>
                </c:pt>
                <c:pt idx="146">
                  <c:v>-151.5765791288686</c:v>
                </c:pt>
                <c:pt idx="147">
                  <c:v>-141.51365191683</c:v>
                </c:pt>
                <c:pt idx="148">
                  <c:v>-109.1218168940941</c:v>
                </c:pt>
                <c:pt idx="149">
                  <c:v>-145.1435563179984</c:v>
                </c:pt>
                <c:pt idx="150">
                  <c:v>-160.1607348960897</c:v>
                </c:pt>
                <c:pt idx="151">
                  <c:v>-131.1058027587023</c:v>
                </c:pt>
                <c:pt idx="152">
                  <c:v>-120.0451065140442</c:v>
                </c:pt>
                <c:pt idx="153">
                  <c:v>-137.0525651741445</c:v>
                </c:pt>
                <c:pt idx="154">
                  <c:v>-135.2580367196424</c:v>
                </c:pt>
                <c:pt idx="155">
                  <c:v>-126.6636341058984</c:v>
                </c:pt>
                <c:pt idx="156">
                  <c:v>-151.6905384432903</c:v>
                </c:pt>
                <c:pt idx="157">
                  <c:v>-139.1757167734795</c:v>
                </c:pt>
                <c:pt idx="158">
                  <c:v>-126.4643735949903</c:v>
                </c:pt>
                <c:pt idx="159">
                  <c:v>-151.3671201868419</c:v>
                </c:pt>
                <c:pt idx="160">
                  <c:v>-162.9090452027413</c:v>
                </c:pt>
                <c:pt idx="161">
                  <c:v>-171.7163481087482</c:v>
                </c:pt>
                <c:pt idx="162">
                  <c:v>-175.7625682178514</c:v>
                </c:pt>
                <c:pt idx="163">
                  <c:v>-173.414639069415</c:v>
                </c:pt>
                <c:pt idx="164">
                  <c:v>-190.6482833417613</c:v>
                </c:pt>
                <c:pt idx="165">
                  <c:v>-207.6623712630862</c:v>
                </c:pt>
                <c:pt idx="166">
                  <c:v>-214.5283811793888</c:v>
                </c:pt>
                <c:pt idx="167">
                  <c:v>-195.8232265374136</c:v>
                </c:pt>
                <c:pt idx="168">
                  <c:v>-230.1440141449348</c:v>
                </c:pt>
                <c:pt idx="169">
                  <c:v>-244.9737956213539</c:v>
                </c:pt>
                <c:pt idx="170">
                  <c:v>-253.7362306406976</c:v>
                </c:pt>
                <c:pt idx="171">
                  <c:v>-267.7970135381656</c:v>
                </c:pt>
                <c:pt idx="172">
                  <c:v>-232.6193090314518</c:v>
                </c:pt>
                <c:pt idx="173">
                  <c:v>-291.6546665396709</c:v>
                </c:pt>
                <c:pt idx="174">
                  <c:v>-304.3154181147656</c:v>
                </c:pt>
                <c:pt idx="175">
                  <c:v>-288.8126042343174</c:v>
                </c:pt>
                <c:pt idx="176">
                  <c:v>-281.1591707508342</c:v>
                </c:pt>
                <c:pt idx="177">
                  <c:v>-287.9698524754531</c:v>
                </c:pt>
                <c:pt idx="178">
                  <c:v>-321.958584028016</c:v>
                </c:pt>
                <c:pt idx="179">
                  <c:v>-292.2747079845067</c:v>
                </c:pt>
                <c:pt idx="180">
                  <c:v>-293.2127943380692</c:v>
                </c:pt>
                <c:pt idx="181">
                  <c:v>-289.9085107305837</c:v>
                </c:pt>
                <c:pt idx="182">
                  <c:v>-301.4594318781747</c:v>
                </c:pt>
                <c:pt idx="183">
                  <c:v>-295.7054253127353</c:v>
                </c:pt>
                <c:pt idx="184">
                  <c:v>-254.599074678481</c:v>
                </c:pt>
                <c:pt idx="185">
                  <c:v>-271.1411299657811</c:v>
                </c:pt>
                <c:pt idx="186">
                  <c:v>-283.8938267223057</c:v>
                </c:pt>
                <c:pt idx="187">
                  <c:v>-258.0989086600312</c:v>
                </c:pt>
                <c:pt idx="188">
                  <c:v>-253.7267367678396</c:v>
                </c:pt>
                <c:pt idx="189">
                  <c:v>-295.7898525990458</c:v>
                </c:pt>
                <c:pt idx="190">
                  <c:v>-307.8352331618589</c:v>
                </c:pt>
                <c:pt idx="191">
                  <c:v>-286.6069943915136</c:v>
                </c:pt>
                <c:pt idx="192">
                  <c:v>-256.2080841948045</c:v>
                </c:pt>
                <c:pt idx="193">
                  <c:v>-270.3321164401132</c:v>
                </c:pt>
                <c:pt idx="194">
                  <c:v>-304.7320025682893</c:v>
                </c:pt>
                <c:pt idx="195">
                  <c:v>-310.9433088574406</c:v>
                </c:pt>
                <c:pt idx="196">
                  <c:v>-274.9239634749756</c:v>
                </c:pt>
                <c:pt idx="197">
                  <c:v>-295.00116253339</c:v>
                </c:pt>
                <c:pt idx="198">
                  <c:v>-351.0190914843406</c:v>
                </c:pt>
                <c:pt idx="199">
                  <c:v>-332.6760334270148</c:v>
                </c:pt>
                <c:pt idx="200">
                  <c:v>-337.1917719139674</c:v>
                </c:pt>
                <c:pt idx="201">
                  <c:v>-388.8944572384389</c:v>
                </c:pt>
                <c:pt idx="202">
                  <c:v>-398.1543978484297</c:v>
                </c:pt>
                <c:pt idx="203">
                  <c:v>-361.1079984811113</c:v>
                </c:pt>
                <c:pt idx="204">
                  <c:v>-371.6147189016738</c:v>
                </c:pt>
                <c:pt idx="205">
                  <c:v>-398.5897222955828</c:v>
                </c:pt>
                <c:pt idx="206">
                  <c:v>-419.4335216990112</c:v>
                </c:pt>
                <c:pt idx="207">
                  <c:v>-429.9051877553211</c:v>
                </c:pt>
                <c:pt idx="208">
                  <c:v>-446.6345676146375</c:v>
                </c:pt>
                <c:pt idx="209">
                  <c:v>-446.3198955533699</c:v>
                </c:pt>
                <c:pt idx="210">
                  <c:v>-397.7099503103091</c:v>
                </c:pt>
                <c:pt idx="211">
                  <c:v>-414.2659457460468</c:v>
                </c:pt>
                <c:pt idx="212">
                  <c:v>-458.6307151440451</c:v>
                </c:pt>
                <c:pt idx="213">
                  <c:v>-438.4974537015296</c:v>
                </c:pt>
                <c:pt idx="214">
                  <c:v>-425.8371341042221</c:v>
                </c:pt>
                <c:pt idx="215">
                  <c:v>-393.0067328362384</c:v>
                </c:pt>
                <c:pt idx="216">
                  <c:v>-396.2138094164402</c:v>
                </c:pt>
                <c:pt idx="217">
                  <c:v>-435.0026550449911</c:v>
                </c:pt>
                <c:pt idx="218">
                  <c:v>-412.3174071446556</c:v>
                </c:pt>
                <c:pt idx="219">
                  <c:v>-409.9288273368984</c:v>
                </c:pt>
                <c:pt idx="220">
                  <c:v>-389.6827255546668</c:v>
                </c:pt>
                <c:pt idx="221">
                  <c:v>-392.7478406424598</c:v>
                </c:pt>
                <c:pt idx="222">
                  <c:v>-395.6633766101731</c:v>
                </c:pt>
                <c:pt idx="223">
                  <c:v>-388.336184705895</c:v>
                </c:pt>
                <c:pt idx="224">
                  <c:v>-432.5621530304488</c:v>
                </c:pt>
                <c:pt idx="225">
                  <c:v>-417.6767255714367</c:v>
                </c:pt>
                <c:pt idx="226">
                  <c:v>-421.0980251814362</c:v>
                </c:pt>
                <c:pt idx="227">
                  <c:v>-455.0459523180507</c:v>
                </c:pt>
                <c:pt idx="228">
                  <c:v>-462.8956826801186</c:v>
                </c:pt>
                <c:pt idx="229">
                  <c:v>-449.1931834153547</c:v>
                </c:pt>
                <c:pt idx="230">
                  <c:v>-455.0098244195397</c:v>
                </c:pt>
                <c:pt idx="231">
                  <c:v>-470.8662445768823</c:v>
                </c:pt>
                <c:pt idx="232">
                  <c:v>-460.6295562019113</c:v>
                </c:pt>
                <c:pt idx="233">
                  <c:v>-454.8945019910207</c:v>
                </c:pt>
                <c:pt idx="234">
                  <c:v>-499.1439578678182</c:v>
                </c:pt>
                <c:pt idx="235">
                  <c:v>-494.387775107225</c:v>
                </c:pt>
                <c:pt idx="236">
                  <c:v>-473.0108753379682</c:v>
                </c:pt>
                <c:pt idx="237">
                  <c:v>-494.116792956811</c:v>
                </c:pt>
                <c:pt idx="238">
                  <c:v>-527.305412295209</c:v>
                </c:pt>
                <c:pt idx="239">
                  <c:v>-523.5958188716722</c:v>
                </c:pt>
                <c:pt idx="240">
                  <c:v>-470.5275654303477</c:v>
                </c:pt>
              </c:numCache>
            </c:numRef>
          </c:yVal>
        </c:ser>
        <c:ser>
          <c:idx val="2"/>
          <c:order val="2"/>
          <c:tx>
            <c:v>Flat HF Doppler (Hz)</c:v>
          </c:tx>
          <c:spPr>
            <a:ln xmlns:a="http://schemas.openxmlformats.org/drawingml/2006/mai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c:v>
                </c:pt>
                <c:pt idx="1">
                  <c:v>75.20465659457263</c:v>
                </c:pt>
                <c:pt idx="2">
                  <c:v>74.59322979397881</c:v>
                </c:pt>
                <c:pt idx="3">
                  <c:v>73.98130579299273</c:v>
                </c:pt>
                <c:pt idx="4">
                  <c:v>73.36888787356564</c:v>
                </c:pt>
                <c:pt idx="5">
                  <c:v>72.75597933975796</c:v>
                </c:pt>
                <c:pt idx="6">
                  <c:v>72.14258351513098</c:v>
                </c:pt>
                <c:pt idx="7">
                  <c:v>71.52870374704855</c:v>
                </c:pt>
                <c:pt idx="8">
                  <c:v>70.9143434019384</c:v>
                </c:pt>
                <c:pt idx="9">
                  <c:v>70.29950586788678</c:v>
                </c:pt>
                <c:pt idx="10">
                  <c:v>69.68419455541688</c:v>
                </c:pt>
                <c:pt idx="11">
                  <c:v>69.06841289407483</c:v>
                </c:pt>
                <c:pt idx="12">
                  <c:v>68.45216433532471</c:v>
                </c:pt>
                <c:pt idx="13">
                  <c:v>67.8354523508007</c:v>
                </c:pt>
                <c:pt idx="14">
                  <c:v>67.2182804343963</c:v>
                </c:pt>
                <c:pt idx="15">
                  <c:v>66.6006520977853</c:v>
                </c:pt>
                <c:pt idx="16">
                  <c:v>65.98257087330308</c:v>
                </c:pt>
                <c:pt idx="17">
                  <c:v>65.36404031685544</c:v>
                </c:pt>
                <c:pt idx="18">
                  <c:v>64.74506400091296</c:v>
                </c:pt>
                <c:pt idx="19">
                  <c:v>64.1256455196731</c:v>
                </c:pt>
                <c:pt idx="20">
                  <c:v>63.50578848671123</c:v>
                </c:pt>
                <c:pt idx="21">
                  <c:v>62.88549653480322</c:v>
                </c:pt>
                <c:pt idx="22">
                  <c:v>62.26477331836976</c:v>
                </c:pt>
                <c:pt idx="23">
                  <c:v>61.64362250917482</c:v>
                </c:pt>
                <c:pt idx="24">
                  <c:v>61.02204779949375</c:v>
                </c:pt>
                <c:pt idx="25">
                  <c:v>60.40005290144421</c:v>
                </c:pt>
                <c:pt idx="26">
                  <c:v>59.77764154491039</c:v>
                </c:pt>
                <c:pt idx="27">
                  <c:v>59.15481747912715</c:v>
                </c:pt>
                <c:pt idx="28">
                  <c:v>58.53158447191529</c:v>
                </c:pt>
                <c:pt idx="29">
                  <c:v>57.90794631204401</c:v>
                </c:pt>
                <c:pt idx="30">
                  <c:v>57.28390680471077</c:v>
                </c:pt>
                <c:pt idx="31">
                  <c:v>56.65946977330293</c:v>
                </c:pt>
                <c:pt idx="32">
                  <c:v>56.03463906092723</c:v>
                </c:pt>
                <c:pt idx="33">
                  <c:v>55.40941852830673</c:v>
                </c:pt>
                <c:pt idx="34">
                  <c:v>54.78381205395838</c:v>
                </c:pt>
                <c:pt idx="35">
                  <c:v>54.1578235345617</c:v>
                </c:pt>
                <c:pt idx="36">
                  <c:v>53.53145688478126</c:v>
                </c:pt>
                <c:pt idx="37">
                  <c:v>52.90471603554604</c:v>
                </c:pt>
                <c:pt idx="38">
                  <c:v>52.27760493740877</c:v>
                </c:pt>
                <c:pt idx="39">
                  <c:v>51.65012755624431</c:v>
                </c:pt>
                <c:pt idx="40">
                  <c:v>51.02228787536633</c:v>
                </c:pt>
                <c:pt idx="41">
                  <c:v>50.39408989645594</c:v>
                </c:pt>
                <c:pt idx="42">
                  <c:v>49.76553763659828</c:v>
                </c:pt>
                <c:pt idx="43">
                  <c:v>49.13663512949795</c:v>
                </c:pt>
                <c:pt idx="44">
                  <c:v>48.50738642591597</c:v>
                </c:pt>
                <c:pt idx="45">
                  <c:v>47.87779559294607</c:v>
                </c:pt>
                <c:pt idx="46">
                  <c:v>47.24786671386438</c:v>
                </c:pt>
                <c:pt idx="47">
                  <c:v>46.61760388675024</c:v>
                </c:pt>
                <c:pt idx="48">
                  <c:v>45.98701122688966</c:v>
                </c:pt>
                <c:pt idx="49">
                  <c:v>45.35609286499999</c:v>
                </c:pt>
                <c:pt idx="50">
                  <c:v>44.72485294611017</c:v>
                </c:pt>
                <c:pt idx="51">
                  <c:v>44.09329563246944</c:v>
                </c:pt>
                <c:pt idx="52">
                  <c:v>43.46142510009238</c:v>
                </c:pt>
                <c:pt idx="53">
                  <c:v>42.82924553963285</c:v>
                </c:pt>
                <c:pt idx="54">
                  <c:v>42.1967611568074</c:v>
                </c:pt>
                <c:pt idx="55">
                  <c:v>41.56397617298244</c:v>
                </c:pt>
                <c:pt idx="56">
                  <c:v>40.93089482281172</c:v>
                </c:pt>
                <c:pt idx="57">
                  <c:v>40.29752135465969</c:v>
                </c:pt>
                <c:pt idx="58">
                  <c:v>39.66386003252705</c:v>
                </c:pt>
                <c:pt idx="59">
                  <c:v>39.02991513345601</c:v>
                </c:pt>
                <c:pt idx="60">
                  <c:v>38.39569094671097</c:v>
                </c:pt>
                <c:pt idx="61">
                  <c:v>37.76119177756128</c:v>
                </c:pt>
                <c:pt idx="62">
                  <c:v>37.12642194368964</c:v>
                </c:pt>
                <c:pt idx="63">
                  <c:v>36.49138577390848</c:v>
                </c:pt>
                <c:pt idx="64">
                  <c:v>35.8560876126937</c:v>
                </c:pt>
                <c:pt idx="65">
                  <c:v>35.22053181526857</c:v>
                </c:pt>
                <c:pt idx="66">
                  <c:v>34.58472274991158</c:v>
                </c:pt>
                <c:pt idx="67">
                  <c:v>33.94866479857092</c:v>
                </c:pt>
                <c:pt idx="68">
                  <c:v>33.31236235250824</c:v>
                </c:pt>
                <c:pt idx="69">
                  <c:v>32.67581981680514</c:v>
                </c:pt>
                <c:pt idx="70">
                  <c:v>32.03904160828744</c:v>
                </c:pt>
                <c:pt idx="71">
                  <c:v>31.40203215439174</c:v>
                </c:pt>
                <c:pt idx="72">
                  <c:v>30.76479589386187</c:v>
                </c:pt>
                <c:pt idx="73">
                  <c:v>30.12733727732243</c:v>
                </c:pt>
                <c:pt idx="74">
                  <c:v>29.48966076602247</c:v>
                </c:pt>
                <c:pt idx="75">
                  <c:v>28.8517708310161</c:v>
                </c:pt>
                <c:pt idx="76">
                  <c:v>28.21367195493778</c:v>
                </c:pt>
                <c:pt idx="77">
                  <c:v>27.57536862931205</c:v>
                </c:pt>
                <c:pt idx="78">
                  <c:v>26.9368653578174</c:v>
                </c:pt>
                <c:pt idx="79">
                  <c:v>26.29816665183433</c:v>
                </c:pt>
                <c:pt idx="80">
                  <c:v>25.65927703287614</c:v>
                </c:pt>
                <c:pt idx="81">
                  <c:v>25.02020103290304</c:v>
                </c:pt>
                <c:pt idx="82">
                  <c:v>24.38094319148166</c:v>
                </c:pt>
                <c:pt idx="83">
                  <c:v>23.74150805844802</c:v>
                </c:pt>
                <c:pt idx="84">
                  <c:v>23.10190019187274</c:v>
                </c:pt>
                <c:pt idx="85">
                  <c:v>22.46212415862097</c:v>
                </c:pt>
                <c:pt idx="86">
                  <c:v>21.82218453244049</c:v>
                </c:pt>
                <c:pt idx="87">
                  <c:v>21.18208589688418</c:v>
                </c:pt>
                <c:pt idx="88">
                  <c:v>20.54183284332982</c:v>
                </c:pt>
                <c:pt idx="89">
                  <c:v>19.90142996915024</c:v>
                </c:pt>
                <c:pt idx="90">
                  <c:v>19.26088188052641</c:v>
                </c:pt>
                <c:pt idx="91">
                  <c:v>18.62019319165544</c:v>
                </c:pt>
                <c:pt idx="92">
                  <c:v>17.97936852148673</c:v>
                </c:pt>
                <c:pt idx="93">
                  <c:v>17.33841249601623</c:v>
                </c:pt>
                <c:pt idx="94">
                  <c:v>16.69732974997979</c:v>
                </c:pt>
                <c:pt idx="95">
                  <c:v>16.05612492244222</c:v>
                </c:pt>
                <c:pt idx="96">
                  <c:v>15.41480265907788</c:v>
                </c:pt>
                <c:pt idx="97">
                  <c:v>14.77336761088698</c:v>
                </c:pt>
                <c:pt idx="98">
                  <c:v>14.13182443530177</c:v>
                </c:pt>
                <c:pt idx="99">
                  <c:v>13.49017779483455</c:v>
                </c:pt>
                <c:pt idx="100">
                  <c:v>12.8484323569138</c:v>
                </c:pt>
                <c:pt idx="101">
                  <c:v>12.20659279497668</c:v>
                </c:pt>
                <c:pt idx="102">
                  <c:v>11.56466378490479</c:v>
                </c:pt>
                <c:pt idx="103">
                  <c:v>10.92265000845184</c:v>
                </c:pt>
                <c:pt idx="104">
                  <c:v>10.28055615190535</c:v>
                </c:pt>
                <c:pt idx="105">
                  <c:v>9.638386904666445</c:v>
                </c:pt>
                <c:pt idx="106">
                  <c:v>8.996146961885438</c:v>
                </c:pt>
                <c:pt idx="107">
                  <c:v>8.353841019422768</c:v>
                </c:pt>
                <c:pt idx="108">
                  <c:v>7.711473777577099</c:v>
                </c:pt>
                <c:pt idx="109">
                  <c:v>7.069049941372094</c:v>
                </c:pt>
                <c:pt idx="110">
                  <c:v>6.426574215298831</c:v>
                </c:pt>
                <c:pt idx="111">
                  <c:v>5.784051308150051</c:v>
                </c:pt>
                <c:pt idx="112">
                  <c:v>5.14148593326597</c:v>
                </c:pt>
                <c:pt idx="113">
                  <c:v>4.498882803085502</c:v>
                </c:pt>
                <c:pt idx="114">
                  <c:v>3.856246632191566</c:v>
                </c:pt>
                <c:pt idx="115">
                  <c:v>3.213582138471851</c:v>
                </c:pt>
                <c:pt idx="116">
                  <c:v>2.570894039295113</c:v>
                </c:pt>
                <c:pt idx="117">
                  <c:v>1.928187055485099</c:v>
                </c:pt>
                <c:pt idx="118">
                  <c:v>1.285465907073501</c:v>
                </c:pt>
                <c:pt idx="119">
                  <c:v>0.6427353142695408</c:v>
                </c:pt>
                <c:pt idx="120">
                  <c:v>0</c:v>
                </c:pt>
                <c:pt idx="121">
                  <c:v>-0.6427353142695408</c:v>
                </c:pt>
                <c:pt idx="122">
                  <c:v>-1.285465907073501</c:v>
                </c:pt>
                <c:pt idx="123">
                  <c:v>-1.928187055485099</c:v>
                </c:pt>
                <c:pt idx="124">
                  <c:v>-2.570894039295113</c:v>
                </c:pt>
                <c:pt idx="125">
                  <c:v>-3.213582138471851</c:v>
                </c:pt>
                <c:pt idx="126">
                  <c:v>-3.856246632191566</c:v>
                </c:pt>
                <c:pt idx="127">
                  <c:v>-4.498882803085502</c:v>
                </c:pt>
                <c:pt idx="128">
                  <c:v>-5.14148593326597</c:v>
                </c:pt>
                <c:pt idx="129">
                  <c:v>-5.784051308150051</c:v>
                </c:pt>
                <c:pt idx="130">
                  <c:v>-6.426574215298831</c:v>
                </c:pt>
                <c:pt idx="131">
                  <c:v>-7.069049941372094</c:v>
                </c:pt>
                <c:pt idx="132">
                  <c:v>-7.711473777577099</c:v>
                </c:pt>
                <c:pt idx="133">
                  <c:v>-8.353841019422768</c:v>
                </c:pt>
                <c:pt idx="134">
                  <c:v>-8.996146961885438</c:v>
                </c:pt>
                <c:pt idx="135">
                  <c:v>-9.638386904666445</c:v>
                </c:pt>
                <c:pt idx="136">
                  <c:v>-10.28055615190535</c:v>
                </c:pt>
                <c:pt idx="137">
                  <c:v>-10.92265000845184</c:v>
                </c:pt>
                <c:pt idx="138">
                  <c:v>-11.56466378490479</c:v>
                </c:pt>
                <c:pt idx="139">
                  <c:v>-12.20659279497668</c:v>
                </c:pt>
                <c:pt idx="140">
                  <c:v>-12.8484323569138</c:v>
                </c:pt>
                <c:pt idx="141">
                  <c:v>-13.49017779483455</c:v>
                </c:pt>
                <c:pt idx="142">
                  <c:v>-14.13182443530177</c:v>
                </c:pt>
                <c:pt idx="143">
                  <c:v>-14.77336761088698</c:v>
                </c:pt>
                <c:pt idx="144">
                  <c:v>-15.41480265907788</c:v>
                </c:pt>
                <c:pt idx="145">
                  <c:v>-16.05612492244222</c:v>
                </c:pt>
                <c:pt idx="146">
                  <c:v>-16.69732974997979</c:v>
                </c:pt>
                <c:pt idx="147">
                  <c:v>-17.33841249601623</c:v>
                </c:pt>
                <c:pt idx="148">
                  <c:v>-17.97936852148673</c:v>
                </c:pt>
                <c:pt idx="149">
                  <c:v>-18.62019319165544</c:v>
                </c:pt>
                <c:pt idx="150">
                  <c:v>-19.26088188052641</c:v>
                </c:pt>
                <c:pt idx="151">
                  <c:v>-19.90142996915024</c:v>
                </c:pt>
                <c:pt idx="152">
                  <c:v>-20.54183284332982</c:v>
                </c:pt>
                <c:pt idx="153">
                  <c:v>-21.18208589688418</c:v>
                </c:pt>
                <c:pt idx="154">
                  <c:v>-21.82218453244049</c:v>
                </c:pt>
                <c:pt idx="155">
                  <c:v>-22.46212415862097</c:v>
                </c:pt>
                <c:pt idx="156">
                  <c:v>-23.10190019187274</c:v>
                </c:pt>
                <c:pt idx="157">
                  <c:v>-23.74150805844802</c:v>
                </c:pt>
                <c:pt idx="158">
                  <c:v>-24.38094319148166</c:v>
                </c:pt>
                <c:pt idx="159">
                  <c:v>-25.02020103290304</c:v>
                </c:pt>
                <c:pt idx="160">
                  <c:v>-25.65927703287614</c:v>
                </c:pt>
                <c:pt idx="161">
                  <c:v>-26.29816665183433</c:v>
                </c:pt>
                <c:pt idx="162">
                  <c:v>-26.9368653578174</c:v>
                </c:pt>
                <c:pt idx="163">
                  <c:v>-27.57536862931205</c:v>
                </c:pt>
                <c:pt idx="164">
                  <c:v>-28.21367195493778</c:v>
                </c:pt>
                <c:pt idx="165">
                  <c:v>-28.8517708310161</c:v>
                </c:pt>
                <c:pt idx="166">
                  <c:v>-29.48966076602247</c:v>
                </c:pt>
                <c:pt idx="167">
                  <c:v>-30.12733727732243</c:v>
                </c:pt>
                <c:pt idx="168">
                  <c:v>-30.76479589386187</c:v>
                </c:pt>
                <c:pt idx="169">
                  <c:v>-31.40203215439174</c:v>
                </c:pt>
                <c:pt idx="170">
                  <c:v>-32.03904160828744</c:v>
                </c:pt>
                <c:pt idx="171">
                  <c:v>-32.67581981680514</c:v>
                </c:pt>
                <c:pt idx="172">
                  <c:v>-33.31236235250824</c:v>
                </c:pt>
                <c:pt idx="173">
                  <c:v>-33.94866479857092</c:v>
                </c:pt>
                <c:pt idx="174">
                  <c:v>-34.58472274991158</c:v>
                </c:pt>
                <c:pt idx="175">
                  <c:v>-35.22053181526857</c:v>
                </c:pt>
                <c:pt idx="176">
                  <c:v>-35.8560876126937</c:v>
                </c:pt>
                <c:pt idx="177">
                  <c:v>-36.49138577390848</c:v>
                </c:pt>
                <c:pt idx="178">
                  <c:v>-37.12642194368964</c:v>
                </c:pt>
                <c:pt idx="179">
                  <c:v>-37.76119177756128</c:v>
                </c:pt>
                <c:pt idx="180">
                  <c:v>-38.39569094671097</c:v>
                </c:pt>
                <c:pt idx="181">
                  <c:v>-39.02991513345601</c:v>
                </c:pt>
                <c:pt idx="182">
                  <c:v>-39.66386003252705</c:v>
                </c:pt>
                <c:pt idx="183">
                  <c:v>-40.29752135465969</c:v>
                </c:pt>
                <c:pt idx="184">
                  <c:v>-40.93089482281172</c:v>
                </c:pt>
                <c:pt idx="185">
                  <c:v>-41.56397617298244</c:v>
                </c:pt>
                <c:pt idx="186">
                  <c:v>-42.1967611568074</c:v>
                </c:pt>
                <c:pt idx="187">
                  <c:v>-42.82924553963285</c:v>
                </c:pt>
                <c:pt idx="188">
                  <c:v>-43.46142510009238</c:v>
                </c:pt>
                <c:pt idx="189">
                  <c:v>-44.09329563246944</c:v>
                </c:pt>
                <c:pt idx="190">
                  <c:v>-44.72485294611017</c:v>
                </c:pt>
                <c:pt idx="191">
                  <c:v>-45.35609286499999</c:v>
                </c:pt>
                <c:pt idx="192">
                  <c:v>-45.98701122688966</c:v>
                </c:pt>
                <c:pt idx="193">
                  <c:v>-46.61760388675024</c:v>
                </c:pt>
                <c:pt idx="194">
                  <c:v>-47.24786671386438</c:v>
                </c:pt>
                <c:pt idx="195">
                  <c:v>-47.87779559294607</c:v>
                </c:pt>
                <c:pt idx="196">
                  <c:v>-48.50738642591597</c:v>
                </c:pt>
                <c:pt idx="197">
                  <c:v>-49.13663512949795</c:v>
                </c:pt>
                <c:pt idx="198">
                  <c:v>-49.76553763659828</c:v>
                </c:pt>
                <c:pt idx="199">
                  <c:v>-50.39408989645594</c:v>
                </c:pt>
                <c:pt idx="200">
                  <c:v>-51.02228787536633</c:v>
                </c:pt>
                <c:pt idx="201">
                  <c:v>-51.65012755624431</c:v>
                </c:pt>
                <c:pt idx="202">
                  <c:v>-52.27760493740877</c:v>
                </c:pt>
                <c:pt idx="203">
                  <c:v>-52.90471603554604</c:v>
                </c:pt>
                <c:pt idx="204">
                  <c:v>-53.53145688478126</c:v>
                </c:pt>
                <c:pt idx="205">
                  <c:v>-54.1578235345617</c:v>
                </c:pt>
                <c:pt idx="206">
                  <c:v>-54.78381205395838</c:v>
                </c:pt>
                <c:pt idx="207">
                  <c:v>-55.40941852830673</c:v>
                </c:pt>
                <c:pt idx="208">
                  <c:v>-56.03463906092723</c:v>
                </c:pt>
                <c:pt idx="209">
                  <c:v>-56.65946977330293</c:v>
                </c:pt>
                <c:pt idx="210">
                  <c:v>-57.28390680471077</c:v>
                </c:pt>
                <c:pt idx="211">
                  <c:v>-57.90794631204401</c:v>
                </c:pt>
                <c:pt idx="212">
                  <c:v>-58.53158447191529</c:v>
                </c:pt>
                <c:pt idx="213">
                  <c:v>-59.15481747912715</c:v>
                </c:pt>
                <c:pt idx="214">
                  <c:v>-59.77764154491039</c:v>
                </c:pt>
                <c:pt idx="215">
                  <c:v>-60.40005290144421</c:v>
                </c:pt>
                <c:pt idx="216">
                  <c:v>-61.02204779949375</c:v>
                </c:pt>
                <c:pt idx="217">
                  <c:v>-61.64362250917482</c:v>
                </c:pt>
                <c:pt idx="218">
                  <c:v>-62.26477331836976</c:v>
                </c:pt>
                <c:pt idx="219">
                  <c:v>-62.88549653480322</c:v>
                </c:pt>
                <c:pt idx="220">
                  <c:v>-63.50578848671123</c:v>
                </c:pt>
                <c:pt idx="221">
                  <c:v>-64.1256455196731</c:v>
                </c:pt>
                <c:pt idx="222">
                  <c:v>-64.74506400091296</c:v>
                </c:pt>
                <c:pt idx="223">
                  <c:v>-65.36404031685544</c:v>
                </c:pt>
                <c:pt idx="224">
                  <c:v>-65.98257087330308</c:v>
                </c:pt>
                <c:pt idx="225">
                  <c:v>-66.6006520977853</c:v>
                </c:pt>
                <c:pt idx="226">
                  <c:v>-67.2182804343963</c:v>
                </c:pt>
                <c:pt idx="227">
                  <c:v>-67.8354523508007</c:v>
                </c:pt>
                <c:pt idx="228">
                  <c:v>-68.45216433532471</c:v>
                </c:pt>
                <c:pt idx="229">
                  <c:v>-69.06841289407483</c:v>
                </c:pt>
                <c:pt idx="230">
                  <c:v>-69.68419455541688</c:v>
                </c:pt>
                <c:pt idx="231">
                  <c:v>-70.29950586788678</c:v>
                </c:pt>
                <c:pt idx="232">
                  <c:v>-70.9143434019384</c:v>
                </c:pt>
                <c:pt idx="233">
                  <c:v>-71.52870374704855</c:v>
                </c:pt>
                <c:pt idx="234">
                  <c:v>-72.14258351513098</c:v>
                </c:pt>
                <c:pt idx="235">
                  <c:v>-72.75597933975796</c:v>
                </c:pt>
                <c:pt idx="236">
                  <c:v>-73.36888787356564</c:v>
                </c:pt>
                <c:pt idx="237">
                  <c:v>-73.98130579299273</c:v>
                </c:pt>
                <c:pt idx="238">
                  <c:v>-74.59322979397881</c:v>
                </c:pt>
                <c:pt idx="239">
                  <c:v>-75.20465659457263</c:v>
                </c:pt>
                <c:pt idx="240">
                  <c:v>-75.51024528632163</c:v>
                </c:pt>
              </c:numCache>
            </c:numRef>
          </c:yVal>
        </c:ser>
        <c:ser>
          <c:idx val="3"/>
          <c:order val="3"/>
          <c:tx>
            <c:v>Topo HF Doppler (Hz)</c:v>
          </c:tx>
          <c:spPr>
            <a:ln xmlns:a="http://schemas.openxmlformats.org/drawingml/2006/mai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71.41414886632106</c:v>
                </c:pt>
                <c:pt idx="1">
                  <c:v>73.70465483587238</c:v>
                </c:pt>
                <c:pt idx="2">
                  <c:v>80.18922146320266</c:v>
                </c:pt>
                <c:pt idx="3">
                  <c:v>75.66380573620222</c:v>
                </c:pt>
                <c:pt idx="4">
                  <c:v>74.45056684088384</c:v>
                </c:pt>
                <c:pt idx="5">
                  <c:v>76.87337210248465</c:v>
                </c:pt>
                <c:pt idx="6">
                  <c:v>72.762513969183</c:v>
                </c:pt>
                <c:pt idx="7">
                  <c:v>78.54096320354441</c:v>
                </c:pt>
                <c:pt idx="8">
                  <c:v>75.44484520109961</c:v>
                </c:pt>
                <c:pt idx="9">
                  <c:v>72.44319169068797</c:v>
                </c:pt>
                <c:pt idx="10">
                  <c:v>77.6914567764102</c:v>
                </c:pt>
                <c:pt idx="11">
                  <c:v>73.88080462381672</c:v>
                </c:pt>
                <c:pt idx="12">
                  <c:v>73.35021845449832</c:v>
                </c:pt>
                <c:pt idx="13">
                  <c:v>73.50196724820655</c:v>
                </c:pt>
                <c:pt idx="14">
                  <c:v>70.42031201812328</c:v>
                </c:pt>
                <c:pt idx="15">
                  <c:v>71.58273772032001</c:v>
                </c:pt>
                <c:pt idx="16">
                  <c:v>73.79120041280333</c:v>
                </c:pt>
                <c:pt idx="17">
                  <c:v>67.92806744945942</c:v>
                </c:pt>
                <c:pt idx="18">
                  <c:v>62.01435823481302</c:v>
                </c:pt>
                <c:pt idx="19">
                  <c:v>69.30033954765484</c:v>
                </c:pt>
                <c:pt idx="20">
                  <c:v>65.70881000329423</c:v>
                </c:pt>
                <c:pt idx="21">
                  <c:v>61.75051161855729</c:v>
                </c:pt>
                <c:pt idx="22">
                  <c:v>63.84779127813375</c:v>
                </c:pt>
                <c:pt idx="23">
                  <c:v>58.08315173586058</c:v>
                </c:pt>
                <c:pt idx="24">
                  <c:v>60.4044631645265</c:v>
                </c:pt>
                <c:pt idx="25">
                  <c:v>60.49295049403251</c:v>
                </c:pt>
                <c:pt idx="26">
                  <c:v>57.67072747396463</c:v>
                </c:pt>
                <c:pt idx="27">
                  <c:v>55.26740690511743</c:v>
                </c:pt>
                <c:pt idx="28">
                  <c:v>52.93513339392074</c:v>
                </c:pt>
                <c:pt idx="29">
                  <c:v>51.15337661456371</c:v>
                </c:pt>
                <c:pt idx="30">
                  <c:v>50.57707884515293</c:v>
                </c:pt>
                <c:pt idx="31">
                  <c:v>54.61495236860603</c:v>
                </c:pt>
                <c:pt idx="32">
                  <c:v>58.2342815901152</c:v>
                </c:pt>
                <c:pt idx="33">
                  <c:v>50.78652961303207</c:v>
                </c:pt>
                <c:pt idx="34">
                  <c:v>47.89094326461929</c:v>
                </c:pt>
                <c:pt idx="35">
                  <c:v>51.81718168200218</c:v>
                </c:pt>
                <c:pt idx="36">
                  <c:v>51.09203395272539</c:v>
                </c:pt>
                <c:pt idx="37">
                  <c:v>54.3551912383569</c:v>
                </c:pt>
                <c:pt idx="38">
                  <c:v>57.01264316578183</c:v>
                </c:pt>
                <c:pt idx="39">
                  <c:v>56.656918797286</c:v>
                </c:pt>
                <c:pt idx="40">
                  <c:v>53.35373651840408</c:v>
                </c:pt>
                <c:pt idx="41">
                  <c:v>47.29237814640069</c:v>
                </c:pt>
                <c:pt idx="42">
                  <c:v>52.3164168701144</c:v>
                </c:pt>
                <c:pt idx="43">
                  <c:v>53.52708397231117</c:v>
                </c:pt>
                <c:pt idx="44">
                  <c:v>55.07979291758455</c:v>
                </c:pt>
                <c:pt idx="45">
                  <c:v>55.80635124110663</c:v>
                </c:pt>
                <c:pt idx="46">
                  <c:v>53.37558426508513</c:v>
                </c:pt>
                <c:pt idx="47">
                  <c:v>55.45690312651282</c:v>
                </c:pt>
                <c:pt idx="48">
                  <c:v>50.79316448533807</c:v>
                </c:pt>
                <c:pt idx="49">
                  <c:v>47.15613248218243</c:v>
                </c:pt>
                <c:pt idx="50">
                  <c:v>52.21568399181368</c:v>
                </c:pt>
                <c:pt idx="51">
                  <c:v>53.33265967164079</c:v>
                </c:pt>
                <c:pt idx="52">
                  <c:v>46.3754241668307</c:v>
                </c:pt>
                <c:pt idx="53">
                  <c:v>48.24790724970345</c:v>
                </c:pt>
                <c:pt idx="54">
                  <c:v>47.57650028684955</c:v>
                </c:pt>
                <c:pt idx="55">
                  <c:v>41.31780589114124</c:v>
                </c:pt>
                <c:pt idx="56">
                  <c:v>41.96586877935955</c:v>
                </c:pt>
                <c:pt idx="57">
                  <c:v>43.26489167391623</c:v>
                </c:pt>
                <c:pt idx="58">
                  <c:v>35.75653044621007</c:v>
                </c:pt>
                <c:pt idx="59">
                  <c:v>35.17167235556669</c:v>
                </c:pt>
                <c:pt idx="60">
                  <c:v>35.4595545654597</c:v>
                </c:pt>
                <c:pt idx="61">
                  <c:v>36.56790693697133</c:v>
                </c:pt>
                <c:pt idx="62">
                  <c:v>33.33025737575682</c:v>
                </c:pt>
                <c:pt idx="63">
                  <c:v>32.07692564840156</c:v>
                </c:pt>
                <c:pt idx="64">
                  <c:v>32.67899124127214</c:v>
                </c:pt>
                <c:pt idx="65">
                  <c:v>29.5269566694796</c:v>
                </c:pt>
                <c:pt idx="66">
                  <c:v>33.10340716614809</c:v>
                </c:pt>
                <c:pt idx="67">
                  <c:v>29.76539311225884</c:v>
                </c:pt>
                <c:pt idx="68">
                  <c:v>28.83268566885173</c:v>
                </c:pt>
                <c:pt idx="69">
                  <c:v>29.95266618905841</c:v>
                </c:pt>
                <c:pt idx="70">
                  <c:v>33.1940825406644</c:v>
                </c:pt>
                <c:pt idx="71">
                  <c:v>33.40096695713631</c:v>
                </c:pt>
                <c:pt idx="72">
                  <c:v>30.16896361517669</c:v>
                </c:pt>
                <c:pt idx="73">
                  <c:v>32.76414795312451</c:v>
                </c:pt>
                <c:pt idx="74">
                  <c:v>32.55392492940211</c:v>
                </c:pt>
                <c:pt idx="75">
                  <c:v>37.71949471692105</c:v>
                </c:pt>
                <c:pt idx="76">
                  <c:v>39.16080600119712</c:v>
                </c:pt>
                <c:pt idx="77">
                  <c:v>27.904263105164</c:v>
                </c:pt>
                <c:pt idx="78">
                  <c:v>29.56558363155626</c:v>
                </c:pt>
                <c:pt idx="79">
                  <c:v>31.15141322955656</c:v>
                </c:pt>
                <c:pt idx="80">
                  <c:v>30.56030600357583</c:v>
                </c:pt>
                <c:pt idx="81">
                  <c:v>32.93187191673213</c:v>
                </c:pt>
                <c:pt idx="82">
                  <c:v>24.84511360329656</c:v>
                </c:pt>
                <c:pt idx="83">
                  <c:v>28.73977099929866</c:v>
                </c:pt>
                <c:pt idx="84">
                  <c:v>30.6221419614112</c:v>
                </c:pt>
                <c:pt idx="85">
                  <c:v>19.93131880940642</c:v>
                </c:pt>
                <c:pt idx="86">
                  <c:v>19.46338993643717</c:v>
                </c:pt>
                <c:pt idx="87">
                  <c:v>28.83267133402715</c:v>
                </c:pt>
                <c:pt idx="88">
                  <c:v>24.87092249165752</c:v>
                </c:pt>
                <c:pt idx="89">
                  <c:v>20.71417359725725</c:v>
                </c:pt>
                <c:pt idx="90">
                  <c:v>24.0923299508187</c:v>
                </c:pt>
                <c:pt idx="91">
                  <c:v>19.66973578371333</c:v>
                </c:pt>
                <c:pt idx="92">
                  <c:v>16.42747825576612</c:v>
                </c:pt>
                <c:pt idx="93">
                  <c:v>20.20583887064025</c:v>
                </c:pt>
                <c:pt idx="94">
                  <c:v>23.91311708147209</c:v>
                </c:pt>
                <c:pt idx="95">
                  <c:v>17.29117347518591</c:v>
                </c:pt>
                <c:pt idx="96">
                  <c:v>17.8310649421196</c:v>
                </c:pt>
                <c:pt idx="97">
                  <c:v>20.66126527145164</c:v>
                </c:pt>
                <c:pt idx="98">
                  <c:v>16.8223957702243</c:v>
                </c:pt>
                <c:pt idx="99">
                  <c:v>15.64960465104279</c:v>
                </c:pt>
                <c:pt idx="100">
                  <c:v>12.97435183972141</c:v>
                </c:pt>
                <c:pt idx="101">
                  <c:v>14.3965972993019</c:v>
                </c:pt>
                <c:pt idx="102">
                  <c:v>9.189789237660642</c:v>
                </c:pt>
                <c:pt idx="103">
                  <c:v>9.746514765934476</c:v>
                </c:pt>
                <c:pt idx="104">
                  <c:v>12.59818547381869</c:v>
                </c:pt>
                <c:pt idx="105">
                  <c:v>1.814858730769858</c:v>
                </c:pt>
                <c:pt idx="106">
                  <c:v>5.54284007660966</c:v>
                </c:pt>
                <c:pt idx="107">
                  <c:v>9.50912860942579</c:v>
                </c:pt>
                <c:pt idx="108">
                  <c:v>3.269109811544941</c:v>
                </c:pt>
                <c:pt idx="109">
                  <c:v>1.98407065401117</c:v>
                </c:pt>
                <c:pt idx="110">
                  <c:v>3.096669130219244</c:v>
                </c:pt>
                <c:pt idx="111">
                  <c:v>5.67352285757566</c:v>
                </c:pt>
                <c:pt idx="112">
                  <c:v>0.7531323960909111</c:v>
                </c:pt>
                <c:pt idx="113">
                  <c:v>3.097218110138652</c:v>
                </c:pt>
                <c:pt idx="114">
                  <c:v>7.693675051094951</c:v>
                </c:pt>
                <c:pt idx="115">
                  <c:v>7.008609348580015</c:v>
                </c:pt>
                <c:pt idx="116">
                  <c:v>4.998882767921914</c:v>
                </c:pt>
                <c:pt idx="117">
                  <c:v>3.129951542792401</c:v>
                </c:pt>
                <c:pt idx="118">
                  <c:v>11.61540280822824</c:v>
                </c:pt>
                <c:pt idx="119">
                  <c:v>10.09241670277066</c:v>
                </c:pt>
                <c:pt idx="120">
                  <c:v>2.038720100823991</c:v>
                </c:pt>
                <c:pt idx="121">
                  <c:v>3.46019080078785</c:v>
                </c:pt>
                <c:pt idx="122">
                  <c:v>6.88480808607496</c:v>
                </c:pt>
                <c:pt idx="123">
                  <c:v>6.91339521563077</c:v>
                </c:pt>
                <c:pt idx="124">
                  <c:v>5.298019111261977</c:v>
                </c:pt>
                <c:pt idx="125">
                  <c:v>-2.657125660020624</c:v>
                </c:pt>
                <c:pt idx="126">
                  <c:v>-0.7017342088349526</c:v>
                </c:pt>
                <c:pt idx="127">
                  <c:v>1.442227083592391</c:v>
                </c:pt>
                <c:pt idx="128">
                  <c:v>-3.775865517050912</c:v>
                </c:pt>
                <c:pt idx="129">
                  <c:v>-8.868404595903502</c:v>
                </c:pt>
                <c:pt idx="130">
                  <c:v>-13.40702643127778</c:v>
                </c:pt>
                <c:pt idx="131">
                  <c:v>-10.69737293168605</c:v>
                </c:pt>
                <c:pt idx="132">
                  <c:v>-11.33355885548616</c:v>
                </c:pt>
                <c:pt idx="133">
                  <c:v>-8.190600723299886</c:v>
                </c:pt>
                <c:pt idx="134">
                  <c:v>-14.01913622733749</c:v>
                </c:pt>
                <c:pt idx="135">
                  <c:v>-18.54995086055702</c:v>
                </c:pt>
                <c:pt idx="136">
                  <c:v>-16.00768964597554</c:v>
                </c:pt>
                <c:pt idx="137">
                  <c:v>-14.76318846703412</c:v>
                </c:pt>
                <c:pt idx="138">
                  <c:v>-11.89141267369033</c:v>
                </c:pt>
                <c:pt idx="139">
                  <c:v>-18.68632571728227</c:v>
                </c:pt>
                <c:pt idx="140">
                  <c:v>-22.51618017397449</c:v>
                </c:pt>
                <c:pt idx="141">
                  <c:v>-15.7186781806949</c:v>
                </c:pt>
                <c:pt idx="142">
                  <c:v>-14.97925015915858</c:v>
                </c:pt>
                <c:pt idx="143">
                  <c:v>-20.0745589083246</c:v>
                </c:pt>
                <c:pt idx="144">
                  <c:v>-15.50370416655799</c:v>
                </c:pt>
                <c:pt idx="145">
                  <c:v>-14.63353291485904</c:v>
                </c:pt>
                <c:pt idx="146">
                  <c:v>-22.75924611544574</c:v>
                </c:pt>
                <c:pt idx="147">
                  <c:v>-21.24829608360811</c:v>
                </c:pt>
                <c:pt idx="148">
                  <c:v>-16.38465719130542</c:v>
                </c:pt>
                <c:pt idx="149">
                  <c:v>-21.79332677447424</c:v>
                </c:pt>
                <c:pt idx="150">
                  <c:v>-24.04815839280626</c:v>
                </c:pt>
                <c:pt idx="151">
                  <c:v>-19.68555596977513</c:v>
                </c:pt>
                <c:pt idx="152">
                  <c:v>-18.0247907678745</c:v>
                </c:pt>
                <c:pt idx="153">
                  <c:v>-20.57846323936105</c:v>
                </c:pt>
                <c:pt idx="154">
                  <c:v>-20.30901452246883</c:v>
                </c:pt>
                <c:pt idx="155">
                  <c:v>-19.01856367956432</c:v>
                </c:pt>
                <c:pt idx="156">
                  <c:v>-22.77635712361716</c:v>
                </c:pt>
                <c:pt idx="157">
                  <c:v>-20.89725477079272</c:v>
                </c:pt>
                <c:pt idx="158">
                  <c:v>-18.98864468393248</c:v>
                </c:pt>
                <c:pt idx="159">
                  <c:v>-22.72779582385014</c:v>
                </c:pt>
                <c:pt idx="160">
                  <c:v>-24.4608175980092</c:v>
                </c:pt>
                <c:pt idx="161">
                  <c:v>-25.783235451764</c:v>
                </c:pt>
                <c:pt idx="162">
                  <c:v>-26.39077600868639</c:v>
                </c:pt>
                <c:pt idx="163">
                  <c:v>-26.03823409450676</c:v>
                </c:pt>
                <c:pt idx="164">
                  <c:v>-28.62586836963383</c:v>
                </c:pt>
                <c:pt idx="165">
                  <c:v>-31.18053622568863</c:v>
                </c:pt>
                <c:pt idx="166">
                  <c:v>-32.21146864555388</c:v>
                </c:pt>
                <c:pt idx="167">
                  <c:v>-29.40288686747952</c:v>
                </c:pt>
                <c:pt idx="168">
                  <c:v>-34.55615828002024</c:v>
                </c:pt>
                <c:pt idx="169">
                  <c:v>-36.78285219539849</c:v>
                </c:pt>
                <c:pt idx="170">
                  <c:v>-38.09853312923388</c:v>
                </c:pt>
                <c:pt idx="171">
                  <c:v>-40.20976179251736</c:v>
                </c:pt>
                <c:pt idx="172">
                  <c:v>-34.92782417889668</c:v>
                </c:pt>
                <c:pt idx="173">
                  <c:v>-43.79199197292355</c:v>
                </c:pt>
                <c:pt idx="174">
                  <c:v>-45.69300572293778</c:v>
                </c:pt>
                <c:pt idx="175">
                  <c:v>-43.36525589103865</c:v>
                </c:pt>
                <c:pt idx="176">
                  <c:v>-42.21609170432946</c:v>
                </c:pt>
                <c:pt idx="177">
                  <c:v>-43.23871658790587</c:v>
                </c:pt>
                <c:pt idx="178">
                  <c:v>-48.34212973393635</c:v>
                </c:pt>
                <c:pt idx="179">
                  <c:v>-43.88509128896497</c:v>
                </c:pt>
                <c:pt idx="180">
                  <c:v>-44.02594509580619</c:v>
                </c:pt>
                <c:pt idx="181">
                  <c:v>-43.52980641600356</c:v>
                </c:pt>
                <c:pt idx="182">
                  <c:v>-45.26417896068689</c:v>
                </c:pt>
                <c:pt idx="183">
                  <c:v>-44.40021401092122</c:v>
                </c:pt>
                <c:pt idx="184">
                  <c:v>-38.22808929106321</c:v>
                </c:pt>
                <c:pt idx="185">
                  <c:v>-40.71188137624342</c:v>
                </c:pt>
                <c:pt idx="186">
                  <c:v>-42.62670070905491</c:v>
                </c:pt>
                <c:pt idx="187">
                  <c:v>-38.75358988889357</c:v>
                </c:pt>
                <c:pt idx="188">
                  <c:v>-38.09710762279875</c:v>
                </c:pt>
                <c:pt idx="189">
                  <c:v>-44.41289078063752</c:v>
                </c:pt>
                <c:pt idx="190">
                  <c:v>-46.2215064807596</c:v>
                </c:pt>
                <c:pt idx="191">
                  <c:v>-43.03408324196901</c:v>
                </c:pt>
                <c:pt idx="192">
                  <c:v>-38.46968231153222</c:v>
                </c:pt>
                <c:pt idx="193">
                  <c:v>-40.59040787389087</c:v>
                </c:pt>
                <c:pt idx="194">
                  <c:v>-45.75555594118459</c:v>
                </c:pt>
                <c:pt idx="195">
                  <c:v>-46.68818451312922</c:v>
                </c:pt>
                <c:pt idx="196">
                  <c:v>-41.27987439564199</c:v>
                </c:pt>
                <c:pt idx="197">
                  <c:v>-44.29446884885736</c:v>
                </c:pt>
                <c:pt idx="198">
                  <c:v>-52.70556929194304</c:v>
                </c:pt>
                <c:pt idx="199">
                  <c:v>-49.95135637042264</c:v>
                </c:pt>
                <c:pt idx="200">
                  <c:v>-50.62939518227739</c:v>
                </c:pt>
                <c:pt idx="201">
                  <c:v>-58.39256114691275</c:v>
                </c:pt>
                <c:pt idx="202">
                  <c:v>-59.78294261988434</c:v>
                </c:pt>
                <c:pt idx="203">
                  <c:v>-54.22042019235906</c:v>
                </c:pt>
                <c:pt idx="204">
                  <c:v>-55.79800584109216</c:v>
                </c:pt>
                <c:pt idx="205">
                  <c:v>-59.84830665098841</c:v>
                </c:pt>
                <c:pt idx="206">
                  <c:v>-62.9780062611128</c:v>
                </c:pt>
                <c:pt idx="207">
                  <c:v>-64.55032849178995</c:v>
                </c:pt>
                <c:pt idx="208">
                  <c:v>-67.06224738958521</c:v>
                </c:pt>
                <c:pt idx="209">
                  <c:v>-67.01499933233782</c:v>
                </c:pt>
                <c:pt idx="210">
                  <c:v>-59.71620875530166</c:v>
                </c:pt>
                <c:pt idx="211">
                  <c:v>-62.20209395586289</c:v>
                </c:pt>
                <c:pt idx="212">
                  <c:v>-68.86347074234912</c:v>
                </c:pt>
                <c:pt idx="213">
                  <c:v>-65.84045851374319</c:v>
                </c:pt>
                <c:pt idx="214">
                  <c:v>-63.93950962525857</c:v>
                </c:pt>
                <c:pt idx="215">
                  <c:v>-59.01001994538114</c:v>
                </c:pt>
                <c:pt idx="216">
                  <c:v>-59.49156297544148</c:v>
                </c:pt>
                <c:pt idx="217">
                  <c:v>-65.31571397071939</c:v>
                </c:pt>
                <c:pt idx="218">
                  <c:v>-61.90952059229063</c:v>
                </c:pt>
                <c:pt idx="219">
                  <c:v>-61.55087497551028</c:v>
                </c:pt>
                <c:pt idx="220">
                  <c:v>-58.51091975295298</c:v>
                </c:pt>
                <c:pt idx="221">
                  <c:v>-58.97114724361258</c:v>
                </c:pt>
                <c:pt idx="222">
                  <c:v>-59.40891540693291</c:v>
                </c:pt>
                <c:pt idx="223">
                  <c:v>-58.30873644232658</c:v>
                </c:pt>
                <c:pt idx="224">
                  <c:v>-64.94927222679412</c:v>
                </c:pt>
                <c:pt idx="225">
                  <c:v>-62.71422305877428</c:v>
                </c:pt>
                <c:pt idx="226">
                  <c:v>-63.22793170892437</c:v>
                </c:pt>
                <c:pt idx="227">
                  <c:v>-68.32521806577338</c:v>
                </c:pt>
                <c:pt idx="228">
                  <c:v>-69.50385625827607</c:v>
                </c:pt>
                <c:pt idx="229">
                  <c:v>-67.44642393623946</c:v>
                </c:pt>
                <c:pt idx="230">
                  <c:v>-68.31979345638734</c:v>
                </c:pt>
                <c:pt idx="231">
                  <c:v>-70.70063732385621</c:v>
                </c:pt>
                <c:pt idx="232">
                  <c:v>-69.16359702731403</c:v>
                </c:pt>
                <c:pt idx="233">
                  <c:v>-68.30247777642954</c:v>
                </c:pt>
                <c:pt idx="234">
                  <c:v>-74.94654022039313</c:v>
                </c:pt>
                <c:pt idx="235">
                  <c:v>-74.2323986647485</c:v>
                </c:pt>
                <c:pt idx="236">
                  <c:v>-71.02265395464988</c:v>
                </c:pt>
                <c:pt idx="237">
                  <c:v>-74.19171065417582</c:v>
                </c:pt>
                <c:pt idx="238">
                  <c:v>-79.17498683111246</c:v>
                </c:pt>
                <c:pt idx="239">
                  <c:v>-78.61799082157242</c:v>
                </c:pt>
                <c:pt idx="240">
                  <c:v>-70.64978459915132</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800"/>
          <c:min val="-8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Native_Chart_Data!$A$983:$A$1223</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Native_Chart_Data!$B$983:$B$1223</c:f>
              <c:numCache>
                <c:formatCode>General</c:formatCode>
                <c:ptCount val="241"/>
                <c:pt idx="0">
                  <c:v>2695.197889201068</c:v>
                </c:pt>
                <c:pt idx="1">
                  <c:v>2694.772635007383</c:v>
                </c:pt>
                <c:pt idx="2">
                  <c:v>2694.298306864011</c:v>
                </c:pt>
                <c:pt idx="3">
                  <c:v>2693.880311025036</c:v>
                </c:pt>
                <c:pt idx="4">
                  <c:v>2693.465730882396</c:v>
                </c:pt>
                <c:pt idx="5">
                  <c:v>2693.003411046452</c:v>
                </c:pt>
                <c:pt idx="6">
                  <c:v>2692.596089258523</c:v>
                </c:pt>
                <c:pt idx="7">
                  <c:v>2692.19218316693</c:v>
                </c:pt>
                <c:pt idx="8">
                  <c:v>2691.741871638412</c:v>
                </c:pt>
                <c:pt idx="9">
                  <c:v>2691.34522390153</c:v>
                </c:pt>
                <c:pt idx="10">
                  <c:v>2690.951991860983</c:v>
                </c:pt>
                <c:pt idx="11">
                  <c:v>2690.513688639892</c:v>
                </c:pt>
                <c:pt idx="12">
                  <c:v>2690.127714954057</c:v>
                </c:pt>
                <c:pt idx="13">
                  <c:v>2689.745156964556</c:v>
                </c:pt>
                <c:pt idx="14">
                  <c:v>2689.318862050893</c:v>
                </c:pt>
                <c:pt idx="15">
                  <c:v>2688.943562416103</c:v>
                </c:pt>
                <c:pt idx="16">
                  <c:v>2688.571678477649</c:v>
                </c:pt>
                <c:pt idx="17">
                  <c:v>2688.157391871413</c:v>
                </c:pt>
                <c:pt idx="18">
                  <c:v>2687.79276628767</c:v>
                </c:pt>
                <c:pt idx="19">
                  <c:v>2687.431556400261</c:v>
                </c:pt>
                <c:pt idx="20">
                  <c:v>2687.029278101453</c:v>
                </c:pt>
                <c:pt idx="21">
                  <c:v>2686.675326568756</c:v>
                </c:pt>
                <c:pt idx="22">
                  <c:v>2686.324790732394</c:v>
                </c:pt>
                <c:pt idx="23">
                  <c:v>2685.934520741012</c:v>
                </c:pt>
                <c:pt idx="24">
                  <c:v>2685.591243259362</c:v>
                </c:pt>
                <c:pt idx="25">
                  <c:v>2685.251381474046</c:v>
                </c:pt>
                <c:pt idx="26">
                  <c:v>2684.873119790092</c:v>
                </c:pt>
                <c:pt idx="27">
                  <c:v>2684.540516359488</c:v>
                </c:pt>
                <c:pt idx="28">
                  <c:v>2684.211328625219</c:v>
                </c:pt>
                <c:pt idx="29">
                  <c:v>2683.845075248691</c:v>
                </c:pt>
                <c:pt idx="30">
                  <c:v>2683.523145869133</c:v>
                </c:pt>
                <c:pt idx="31">
                  <c:v>2683.20463218591</c:v>
                </c:pt>
                <c:pt idx="32">
                  <c:v>2682.85038711681</c:v>
                </c:pt>
                <c:pt idx="33">
                  <c:v>2682.539131788299</c:v>
                </c:pt>
                <c:pt idx="34">
                  <c:v>2682.231292156122</c:v>
                </c:pt>
                <c:pt idx="35">
                  <c:v>2681.889055394449</c:v>
                </c:pt>
                <c:pt idx="36">
                  <c:v>2681.588474116984</c:v>
                </c:pt>
                <c:pt idx="37">
                  <c:v>2681.291308535854</c:v>
                </c:pt>
                <c:pt idx="38">
                  <c:v>2680.961080081608</c:v>
                </c:pt>
                <c:pt idx="39">
                  <c:v>2680.671172855189</c:v>
                </c:pt>
                <c:pt idx="40">
                  <c:v>2680.384681325105</c:v>
                </c:pt>
                <c:pt idx="41">
                  <c:v>2680.066461178286</c:v>
                </c:pt>
                <c:pt idx="42">
                  <c:v>2679.787228002914</c:v>
                </c:pt>
                <c:pt idx="43">
                  <c:v>2679.511410523876</c:v>
                </c:pt>
                <c:pt idx="44">
                  <c:v>2679.205198684485</c:v>
                </c:pt>
                <c:pt idx="45">
                  <c:v>2678.936639560159</c:v>
                </c:pt>
                <c:pt idx="46">
                  <c:v>2678.671496132168</c:v>
                </c:pt>
                <c:pt idx="47">
                  <c:v>2678.377292600203</c:v>
                </c:pt>
                <c:pt idx="48">
                  <c:v>2678.119407526923</c:v>
                </c:pt>
                <c:pt idx="49">
                  <c:v>2677.864938149979</c:v>
                </c:pt>
                <c:pt idx="50">
                  <c:v>2677.582742925441</c:v>
                </c:pt>
                <c:pt idx="51">
                  <c:v>2677.335531903208</c:v>
                </c:pt>
                <c:pt idx="52">
                  <c:v>2677.091736577309</c:v>
                </c:pt>
                <c:pt idx="53">
                  <c:v>2676.821549660199</c:v>
                </c:pt>
                <c:pt idx="54">
                  <c:v>2676.585012689012</c:v>
                </c:pt>
                <c:pt idx="55">
                  <c:v>2676.35189141416</c:v>
                </c:pt>
                <c:pt idx="56">
                  <c:v>2676.093712804476</c:v>
                </c:pt>
                <c:pt idx="57">
                  <c:v>2675.867849884336</c:v>
                </c:pt>
                <c:pt idx="58">
                  <c:v>2675.64540266053</c:v>
                </c:pt>
                <c:pt idx="59">
                  <c:v>2675.399232358273</c:v>
                </c:pt>
                <c:pt idx="60">
                  <c:v>2675.184043489179</c:v>
                </c:pt>
                <c:pt idx="61">
                  <c:v>2674.97227031642</c:v>
                </c:pt>
                <c:pt idx="62">
                  <c:v>2674.738108321591</c:v>
                </c:pt>
                <c:pt idx="63">
                  <c:v>2674.533593503543</c:v>
                </c:pt>
                <c:pt idx="64">
                  <c:v>2674.33249438183</c:v>
                </c:pt>
                <c:pt idx="65">
                  <c:v>2674.110340694428</c:v>
                </c:pt>
                <c:pt idx="66">
                  <c:v>2673.916499927426</c:v>
                </c:pt>
                <c:pt idx="67">
                  <c:v>2673.72607485676</c:v>
                </c:pt>
                <c:pt idx="68">
                  <c:v>2673.515929476785</c:v>
                </c:pt>
                <c:pt idx="69">
                  <c:v>2673.33276276083</c:v>
                </c:pt>
                <c:pt idx="70">
                  <c:v>2673.153011741209</c:v>
                </c:pt>
                <c:pt idx="71">
                  <c:v>2672.954874668662</c:v>
                </c:pt>
                <c:pt idx="72">
                  <c:v>2672.782382003753</c:v>
                </c:pt>
                <c:pt idx="73">
                  <c:v>2672.613305035179</c:v>
                </c:pt>
                <c:pt idx="74">
                  <c:v>2672.427176270058</c:v>
                </c:pt>
                <c:pt idx="75">
                  <c:v>2672.265357656196</c:v>
                </c:pt>
                <c:pt idx="76">
                  <c:v>2672.106954738668</c:v>
                </c:pt>
                <c:pt idx="77">
                  <c:v>2671.932834280975</c:v>
                </c:pt>
                <c:pt idx="78">
                  <c:v>2671.781689718158</c:v>
                </c:pt>
                <c:pt idx="79">
                  <c:v>2671.633960851677</c:v>
                </c:pt>
                <c:pt idx="80">
                  <c:v>2671.471848701411</c:v>
                </c:pt>
                <c:pt idx="81">
                  <c:v>2671.331378189641</c:v>
                </c:pt>
                <c:pt idx="82">
                  <c:v>2671.194323374206</c:v>
                </c:pt>
                <c:pt idx="83">
                  <c:v>2671.044219531367</c:v>
                </c:pt>
                <c:pt idx="84">
                  <c:v>2670.914423070643</c:v>
                </c:pt>
                <c:pt idx="85">
                  <c:v>2670.788042306254</c:v>
                </c:pt>
                <c:pt idx="86">
                  <c:v>2670.649946770843</c:v>
                </c:pt>
                <c:pt idx="87">
                  <c:v>2670.530824361165</c:v>
                </c:pt>
                <c:pt idx="88">
                  <c:v>2670.415117647823</c:v>
                </c:pt>
                <c:pt idx="89">
                  <c:v>2670.289030419838</c:v>
                </c:pt>
                <c:pt idx="90">
                  <c:v>2670.180582061207</c:v>
                </c:pt>
                <c:pt idx="91">
                  <c:v>2670.075549398911</c:v>
                </c:pt>
                <c:pt idx="92">
                  <c:v>2669.961470478353</c:v>
                </c:pt>
                <c:pt idx="93">
                  <c:v>2669.863696170769</c:v>
                </c:pt>
                <c:pt idx="94">
                  <c:v>2669.769337559519</c:v>
                </c:pt>
                <c:pt idx="95">
                  <c:v>2669.667266946388</c:v>
                </c:pt>
                <c:pt idx="96">
                  <c:v>2669.580166689851</c:v>
                </c:pt>
                <c:pt idx="97">
                  <c:v>2669.496482129647</c:v>
                </c:pt>
                <c:pt idx="98">
                  <c:v>2669.406419823944</c:v>
                </c:pt>
                <c:pt idx="99">
                  <c:v>2669.329993618452</c:v>
                </c:pt>
                <c:pt idx="100">
                  <c:v>2669.256983109295</c:v>
                </c:pt>
                <c:pt idx="101">
                  <c:v>2669.178929111019</c:v>
                </c:pt>
                <c:pt idx="102">
                  <c:v>2669.113176956573</c:v>
                </c:pt>
                <c:pt idx="103">
                  <c:v>2669.050840498462</c:v>
                </c:pt>
                <c:pt idx="104">
                  <c:v>2668.984794807613</c:v>
                </c:pt>
                <c:pt idx="105">
                  <c:v>2668.929716704214</c:v>
                </c:pt>
                <c:pt idx="106">
                  <c:v>2668.878054297149</c:v>
                </c:pt>
                <c:pt idx="107">
                  <c:v>2668.824016913728</c:v>
                </c:pt>
                <c:pt idx="108">
                  <c:v>2668.779612861375</c:v>
                </c:pt>
                <c:pt idx="109">
                  <c:v>2668.738624505357</c:v>
                </c:pt>
                <c:pt idx="110">
                  <c:v>2668.696595429362</c:v>
                </c:pt>
                <c:pt idx="111">
                  <c:v>2668.662865428056</c:v>
                </c:pt>
                <c:pt idx="112">
                  <c:v>2668.632551123084</c:v>
                </c:pt>
                <c:pt idx="113">
                  <c:v>2668.602530354516</c:v>
                </c:pt>
                <c:pt idx="114">
                  <c:v>2668.579474404256</c:v>
                </c:pt>
                <c:pt idx="115">
                  <c:v>2668.559834150331</c:v>
                </c:pt>
                <c:pt idx="116">
                  <c:v>2668.54182168919</c:v>
                </c:pt>
                <c:pt idx="117">
                  <c:v>2668.529439789977</c:v>
                </c:pt>
                <c:pt idx="118">
                  <c:v>2668.520473587097</c:v>
                </c:pt>
                <c:pt idx="119">
                  <c:v>2668.514469433384</c:v>
                </c:pt>
                <c:pt idx="120">
                  <c:v>2668.512761585217</c:v>
                </c:pt>
                <c:pt idx="121">
                  <c:v>2668.514469433384</c:v>
                </c:pt>
                <c:pt idx="122">
                  <c:v>2668.520473587097</c:v>
                </c:pt>
                <c:pt idx="123">
                  <c:v>2668.529439789977</c:v>
                </c:pt>
                <c:pt idx="124">
                  <c:v>2668.54182168919</c:v>
                </c:pt>
                <c:pt idx="125">
                  <c:v>2668.559834150331</c:v>
                </c:pt>
                <c:pt idx="126">
                  <c:v>2668.579474404256</c:v>
                </c:pt>
                <c:pt idx="127">
                  <c:v>2668.602530354516</c:v>
                </c:pt>
                <c:pt idx="128">
                  <c:v>2668.632551123084</c:v>
                </c:pt>
                <c:pt idx="129">
                  <c:v>2668.662865428056</c:v>
                </c:pt>
                <c:pt idx="130">
                  <c:v>2668.696595429362</c:v>
                </c:pt>
                <c:pt idx="131">
                  <c:v>2668.738624505357</c:v>
                </c:pt>
                <c:pt idx="132">
                  <c:v>2668.779612861375</c:v>
                </c:pt>
                <c:pt idx="133">
                  <c:v>2668.824016913728</c:v>
                </c:pt>
                <c:pt idx="134">
                  <c:v>2668.878054297149</c:v>
                </c:pt>
                <c:pt idx="135">
                  <c:v>2668.929716704214</c:v>
                </c:pt>
                <c:pt idx="136">
                  <c:v>2668.984794807613</c:v>
                </c:pt>
                <c:pt idx="137">
                  <c:v>2669.050840498462</c:v>
                </c:pt>
                <c:pt idx="138">
                  <c:v>2669.113176956573</c:v>
                </c:pt>
                <c:pt idx="139">
                  <c:v>2669.178929111019</c:v>
                </c:pt>
                <c:pt idx="140">
                  <c:v>2669.256983109295</c:v>
                </c:pt>
                <c:pt idx="141">
                  <c:v>2669.329993618452</c:v>
                </c:pt>
                <c:pt idx="142">
                  <c:v>2669.406419823944</c:v>
                </c:pt>
                <c:pt idx="143">
                  <c:v>2669.496482129647</c:v>
                </c:pt>
                <c:pt idx="144">
                  <c:v>2669.580166689851</c:v>
                </c:pt>
                <c:pt idx="145">
                  <c:v>2669.667266946388</c:v>
                </c:pt>
                <c:pt idx="146">
                  <c:v>2669.769337559519</c:v>
                </c:pt>
                <c:pt idx="147">
                  <c:v>2669.863696170769</c:v>
                </c:pt>
                <c:pt idx="148">
                  <c:v>2669.961470478353</c:v>
                </c:pt>
                <c:pt idx="149">
                  <c:v>2670.075549398911</c:v>
                </c:pt>
                <c:pt idx="150">
                  <c:v>2670.180582061207</c:v>
                </c:pt>
                <c:pt idx="151">
                  <c:v>2670.289030419838</c:v>
                </c:pt>
                <c:pt idx="152">
                  <c:v>2670.415117647823</c:v>
                </c:pt>
                <c:pt idx="153">
                  <c:v>2670.530824361165</c:v>
                </c:pt>
                <c:pt idx="154">
                  <c:v>2670.649946770843</c:v>
                </c:pt>
                <c:pt idx="155">
                  <c:v>2670.788042306254</c:v>
                </c:pt>
                <c:pt idx="156">
                  <c:v>2670.914423070643</c:v>
                </c:pt>
                <c:pt idx="157">
                  <c:v>2671.044219531367</c:v>
                </c:pt>
                <c:pt idx="158">
                  <c:v>2671.194323374206</c:v>
                </c:pt>
                <c:pt idx="159">
                  <c:v>2671.331378189641</c:v>
                </c:pt>
                <c:pt idx="160">
                  <c:v>2671.471848701411</c:v>
                </c:pt>
                <c:pt idx="161">
                  <c:v>2671.633960851677</c:v>
                </c:pt>
                <c:pt idx="162">
                  <c:v>2671.781689718158</c:v>
                </c:pt>
                <c:pt idx="163">
                  <c:v>2671.932834280975</c:v>
                </c:pt>
                <c:pt idx="164">
                  <c:v>2672.106954738668</c:v>
                </c:pt>
                <c:pt idx="165">
                  <c:v>2672.265357656196</c:v>
                </c:pt>
                <c:pt idx="166">
                  <c:v>2672.427176270058</c:v>
                </c:pt>
                <c:pt idx="167">
                  <c:v>2672.613305035179</c:v>
                </c:pt>
                <c:pt idx="168">
                  <c:v>2672.782382003753</c:v>
                </c:pt>
                <c:pt idx="169">
                  <c:v>2672.954874668662</c:v>
                </c:pt>
                <c:pt idx="170">
                  <c:v>2673.153011741209</c:v>
                </c:pt>
                <c:pt idx="171">
                  <c:v>2673.33276276083</c:v>
                </c:pt>
                <c:pt idx="172">
                  <c:v>2673.515929476785</c:v>
                </c:pt>
                <c:pt idx="173">
                  <c:v>2673.72607485676</c:v>
                </c:pt>
                <c:pt idx="174">
                  <c:v>2673.916499927426</c:v>
                </c:pt>
                <c:pt idx="175">
                  <c:v>2674.110340694428</c:v>
                </c:pt>
                <c:pt idx="176">
                  <c:v>2674.33249438183</c:v>
                </c:pt>
                <c:pt idx="177">
                  <c:v>2674.533593503543</c:v>
                </c:pt>
                <c:pt idx="178">
                  <c:v>2674.738108321591</c:v>
                </c:pt>
                <c:pt idx="179">
                  <c:v>2674.97227031642</c:v>
                </c:pt>
                <c:pt idx="180">
                  <c:v>2675.184043489179</c:v>
                </c:pt>
                <c:pt idx="181">
                  <c:v>2675.399232358273</c:v>
                </c:pt>
                <c:pt idx="182">
                  <c:v>2675.64540266053</c:v>
                </c:pt>
                <c:pt idx="183">
                  <c:v>2675.867849884336</c:v>
                </c:pt>
                <c:pt idx="184">
                  <c:v>2676.093712804476</c:v>
                </c:pt>
                <c:pt idx="185">
                  <c:v>2676.35189141416</c:v>
                </c:pt>
                <c:pt idx="186">
                  <c:v>2676.585012689012</c:v>
                </c:pt>
                <c:pt idx="187">
                  <c:v>2676.821549660199</c:v>
                </c:pt>
                <c:pt idx="188">
                  <c:v>2677.091736577309</c:v>
                </c:pt>
                <c:pt idx="189">
                  <c:v>2677.335531903208</c:v>
                </c:pt>
                <c:pt idx="190">
                  <c:v>2677.582742925441</c:v>
                </c:pt>
                <c:pt idx="191">
                  <c:v>2677.864938149979</c:v>
                </c:pt>
                <c:pt idx="192">
                  <c:v>2678.119407526923</c:v>
                </c:pt>
                <c:pt idx="193">
                  <c:v>2678.377292600203</c:v>
                </c:pt>
                <c:pt idx="194">
                  <c:v>2678.671496132168</c:v>
                </c:pt>
                <c:pt idx="195">
                  <c:v>2678.936639560159</c:v>
                </c:pt>
                <c:pt idx="196">
                  <c:v>2679.205198684485</c:v>
                </c:pt>
                <c:pt idx="197">
                  <c:v>2679.511410523876</c:v>
                </c:pt>
                <c:pt idx="198">
                  <c:v>2679.787228002914</c:v>
                </c:pt>
                <c:pt idx="199">
                  <c:v>2680.066461178286</c:v>
                </c:pt>
                <c:pt idx="200">
                  <c:v>2680.384681325105</c:v>
                </c:pt>
                <c:pt idx="201">
                  <c:v>2680.671172855189</c:v>
                </c:pt>
                <c:pt idx="202">
                  <c:v>2680.961080081608</c:v>
                </c:pt>
                <c:pt idx="203">
                  <c:v>2681.291308535854</c:v>
                </c:pt>
                <c:pt idx="204">
                  <c:v>2681.588474116984</c:v>
                </c:pt>
                <c:pt idx="205">
                  <c:v>2681.889055394449</c:v>
                </c:pt>
                <c:pt idx="206">
                  <c:v>2682.231292156122</c:v>
                </c:pt>
                <c:pt idx="207">
                  <c:v>2682.539131788299</c:v>
                </c:pt>
                <c:pt idx="208">
                  <c:v>2682.85038711681</c:v>
                </c:pt>
                <c:pt idx="209">
                  <c:v>2683.20463218591</c:v>
                </c:pt>
                <c:pt idx="210">
                  <c:v>2683.523145869133</c:v>
                </c:pt>
                <c:pt idx="211">
                  <c:v>2683.845075248691</c:v>
                </c:pt>
                <c:pt idx="212">
                  <c:v>2684.211328625219</c:v>
                </c:pt>
                <c:pt idx="213">
                  <c:v>2684.540516359488</c:v>
                </c:pt>
                <c:pt idx="214">
                  <c:v>2684.873119790092</c:v>
                </c:pt>
                <c:pt idx="215">
                  <c:v>2685.251381474046</c:v>
                </c:pt>
                <c:pt idx="216">
                  <c:v>2685.591243259362</c:v>
                </c:pt>
                <c:pt idx="217">
                  <c:v>2685.934520741012</c:v>
                </c:pt>
                <c:pt idx="218">
                  <c:v>2686.324790732394</c:v>
                </c:pt>
                <c:pt idx="219">
                  <c:v>2686.675326568756</c:v>
                </c:pt>
                <c:pt idx="220">
                  <c:v>2687.029278101453</c:v>
                </c:pt>
                <c:pt idx="221">
                  <c:v>2687.431556400261</c:v>
                </c:pt>
                <c:pt idx="222">
                  <c:v>2687.79276628767</c:v>
                </c:pt>
                <c:pt idx="223">
                  <c:v>2688.157391871413</c:v>
                </c:pt>
                <c:pt idx="224">
                  <c:v>2688.571678477649</c:v>
                </c:pt>
                <c:pt idx="225">
                  <c:v>2688.943562416103</c:v>
                </c:pt>
                <c:pt idx="226">
                  <c:v>2689.318862050893</c:v>
                </c:pt>
                <c:pt idx="227">
                  <c:v>2689.745156964556</c:v>
                </c:pt>
                <c:pt idx="228">
                  <c:v>2690.127714954057</c:v>
                </c:pt>
                <c:pt idx="229">
                  <c:v>2690.513688639892</c:v>
                </c:pt>
                <c:pt idx="230">
                  <c:v>2690.951991860983</c:v>
                </c:pt>
                <c:pt idx="231">
                  <c:v>2691.34522390153</c:v>
                </c:pt>
                <c:pt idx="232">
                  <c:v>2691.741871638412</c:v>
                </c:pt>
                <c:pt idx="233">
                  <c:v>2692.19218316693</c:v>
                </c:pt>
                <c:pt idx="234">
                  <c:v>2692.596089258523</c:v>
                </c:pt>
                <c:pt idx="235">
                  <c:v>2693.003411046452</c:v>
                </c:pt>
                <c:pt idx="236">
                  <c:v>2693.465730882396</c:v>
                </c:pt>
                <c:pt idx="237">
                  <c:v>2693.880311025036</c:v>
                </c:pt>
                <c:pt idx="238">
                  <c:v>2694.298306864011</c:v>
                </c:pt>
                <c:pt idx="239">
                  <c:v>2694.772635007383</c:v>
                </c:pt>
                <c:pt idx="240">
                  <c:v>2695.197889201068</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Native_Chart_Data!$D$983:$D$1223</c:f>
              <c:numCache>
                <c:formatCode>General</c:formatCode>
                <c:ptCount val="241"/>
                <c:pt idx="0">
                  <c:v>2668.512761585217</c:v>
                </c:pt>
                <c:pt idx="1">
                  <c:v>2629.708316411349</c:v>
                </c:pt>
                <c:pt idx="2">
                  <c:v>2586.425873328674</c:v>
                </c:pt>
                <c:pt idx="3">
                  <c:v>2548.283753022232</c:v>
                </c:pt>
                <c:pt idx="4">
                  <c:v>2510.453315006343</c:v>
                </c:pt>
                <c:pt idx="5">
                  <c:v>2468.266629976395</c:v>
                </c:pt>
                <c:pt idx="6">
                  <c:v>2431.098516827931</c:v>
                </c:pt>
                <c:pt idx="7">
                  <c:v>2394.242085970021</c:v>
                </c:pt>
                <c:pt idx="8">
                  <c:v>2353.1511589928</c:v>
                </c:pt>
                <c:pt idx="9">
                  <c:v>2316.957053002314</c:v>
                </c:pt>
                <c:pt idx="10">
                  <c:v>2281.074629302383</c:v>
                </c:pt>
                <c:pt idx="11">
                  <c:v>2241.079460377885</c:v>
                </c:pt>
                <c:pt idx="12">
                  <c:v>2205.85936154538</c:v>
                </c:pt>
                <c:pt idx="13">
                  <c:v>2170.950945003427</c:v>
                </c:pt>
                <c:pt idx="14">
                  <c:v>2132.051534131656</c:v>
                </c:pt>
                <c:pt idx="15">
                  <c:v>2097.805442457128</c:v>
                </c:pt>
                <c:pt idx="16">
                  <c:v>2063.871033073153</c:v>
                </c:pt>
                <c:pt idx="17">
                  <c:v>2026.067380254109</c:v>
                </c:pt>
                <c:pt idx="18">
                  <c:v>1992.79529573756</c:v>
                </c:pt>
                <c:pt idx="19">
                  <c:v>1959.834893511564</c:v>
                </c:pt>
                <c:pt idx="20">
                  <c:v>1923.126998745246</c:v>
                </c:pt>
                <c:pt idx="21">
                  <c:v>1890.828921386674</c:v>
                </c:pt>
                <c:pt idx="22">
                  <c:v>1858.842526318657</c:v>
                </c:pt>
                <c:pt idx="23">
                  <c:v>1823.230389605065</c:v>
                </c:pt>
                <c:pt idx="24">
                  <c:v>1791.906319404473</c:v>
                </c:pt>
                <c:pt idx="25">
                  <c:v>1760.893931494434</c:v>
                </c:pt>
                <c:pt idx="26">
                  <c:v>1726.377552833568</c:v>
                </c:pt>
                <c:pt idx="27">
                  <c:v>1696.027489790954</c:v>
                </c:pt>
                <c:pt idx="28">
                  <c:v>1665.989109038894</c:v>
                </c:pt>
                <c:pt idx="29">
                  <c:v>1632.568488430753</c:v>
                </c:pt>
                <c:pt idx="30">
                  <c:v>1603.192432546118</c:v>
                </c:pt>
                <c:pt idx="31">
                  <c:v>1574.128058952037</c:v>
                </c:pt>
                <c:pt idx="32">
                  <c:v>1541.803196396622</c:v>
                </c:pt>
                <c:pt idx="33">
                  <c:v>1513.401147669966</c:v>
                </c:pt>
                <c:pt idx="34">
                  <c:v>1485.310781233862</c:v>
                </c:pt>
                <c:pt idx="35">
                  <c:v>1454.081676731174</c:v>
                </c:pt>
                <c:pt idx="36">
                  <c:v>1426.653635162496</c:v>
                </c:pt>
                <c:pt idx="37">
                  <c:v>1399.537275884371</c:v>
                </c:pt>
                <c:pt idx="38">
                  <c:v>1369.403929434409</c:v>
                </c:pt>
                <c:pt idx="39">
                  <c:v>1342.94989502371</c:v>
                </c:pt>
                <c:pt idx="40">
                  <c:v>1316.807542903565</c:v>
                </c:pt>
                <c:pt idx="41">
                  <c:v>1287.769954506328</c:v>
                </c:pt>
                <c:pt idx="42">
                  <c:v>1262.289927253607</c:v>
                </c:pt>
                <c:pt idx="43">
                  <c:v>1237.12158229144</c:v>
                </c:pt>
                <c:pt idx="44">
                  <c:v>1209.179751946929</c:v>
                </c:pt>
                <c:pt idx="45">
                  <c:v>1184.673731852187</c:v>
                </c:pt>
                <c:pt idx="46">
                  <c:v>1160.479394047998</c:v>
                </c:pt>
                <c:pt idx="47">
                  <c:v>1133.633321756213</c:v>
                </c:pt>
                <c:pt idx="48">
                  <c:v>1110.10130881945</c:v>
                </c:pt>
                <c:pt idx="49">
                  <c:v>1086.88097817324</c:v>
                </c:pt>
                <c:pt idx="50">
                  <c:v>1061.130663934181</c:v>
                </c:pt>
                <c:pt idx="51">
                  <c:v>1038.572658155396</c:v>
                </c:pt>
                <c:pt idx="52">
                  <c:v>1016.326334667165</c:v>
                </c:pt>
                <c:pt idx="53">
                  <c:v>991.6717784808318</c:v>
                </c:pt>
                <c:pt idx="54">
                  <c:v>970.0877798600259</c:v>
                </c:pt>
                <c:pt idx="55">
                  <c:v>948.8154635297731</c:v>
                </c:pt>
                <c:pt idx="56">
                  <c:v>925.2566653961659</c:v>
                </c:pt>
                <c:pt idx="57">
                  <c:v>904.6466739333382</c:v>
                </c:pt>
                <c:pt idx="58">
                  <c:v>884.3483647610641</c:v>
                </c:pt>
                <c:pt idx="59">
                  <c:v>861.8853246801826</c:v>
                </c:pt>
                <c:pt idx="60">
                  <c:v>842.2493403753339</c:v>
                </c:pt>
                <c:pt idx="61">
                  <c:v>822.9250383610386</c:v>
                </c:pt>
                <c:pt idx="62">
                  <c:v>801.5577563328827</c:v>
                </c:pt>
                <c:pt idx="63">
                  <c:v>782.8957791860126</c:v>
                </c:pt>
                <c:pt idx="64">
                  <c:v>764.545484329696</c:v>
                </c:pt>
                <c:pt idx="65">
                  <c:v>744.2739603542661</c:v>
                </c:pt>
                <c:pt idx="66">
                  <c:v>726.5859903653746</c:v>
                </c:pt>
                <c:pt idx="67">
                  <c:v>709.2097026670363</c:v>
                </c:pt>
                <c:pt idx="68">
                  <c:v>690.0339367443328</c:v>
                </c:pt>
                <c:pt idx="69">
                  <c:v>673.3199739134199</c:v>
                </c:pt>
                <c:pt idx="70">
                  <c:v>656.9176933730602</c:v>
                </c:pt>
                <c:pt idx="71">
                  <c:v>638.8376855030822</c:v>
                </c:pt>
                <c:pt idx="72">
                  <c:v>623.097729830148</c:v>
                </c:pt>
                <c:pt idx="73">
                  <c:v>607.6694564477671</c:v>
                </c:pt>
                <c:pt idx="74">
                  <c:v>590.685206630515</c:v>
                </c:pt>
                <c:pt idx="75">
                  <c:v>575.9192581155594</c:v>
                </c:pt>
                <c:pt idx="76">
                  <c:v>561.464991891157</c:v>
                </c:pt>
                <c:pt idx="77">
                  <c:v>545.576500126631</c:v>
                </c:pt>
                <c:pt idx="78">
                  <c:v>531.7845587696538</c:v>
                </c:pt>
                <c:pt idx="79">
                  <c:v>518.3042997032301</c:v>
                </c:pt>
                <c:pt idx="80">
                  <c:v>503.51156599143</c:v>
                </c:pt>
                <c:pt idx="81">
                  <c:v>490.6936317924316</c:v>
                </c:pt>
                <c:pt idx="82">
                  <c:v>478.1873798839861</c:v>
                </c:pt>
                <c:pt idx="83">
                  <c:v>464.4904042249124</c:v>
                </c:pt>
                <c:pt idx="84">
                  <c:v>452.6464771838923</c:v>
                </c:pt>
                <c:pt idx="85">
                  <c:v>441.1142324334257</c:v>
                </c:pt>
                <c:pt idx="86">
                  <c:v>428.5130148270775</c:v>
                </c:pt>
                <c:pt idx="87">
                  <c:v>417.6430949440363</c:v>
                </c:pt>
                <c:pt idx="88">
                  <c:v>407.0848573515482</c:v>
                </c:pt>
                <c:pt idx="89">
                  <c:v>395.5793977979259</c:v>
                </c:pt>
                <c:pt idx="90">
                  <c:v>385.6834850728633</c:v>
                </c:pt>
                <c:pt idx="91">
                  <c:v>376.0992546383538</c:v>
                </c:pt>
                <c:pt idx="92">
                  <c:v>365.6895531374575</c:v>
                </c:pt>
                <c:pt idx="93">
                  <c:v>356.7676475703735</c:v>
                </c:pt>
                <c:pt idx="94">
                  <c:v>348.1574242938427</c:v>
                </c:pt>
                <c:pt idx="95">
                  <c:v>338.8434808456722</c:v>
                </c:pt>
                <c:pt idx="96">
                  <c:v>330.8955824365668</c:v>
                </c:pt>
                <c:pt idx="97">
                  <c:v>323.2593663180145</c:v>
                </c:pt>
                <c:pt idx="98">
                  <c:v>315.0411809225702</c:v>
                </c:pt>
                <c:pt idx="99">
                  <c:v>308.0672896714433</c:v>
                </c:pt>
                <c:pt idx="100">
                  <c:v>301.4050807108696</c:v>
                </c:pt>
                <c:pt idx="101">
                  <c:v>294.2826533681511</c:v>
                </c:pt>
                <c:pt idx="102">
                  <c:v>288.2827692750029</c:v>
                </c:pt>
                <c:pt idx="103">
                  <c:v>282.5945674724079</c:v>
                </c:pt>
                <c:pt idx="104">
                  <c:v>276.5678981824153</c:v>
                </c:pt>
                <c:pt idx="105">
                  <c:v>271.5420212472457</c:v>
                </c:pt>
                <c:pt idx="106">
                  <c:v>266.8278266026293</c:v>
                </c:pt>
                <c:pt idx="107">
                  <c:v>261.8969153653625</c:v>
                </c:pt>
                <c:pt idx="108">
                  <c:v>257.8450455881715</c:v>
                </c:pt>
                <c:pt idx="109">
                  <c:v>254.1048581015337</c:v>
                </c:pt>
                <c:pt idx="110">
                  <c:v>250.269704916993</c:v>
                </c:pt>
                <c:pt idx="111">
                  <c:v>247.1918422977805</c:v>
                </c:pt>
                <c:pt idx="112">
                  <c:v>244.4256619691213</c:v>
                </c:pt>
                <c:pt idx="113">
                  <c:v>241.6862668373066</c:v>
                </c:pt>
                <c:pt idx="114">
                  <c:v>239.5824113760727</c:v>
                </c:pt>
                <c:pt idx="115">
                  <c:v>237.7902382053921</c:v>
                </c:pt>
                <c:pt idx="116">
                  <c:v>236.1466011263032</c:v>
                </c:pt>
                <c:pt idx="117">
                  <c:v>235.016752823048</c:v>
                </c:pt>
                <c:pt idx="118">
                  <c:v>234.198586810346</c:v>
                </c:pt>
                <c:pt idx="119">
                  <c:v>233.650707783983</c:v>
                </c:pt>
                <c:pt idx="120">
                  <c:v>233.4948666387064</c:v>
                </c:pt>
                <c:pt idx="121">
                  <c:v>233.650707783983</c:v>
                </c:pt>
                <c:pt idx="122">
                  <c:v>234.198586810346</c:v>
                </c:pt>
                <c:pt idx="123">
                  <c:v>235.016752823048</c:v>
                </c:pt>
                <c:pt idx="124">
                  <c:v>236.1466011263032</c:v>
                </c:pt>
                <c:pt idx="125">
                  <c:v>237.7902382053921</c:v>
                </c:pt>
                <c:pt idx="126">
                  <c:v>239.5824113760727</c:v>
                </c:pt>
                <c:pt idx="127">
                  <c:v>241.6862668373066</c:v>
                </c:pt>
                <c:pt idx="128">
                  <c:v>244.4256619691213</c:v>
                </c:pt>
                <c:pt idx="129">
                  <c:v>247.1918422977805</c:v>
                </c:pt>
                <c:pt idx="130">
                  <c:v>250.269704916993</c:v>
                </c:pt>
                <c:pt idx="131">
                  <c:v>254.1048581015337</c:v>
                </c:pt>
                <c:pt idx="132">
                  <c:v>257.8450455881716</c:v>
                </c:pt>
                <c:pt idx="133">
                  <c:v>261.8969153653626</c:v>
                </c:pt>
                <c:pt idx="134">
                  <c:v>266.8278266026293</c:v>
                </c:pt>
                <c:pt idx="135">
                  <c:v>271.5420212472457</c:v>
                </c:pt>
                <c:pt idx="136">
                  <c:v>276.5678981824153</c:v>
                </c:pt>
                <c:pt idx="137">
                  <c:v>282.5945674724078</c:v>
                </c:pt>
                <c:pt idx="138">
                  <c:v>288.2827692750028</c:v>
                </c:pt>
                <c:pt idx="139">
                  <c:v>294.2826533681511</c:v>
                </c:pt>
                <c:pt idx="140">
                  <c:v>301.4050807108696</c:v>
                </c:pt>
                <c:pt idx="141">
                  <c:v>308.0672896714433</c:v>
                </c:pt>
                <c:pt idx="142">
                  <c:v>315.0411809225702</c:v>
                </c:pt>
                <c:pt idx="143">
                  <c:v>323.2593663180145</c:v>
                </c:pt>
                <c:pt idx="144">
                  <c:v>330.8955824365668</c:v>
                </c:pt>
                <c:pt idx="145">
                  <c:v>338.8434808456722</c:v>
                </c:pt>
                <c:pt idx="146">
                  <c:v>348.1574242938427</c:v>
                </c:pt>
                <c:pt idx="147">
                  <c:v>356.7676475703736</c:v>
                </c:pt>
                <c:pt idx="148">
                  <c:v>365.6895531374577</c:v>
                </c:pt>
                <c:pt idx="149">
                  <c:v>376.0992546383538</c:v>
                </c:pt>
                <c:pt idx="150">
                  <c:v>385.6834850728633</c:v>
                </c:pt>
                <c:pt idx="151">
                  <c:v>395.5793977979259</c:v>
                </c:pt>
                <c:pt idx="152">
                  <c:v>407.0848573515481</c:v>
                </c:pt>
                <c:pt idx="153">
                  <c:v>417.6430949440361</c:v>
                </c:pt>
                <c:pt idx="154">
                  <c:v>428.5130148270773</c:v>
                </c:pt>
                <c:pt idx="155">
                  <c:v>441.114232433426</c:v>
                </c:pt>
                <c:pt idx="156">
                  <c:v>452.6464771838923</c:v>
                </c:pt>
                <c:pt idx="157">
                  <c:v>464.4904042249124</c:v>
                </c:pt>
                <c:pt idx="158">
                  <c:v>478.1873798839861</c:v>
                </c:pt>
                <c:pt idx="159">
                  <c:v>490.6936317924316</c:v>
                </c:pt>
                <c:pt idx="160">
                  <c:v>503.5115659914297</c:v>
                </c:pt>
                <c:pt idx="161">
                  <c:v>518.3042997032304</c:v>
                </c:pt>
                <c:pt idx="162">
                  <c:v>531.7845587696538</c:v>
                </c:pt>
                <c:pt idx="163">
                  <c:v>545.5765001266311</c:v>
                </c:pt>
                <c:pt idx="164">
                  <c:v>561.4649918911567</c:v>
                </c:pt>
                <c:pt idx="165">
                  <c:v>575.9192581155594</c:v>
                </c:pt>
                <c:pt idx="166">
                  <c:v>590.6852066305153</c:v>
                </c:pt>
                <c:pt idx="167">
                  <c:v>607.6694564477666</c:v>
                </c:pt>
                <c:pt idx="168">
                  <c:v>623.097729830148</c:v>
                </c:pt>
                <c:pt idx="169">
                  <c:v>638.8376855030817</c:v>
                </c:pt>
                <c:pt idx="170">
                  <c:v>656.9176933730604</c:v>
                </c:pt>
                <c:pt idx="171">
                  <c:v>673.3199739134197</c:v>
                </c:pt>
                <c:pt idx="172">
                  <c:v>690.0339367443329</c:v>
                </c:pt>
                <c:pt idx="173">
                  <c:v>709.2097026670361</c:v>
                </c:pt>
                <c:pt idx="174">
                  <c:v>726.5859903653748</c:v>
                </c:pt>
                <c:pt idx="175">
                  <c:v>744.2739603542658</c:v>
                </c:pt>
                <c:pt idx="176">
                  <c:v>764.5454843296961</c:v>
                </c:pt>
                <c:pt idx="177">
                  <c:v>782.8957791860126</c:v>
                </c:pt>
                <c:pt idx="178">
                  <c:v>801.557756332883</c:v>
                </c:pt>
                <c:pt idx="179">
                  <c:v>822.9250383610382</c:v>
                </c:pt>
                <c:pt idx="180">
                  <c:v>842.2493403753339</c:v>
                </c:pt>
                <c:pt idx="181">
                  <c:v>861.8853246801829</c:v>
                </c:pt>
                <c:pt idx="182">
                  <c:v>884.3483647610641</c:v>
                </c:pt>
                <c:pt idx="183">
                  <c:v>904.6466739333382</c:v>
                </c:pt>
                <c:pt idx="184">
                  <c:v>925.256665396165</c:v>
                </c:pt>
                <c:pt idx="185">
                  <c:v>948.8154635297733</c:v>
                </c:pt>
                <c:pt idx="186">
                  <c:v>970.0877798600259</c:v>
                </c:pt>
                <c:pt idx="187">
                  <c:v>991.671778480832</c:v>
                </c:pt>
                <c:pt idx="188">
                  <c:v>1016.326334667165</c:v>
                </c:pt>
                <c:pt idx="189">
                  <c:v>1038.572658155396</c:v>
                </c:pt>
                <c:pt idx="190">
                  <c:v>1061.13066393418</c:v>
                </c:pt>
                <c:pt idx="191">
                  <c:v>1086.880978173241</c:v>
                </c:pt>
                <c:pt idx="192">
                  <c:v>1110.10130881945</c:v>
                </c:pt>
                <c:pt idx="193">
                  <c:v>1133.633321756213</c:v>
                </c:pt>
                <c:pt idx="194">
                  <c:v>1160.479394047998</c:v>
                </c:pt>
                <c:pt idx="195">
                  <c:v>1184.673731852187</c:v>
                </c:pt>
                <c:pt idx="196">
                  <c:v>1209.179751946929</c:v>
                </c:pt>
                <c:pt idx="197">
                  <c:v>1237.12158229144</c:v>
                </c:pt>
                <c:pt idx="198">
                  <c:v>1262.289927253607</c:v>
                </c:pt>
                <c:pt idx="199">
                  <c:v>1287.769954506326</c:v>
                </c:pt>
                <c:pt idx="200">
                  <c:v>1316.807542903565</c:v>
                </c:pt>
                <c:pt idx="201">
                  <c:v>1342.94989502371</c:v>
                </c:pt>
                <c:pt idx="202">
                  <c:v>1369.403929434409</c:v>
                </c:pt>
                <c:pt idx="203">
                  <c:v>1399.537275884371</c:v>
                </c:pt>
                <c:pt idx="204">
                  <c:v>1426.653635162496</c:v>
                </c:pt>
                <c:pt idx="205">
                  <c:v>1454.081676731173</c:v>
                </c:pt>
                <c:pt idx="206">
                  <c:v>1485.310781233863</c:v>
                </c:pt>
                <c:pt idx="207">
                  <c:v>1513.401147669966</c:v>
                </c:pt>
                <c:pt idx="208">
                  <c:v>1541.803196396622</c:v>
                </c:pt>
                <c:pt idx="209">
                  <c:v>1574.128058952037</c:v>
                </c:pt>
                <c:pt idx="210">
                  <c:v>1603.192432546118</c:v>
                </c:pt>
                <c:pt idx="211">
                  <c:v>1632.568488430754</c:v>
                </c:pt>
                <c:pt idx="212">
                  <c:v>1665.989109038893</c:v>
                </c:pt>
                <c:pt idx="213">
                  <c:v>1696.027489790954</c:v>
                </c:pt>
                <c:pt idx="214">
                  <c:v>1726.377552833566</c:v>
                </c:pt>
                <c:pt idx="215">
                  <c:v>1760.893931494435</c:v>
                </c:pt>
                <c:pt idx="216">
                  <c:v>1791.906319404473</c:v>
                </c:pt>
                <c:pt idx="217">
                  <c:v>1823.230389605065</c:v>
                </c:pt>
                <c:pt idx="218">
                  <c:v>1858.842526318657</c:v>
                </c:pt>
                <c:pt idx="219">
                  <c:v>1890.828921386674</c:v>
                </c:pt>
                <c:pt idx="220">
                  <c:v>1923.126998745245</c:v>
                </c:pt>
                <c:pt idx="221">
                  <c:v>1959.834893511565</c:v>
                </c:pt>
                <c:pt idx="222">
                  <c:v>1992.79529573756</c:v>
                </c:pt>
                <c:pt idx="223">
                  <c:v>2026.067380254109</c:v>
                </c:pt>
                <c:pt idx="224">
                  <c:v>2063.871033073153</c:v>
                </c:pt>
                <c:pt idx="225">
                  <c:v>2097.805442457128</c:v>
                </c:pt>
                <c:pt idx="226">
                  <c:v>2132.051534131657</c:v>
                </c:pt>
                <c:pt idx="227">
                  <c:v>2170.950945003426</c:v>
                </c:pt>
                <c:pt idx="228">
                  <c:v>2205.85936154538</c:v>
                </c:pt>
                <c:pt idx="229">
                  <c:v>2241.079460377885</c:v>
                </c:pt>
                <c:pt idx="230">
                  <c:v>2281.074629302383</c:v>
                </c:pt>
                <c:pt idx="231">
                  <c:v>2316.957053002314</c:v>
                </c:pt>
                <c:pt idx="232">
                  <c:v>2353.1511589928</c:v>
                </c:pt>
                <c:pt idx="233">
                  <c:v>2394.242085970021</c:v>
                </c:pt>
                <c:pt idx="234">
                  <c:v>2431.098516827931</c:v>
                </c:pt>
                <c:pt idx="235">
                  <c:v>2468.266629976394</c:v>
                </c:pt>
                <c:pt idx="236">
                  <c:v>2510.453315006344</c:v>
                </c:pt>
                <c:pt idx="237">
                  <c:v>2548.283753022232</c:v>
                </c:pt>
                <c:pt idx="238">
                  <c:v>2586.425873328675</c:v>
                </c:pt>
                <c:pt idx="239">
                  <c:v>2629.708316411348</c:v>
                </c:pt>
                <c:pt idx="240">
                  <c:v>2668.512761585217</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Native_Chart_Data!$F$983:$F$1223</c:f>
              <c:numCache>
                <c:formatCode>General</c:formatCode>
                <c:ptCount val="241"/>
                <c:pt idx="0">
                  <c:v>6671.281903963041</c:v>
                </c:pt>
                <c:pt idx="1">
                  <c:v>6568.689329736241</c:v>
                </c:pt>
                <c:pt idx="2">
                  <c:v>6454.2576651478</c:v>
                </c:pt>
                <c:pt idx="3">
                  <c:v>6353.416168995152</c:v>
                </c:pt>
                <c:pt idx="4">
                  <c:v>6253.398709583282</c:v>
                </c:pt>
                <c:pt idx="5">
                  <c:v>6141.864049161637</c:v>
                </c:pt>
                <c:pt idx="6">
                  <c:v>6043.597667823918</c:v>
                </c:pt>
                <c:pt idx="7">
                  <c:v>5946.155323226975</c:v>
                </c:pt>
                <c:pt idx="8">
                  <c:v>5837.51766697213</c:v>
                </c:pt>
                <c:pt idx="9">
                  <c:v>5741.82640044934</c:v>
                </c:pt>
                <c:pt idx="10">
                  <c:v>5646.959170667329</c:v>
                </c:pt>
                <c:pt idx="11">
                  <c:v>5541.218518579276</c:v>
                </c:pt>
                <c:pt idx="12">
                  <c:v>5448.102366871419</c:v>
                </c:pt>
                <c:pt idx="13">
                  <c:v>5355.810251904337</c:v>
                </c:pt>
                <c:pt idx="14">
                  <c:v>5252.966603983079</c:v>
                </c:pt>
                <c:pt idx="15">
                  <c:v>5162.42556709015</c:v>
                </c:pt>
                <c:pt idx="16">
                  <c:v>5072.708566937998</c:v>
                </c:pt>
                <c:pt idx="17">
                  <c:v>4972.761923183538</c:v>
                </c:pt>
                <c:pt idx="18">
                  <c:v>4884.796001105537</c:v>
                </c:pt>
                <c:pt idx="19">
                  <c:v>4797.654115768317</c:v>
                </c:pt>
                <c:pt idx="20">
                  <c:v>4700.604476180652</c:v>
                </c:pt>
                <c:pt idx="21">
                  <c:v>4615.213668917581</c:v>
                </c:pt>
                <c:pt idx="22">
                  <c:v>4530.646898395288</c:v>
                </c:pt>
                <c:pt idx="23">
                  <c:v>4436.494262974422</c:v>
                </c:pt>
                <c:pt idx="24">
                  <c:v>4353.678570526281</c:v>
                </c:pt>
                <c:pt idx="25">
                  <c:v>4271.686914818919</c:v>
                </c:pt>
                <c:pt idx="26">
                  <c:v>4180.431283564847</c:v>
                </c:pt>
                <c:pt idx="27">
                  <c:v>4100.190705931635</c:v>
                </c:pt>
                <c:pt idx="28">
                  <c:v>4020.774165039202</c:v>
                </c:pt>
                <c:pt idx="29">
                  <c:v>3932.415537951925</c:v>
                </c:pt>
                <c:pt idx="30">
                  <c:v>3854.750075133645</c:v>
                </c:pt>
                <c:pt idx="31">
                  <c:v>3777.908649056141</c:v>
                </c:pt>
                <c:pt idx="32">
                  <c:v>3692.447026135661</c:v>
                </c:pt>
                <c:pt idx="33">
                  <c:v>3617.356678132311</c:v>
                </c:pt>
                <c:pt idx="34">
                  <c:v>3543.090366869735</c:v>
                </c:pt>
                <c:pt idx="35">
                  <c:v>3460.525748116051</c:v>
                </c:pt>
                <c:pt idx="36">
                  <c:v>3388.01051492763</c:v>
                </c:pt>
                <c:pt idx="37">
                  <c:v>3316.319318479985</c:v>
                </c:pt>
                <c:pt idx="38">
                  <c:v>3236.651703893099</c:v>
                </c:pt>
                <c:pt idx="39">
                  <c:v>3166.711585519607</c:v>
                </c:pt>
                <c:pt idx="40">
                  <c:v>3097.595503886892</c:v>
                </c:pt>
                <c:pt idx="41">
                  <c:v>3020.824893466801</c:v>
                </c:pt>
                <c:pt idx="42">
                  <c:v>2953.459889908238</c:v>
                </c:pt>
                <c:pt idx="43">
                  <c:v>2886.918923090454</c:v>
                </c:pt>
                <c:pt idx="44">
                  <c:v>2813.045316837157</c:v>
                </c:pt>
                <c:pt idx="45">
                  <c:v>2748.255428093525</c:v>
                </c:pt>
                <c:pt idx="46">
                  <c:v>2684.28957609067</c:v>
                </c:pt>
                <c:pt idx="47">
                  <c:v>2613.312974004169</c:v>
                </c:pt>
                <c:pt idx="48">
                  <c:v>2551.098200075467</c:v>
                </c:pt>
                <c:pt idx="49">
                  <c:v>2489.707462887542</c:v>
                </c:pt>
                <c:pt idx="50">
                  <c:v>2421.627864967837</c:v>
                </c:pt>
                <c:pt idx="51">
                  <c:v>2361.988205854064</c:v>
                </c:pt>
                <c:pt idx="52">
                  <c:v>2303.172583481069</c:v>
                </c:pt>
                <c:pt idx="53">
                  <c:v>2237.989989728161</c:v>
                </c:pt>
                <c:pt idx="54">
                  <c:v>2180.925445429318</c:v>
                </c:pt>
                <c:pt idx="55">
                  <c:v>2124.684937871252</c:v>
                </c:pt>
                <c:pt idx="56">
                  <c:v>2062.399348285139</c:v>
                </c:pt>
                <c:pt idx="57">
                  <c:v>2007.909918801226</c:v>
                </c:pt>
                <c:pt idx="58">
                  <c:v>1954.24452605809</c:v>
                </c:pt>
                <c:pt idx="59">
                  <c:v>1894.855940638774</c:v>
                </c:pt>
                <c:pt idx="60">
                  <c:v>1842.94162596979</c:v>
                </c:pt>
                <c:pt idx="61">
                  <c:v>1791.851348041584</c:v>
                </c:pt>
                <c:pt idx="62">
                  <c:v>1735.359766789063</c:v>
                </c:pt>
                <c:pt idx="63">
                  <c:v>1686.020566935009</c:v>
                </c:pt>
                <c:pt idx="64">
                  <c:v>1637.505403821734</c:v>
                </c:pt>
                <c:pt idx="65">
                  <c:v>1583.910826736008</c:v>
                </c:pt>
                <c:pt idx="66">
                  <c:v>1537.146741696884</c:v>
                </c:pt>
                <c:pt idx="67">
                  <c:v>1491.206693398537</c:v>
                </c:pt>
                <c:pt idx="68">
                  <c:v>1440.509120479609</c:v>
                </c:pt>
                <c:pt idx="69">
                  <c:v>1396.320150255415</c:v>
                </c:pt>
                <c:pt idx="70">
                  <c:v>1352.955216771998</c:v>
                </c:pt>
                <c:pt idx="71">
                  <c:v>1305.154648019864</c:v>
                </c:pt>
                <c:pt idx="72">
                  <c:v>1263.5407926106</c:v>
                </c:pt>
                <c:pt idx="73">
                  <c:v>1222.750973942113</c:v>
                </c:pt>
                <c:pt idx="74">
                  <c:v>1177.847409356775</c:v>
                </c:pt>
                <c:pt idx="75">
                  <c:v>1138.808668762441</c:v>
                </c:pt>
                <c:pt idx="76">
                  <c:v>1100.593964908884</c:v>
                </c:pt>
                <c:pt idx="77">
                  <c:v>1058.587404490342</c:v>
                </c:pt>
                <c:pt idx="78">
                  <c:v>1022.123778710937</c:v>
                </c:pt>
                <c:pt idx="79">
                  <c:v>986.4841896723101</c:v>
                </c:pt>
                <c:pt idx="80">
                  <c:v>947.3746334205645</c:v>
                </c:pt>
                <c:pt idx="81">
                  <c:v>913.4861224560894</c:v>
                </c:pt>
                <c:pt idx="82">
                  <c:v>880.421648232391</c:v>
                </c:pt>
                <c:pt idx="83">
                  <c:v>844.2090961474427</c:v>
                </c:pt>
                <c:pt idx="84">
                  <c:v>812.8956999978966</c:v>
                </c:pt>
                <c:pt idx="85">
                  <c:v>782.4063405891286</c:v>
                </c:pt>
                <c:pt idx="86">
                  <c:v>749.090792670975</c:v>
                </c:pt>
                <c:pt idx="87">
                  <c:v>720.3525113363593</c:v>
                </c:pt>
                <c:pt idx="88">
                  <c:v>692.4382667425209</c:v>
                </c:pt>
                <c:pt idx="89">
                  <c:v>662.0197229911632</c:v>
                </c:pt>
                <c:pt idx="90">
                  <c:v>635.8565564714773</c:v>
                </c:pt>
                <c:pt idx="91">
                  <c:v>610.5174266925688</c:v>
                </c:pt>
                <c:pt idx="92">
                  <c:v>582.9958871080072</c:v>
                </c:pt>
                <c:pt idx="93">
                  <c:v>559.4078354032508</c:v>
                </c:pt>
                <c:pt idx="94">
                  <c:v>536.6438204392722</c:v>
                </c:pt>
                <c:pt idx="95">
                  <c:v>512.0192850215063</c:v>
                </c:pt>
                <c:pt idx="96">
                  <c:v>491.0063481316799</c:v>
                </c:pt>
                <c:pt idx="97">
                  <c:v>470.8174479826305</c:v>
                </c:pt>
                <c:pt idx="98">
                  <c:v>449.0899167316613</c:v>
                </c:pt>
                <c:pt idx="99">
                  <c:v>430.6520946567642</c:v>
                </c:pt>
                <c:pt idx="100">
                  <c:v>413.0383093226449</c:v>
                </c:pt>
                <c:pt idx="101">
                  <c:v>394.2077822384711</c:v>
                </c:pt>
                <c:pt idx="102">
                  <c:v>378.345074978504</c:v>
                </c:pt>
                <c:pt idx="103">
                  <c:v>363.3064044593144</c:v>
                </c:pt>
                <c:pt idx="104">
                  <c:v>347.3728815419365</c:v>
                </c:pt>
                <c:pt idx="105">
                  <c:v>334.0852890968991</c:v>
                </c:pt>
                <c:pt idx="106">
                  <c:v>321.6217333926393</c:v>
                </c:pt>
                <c:pt idx="107">
                  <c:v>308.5852146420575</c:v>
                </c:pt>
                <c:pt idx="108">
                  <c:v>297.8727370119498</c:v>
                </c:pt>
                <c:pt idx="109">
                  <c:v>287.9842961226196</c:v>
                </c:pt>
                <c:pt idx="110">
                  <c:v>277.8447815388337</c:v>
                </c:pt>
                <c:pt idx="111">
                  <c:v>269.7074187236558</c:v>
                </c:pt>
                <c:pt idx="112">
                  <c:v>262.3940926492553</c:v>
                </c:pt>
                <c:pt idx="113">
                  <c:v>255.1515822322656</c:v>
                </c:pt>
                <c:pt idx="114">
                  <c:v>249.5893342320173</c:v>
                </c:pt>
                <c:pt idx="115">
                  <c:v>244.8511229725466</c:v>
                </c:pt>
                <c:pt idx="116">
                  <c:v>240.5056167223526</c:v>
                </c:pt>
                <c:pt idx="117">
                  <c:v>237.5184835370341</c:v>
                </c:pt>
                <c:pt idx="118">
                  <c:v>235.3553870924932</c:v>
                </c:pt>
                <c:pt idx="119">
                  <c:v>233.9068850090952</c:v>
                </c:pt>
                <c:pt idx="120">
                  <c:v>233.4948666387064</c:v>
                </c:pt>
                <c:pt idx="121">
                  <c:v>233.9068850090952</c:v>
                </c:pt>
                <c:pt idx="122">
                  <c:v>235.3553870924931</c:v>
                </c:pt>
                <c:pt idx="123">
                  <c:v>237.5184835370341</c:v>
                </c:pt>
                <c:pt idx="124">
                  <c:v>240.5056167223526</c:v>
                </c:pt>
                <c:pt idx="125">
                  <c:v>244.8511229725466</c:v>
                </c:pt>
                <c:pt idx="126">
                  <c:v>249.5893342320173</c:v>
                </c:pt>
                <c:pt idx="127">
                  <c:v>255.1515822322656</c:v>
                </c:pt>
                <c:pt idx="128">
                  <c:v>262.3940926492553</c:v>
                </c:pt>
                <c:pt idx="129">
                  <c:v>269.7074187236558</c:v>
                </c:pt>
                <c:pt idx="130">
                  <c:v>277.8447815388337</c:v>
                </c:pt>
                <c:pt idx="131">
                  <c:v>287.9842961226196</c:v>
                </c:pt>
                <c:pt idx="132">
                  <c:v>297.87273701195</c:v>
                </c:pt>
                <c:pt idx="133">
                  <c:v>308.5852146420577</c:v>
                </c:pt>
                <c:pt idx="134">
                  <c:v>321.6217333926393</c:v>
                </c:pt>
                <c:pt idx="135">
                  <c:v>334.0852890968991</c:v>
                </c:pt>
                <c:pt idx="136">
                  <c:v>347.3728815419365</c:v>
                </c:pt>
                <c:pt idx="137">
                  <c:v>363.3064044593141</c:v>
                </c:pt>
                <c:pt idx="138">
                  <c:v>378.3450749785037</c:v>
                </c:pt>
                <c:pt idx="139">
                  <c:v>394.2077822384711</c:v>
                </c:pt>
                <c:pt idx="140">
                  <c:v>413.0383093226449</c:v>
                </c:pt>
                <c:pt idx="141">
                  <c:v>430.6520946567642</c:v>
                </c:pt>
                <c:pt idx="142">
                  <c:v>449.0899167316613</c:v>
                </c:pt>
                <c:pt idx="143">
                  <c:v>470.8174479826305</c:v>
                </c:pt>
                <c:pt idx="144">
                  <c:v>491.0063481316799</c:v>
                </c:pt>
                <c:pt idx="145">
                  <c:v>512.0192850215063</c:v>
                </c:pt>
                <c:pt idx="146">
                  <c:v>536.6438204392722</c:v>
                </c:pt>
                <c:pt idx="147">
                  <c:v>559.4078354032513</c:v>
                </c:pt>
                <c:pt idx="148">
                  <c:v>582.9958871080077</c:v>
                </c:pt>
                <c:pt idx="149">
                  <c:v>610.5174266925688</c:v>
                </c:pt>
                <c:pt idx="150">
                  <c:v>635.8565564714773</c:v>
                </c:pt>
                <c:pt idx="151">
                  <c:v>662.0197229911632</c:v>
                </c:pt>
                <c:pt idx="152">
                  <c:v>692.4382667425206</c:v>
                </c:pt>
                <c:pt idx="153">
                  <c:v>720.3525113363587</c:v>
                </c:pt>
                <c:pt idx="154">
                  <c:v>749.0907926709743</c:v>
                </c:pt>
                <c:pt idx="155">
                  <c:v>782.4063405891291</c:v>
                </c:pt>
                <c:pt idx="156">
                  <c:v>812.8956999978966</c:v>
                </c:pt>
                <c:pt idx="157">
                  <c:v>844.2090961474427</c:v>
                </c:pt>
                <c:pt idx="158">
                  <c:v>880.421648232391</c:v>
                </c:pt>
                <c:pt idx="159">
                  <c:v>913.4861224560894</c:v>
                </c:pt>
                <c:pt idx="160">
                  <c:v>947.3746334205639</c:v>
                </c:pt>
                <c:pt idx="161">
                  <c:v>986.484189672311</c:v>
                </c:pt>
                <c:pt idx="162">
                  <c:v>1022.123778710937</c:v>
                </c:pt>
                <c:pt idx="163">
                  <c:v>1058.587404490343</c:v>
                </c:pt>
                <c:pt idx="164">
                  <c:v>1100.593964908883</c:v>
                </c:pt>
                <c:pt idx="165">
                  <c:v>1138.808668762441</c:v>
                </c:pt>
                <c:pt idx="166">
                  <c:v>1177.847409356776</c:v>
                </c:pt>
                <c:pt idx="167">
                  <c:v>1222.750973942112</c:v>
                </c:pt>
                <c:pt idx="168">
                  <c:v>1263.5407926106</c:v>
                </c:pt>
                <c:pt idx="169">
                  <c:v>1305.154648019864</c:v>
                </c:pt>
                <c:pt idx="170">
                  <c:v>1352.955216771998</c:v>
                </c:pt>
                <c:pt idx="171">
                  <c:v>1396.320150255414</c:v>
                </c:pt>
                <c:pt idx="172">
                  <c:v>1440.509120479609</c:v>
                </c:pt>
                <c:pt idx="173">
                  <c:v>1491.206693398537</c:v>
                </c:pt>
                <c:pt idx="174">
                  <c:v>1537.146741696884</c:v>
                </c:pt>
                <c:pt idx="175">
                  <c:v>1583.910826736007</c:v>
                </c:pt>
                <c:pt idx="176">
                  <c:v>1637.505403821734</c:v>
                </c:pt>
                <c:pt idx="177">
                  <c:v>1686.020566935009</c:v>
                </c:pt>
                <c:pt idx="178">
                  <c:v>1735.359766789064</c:v>
                </c:pt>
                <c:pt idx="179">
                  <c:v>1791.851348041584</c:v>
                </c:pt>
                <c:pt idx="180">
                  <c:v>1842.94162596979</c:v>
                </c:pt>
                <c:pt idx="181">
                  <c:v>1894.855940638774</c:v>
                </c:pt>
                <c:pt idx="182">
                  <c:v>1954.24452605809</c:v>
                </c:pt>
                <c:pt idx="183">
                  <c:v>2007.909918801226</c:v>
                </c:pt>
                <c:pt idx="184">
                  <c:v>2062.399348285137</c:v>
                </c:pt>
                <c:pt idx="185">
                  <c:v>2124.684937871253</c:v>
                </c:pt>
                <c:pt idx="186">
                  <c:v>2180.925445429318</c:v>
                </c:pt>
                <c:pt idx="187">
                  <c:v>2237.989989728162</c:v>
                </c:pt>
                <c:pt idx="188">
                  <c:v>2303.172583481068</c:v>
                </c:pt>
                <c:pt idx="189">
                  <c:v>2361.988205854064</c:v>
                </c:pt>
                <c:pt idx="190">
                  <c:v>2421.627864967836</c:v>
                </c:pt>
                <c:pt idx="191">
                  <c:v>2489.707462887543</c:v>
                </c:pt>
                <c:pt idx="192">
                  <c:v>2551.098200075467</c:v>
                </c:pt>
                <c:pt idx="193">
                  <c:v>2613.31297400417</c:v>
                </c:pt>
                <c:pt idx="194">
                  <c:v>2684.289576090669</c:v>
                </c:pt>
                <c:pt idx="195">
                  <c:v>2748.255428093525</c:v>
                </c:pt>
                <c:pt idx="196">
                  <c:v>2813.045316837158</c:v>
                </c:pt>
                <c:pt idx="197">
                  <c:v>2886.918923090452</c:v>
                </c:pt>
                <c:pt idx="198">
                  <c:v>2953.459889908238</c:v>
                </c:pt>
                <c:pt idx="199">
                  <c:v>3020.824893466798</c:v>
                </c:pt>
                <c:pt idx="200">
                  <c:v>3097.595503886894</c:v>
                </c:pt>
                <c:pt idx="201">
                  <c:v>3166.711585519607</c:v>
                </c:pt>
                <c:pt idx="202">
                  <c:v>3236.651703893099</c:v>
                </c:pt>
                <c:pt idx="203">
                  <c:v>3316.319318479985</c:v>
                </c:pt>
                <c:pt idx="204">
                  <c:v>3388.01051492763</c:v>
                </c:pt>
                <c:pt idx="205">
                  <c:v>3460.525748116051</c:v>
                </c:pt>
                <c:pt idx="206">
                  <c:v>3543.090366869737</c:v>
                </c:pt>
                <c:pt idx="207">
                  <c:v>3617.356678132311</c:v>
                </c:pt>
                <c:pt idx="208">
                  <c:v>3692.447026135661</c:v>
                </c:pt>
                <c:pt idx="209">
                  <c:v>3777.90864905614</c:v>
                </c:pt>
                <c:pt idx="210">
                  <c:v>3854.750075133645</c:v>
                </c:pt>
                <c:pt idx="211">
                  <c:v>3932.415537951927</c:v>
                </c:pt>
                <c:pt idx="212">
                  <c:v>4020.7741650392</c:v>
                </c:pt>
                <c:pt idx="213">
                  <c:v>4100.190705931635</c:v>
                </c:pt>
                <c:pt idx="214">
                  <c:v>4180.431283564842</c:v>
                </c:pt>
                <c:pt idx="215">
                  <c:v>4271.68691481892</c:v>
                </c:pt>
                <c:pt idx="216">
                  <c:v>4353.678570526281</c:v>
                </c:pt>
                <c:pt idx="217">
                  <c:v>4436.494262974422</c:v>
                </c:pt>
                <c:pt idx="218">
                  <c:v>4530.646898395288</c:v>
                </c:pt>
                <c:pt idx="219">
                  <c:v>4615.213668917581</c:v>
                </c:pt>
                <c:pt idx="220">
                  <c:v>4700.604476180651</c:v>
                </c:pt>
                <c:pt idx="221">
                  <c:v>4797.654115768319</c:v>
                </c:pt>
                <c:pt idx="222">
                  <c:v>4884.796001105537</c:v>
                </c:pt>
                <c:pt idx="223">
                  <c:v>4972.761923183538</c:v>
                </c:pt>
                <c:pt idx="224">
                  <c:v>5072.708566937997</c:v>
                </c:pt>
                <c:pt idx="225">
                  <c:v>5162.42556709015</c:v>
                </c:pt>
                <c:pt idx="226">
                  <c:v>5252.96660398308</c:v>
                </c:pt>
                <c:pt idx="227">
                  <c:v>5355.810251904335</c:v>
                </c:pt>
                <c:pt idx="228">
                  <c:v>5448.102366871419</c:v>
                </c:pt>
                <c:pt idx="229">
                  <c:v>5541.218518579275</c:v>
                </c:pt>
                <c:pt idx="230">
                  <c:v>5646.95917066733</c:v>
                </c:pt>
                <c:pt idx="231">
                  <c:v>5741.82640044934</c:v>
                </c:pt>
                <c:pt idx="232">
                  <c:v>5837.51766697213</c:v>
                </c:pt>
                <c:pt idx="233">
                  <c:v>5946.155323226975</c:v>
                </c:pt>
                <c:pt idx="234">
                  <c:v>6043.597667823918</c:v>
                </c:pt>
                <c:pt idx="235">
                  <c:v>6141.864049161635</c:v>
                </c:pt>
                <c:pt idx="236">
                  <c:v>6253.398709583284</c:v>
                </c:pt>
                <c:pt idx="237">
                  <c:v>6353.416168995152</c:v>
                </c:pt>
                <c:pt idx="238">
                  <c:v>6454.257665147801</c:v>
                </c:pt>
                <c:pt idx="239">
                  <c:v>6568.689329736239</c:v>
                </c:pt>
                <c:pt idx="240">
                  <c:v>6671.281903963041</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Native_Chart_Data!$H$983:$H$1223</c:f>
              <c:numCache>
                <c:formatCode>General</c:formatCode>
                <c:ptCount val="241"/>
                <c:pt idx="0">
                  <c:v>6671.281903963041</c:v>
                </c:pt>
                <c:pt idx="1">
                  <c:v>6567.626194252024</c:v>
                </c:pt>
                <c:pt idx="2">
                  <c:v>6452.008709305155</c:v>
                </c:pt>
                <c:pt idx="3">
                  <c:v>6350.12222355507</c:v>
                </c:pt>
                <c:pt idx="4">
                  <c:v>6249.068313786602</c:v>
                </c:pt>
                <c:pt idx="5">
                  <c:v>6136.377853775093</c:v>
                </c:pt>
                <c:pt idx="6">
                  <c:v>6037.093167967554</c:v>
                </c:pt>
                <c:pt idx="7">
                  <c:v>5938.641058141628</c:v>
                </c:pt>
                <c:pt idx="8">
                  <c:v>5828.87762306549</c:v>
                </c:pt>
                <c:pt idx="9">
                  <c:v>5732.194737200494</c:v>
                </c:pt>
                <c:pt idx="10">
                  <c:v>5636.344427317114</c:v>
                </c:pt>
                <c:pt idx="11">
                  <c:v>5529.508017176336</c:v>
                </c:pt>
                <c:pt idx="12">
                  <c:v>5435.426931253887</c:v>
                </c:pt>
                <c:pt idx="13">
                  <c:v>5342.178421313054</c:v>
                </c:pt>
                <c:pt idx="14">
                  <c:v>5238.269036107639</c:v>
                </c:pt>
                <c:pt idx="15">
                  <c:v>5146.789750127737</c:v>
                </c:pt>
                <c:pt idx="16">
                  <c:v>5056.143040129448</c:v>
                </c:pt>
                <c:pt idx="17">
                  <c:v>4955.160679859398</c:v>
                </c:pt>
                <c:pt idx="18">
                  <c:v>4866.28319382204</c:v>
                </c:pt>
                <c:pt idx="19">
                  <c:v>4778.238283766299</c:v>
                </c:pt>
                <c:pt idx="20">
                  <c:v>4680.182948431611</c:v>
                </c:pt>
                <c:pt idx="21">
                  <c:v>4593.907262336798</c:v>
                </c:pt>
                <c:pt idx="22">
                  <c:v>4508.464152223602</c:v>
                </c:pt>
                <c:pt idx="23">
                  <c:v>4413.335841824281</c:v>
                </c:pt>
                <c:pt idx="24">
                  <c:v>4329.661955672014</c:v>
                </c:pt>
                <c:pt idx="25">
                  <c:v>4246.820645501362</c:v>
                </c:pt>
                <c:pt idx="26">
                  <c:v>4154.619360037404</c:v>
                </c:pt>
                <c:pt idx="27">
                  <c:v>4073.547273827683</c:v>
                </c:pt>
                <c:pt idx="28">
                  <c:v>3993.307763599577</c:v>
                </c:pt>
                <c:pt idx="29">
                  <c:v>3904.033503070981</c:v>
                </c:pt>
                <c:pt idx="30">
                  <c:v>3825.563216803806</c:v>
                </c:pt>
                <c:pt idx="31">
                  <c:v>3747.925506518246</c:v>
                </c:pt>
                <c:pt idx="32">
                  <c:v>3661.578270925015</c:v>
                </c:pt>
                <c:pt idx="33">
                  <c:v>3585.709784600385</c:v>
                </c:pt>
                <c:pt idx="34">
                  <c:v>3510.67387425737</c:v>
                </c:pt>
                <c:pt idx="35">
                  <c:v>3427.253663599502</c:v>
                </c:pt>
                <c:pt idx="36">
                  <c:v>3353.986977217418</c:v>
                </c:pt>
                <c:pt idx="37">
                  <c:v>3281.552866816948</c:v>
                </c:pt>
                <c:pt idx="38">
                  <c:v>3201.059681094447</c:v>
                </c:pt>
                <c:pt idx="39">
                  <c:v>3130.394794654908</c:v>
                </c:pt>
                <c:pt idx="40">
                  <c:v>3060.562484196984</c:v>
                </c:pt>
                <c:pt idx="41">
                  <c:v>2982.996323409845</c:v>
                </c:pt>
                <c:pt idx="42">
                  <c:v>2914.933236912851</c:v>
                </c:pt>
                <c:pt idx="43">
                  <c:v>2847.702726397474</c:v>
                </c:pt>
                <c:pt idx="44">
                  <c:v>2773.063590545697</c:v>
                </c:pt>
                <c:pt idx="45">
                  <c:v>2707.60230399125</c:v>
                </c:pt>
                <c:pt idx="46">
                  <c:v>2642.973593418418</c:v>
                </c:pt>
                <c:pt idx="47">
                  <c:v>2571.261482502005</c:v>
                </c:pt>
                <c:pt idx="48">
                  <c:v>2508.401995890104</c:v>
                </c:pt>
                <c:pt idx="49">
                  <c:v>2446.375085259816</c:v>
                </c:pt>
                <c:pt idx="50">
                  <c:v>2377.589999278768</c:v>
                </c:pt>
                <c:pt idx="51">
                  <c:v>2317.332312609411</c:v>
                </c:pt>
                <c:pt idx="52">
                  <c:v>2257.907201921671</c:v>
                </c:pt>
                <c:pt idx="53">
                  <c:v>2192.049140875986</c:v>
                </c:pt>
                <c:pt idx="54">
                  <c:v>2134.393254149176</c:v>
                </c:pt>
                <c:pt idx="55">
                  <c:v>2077.56994340398</c:v>
                </c:pt>
                <c:pt idx="56">
                  <c:v>2014.638907293659</c:v>
                </c:pt>
                <c:pt idx="57">
                  <c:v>1959.584820509394</c:v>
                </c:pt>
                <c:pt idx="58">
                  <c:v>1905.363309706744</c:v>
                </c:pt>
                <c:pt idx="59">
                  <c:v>1845.359298531786</c:v>
                </c:pt>
                <c:pt idx="60">
                  <c:v>1792.907011690067</c:v>
                </c:pt>
                <c:pt idx="61">
                  <c:v>1741.287300829963</c:v>
                </c:pt>
                <c:pt idx="62">
                  <c:v>1684.210314590369</c:v>
                </c:pt>
                <c:pt idx="63">
                  <c:v>1634.359827691196</c:v>
                </c:pt>
                <c:pt idx="64">
                  <c:v>1585.341916773637</c:v>
                </c:pt>
                <c:pt idx="65">
                  <c:v>1531.191955469407</c:v>
                </c:pt>
                <c:pt idx="66">
                  <c:v>1483.943268512779</c:v>
                </c:pt>
                <c:pt idx="67">
                  <c:v>1437.527157537766</c:v>
                </c:pt>
                <c:pt idx="68">
                  <c:v>1386.3042211689</c:v>
                </c:pt>
                <c:pt idx="69">
                  <c:v>1341.657334154817</c:v>
                </c:pt>
                <c:pt idx="70">
                  <c:v>1297.84302312235</c:v>
                </c:pt>
                <c:pt idx="71">
                  <c:v>1249.547111688847</c:v>
                </c:pt>
                <c:pt idx="72">
                  <c:v>1207.502024617311</c:v>
                </c:pt>
                <c:pt idx="73">
                  <c:v>1166.289513527388</c:v>
                </c:pt>
                <c:pt idx="74">
                  <c:v>1120.920627029249</c:v>
                </c:pt>
                <c:pt idx="75">
                  <c:v>1081.477339900259</c:v>
                </c:pt>
                <c:pt idx="76">
                  <c:v>1042.866628752882</c:v>
                </c:pt>
                <c:pt idx="77">
                  <c:v>1000.424767190107</c:v>
                </c:pt>
                <c:pt idx="78">
                  <c:v>963.5832800036617</c:v>
                </c:pt>
                <c:pt idx="79">
                  <c:v>927.574368798831</c:v>
                </c:pt>
                <c:pt idx="80">
                  <c:v>888.0595321714195</c:v>
                </c:pt>
                <c:pt idx="81">
                  <c:v>853.8198449275199</c:v>
                </c:pt>
                <c:pt idx="82">
                  <c:v>820.4127336652341</c:v>
                </c:pt>
                <c:pt idx="83">
                  <c:v>783.8249219731875</c:v>
                </c:pt>
                <c:pt idx="84">
                  <c:v>752.1870346718329</c:v>
                </c:pt>
                <c:pt idx="85">
                  <c:v>721.3817233520933</c:v>
                </c:pt>
                <c:pt idx="86">
                  <c:v>687.7209365954095</c:v>
                </c:pt>
                <c:pt idx="87">
                  <c:v>658.6848492366009</c:v>
                </c:pt>
                <c:pt idx="88">
                  <c:v>630.4813378594068</c:v>
                </c:pt>
                <c:pt idx="89">
                  <c:v>599.7475760380869</c:v>
                </c:pt>
                <c:pt idx="90">
                  <c:v>573.3132886218239</c:v>
                </c:pt>
                <c:pt idx="91">
                  <c:v>547.7115771871754</c:v>
                </c:pt>
                <c:pt idx="92">
                  <c:v>519.9048403012193</c:v>
                </c:pt>
                <c:pt idx="93">
                  <c:v>496.0723528275018</c:v>
                </c:pt>
                <c:pt idx="94">
                  <c:v>473.0724413353988</c:v>
                </c:pt>
                <c:pt idx="95">
                  <c:v>448.1927293848065</c:v>
                </c:pt>
                <c:pt idx="96">
                  <c:v>426.9620418536346</c:v>
                </c:pt>
                <c:pt idx="97">
                  <c:v>406.563930304077</c:v>
                </c:pt>
                <c:pt idx="98">
                  <c:v>384.6112432888491</c:v>
                </c:pt>
                <c:pt idx="99">
                  <c:v>365.9823557002225</c:v>
                </c:pt>
                <c:pt idx="100">
                  <c:v>348.1860440932107</c:v>
                </c:pt>
                <c:pt idx="101">
                  <c:v>329.160382013346</c:v>
                </c:pt>
                <c:pt idx="102">
                  <c:v>313.1332943672653</c:v>
                </c:pt>
                <c:pt idx="103">
                  <c:v>297.9387827027991</c:v>
                </c:pt>
                <c:pt idx="104">
                  <c:v>281.8401455582982</c:v>
                </c:pt>
                <c:pt idx="105">
                  <c:v>268.414857854763</c:v>
                </c:pt>
                <c:pt idx="106">
                  <c:v>255.8221461328424</c:v>
                </c:pt>
                <c:pt idx="107">
                  <c:v>242.6505339237053</c:v>
                </c:pt>
                <c:pt idx="108">
                  <c:v>231.8270461627157</c:v>
                </c:pt>
                <c:pt idx="109">
                  <c:v>221.8361343833407</c:v>
                </c:pt>
                <c:pt idx="110">
                  <c:v>211.5915471095673</c:v>
                </c:pt>
                <c:pt idx="111">
                  <c:v>203.3698592911233</c:v>
                </c:pt>
                <c:pt idx="112">
                  <c:v>195.9807474542938</c:v>
                </c:pt>
                <c:pt idx="113">
                  <c:v>188.6631851158845</c:v>
                </c:pt>
                <c:pt idx="114">
                  <c:v>183.0432972399859</c:v>
                </c:pt>
                <c:pt idx="115">
                  <c:v>178.2559853457021</c:v>
                </c:pt>
                <c:pt idx="116">
                  <c:v>173.8654479426564</c:v>
                </c:pt>
                <c:pt idx="117">
                  <c:v>170.8473600093035</c:v>
                </c:pt>
                <c:pt idx="118">
                  <c:v>168.6618480575652</c:v>
                </c:pt>
                <c:pt idx="119">
                  <c:v>167.1983355898833</c:v>
                </c:pt>
                <c:pt idx="120">
                  <c:v>166.782047599076</c:v>
                </c:pt>
                <c:pt idx="121">
                  <c:v>167.1983355898833</c:v>
                </c:pt>
                <c:pt idx="122">
                  <c:v>168.6618480575652</c:v>
                </c:pt>
                <c:pt idx="123">
                  <c:v>170.8473600093034</c:v>
                </c:pt>
                <c:pt idx="124">
                  <c:v>173.8654479426564</c:v>
                </c:pt>
                <c:pt idx="125">
                  <c:v>178.2559853457021</c:v>
                </c:pt>
                <c:pt idx="126">
                  <c:v>183.0432972399859</c:v>
                </c:pt>
                <c:pt idx="127">
                  <c:v>188.6631851158845</c:v>
                </c:pt>
                <c:pt idx="128">
                  <c:v>195.9807474542938</c:v>
                </c:pt>
                <c:pt idx="129">
                  <c:v>203.3698592911233</c:v>
                </c:pt>
                <c:pt idx="130">
                  <c:v>211.5915471095673</c:v>
                </c:pt>
                <c:pt idx="131">
                  <c:v>221.8361343833407</c:v>
                </c:pt>
                <c:pt idx="132">
                  <c:v>231.8270461627159</c:v>
                </c:pt>
                <c:pt idx="133">
                  <c:v>242.6505339237055</c:v>
                </c:pt>
                <c:pt idx="134">
                  <c:v>255.8221461328424</c:v>
                </c:pt>
                <c:pt idx="135">
                  <c:v>268.414857854763</c:v>
                </c:pt>
                <c:pt idx="136">
                  <c:v>281.8401455582982</c:v>
                </c:pt>
                <c:pt idx="137">
                  <c:v>297.9387827027988</c:v>
                </c:pt>
                <c:pt idx="138">
                  <c:v>313.1332943672649</c:v>
                </c:pt>
                <c:pt idx="139">
                  <c:v>329.160382013346</c:v>
                </c:pt>
                <c:pt idx="140">
                  <c:v>348.1860440932107</c:v>
                </c:pt>
                <c:pt idx="141">
                  <c:v>365.9823557002225</c:v>
                </c:pt>
                <c:pt idx="142">
                  <c:v>384.6112432888491</c:v>
                </c:pt>
                <c:pt idx="143">
                  <c:v>406.563930304077</c:v>
                </c:pt>
                <c:pt idx="144">
                  <c:v>426.9620418536346</c:v>
                </c:pt>
                <c:pt idx="145">
                  <c:v>448.1927293848065</c:v>
                </c:pt>
                <c:pt idx="146">
                  <c:v>473.0724413353988</c:v>
                </c:pt>
                <c:pt idx="147">
                  <c:v>496.0723528275021</c:v>
                </c:pt>
                <c:pt idx="148">
                  <c:v>519.9048403012197</c:v>
                </c:pt>
                <c:pt idx="149">
                  <c:v>547.7115771871754</c:v>
                </c:pt>
                <c:pt idx="150">
                  <c:v>573.3132886218239</c:v>
                </c:pt>
                <c:pt idx="151">
                  <c:v>599.7475760380869</c:v>
                </c:pt>
                <c:pt idx="152">
                  <c:v>630.4813378594064</c:v>
                </c:pt>
                <c:pt idx="153">
                  <c:v>658.6848492366003</c:v>
                </c:pt>
                <c:pt idx="154">
                  <c:v>687.7209365954091</c:v>
                </c:pt>
                <c:pt idx="155">
                  <c:v>721.3817233520938</c:v>
                </c:pt>
                <c:pt idx="156">
                  <c:v>752.1870346718329</c:v>
                </c:pt>
                <c:pt idx="157">
                  <c:v>783.8249219731875</c:v>
                </c:pt>
                <c:pt idx="158">
                  <c:v>820.4127336652341</c:v>
                </c:pt>
                <c:pt idx="159">
                  <c:v>853.8198449275199</c:v>
                </c:pt>
                <c:pt idx="160">
                  <c:v>888.059532171419</c:v>
                </c:pt>
                <c:pt idx="161">
                  <c:v>927.5743687988318</c:v>
                </c:pt>
                <c:pt idx="162">
                  <c:v>963.5832800036617</c:v>
                </c:pt>
                <c:pt idx="163">
                  <c:v>1000.424767190108</c:v>
                </c:pt>
                <c:pt idx="164">
                  <c:v>1042.866628752882</c:v>
                </c:pt>
                <c:pt idx="165">
                  <c:v>1081.477339900259</c:v>
                </c:pt>
                <c:pt idx="166">
                  <c:v>1120.92062702925</c:v>
                </c:pt>
                <c:pt idx="167">
                  <c:v>1166.289513527388</c:v>
                </c:pt>
                <c:pt idx="168">
                  <c:v>1207.502024617311</c:v>
                </c:pt>
                <c:pt idx="169">
                  <c:v>1249.547111688846</c:v>
                </c:pt>
                <c:pt idx="170">
                  <c:v>1297.84302312235</c:v>
                </c:pt>
                <c:pt idx="171">
                  <c:v>1341.657334154817</c:v>
                </c:pt>
                <c:pt idx="172">
                  <c:v>1386.3042211689</c:v>
                </c:pt>
                <c:pt idx="173">
                  <c:v>1437.527157537765</c:v>
                </c:pt>
                <c:pt idx="174">
                  <c:v>1483.943268512779</c:v>
                </c:pt>
                <c:pt idx="175">
                  <c:v>1531.191955469406</c:v>
                </c:pt>
                <c:pt idx="176">
                  <c:v>1585.341916773638</c:v>
                </c:pt>
                <c:pt idx="177">
                  <c:v>1634.359827691196</c:v>
                </c:pt>
                <c:pt idx="178">
                  <c:v>1684.21031459037</c:v>
                </c:pt>
                <c:pt idx="179">
                  <c:v>1741.287300829962</c:v>
                </c:pt>
                <c:pt idx="180">
                  <c:v>1792.907011690067</c:v>
                </c:pt>
                <c:pt idx="181">
                  <c:v>1845.359298531787</c:v>
                </c:pt>
                <c:pt idx="182">
                  <c:v>1905.363309706743</c:v>
                </c:pt>
                <c:pt idx="183">
                  <c:v>1959.584820509394</c:v>
                </c:pt>
                <c:pt idx="184">
                  <c:v>2014.638907293657</c:v>
                </c:pt>
                <c:pt idx="185">
                  <c:v>2077.569943403981</c:v>
                </c:pt>
                <c:pt idx="186">
                  <c:v>2134.393254149176</c:v>
                </c:pt>
                <c:pt idx="187">
                  <c:v>2192.049140875987</c:v>
                </c:pt>
                <c:pt idx="188">
                  <c:v>2257.90720192167</c:v>
                </c:pt>
                <c:pt idx="189">
                  <c:v>2317.332312609411</c:v>
                </c:pt>
                <c:pt idx="190">
                  <c:v>2377.589999278767</c:v>
                </c:pt>
                <c:pt idx="191">
                  <c:v>2446.375085259819</c:v>
                </c:pt>
                <c:pt idx="192">
                  <c:v>2508.401995890104</c:v>
                </c:pt>
                <c:pt idx="193">
                  <c:v>2571.261482502005</c:v>
                </c:pt>
                <c:pt idx="194">
                  <c:v>2642.973593418417</c:v>
                </c:pt>
                <c:pt idx="195">
                  <c:v>2707.60230399125</c:v>
                </c:pt>
                <c:pt idx="196">
                  <c:v>2773.063590545697</c:v>
                </c:pt>
                <c:pt idx="197">
                  <c:v>2847.702726397472</c:v>
                </c:pt>
                <c:pt idx="198">
                  <c:v>2914.933236912851</c:v>
                </c:pt>
                <c:pt idx="199">
                  <c:v>2982.996323409842</c:v>
                </c:pt>
                <c:pt idx="200">
                  <c:v>3060.562484196985</c:v>
                </c:pt>
                <c:pt idx="201">
                  <c:v>3130.394794654908</c:v>
                </c:pt>
                <c:pt idx="202">
                  <c:v>3201.059681094447</c:v>
                </c:pt>
                <c:pt idx="203">
                  <c:v>3281.552866816948</c:v>
                </c:pt>
                <c:pt idx="204">
                  <c:v>3353.986977217418</c:v>
                </c:pt>
                <c:pt idx="205">
                  <c:v>3427.253663599502</c:v>
                </c:pt>
                <c:pt idx="206">
                  <c:v>3510.673874257372</c:v>
                </c:pt>
                <c:pt idx="207">
                  <c:v>3585.709784600385</c:v>
                </c:pt>
                <c:pt idx="208">
                  <c:v>3661.578270925016</c:v>
                </c:pt>
                <c:pt idx="209">
                  <c:v>3747.925506518246</c:v>
                </c:pt>
                <c:pt idx="210">
                  <c:v>3825.563216803806</c:v>
                </c:pt>
                <c:pt idx="211">
                  <c:v>3904.033503070983</c:v>
                </c:pt>
                <c:pt idx="212">
                  <c:v>3993.307763599576</c:v>
                </c:pt>
                <c:pt idx="213">
                  <c:v>4073.547273827683</c:v>
                </c:pt>
                <c:pt idx="214">
                  <c:v>4154.619360037401</c:v>
                </c:pt>
                <c:pt idx="215">
                  <c:v>4246.820645501364</c:v>
                </c:pt>
                <c:pt idx="216">
                  <c:v>4329.661955672014</c:v>
                </c:pt>
                <c:pt idx="217">
                  <c:v>4413.335841824281</c:v>
                </c:pt>
                <c:pt idx="218">
                  <c:v>4508.464152223602</c:v>
                </c:pt>
                <c:pt idx="219">
                  <c:v>4593.907262336798</c:v>
                </c:pt>
                <c:pt idx="220">
                  <c:v>4680.182948431609</c:v>
                </c:pt>
                <c:pt idx="221">
                  <c:v>4778.2382837663</c:v>
                </c:pt>
                <c:pt idx="222">
                  <c:v>4866.28319382204</c:v>
                </c:pt>
                <c:pt idx="223">
                  <c:v>4955.160679859399</c:v>
                </c:pt>
                <c:pt idx="224">
                  <c:v>5056.143040129447</c:v>
                </c:pt>
                <c:pt idx="225">
                  <c:v>5146.789750127737</c:v>
                </c:pt>
                <c:pt idx="226">
                  <c:v>5238.269036107641</c:v>
                </c:pt>
                <c:pt idx="227">
                  <c:v>5342.178421313052</c:v>
                </c:pt>
                <c:pt idx="228">
                  <c:v>5435.426931253887</c:v>
                </c:pt>
                <c:pt idx="229">
                  <c:v>5529.508017176334</c:v>
                </c:pt>
                <c:pt idx="230">
                  <c:v>5636.344427317115</c:v>
                </c:pt>
                <c:pt idx="231">
                  <c:v>5732.194737200494</c:v>
                </c:pt>
                <c:pt idx="232">
                  <c:v>5828.87762306549</c:v>
                </c:pt>
                <c:pt idx="233">
                  <c:v>5938.641058141628</c:v>
                </c:pt>
                <c:pt idx="234">
                  <c:v>6037.093167967554</c:v>
                </c:pt>
                <c:pt idx="235">
                  <c:v>6136.377853775092</c:v>
                </c:pt>
                <c:pt idx="236">
                  <c:v>6249.068313786602</c:v>
                </c:pt>
                <c:pt idx="237">
                  <c:v>6350.12222355507</c:v>
                </c:pt>
                <c:pt idx="238">
                  <c:v>6452.008709305157</c:v>
                </c:pt>
                <c:pt idx="239">
                  <c:v>6567.626194252023</c:v>
                </c:pt>
                <c:pt idx="240">
                  <c:v>6671.281903963041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Native_Chart_Data!$A$1228:$A$1468</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Native_Chart_Data!$B$1228:$B$1468</c:f>
              <c:numCache>
                <c:formatCode>General</c:formatCode>
                <c:ptCount val="241"/>
                <c:pt idx="0">
                  <c:v>2695.179447916347</c:v>
                </c:pt>
                <c:pt idx="1">
                  <c:v>2694.649504247689</c:v>
                </c:pt>
                <c:pt idx="2">
                  <c:v>2694.188825231372</c:v>
                </c:pt>
                <c:pt idx="3">
                  <c:v>2693.735228565579</c:v>
                </c:pt>
                <c:pt idx="4">
                  <c:v>2693.215329991879</c:v>
                </c:pt>
                <c:pt idx="5">
                  <c:v>2692.827045062799</c:v>
                </c:pt>
                <c:pt idx="6">
                  <c:v>2692.226227498772</c:v>
                </c:pt>
                <c:pt idx="7">
                  <c:v>2691.951334545287</c:v>
                </c:pt>
                <c:pt idx="8">
                  <c:v>2691.331788094177</c:v>
                </c:pt>
                <c:pt idx="9">
                  <c:v>2691.088402349562</c:v>
                </c:pt>
                <c:pt idx="10">
                  <c:v>2690.69544749007</c:v>
                </c:pt>
                <c:pt idx="11">
                  <c:v>2690.132079979207</c:v>
                </c:pt>
                <c:pt idx="12">
                  <c:v>2689.874768737062</c:v>
                </c:pt>
                <c:pt idx="13">
                  <c:v>2689.409732962194</c:v>
                </c:pt>
                <c:pt idx="14">
                  <c:v>2688.980515660841</c:v>
                </c:pt>
                <c:pt idx="15">
                  <c:v>2688.663945378994</c:v>
                </c:pt>
                <c:pt idx="16">
                  <c:v>2688.359920138681</c:v>
                </c:pt>
                <c:pt idx="17">
                  <c:v>2687.889944221688</c:v>
                </c:pt>
                <c:pt idx="18">
                  <c:v>2687.531860347289</c:v>
                </c:pt>
                <c:pt idx="19">
                  <c:v>2687.243068450701</c:v>
                </c:pt>
                <c:pt idx="20">
                  <c:v>2686.83708169587</c:v>
                </c:pt>
                <c:pt idx="21">
                  <c:v>2686.329056234708</c:v>
                </c:pt>
                <c:pt idx="22">
                  <c:v>2685.975086049943</c:v>
                </c:pt>
                <c:pt idx="23">
                  <c:v>2685.61170278956</c:v>
                </c:pt>
                <c:pt idx="24">
                  <c:v>2685.219805936508</c:v>
                </c:pt>
                <c:pt idx="25">
                  <c:v>2684.949344415096</c:v>
                </c:pt>
                <c:pt idx="26">
                  <c:v>2684.621726220223</c:v>
                </c:pt>
                <c:pt idx="27">
                  <c:v>2684.156718707692</c:v>
                </c:pt>
                <c:pt idx="28">
                  <c:v>2683.845136650239</c:v>
                </c:pt>
                <c:pt idx="29">
                  <c:v>2683.513617662773</c:v>
                </c:pt>
                <c:pt idx="30">
                  <c:v>2683.212269613844</c:v>
                </c:pt>
                <c:pt idx="31">
                  <c:v>2682.989965390648</c:v>
                </c:pt>
                <c:pt idx="32">
                  <c:v>2682.67900875249</c:v>
                </c:pt>
                <c:pt idx="33">
                  <c:v>2682.388662309865</c:v>
                </c:pt>
                <c:pt idx="34">
                  <c:v>2682.203202076833</c:v>
                </c:pt>
                <c:pt idx="35">
                  <c:v>2681.790021283787</c:v>
                </c:pt>
                <c:pt idx="36">
                  <c:v>2681.646456252919</c:v>
                </c:pt>
                <c:pt idx="37">
                  <c:v>2681.401843892318</c:v>
                </c:pt>
                <c:pt idx="38">
                  <c:v>2681.004627160038</c:v>
                </c:pt>
                <c:pt idx="39">
                  <c:v>2680.771528798595</c:v>
                </c:pt>
                <c:pt idx="40">
                  <c:v>2680.623257670522</c:v>
                </c:pt>
                <c:pt idx="41">
                  <c:v>2680.319483104779</c:v>
                </c:pt>
                <c:pt idx="42">
                  <c:v>2680.000843792842</c:v>
                </c:pt>
                <c:pt idx="43">
                  <c:v>2679.772265519944</c:v>
                </c:pt>
                <c:pt idx="44">
                  <c:v>2679.480044723954</c:v>
                </c:pt>
                <c:pt idx="45">
                  <c:v>2679.061348579185</c:v>
                </c:pt>
                <c:pt idx="46">
                  <c:v>2678.852471688513</c:v>
                </c:pt>
                <c:pt idx="47">
                  <c:v>2678.5467573408</c:v>
                </c:pt>
                <c:pt idx="48">
                  <c:v>2678.134662495121</c:v>
                </c:pt>
                <c:pt idx="49">
                  <c:v>2677.831203860949</c:v>
                </c:pt>
                <c:pt idx="50">
                  <c:v>2677.591373027257</c:v>
                </c:pt>
                <c:pt idx="51">
                  <c:v>2677.401308413348</c:v>
                </c:pt>
                <c:pt idx="52">
                  <c:v>2677.108815515032</c:v>
                </c:pt>
                <c:pt idx="53">
                  <c:v>2676.694759763543</c:v>
                </c:pt>
                <c:pt idx="54">
                  <c:v>2676.499053404357</c:v>
                </c:pt>
                <c:pt idx="55">
                  <c:v>2676.220062195657</c:v>
                </c:pt>
                <c:pt idx="56">
                  <c:v>2676.13913918124</c:v>
                </c:pt>
                <c:pt idx="57">
                  <c:v>2675.80583486783</c:v>
                </c:pt>
                <c:pt idx="58">
                  <c:v>2675.702194627969</c:v>
                </c:pt>
                <c:pt idx="59">
                  <c:v>2675.469526101878</c:v>
                </c:pt>
                <c:pt idx="60">
                  <c:v>2675.300911097861</c:v>
                </c:pt>
                <c:pt idx="61">
                  <c:v>2675.190072030885</c:v>
                </c:pt>
                <c:pt idx="62">
                  <c:v>2674.966604122772</c:v>
                </c:pt>
                <c:pt idx="63">
                  <c:v>2674.73193988436</c:v>
                </c:pt>
                <c:pt idx="64">
                  <c:v>2674.723922285471</c:v>
                </c:pt>
                <c:pt idx="65">
                  <c:v>2674.556638370625</c:v>
                </c:pt>
                <c:pt idx="66">
                  <c:v>2674.381298406674</c:v>
                </c:pt>
                <c:pt idx="67">
                  <c:v>2674.333533456464</c:v>
                </c:pt>
                <c:pt idx="68">
                  <c:v>2674.121602551275</c:v>
                </c:pt>
                <c:pt idx="69">
                  <c:v>2674.028698460582</c:v>
                </c:pt>
                <c:pt idx="70">
                  <c:v>2673.836415166981</c:v>
                </c:pt>
                <c:pt idx="71">
                  <c:v>2673.702937638594</c:v>
                </c:pt>
                <c:pt idx="72">
                  <c:v>2673.526153462521</c:v>
                </c:pt>
                <c:pt idx="73">
                  <c:v>2673.522875129989</c:v>
                </c:pt>
                <c:pt idx="74">
                  <c:v>2673.292108029348</c:v>
                </c:pt>
                <c:pt idx="75">
                  <c:v>2673.18796223142</c:v>
                </c:pt>
                <c:pt idx="76">
                  <c:v>2673.130540036984</c:v>
                </c:pt>
                <c:pt idx="77">
                  <c:v>2672.94776390528</c:v>
                </c:pt>
                <c:pt idx="78">
                  <c:v>2672.731533158996</c:v>
                </c:pt>
                <c:pt idx="79">
                  <c:v>2672.697630105896</c:v>
                </c:pt>
                <c:pt idx="80">
                  <c:v>2672.475462305201</c:v>
                </c:pt>
                <c:pt idx="81">
                  <c:v>2672.265680133479</c:v>
                </c:pt>
                <c:pt idx="82">
                  <c:v>2672.115565841893</c:v>
                </c:pt>
                <c:pt idx="83">
                  <c:v>2671.975172884264</c:v>
                </c:pt>
                <c:pt idx="84">
                  <c:v>2671.909261965322</c:v>
                </c:pt>
                <c:pt idx="85">
                  <c:v>2671.617255107806</c:v>
                </c:pt>
                <c:pt idx="86">
                  <c:v>2671.475577774419</c:v>
                </c:pt>
                <c:pt idx="87">
                  <c:v>2671.35718680136</c:v>
                </c:pt>
                <c:pt idx="88">
                  <c:v>2671.224880020979</c:v>
                </c:pt>
                <c:pt idx="89">
                  <c:v>2670.893062133703</c:v>
                </c:pt>
                <c:pt idx="90">
                  <c:v>2670.784301778729</c:v>
                </c:pt>
                <c:pt idx="91">
                  <c:v>2670.71087513689</c:v>
                </c:pt>
                <c:pt idx="92">
                  <c:v>2670.50859859218</c:v>
                </c:pt>
                <c:pt idx="93">
                  <c:v>2670.270858214409</c:v>
                </c:pt>
                <c:pt idx="94">
                  <c:v>2670.153685438519</c:v>
                </c:pt>
                <c:pt idx="95">
                  <c:v>2670.140214189564</c:v>
                </c:pt>
                <c:pt idx="96">
                  <c:v>2669.897439151252</c:v>
                </c:pt>
                <c:pt idx="97">
                  <c:v>2669.751857556238</c:v>
                </c:pt>
                <c:pt idx="98">
                  <c:v>2669.639980290953</c:v>
                </c:pt>
                <c:pt idx="99">
                  <c:v>2669.67754281955</c:v>
                </c:pt>
                <c:pt idx="100">
                  <c:v>2669.532980610767</c:v>
                </c:pt>
                <c:pt idx="101">
                  <c:v>2669.511245132921</c:v>
                </c:pt>
                <c:pt idx="102">
                  <c:v>2669.429538983522</c:v>
                </c:pt>
                <c:pt idx="103">
                  <c:v>2669.380499249741</c:v>
                </c:pt>
                <c:pt idx="104">
                  <c:v>2669.298743883868</c:v>
                </c:pt>
                <c:pt idx="105">
                  <c:v>2669.218074935372</c:v>
                </c:pt>
                <c:pt idx="106">
                  <c:v>2669.21282651006</c:v>
                </c:pt>
                <c:pt idx="107">
                  <c:v>2669.153662121398</c:v>
                </c:pt>
                <c:pt idx="108">
                  <c:v>2669.187219148526</c:v>
                </c:pt>
                <c:pt idx="109">
                  <c:v>2669.181969531397</c:v>
                </c:pt>
                <c:pt idx="110">
                  <c:v>2669.140316079656</c:v>
                </c:pt>
                <c:pt idx="111">
                  <c:v>2669.150465091966</c:v>
                </c:pt>
                <c:pt idx="112">
                  <c:v>2669.116445149462</c:v>
                </c:pt>
                <c:pt idx="113">
                  <c:v>2669.071127146474</c:v>
                </c:pt>
                <c:pt idx="114">
                  <c:v>2669.030999955273</c:v>
                </c:pt>
                <c:pt idx="115">
                  <c:v>2668.888915110952</c:v>
                </c:pt>
                <c:pt idx="116">
                  <c:v>2668.859967135055</c:v>
                </c:pt>
                <c:pt idx="117">
                  <c:v>2668.757294422114</c:v>
                </c:pt>
                <c:pt idx="118">
                  <c:v>2668.624622707822</c:v>
                </c:pt>
                <c:pt idx="119">
                  <c:v>2668.674699418213</c:v>
                </c:pt>
                <c:pt idx="120">
                  <c:v>2668.545771937913</c:v>
                </c:pt>
                <c:pt idx="121">
                  <c:v>2668.422832501423</c:v>
                </c:pt>
                <c:pt idx="122">
                  <c:v>2668.278445772019</c:v>
                </c:pt>
                <c:pt idx="123">
                  <c:v>2668.217124029315</c:v>
                </c:pt>
                <c:pt idx="124">
                  <c:v>2668.115585673723</c:v>
                </c:pt>
                <c:pt idx="125">
                  <c:v>2668.10404084736</c:v>
                </c:pt>
                <c:pt idx="126">
                  <c:v>2668.031622957878</c:v>
                </c:pt>
                <c:pt idx="127">
                  <c:v>2667.946533883455</c:v>
                </c:pt>
                <c:pt idx="128">
                  <c:v>2668.041313698317</c:v>
                </c:pt>
                <c:pt idx="129">
                  <c:v>2668.112351339356</c:v>
                </c:pt>
                <c:pt idx="130">
                  <c:v>2668.024044371162</c:v>
                </c:pt>
                <c:pt idx="131">
                  <c:v>2668.118839664326</c:v>
                </c:pt>
                <c:pt idx="132">
                  <c:v>2668.310337857269</c:v>
                </c:pt>
                <c:pt idx="133">
                  <c:v>2668.349973401757</c:v>
                </c:pt>
                <c:pt idx="134">
                  <c:v>2668.416506022354</c:v>
                </c:pt>
                <c:pt idx="135">
                  <c:v>2668.554777068895</c:v>
                </c:pt>
                <c:pt idx="136">
                  <c:v>2668.619160634821</c:v>
                </c:pt>
                <c:pt idx="137">
                  <c:v>2668.93813045976</c:v>
                </c:pt>
                <c:pt idx="138">
                  <c:v>2668.91551921749</c:v>
                </c:pt>
                <c:pt idx="139">
                  <c:v>2669.041075618827</c:v>
                </c:pt>
                <c:pt idx="140">
                  <c:v>2669.291489917243</c:v>
                </c:pt>
                <c:pt idx="141">
                  <c:v>2669.297062233582</c:v>
                </c:pt>
                <c:pt idx="142">
                  <c:v>2669.41294774652</c:v>
                </c:pt>
                <c:pt idx="143">
                  <c:v>2669.607567389517</c:v>
                </c:pt>
                <c:pt idx="144">
                  <c:v>2669.532974763454</c:v>
                </c:pt>
                <c:pt idx="145">
                  <c:v>2669.741842898584</c:v>
                </c:pt>
                <c:pt idx="146">
                  <c:v>2669.689058927444</c:v>
                </c:pt>
                <c:pt idx="147">
                  <c:v>2669.863390884068</c:v>
                </c:pt>
                <c:pt idx="148">
                  <c:v>2669.863996550874</c:v>
                </c:pt>
                <c:pt idx="149">
                  <c:v>2669.895857401911</c:v>
                </c:pt>
                <c:pt idx="150">
                  <c:v>2669.877953329705</c:v>
                </c:pt>
                <c:pt idx="151">
                  <c:v>2670.016099440619</c:v>
                </c:pt>
                <c:pt idx="152">
                  <c:v>2669.993858440349</c:v>
                </c:pt>
                <c:pt idx="153">
                  <c:v>2670.053766339852</c:v>
                </c:pt>
                <c:pt idx="154">
                  <c:v>2670.213148337437</c:v>
                </c:pt>
                <c:pt idx="155">
                  <c:v>2670.330319735082</c:v>
                </c:pt>
                <c:pt idx="156">
                  <c:v>2670.444077775051</c:v>
                </c:pt>
                <c:pt idx="157">
                  <c:v>2670.515335369451</c:v>
                </c:pt>
                <c:pt idx="158">
                  <c:v>2670.737427340842</c:v>
                </c:pt>
                <c:pt idx="159">
                  <c:v>2670.797103322571</c:v>
                </c:pt>
                <c:pt idx="160">
                  <c:v>2670.978782859633</c:v>
                </c:pt>
                <c:pt idx="161">
                  <c:v>2671.203786370632</c:v>
                </c:pt>
                <c:pt idx="162">
                  <c:v>2671.217258703795</c:v>
                </c:pt>
                <c:pt idx="163">
                  <c:v>2671.374710228685</c:v>
                </c:pt>
                <c:pt idx="164">
                  <c:v>2671.607898305689</c:v>
                </c:pt>
                <c:pt idx="165">
                  <c:v>2671.772595292662</c:v>
                </c:pt>
                <c:pt idx="166">
                  <c:v>2671.903622796239</c:v>
                </c:pt>
                <c:pt idx="167">
                  <c:v>2672.186431982876</c:v>
                </c:pt>
                <c:pt idx="168">
                  <c:v>2672.278912699194</c:v>
                </c:pt>
                <c:pt idx="169">
                  <c:v>2672.422684953723</c:v>
                </c:pt>
                <c:pt idx="170">
                  <c:v>2672.750754141244</c:v>
                </c:pt>
                <c:pt idx="171">
                  <c:v>2672.879770174545</c:v>
                </c:pt>
                <c:pt idx="172">
                  <c:v>2673.023648727582</c:v>
                </c:pt>
                <c:pt idx="173">
                  <c:v>2673.203151441436</c:v>
                </c:pt>
                <c:pt idx="174">
                  <c:v>2673.486505990217</c:v>
                </c:pt>
                <c:pt idx="175">
                  <c:v>2673.813693545253</c:v>
                </c:pt>
                <c:pt idx="176">
                  <c:v>2674.008990974961</c:v>
                </c:pt>
                <c:pt idx="177">
                  <c:v>2674.175165150319</c:v>
                </c:pt>
                <c:pt idx="178">
                  <c:v>2674.423511568429</c:v>
                </c:pt>
                <c:pt idx="179">
                  <c:v>2674.858320794281</c:v>
                </c:pt>
                <c:pt idx="180">
                  <c:v>2675.1047945408</c:v>
                </c:pt>
                <c:pt idx="181">
                  <c:v>2675.266200681919</c:v>
                </c:pt>
                <c:pt idx="182">
                  <c:v>2675.607009709583</c:v>
                </c:pt>
                <c:pt idx="183">
                  <c:v>2675.743898752256</c:v>
                </c:pt>
                <c:pt idx="184">
                  <c:v>2676.036865658321</c:v>
                </c:pt>
                <c:pt idx="185">
                  <c:v>2676.288876919903</c:v>
                </c:pt>
                <c:pt idx="186">
                  <c:v>2676.60909795797</c:v>
                </c:pt>
                <c:pt idx="187">
                  <c:v>2676.761436837114</c:v>
                </c:pt>
                <c:pt idx="188">
                  <c:v>2676.967895245939</c:v>
                </c:pt>
                <c:pt idx="189">
                  <c:v>2677.186721016675</c:v>
                </c:pt>
                <c:pt idx="190">
                  <c:v>2677.381509223292</c:v>
                </c:pt>
                <c:pt idx="191">
                  <c:v>2677.619339587693</c:v>
                </c:pt>
                <c:pt idx="192">
                  <c:v>2677.816380981363</c:v>
                </c:pt>
                <c:pt idx="193">
                  <c:v>2678.077818920377</c:v>
                </c:pt>
                <c:pt idx="194">
                  <c:v>2678.257267408554</c:v>
                </c:pt>
                <c:pt idx="195">
                  <c:v>2678.562506834351</c:v>
                </c:pt>
                <c:pt idx="196">
                  <c:v>2678.729609214497</c:v>
                </c:pt>
                <c:pt idx="197">
                  <c:v>2678.946821998501</c:v>
                </c:pt>
                <c:pt idx="198">
                  <c:v>2679.235127942896</c:v>
                </c:pt>
                <c:pt idx="199">
                  <c:v>2679.542921764564</c:v>
                </c:pt>
                <c:pt idx="200">
                  <c:v>2679.910579902679</c:v>
                </c:pt>
                <c:pt idx="201">
                  <c:v>2680.26988053738</c:v>
                </c:pt>
                <c:pt idx="202">
                  <c:v>2680.615497415101</c:v>
                </c:pt>
                <c:pt idx="203">
                  <c:v>2681.01462983966</c:v>
                </c:pt>
                <c:pt idx="204">
                  <c:v>2681.358173179175</c:v>
                </c:pt>
                <c:pt idx="205">
                  <c:v>2681.732337463905</c:v>
                </c:pt>
                <c:pt idx="206">
                  <c:v>2682.021911892592</c:v>
                </c:pt>
                <c:pt idx="207">
                  <c:v>2682.402217414478</c:v>
                </c:pt>
                <c:pt idx="208">
                  <c:v>2682.774879915759</c:v>
                </c:pt>
                <c:pt idx="209">
                  <c:v>2683.228524362785</c:v>
                </c:pt>
                <c:pt idx="210">
                  <c:v>2683.554809160464</c:v>
                </c:pt>
                <c:pt idx="211">
                  <c:v>2683.897554042517</c:v>
                </c:pt>
                <c:pt idx="212">
                  <c:v>2684.276394237561</c:v>
                </c:pt>
                <c:pt idx="213">
                  <c:v>2684.622731679297</c:v>
                </c:pt>
                <c:pt idx="214">
                  <c:v>2684.958902677723</c:v>
                </c:pt>
                <c:pt idx="215">
                  <c:v>2685.301857395654</c:v>
                </c:pt>
                <c:pt idx="216">
                  <c:v>2685.651797916337</c:v>
                </c:pt>
                <c:pt idx="217">
                  <c:v>2686.01283805853</c:v>
                </c:pt>
                <c:pt idx="218">
                  <c:v>2686.262030614748</c:v>
                </c:pt>
                <c:pt idx="219">
                  <c:v>2686.69046991442</c:v>
                </c:pt>
                <c:pt idx="220">
                  <c:v>2687.075837528585</c:v>
                </c:pt>
                <c:pt idx="221">
                  <c:v>2687.517218684742</c:v>
                </c:pt>
                <c:pt idx="222">
                  <c:v>2687.715878177705</c:v>
                </c:pt>
                <c:pt idx="223">
                  <c:v>2688.22729149062</c:v>
                </c:pt>
                <c:pt idx="224">
                  <c:v>2688.510682041781</c:v>
                </c:pt>
                <c:pt idx="225">
                  <c:v>2688.899609696439</c:v>
                </c:pt>
                <c:pt idx="226">
                  <c:v>2689.409650581394</c:v>
                </c:pt>
                <c:pt idx="227">
                  <c:v>2689.777555100149</c:v>
                </c:pt>
                <c:pt idx="228">
                  <c:v>2690.180103448934</c:v>
                </c:pt>
                <c:pt idx="229">
                  <c:v>2690.433626931135</c:v>
                </c:pt>
                <c:pt idx="230">
                  <c:v>2690.927650730257</c:v>
                </c:pt>
                <c:pt idx="231">
                  <c:v>2691.388841371587</c:v>
                </c:pt>
                <c:pt idx="232">
                  <c:v>2691.698626112131</c:v>
                </c:pt>
                <c:pt idx="233">
                  <c:v>2692.177307529992</c:v>
                </c:pt>
                <c:pt idx="234">
                  <c:v>2692.473247137161</c:v>
                </c:pt>
                <c:pt idx="235">
                  <c:v>2692.8575699495</c:v>
                </c:pt>
                <c:pt idx="236">
                  <c:v>2693.24758219057</c:v>
                </c:pt>
                <c:pt idx="237">
                  <c:v>2693.690677852088</c:v>
                </c:pt>
                <c:pt idx="238">
                  <c:v>2694.075288283185</c:v>
                </c:pt>
                <c:pt idx="239">
                  <c:v>2694.626380340303</c:v>
                </c:pt>
                <c:pt idx="240">
                  <c:v>2694.985114462691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Native_Chart_Data!$D$1228:$D$1468</c:f>
              <c:numCache>
                <c:formatCode>General</c:formatCode>
                <c:ptCount val="241"/>
                <c:pt idx="0">
                  <c:v>2668.428145382044</c:v>
                </c:pt>
                <c:pt idx="1">
                  <c:v>2629.639462715247</c:v>
                </c:pt>
                <c:pt idx="2">
                  <c:v>2585.991413618982</c:v>
                </c:pt>
                <c:pt idx="3">
                  <c:v>2547.833397011385</c:v>
                </c:pt>
                <c:pt idx="4">
                  <c:v>2510.403949181906</c:v>
                </c:pt>
                <c:pt idx="5">
                  <c:v>2468.416414407845</c:v>
                </c:pt>
                <c:pt idx="6">
                  <c:v>2431.3222101606</c:v>
                </c:pt>
                <c:pt idx="7">
                  <c:v>2394.364951188642</c:v>
                </c:pt>
                <c:pt idx="8">
                  <c:v>2353.060313447172</c:v>
                </c:pt>
                <c:pt idx="9">
                  <c:v>2316.87407116749</c:v>
                </c:pt>
                <c:pt idx="10">
                  <c:v>2281.421390165951</c:v>
                </c:pt>
                <c:pt idx="11">
                  <c:v>2241.505014630911</c:v>
                </c:pt>
                <c:pt idx="12">
                  <c:v>2205.928237430532</c:v>
                </c:pt>
                <c:pt idx="13">
                  <c:v>2170.578517912586</c:v>
                </c:pt>
                <c:pt idx="14">
                  <c:v>2131.774012526143</c:v>
                </c:pt>
                <c:pt idx="15">
                  <c:v>2097.940323113648</c:v>
                </c:pt>
                <c:pt idx="16">
                  <c:v>2064.052827462836</c:v>
                </c:pt>
                <c:pt idx="17">
                  <c:v>2025.882453771376</c:v>
                </c:pt>
                <c:pt idx="18">
                  <c:v>1992.382127069218</c:v>
                </c:pt>
                <c:pt idx="19">
                  <c:v>1959.478663052429</c:v>
                </c:pt>
                <c:pt idx="20">
                  <c:v>1922.830246360397</c:v>
                </c:pt>
                <c:pt idx="21">
                  <c:v>1890.664241891967</c:v>
                </c:pt>
                <c:pt idx="22">
                  <c:v>1858.615338540768</c:v>
                </c:pt>
                <c:pt idx="23">
                  <c:v>1822.724543620417</c:v>
                </c:pt>
                <c:pt idx="24">
                  <c:v>1791.310317314991</c:v>
                </c:pt>
                <c:pt idx="25">
                  <c:v>1760.431067365603</c:v>
                </c:pt>
                <c:pt idx="26">
                  <c:v>1726.234115716436</c:v>
                </c:pt>
                <c:pt idx="27">
                  <c:v>1695.858673526172</c:v>
                </c:pt>
                <c:pt idx="28">
                  <c:v>1665.821292500691</c:v>
                </c:pt>
                <c:pt idx="29">
                  <c:v>1632.376799481638</c:v>
                </c:pt>
                <c:pt idx="30">
                  <c:v>1602.80942953604</c:v>
                </c:pt>
                <c:pt idx="31">
                  <c:v>1573.759991968573</c:v>
                </c:pt>
                <c:pt idx="32">
                  <c:v>1541.963201279397</c:v>
                </c:pt>
                <c:pt idx="33">
                  <c:v>1513.653103462362</c:v>
                </c:pt>
                <c:pt idx="34">
                  <c:v>1485.096742951138</c:v>
                </c:pt>
                <c:pt idx="35">
                  <c:v>1453.620426307196</c:v>
                </c:pt>
                <c:pt idx="36">
                  <c:v>1426.445175784788</c:v>
                </c:pt>
                <c:pt idx="37">
                  <c:v>1399.622317884779</c:v>
                </c:pt>
                <c:pt idx="38">
                  <c:v>1369.53463092272</c:v>
                </c:pt>
                <c:pt idx="39">
                  <c:v>1342.856786804814</c:v>
                </c:pt>
                <c:pt idx="40">
                  <c:v>1316.381263410234</c:v>
                </c:pt>
                <c:pt idx="41">
                  <c:v>1287.399246363633</c:v>
                </c:pt>
                <c:pt idx="42">
                  <c:v>1262.192249150471</c:v>
                </c:pt>
                <c:pt idx="43">
                  <c:v>1237.298866943799</c:v>
                </c:pt>
                <c:pt idx="44">
                  <c:v>1209.275771725714</c:v>
                </c:pt>
                <c:pt idx="45">
                  <c:v>1184.307678273164</c:v>
                </c:pt>
                <c:pt idx="46">
                  <c:v>1160.174517275465</c:v>
                </c:pt>
                <c:pt idx="47">
                  <c:v>1133.831820436927</c:v>
                </c:pt>
                <c:pt idx="48">
                  <c:v>1110.4114575268</c:v>
                </c:pt>
                <c:pt idx="49">
                  <c:v>1086.842730399909</c:v>
                </c:pt>
                <c:pt idx="50">
                  <c:v>1061.125431716778</c:v>
                </c:pt>
                <c:pt idx="51">
                  <c:v>1038.590987983622</c:v>
                </c:pt>
                <c:pt idx="52">
                  <c:v>1016.134440266954</c:v>
                </c:pt>
                <c:pt idx="53">
                  <c:v>991.5333258162572</c:v>
                </c:pt>
                <c:pt idx="54">
                  <c:v>970.1685104366036</c:v>
                </c:pt>
                <c:pt idx="55">
                  <c:v>948.7608368090656</c:v>
                </c:pt>
                <c:pt idx="56">
                  <c:v>924.7601899779155</c:v>
                </c:pt>
                <c:pt idx="57">
                  <c:v>904.2533098821133</c:v>
                </c:pt>
                <c:pt idx="58">
                  <c:v>884.1203916379087</c:v>
                </c:pt>
                <c:pt idx="59">
                  <c:v>861.7139405611678</c:v>
                </c:pt>
                <c:pt idx="60">
                  <c:v>842.0910391477134</c:v>
                </c:pt>
                <c:pt idx="61">
                  <c:v>822.5520747808995</c:v>
                </c:pt>
                <c:pt idx="62">
                  <c:v>800.788445167925</c:v>
                </c:pt>
                <c:pt idx="63">
                  <c:v>782.182758595004</c:v>
                </c:pt>
                <c:pt idx="64">
                  <c:v>764.2997508213764</c:v>
                </c:pt>
                <c:pt idx="65">
                  <c:v>744.2996706468294</c:v>
                </c:pt>
                <c:pt idx="66">
                  <c:v>726.3902763702735</c:v>
                </c:pt>
                <c:pt idx="67">
                  <c:v>708.5965223973282</c:v>
                </c:pt>
                <c:pt idx="68">
                  <c:v>689.6044707976647</c:v>
                </c:pt>
                <c:pt idx="69">
                  <c:v>673.529430210656</c:v>
                </c:pt>
                <c:pt idx="70">
                  <c:v>657.1579289089054</c:v>
                </c:pt>
                <c:pt idx="71">
                  <c:v>638.7033528513318</c:v>
                </c:pt>
                <c:pt idx="72">
                  <c:v>622.9558192945855</c:v>
                </c:pt>
                <c:pt idx="73">
                  <c:v>607.6984165072893</c:v>
                </c:pt>
                <c:pt idx="74">
                  <c:v>590.6619711076781</c:v>
                </c:pt>
                <c:pt idx="75">
                  <c:v>576.2225881312249</c:v>
                </c:pt>
                <c:pt idx="76">
                  <c:v>561.8222462323214</c:v>
                </c:pt>
                <c:pt idx="77">
                  <c:v>545.4683845610026</c:v>
                </c:pt>
                <c:pt idx="78">
                  <c:v>531.4420597563163</c:v>
                </c:pt>
                <c:pt idx="79">
                  <c:v>518.30702957058</c:v>
                </c:pt>
                <c:pt idx="80">
                  <c:v>503.5300716509127</c:v>
                </c:pt>
                <c:pt idx="81">
                  <c:v>490.6119523498117</c:v>
                </c:pt>
                <c:pt idx="82">
                  <c:v>478.15408387641</c:v>
                </c:pt>
                <c:pt idx="83">
                  <c:v>464.2648822613425</c:v>
                </c:pt>
                <c:pt idx="84">
                  <c:v>452.1251367363374</c:v>
                </c:pt>
                <c:pt idx="85">
                  <c:v>440.789520058493</c:v>
                </c:pt>
                <c:pt idx="86">
                  <c:v>428.4246828620779</c:v>
                </c:pt>
                <c:pt idx="87">
                  <c:v>417.6703760806208</c:v>
                </c:pt>
                <c:pt idx="88">
                  <c:v>406.7470273897068</c:v>
                </c:pt>
                <c:pt idx="89">
                  <c:v>395.0892701821094</c:v>
                </c:pt>
                <c:pt idx="90">
                  <c:v>385.3661380377797</c:v>
                </c:pt>
                <c:pt idx="91">
                  <c:v>376.13515915352</c:v>
                </c:pt>
                <c:pt idx="92">
                  <c:v>365.6912781317871</c:v>
                </c:pt>
                <c:pt idx="93">
                  <c:v>356.4473590251373</c:v>
                </c:pt>
                <c:pt idx="94">
                  <c:v>347.7982304710803</c:v>
                </c:pt>
                <c:pt idx="95">
                  <c:v>338.4523662185664</c:v>
                </c:pt>
                <c:pt idx="96">
                  <c:v>330.8155353836898</c:v>
                </c:pt>
                <c:pt idx="97">
                  <c:v>323.3793377034027</c:v>
                </c:pt>
                <c:pt idx="98">
                  <c:v>314.9411245459619</c:v>
                </c:pt>
                <c:pt idx="99">
                  <c:v>307.4845693835929</c:v>
                </c:pt>
                <c:pt idx="100">
                  <c:v>300.7709446697845</c:v>
                </c:pt>
                <c:pt idx="101">
                  <c:v>294.2366127798966</c:v>
                </c:pt>
                <c:pt idx="102">
                  <c:v>288.2643279902812</c:v>
                </c:pt>
                <c:pt idx="103">
                  <c:v>282.2269644534581</c:v>
                </c:pt>
                <c:pt idx="104">
                  <c:v>276.2837891580153</c:v>
                </c:pt>
                <c:pt idx="105">
                  <c:v>271.3483244487466</c:v>
                </c:pt>
                <c:pt idx="106">
                  <c:v>266.4474931554244</c:v>
                </c:pt>
                <c:pt idx="107">
                  <c:v>261.8332061442404</c:v>
                </c:pt>
                <c:pt idx="108">
                  <c:v>258.0534011370244</c:v>
                </c:pt>
                <c:pt idx="109">
                  <c:v>254.2635369098621</c:v>
                </c:pt>
                <c:pt idx="110">
                  <c:v>250.2259508729708</c:v>
                </c:pt>
                <c:pt idx="111">
                  <c:v>247.3087099064625</c:v>
                </c:pt>
                <c:pt idx="112">
                  <c:v>244.894559246768</c:v>
                </c:pt>
                <c:pt idx="113">
                  <c:v>242.50974664246</c:v>
                </c:pt>
                <c:pt idx="114">
                  <c:v>240.5586081946816</c:v>
                </c:pt>
                <c:pt idx="115">
                  <c:v>238.6017019055746</c:v>
                </c:pt>
                <c:pt idx="116">
                  <c:v>236.5405570059934</c:v>
                </c:pt>
                <c:pt idx="117">
                  <c:v>235.346468466002</c:v>
                </c:pt>
                <c:pt idx="118">
                  <c:v>234.6431742328078</c:v>
                </c:pt>
                <c:pt idx="119">
                  <c:v>234.1034453216664</c:v>
                </c:pt>
                <c:pt idx="120">
                  <c:v>233.5278769914027</c:v>
                </c:pt>
                <c:pt idx="121">
                  <c:v>233.0394203053646</c:v>
                </c:pt>
                <c:pt idx="122">
                  <c:v>233.6925119045599</c:v>
                </c:pt>
                <c:pt idx="123">
                  <c:v>235.0739219817573</c:v>
                </c:pt>
                <c:pt idx="124">
                  <c:v>236.0789549877208</c:v>
                </c:pt>
                <c:pt idx="125">
                  <c:v>237.3278419676513</c:v>
                </c:pt>
                <c:pt idx="126">
                  <c:v>239.0865238601893</c:v>
                </c:pt>
                <c:pt idx="127">
                  <c:v>241.2425225186918</c:v>
                </c:pt>
                <c:pt idx="128">
                  <c:v>243.9141116645415</c:v>
                </c:pt>
                <c:pt idx="129">
                  <c:v>247.1125933494017</c:v>
                </c:pt>
                <c:pt idx="130">
                  <c:v>250.2681978626065</c:v>
                </c:pt>
                <c:pt idx="131">
                  <c:v>253.6897424885574</c:v>
                </c:pt>
                <c:pt idx="132">
                  <c:v>257.4029658210271</c:v>
                </c:pt>
                <c:pt idx="133">
                  <c:v>261.6567098799098</c:v>
                </c:pt>
                <c:pt idx="134">
                  <c:v>266.8709778652399</c:v>
                </c:pt>
                <c:pt idx="135">
                  <c:v>271.4874996062939</c:v>
                </c:pt>
                <c:pt idx="136">
                  <c:v>276.564594918624</c:v>
                </c:pt>
                <c:pt idx="137">
                  <c:v>282.4526750328039</c:v>
                </c:pt>
                <c:pt idx="138">
                  <c:v>288.0699945415516</c:v>
                </c:pt>
                <c:pt idx="139">
                  <c:v>294.089286665568</c:v>
                </c:pt>
                <c:pt idx="140">
                  <c:v>301.6540717423815</c:v>
                </c:pt>
                <c:pt idx="141">
                  <c:v>308.3339924924266</c:v>
                </c:pt>
                <c:pt idx="142">
                  <c:v>314.9419155399639</c:v>
                </c:pt>
                <c:pt idx="143">
                  <c:v>322.8334939317367</c:v>
                </c:pt>
                <c:pt idx="144">
                  <c:v>330.5742921234296</c:v>
                </c:pt>
                <c:pt idx="145">
                  <c:v>339.0028806621183</c:v>
                </c:pt>
                <c:pt idx="146">
                  <c:v>348.1803410931295</c:v>
                </c:pt>
                <c:pt idx="147">
                  <c:v>356.5873635970569</c:v>
                </c:pt>
                <c:pt idx="148">
                  <c:v>365.3275433938103</c:v>
                </c:pt>
                <c:pt idx="149">
                  <c:v>375.7136177790875</c:v>
                </c:pt>
                <c:pt idx="150">
                  <c:v>385.5672746083997</c:v>
                </c:pt>
                <c:pt idx="151">
                  <c:v>395.8608639483147</c:v>
                </c:pt>
                <c:pt idx="152">
                  <c:v>407.2051828451628</c:v>
                </c:pt>
                <c:pt idx="153">
                  <c:v>417.1722436975712</c:v>
                </c:pt>
                <c:pt idx="154">
                  <c:v>428.1712603024178</c:v>
                </c:pt>
                <c:pt idx="155">
                  <c:v>441.1522602131366</c:v>
                </c:pt>
                <c:pt idx="156">
                  <c:v>452.7076811568271</c:v>
                </c:pt>
                <c:pt idx="157">
                  <c:v>464.3422104497147</c:v>
                </c:pt>
                <c:pt idx="158">
                  <c:v>477.973854984778</c:v>
                </c:pt>
                <c:pt idx="159">
                  <c:v>490.4820935126106</c:v>
                </c:pt>
                <c:pt idx="160">
                  <c:v>503.1975864529479</c:v>
                </c:pt>
                <c:pt idx="161">
                  <c:v>518.040579966203</c:v>
                </c:pt>
                <c:pt idx="162">
                  <c:v>531.6029522158826</c:v>
                </c:pt>
                <c:pt idx="163">
                  <c:v>545.284760387259</c:v>
                </c:pt>
                <c:pt idx="164">
                  <c:v>560.983814665696</c:v>
                </c:pt>
                <c:pt idx="165">
                  <c:v>575.2592717158128</c:v>
                </c:pt>
                <c:pt idx="166">
                  <c:v>590.285607665682</c:v>
                </c:pt>
                <c:pt idx="167">
                  <c:v>607.501561535222</c:v>
                </c:pt>
                <c:pt idx="168">
                  <c:v>622.9166520341081</c:v>
                </c:pt>
                <c:pt idx="169">
                  <c:v>638.4143292101328</c:v>
                </c:pt>
                <c:pt idx="170">
                  <c:v>656.4778874083446</c:v>
                </c:pt>
                <c:pt idx="171">
                  <c:v>672.9521582471369</c:v>
                </c:pt>
                <c:pt idx="172">
                  <c:v>689.9092702737296</c:v>
                </c:pt>
                <c:pt idx="173">
                  <c:v>709.4713880484527</c:v>
                </c:pt>
                <c:pt idx="174">
                  <c:v>726.6160489398486</c:v>
                </c:pt>
                <c:pt idx="175">
                  <c:v>743.9212040900048</c:v>
                </c:pt>
                <c:pt idx="176">
                  <c:v>764.4798066752313</c:v>
                </c:pt>
                <c:pt idx="177">
                  <c:v>783.3268131486861</c:v>
                </c:pt>
                <c:pt idx="178">
                  <c:v>801.8464832007562</c:v>
                </c:pt>
                <c:pt idx="179">
                  <c:v>822.967307698896</c:v>
                </c:pt>
                <c:pt idx="180">
                  <c:v>842.2172398529525</c:v>
                </c:pt>
                <c:pt idx="181">
                  <c:v>861.7927147745436</c:v>
                </c:pt>
                <c:pt idx="182">
                  <c:v>884.3474875000023</c:v>
                </c:pt>
                <c:pt idx="183">
                  <c:v>904.8934348311757</c:v>
                </c:pt>
                <c:pt idx="184">
                  <c:v>925.2961133666385</c:v>
                </c:pt>
                <c:pt idx="185">
                  <c:v>948.5491738828646</c:v>
                </c:pt>
                <c:pt idx="186">
                  <c:v>969.7240027915016</c:v>
                </c:pt>
                <c:pt idx="187">
                  <c:v>991.3044296756244</c:v>
                </c:pt>
                <c:pt idx="188">
                  <c:v>1016.175285574225</c:v>
                </c:pt>
                <c:pt idx="189">
                  <c:v>1038.401723688318</c:v>
                </c:pt>
                <c:pt idx="190">
                  <c:v>1060.808191052799</c:v>
                </c:pt>
                <c:pt idx="191">
                  <c:v>1086.43919800016</c:v>
                </c:pt>
                <c:pt idx="192">
                  <c:v>1109.513437541667</c:v>
                </c:pt>
                <c:pt idx="193">
                  <c:v>1133.230340740872</c:v>
                </c:pt>
                <c:pt idx="194">
                  <c:v>1160.442414389766</c:v>
                </c:pt>
                <c:pt idx="195">
                  <c:v>1184.768855226379</c:v>
                </c:pt>
                <c:pt idx="196">
                  <c:v>1208.901125428142</c:v>
                </c:pt>
                <c:pt idx="197">
                  <c:v>1236.442375381141</c:v>
                </c:pt>
                <c:pt idx="198">
                  <c:v>1261.955344349598</c:v>
                </c:pt>
                <c:pt idx="199">
                  <c:v>1287.907143122598</c:v>
                </c:pt>
                <c:pt idx="200">
                  <c:v>1316.748844131012</c:v>
                </c:pt>
                <c:pt idx="201">
                  <c:v>1342.781784912361</c:v>
                </c:pt>
                <c:pt idx="202">
                  <c:v>1369.033148040909</c:v>
                </c:pt>
                <c:pt idx="203">
                  <c:v>1399.215260026979</c:v>
                </c:pt>
                <c:pt idx="204">
                  <c:v>1426.519680102296</c:v>
                </c:pt>
                <c:pt idx="205">
                  <c:v>1454.303129870687</c:v>
                </c:pt>
                <c:pt idx="206">
                  <c:v>1485.195318540033</c:v>
                </c:pt>
                <c:pt idx="207">
                  <c:v>1512.91085680748</c:v>
                </c:pt>
                <c:pt idx="208">
                  <c:v>1541.454065448195</c:v>
                </c:pt>
                <c:pt idx="209">
                  <c:v>1574.197633849197</c:v>
                </c:pt>
                <c:pt idx="210">
                  <c:v>1603.144321215971</c:v>
                </c:pt>
                <c:pt idx="211">
                  <c:v>1632.542723440793</c:v>
                </c:pt>
                <c:pt idx="212">
                  <c:v>1665.815736563488</c:v>
                </c:pt>
                <c:pt idx="213">
                  <c:v>1695.927154650578</c:v>
                </c:pt>
                <c:pt idx="214">
                  <c:v>1726.148017581989</c:v>
                </c:pt>
                <c:pt idx="215">
                  <c:v>1760.895237815327</c:v>
                </c:pt>
                <c:pt idx="216">
                  <c:v>1792.109224428105</c:v>
                </c:pt>
                <c:pt idx="217">
                  <c:v>1823.404853898195</c:v>
                </c:pt>
                <c:pt idx="218">
                  <c:v>1858.7218553095</c:v>
                </c:pt>
                <c:pt idx="219">
                  <c:v>1890.638761459691</c:v>
                </c:pt>
                <c:pt idx="220">
                  <c:v>1923.112507664591</c:v>
                </c:pt>
                <c:pt idx="221">
                  <c:v>1960.076388522325</c:v>
                </c:pt>
                <c:pt idx="222">
                  <c:v>1992.822447385818</c:v>
                </c:pt>
                <c:pt idx="223">
                  <c:v>2025.967035503546</c:v>
                </c:pt>
                <c:pt idx="224">
                  <c:v>2063.522568913821</c:v>
                </c:pt>
                <c:pt idx="225">
                  <c:v>2097.395340932279</c:v>
                </c:pt>
                <c:pt idx="226">
                  <c:v>2131.89699340424</c:v>
                </c:pt>
                <c:pt idx="227">
                  <c:v>2170.966183340772</c:v>
                </c:pt>
                <c:pt idx="228">
                  <c:v>2205.507336392368</c:v>
                </c:pt>
                <c:pt idx="229">
                  <c:v>2240.251431145493</c:v>
                </c:pt>
                <c:pt idx="230">
                  <c:v>2280.414448325588</c:v>
                </c:pt>
                <c:pt idx="231">
                  <c:v>2316.848794862289</c:v>
                </c:pt>
                <c:pt idx="232">
                  <c:v>2352.98151407561</c:v>
                </c:pt>
                <c:pt idx="233">
                  <c:v>2393.902932478235</c:v>
                </c:pt>
                <c:pt idx="234">
                  <c:v>2430.617445290838</c:v>
                </c:pt>
                <c:pt idx="235">
                  <c:v>2467.706852886448</c:v>
                </c:pt>
                <c:pt idx="236">
                  <c:v>2510.203743788006</c:v>
                </c:pt>
                <c:pt idx="237">
                  <c:v>2548.305885180839</c:v>
                </c:pt>
                <c:pt idx="238">
                  <c:v>2586.461687561048</c:v>
                </c:pt>
                <c:pt idx="239">
                  <c:v>2629.588502569661</c:v>
                </c:pt>
                <c:pt idx="240">
                  <c:v>2668.350621717771</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Native_Chart_Data!$F$1228:$F$1468</c:f>
              <c:numCache>
                <c:formatCode>General</c:formatCode>
                <c:ptCount val="241"/>
                <c:pt idx="0">
                  <c:v>6671.247983955018</c:v>
                </c:pt>
                <c:pt idx="1">
                  <c:v>6568.698547910094</c:v>
                </c:pt>
                <c:pt idx="2">
                  <c:v>6453.945176408153</c:v>
                </c:pt>
                <c:pt idx="3">
                  <c:v>6353.46115468528</c:v>
                </c:pt>
                <c:pt idx="4">
                  <c:v>6253.070767176094</c:v>
                </c:pt>
                <c:pt idx="5">
                  <c:v>6141.373980598753</c:v>
                </c:pt>
                <c:pt idx="6">
                  <c:v>6043.340775306347</c:v>
                </c:pt>
                <c:pt idx="7">
                  <c:v>5945.633448560878</c:v>
                </c:pt>
                <c:pt idx="8">
                  <c:v>5837.185632869482</c:v>
                </c:pt>
                <c:pt idx="9">
                  <c:v>5741.729536296609</c:v>
                </c:pt>
                <c:pt idx="10">
                  <c:v>5646.72778661647</c:v>
                </c:pt>
                <c:pt idx="11">
                  <c:v>5541.454225810645</c:v>
                </c:pt>
                <c:pt idx="12">
                  <c:v>5448.244174117029</c:v>
                </c:pt>
                <c:pt idx="13">
                  <c:v>5355.753564055641</c:v>
                </c:pt>
                <c:pt idx="14">
                  <c:v>5253.145120344409</c:v>
                </c:pt>
                <c:pt idx="15">
                  <c:v>5162.261744423181</c:v>
                </c:pt>
                <c:pt idx="16">
                  <c:v>5072.487626142399</c:v>
                </c:pt>
                <c:pt idx="17">
                  <c:v>4972.649483978989</c:v>
                </c:pt>
                <c:pt idx="18">
                  <c:v>4884.268557637219</c:v>
                </c:pt>
                <c:pt idx="19">
                  <c:v>4797.520252737129</c:v>
                </c:pt>
                <c:pt idx="20">
                  <c:v>4700.389166127265</c:v>
                </c:pt>
                <c:pt idx="21">
                  <c:v>4614.846299685642</c:v>
                </c:pt>
                <c:pt idx="22">
                  <c:v>4530.509339233608</c:v>
                </c:pt>
                <c:pt idx="23">
                  <c:v>4436.086416176702</c:v>
                </c:pt>
                <c:pt idx="24">
                  <c:v>4353.361880040486</c:v>
                </c:pt>
                <c:pt idx="25">
                  <c:v>4271.59923127733</c:v>
                </c:pt>
                <c:pt idx="26">
                  <c:v>4179.935267849888</c:v>
                </c:pt>
                <c:pt idx="27">
                  <c:v>4099.965897790397</c:v>
                </c:pt>
                <c:pt idx="28">
                  <c:v>4020.642850016849</c:v>
                </c:pt>
                <c:pt idx="29">
                  <c:v>3932.122421247778</c:v>
                </c:pt>
                <c:pt idx="30">
                  <c:v>3854.83280751004</c:v>
                </c:pt>
                <c:pt idx="31">
                  <c:v>3777.739006261174</c:v>
                </c:pt>
                <c:pt idx="32">
                  <c:v>3692.489847314434</c:v>
                </c:pt>
                <c:pt idx="33">
                  <c:v>3617.679480762276</c:v>
                </c:pt>
                <c:pt idx="34">
                  <c:v>3542.961556010592</c:v>
                </c:pt>
                <c:pt idx="35">
                  <c:v>3460.558252776189</c:v>
                </c:pt>
                <c:pt idx="36">
                  <c:v>3387.94250034722</c:v>
                </c:pt>
                <c:pt idx="37">
                  <c:v>3315.754583501918</c:v>
                </c:pt>
                <c:pt idx="38">
                  <c:v>3236.461382160853</c:v>
                </c:pt>
                <c:pt idx="39">
                  <c:v>3166.259400612073</c:v>
                </c:pt>
                <c:pt idx="40">
                  <c:v>3096.909291927255</c:v>
                </c:pt>
                <c:pt idx="41">
                  <c:v>3020.772321987884</c:v>
                </c:pt>
                <c:pt idx="42">
                  <c:v>2953.045400090821</c:v>
                </c:pt>
                <c:pt idx="43">
                  <c:v>2886.809318260782</c:v>
                </c:pt>
                <c:pt idx="44">
                  <c:v>2813.212575155434</c:v>
                </c:pt>
                <c:pt idx="45">
                  <c:v>2747.97840059239</c:v>
                </c:pt>
                <c:pt idx="46">
                  <c:v>2684.529948367152</c:v>
                </c:pt>
                <c:pt idx="47">
                  <c:v>2613.188782867433</c:v>
                </c:pt>
                <c:pt idx="48">
                  <c:v>2550.888290640085</c:v>
                </c:pt>
                <c:pt idx="49">
                  <c:v>2489.739262947346</c:v>
                </c:pt>
                <c:pt idx="50">
                  <c:v>2421.203933680219</c:v>
                </c:pt>
                <c:pt idx="51">
                  <c:v>2361.778797315506</c:v>
                </c:pt>
                <c:pt idx="52">
                  <c:v>2303.344286876124</c:v>
                </c:pt>
                <c:pt idx="53">
                  <c:v>2237.624272807097</c:v>
                </c:pt>
                <c:pt idx="54">
                  <c:v>2180.866229244237</c:v>
                </c:pt>
                <c:pt idx="55">
                  <c:v>2124.696136137851</c:v>
                </c:pt>
                <c:pt idx="56">
                  <c:v>2061.930680580621</c:v>
                </c:pt>
                <c:pt idx="57">
                  <c:v>2007.83371020111</c:v>
                </c:pt>
                <c:pt idx="58">
                  <c:v>1953.830454243078</c:v>
                </c:pt>
                <c:pt idx="59">
                  <c:v>1894.311449373728</c:v>
                </c:pt>
                <c:pt idx="60">
                  <c:v>1842.857009766618</c:v>
                </c:pt>
                <c:pt idx="61">
                  <c:v>1791.358357082996</c:v>
                </c:pt>
                <c:pt idx="62">
                  <c:v>1735.352040480807</c:v>
                </c:pt>
                <c:pt idx="63">
                  <c:v>1686.244260267678</c:v>
                </c:pt>
                <c:pt idx="64">
                  <c:v>1637.317743498817</c:v>
                </c:pt>
                <c:pt idx="65">
                  <c:v>1584.14747849348</c:v>
                </c:pt>
                <c:pt idx="66">
                  <c:v>1537.215617581521</c:v>
                </c:pt>
                <c:pt idx="67">
                  <c:v>1491.014051093173</c:v>
                </c:pt>
                <c:pt idx="68">
                  <c:v>1440.706442008946</c:v>
                </c:pt>
                <c:pt idx="69">
                  <c:v>1395.906981592618</c:v>
                </c:pt>
                <c:pt idx="70">
                  <c:v>1352.528571884253</c:v>
                </c:pt>
                <c:pt idx="71">
                  <c:v>1304.976419978421</c:v>
                </c:pt>
                <c:pt idx="72">
                  <c:v>1262.944790521118</c:v>
                </c:pt>
                <c:pt idx="73">
                  <c:v>1222.597627594122</c:v>
                </c:pt>
                <c:pt idx="74">
                  <c:v>1177.579756144796</c:v>
                </c:pt>
                <c:pt idx="75">
                  <c:v>1138.425665752362</c:v>
                </c:pt>
                <c:pt idx="76">
                  <c:v>1100.589696399725</c:v>
                </c:pt>
                <c:pt idx="77">
                  <c:v>1058.300234558607</c:v>
                </c:pt>
                <c:pt idx="78">
                  <c:v>1021.915319333229</c:v>
                </c:pt>
                <c:pt idx="79">
                  <c:v>986.6455688287625</c:v>
                </c:pt>
                <c:pt idx="80">
                  <c:v>946.9302890193869</c:v>
                </c:pt>
                <c:pt idx="81">
                  <c:v>913.3884443529539</c:v>
                </c:pt>
                <c:pt idx="82">
                  <c:v>880.5229562915246</c:v>
                </c:pt>
                <c:pt idx="83">
                  <c:v>843.8524115089209</c:v>
                </c:pt>
                <c:pt idx="84">
                  <c:v>813.2058487052462</c:v>
                </c:pt>
                <c:pt idx="85">
                  <c:v>782.2383189807089</c:v>
                </c:pt>
                <c:pt idx="86">
                  <c:v>748.930867688338</c:v>
                </c:pt>
                <c:pt idx="87">
                  <c:v>720.4332419129369</c:v>
                </c:pt>
                <c:pt idx="88">
                  <c:v>691.9670551954491</c:v>
                </c:pt>
                <c:pt idx="89">
                  <c:v>661.6899994846148</c:v>
                </c:pt>
                <c:pt idx="90">
                  <c:v>635.6982552438569</c:v>
                </c:pt>
                <c:pt idx="91">
                  <c:v>609.849884961899</c:v>
                </c:pt>
                <c:pt idx="92">
                  <c:v>582.8251281434001</c:v>
                </c:pt>
                <c:pt idx="93">
                  <c:v>559.2121214109366</c:v>
                </c:pt>
                <c:pt idx="94">
                  <c:v>536.2003689690118</c:v>
                </c:pt>
                <c:pt idx="95">
                  <c:v>512.3169245672517</c:v>
                </c:pt>
                <c:pt idx="96">
                  <c:v>490.8644375961172</c:v>
                </c:pt>
                <c:pt idx="97">
                  <c:v>470.8262366207249</c:v>
                </c:pt>
                <c:pt idx="98">
                  <c:v>449.3851411697208</c:v>
                </c:pt>
                <c:pt idx="99">
                  <c:v>430.3095956434267</c:v>
                </c:pt>
                <c:pt idx="100">
                  <c:v>413.1350158736116</c:v>
                </c:pt>
                <c:pt idx="101">
                  <c:v>394.1057476591347</c:v>
                </c:pt>
                <c:pt idx="102">
                  <c:v>377.823734530949</c:v>
                </c:pt>
                <c:pt idx="103">
                  <c:v>363.286517708251</c:v>
                </c:pt>
                <c:pt idx="104">
                  <c:v>347.0216034279439</c:v>
                </c:pt>
                <c:pt idx="105">
                  <c:v>333.7679420618156</c:v>
                </c:pt>
                <c:pt idx="106">
                  <c:v>321.745419179531</c:v>
                </c:pt>
                <c:pt idx="107">
                  <c:v>308.0933863732902</c:v>
                </c:pt>
                <c:pt idx="108">
                  <c:v>297.7926899590728</c:v>
                </c:pt>
                <c:pt idx="109">
                  <c:v>287.9944488822991</c:v>
                </c:pt>
                <c:pt idx="110">
                  <c:v>277.3442752047213</c:v>
                </c:pt>
                <c:pt idx="111">
                  <c:v>269.6889774389342</c:v>
                </c:pt>
                <c:pt idx="112">
                  <c:v>262.1373262830445</c:v>
                </c:pt>
                <c:pt idx="113">
                  <c:v>254.9051987890375</c:v>
                </c:pt>
                <c:pt idx="114">
                  <c:v>249.7976897808702</c:v>
                </c:pt>
                <c:pt idx="115">
                  <c:v>244.8370351232005</c:v>
                </c:pt>
                <c:pt idx="116">
                  <c:v>241.1070862491305</c:v>
                </c:pt>
                <c:pt idx="117">
                  <c:v>238.494680355643</c:v>
                </c:pt>
                <c:pt idx="118">
                  <c:v>235.9173120128643</c:v>
                </c:pt>
                <c:pt idx="119">
                  <c:v>234.3495758593705</c:v>
                </c:pt>
                <c:pt idx="120">
                  <c:v>233.5278769914027</c:v>
                </c:pt>
                <c:pt idx="121">
                  <c:v>233.4503745229762</c:v>
                </c:pt>
                <c:pt idx="122">
                  <c:v>235.1984156711979</c:v>
                </c:pt>
                <c:pt idx="123">
                  <c:v>237.0225960137918</c:v>
                </c:pt>
                <c:pt idx="124">
                  <c:v>240.0956500649409</c:v>
                </c:pt>
                <c:pt idx="125">
                  <c:v>244.7114671431922</c:v>
                </c:pt>
                <c:pt idx="126">
                  <c:v>249.1472544636119</c:v>
                </c:pt>
                <c:pt idx="127">
                  <c:v>255.2187398952393</c:v>
                </c:pt>
                <c:pt idx="128">
                  <c:v>262.3743325123983</c:v>
                </c:pt>
                <c:pt idx="129">
                  <c:v>269.4946439852789</c:v>
                </c:pt>
                <c:pt idx="130">
                  <c:v>278.0034259719433</c:v>
                </c:pt>
                <c:pt idx="131">
                  <c:v>287.8679845367436</c:v>
                </c:pt>
                <c:pt idx="132">
                  <c:v>297.5514467080143</c:v>
                </c:pt>
                <c:pt idx="133">
                  <c:v>308.6811186067188</c:v>
                </c:pt>
                <c:pt idx="134">
                  <c:v>321.2488938952043</c:v>
                </c:pt>
                <c:pt idx="135">
                  <c:v>333.9690786324356</c:v>
                </c:pt>
                <c:pt idx="136">
                  <c:v>347.4742226683497</c:v>
                </c:pt>
                <c:pt idx="137">
                  <c:v>363.0011899782957</c:v>
                </c:pt>
                <c:pt idx="138">
                  <c:v>378.4062789597639</c:v>
                </c:pt>
                <c:pt idx="139">
                  <c:v>393.9604119847854</c:v>
                </c:pt>
                <c:pt idx="140">
                  <c:v>412.6730671989272</c:v>
                </c:pt>
                <c:pt idx="141">
                  <c:v>430.4704881029929</c:v>
                </c:pt>
                <c:pt idx="142">
                  <c:v>448.6577424751093</c:v>
                </c:pt>
                <c:pt idx="143">
                  <c:v>470.3583475486286</c:v>
                </c:pt>
                <c:pt idx="144">
                  <c:v>490.82527033564</c:v>
                </c:pt>
                <c:pt idx="145">
                  <c:v>511.5210445892675</c:v>
                </c:pt>
                <c:pt idx="146">
                  <c:v>536.6856283700555</c:v>
                </c:pt>
                <c:pt idx="147">
                  <c:v>559.4378939715417</c:v>
                </c:pt>
                <c:pt idx="148">
                  <c:v>582.8549827037858</c:v>
                </c:pt>
                <c:pt idx="149">
                  <c:v>610.8989509460198</c:v>
                </c:pt>
                <c:pt idx="150">
                  <c:v>635.824455949096</c:v>
                </c:pt>
                <c:pt idx="151">
                  <c:v>661.951510687387</c:v>
                </c:pt>
                <c:pt idx="152">
                  <c:v>692.4932720409962</c:v>
                </c:pt>
                <c:pt idx="153">
                  <c:v>719.9887342761264</c:v>
                </c:pt>
                <c:pt idx="154">
                  <c:v>748.8612775855725</c:v>
                </c:pt>
                <c:pt idx="155">
                  <c:v>782.0432729637544</c:v>
                </c:pt>
                <c:pt idx="156">
                  <c:v>812.3078287201135</c:v>
                </c:pt>
                <c:pt idx="157">
                  <c:v>843.9902399095372</c:v>
                </c:pt>
                <c:pt idx="158">
                  <c:v>880.1287937053022</c:v>
                </c:pt>
                <c:pt idx="159">
                  <c:v>913.151539552081</c:v>
                </c:pt>
                <c:pt idx="160">
                  <c:v>947.335274155724</c:v>
                </c:pt>
                <c:pt idx="161">
                  <c:v>986.2109894672132</c:v>
                </c:pt>
                <c:pt idx="162">
                  <c:v>1021.989823650737</c:v>
                </c:pt>
                <c:pt idx="163">
                  <c:v>1058.645815735003</c:v>
                </c:pt>
                <c:pt idx="164">
                  <c:v>1100.222835469048</c:v>
                </c:pt>
                <c:pt idx="165">
                  <c:v>1138.760557432294</c:v>
                </c:pt>
                <c:pt idx="166">
                  <c:v>1177.736652108535</c:v>
                </c:pt>
                <c:pt idx="167">
                  <c:v>1222.605728136723</c:v>
                </c:pt>
                <c:pt idx="168">
                  <c:v>1263.743697634232</c:v>
                </c:pt>
                <c:pt idx="169">
                  <c:v>1304.993058303427</c:v>
                </c:pt>
                <c:pt idx="170">
                  <c:v>1352.949638743405</c:v>
                </c:pt>
                <c:pt idx="171">
                  <c:v>1396.347301903672</c:v>
                </c:pt>
                <c:pt idx="172">
                  <c:v>1440.15613079986</c:v>
                </c:pt>
                <c:pt idx="173">
                  <c:v>1491.028404415411</c:v>
                </c:pt>
                <c:pt idx="174">
                  <c:v>1536.794716543872</c:v>
                </c:pt>
                <c:pt idx="175">
                  <c:v>1583.219543020565</c:v>
                </c:pt>
                <c:pt idx="176">
                  <c:v>1637.341118267035</c:v>
                </c:pt>
                <c:pt idx="177">
                  <c:v>1685.539495397916</c:v>
                </c:pt>
                <c:pt idx="178">
                  <c:v>1735.101566695354</c:v>
                </c:pt>
                <c:pt idx="179">
                  <c:v>1791.951268996203</c:v>
                </c:pt>
                <c:pt idx="180">
                  <c:v>1842.779486102344</c:v>
                </c:pt>
                <c:pt idx="181">
                  <c:v>1894.947135296302</c:v>
                </c:pt>
                <c:pt idx="182">
                  <c:v>1954.255429976066</c:v>
                </c:pt>
                <c:pt idx="183">
                  <c:v>2007.796231253652</c:v>
                </c:pt>
                <c:pt idx="184">
                  <c:v>2062.455898139374</c:v>
                </c:pt>
                <c:pt idx="185">
                  <c:v>2124.427620402391</c:v>
                </c:pt>
                <c:pt idx="186">
                  <c:v>2180.714249526636</c:v>
                </c:pt>
                <c:pt idx="187">
                  <c:v>2237.976220562794</c:v>
                </c:pt>
                <c:pt idx="188">
                  <c:v>2302.749358961962</c:v>
                </c:pt>
                <c:pt idx="189">
                  <c:v>2361.943478253394</c:v>
                </c:pt>
                <c:pt idx="190">
                  <c:v>2421.619819894157</c:v>
                </c:pt>
                <c:pt idx="191">
                  <c:v>2489.383536065449</c:v>
                </c:pt>
                <c:pt idx="192">
                  <c:v>2551.147276330118</c:v>
                </c:pt>
                <c:pt idx="193">
                  <c:v>2612.957494231793</c:v>
                </c:pt>
                <c:pt idx="194">
                  <c:v>2683.918512986005</c:v>
                </c:pt>
                <c:pt idx="195">
                  <c:v>2748.153958217591</c:v>
                </c:pt>
                <c:pt idx="196">
                  <c:v>2812.643021194951</c:v>
                </c:pt>
                <c:pt idx="197">
                  <c:v>2886.745461194616</c:v>
                </c:pt>
                <c:pt idx="198">
                  <c:v>2953.483332694317</c:v>
                </c:pt>
                <c:pt idx="199">
                  <c:v>3020.547672175684</c:v>
                </c:pt>
                <c:pt idx="200">
                  <c:v>3097.752767815995</c:v>
                </c:pt>
                <c:pt idx="201">
                  <c:v>3166.735834638819</c:v>
                </c:pt>
                <c:pt idx="202">
                  <c:v>3236.505927024444</c:v>
                </c:pt>
                <c:pt idx="203">
                  <c:v>3316.518811792081</c:v>
                </c:pt>
                <c:pt idx="204">
                  <c:v>3387.654474031865</c:v>
                </c:pt>
                <c:pt idx="205">
                  <c:v>3460.201596785361</c:v>
                </c:pt>
                <c:pt idx="206">
                  <c:v>3542.824705902011</c:v>
                </c:pt>
                <c:pt idx="207">
                  <c:v>3616.803052164903</c:v>
                </c:pt>
                <c:pt idx="208">
                  <c:v>3692.183049402464</c:v>
                </c:pt>
                <c:pt idx="209">
                  <c:v>3777.620310828631</c:v>
                </c:pt>
                <c:pt idx="210">
                  <c:v>3854.309398143713</c:v>
                </c:pt>
                <c:pt idx="211">
                  <c:v>3932.416589351477</c:v>
                </c:pt>
                <c:pt idx="212">
                  <c:v>4020.582021138383</c:v>
                </c:pt>
                <c:pt idx="213">
                  <c:v>4100.086231470473</c:v>
                </c:pt>
                <c:pt idx="214">
                  <c:v>4180.572495711696</c:v>
                </c:pt>
                <c:pt idx="215">
                  <c:v>4271.258134863096</c:v>
                </c:pt>
                <c:pt idx="216">
                  <c:v>4353.623915424465</c:v>
                </c:pt>
                <c:pt idx="217">
                  <c:v>4436.528431704854</c:v>
                </c:pt>
                <c:pt idx="218">
                  <c:v>4530.328279283201</c:v>
                </c:pt>
                <c:pt idx="219">
                  <c:v>4615.429406695019</c:v>
                </c:pt>
                <c:pt idx="220">
                  <c:v>4700.403112212438</c:v>
                </c:pt>
                <c:pt idx="221">
                  <c:v>4797.53673547179</c:v>
                </c:pt>
                <c:pt idx="222">
                  <c:v>4885.016887178556</c:v>
                </c:pt>
                <c:pt idx="223">
                  <c:v>4972.441868329191</c:v>
                </c:pt>
                <c:pt idx="224">
                  <c:v>5072.579931717361</c:v>
                </c:pt>
                <c:pt idx="225">
                  <c:v>5162.294064360414</c:v>
                </c:pt>
                <c:pt idx="226">
                  <c:v>5252.466158272302</c:v>
                </c:pt>
                <c:pt idx="227">
                  <c:v>5355.548700407056</c:v>
                </c:pt>
                <c:pt idx="228">
                  <c:v>5447.708509483361</c:v>
                </c:pt>
                <c:pt idx="229">
                  <c:v>5540.683579849159</c:v>
                </c:pt>
                <c:pt idx="230">
                  <c:v>5646.961536636373</c:v>
                </c:pt>
                <c:pt idx="231">
                  <c:v>5741.526745204012</c:v>
                </c:pt>
                <c:pt idx="232">
                  <c:v>5837.535406144047</c:v>
                </c:pt>
                <c:pt idx="233">
                  <c:v>5946.358306967192</c:v>
                </c:pt>
                <c:pt idx="234">
                  <c:v>6043.438309182107</c:v>
                </c:pt>
                <c:pt idx="235">
                  <c:v>6142.145466617225</c:v>
                </c:pt>
                <c:pt idx="236">
                  <c:v>6253.28384796419</c:v>
                </c:pt>
                <c:pt idx="237">
                  <c:v>6353.093574137482</c:v>
                </c:pt>
                <c:pt idx="238">
                  <c:v>6454.213123168585</c:v>
                </c:pt>
                <c:pt idx="239">
                  <c:v>6568.286774941211</c:v>
                </c:pt>
                <c:pt idx="240">
                  <c:v>6670.970351393163</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Native_Chart_Data!$H$1228:$H$1468</c:f>
              <c:numCache>
                <c:formatCode>General</c:formatCode>
                <c:ptCount val="241"/>
                <c:pt idx="0">
                  <c:v>6671.247983955018</c:v>
                </c:pt>
                <c:pt idx="1">
                  <c:v>6567.635412425879</c:v>
                </c:pt>
                <c:pt idx="2">
                  <c:v>6451.696220565506</c:v>
                </c:pt>
                <c:pt idx="3">
                  <c:v>6350.167209245199</c:v>
                </c:pt>
                <c:pt idx="4">
                  <c:v>6248.740371379414</c:v>
                </c:pt>
                <c:pt idx="5">
                  <c:v>6135.88778521221</c:v>
                </c:pt>
                <c:pt idx="6">
                  <c:v>6036.836275449983</c:v>
                </c:pt>
                <c:pt idx="7">
                  <c:v>5938.11918347553</c:v>
                </c:pt>
                <c:pt idx="8">
                  <c:v>5828.545588962841</c:v>
                </c:pt>
                <c:pt idx="9">
                  <c:v>5732.097873047763</c:v>
                </c:pt>
                <c:pt idx="10">
                  <c:v>5636.113043266255</c:v>
                </c:pt>
                <c:pt idx="11">
                  <c:v>5529.743724407704</c:v>
                </c:pt>
                <c:pt idx="12">
                  <c:v>5435.568738499499</c:v>
                </c:pt>
                <c:pt idx="13">
                  <c:v>5342.121733464359</c:v>
                </c:pt>
                <c:pt idx="14">
                  <c:v>5238.447552468971</c:v>
                </c:pt>
                <c:pt idx="15">
                  <c:v>5146.625927460767</c:v>
                </c:pt>
                <c:pt idx="16">
                  <c:v>5055.922099333849</c:v>
                </c:pt>
                <c:pt idx="17">
                  <c:v>4955.04824065485</c:v>
                </c:pt>
                <c:pt idx="18">
                  <c:v>4865.75575035372</c:v>
                </c:pt>
                <c:pt idx="19">
                  <c:v>4778.104420735111</c:v>
                </c:pt>
                <c:pt idx="20">
                  <c:v>4679.967638378224</c:v>
                </c:pt>
                <c:pt idx="21">
                  <c:v>4593.53989310486</c:v>
                </c:pt>
                <c:pt idx="22">
                  <c:v>4508.326593061922</c:v>
                </c:pt>
                <c:pt idx="23">
                  <c:v>4412.927995026562</c:v>
                </c:pt>
                <c:pt idx="24">
                  <c:v>4329.345265186219</c:v>
                </c:pt>
                <c:pt idx="25">
                  <c:v>4246.732961959774</c:v>
                </c:pt>
                <c:pt idx="26">
                  <c:v>4154.123344322445</c:v>
                </c:pt>
                <c:pt idx="27">
                  <c:v>4073.322465686445</c:v>
                </c:pt>
                <c:pt idx="28">
                  <c:v>3993.176448577224</c:v>
                </c:pt>
                <c:pt idx="29">
                  <c:v>3903.740386366833</c:v>
                </c:pt>
                <c:pt idx="30">
                  <c:v>3825.645949180202</c:v>
                </c:pt>
                <c:pt idx="31">
                  <c:v>3747.75586372328</c:v>
                </c:pt>
                <c:pt idx="32">
                  <c:v>3661.621092103788</c:v>
                </c:pt>
                <c:pt idx="33">
                  <c:v>3586.032587230351</c:v>
                </c:pt>
                <c:pt idx="34">
                  <c:v>3510.545063398227</c:v>
                </c:pt>
                <c:pt idx="35">
                  <c:v>3427.286168259639</c:v>
                </c:pt>
                <c:pt idx="36">
                  <c:v>3353.918962637008</c:v>
                </c:pt>
                <c:pt idx="37">
                  <c:v>3280.988131838881</c:v>
                </c:pt>
                <c:pt idx="38">
                  <c:v>3200.869359362202</c:v>
                </c:pt>
                <c:pt idx="39">
                  <c:v>3129.942609747374</c:v>
                </c:pt>
                <c:pt idx="40">
                  <c:v>3059.876272237346</c:v>
                </c:pt>
                <c:pt idx="41">
                  <c:v>2982.943751930928</c:v>
                </c:pt>
                <c:pt idx="42">
                  <c:v>2914.518747095435</c:v>
                </c:pt>
                <c:pt idx="43">
                  <c:v>2847.593121567802</c:v>
                </c:pt>
                <c:pt idx="44">
                  <c:v>2773.230848863975</c:v>
                </c:pt>
                <c:pt idx="45">
                  <c:v>2707.325276490115</c:v>
                </c:pt>
                <c:pt idx="46">
                  <c:v>2643.2139656949</c:v>
                </c:pt>
                <c:pt idx="47">
                  <c:v>2571.137291365269</c:v>
                </c:pt>
                <c:pt idx="48">
                  <c:v>2508.192086454721</c:v>
                </c:pt>
                <c:pt idx="49">
                  <c:v>2446.406885319621</c:v>
                </c:pt>
                <c:pt idx="50">
                  <c:v>2377.16606799115</c:v>
                </c:pt>
                <c:pt idx="51">
                  <c:v>2317.122904070853</c:v>
                </c:pt>
                <c:pt idx="52">
                  <c:v>2258.078905316726</c:v>
                </c:pt>
                <c:pt idx="53">
                  <c:v>2191.683423954921</c:v>
                </c:pt>
                <c:pt idx="54">
                  <c:v>2134.334037964095</c:v>
                </c:pt>
                <c:pt idx="55">
                  <c:v>2077.581141670579</c:v>
                </c:pt>
                <c:pt idx="56">
                  <c:v>2014.170239589141</c:v>
                </c:pt>
                <c:pt idx="57">
                  <c:v>1959.508611909278</c:v>
                </c:pt>
                <c:pt idx="58">
                  <c:v>1904.949237891731</c:v>
                </c:pt>
                <c:pt idx="59">
                  <c:v>1844.81480726674</c:v>
                </c:pt>
                <c:pt idx="60">
                  <c:v>1792.822395486895</c:v>
                </c:pt>
                <c:pt idx="61">
                  <c:v>1740.794309871374</c:v>
                </c:pt>
                <c:pt idx="62">
                  <c:v>1684.202588282113</c:v>
                </c:pt>
                <c:pt idx="63">
                  <c:v>1634.583521023864</c:v>
                </c:pt>
                <c:pt idx="64">
                  <c:v>1585.15425645072</c:v>
                </c:pt>
                <c:pt idx="65">
                  <c:v>1531.428607226878</c:v>
                </c:pt>
                <c:pt idx="66">
                  <c:v>1484.012144397416</c:v>
                </c:pt>
                <c:pt idx="67">
                  <c:v>1437.334515232401</c:v>
                </c:pt>
                <c:pt idx="68">
                  <c:v>1386.501542698236</c:v>
                </c:pt>
                <c:pt idx="69">
                  <c:v>1341.244165492021</c:v>
                </c:pt>
                <c:pt idx="70">
                  <c:v>1297.416378234605</c:v>
                </c:pt>
                <c:pt idx="71">
                  <c:v>1249.368883647403</c:v>
                </c:pt>
                <c:pt idx="72">
                  <c:v>1206.906022527829</c:v>
                </c:pt>
                <c:pt idx="73">
                  <c:v>1166.136167179397</c:v>
                </c:pt>
                <c:pt idx="74">
                  <c:v>1120.65297381727</c:v>
                </c:pt>
                <c:pt idx="75">
                  <c:v>1081.09433689018</c:v>
                </c:pt>
                <c:pt idx="76">
                  <c:v>1042.862360243723</c:v>
                </c:pt>
                <c:pt idx="77">
                  <c:v>1000.137597258372</c:v>
                </c:pt>
                <c:pt idx="78">
                  <c:v>963.3748206259534</c:v>
                </c:pt>
                <c:pt idx="79">
                  <c:v>927.7357479552833</c:v>
                </c:pt>
                <c:pt idx="80">
                  <c:v>887.615187770242</c:v>
                </c:pt>
                <c:pt idx="81">
                  <c:v>853.7221668243844</c:v>
                </c:pt>
                <c:pt idx="82">
                  <c:v>820.5140417243678</c:v>
                </c:pt>
                <c:pt idx="83">
                  <c:v>783.468237334666</c:v>
                </c:pt>
                <c:pt idx="84">
                  <c:v>752.4971833791826</c:v>
                </c:pt>
                <c:pt idx="85">
                  <c:v>721.2137017436736</c:v>
                </c:pt>
                <c:pt idx="86">
                  <c:v>687.5610116127726</c:v>
                </c:pt>
                <c:pt idx="87">
                  <c:v>658.7655798131786</c:v>
                </c:pt>
                <c:pt idx="88">
                  <c:v>630.010126312335</c:v>
                </c:pt>
                <c:pt idx="89">
                  <c:v>599.4178525315383</c:v>
                </c:pt>
                <c:pt idx="90">
                  <c:v>573.1549873942034</c:v>
                </c:pt>
                <c:pt idx="91">
                  <c:v>547.0440354565055</c:v>
                </c:pt>
                <c:pt idx="92">
                  <c:v>519.7340813366122</c:v>
                </c:pt>
                <c:pt idx="93">
                  <c:v>495.8766388351875</c:v>
                </c:pt>
                <c:pt idx="94">
                  <c:v>472.6289898651386</c:v>
                </c:pt>
                <c:pt idx="95">
                  <c:v>448.4903689305519</c:v>
                </c:pt>
                <c:pt idx="96">
                  <c:v>426.820131318072</c:v>
                </c:pt>
                <c:pt idx="97">
                  <c:v>406.5727189421714</c:v>
                </c:pt>
                <c:pt idx="98">
                  <c:v>384.9064677269085</c:v>
                </c:pt>
                <c:pt idx="99">
                  <c:v>365.639856686885</c:v>
                </c:pt>
                <c:pt idx="100">
                  <c:v>348.2827506441774</c:v>
                </c:pt>
                <c:pt idx="101">
                  <c:v>329.0583474340097</c:v>
                </c:pt>
                <c:pt idx="102">
                  <c:v>312.6119539197102</c:v>
                </c:pt>
                <c:pt idx="103">
                  <c:v>297.9188959517357</c:v>
                </c:pt>
                <c:pt idx="104">
                  <c:v>281.4888674443055</c:v>
                </c:pt>
                <c:pt idx="105">
                  <c:v>268.0975108196794</c:v>
                </c:pt>
                <c:pt idx="106">
                  <c:v>255.9458319197341</c:v>
                </c:pt>
                <c:pt idx="107">
                  <c:v>242.158705654938</c:v>
                </c:pt>
                <c:pt idx="108">
                  <c:v>231.7469991098386</c:v>
                </c:pt>
                <c:pt idx="109">
                  <c:v>221.8462871430202</c:v>
                </c:pt>
                <c:pt idx="110">
                  <c:v>211.0910407754549</c:v>
                </c:pt>
                <c:pt idx="111">
                  <c:v>203.3514180064017</c:v>
                </c:pt>
                <c:pt idx="112">
                  <c:v>195.723981088083</c:v>
                </c:pt>
                <c:pt idx="113">
                  <c:v>188.4168016726564</c:v>
                </c:pt>
                <c:pt idx="114">
                  <c:v>183.2516527888388</c:v>
                </c:pt>
                <c:pt idx="115">
                  <c:v>178.241897496356</c:v>
                </c:pt>
                <c:pt idx="116">
                  <c:v>174.4669174694342</c:v>
                </c:pt>
                <c:pt idx="117">
                  <c:v>171.8235568279124</c:v>
                </c:pt>
                <c:pt idx="118">
                  <c:v>169.2237729779363</c:v>
                </c:pt>
                <c:pt idx="119">
                  <c:v>167.6410264401586</c:v>
                </c:pt>
                <c:pt idx="120">
                  <c:v>166.8150579517723</c:v>
                </c:pt>
                <c:pt idx="121">
                  <c:v>166.7418251037643</c:v>
                </c:pt>
                <c:pt idx="122">
                  <c:v>168.5048766362699</c:v>
                </c:pt>
                <c:pt idx="123">
                  <c:v>170.3514724860612</c:v>
                </c:pt>
                <c:pt idx="124">
                  <c:v>173.4554812852446</c:v>
                </c:pt>
                <c:pt idx="125">
                  <c:v>178.1163295163477</c:v>
                </c:pt>
                <c:pt idx="126">
                  <c:v>182.6012174715806</c:v>
                </c:pt>
                <c:pt idx="127">
                  <c:v>188.7303427788582</c:v>
                </c:pt>
                <c:pt idx="128">
                  <c:v>195.9609873174368</c:v>
                </c:pt>
                <c:pt idx="129">
                  <c:v>203.1570845527464</c:v>
                </c:pt>
                <c:pt idx="130">
                  <c:v>211.7501915426769</c:v>
                </c:pt>
                <c:pt idx="131">
                  <c:v>221.7198227974646</c:v>
                </c:pt>
                <c:pt idx="132">
                  <c:v>231.5057558587802</c:v>
                </c:pt>
                <c:pt idx="133">
                  <c:v>242.7464378883666</c:v>
                </c:pt>
                <c:pt idx="134">
                  <c:v>255.4493066354074</c:v>
                </c:pt>
                <c:pt idx="135">
                  <c:v>268.2986473902994</c:v>
                </c:pt>
                <c:pt idx="136">
                  <c:v>281.9414866847113</c:v>
                </c:pt>
                <c:pt idx="137">
                  <c:v>297.6335682217804</c:v>
                </c:pt>
                <c:pt idx="138">
                  <c:v>313.1944983485251</c:v>
                </c:pt>
                <c:pt idx="139">
                  <c:v>328.9130117596604</c:v>
                </c:pt>
                <c:pt idx="140">
                  <c:v>347.8208019694931</c:v>
                </c:pt>
                <c:pt idx="141">
                  <c:v>365.8007491464512</c:v>
                </c:pt>
                <c:pt idx="142">
                  <c:v>384.1790690322971</c:v>
                </c:pt>
                <c:pt idx="143">
                  <c:v>406.1048298700752</c:v>
                </c:pt>
                <c:pt idx="144">
                  <c:v>426.7809640575946</c:v>
                </c:pt>
                <c:pt idx="145">
                  <c:v>447.6944889525677</c:v>
                </c:pt>
                <c:pt idx="146">
                  <c:v>473.1142492661822</c:v>
                </c:pt>
                <c:pt idx="147">
                  <c:v>496.1024113957927</c:v>
                </c:pt>
                <c:pt idx="148">
                  <c:v>519.763935896998</c:v>
                </c:pt>
                <c:pt idx="149">
                  <c:v>548.0931014406264</c:v>
                </c:pt>
                <c:pt idx="150">
                  <c:v>573.2811880994424</c:v>
                </c:pt>
                <c:pt idx="151">
                  <c:v>599.6793637343105</c:v>
                </c:pt>
                <c:pt idx="152">
                  <c:v>630.536343157882</c:v>
                </c:pt>
                <c:pt idx="153">
                  <c:v>658.3210721763679</c:v>
                </c:pt>
                <c:pt idx="154">
                  <c:v>687.4914215100071</c:v>
                </c:pt>
                <c:pt idx="155">
                  <c:v>721.0186557267192</c:v>
                </c:pt>
                <c:pt idx="156">
                  <c:v>751.5991633940498</c:v>
                </c:pt>
                <c:pt idx="157">
                  <c:v>783.6060657352823</c:v>
                </c:pt>
                <c:pt idx="158">
                  <c:v>820.1198791381454</c:v>
                </c:pt>
                <c:pt idx="159">
                  <c:v>853.4852620235116</c:v>
                </c:pt>
                <c:pt idx="160">
                  <c:v>888.0201729065793</c:v>
                </c:pt>
                <c:pt idx="161">
                  <c:v>927.3011685937341</c:v>
                </c:pt>
                <c:pt idx="162">
                  <c:v>963.4493249434615</c:v>
                </c:pt>
                <c:pt idx="163">
                  <c:v>1000.483178434768</c:v>
                </c:pt>
                <c:pt idx="164">
                  <c:v>1042.495499313046</c:v>
                </c:pt>
                <c:pt idx="165">
                  <c:v>1081.429228570111</c:v>
                </c:pt>
                <c:pt idx="166">
                  <c:v>1120.809869781009</c:v>
                </c:pt>
                <c:pt idx="167">
                  <c:v>1166.144267721998</c:v>
                </c:pt>
                <c:pt idx="168">
                  <c:v>1207.704929640943</c:v>
                </c:pt>
                <c:pt idx="169">
                  <c:v>1249.38552197241</c:v>
                </c:pt>
                <c:pt idx="170">
                  <c:v>1297.837445093757</c:v>
                </c:pt>
                <c:pt idx="171">
                  <c:v>1341.684485803075</c:v>
                </c:pt>
                <c:pt idx="172">
                  <c:v>1385.951231489151</c:v>
                </c:pt>
                <c:pt idx="173">
                  <c:v>1437.348868554639</c:v>
                </c:pt>
                <c:pt idx="174">
                  <c:v>1483.591243359767</c:v>
                </c:pt>
                <c:pt idx="175">
                  <c:v>1530.500671753964</c:v>
                </c:pt>
                <c:pt idx="176">
                  <c:v>1585.177631218939</c:v>
                </c:pt>
                <c:pt idx="177">
                  <c:v>1633.878756154103</c:v>
                </c:pt>
                <c:pt idx="178">
                  <c:v>1683.95211449666</c:v>
                </c:pt>
                <c:pt idx="179">
                  <c:v>1741.387221784581</c:v>
                </c:pt>
                <c:pt idx="180">
                  <c:v>1792.744871822621</c:v>
                </c:pt>
                <c:pt idx="181">
                  <c:v>1845.450493189315</c:v>
                </c:pt>
                <c:pt idx="182">
                  <c:v>1905.37421362472</c:v>
                </c:pt>
                <c:pt idx="183">
                  <c:v>1959.471132961819</c:v>
                </c:pt>
                <c:pt idx="184">
                  <c:v>2014.695457147894</c:v>
                </c:pt>
                <c:pt idx="185">
                  <c:v>2077.312625935119</c:v>
                </c:pt>
                <c:pt idx="186">
                  <c:v>2134.182058246494</c:v>
                </c:pt>
                <c:pt idx="187">
                  <c:v>2192.035371710619</c:v>
                </c:pt>
                <c:pt idx="188">
                  <c:v>2257.483977402564</c:v>
                </c:pt>
                <c:pt idx="189">
                  <c:v>2317.287585008742</c:v>
                </c:pt>
                <c:pt idx="190">
                  <c:v>2377.581954205088</c:v>
                </c:pt>
                <c:pt idx="191">
                  <c:v>2446.051158437724</c:v>
                </c:pt>
                <c:pt idx="192">
                  <c:v>2508.451072144754</c:v>
                </c:pt>
                <c:pt idx="193">
                  <c:v>2570.906002729628</c:v>
                </c:pt>
                <c:pt idx="194">
                  <c:v>2642.602530313753</c:v>
                </c:pt>
                <c:pt idx="195">
                  <c:v>2707.500834115316</c:v>
                </c:pt>
                <c:pt idx="196">
                  <c:v>2772.661294903492</c:v>
                </c:pt>
                <c:pt idx="197">
                  <c:v>2847.529264501636</c:v>
                </c:pt>
                <c:pt idx="198">
                  <c:v>2914.95667969893</c:v>
                </c:pt>
                <c:pt idx="199">
                  <c:v>2982.719102118728</c:v>
                </c:pt>
                <c:pt idx="200">
                  <c:v>3060.719748126086</c:v>
                </c:pt>
                <c:pt idx="201">
                  <c:v>3130.41904377412</c:v>
                </c:pt>
                <c:pt idx="202">
                  <c:v>3200.913904225792</c:v>
                </c:pt>
                <c:pt idx="203">
                  <c:v>3281.752360129045</c:v>
                </c:pt>
                <c:pt idx="204">
                  <c:v>3353.630936321653</c:v>
                </c:pt>
                <c:pt idx="205">
                  <c:v>3426.929512268812</c:v>
                </c:pt>
                <c:pt idx="206">
                  <c:v>3510.408213289646</c:v>
                </c:pt>
                <c:pt idx="207">
                  <c:v>3585.156158632978</c:v>
                </c:pt>
                <c:pt idx="208">
                  <c:v>3661.314294191818</c:v>
                </c:pt>
                <c:pt idx="209">
                  <c:v>3747.637168290737</c:v>
                </c:pt>
                <c:pt idx="210">
                  <c:v>3825.122539813875</c:v>
                </c:pt>
                <c:pt idx="211">
                  <c:v>3904.034554470532</c:v>
                </c:pt>
                <c:pt idx="212">
                  <c:v>3993.115619698759</c:v>
                </c:pt>
                <c:pt idx="213">
                  <c:v>4073.44279936652</c:v>
                </c:pt>
                <c:pt idx="214">
                  <c:v>4154.760572184254</c:v>
                </c:pt>
                <c:pt idx="215">
                  <c:v>4246.39186554554</c:v>
                </c:pt>
                <c:pt idx="216">
                  <c:v>4329.607300570197</c:v>
                </c:pt>
                <c:pt idx="217">
                  <c:v>4413.370010554713</c:v>
                </c:pt>
                <c:pt idx="218">
                  <c:v>4508.145533111514</c:v>
                </c:pt>
                <c:pt idx="219">
                  <c:v>4594.123000114237</c:v>
                </c:pt>
                <c:pt idx="220">
                  <c:v>4679.981584463398</c:v>
                </c:pt>
                <c:pt idx="221">
                  <c:v>4778.120903469772</c:v>
                </c:pt>
                <c:pt idx="222">
                  <c:v>4866.504079895059</c:v>
                </c:pt>
                <c:pt idx="223">
                  <c:v>4954.840625005051</c:v>
                </c:pt>
                <c:pt idx="224">
                  <c:v>5056.01440490881</c:v>
                </c:pt>
                <c:pt idx="225">
                  <c:v>5146.658247398001</c:v>
                </c:pt>
                <c:pt idx="226">
                  <c:v>5237.768590396863</c:v>
                </c:pt>
                <c:pt idx="227">
                  <c:v>5341.916869815773</c:v>
                </c:pt>
                <c:pt idx="228">
                  <c:v>5435.03307386583</c:v>
                </c:pt>
                <c:pt idx="229">
                  <c:v>5528.973078446219</c:v>
                </c:pt>
                <c:pt idx="230">
                  <c:v>5636.346793286159</c:v>
                </c:pt>
                <c:pt idx="231">
                  <c:v>5731.895081955166</c:v>
                </c:pt>
                <c:pt idx="232">
                  <c:v>5828.895362237407</c:v>
                </c:pt>
                <c:pt idx="233">
                  <c:v>5938.844041881845</c:v>
                </c:pt>
                <c:pt idx="234">
                  <c:v>6036.933809325743</c:v>
                </c:pt>
                <c:pt idx="235">
                  <c:v>6136.659271230682</c:v>
                </c:pt>
                <c:pt idx="236">
                  <c:v>6248.953452167508</c:v>
                </c:pt>
                <c:pt idx="237">
                  <c:v>6349.7996286974</c:v>
                </c:pt>
                <c:pt idx="238">
                  <c:v>6451.96416732594</c:v>
                </c:pt>
                <c:pt idx="239">
                  <c:v>6567.223639456995</c:v>
                </c:pt>
                <c:pt idx="240">
                  <c:v>6670.970351393163</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Off-Nadir Radar Delay by Flyby: Without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Native_Chart_Data!$A$1473:$A$1713</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Native_Chart_Data!$B$1473:$B$1713</c:f>
              <c:numCache>
                <c:formatCode>General</c:formatCode>
                <c:ptCount val="241"/>
                <c:pt idx="0">
                  <c:v>2738.75287975896</c:v>
                </c:pt>
                <c:pt idx="1">
                  <c:v>2737.746224109234</c:v>
                </c:pt>
                <c:pt idx="2">
                  <c:v>2736.623084633149</c:v>
                </c:pt>
                <c:pt idx="3">
                  <c:v>2735.633054663029</c:v>
                </c:pt>
                <c:pt idx="4">
                  <c:v>2734.650858075406</c:v>
                </c:pt>
                <c:pt idx="5">
                  <c:v>2733.555257783269</c:v>
                </c:pt>
                <c:pt idx="6">
                  <c:v>2732.589727165975</c:v>
                </c:pt>
                <c:pt idx="7">
                  <c:v>2731.632048701091</c:v>
                </c:pt>
                <c:pt idx="8">
                  <c:v>2730.564053579902</c:v>
                </c:pt>
                <c:pt idx="9">
                  <c:v>2729.62308056244</c:v>
                </c:pt>
                <c:pt idx="10">
                  <c:v>2728.689978080741</c:v>
                </c:pt>
                <c:pt idx="11">
                  <c:v>2727.649652758524</c:v>
                </c:pt>
                <c:pt idx="12">
                  <c:v>2726.733294372101</c:v>
                </c:pt>
                <c:pt idx="13">
                  <c:v>2725.824824510964</c:v>
                </c:pt>
                <c:pt idx="14">
                  <c:v>2724.812232231116</c:v>
                </c:pt>
                <c:pt idx="15">
                  <c:v>2723.920544268542</c:v>
                </c:pt>
                <c:pt idx="16">
                  <c:v>2723.036762419741</c:v>
                </c:pt>
                <c:pt idx="17">
                  <c:v>2722.051965015849</c:v>
                </c:pt>
                <c:pt idx="18">
                  <c:v>2721.185002009214</c:v>
                </c:pt>
                <c:pt idx="19">
                  <c:v>2720.325962296758</c:v>
                </c:pt>
                <c:pt idx="20">
                  <c:v>2719.36902016777</c:v>
                </c:pt>
                <c:pt idx="21">
                  <c:v>2718.5268353665</c:v>
                </c:pt>
                <c:pt idx="22">
                  <c:v>2717.692590624826</c:v>
                </c:pt>
                <c:pt idx="23">
                  <c:v>2716.763562710639</c:v>
                </c:pt>
                <c:pt idx="24">
                  <c:v>2715.946208059994</c:v>
                </c:pt>
                <c:pt idx="25">
                  <c:v>2715.136809812473</c:v>
                </c:pt>
                <c:pt idx="26">
                  <c:v>2714.235753570058</c:v>
                </c:pt>
                <c:pt idx="27">
                  <c:v>2713.4432796899</c:v>
                </c:pt>
                <c:pt idx="28">
                  <c:v>2712.658778127942</c:v>
                </c:pt>
                <c:pt idx="29">
                  <c:v>2711.785749507719</c:v>
                </c:pt>
                <c:pt idx="30">
                  <c:v>2711.018205671868</c:v>
                </c:pt>
                <c:pt idx="31">
                  <c:v>2710.258649634195</c:v>
                </c:pt>
                <c:pt idx="32">
                  <c:v>2709.41370305717</c:v>
                </c:pt>
                <c:pt idx="33">
                  <c:v>2708.671137173026</c:v>
                </c:pt>
                <c:pt idx="34">
                  <c:v>2707.936574125597</c:v>
                </c:pt>
                <c:pt idx="35">
                  <c:v>2707.119762460756</c:v>
                </c:pt>
                <c:pt idx="36">
                  <c:v>2706.402221049479</c:v>
                </c:pt>
                <c:pt idx="37">
                  <c:v>2705.692697065748</c:v>
                </c:pt>
                <c:pt idx="38">
                  <c:v>2704.904071608128</c:v>
                </c:pt>
                <c:pt idx="39">
                  <c:v>2704.211599785267</c:v>
                </c:pt>
                <c:pt idx="40">
                  <c:v>2703.527159526966</c:v>
                </c:pt>
                <c:pt idx="41">
                  <c:v>2702.766769976195</c:v>
                </c:pt>
                <c:pt idx="42">
                  <c:v>2702.099411432802</c:v>
                </c:pt>
                <c:pt idx="43">
                  <c:v>2701.440098131209</c:v>
                </c:pt>
                <c:pt idx="44">
                  <c:v>2700.70799257062</c:v>
                </c:pt>
                <c:pt idx="45">
                  <c:v>2700.065789554835</c:v>
                </c:pt>
                <c:pt idx="46">
                  <c:v>2699.43164499259</c:v>
                </c:pt>
                <c:pt idx="47">
                  <c:v>2698.727869868911</c:v>
                </c:pt>
                <c:pt idx="48">
                  <c:v>2698.110863168117</c:v>
                </c:pt>
                <c:pt idx="49">
                  <c:v>2697.50192766146</c:v>
                </c:pt>
                <c:pt idx="50">
                  <c:v>2696.826527765174</c:v>
                </c:pt>
                <c:pt idx="51">
                  <c:v>2696.234756688648</c:v>
                </c:pt>
                <c:pt idx="52">
                  <c:v>2695.651069070311</c:v>
                </c:pt>
                <c:pt idx="53">
                  <c:v>2695.00408751646</c:v>
                </c:pt>
                <c:pt idx="54">
                  <c:v>2694.437589878637</c:v>
                </c:pt>
                <c:pt idx="55">
                  <c:v>2693.879187481265</c:v>
                </c:pt>
                <c:pt idx="56">
                  <c:v>2693.260665691084</c:v>
                </c:pt>
                <c:pt idx="57">
                  <c:v>2692.719477795312</c:v>
                </c:pt>
                <c:pt idx="58">
                  <c:v>2692.186396435358</c:v>
                </c:pt>
                <c:pt idx="59">
                  <c:v>2691.596374118459</c:v>
                </c:pt>
                <c:pt idx="60">
                  <c:v>2691.0805307414</c:v>
                </c:pt>
                <c:pt idx="61">
                  <c:v>2690.572804703775</c:v>
                </c:pt>
                <c:pt idx="62">
                  <c:v>2690.011319841004</c:v>
                </c:pt>
                <c:pt idx="63">
                  <c:v>2689.520854217586</c:v>
                </c:pt>
                <c:pt idx="64">
                  <c:v>2689.038516240782</c:v>
                </c:pt>
                <c:pt idx="65">
                  <c:v>2688.505605067754</c:v>
                </c:pt>
                <c:pt idx="66">
                  <c:v>2688.040548876753</c:v>
                </c:pt>
                <c:pt idx="67">
                  <c:v>2687.583630138646</c:v>
                </c:pt>
                <c:pt idx="68">
                  <c:v>2687.079327130005</c:v>
                </c:pt>
                <c:pt idx="69">
                  <c:v>2686.639710480296</c:v>
                </c:pt>
                <c:pt idx="70">
                  <c:v>2686.208240584577</c:v>
                </c:pt>
                <c:pt idx="71">
                  <c:v>2685.732578438956</c:v>
                </c:pt>
                <c:pt idx="72">
                  <c:v>2685.318429856306</c:v>
                </c:pt>
                <c:pt idx="73">
                  <c:v>2684.9124368195</c:v>
                </c:pt>
                <c:pt idx="74">
                  <c:v>2684.465446445234</c:v>
                </c:pt>
                <c:pt idx="75">
                  <c:v>2684.076792859858</c:v>
                </c:pt>
                <c:pt idx="76">
                  <c:v>2683.69630309907</c:v>
                </c:pt>
                <c:pt idx="77">
                  <c:v>2683.278013600534</c:v>
                </c:pt>
                <c:pt idx="78">
                  <c:v>2682.914880335254</c:v>
                </c:pt>
                <c:pt idx="79">
                  <c:v>2682.559918656496</c:v>
                </c:pt>
                <c:pt idx="80">
                  <c:v>2682.170357321432</c:v>
                </c:pt>
                <c:pt idx="81">
                  <c:v>2681.832768080465</c:v>
                </c:pt>
                <c:pt idx="82">
                  <c:v>2681.503357667814</c:v>
                </c:pt>
                <c:pt idx="83">
                  <c:v>2681.142549955176</c:v>
                </c:pt>
                <c:pt idx="84">
                  <c:v>2680.830526813719</c:v>
                </c:pt>
                <c:pt idx="85">
                  <c:v>2680.526689218967</c:v>
                </c:pt>
                <c:pt idx="86">
                  <c:v>2680.194658747681</c:v>
                </c:pt>
                <c:pt idx="87">
                  <c:v>2679.908222142091</c:v>
                </c:pt>
                <c:pt idx="88">
                  <c:v>2679.629977275232</c:v>
                </c:pt>
                <c:pt idx="89">
                  <c:v>2679.326745813747</c:v>
                </c:pt>
                <c:pt idx="90">
                  <c:v>2679.065914532494</c:v>
                </c:pt>
                <c:pt idx="91">
                  <c:v>2678.813280652873</c:v>
                </c:pt>
                <c:pt idx="92">
                  <c:v>2678.53886810944</c:v>
                </c:pt>
                <c:pt idx="93">
                  <c:v>2678.303659284751</c:v>
                </c:pt>
                <c:pt idx="94">
                  <c:v>2678.076652992931</c:v>
                </c:pt>
                <c:pt idx="95">
                  <c:v>2677.83107740676</c:v>
                </c:pt>
                <c:pt idx="96">
                  <c:v>2677.621506506962</c:v>
                </c:pt>
                <c:pt idx="97">
                  <c:v>2677.420142737324</c:v>
                </c:pt>
                <c:pt idx="98">
                  <c:v>2677.203420270515</c:v>
                </c:pt>
                <c:pt idx="99">
                  <c:v>2677.019501093122</c:v>
                </c:pt>
                <c:pt idx="100">
                  <c:v>2676.843793107199</c:v>
                </c:pt>
                <c:pt idx="101">
                  <c:v>2676.655938037531</c:v>
                </c:pt>
                <c:pt idx="102">
                  <c:v>2676.497682703093</c:v>
                </c:pt>
                <c:pt idx="103">
                  <c:v>2676.347642083617</c:v>
                </c:pt>
                <c:pt idx="104">
                  <c:v>2676.188666798151</c:v>
                </c:pt>
                <c:pt idx="105">
                  <c:v>2676.05608574481</c:v>
                </c:pt>
                <c:pt idx="106">
                  <c:v>2675.93172239053</c:v>
                </c:pt>
                <c:pt idx="107">
                  <c:v>2675.801637380072</c:v>
                </c:pt>
                <c:pt idx="108">
                  <c:v>2675.694739358907</c:v>
                </c:pt>
                <c:pt idx="109">
                  <c:v>2675.596061480153</c:v>
                </c:pt>
                <c:pt idx="110">
                  <c:v>2675.494875334485</c:v>
                </c:pt>
                <c:pt idx="111">
                  <c:v>2675.413667405526</c:v>
                </c:pt>
                <c:pt idx="112">
                  <c:v>2675.340681520537</c:v>
                </c:pt>
                <c:pt idx="113">
                  <c:v>2675.268400924645</c:v>
                </c:pt>
                <c:pt idx="114">
                  <c:v>2675.212888453779</c:v>
                </c:pt>
                <c:pt idx="115">
                  <c:v>2675.165599385722</c:v>
                </c:pt>
                <c:pt idx="116">
                  <c:v>2675.122229116734</c:v>
                </c:pt>
                <c:pt idx="117">
                  <c:v>2675.092415773223</c:v>
                </c:pt>
                <c:pt idx="118">
                  <c:v>2675.070826648058</c:v>
                </c:pt>
                <c:pt idx="119">
                  <c:v>2675.056369573115</c:v>
                </c:pt>
                <c:pt idx="120">
                  <c:v>2675.052257327991</c:v>
                </c:pt>
                <c:pt idx="121">
                  <c:v>2675.056369573115</c:v>
                </c:pt>
                <c:pt idx="122">
                  <c:v>2675.070826648058</c:v>
                </c:pt>
                <c:pt idx="123">
                  <c:v>2675.092415773223</c:v>
                </c:pt>
                <c:pt idx="124">
                  <c:v>2675.122229116734</c:v>
                </c:pt>
                <c:pt idx="125">
                  <c:v>2675.165599385722</c:v>
                </c:pt>
                <c:pt idx="126">
                  <c:v>2675.212888453779</c:v>
                </c:pt>
                <c:pt idx="127">
                  <c:v>2675.268400924645</c:v>
                </c:pt>
                <c:pt idx="128">
                  <c:v>2675.340681520537</c:v>
                </c:pt>
                <c:pt idx="129">
                  <c:v>2675.413667405526</c:v>
                </c:pt>
                <c:pt idx="130">
                  <c:v>2675.494875334485</c:v>
                </c:pt>
                <c:pt idx="131">
                  <c:v>2675.596061480153</c:v>
                </c:pt>
                <c:pt idx="132">
                  <c:v>2675.694739358907</c:v>
                </c:pt>
                <c:pt idx="133">
                  <c:v>2675.801637380072</c:v>
                </c:pt>
                <c:pt idx="134">
                  <c:v>2675.93172239053</c:v>
                </c:pt>
                <c:pt idx="135">
                  <c:v>2676.05608574481</c:v>
                </c:pt>
                <c:pt idx="136">
                  <c:v>2676.188666798151</c:v>
                </c:pt>
                <c:pt idx="137">
                  <c:v>2676.347642083617</c:v>
                </c:pt>
                <c:pt idx="138">
                  <c:v>2676.497682703093</c:v>
                </c:pt>
                <c:pt idx="139">
                  <c:v>2676.655938037531</c:v>
                </c:pt>
                <c:pt idx="140">
                  <c:v>2676.843793107199</c:v>
                </c:pt>
                <c:pt idx="141">
                  <c:v>2677.019501093122</c:v>
                </c:pt>
                <c:pt idx="142">
                  <c:v>2677.203420270515</c:v>
                </c:pt>
                <c:pt idx="143">
                  <c:v>2677.420142737324</c:v>
                </c:pt>
                <c:pt idx="144">
                  <c:v>2677.621506506962</c:v>
                </c:pt>
                <c:pt idx="145">
                  <c:v>2677.83107740676</c:v>
                </c:pt>
                <c:pt idx="146">
                  <c:v>2678.076652992931</c:v>
                </c:pt>
                <c:pt idx="147">
                  <c:v>2678.303659284751</c:v>
                </c:pt>
                <c:pt idx="148">
                  <c:v>2678.53886810944</c:v>
                </c:pt>
                <c:pt idx="149">
                  <c:v>2678.813280652873</c:v>
                </c:pt>
                <c:pt idx="150">
                  <c:v>2679.065914532494</c:v>
                </c:pt>
                <c:pt idx="151">
                  <c:v>2679.326745813747</c:v>
                </c:pt>
                <c:pt idx="152">
                  <c:v>2679.629977275232</c:v>
                </c:pt>
                <c:pt idx="153">
                  <c:v>2679.908222142091</c:v>
                </c:pt>
                <c:pt idx="154">
                  <c:v>2680.194658747681</c:v>
                </c:pt>
                <c:pt idx="155">
                  <c:v>2680.526689218967</c:v>
                </c:pt>
                <c:pt idx="156">
                  <c:v>2680.830526813719</c:v>
                </c:pt>
                <c:pt idx="157">
                  <c:v>2681.142549955176</c:v>
                </c:pt>
                <c:pt idx="158">
                  <c:v>2681.503357667814</c:v>
                </c:pt>
                <c:pt idx="159">
                  <c:v>2681.832768080465</c:v>
                </c:pt>
                <c:pt idx="160">
                  <c:v>2682.170357321432</c:v>
                </c:pt>
                <c:pt idx="161">
                  <c:v>2682.559918656496</c:v>
                </c:pt>
                <c:pt idx="162">
                  <c:v>2682.914880335254</c:v>
                </c:pt>
                <c:pt idx="163">
                  <c:v>2683.278013600534</c:v>
                </c:pt>
                <c:pt idx="164">
                  <c:v>2683.69630309907</c:v>
                </c:pt>
                <c:pt idx="165">
                  <c:v>2684.076792859858</c:v>
                </c:pt>
                <c:pt idx="166">
                  <c:v>2684.465446445234</c:v>
                </c:pt>
                <c:pt idx="167">
                  <c:v>2684.9124368195</c:v>
                </c:pt>
                <c:pt idx="168">
                  <c:v>2685.318429856306</c:v>
                </c:pt>
                <c:pt idx="169">
                  <c:v>2685.732578438956</c:v>
                </c:pt>
                <c:pt idx="170">
                  <c:v>2686.208240584577</c:v>
                </c:pt>
                <c:pt idx="171">
                  <c:v>2686.639710480296</c:v>
                </c:pt>
                <c:pt idx="172">
                  <c:v>2687.079327130005</c:v>
                </c:pt>
                <c:pt idx="173">
                  <c:v>2687.583630138646</c:v>
                </c:pt>
                <c:pt idx="174">
                  <c:v>2688.040548876753</c:v>
                </c:pt>
                <c:pt idx="175">
                  <c:v>2688.505605067754</c:v>
                </c:pt>
                <c:pt idx="176">
                  <c:v>2689.038516240782</c:v>
                </c:pt>
                <c:pt idx="177">
                  <c:v>2689.520854217586</c:v>
                </c:pt>
                <c:pt idx="178">
                  <c:v>2690.011319841004</c:v>
                </c:pt>
                <c:pt idx="179">
                  <c:v>2690.572804703775</c:v>
                </c:pt>
                <c:pt idx="180">
                  <c:v>2691.0805307414</c:v>
                </c:pt>
                <c:pt idx="181">
                  <c:v>2691.596374118459</c:v>
                </c:pt>
                <c:pt idx="182">
                  <c:v>2692.186396435358</c:v>
                </c:pt>
                <c:pt idx="183">
                  <c:v>2692.719477795312</c:v>
                </c:pt>
                <c:pt idx="184">
                  <c:v>2693.260665691084</c:v>
                </c:pt>
                <c:pt idx="185">
                  <c:v>2693.879187481265</c:v>
                </c:pt>
                <c:pt idx="186">
                  <c:v>2694.437589878637</c:v>
                </c:pt>
                <c:pt idx="187">
                  <c:v>2695.00408751646</c:v>
                </c:pt>
                <c:pt idx="188">
                  <c:v>2695.651069070311</c:v>
                </c:pt>
                <c:pt idx="189">
                  <c:v>2696.234756688648</c:v>
                </c:pt>
                <c:pt idx="190">
                  <c:v>2696.826527765174</c:v>
                </c:pt>
                <c:pt idx="191">
                  <c:v>2697.50192766146</c:v>
                </c:pt>
                <c:pt idx="192">
                  <c:v>2698.110863168117</c:v>
                </c:pt>
                <c:pt idx="193">
                  <c:v>2698.727869868911</c:v>
                </c:pt>
                <c:pt idx="194">
                  <c:v>2699.43164499259</c:v>
                </c:pt>
                <c:pt idx="195">
                  <c:v>2700.065789554835</c:v>
                </c:pt>
                <c:pt idx="196">
                  <c:v>2700.70799257062</c:v>
                </c:pt>
                <c:pt idx="197">
                  <c:v>2701.440098131209</c:v>
                </c:pt>
                <c:pt idx="198">
                  <c:v>2702.099411432802</c:v>
                </c:pt>
                <c:pt idx="199">
                  <c:v>2702.766769976195</c:v>
                </c:pt>
                <c:pt idx="200">
                  <c:v>2703.527159526966</c:v>
                </c:pt>
                <c:pt idx="201">
                  <c:v>2704.211599785267</c:v>
                </c:pt>
                <c:pt idx="202">
                  <c:v>2704.904071608128</c:v>
                </c:pt>
                <c:pt idx="203">
                  <c:v>2705.692697065748</c:v>
                </c:pt>
                <c:pt idx="204">
                  <c:v>2706.402221049479</c:v>
                </c:pt>
                <c:pt idx="205">
                  <c:v>2707.119762460756</c:v>
                </c:pt>
                <c:pt idx="206">
                  <c:v>2707.936574125597</c:v>
                </c:pt>
                <c:pt idx="207">
                  <c:v>2708.671137173026</c:v>
                </c:pt>
                <c:pt idx="208">
                  <c:v>2709.41370305717</c:v>
                </c:pt>
                <c:pt idx="209">
                  <c:v>2710.258649634195</c:v>
                </c:pt>
                <c:pt idx="210">
                  <c:v>2711.018205671868</c:v>
                </c:pt>
                <c:pt idx="211">
                  <c:v>2711.785749507719</c:v>
                </c:pt>
                <c:pt idx="212">
                  <c:v>2712.658778127942</c:v>
                </c:pt>
                <c:pt idx="213">
                  <c:v>2713.4432796899</c:v>
                </c:pt>
                <c:pt idx="214">
                  <c:v>2714.235753570058</c:v>
                </c:pt>
                <c:pt idx="215">
                  <c:v>2715.136809812473</c:v>
                </c:pt>
                <c:pt idx="216">
                  <c:v>2715.946208059994</c:v>
                </c:pt>
                <c:pt idx="217">
                  <c:v>2716.763562710639</c:v>
                </c:pt>
                <c:pt idx="218">
                  <c:v>2717.692590624826</c:v>
                </c:pt>
                <c:pt idx="219">
                  <c:v>2718.5268353665</c:v>
                </c:pt>
                <c:pt idx="220">
                  <c:v>2719.36902016777</c:v>
                </c:pt>
                <c:pt idx="221">
                  <c:v>2720.325962296758</c:v>
                </c:pt>
                <c:pt idx="222">
                  <c:v>2721.185002009214</c:v>
                </c:pt>
                <c:pt idx="223">
                  <c:v>2722.051965015849</c:v>
                </c:pt>
                <c:pt idx="224">
                  <c:v>2723.036762419741</c:v>
                </c:pt>
                <c:pt idx="225">
                  <c:v>2723.920544268542</c:v>
                </c:pt>
                <c:pt idx="226">
                  <c:v>2724.812232231116</c:v>
                </c:pt>
                <c:pt idx="227">
                  <c:v>2725.824824510964</c:v>
                </c:pt>
                <c:pt idx="228">
                  <c:v>2726.733294372101</c:v>
                </c:pt>
                <c:pt idx="229">
                  <c:v>2727.649652758524</c:v>
                </c:pt>
                <c:pt idx="230">
                  <c:v>2728.689978080741</c:v>
                </c:pt>
                <c:pt idx="231">
                  <c:v>2729.62308056244</c:v>
                </c:pt>
                <c:pt idx="232">
                  <c:v>2730.564053579902</c:v>
                </c:pt>
                <c:pt idx="233">
                  <c:v>2731.632048701091</c:v>
                </c:pt>
                <c:pt idx="234">
                  <c:v>2732.589727165975</c:v>
                </c:pt>
                <c:pt idx="235">
                  <c:v>2733.555257783269</c:v>
                </c:pt>
                <c:pt idx="236">
                  <c:v>2734.650858075406</c:v>
                </c:pt>
                <c:pt idx="237">
                  <c:v>2735.633054663029</c:v>
                </c:pt>
                <c:pt idx="238">
                  <c:v>2736.623084633149</c:v>
                </c:pt>
                <c:pt idx="239">
                  <c:v>2737.746224109234</c:v>
                </c:pt>
                <c:pt idx="240">
                  <c:v>2738.75287975896</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Native_Chart_Data!$D$1473:$D$1713</c:f>
              <c:numCache>
                <c:formatCode>General</c:formatCode>
                <c:ptCount val="241"/>
                <c:pt idx="0">
                  <c:v>4006.566990492183</c:v>
                </c:pt>
                <c:pt idx="1">
                  <c:v>3959.784666367032</c:v>
                </c:pt>
                <c:pt idx="2">
                  <c:v>3907.520143552331</c:v>
                </c:pt>
                <c:pt idx="3">
                  <c:v>3861.386917027115</c:v>
                </c:pt>
                <c:pt idx="4">
                  <c:v>3815.557941887678</c:v>
                </c:pt>
                <c:pt idx="5">
                  <c:v>3764.363033325195</c:v>
                </c:pt>
                <c:pt idx="6">
                  <c:v>3719.177943213066</c:v>
                </c:pt>
                <c:pt idx="7">
                  <c:v>3674.294578654452</c:v>
                </c:pt>
                <c:pt idx="8">
                  <c:v>3624.160403492118</c:v>
                </c:pt>
                <c:pt idx="9">
                  <c:v>3579.915397473851</c:v>
                </c:pt>
                <c:pt idx="10">
                  <c:v>3535.969439856116</c:v>
                </c:pt>
                <c:pt idx="11">
                  <c:v>3486.886585250284</c:v>
                </c:pt>
                <c:pt idx="12">
                  <c:v>3443.57313046639</c:v>
                </c:pt>
                <c:pt idx="13">
                  <c:v>3400.555888397898</c:v>
                </c:pt>
                <c:pt idx="14">
                  <c:v>3352.514384171816</c:v>
                </c:pt>
                <c:pt idx="15">
                  <c:v>3310.123444717516</c:v>
                </c:pt>
                <c:pt idx="16">
                  <c:v>3268.025716599763</c:v>
                </c:pt>
                <c:pt idx="17">
                  <c:v>3221.015010080671</c:v>
                </c:pt>
                <c:pt idx="18">
                  <c:v>3179.537024764877</c:v>
                </c:pt>
                <c:pt idx="19">
                  <c:v>3138.34907670858</c:v>
                </c:pt>
                <c:pt idx="20">
                  <c:v>3092.358008120929</c:v>
                </c:pt>
                <c:pt idx="21">
                  <c:v>3051.78286885258</c:v>
                </c:pt>
                <c:pt idx="22">
                  <c:v>3011.494413356425</c:v>
                </c:pt>
                <c:pt idx="23">
                  <c:v>2966.511192247643</c:v>
                </c:pt>
                <c:pt idx="24">
                  <c:v>2926.828223507374</c:v>
                </c:pt>
                <c:pt idx="25">
                  <c:v>2887.428399392069</c:v>
                </c:pt>
                <c:pt idx="26">
                  <c:v>2843.440582690011</c:v>
                </c:pt>
                <c:pt idx="27">
                  <c:v>2804.638522662561</c:v>
                </c:pt>
                <c:pt idx="28">
                  <c:v>2766.115876879308</c:v>
                </c:pt>
                <c:pt idx="29">
                  <c:v>2723.110349333624</c:v>
                </c:pt>
                <c:pt idx="30">
                  <c:v>2685.177333423242</c:v>
                </c:pt>
                <c:pt idx="31">
                  <c:v>2647.519805513155</c:v>
                </c:pt>
                <c:pt idx="32">
                  <c:v>2605.482763464865</c:v>
                </c:pt>
                <c:pt idx="33">
                  <c:v>2568.406311100909</c:v>
                </c:pt>
                <c:pt idx="34">
                  <c:v>2531.601221281773</c:v>
                </c:pt>
                <c:pt idx="35">
                  <c:v>2490.518160948682</c:v>
                </c:pt>
                <c:pt idx="36">
                  <c:v>2454.285166823356</c:v>
                </c:pt>
                <c:pt idx="37">
                  <c:v>2418.319208933751</c:v>
                </c:pt>
                <c:pt idx="38">
                  <c:v>2378.174920710504</c:v>
                </c:pt>
                <c:pt idx="39">
                  <c:v>2342.771651891851</c:v>
                </c:pt>
                <c:pt idx="40">
                  <c:v>2307.630892749952</c:v>
                </c:pt>
                <c:pt idx="41">
                  <c:v>2268.409463423141</c:v>
                </c:pt>
                <c:pt idx="42">
                  <c:v>2233.821564177517</c:v>
                </c:pt>
                <c:pt idx="43">
                  <c:v>2199.491451337277</c:v>
                </c:pt>
                <c:pt idx="44">
                  <c:v>2161.17627664148</c:v>
                </c:pt>
                <c:pt idx="45">
                  <c:v>2127.388783311716</c:v>
                </c:pt>
                <c:pt idx="46">
                  <c:v>2093.854163760301</c:v>
                </c:pt>
                <c:pt idx="47">
                  <c:v>2056.427974395935</c:v>
                </c:pt>
                <c:pt idx="48">
                  <c:v>2023.425343363857</c:v>
                </c:pt>
                <c:pt idx="49">
                  <c:v>1990.670496452215</c:v>
                </c:pt>
                <c:pt idx="50">
                  <c:v>1954.115401618126</c:v>
                </c:pt>
                <c:pt idx="51">
                  <c:v>1921.881554297467</c:v>
                </c:pt>
                <c:pt idx="52">
                  <c:v>1889.890243209676</c:v>
                </c:pt>
                <c:pt idx="53">
                  <c:v>1854.187796970422</c:v>
                </c:pt>
                <c:pt idx="54">
                  <c:v>1822.706187030728</c:v>
                </c:pt>
                <c:pt idx="55">
                  <c:v>1791.461734486977</c:v>
                </c:pt>
                <c:pt idx="56">
                  <c:v>1756.593032042325</c:v>
                </c:pt>
                <c:pt idx="57">
                  <c:v>1725.846741802487</c:v>
                </c:pt>
                <c:pt idx="58">
                  <c:v>1695.332137626384</c:v>
                </c:pt>
                <c:pt idx="59">
                  <c:v>1661.27795099574</c:v>
                </c:pt>
                <c:pt idx="60">
                  <c:v>1631.249826370389</c:v>
                </c:pt>
                <c:pt idx="61">
                  <c:v>1601.447877286926</c:v>
                </c:pt>
                <c:pt idx="62">
                  <c:v>1568.18884339574</c:v>
                </c:pt>
                <c:pt idx="63">
                  <c:v>1538.861680269373</c:v>
                </c:pt>
                <c:pt idx="64">
                  <c:v>1509.755216225473</c:v>
                </c:pt>
                <c:pt idx="65">
                  <c:v>1477.272095393459</c:v>
                </c:pt>
                <c:pt idx="66">
                  <c:v>1448.628895361848</c:v>
                </c:pt>
                <c:pt idx="67">
                  <c:v>1420.201052385685</c:v>
                </c:pt>
                <c:pt idx="68">
                  <c:v>1388.475082565346</c:v>
                </c:pt>
                <c:pt idx="69">
                  <c:v>1360.499403449093</c:v>
                </c:pt>
                <c:pt idx="70">
                  <c:v>1332.734011546237</c:v>
                </c:pt>
                <c:pt idx="71">
                  <c:v>1301.747394610388</c:v>
                </c:pt>
                <c:pt idx="72">
                  <c:v>1274.423832332692</c:v>
                </c:pt>
                <c:pt idx="73">
                  <c:v>1247.305949695761</c:v>
                </c:pt>
                <c:pt idx="74">
                  <c:v>1217.04252266658</c:v>
                </c:pt>
                <c:pt idx="75">
                  <c:v>1190.357378140051</c:v>
                </c:pt>
                <c:pt idx="76">
                  <c:v>1163.874032534778</c:v>
                </c:pt>
                <c:pt idx="77">
                  <c:v>1134.320202233334</c:v>
                </c:pt>
                <c:pt idx="78">
                  <c:v>1108.262413350178</c:v>
                </c:pt>
                <c:pt idx="79">
                  <c:v>1082.403642095064</c:v>
                </c:pt>
                <c:pt idx="80">
                  <c:v>1053.549701847037</c:v>
                </c:pt>
                <c:pt idx="81">
                  <c:v>1028.112162433956</c:v>
                </c:pt>
                <c:pt idx="82">
                  <c:v>1002.872490914418</c:v>
                </c:pt>
                <c:pt idx="83">
                  <c:v>974.7145021127182</c:v>
                </c:pt>
                <c:pt idx="84">
                  <c:v>949.8959568514337</c:v>
                </c:pt>
                <c:pt idx="85">
                  <c:v>925.2765339546444</c:v>
                </c:pt>
                <c:pt idx="86">
                  <c:v>897.8190596262613</c:v>
                </c:pt>
                <c:pt idx="87">
                  <c:v>873.6268737519111</c:v>
                </c:pt>
                <c:pt idx="88">
                  <c:v>849.6386115770032</c:v>
                </c:pt>
                <c:pt idx="89">
                  <c:v>822.8987615597109</c:v>
                </c:pt>
                <c:pt idx="90">
                  <c:v>799.3530465257882</c:v>
                </c:pt>
                <c:pt idx="91">
                  <c:v>776.021326811133</c:v>
                </c:pt>
                <c:pt idx="92">
                  <c:v>750.0348628533561</c:v>
                </c:pt>
                <c:pt idx="93">
                  <c:v>727.1747453672517</c:v>
                </c:pt>
                <c:pt idx="94">
                  <c:v>704.5466168692386</c:v>
                </c:pt>
                <c:pt idx="95">
                  <c:v>679.3773518856626</c:v>
                </c:pt>
                <c:pt idx="96">
                  <c:v>657.2706885164247</c:v>
                </c:pt>
                <c:pt idx="97">
                  <c:v>635.426085871894</c:v>
                </c:pt>
                <c:pt idx="98">
                  <c:v>611.1806207136659</c:v>
                </c:pt>
                <c:pt idx="99">
                  <c:v>589.9393087491328</c:v>
                </c:pt>
                <c:pt idx="100">
                  <c:v>569.0088081002975</c:v>
                </c:pt>
                <c:pt idx="101">
                  <c:v>545.8599335087318</c:v>
                </c:pt>
                <c:pt idx="102">
                  <c:v>525.6642714445533</c:v>
                </c:pt>
                <c:pt idx="103">
                  <c:v>505.8573422961608</c:v>
                </c:pt>
                <c:pt idx="104">
                  <c:v>484.0811842450576</c:v>
                </c:pt>
                <c:pt idx="105">
                  <c:v>465.2183191836039</c:v>
                </c:pt>
                <c:pt idx="106">
                  <c:v>446.8674940335862</c:v>
                </c:pt>
                <c:pt idx="107">
                  <c:v>426.900668766874</c:v>
                </c:pt>
                <c:pt idx="108">
                  <c:v>409.8223646341818</c:v>
                </c:pt>
                <c:pt idx="109">
                  <c:v>393.4474649021365</c:v>
                </c:pt>
                <c:pt idx="110">
                  <c:v>375.9660695790947</c:v>
                </c:pt>
                <c:pt idx="111">
                  <c:v>361.3628330842782</c:v>
                </c:pt>
                <c:pt idx="112">
                  <c:v>347.7451277079186</c:v>
                </c:pt>
                <c:pt idx="113">
                  <c:v>333.7408733876195</c:v>
                </c:pt>
                <c:pt idx="114">
                  <c:v>322.5932252064959</c:v>
                </c:pt>
                <c:pt idx="115">
                  <c:v>312.798084448728</c:v>
                </c:pt>
                <c:pt idx="116">
                  <c:v>303.54886988122</c:v>
                </c:pt>
                <c:pt idx="117">
                  <c:v>297.0306183683265</c:v>
                </c:pt>
                <c:pt idx="118">
                  <c:v>292.2232293769202</c:v>
                </c:pt>
                <c:pt idx="119">
                  <c:v>288.9609377222083</c:v>
                </c:pt>
                <c:pt idx="120">
                  <c:v>288.0264897465142</c:v>
                </c:pt>
                <c:pt idx="121">
                  <c:v>288.9609377222083</c:v>
                </c:pt>
                <c:pt idx="122">
                  <c:v>292.2232293769202</c:v>
                </c:pt>
                <c:pt idx="123">
                  <c:v>297.0306183683265</c:v>
                </c:pt>
                <c:pt idx="124">
                  <c:v>303.54886988122</c:v>
                </c:pt>
                <c:pt idx="125">
                  <c:v>312.798084448728</c:v>
                </c:pt>
                <c:pt idx="126">
                  <c:v>322.5932252064959</c:v>
                </c:pt>
                <c:pt idx="127">
                  <c:v>333.7408733876195</c:v>
                </c:pt>
                <c:pt idx="128">
                  <c:v>347.7451277079186</c:v>
                </c:pt>
                <c:pt idx="129">
                  <c:v>361.3628330842782</c:v>
                </c:pt>
                <c:pt idx="130">
                  <c:v>375.9660695790947</c:v>
                </c:pt>
                <c:pt idx="131">
                  <c:v>393.4474649021365</c:v>
                </c:pt>
                <c:pt idx="132">
                  <c:v>409.8223646341818</c:v>
                </c:pt>
                <c:pt idx="133">
                  <c:v>426.900668766874</c:v>
                </c:pt>
                <c:pt idx="134">
                  <c:v>446.8674940335862</c:v>
                </c:pt>
                <c:pt idx="135">
                  <c:v>465.2183191836039</c:v>
                </c:pt>
                <c:pt idx="136">
                  <c:v>484.0811842450576</c:v>
                </c:pt>
                <c:pt idx="137">
                  <c:v>505.8573422961608</c:v>
                </c:pt>
                <c:pt idx="138">
                  <c:v>525.6642714445533</c:v>
                </c:pt>
                <c:pt idx="139">
                  <c:v>545.8599335087318</c:v>
                </c:pt>
                <c:pt idx="140">
                  <c:v>569.0088081002975</c:v>
                </c:pt>
                <c:pt idx="141">
                  <c:v>589.9393087491328</c:v>
                </c:pt>
                <c:pt idx="142">
                  <c:v>611.1806207136659</c:v>
                </c:pt>
                <c:pt idx="143">
                  <c:v>635.426085871894</c:v>
                </c:pt>
                <c:pt idx="144">
                  <c:v>657.2706885164247</c:v>
                </c:pt>
                <c:pt idx="145">
                  <c:v>679.3773518856626</c:v>
                </c:pt>
                <c:pt idx="146">
                  <c:v>704.5466168692386</c:v>
                </c:pt>
                <c:pt idx="147">
                  <c:v>727.1747453672517</c:v>
                </c:pt>
                <c:pt idx="148">
                  <c:v>750.0348628533561</c:v>
                </c:pt>
                <c:pt idx="149">
                  <c:v>776.021326811133</c:v>
                </c:pt>
                <c:pt idx="150">
                  <c:v>799.3530465257882</c:v>
                </c:pt>
                <c:pt idx="151">
                  <c:v>822.8987615597109</c:v>
                </c:pt>
                <c:pt idx="152">
                  <c:v>849.6386115770032</c:v>
                </c:pt>
                <c:pt idx="153">
                  <c:v>873.6268737519348</c:v>
                </c:pt>
                <c:pt idx="154">
                  <c:v>897.8190596262613</c:v>
                </c:pt>
                <c:pt idx="155">
                  <c:v>925.2765339546444</c:v>
                </c:pt>
                <c:pt idx="156">
                  <c:v>949.8959568514337</c:v>
                </c:pt>
                <c:pt idx="157">
                  <c:v>974.7145021127182</c:v>
                </c:pt>
                <c:pt idx="158">
                  <c:v>1002.872490914418</c:v>
                </c:pt>
                <c:pt idx="159">
                  <c:v>1028.112162433956</c:v>
                </c:pt>
                <c:pt idx="160">
                  <c:v>1053.549701847037</c:v>
                </c:pt>
                <c:pt idx="161">
                  <c:v>1082.403642095064</c:v>
                </c:pt>
                <c:pt idx="162">
                  <c:v>1108.262413350178</c:v>
                </c:pt>
                <c:pt idx="163">
                  <c:v>1134.320202233334</c:v>
                </c:pt>
                <c:pt idx="164">
                  <c:v>1163.87403253476</c:v>
                </c:pt>
                <c:pt idx="165">
                  <c:v>1190.357378140051</c:v>
                </c:pt>
                <c:pt idx="166">
                  <c:v>1217.04252266658</c:v>
                </c:pt>
                <c:pt idx="167">
                  <c:v>1247.305949695761</c:v>
                </c:pt>
                <c:pt idx="168">
                  <c:v>1274.423832332692</c:v>
                </c:pt>
                <c:pt idx="169">
                  <c:v>1301.747394610388</c:v>
                </c:pt>
                <c:pt idx="170">
                  <c:v>1332.734011546237</c:v>
                </c:pt>
                <c:pt idx="171">
                  <c:v>1360.499403449093</c:v>
                </c:pt>
                <c:pt idx="172">
                  <c:v>1388.475082565346</c:v>
                </c:pt>
                <c:pt idx="173">
                  <c:v>1420.201052385685</c:v>
                </c:pt>
                <c:pt idx="174">
                  <c:v>1448.628895361863</c:v>
                </c:pt>
                <c:pt idx="175">
                  <c:v>1477.272095393459</c:v>
                </c:pt>
                <c:pt idx="176">
                  <c:v>1509.755216225473</c:v>
                </c:pt>
                <c:pt idx="177">
                  <c:v>1538.861680269373</c:v>
                </c:pt>
                <c:pt idx="178">
                  <c:v>1568.188843395766</c:v>
                </c:pt>
                <c:pt idx="179">
                  <c:v>1601.447877286926</c:v>
                </c:pt>
                <c:pt idx="180">
                  <c:v>1631.249826370389</c:v>
                </c:pt>
                <c:pt idx="181">
                  <c:v>1661.27795099574</c:v>
                </c:pt>
                <c:pt idx="182">
                  <c:v>1695.332137626384</c:v>
                </c:pt>
                <c:pt idx="183">
                  <c:v>1725.846741802487</c:v>
                </c:pt>
                <c:pt idx="184">
                  <c:v>1756.593032042314</c:v>
                </c:pt>
                <c:pt idx="185">
                  <c:v>1791.461734486977</c:v>
                </c:pt>
                <c:pt idx="186">
                  <c:v>1822.706187030728</c:v>
                </c:pt>
                <c:pt idx="187">
                  <c:v>1854.187796970422</c:v>
                </c:pt>
                <c:pt idx="188">
                  <c:v>1889.890243209676</c:v>
                </c:pt>
                <c:pt idx="189">
                  <c:v>1921.881554297467</c:v>
                </c:pt>
                <c:pt idx="190">
                  <c:v>1954.115401618126</c:v>
                </c:pt>
                <c:pt idx="191">
                  <c:v>1990.670496452215</c:v>
                </c:pt>
                <c:pt idx="192">
                  <c:v>2023.425343363857</c:v>
                </c:pt>
                <c:pt idx="193">
                  <c:v>2056.427974395925</c:v>
                </c:pt>
                <c:pt idx="194">
                  <c:v>2093.854163760291</c:v>
                </c:pt>
                <c:pt idx="195">
                  <c:v>2127.388783311716</c:v>
                </c:pt>
                <c:pt idx="196">
                  <c:v>2161.17627664148</c:v>
                </c:pt>
                <c:pt idx="197">
                  <c:v>2199.491451337277</c:v>
                </c:pt>
                <c:pt idx="198">
                  <c:v>2233.821564177517</c:v>
                </c:pt>
                <c:pt idx="199">
                  <c:v>2268.409463423132</c:v>
                </c:pt>
                <c:pt idx="200">
                  <c:v>2307.630892749952</c:v>
                </c:pt>
                <c:pt idx="201">
                  <c:v>2342.771651891851</c:v>
                </c:pt>
                <c:pt idx="202">
                  <c:v>2378.174920710504</c:v>
                </c:pt>
                <c:pt idx="203">
                  <c:v>2418.319208933751</c:v>
                </c:pt>
                <c:pt idx="204">
                  <c:v>2454.285166823356</c:v>
                </c:pt>
                <c:pt idx="205">
                  <c:v>2490.518160948682</c:v>
                </c:pt>
                <c:pt idx="206">
                  <c:v>2531.601221281773</c:v>
                </c:pt>
                <c:pt idx="207">
                  <c:v>2568.406311100909</c:v>
                </c:pt>
                <c:pt idx="208">
                  <c:v>2605.482763464865</c:v>
                </c:pt>
                <c:pt idx="209">
                  <c:v>2647.519805513155</c:v>
                </c:pt>
                <c:pt idx="210">
                  <c:v>2685.177333423242</c:v>
                </c:pt>
                <c:pt idx="211">
                  <c:v>2723.110349333624</c:v>
                </c:pt>
                <c:pt idx="212">
                  <c:v>2766.115876879308</c:v>
                </c:pt>
                <c:pt idx="213">
                  <c:v>2804.638522662561</c:v>
                </c:pt>
                <c:pt idx="214">
                  <c:v>2843.440582690019</c:v>
                </c:pt>
                <c:pt idx="215">
                  <c:v>2887.428399392069</c:v>
                </c:pt>
                <c:pt idx="216">
                  <c:v>2926.828223507374</c:v>
                </c:pt>
                <c:pt idx="217">
                  <c:v>2966.511192247643</c:v>
                </c:pt>
                <c:pt idx="218">
                  <c:v>3011.494413356425</c:v>
                </c:pt>
                <c:pt idx="219">
                  <c:v>3051.78286885258</c:v>
                </c:pt>
                <c:pt idx="220">
                  <c:v>3092.358008120929</c:v>
                </c:pt>
                <c:pt idx="221">
                  <c:v>3138.34907670858</c:v>
                </c:pt>
                <c:pt idx="222">
                  <c:v>3179.537024764877</c:v>
                </c:pt>
                <c:pt idx="223">
                  <c:v>3221.015010080671</c:v>
                </c:pt>
                <c:pt idx="224">
                  <c:v>3268.025716599763</c:v>
                </c:pt>
                <c:pt idx="225">
                  <c:v>3310.123444717516</c:v>
                </c:pt>
                <c:pt idx="226">
                  <c:v>3352.514384171816</c:v>
                </c:pt>
                <c:pt idx="227">
                  <c:v>3400.555888397898</c:v>
                </c:pt>
                <c:pt idx="228">
                  <c:v>3443.57313046639</c:v>
                </c:pt>
                <c:pt idx="229">
                  <c:v>3486.886585250284</c:v>
                </c:pt>
                <c:pt idx="230">
                  <c:v>3535.969439856116</c:v>
                </c:pt>
                <c:pt idx="231">
                  <c:v>3579.915397473851</c:v>
                </c:pt>
                <c:pt idx="232">
                  <c:v>3624.160403492118</c:v>
                </c:pt>
                <c:pt idx="233">
                  <c:v>3674.294578654452</c:v>
                </c:pt>
                <c:pt idx="234">
                  <c:v>3719.177943213066</c:v>
                </c:pt>
                <c:pt idx="235">
                  <c:v>3764.363033325195</c:v>
                </c:pt>
                <c:pt idx="236">
                  <c:v>3815.557941887678</c:v>
                </c:pt>
                <c:pt idx="237">
                  <c:v>3861.386917027115</c:v>
                </c:pt>
                <c:pt idx="238">
                  <c:v>3907.520143552331</c:v>
                </c:pt>
                <c:pt idx="239">
                  <c:v>3959.784666367032</c:v>
                </c:pt>
                <c:pt idx="240">
                  <c:v>4006.566990492183</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Native_Chart_Data!$F$1473:$F$1713</c:f>
              <c:numCache>
                <c:formatCode>General</c:formatCode>
                <c:ptCount val="241"/>
                <c:pt idx="0">
                  <c:v>9500.98992327336</c:v>
                </c:pt>
                <c:pt idx="1">
                  <c:v>9376.948806056143</c:v>
                </c:pt>
                <c:pt idx="2">
                  <c:v>9238.487402839646</c:v>
                </c:pt>
                <c:pt idx="3">
                  <c:v>9116.373900783714</c:v>
                </c:pt>
                <c:pt idx="4">
                  <c:v>8995.166044528318</c:v>
                </c:pt>
                <c:pt idx="5">
                  <c:v>8859.888506354831</c:v>
                </c:pt>
                <c:pt idx="6">
                  <c:v>8740.601827631473</c:v>
                </c:pt>
                <c:pt idx="7">
                  <c:v>8622.217592392886</c:v>
                </c:pt>
                <c:pt idx="8">
                  <c:v>8490.112657175801</c:v>
                </c:pt>
                <c:pt idx="9">
                  <c:v>8373.64240992586</c:v>
                </c:pt>
                <c:pt idx="10">
                  <c:v>8258.071035157735</c:v>
                </c:pt>
                <c:pt idx="11">
                  <c:v>8129.126144290872</c:v>
                </c:pt>
                <c:pt idx="12">
                  <c:v>8015.460751408424</c:v>
                </c:pt>
                <c:pt idx="13">
                  <c:v>7902.69025957073</c:v>
                </c:pt>
                <c:pt idx="14">
                  <c:v>7776.891446293153</c:v>
                </c:pt>
                <c:pt idx="15">
                  <c:v>7666.018043289701</c:v>
                </c:pt>
                <c:pt idx="16">
                  <c:v>7556.035134917943</c:v>
                </c:pt>
                <c:pt idx="17">
                  <c:v>7433.366902852947</c:v>
                </c:pt>
                <c:pt idx="18">
                  <c:v>7325.2712267935</c:v>
                </c:pt>
                <c:pt idx="19">
                  <c:v>7218.061166458944</c:v>
                </c:pt>
                <c:pt idx="20">
                  <c:v>7098.506357692575</c:v>
                </c:pt>
                <c:pt idx="21">
                  <c:v>6993.172626647848</c:v>
                </c:pt>
                <c:pt idx="22">
                  <c:v>6888.719119263425</c:v>
                </c:pt>
                <c:pt idx="23">
                  <c:v>6772.258771364358</c:v>
                </c:pt>
                <c:pt idx="24">
                  <c:v>6669.669553864102</c:v>
                </c:pt>
                <c:pt idx="25">
                  <c:v>6567.954610839783</c:v>
                </c:pt>
                <c:pt idx="26">
                  <c:v>6454.567802288767</c:v>
                </c:pt>
                <c:pt idx="27">
                  <c:v>6354.703876330992</c:v>
                </c:pt>
                <c:pt idx="28">
                  <c:v>6255.707671163264</c:v>
                </c:pt>
                <c:pt idx="29">
                  <c:v>6145.371354766009</c:v>
                </c:pt>
                <c:pt idx="30">
                  <c:v>6048.211556044975</c:v>
                </c:pt>
                <c:pt idx="31">
                  <c:v>5951.912269047644</c:v>
                </c:pt>
                <c:pt idx="32">
                  <c:v>5844.601093061466</c:v>
                </c:pt>
                <c:pt idx="33">
                  <c:v>5750.122152234429</c:v>
                </c:pt>
                <c:pt idx="34">
                  <c:v>5656.495804293952</c:v>
                </c:pt>
                <c:pt idx="35">
                  <c:v>5552.181921221136</c:v>
                </c:pt>
                <c:pt idx="36">
                  <c:v>5460.358290255554</c:v>
                </c:pt>
                <c:pt idx="37">
                  <c:v>5369.378565739557</c:v>
                </c:pt>
                <c:pt idx="38">
                  <c:v>5268.031429047745</c:v>
                </c:pt>
                <c:pt idx="39">
                  <c:v>5178.835096993912</c:v>
                </c:pt>
                <c:pt idx="40">
                  <c:v>5090.473156276304</c:v>
                </c:pt>
                <c:pt idx="41">
                  <c:v>4992.059305723048</c:v>
                </c:pt>
                <c:pt idx="42">
                  <c:v>4905.459604666784</c:v>
                </c:pt>
                <c:pt idx="43">
                  <c:v>4819.683887182145</c:v>
                </c:pt>
                <c:pt idx="44">
                  <c:v>4724.166723978402</c:v>
                </c:pt>
                <c:pt idx="45">
                  <c:v>4640.130126474501</c:v>
                </c:pt>
                <c:pt idx="46">
                  <c:v>4556.906145812412</c:v>
                </c:pt>
                <c:pt idx="47">
                  <c:v>4464.245699599919</c:v>
                </c:pt>
                <c:pt idx="48">
                  <c:v>4382.735609610576</c:v>
                </c:pt>
                <c:pt idx="49">
                  <c:v>4302.025742951585</c:v>
                </c:pt>
                <c:pt idx="50">
                  <c:v>4212.178433547609</c:v>
                </c:pt>
                <c:pt idx="51">
                  <c:v>4133.154973866361</c:v>
                </c:pt>
                <c:pt idx="52">
                  <c:v>4054.918249107181</c:v>
                </c:pt>
                <c:pt idx="53">
                  <c:v>3967.836647264553</c:v>
                </c:pt>
                <c:pt idx="54">
                  <c:v>3891.256447672386</c:v>
                </c:pt>
                <c:pt idx="55">
                  <c:v>3815.448332974261</c:v>
                </c:pt>
                <c:pt idx="56">
                  <c:v>3731.080926123997</c:v>
                </c:pt>
                <c:pt idx="57">
                  <c:v>3656.896918210815</c:v>
                </c:pt>
                <c:pt idx="58">
                  <c:v>3583.469120557721</c:v>
                </c:pt>
                <c:pt idx="59">
                  <c:v>3501.760091807711</c:v>
                </c:pt>
                <c:pt idx="60">
                  <c:v>3429.921318663292</c:v>
                </c:pt>
                <c:pt idx="61">
                  <c:v>3358.82160052163</c:v>
                </c:pt>
                <c:pt idx="62">
                  <c:v>3279.710632319749</c:v>
                </c:pt>
                <c:pt idx="63">
                  <c:v>3210.162084404441</c:v>
                </c:pt>
                <c:pt idx="64">
                  <c:v>3141.334111024023</c:v>
                </c:pt>
                <c:pt idx="65">
                  <c:v>3064.756229239335</c:v>
                </c:pt>
                <c:pt idx="66">
                  <c:v>2997.438722081708</c:v>
                </c:pt>
                <c:pt idx="67">
                  <c:v>2930.821956828647</c:v>
                </c:pt>
                <c:pt idx="68">
                  <c:v>2856.707437171217</c:v>
                </c:pt>
                <c:pt idx="69">
                  <c:v>2791.557552752647</c:v>
                </c:pt>
                <c:pt idx="70">
                  <c:v>2727.087224876922</c:v>
                </c:pt>
                <c:pt idx="71">
                  <c:v>2655.361592581276</c:v>
                </c:pt>
                <c:pt idx="72">
                  <c:v>2592.311715433615</c:v>
                </c:pt>
                <c:pt idx="73">
                  <c:v>2529.918895127145</c:v>
                </c:pt>
                <c:pt idx="74">
                  <c:v>2460.503062399682</c:v>
                </c:pt>
                <c:pt idx="75">
                  <c:v>2399.481555421337</c:v>
                </c:pt>
                <c:pt idx="76">
                  <c:v>2339.093387140346</c:v>
                </c:pt>
                <c:pt idx="77">
                  <c:v>2271.903994057786</c:v>
                </c:pt>
                <c:pt idx="78">
                  <c:v>2212.835581138404</c:v>
                </c:pt>
                <c:pt idx="79">
                  <c:v>2154.375751929062</c:v>
                </c:pt>
                <c:pt idx="80">
                  <c:v>2089.325810771943</c:v>
                </c:pt>
                <c:pt idx="81">
                  <c:v>2032.132269523135</c:v>
                </c:pt>
                <c:pt idx="82">
                  <c:v>1975.521831844092</c:v>
                </c:pt>
                <c:pt idx="83">
                  <c:v>1912.521832511924</c:v>
                </c:pt>
                <c:pt idx="84">
                  <c:v>1857.123162081671</c:v>
                </c:pt>
                <c:pt idx="85">
                  <c:v>1802.28190437273</c:v>
                </c:pt>
                <c:pt idx="86">
                  <c:v>1741.241639361582</c:v>
                </c:pt>
                <c:pt idx="87">
                  <c:v>1687.557977658393</c:v>
                </c:pt>
                <c:pt idx="88">
                  <c:v>1634.406668398929</c:v>
                </c:pt>
                <c:pt idx="89">
                  <c:v>1575.238219581266</c:v>
                </c:pt>
                <c:pt idx="90">
                  <c:v>1523.192986437113</c:v>
                </c:pt>
                <c:pt idx="91">
                  <c:v>1471.657065923119</c:v>
                </c:pt>
                <c:pt idx="92">
                  <c:v>1414.279745381553</c:v>
                </c:pt>
                <c:pt idx="93">
                  <c:v>1363.804879466073</c:v>
                </c:pt>
                <c:pt idx="94">
                  <c:v>1313.820661862484</c:v>
                </c:pt>
                <c:pt idx="95">
                  <c:v>1258.169398693886</c:v>
                </c:pt>
                <c:pt idx="96">
                  <c:v>1209.214351949803</c:v>
                </c:pt>
                <c:pt idx="97">
                  <c:v>1160.739810698293</c:v>
                </c:pt>
                <c:pt idx="98">
                  <c:v>1106.77995128393</c:v>
                </c:pt>
                <c:pt idx="99">
                  <c:v>1059.327816320825</c:v>
                </c:pt>
                <c:pt idx="100">
                  <c:v>1012.362240937457</c:v>
                </c:pt>
                <c:pt idx="101">
                  <c:v>960.117033428206</c:v>
                </c:pt>
                <c:pt idx="102">
                  <c:v>914.2150944754102</c:v>
                </c:pt>
                <c:pt idx="103">
                  <c:v>868.8370802822063</c:v>
                </c:pt>
                <c:pt idx="104">
                  <c:v>818.4420076699244</c:v>
                </c:pt>
                <c:pt idx="105">
                  <c:v>774.2635773636083</c:v>
                </c:pt>
                <c:pt idx="106">
                  <c:v>730.7097325562099</c:v>
                </c:pt>
                <c:pt idx="107">
                  <c:v>682.5280213875686</c:v>
                </c:pt>
                <c:pt idx="108">
                  <c:v>640.5073835750494</c:v>
                </c:pt>
                <c:pt idx="109">
                  <c:v>599.3484103990154</c:v>
                </c:pt>
                <c:pt idx="110">
                  <c:v>554.2362316751039</c:v>
                </c:pt>
                <c:pt idx="111">
                  <c:v>515.385935947316</c:v>
                </c:pt>
                <c:pt idx="112">
                  <c:v>477.9486297496659</c:v>
                </c:pt>
                <c:pt idx="113">
                  <c:v>437.8992973190349</c:v>
                </c:pt>
                <c:pt idx="114">
                  <c:v>404.5820446556752</c:v>
                </c:pt>
                <c:pt idx="115">
                  <c:v>373.9580870428675</c:v>
                </c:pt>
                <c:pt idx="116">
                  <c:v>343.5612623013572</c:v>
                </c:pt>
                <c:pt idx="117">
                  <c:v>321.0492876738631</c:v>
                </c:pt>
                <c:pt idx="118">
                  <c:v>303.7334622402668</c:v>
                </c:pt>
                <c:pt idx="119">
                  <c:v>291.5763573062603</c:v>
                </c:pt>
                <c:pt idx="120">
                  <c:v>288.0264897465142</c:v>
                </c:pt>
                <c:pt idx="121">
                  <c:v>291.5763573062603</c:v>
                </c:pt>
                <c:pt idx="122">
                  <c:v>303.7334622402668</c:v>
                </c:pt>
                <c:pt idx="123">
                  <c:v>321.0492876738631</c:v>
                </c:pt>
                <c:pt idx="124">
                  <c:v>343.5612623013572</c:v>
                </c:pt>
                <c:pt idx="125">
                  <c:v>373.9580870428675</c:v>
                </c:pt>
                <c:pt idx="126">
                  <c:v>404.5820446556752</c:v>
                </c:pt>
                <c:pt idx="127">
                  <c:v>437.8992973190349</c:v>
                </c:pt>
                <c:pt idx="128">
                  <c:v>477.9486297496659</c:v>
                </c:pt>
                <c:pt idx="129">
                  <c:v>515.385935947316</c:v>
                </c:pt>
                <c:pt idx="130">
                  <c:v>554.2362316751039</c:v>
                </c:pt>
                <c:pt idx="131">
                  <c:v>599.3484103990154</c:v>
                </c:pt>
                <c:pt idx="132">
                  <c:v>640.5073835750494</c:v>
                </c:pt>
                <c:pt idx="133">
                  <c:v>682.5280213875686</c:v>
                </c:pt>
                <c:pt idx="134">
                  <c:v>730.7097325562099</c:v>
                </c:pt>
                <c:pt idx="135">
                  <c:v>774.2635773636083</c:v>
                </c:pt>
                <c:pt idx="136">
                  <c:v>818.4420076699244</c:v>
                </c:pt>
                <c:pt idx="137">
                  <c:v>868.8370802821825</c:v>
                </c:pt>
                <c:pt idx="138">
                  <c:v>914.2150944753647</c:v>
                </c:pt>
                <c:pt idx="139">
                  <c:v>960.117033428206</c:v>
                </c:pt>
                <c:pt idx="140">
                  <c:v>1012.362240937457</c:v>
                </c:pt>
                <c:pt idx="141">
                  <c:v>1059.327816320825</c:v>
                </c:pt>
                <c:pt idx="142">
                  <c:v>1106.77995128393</c:v>
                </c:pt>
                <c:pt idx="143">
                  <c:v>1160.739810698293</c:v>
                </c:pt>
                <c:pt idx="144">
                  <c:v>1209.214351949803</c:v>
                </c:pt>
                <c:pt idx="145">
                  <c:v>1258.169398693886</c:v>
                </c:pt>
                <c:pt idx="146">
                  <c:v>1313.820661862484</c:v>
                </c:pt>
                <c:pt idx="147">
                  <c:v>1363.804879466073</c:v>
                </c:pt>
                <c:pt idx="148">
                  <c:v>1414.279745381553</c:v>
                </c:pt>
                <c:pt idx="149">
                  <c:v>1471.657065923119</c:v>
                </c:pt>
                <c:pt idx="150">
                  <c:v>1523.192986437113</c:v>
                </c:pt>
                <c:pt idx="151">
                  <c:v>1575.238219581266</c:v>
                </c:pt>
                <c:pt idx="152">
                  <c:v>1634.406668398929</c:v>
                </c:pt>
                <c:pt idx="153">
                  <c:v>1687.557977658393</c:v>
                </c:pt>
                <c:pt idx="154">
                  <c:v>1741.241639361582</c:v>
                </c:pt>
                <c:pt idx="155">
                  <c:v>1802.281904372742</c:v>
                </c:pt>
                <c:pt idx="156">
                  <c:v>1857.123162081671</c:v>
                </c:pt>
                <c:pt idx="157">
                  <c:v>1912.521832511924</c:v>
                </c:pt>
                <c:pt idx="158">
                  <c:v>1975.521831844092</c:v>
                </c:pt>
                <c:pt idx="159">
                  <c:v>2032.132269523135</c:v>
                </c:pt>
                <c:pt idx="160">
                  <c:v>2089.325810771943</c:v>
                </c:pt>
                <c:pt idx="161">
                  <c:v>2154.375751929062</c:v>
                </c:pt>
                <c:pt idx="162">
                  <c:v>2212.835581138404</c:v>
                </c:pt>
                <c:pt idx="163">
                  <c:v>2271.903994057786</c:v>
                </c:pt>
                <c:pt idx="164">
                  <c:v>2339.093387140346</c:v>
                </c:pt>
                <c:pt idx="165">
                  <c:v>2399.481555421337</c:v>
                </c:pt>
                <c:pt idx="166">
                  <c:v>2460.503062399682</c:v>
                </c:pt>
                <c:pt idx="167">
                  <c:v>2529.918895127145</c:v>
                </c:pt>
                <c:pt idx="168">
                  <c:v>2592.311715433615</c:v>
                </c:pt>
                <c:pt idx="169">
                  <c:v>2655.361592581276</c:v>
                </c:pt>
                <c:pt idx="170">
                  <c:v>2727.087224876922</c:v>
                </c:pt>
                <c:pt idx="171">
                  <c:v>2791.557552752647</c:v>
                </c:pt>
                <c:pt idx="172">
                  <c:v>2856.707437171217</c:v>
                </c:pt>
                <c:pt idx="173">
                  <c:v>2930.821956828647</c:v>
                </c:pt>
                <c:pt idx="174">
                  <c:v>2997.438722081708</c:v>
                </c:pt>
                <c:pt idx="175">
                  <c:v>3064.756229239328</c:v>
                </c:pt>
                <c:pt idx="176">
                  <c:v>3141.334111024023</c:v>
                </c:pt>
                <c:pt idx="177">
                  <c:v>3210.162084404441</c:v>
                </c:pt>
                <c:pt idx="178">
                  <c:v>3279.710632319749</c:v>
                </c:pt>
                <c:pt idx="179">
                  <c:v>3358.82160052163</c:v>
                </c:pt>
                <c:pt idx="180">
                  <c:v>3429.921318663292</c:v>
                </c:pt>
                <c:pt idx="181">
                  <c:v>3501.760091807711</c:v>
                </c:pt>
                <c:pt idx="182">
                  <c:v>3583.469120557721</c:v>
                </c:pt>
                <c:pt idx="183">
                  <c:v>3656.896918210815</c:v>
                </c:pt>
                <c:pt idx="184">
                  <c:v>3731.080926123992</c:v>
                </c:pt>
                <c:pt idx="185">
                  <c:v>3815.448332974261</c:v>
                </c:pt>
                <c:pt idx="186">
                  <c:v>3891.256447672386</c:v>
                </c:pt>
                <c:pt idx="187">
                  <c:v>3967.836647264553</c:v>
                </c:pt>
                <c:pt idx="188">
                  <c:v>4054.918249107175</c:v>
                </c:pt>
                <c:pt idx="189">
                  <c:v>4133.154973866361</c:v>
                </c:pt>
                <c:pt idx="190">
                  <c:v>4212.178433547609</c:v>
                </c:pt>
                <c:pt idx="191">
                  <c:v>4302.02574295159</c:v>
                </c:pt>
                <c:pt idx="192">
                  <c:v>4382.735609610576</c:v>
                </c:pt>
                <c:pt idx="193">
                  <c:v>4464.245699599919</c:v>
                </c:pt>
                <c:pt idx="194">
                  <c:v>4556.906145812415</c:v>
                </c:pt>
                <c:pt idx="195">
                  <c:v>4640.130126474501</c:v>
                </c:pt>
                <c:pt idx="196">
                  <c:v>4724.166723978406</c:v>
                </c:pt>
                <c:pt idx="197">
                  <c:v>4819.683887182147</c:v>
                </c:pt>
                <c:pt idx="198">
                  <c:v>4905.459604666784</c:v>
                </c:pt>
                <c:pt idx="199">
                  <c:v>4992.059305723044</c:v>
                </c:pt>
                <c:pt idx="200">
                  <c:v>5090.473156276304</c:v>
                </c:pt>
                <c:pt idx="201">
                  <c:v>5178.835096993912</c:v>
                </c:pt>
                <c:pt idx="202">
                  <c:v>5268.031429047745</c:v>
                </c:pt>
                <c:pt idx="203">
                  <c:v>5369.378565739557</c:v>
                </c:pt>
                <c:pt idx="204">
                  <c:v>5460.358290255554</c:v>
                </c:pt>
                <c:pt idx="205">
                  <c:v>5552.181921221128</c:v>
                </c:pt>
                <c:pt idx="206">
                  <c:v>5656.495804293952</c:v>
                </c:pt>
                <c:pt idx="207">
                  <c:v>5750.122152234429</c:v>
                </c:pt>
                <c:pt idx="208">
                  <c:v>5844.601093061466</c:v>
                </c:pt>
                <c:pt idx="209">
                  <c:v>5951.912269047644</c:v>
                </c:pt>
                <c:pt idx="210">
                  <c:v>6048.211556044975</c:v>
                </c:pt>
                <c:pt idx="211">
                  <c:v>6145.371354766013</c:v>
                </c:pt>
                <c:pt idx="212">
                  <c:v>6255.707671163264</c:v>
                </c:pt>
                <c:pt idx="213">
                  <c:v>6354.703876330992</c:v>
                </c:pt>
                <c:pt idx="214">
                  <c:v>6454.567802288764</c:v>
                </c:pt>
                <c:pt idx="215">
                  <c:v>6567.954610839783</c:v>
                </c:pt>
                <c:pt idx="216">
                  <c:v>6669.669553864102</c:v>
                </c:pt>
                <c:pt idx="217">
                  <c:v>6772.258771364358</c:v>
                </c:pt>
                <c:pt idx="218">
                  <c:v>6888.719119263425</c:v>
                </c:pt>
                <c:pt idx="219">
                  <c:v>6993.172626647848</c:v>
                </c:pt>
                <c:pt idx="220">
                  <c:v>7098.50635769257</c:v>
                </c:pt>
                <c:pt idx="221">
                  <c:v>7218.061166458944</c:v>
                </c:pt>
                <c:pt idx="222">
                  <c:v>7325.2712267935</c:v>
                </c:pt>
                <c:pt idx="223">
                  <c:v>7433.366902852947</c:v>
                </c:pt>
                <c:pt idx="224">
                  <c:v>7556.035134917943</c:v>
                </c:pt>
                <c:pt idx="225">
                  <c:v>7666.018043289701</c:v>
                </c:pt>
                <c:pt idx="226">
                  <c:v>7776.891446293156</c:v>
                </c:pt>
                <c:pt idx="227">
                  <c:v>7902.690259570726</c:v>
                </c:pt>
                <c:pt idx="228">
                  <c:v>8015.460751408424</c:v>
                </c:pt>
                <c:pt idx="229">
                  <c:v>8129.12614429087</c:v>
                </c:pt>
                <c:pt idx="230">
                  <c:v>8258.071035157735</c:v>
                </c:pt>
                <c:pt idx="231">
                  <c:v>8373.64240992586</c:v>
                </c:pt>
                <c:pt idx="232">
                  <c:v>8490.112657175801</c:v>
                </c:pt>
                <c:pt idx="233">
                  <c:v>8622.217592392886</c:v>
                </c:pt>
                <c:pt idx="234">
                  <c:v>8740.601827631473</c:v>
                </c:pt>
                <c:pt idx="235">
                  <c:v>8859.888506354831</c:v>
                </c:pt>
                <c:pt idx="236">
                  <c:v>8995.16604452832</c:v>
                </c:pt>
                <c:pt idx="237">
                  <c:v>9116.373900783714</c:v>
                </c:pt>
                <c:pt idx="238">
                  <c:v>9238.487402839648</c:v>
                </c:pt>
                <c:pt idx="239">
                  <c:v>9376.948806056138</c:v>
                </c:pt>
                <c:pt idx="240">
                  <c:v>9500.98992327336</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Native_Chart_Data!$H$1473:$H$1713</c:f>
              <c:numCache>
                <c:formatCode>General</c:formatCode>
                <c:ptCount val="241"/>
                <c:pt idx="0">
                  <c:v>9500.98992327336</c:v>
                </c:pt>
                <c:pt idx="1">
                  <c:v>9376.054593495282</c:v>
                </c:pt>
                <c:pt idx="2">
                  <c:v>9236.601004281432</c:v>
                </c:pt>
                <c:pt idx="3">
                  <c:v>9113.617881954191</c:v>
                </c:pt>
                <c:pt idx="4">
                  <c:v>8991.55205433549</c:v>
                </c:pt>
                <c:pt idx="5">
                  <c:v>8855.323284209488</c:v>
                </c:pt>
                <c:pt idx="6">
                  <c:v>8735.203553435682</c:v>
                </c:pt>
                <c:pt idx="7">
                  <c:v>8615.998072070657</c:v>
                </c:pt>
                <c:pt idx="8">
                  <c:v>8482.983410922227</c:v>
                </c:pt>
                <c:pt idx="9">
                  <c:v>8365.717177007828</c:v>
                </c:pt>
                <c:pt idx="10">
                  <c:v>8249.361784554472</c:v>
                </c:pt>
                <c:pt idx="11">
                  <c:v>8119.549246965398</c:v>
                </c:pt>
                <c:pt idx="12">
                  <c:v>8005.125448461821</c:v>
                </c:pt>
                <c:pt idx="13">
                  <c:v>7891.608688682572</c:v>
                </c:pt>
                <c:pt idx="14">
                  <c:v>7764.984900901367</c:v>
                </c:pt>
                <c:pt idx="15">
                  <c:v>7653.39120605297</c:v>
                </c:pt>
                <c:pt idx="16">
                  <c:v>7542.700317284668</c:v>
                </c:pt>
                <c:pt idx="17">
                  <c:v>7419.25039373271</c:v>
                </c:pt>
                <c:pt idx="18">
                  <c:v>7310.473087383565</c:v>
                </c:pt>
                <c:pt idx="19">
                  <c:v>7202.593886244597</c:v>
                </c:pt>
                <c:pt idx="20">
                  <c:v>7082.301294774013</c:v>
                </c:pt>
                <c:pt idx="21">
                  <c:v>6976.325155041407</c:v>
                </c:pt>
                <c:pt idx="22">
                  <c:v>6871.241909686075</c:v>
                </c:pt>
                <c:pt idx="23">
                  <c:v>6754.08832481869</c:v>
                </c:pt>
                <c:pt idx="24">
                  <c:v>6650.89648885563</c:v>
                </c:pt>
                <c:pt idx="25">
                  <c:v>6548.591781107728</c:v>
                </c:pt>
                <c:pt idx="26">
                  <c:v>6434.556924518235</c:v>
                </c:pt>
                <c:pt idx="27">
                  <c:v>6334.130742726853</c:v>
                </c:pt>
                <c:pt idx="28">
                  <c:v>6234.585318473166</c:v>
                </c:pt>
                <c:pt idx="29">
                  <c:v>6123.646786047526</c:v>
                </c:pt>
                <c:pt idx="30">
                  <c:v>6025.965664177064</c:v>
                </c:pt>
                <c:pt idx="31">
                  <c:v>5929.158271486265</c:v>
                </c:pt>
                <c:pt idx="32">
                  <c:v>5821.291346397364</c:v>
                </c:pt>
                <c:pt idx="33">
                  <c:v>5726.332575075653</c:v>
                </c:pt>
                <c:pt idx="34">
                  <c:v>5632.239789639228</c:v>
                </c:pt>
                <c:pt idx="35">
                  <c:v>5527.417241051008</c:v>
                </c:pt>
                <c:pt idx="36">
                  <c:v>5435.155812468824</c:v>
                </c:pt>
                <c:pt idx="37">
                  <c:v>5343.751850152343</c:v>
                </c:pt>
                <c:pt idx="38">
                  <c:v>5241.943717406506</c:v>
                </c:pt>
                <c:pt idx="39">
                  <c:v>5152.352129116699</c:v>
                </c:pt>
                <c:pt idx="40">
                  <c:v>5063.608645679319</c:v>
                </c:pt>
                <c:pt idx="41">
                  <c:v>4964.782008157169</c:v>
                </c:pt>
                <c:pt idx="42">
                  <c:v>4877.830054285296</c:v>
                </c:pt>
                <c:pt idx="43">
                  <c:v>4791.715932694854</c:v>
                </c:pt>
                <c:pt idx="44">
                  <c:v>4695.834666007484</c:v>
                </c:pt>
                <c:pt idx="45">
                  <c:v>4611.489216623593</c:v>
                </c:pt>
                <c:pt idx="46">
                  <c:v>4527.970342892101</c:v>
                </c:pt>
                <c:pt idx="47">
                  <c:v>4434.994862669753</c:v>
                </c:pt>
                <c:pt idx="48">
                  <c:v>4353.219632675859</c:v>
                </c:pt>
                <c:pt idx="49">
                  <c:v>4272.258661802543</c:v>
                </c:pt>
                <c:pt idx="50">
                  <c:v>4182.145657173544</c:v>
                </c:pt>
                <c:pt idx="51">
                  <c:v>4102.900966862511</c:v>
                </c:pt>
                <c:pt idx="52">
                  <c:v>4024.457081346861</c:v>
                </c:pt>
                <c:pt idx="53">
                  <c:v>3937.159241278986</c:v>
                </c:pt>
                <c:pt idx="54">
                  <c:v>3860.401771777322</c:v>
                </c:pt>
                <c:pt idx="55">
                  <c:v>3784.430436320021</c:v>
                </c:pt>
                <c:pt idx="56">
                  <c:v>3699.896173425855</c:v>
                </c:pt>
                <c:pt idx="57">
                  <c:v>3625.578721629772</c:v>
                </c:pt>
                <c:pt idx="58">
                  <c:v>3552.031439167684</c:v>
                </c:pt>
                <c:pt idx="59">
                  <c:v>3470.204617470077</c:v>
                </c:pt>
                <c:pt idx="60">
                  <c:v>3398.275856941299</c:v>
                </c:pt>
                <c:pt idx="61">
                  <c:v>3327.099933201986</c:v>
                </c:pt>
                <c:pt idx="62">
                  <c:v>3247.919608893486</c:v>
                </c:pt>
                <c:pt idx="63">
                  <c:v>3178.323865680885</c:v>
                </c:pt>
                <c:pt idx="64">
                  <c:v>3109.462192200807</c:v>
                </c:pt>
                <c:pt idx="65">
                  <c:v>3032.862379885861</c:v>
                </c:pt>
                <c:pt idx="66">
                  <c:v>2965.539435665303</c:v>
                </c:pt>
                <c:pt idx="67">
                  <c:v>2898.930305024403</c:v>
                </c:pt>
                <c:pt idx="68">
                  <c:v>2824.839786742809</c:v>
                </c:pt>
                <c:pt idx="69">
                  <c:v>2759.724726481357</c:v>
                </c:pt>
                <c:pt idx="70">
                  <c:v>2695.301698907608</c:v>
                </c:pt>
                <c:pt idx="71">
                  <c:v>2623.643900129246</c:v>
                </c:pt>
                <c:pt idx="72">
                  <c:v>2560.667028453617</c:v>
                </c:pt>
                <c:pt idx="73">
                  <c:v>2498.358876860313</c:v>
                </c:pt>
                <c:pt idx="74">
                  <c:v>2429.051843860197</c:v>
                </c:pt>
                <c:pt idx="75">
                  <c:v>2368.138704780964</c:v>
                </c:pt>
                <c:pt idx="76">
                  <c:v>2307.869477325939</c:v>
                </c:pt>
                <c:pt idx="77">
                  <c:v>2240.826006094351</c:v>
                </c:pt>
                <c:pt idx="78">
                  <c:v>2181.897557099264</c:v>
                </c:pt>
                <c:pt idx="79">
                  <c:v>2123.586815394276</c:v>
                </c:pt>
                <c:pt idx="80">
                  <c:v>2058.714807530908</c:v>
                </c:pt>
                <c:pt idx="81">
                  <c:v>2001.687825723243</c:v>
                </c:pt>
                <c:pt idx="82">
                  <c:v>1945.25114828152</c:v>
                </c:pt>
                <c:pt idx="83">
                  <c:v>1882.454311738599</c:v>
                </c:pt>
                <c:pt idx="84">
                  <c:v>1827.242155083285</c:v>
                </c:pt>
                <c:pt idx="85">
                  <c:v>1772.592049910802</c:v>
                </c:pt>
                <c:pt idx="86">
                  <c:v>1711.771136817117</c:v>
                </c:pt>
                <c:pt idx="87">
                  <c:v>1658.285064361846</c:v>
                </c:pt>
                <c:pt idx="88">
                  <c:v>1605.332532734235</c:v>
                </c:pt>
                <c:pt idx="89">
                  <c:v>1546.3874430517</c:v>
                </c:pt>
                <c:pt idx="90">
                  <c:v>1494.538848738704</c:v>
                </c:pt>
                <c:pt idx="91">
                  <c:v>1443.196028166285</c:v>
                </c:pt>
                <c:pt idx="92">
                  <c:v>1386.029371073334</c:v>
                </c:pt>
                <c:pt idx="93">
                  <c:v>1335.73358143176</c:v>
                </c:pt>
                <c:pt idx="94">
                  <c:v>1285.918266802636</c:v>
                </c:pt>
                <c:pt idx="95">
                  <c:v>1230.441506628831</c:v>
                </c:pt>
                <c:pt idx="96">
                  <c:v>1181.624405443751</c:v>
                </c:pt>
                <c:pt idx="97">
                  <c:v>1133.268031035687</c:v>
                </c:pt>
                <c:pt idx="98">
                  <c:v>1079.412498891441</c:v>
                </c:pt>
                <c:pt idx="99">
                  <c:v>1032.022593769783</c:v>
                </c:pt>
                <c:pt idx="100">
                  <c:v>985.0850258038517</c:v>
                </c:pt>
                <c:pt idx="101">
                  <c:v>932.8227451453487</c:v>
                </c:pt>
                <c:pt idx="102">
                  <c:v>886.8544947202699</c:v>
                </c:pt>
                <c:pt idx="103">
                  <c:v>841.3532788829367</c:v>
                </c:pt>
                <c:pt idx="104">
                  <c:v>790.7392217429494</c:v>
                </c:pt>
                <c:pt idx="105">
                  <c:v>746.2816902643984</c:v>
                </c:pt>
                <c:pt idx="106">
                  <c:v>702.354778608177</c:v>
                </c:pt>
                <c:pt idx="107">
                  <c:v>653.6204124325454</c:v>
                </c:pt>
                <c:pt idx="108">
                  <c:v>610.9686237412925</c:v>
                </c:pt>
                <c:pt idx="109">
                  <c:v>569.0227686817443</c:v>
                </c:pt>
                <c:pt idx="110">
                  <c:v>522.8056693168993</c:v>
                </c:pt>
                <c:pt idx="111">
                  <c:v>482.7443088432838</c:v>
                </c:pt>
                <c:pt idx="112">
                  <c:v>443.8466445893456</c:v>
                </c:pt>
                <c:pt idx="113">
                  <c:v>401.8182055149775</c:v>
                </c:pt>
                <c:pt idx="114">
                  <c:v>366.4202809713315</c:v>
                </c:pt>
                <c:pt idx="115">
                  <c:v>333.4194769634622</c:v>
                </c:pt>
                <c:pt idx="116">
                  <c:v>300.0734171526439</c:v>
                </c:pt>
                <c:pt idx="117">
                  <c:v>274.8715173653501</c:v>
                </c:pt>
                <c:pt idx="118">
                  <c:v>255.1034907249413</c:v>
                </c:pt>
                <c:pt idx="119">
                  <c:v>240.9766453196566</c:v>
                </c:pt>
                <c:pt idx="120">
                  <c:v>236.8067637349101</c:v>
                </c:pt>
                <c:pt idx="121">
                  <c:v>240.9766453196566</c:v>
                </c:pt>
                <c:pt idx="122">
                  <c:v>255.1034907249413</c:v>
                </c:pt>
                <c:pt idx="123">
                  <c:v>274.8715173653501</c:v>
                </c:pt>
                <c:pt idx="124">
                  <c:v>300.0734171526439</c:v>
                </c:pt>
                <c:pt idx="125">
                  <c:v>333.4194769634622</c:v>
                </c:pt>
                <c:pt idx="126">
                  <c:v>366.4202809713315</c:v>
                </c:pt>
                <c:pt idx="127">
                  <c:v>401.8182055149775</c:v>
                </c:pt>
                <c:pt idx="128">
                  <c:v>443.8466445893456</c:v>
                </c:pt>
                <c:pt idx="129">
                  <c:v>482.7443088432838</c:v>
                </c:pt>
                <c:pt idx="130">
                  <c:v>522.8056693168993</c:v>
                </c:pt>
                <c:pt idx="131">
                  <c:v>569.0227686817443</c:v>
                </c:pt>
                <c:pt idx="132">
                  <c:v>610.9686237412925</c:v>
                </c:pt>
                <c:pt idx="133">
                  <c:v>653.6204124325454</c:v>
                </c:pt>
                <c:pt idx="134">
                  <c:v>702.354778608177</c:v>
                </c:pt>
                <c:pt idx="135">
                  <c:v>746.2816902643984</c:v>
                </c:pt>
                <c:pt idx="136">
                  <c:v>790.7392217429494</c:v>
                </c:pt>
                <c:pt idx="137">
                  <c:v>841.3532788829613</c:v>
                </c:pt>
                <c:pt idx="138">
                  <c:v>886.8544947202699</c:v>
                </c:pt>
                <c:pt idx="139">
                  <c:v>932.8227451453487</c:v>
                </c:pt>
                <c:pt idx="140">
                  <c:v>985.0850258038517</c:v>
                </c:pt>
                <c:pt idx="141">
                  <c:v>1032.022593769783</c:v>
                </c:pt>
                <c:pt idx="142">
                  <c:v>1079.412498891441</c:v>
                </c:pt>
                <c:pt idx="143">
                  <c:v>1133.268031035687</c:v>
                </c:pt>
                <c:pt idx="144">
                  <c:v>1181.624405443751</c:v>
                </c:pt>
                <c:pt idx="145">
                  <c:v>1230.441506628831</c:v>
                </c:pt>
                <c:pt idx="146">
                  <c:v>1285.918266802636</c:v>
                </c:pt>
                <c:pt idx="147">
                  <c:v>1335.73358143176</c:v>
                </c:pt>
                <c:pt idx="148">
                  <c:v>1386.029371073334</c:v>
                </c:pt>
                <c:pt idx="149">
                  <c:v>1443.196028166285</c:v>
                </c:pt>
                <c:pt idx="150">
                  <c:v>1494.538848738704</c:v>
                </c:pt>
                <c:pt idx="151">
                  <c:v>1546.3874430517</c:v>
                </c:pt>
                <c:pt idx="152">
                  <c:v>1605.332532734235</c:v>
                </c:pt>
                <c:pt idx="153">
                  <c:v>1658.285064361846</c:v>
                </c:pt>
                <c:pt idx="154">
                  <c:v>1711.771136817117</c:v>
                </c:pt>
                <c:pt idx="155">
                  <c:v>1772.592049910802</c:v>
                </c:pt>
                <c:pt idx="156">
                  <c:v>1827.242155083285</c:v>
                </c:pt>
                <c:pt idx="157">
                  <c:v>1882.454311738599</c:v>
                </c:pt>
                <c:pt idx="158">
                  <c:v>1945.25114828152</c:v>
                </c:pt>
                <c:pt idx="159">
                  <c:v>2001.687825723243</c:v>
                </c:pt>
                <c:pt idx="160">
                  <c:v>2058.714807530908</c:v>
                </c:pt>
                <c:pt idx="161">
                  <c:v>2123.586815394267</c:v>
                </c:pt>
                <c:pt idx="162">
                  <c:v>2181.897557099264</c:v>
                </c:pt>
                <c:pt idx="163">
                  <c:v>2240.826006094351</c:v>
                </c:pt>
                <c:pt idx="164">
                  <c:v>2307.86947732593</c:v>
                </c:pt>
                <c:pt idx="165">
                  <c:v>2368.138704780964</c:v>
                </c:pt>
                <c:pt idx="166">
                  <c:v>2429.051843860189</c:v>
                </c:pt>
                <c:pt idx="167">
                  <c:v>2498.358876860313</c:v>
                </c:pt>
                <c:pt idx="168">
                  <c:v>2560.667028453617</c:v>
                </c:pt>
                <c:pt idx="169">
                  <c:v>2623.643900129254</c:v>
                </c:pt>
                <c:pt idx="170">
                  <c:v>2695.3016989076</c:v>
                </c:pt>
                <c:pt idx="171">
                  <c:v>2759.724726481357</c:v>
                </c:pt>
                <c:pt idx="172">
                  <c:v>2824.839786742809</c:v>
                </c:pt>
                <c:pt idx="173">
                  <c:v>2898.93030502441</c:v>
                </c:pt>
                <c:pt idx="174">
                  <c:v>2965.539435665303</c:v>
                </c:pt>
                <c:pt idx="175">
                  <c:v>3032.862379885861</c:v>
                </c:pt>
                <c:pt idx="176">
                  <c:v>3109.462192200807</c:v>
                </c:pt>
                <c:pt idx="177">
                  <c:v>3178.323865680885</c:v>
                </c:pt>
                <c:pt idx="178">
                  <c:v>3247.91960889348</c:v>
                </c:pt>
                <c:pt idx="179">
                  <c:v>3327.099933201991</c:v>
                </c:pt>
                <c:pt idx="180">
                  <c:v>3398.275856941299</c:v>
                </c:pt>
                <c:pt idx="181">
                  <c:v>3470.20461747007</c:v>
                </c:pt>
                <c:pt idx="182">
                  <c:v>3552.031439167684</c:v>
                </c:pt>
                <c:pt idx="183">
                  <c:v>3625.578721629772</c:v>
                </c:pt>
                <c:pt idx="184">
                  <c:v>3699.896173425861</c:v>
                </c:pt>
                <c:pt idx="185">
                  <c:v>3784.430436320021</c:v>
                </c:pt>
                <c:pt idx="186">
                  <c:v>3860.401771777322</c:v>
                </c:pt>
                <c:pt idx="187">
                  <c:v>3937.159241278996</c:v>
                </c:pt>
                <c:pt idx="188">
                  <c:v>4024.457081346861</c:v>
                </c:pt>
                <c:pt idx="189">
                  <c:v>4102.900966862511</c:v>
                </c:pt>
                <c:pt idx="190">
                  <c:v>4182.145657173544</c:v>
                </c:pt>
                <c:pt idx="191">
                  <c:v>4272.258661802538</c:v>
                </c:pt>
                <c:pt idx="192">
                  <c:v>4353.219632675859</c:v>
                </c:pt>
                <c:pt idx="193">
                  <c:v>4434.994862669758</c:v>
                </c:pt>
                <c:pt idx="194">
                  <c:v>4527.970342892097</c:v>
                </c:pt>
                <c:pt idx="195">
                  <c:v>4611.489216623593</c:v>
                </c:pt>
                <c:pt idx="196">
                  <c:v>4695.834666007489</c:v>
                </c:pt>
                <c:pt idx="197">
                  <c:v>4791.715932694854</c:v>
                </c:pt>
                <c:pt idx="198">
                  <c:v>4877.830054285296</c:v>
                </c:pt>
                <c:pt idx="199">
                  <c:v>4964.782008157164</c:v>
                </c:pt>
                <c:pt idx="200">
                  <c:v>5063.608645679323</c:v>
                </c:pt>
                <c:pt idx="201">
                  <c:v>5152.352129116699</c:v>
                </c:pt>
                <c:pt idx="202">
                  <c:v>5241.943717406506</c:v>
                </c:pt>
                <c:pt idx="203">
                  <c:v>5343.751850152343</c:v>
                </c:pt>
                <c:pt idx="204">
                  <c:v>5435.155812468824</c:v>
                </c:pt>
                <c:pt idx="205">
                  <c:v>5527.417241051005</c:v>
                </c:pt>
                <c:pt idx="206">
                  <c:v>5632.239789639232</c:v>
                </c:pt>
                <c:pt idx="207">
                  <c:v>5726.332575075653</c:v>
                </c:pt>
                <c:pt idx="208">
                  <c:v>5821.291346397364</c:v>
                </c:pt>
                <c:pt idx="209">
                  <c:v>5929.158271486262</c:v>
                </c:pt>
                <c:pt idx="210">
                  <c:v>6025.965664177064</c:v>
                </c:pt>
                <c:pt idx="211">
                  <c:v>6123.64678604753</c:v>
                </c:pt>
                <c:pt idx="212">
                  <c:v>6234.585318473166</c:v>
                </c:pt>
                <c:pt idx="213">
                  <c:v>6334.130742726853</c:v>
                </c:pt>
                <c:pt idx="214">
                  <c:v>6434.556924518235</c:v>
                </c:pt>
                <c:pt idx="215">
                  <c:v>6548.591781107734</c:v>
                </c:pt>
                <c:pt idx="216">
                  <c:v>6650.89648885563</c:v>
                </c:pt>
                <c:pt idx="217">
                  <c:v>6754.08832481869</c:v>
                </c:pt>
                <c:pt idx="218">
                  <c:v>6871.241909686075</c:v>
                </c:pt>
                <c:pt idx="219">
                  <c:v>6976.325155041407</c:v>
                </c:pt>
                <c:pt idx="220">
                  <c:v>7082.30129477401</c:v>
                </c:pt>
                <c:pt idx="221">
                  <c:v>7202.593886244597</c:v>
                </c:pt>
                <c:pt idx="222">
                  <c:v>7310.473087383565</c:v>
                </c:pt>
                <c:pt idx="223">
                  <c:v>7419.250393732713</c:v>
                </c:pt>
                <c:pt idx="224">
                  <c:v>7542.700317284668</c:v>
                </c:pt>
                <c:pt idx="225">
                  <c:v>7653.39120605297</c:v>
                </c:pt>
                <c:pt idx="226">
                  <c:v>7764.984900901371</c:v>
                </c:pt>
                <c:pt idx="227">
                  <c:v>7891.608688682572</c:v>
                </c:pt>
                <c:pt idx="228">
                  <c:v>8005.125448461821</c:v>
                </c:pt>
                <c:pt idx="229">
                  <c:v>8119.549246965395</c:v>
                </c:pt>
                <c:pt idx="230">
                  <c:v>8249.361784554472</c:v>
                </c:pt>
                <c:pt idx="231">
                  <c:v>8365.717177007828</c:v>
                </c:pt>
                <c:pt idx="232">
                  <c:v>8482.983410922227</c:v>
                </c:pt>
                <c:pt idx="233">
                  <c:v>8615.998072070657</c:v>
                </c:pt>
                <c:pt idx="234">
                  <c:v>8735.203553435682</c:v>
                </c:pt>
                <c:pt idx="235">
                  <c:v>8855.323284209488</c:v>
                </c:pt>
                <c:pt idx="236">
                  <c:v>8991.552054335494</c:v>
                </c:pt>
                <c:pt idx="237">
                  <c:v>9113.617881954191</c:v>
                </c:pt>
                <c:pt idx="238">
                  <c:v>9236.601004281434</c:v>
                </c:pt>
                <c:pt idx="239">
                  <c:v>9376.054593495282</c:v>
                </c:pt>
                <c:pt idx="240">
                  <c:v>9500.98992327336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b="1"/>
              <a:t>Off-Nadir Radar Delay by Flyby: With Generated Topography</a:t>
            </a:r>
          </a:p>
        </c:rich>
      </c:tx>
      <c:overlay val="0"/>
      <c:txPr>
        <a:bodyPr xmlns:a="http://schemas.openxmlformats.org/drawingml/2006/main" anchorCtr="1"/>
        <a:lstStyle xmlns:a="http://schemas.openxmlformats.org/drawingml/2006/main"/>
        <a:p xmlns:a="http://schemas.openxmlformats.org/drawingml/2006/main">
          <a:pPr>
            <a:defRPr sz="1200" b="1"/>
          </a:pPr>
        </a:p>
      </c:txPr>
    </c:title>
    <c:autoTitleDeleted val="0"/>
    <c:plotArea>
      <c:layout/>
      <c:scatterChart>
        <c:scatterStyle val="lineMarker"/>
        <c:ser>
          <c:idx val="0"/>
          <c:order val="0"/>
          <c:tx>
            <c:v>Custom 400 km / 120 km pass</c:v>
          </c:tx>
          <c:spPr>
            <a:ln xmlns:a="http://schemas.openxmlformats.org/drawingml/2006/main" w="19050">
              <a:solidFill>
                <a:srgbClr val="0E74CA"/>
              </a:solidFill>
              <a:prstDash val="solid"/>
            </a:ln>
          </c:spPr>
          <c:marker>
            <c:symbol val="none"/>
          </c:marker>
          <c:xVal>
            <c:numRef>
              <c:f>Native_Chart_Data!$A$1718:$A$1958</c:f>
              <c:numCache>
                <c:formatCode>General</c:formatCode>
                <c:ptCount val="241"/>
                <c:pt idx="0">
                  <c:v>-60</c:v>
                </c:pt>
                <c:pt idx="1">
                  <c:v>-59.52</c:v>
                </c:pt>
                <c:pt idx="2">
                  <c:v>-58.98</c:v>
                </c:pt>
                <c:pt idx="3">
                  <c:v>-58.5</c:v>
                </c:pt>
                <c:pt idx="4">
                  <c:v>-58.02</c:v>
                </c:pt>
                <c:pt idx="5">
                  <c:v>-57.48</c:v>
                </c:pt>
                <c:pt idx="6">
                  <c:v>-57</c:v>
                </c:pt>
                <c:pt idx="7">
                  <c:v>-56.52</c:v>
                </c:pt>
                <c:pt idx="8">
                  <c:v>-55.98</c:v>
                </c:pt>
                <c:pt idx="9">
                  <c:v>-55.5</c:v>
                </c:pt>
                <c:pt idx="10">
                  <c:v>-55.02</c:v>
                </c:pt>
                <c:pt idx="11">
                  <c:v>-54.48</c:v>
                </c:pt>
                <c:pt idx="12">
                  <c:v>-54</c:v>
                </c:pt>
                <c:pt idx="13">
                  <c:v>-53.52</c:v>
                </c:pt>
                <c:pt idx="14">
                  <c:v>-52.98</c:v>
                </c:pt>
                <c:pt idx="15">
                  <c:v>-52.5</c:v>
                </c:pt>
                <c:pt idx="16">
                  <c:v>-52.02</c:v>
                </c:pt>
                <c:pt idx="17">
                  <c:v>-51.48</c:v>
                </c:pt>
                <c:pt idx="18">
                  <c:v>-51</c:v>
                </c:pt>
                <c:pt idx="19">
                  <c:v>-50.52</c:v>
                </c:pt>
                <c:pt idx="20">
                  <c:v>-49.98</c:v>
                </c:pt>
                <c:pt idx="21">
                  <c:v>-49.5</c:v>
                </c:pt>
                <c:pt idx="22">
                  <c:v>-49.02</c:v>
                </c:pt>
                <c:pt idx="23">
                  <c:v>-48.48</c:v>
                </c:pt>
                <c:pt idx="24">
                  <c:v>-48</c:v>
                </c:pt>
                <c:pt idx="25">
                  <c:v>-47.52</c:v>
                </c:pt>
                <c:pt idx="26">
                  <c:v>-46.98</c:v>
                </c:pt>
                <c:pt idx="27">
                  <c:v>-46.5</c:v>
                </c:pt>
                <c:pt idx="28">
                  <c:v>-46.02</c:v>
                </c:pt>
                <c:pt idx="29">
                  <c:v>-45.48</c:v>
                </c:pt>
                <c:pt idx="30">
                  <c:v>-45</c:v>
                </c:pt>
                <c:pt idx="31">
                  <c:v>-44.52</c:v>
                </c:pt>
                <c:pt idx="32">
                  <c:v>-43.98</c:v>
                </c:pt>
                <c:pt idx="33">
                  <c:v>-43.5</c:v>
                </c:pt>
                <c:pt idx="34">
                  <c:v>-43.02</c:v>
                </c:pt>
                <c:pt idx="35">
                  <c:v>-42.48</c:v>
                </c:pt>
                <c:pt idx="36">
                  <c:v>-42</c:v>
                </c:pt>
                <c:pt idx="37">
                  <c:v>-41.52</c:v>
                </c:pt>
                <c:pt idx="38">
                  <c:v>-40.98</c:v>
                </c:pt>
                <c:pt idx="39">
                  <c:v>-40.5</c:v>
                </c:pt>
                <c:pt idx="40">
                  <c:v>-40.02</c:v>
                </c:pt>
                <c:pt idx="41">
                  <c:v>-39.48</c:v>
                </c:pt>
                <c:pt idx="42">
                  <c:v>-39</c:v>
                </c:pt>
                <c:pt idx="43">
                  <c:v>-38.52</c:v>
                </c:pt>
                <c:pt idx="44">
                  <c:v>-37.98</c:v>
                </c:pt>
                <c:pt idx="45">
                  <c:v>-37.5</c:v>
                </c:pt>
                <c:pt idx="46">
                  <c:v>-37.02</c:v>
                </c:pt>
                <c:pt idx="47">
                  <c:v>-36.48</c:v>
                </c:pt>
                <c:pt idx="48">
                  <c:v>-36</c:v>
                </c:pt>
                <c:pt idx="49">
                  <c:v>-35.52</c:v>
                </c:pt>
                <c:pt idx="50">
                  <c:v>-34.98</c:v>
                </c:pt>
                <c:pt idx="51">
                  <c:v>-34.5</c:v>
                </c:pt>
                <c:pt idx="52">
                  <c:v>-34.02</c:v>
                </c:pt>
                <c:pt idx="53">
                  <c:v>-33.48</c:v>
                </c:pt>
                <c:pt idx="54">
                  <c:v>-33</c:v>
                </c:pt>
                <c:pt idx="55">
                  <c:v>-32.52</c:v>
                </c:pt>
                <c:pt idx="56">
                  <c:v>-31.98</c:v>
                </c:pt>
                <c:pt idx="57">
                  <c:v>-31.5</c:v>
                </c:pt>
                <c:pt idx="58">
                  <c:v>-31.02</c:v>
                </c:pt>
                <c:pt idx="59">
                  <c:v>-30.48</c:v>
                </c:pt>
                <c:pt idx="60">
                  <c:v>-30</c:v>
                </c:pt>
                <c:pt idx="61">
                  <c:v>-29.52</c:v>
                </c:pt>
                <c:pt idx="62">
                  <c:v>-28.98</c:v>
                </c:pt>
                <c:pt idx="63">
                  <c:v>-28.5</c:v>
                </c:pt>
                <c:pt idx="64">
                  <c:v>-28.02</c:v>
                </c:pt>
                <c:pt idx="65">
                  <c:v>-27.48</c:v>
                </c:pt>
                <c:pt idx="66">
                  <c:v>-27</c:v>
                </c:pt>
                <c:pt idx="67">
                  <c:v>-26.52</c:v>
                </c:pt>
                <c:pt idx="68">
                  <c:v>-25.98</c:v>
                </c:pt>
                <c:pt idx="69">
                  <c:v>-25.5</c:v>
                </c:pt>
                <c:pt idx="70">
                  <c:v>-25.02</c:v>
                </c:pt>
                <c:pt idx="71">
                  <c:v>-24.48</c:v>
                </c:pt>
                <c:pt idx="72">
                  <c:v>-24</c:v>
                </c:pt>
                <c:pt idx="73">
                  <c:v>-23.52</c:v>
                </c:pt>
                <c:pt idx="74">
                  <c:v>-22.98</c:v>
                </c:pt>
                <c:pt idx="75">
                  <c:v>-22.5</c:v>
                </c:pt>
                <c:pt idx="76">
                  <c:v>-22.02</c:v>
                </c:pt>
                <c:pt idx="77">
                  <c:v>-21.48</c:v>
                </c:pt>
                <c:pt idx="78">
                  <c:v>-21</c:v>
                </c:pt>
                <c:pt idx="79">
                  <c:v>-20.52</c:v>
                </c:pt>
                <c:pt idx="80">
                  <c:v>-19.98</c:v>
                </c:pt>
                <c:pt idx="81">
                  <c:v>-19.5</c:v>
                </c:pt>
                <c:pt idx="82">
                  <c:v>-19.02</c:v>
                </c:pt>
                <c:pt idx="83">
                  <c:v>-18.48</c:v>
                </c:pt>
                <c:pt idx="84">
                  <c:v>-18</c:v>
                </c:pt>
                <c:pt idx="85">
                  <c:v>-17.52</c:v>
                </c:pt>
                <c:pt idx="86">
                  <c:v>-16.98</c:v>
                </c:pt>
                <c:pt idx="87">
                  <c:v>-16.5</c:v>
                </c:pt>
                <c:pt idx="88">
                  <c:v>-16.02</c:v>
                </c:pt>
                <c:pt idx="89">
                  <c:v>-15.48</c:v>
                </c:pt>
                <c:pt idx="90">
                  <c:v>-15</c:v>
                </c:pt>
                <c:pt idx="91">
                  <c:v>-14.52</c:v>
                </c:pt>
                <c:pt idx="92">
                  <c:v>-13.98</c:v>
                </c:pt>
                <c:pt idx="93">
                  <c:v>-13.5</c:v>
                </c:pt>
                <c:pt idx="94">
                  <c:v>-13.02</c:v>
                </c:pt>
                <c:pt idx="95">
                  <c:v>-12.48</c:v>
                </c:pt>
                <c:pt idx="96">
                  <c:v>-12</c:v>
                </c:pt>
                <c:pt idx="97">
                  <c:v>-11.52</c:v>
                </c:pt>
                <c:pt idx="98">
                  <c:v>-10.98</c:v>
                </c:pt>
                <c:pt idx="99">
                  <c:v>-10.5</c:v>
                </c:pt>
                <c:pt idx="100">
                  <c:v>-10.02</c:v>
                </c:pt>
                <c:pt idx="101">
                  <c:v>-9.480000000000004</c:v>
                </c:pt>
                <c:pt idx="102">
                  <c:v>-9</c:v>
                </c:pt>
                <c:pt idx="103">
                  <c:v>-8.520000000000003</c:v>
                </c:pt>
                <c:pt idx="104">
                  <c:v>-7.980000000000004</c:v>
                </c:pt>
                <c:pt idx="105">
                  <c:v>-7.5</c:v>
                </c:pt>
                <c:pt idx="106">
                  <c:v>-7.019999999999996</c:v>
                </c:pt>
                <c:pt idx="107">
                  <c:v>-6.479999999999997</c:v>
                </c:pt>
                <c:pt idx="108">
                  <c:v>-6</c:v>
                </c:pt>
                <c:pt idx="109">
                  <c:v>-5.519999999999996</c:v>
                </c:pt>
                <c:pt idx="110">
                  <c:v>-4.979999999999997</c:v>
                </c:pt>
                <c:pt idx="111">
                  <c:v>-4.5</c:v>
                </c:pt>
                <c:pt idx="112">
                  <c:v>-4.019999999999996</c:v>
                </c:pt>
                <c:pt idx="113">
                  <c:v>-3.480000000000004</c:v>
                </c:pt>
                <c:pt idx="114">
                  <c:v>-3</c:v>
                </c:pt>
                <c:pt idx="115">
                  <c:v>-2.520000000000003</c:v>
                </c:pt>
                <c:pt idx="116">
                  <c:v>-1.980000000000004</c:v>
                </c:pt>
                <c:pt idx="117">
                  <c:v>-1.5</c:v>
                </c:pt>
                <c:pt idx="118">
                  <c:v>-1.020000000000003</c:v>
                </c:pt>
                <c:pt idx="119">
                  <c:v>-0.480000000000004</c:v>
                </c:pt>
                <c:pt idx="120">
                  <c:v>0</c:v>
                </c:pt>
                <c:pt idx="121">
                  <c:v>0.480000000000004</c:v>
                </c:pt>
                <c:pt idx="122">
                  <c:v>1.019999999999996</c:v>
                </c:pt>
                <c:pt idx="123">
                  <c:v>1.499999999999993</c:v>
                </c:pt>
                <c:pt idx="124">
                  <c:v>1.979999999999997</c:v>
                </c:pt>
                <c:pt idx="125">
                  <c:v>2.520000000000003</c:v>
                </c:pt>
                <c:pt idx="126">
                  <c:v>3</c:v>
                </c:pt>
                <c:pt idx="127">
                  <c:v>3.480000000000004</c:v>
                </c:pt>
                <c:pt idx="128">
                  <c:v>4.019999999999996</c:v>
                </c:pt>
                <c:pt idx="129">
                  <c:v>4.5</c:v>
                </c:pt>
                <c:pt idx="130">
                  <c:v>4.980000000000004</c:v>
                </c:pt>
                <c:pt idx="131">
                  <c:v>5.52000000000001</c:v>
                </c:pt>
                <c:pt idx="132">
                  <c:v>6</c:v>
                </c:pt>
                <c:pt idx="133">
                  <c:v>6.480000000000004</c:v>
                </c:pt>
                <c:pt idx="134">
                  <c:v>7.019999999999996</c:v>
                </c:pt>
                <c:pt idx="135">
                  <c:v>7.5</c:v>
                </c:pt>
                <c:pt idx="136">
                  <c:v>7.980000000000004</c:v>
                </c:pt>
                <c:pt idx="137">
                  <c:v>8.519999999999996</c:v>
                </c:pt>
                <c:pt idx="138">
                  <c:v>9</c:v>
                </c:pt>
                <c:pt idx="139">
                  <c:v>9.47999999999999</c:v>
                </c:pt>
                <c:pt idx="140">
                  <c:v>10.02</c:v>
                </c:pt>
                <c:pt idx="141">
                  <c:v>10.5</c:v>
                </c:pt>
                <c:pt idx="142">
                  <c:v>10.98</c:v>
                </c:pt>
                <c:pt idx="143">
                  <c:v>11.52</c:v>
                </c:pt>
                <c:pt idx="144">
                  <c:v>12</c:v>
                </c:pt>
                <c:pt idx="145">
                  <c:v>12.48</c:v>
                </c:pt>
                <c:pt idx="146">
                  <c:v>13.02000000000001</c:v>
                </c:pt>
                <c:pt idx="147">
                  <c:v>13.5</c:v>
                </c:pt>
                <c:pt idx="148">
                  <c:v>13.98</c:v>
                </c:pt>
                <c:pt idx="149">
                  <c:v>14.52</c:v>
                </c:pt>
                <c:pt idx="150">
                  <c:v>15</c:v>
                </c:pt>
                <c:pt idx="151">
                  <c:v>15.48</c:v>
                </c:pt>
                <c:pt idx="152">
                  <c:v>16.02</c:v>
                </c:pt>
                <c:pt idx="153">
                  <c:v>16.5</c:v>
                </c:pt>
                <c:pt idx="154">
                  <c:v>16.97999999999999</c:v>
                </c:pt>
                <c:pt idx="155">
                  <c:v>17.52</c:v>
                </c:pt>
                <c:pt idx="156">
                  <c:v>18</c:v>
                </c:pt>
                <c:pt idx="157">
                  <c:v>18.48</c:v>
                </c:pt>
                <c:pt idx="158">
                  <c:v>19.02</c:v>
                </c:pt>
                <c:pt idx="159">
                  <c:v>19.5</c:v>
                </c:pt>
                <c:pt idx="160">
                  <c:v>19.98</c:v>
                </c:pt>
                <c:pt idx="161">
                  <c:v>20.52000000000001</c:v>
                </c:pt>
                <c:pt idx="162">
                  <c:v>21</c:v>
                </c:pt>
                <c:pt idx="163">
                  <c:v>21.48</c:v>
                </c:pt>
                <c:pt idx="164">
                  <c:v>22.02</c:v>
                </c:pt>
                <c:pt idx="165">
                  <c:v>22.5</c:v>
                </c:pt>
                <c:pt idx="166">
                  <c:v>22.98</c:v>
                </c:pt>
                <c:pt idx="167">
                  <c:v>23.52</c:v>
                </c:pt>
                <c:pt idx="168">
                  <c:v>24</c:v>
                </c:pt>
                <c:pt idx="169">
                  <c:v>24.47999999999999</c:v>
                </c:pt>
                <c:pt idx="170">
                  <c:v>25.02</c:v>
                </c:pt>
                <c:pt idx="171">
                  <c:v>25.5</c:v>
                </c:pt>
                <c:pt idx="172">
                  <c:v>25.98</c:v>
                </c:pt>
                <c:pt idx="173">
                  <c:v>26.52</c:v>
                </c:pt>
                <c:pt idx="174">
                  <c:v>27</c:v>
                </c:pt>
                <c:pt idx="175">
                  <c:v>27.48</c:v>
                </c:pt>
                <c:pt idx="176">
                  <c:v>28.02000000000001</c:v>
                </c:pt>
                <c:pt idx="177">
                  <c:v>28.5</c:v>
                </c:pt>
                <c:pt idx="178">
                  <c:v>28.98</c:v>
                </c:pt>
                <c:pt idx="179">
                  <c:v>29.52</c:v>
                </c:pt>
                <c:pt idx="180">
                  <c:v>30</c:v>
                </c:pt>
                <c:pt idx="181">
                  <c:v>30.48</c:v>
                </c:pt>
                <c:pt idx="182">
                  <c:v>31.02</c:v>
                </c:pt>
                <c:pt idx="183">
                  <c:v>31.5</c:v>
                </c:pt>
                <c:pt idx="184">
                  <c:v>31.97999999999999</c:v>
                </c:pt>
                <c:pt idx="185">
                  <c:v>32.52</c:v>
                </c:pt>
                <c:pt idx="186">
                  <c:v>33</c:v>
                </c:pt>
                <c:pt idx="187">
                  <c:v>33.48</c:v>
                </c:pt>
                <c:pt idx="188">
                  <c:v>34.02</c:v>
                </c:pt>
                <c:pt idx="189">
                  <c:v>34.5</c:v>
                </c:pt>
                <c:pt idx="190">
                  <c:v>34.98</c:v>
                </c:pt>
                <c:pt idx="191">
                  <c:v>35.52000000000001</c:v>
                </c:pt>
                <c:pt idx="192">
                  <c:v>36</c:v>
                </c:pt>
                <c:pt idx="193">
                  <c:v>36.48</c:v>
                </c:pt>
                <c:pt idx="194">
                  <c:v>37.02</c:v>
                </c:pt>
                <c:pt idx="195">
                  <c:v>37.5</c:v>
                </c:pt>
                <c:pt idx="196">
                  <c:v>37.98</c:v>
                </c:pt>
                <c:pt idx="197">
                  <c:v>38.52</c:v>
                </c:pt>
                <c:pt idx="198">
                  <c:v>39</c:v>
                </c:pt>
                <c:pt idx="199">
                  <c:v>39.47999999999999</c:v>
                </c:pt>
                <c:pt idx="200">
                  <c:v>40.02</c:v>
                </c:pt>
                <c:pt idx="201">
                  <c:v>40.5</c:v>
                </c:pt>
                <c:pt idx="202">
                  <c:v>40.98</c:v>
                </c:pt>
                <c:pt idx="203">
                  <c:v>41.52</c:v>
                </c:pt>
                <c:pt idx="204">
                  <c:v>42</c:v>
                </c:pt>
                <c:pt idx="205">
                  <c:v>42.48</c:v>
                </c:pt>
                <c:pt idx="206">
                  <c:v>43.02000000000001</c:v>
                </c:pt>
                <c:pt idx="207">
                  <c:v>43.5</c:v>
                </c:pt>
                <c:pt idx="208">
                  <c:v>43.98</c:v>
                </c:pt>
                <c:pt idx="209">
                  <c:v>44.52</c:v>
                </c:pt>
                <c:pt idx="210">
                  <c:v>45</c:v>
                </c:pt>
                <c:pt idx="211">
                  <c:v>45.48</c:v>
                </c:pt>
                <c:pt idx="212">
                  <c:v>46.02</c:v>
                </c:pt>
                <c:pt idx="213">
                  <c:v>46.5</c:v>
                </c:pt>
                <c:pt idx="214">
                  <c:v>46.97999999999999</c:v>
                </c:pt>
                <c:pt idx="215">
                  <c:v>47.52</c:v>
                </c:pt>
                <c:pt idx="216">
                  <c:v>48</c:v>
                </c:pt>
                <c:pt idx="217">
                  <c:v>48.48</c:v>
                </c:pt>
                <c:pt idx="218">
                  <c:v>49.02</c:v>
                </c:pt>
                <c:pt idx="219">
                  <c:v>49.5</c:v>
                </c:pt>
                <c:pt idx="220">
                  <c:v>49.98</c:v>
                </c:pt>
                <c:pt idx="221">
                  <c:v>50.52000000000001</c:v>
                </c:pt>
                <c:pt idx="222">
                  <c:v>51</c:v>
                </c:pt>
                <c:pt idx="223">
                  <c:v>51.48</c:v>
                </c:pt>
                <c:pt idx="224">
                  <c:v>52.02</c:v>
                </c:pt>
                <c:pt idx="225">
                  <c:v>52.5</c:v>
                </c:pt>
                <c:pt idx="226">
                  <c:v>52.98</c:v>
                </c:pt>
                <c:pt idx="227">
                  <c:v>53.52</c:v>
                </c:pt>
                <c:pt idx="228">
                  <c:v>54</c:v>
                </c:pt>
                <c:pt idx="229">
                  <c:v>54.47999999999999</c:v>
                </c:pt>
                <c:pt idx="230">
                  <c:v>55.02</c:v>
                </c:pt>
                <c:pt idx="231">
                  <c:v>55.5</c:v>
                </c:pt>
                <c:pt idx="232">
                  <c:v>55.98</c:v>
                </c:pt>
                <c:pt idx="233">
                  <c:v>56.52</c:v>
                </c:pt>
                <c:pt idx="234">
                  <c:v>57</c:v>
                </c:pt>
                <c:pt idx="235">
                  <c:v>57.48</c:v>
                </c:pt>
                <c:pt idx="236">
                  <c:v>58.02000000000001</c:v>
                </c:pt>
                <c:pt idx="237">
                  <c:v>58.5</c:v>
                </c:pt>
                <c:pt idx="238">
                  <c:v>58.98</c:v>
                </c:pt>
                <c:pt idx="239">
                  <c:v>59.52</c:v>
                </c:pt>
                <c:pt idx="240">
                  <c:v>60</c:v>
                </c:pt>
              </c:numCache>
            </c:numRef>
          </c:xVal>
          <c:yVal>
            <c:numRef>
              <c:f>Native_Chart_Data!$B$1718:$B$1958</c:f>
              <c:numCache>
                <c:formatCode>General</c:formatCode>
                <c:ptCount val="241"/>
                <c:pt idx="0">
                  <c:v>2737.972133961626</c:v>
                </c:pt>
                <c:pt idx="1">
                  <c:v>2736.952820139559</c:v>
                </c:pt>
                <c:pt idx="2">
                  <c:v>2735.869392882246</c:v>
                </c:pt>
                <c:pt idx="3">
                  <c:v>2734.753785275425</c:v>
                </c:pt>
                <c:pt idx="4">
                  <c:v>2733.871285319514</c:v>
                </c:pt>
                <c:pt idx="5">
                  <c:v>2732.687149406082</c:v>
                </c:pt>
                <c:pt idx="6">
                  <c:v>2731.689576789972</c:v>
                </c:pt>
                <c:pt idx="7">
                  <c:v>2730.708831878115</c:v>
                </c:pt>
                <c:pt idx="8">
                  <c:v>2729.524186781265</c:v>
                </c:pt>
                <c:pt idx="9">
                  <c:v>2728.570750363843</c:v>
                </c:pt>
                <c:pt idx="10">
                  <c:v>2727.45681982305</c:v>
                </c:pt>
                <c:pt idx="11">
                  <c:v>2726.335465018483</c:v>
                </c:pt>
                <c:pt idx="12">
                  <c:v>2725.445254299418</c:v>
                </c:pt>
                <c:pt idx="13">
                  <c:v>2724.358623846133</c:v>
                </c:pt>
                <c:pt idx="14">
                  <c:v>2723.262706168718</c:v>
                </c:pt>
                <c:pt idx="15">
                  <c:v>2722.420925728</c:v>
                </c:pt>
                <c:pt idx="16">
                  <c:v>2721.453798788491</c:v>
                </c:pt>
                <c:pt idx="17">
                  <c:v>2720.378943904156</c:v>
                </c:pt>
                <c:pt idx="18">
                  <c:v>2719.530057692372</c:v>
                </c:pt>
                <c:pt idx="19">
                  <c:v>2718.680198758176</c:v>
                </c:pt>
                <c:pt idx="20">
                  <c:v>2717.697434554922</c:v>
                </c:pt>
                <c:pt idx="21">
                  <c:v>2716.825030720466</c:v>
                </c:pt>
                <c:pt idx="22">
                  <c:v>2716.017098307161</c:v>
                </c:pt>
                <c:pt idx="23">
                  <c:v>2715.061348393658</c:v>
                </c:pt>
                <c:pt idx="24">
                  <c:v>2714.277955672648</c:v>
                </c:pt>
                <c:pt idx="25">
                  <c:v>2713.529197755951</c:v>
                </c:pt>
                <c:pt idx="26">
                  <c:v>2712.560165607472</c:v>
                </c:pt>
                <c:pt idx="27">
                  <c:v>2711.773173063473</c:v>
                </c:pt>
                <c:pt idx="28">
                  <c:v>2711.160999256946</c:v>
                </c:pt>
                <c:pt idx="29">
                  <c:v>2710.338289310354</c:v>
                </c:pt>
                <c:pt idx="30">
                  <c:v>2709.642892986501</c:v>
                </c:pt>
                <c:pt idx="31">
                  <c:v>2708.85476109416</c:v>
                </c:pt>
                <c:pt idx="32">
                  <c:v>2708.046309396769</c:v>
                </c:pt>
                <c:pt idx="33">
                  <c:v>2707.281600559912</c:v>
                </c:pt>
                <c:pt idx="34">
                  <c:v>2706.659536835927</c:v>
                </c:pt>
                <c:pt idx="35">
                  <c:v>2705.8693463886</c:v>
                </c:pt>
                <c:pt idx="36">
                  <c:v>2705.27705475384</c:v>
                </c:pt>
                <c:pt idx="37">
                  <c:v>2704.569325361165</c:v>
                </c:pt>
                <c:pt idx="38">
                  <c:v>2703.690567807379</c:v>
                </c:pt>
                <c:pt idx="39">
                  <c:v>2702.949725274078</c:v>
                </c:pt>
                <c:pt idx="40">
                  <c:v>2702.342639134389</c:v>
                </c:pt>
                <c:pt idx="41">
                  <c:v>2701.587502760221</c:v>
                </c:pt>
                <c:pt idx="42">
                  <c:v>2700.881064031099</c:v>
                </c:pt>
                <c:pt idx="43">
                  <c:v>2700.070391320978</c:v>
                </c:pt>
                <c:pt idx="44">
                  <c:v>2699.243090826164</c:v>
                </c:pt>
                <c:pt idx="45">
                  <c:v>2698.485826108882</c:v>
                </c:pt>
                <c:pt idx="46">
                  <c:v>2697.912683127855</c:v>
                </c:pt>
                <c:pt idx="47">
                  <c:v>2697.068116367803</c:v>
                </c:pt>
                <c:pt idx="48">
                  <c:v>2696.304966367295</c:v>
                </c:pt>
                <c:pt idx="49">
                  <c:v>2695.659297649586</c:v>
                </c:pt>
                <c:pt idx="50">
                  <c:v>2694.899956964054</c:v>
                </c:pt>
                <c:pt idx="51">
                  <c:v>2694.143153810637</c:v>
                </c:pt>
                <c:pt idx="52">
                  <c:v>2693.588770109588</c:v>
                </c:pt>
                <c:pt idx="53">
                  <c:v>2692.757963165586</c:v>
                </c:pt>
                <c:pt idx="54">
                  <c:v>2692.174665589233</c:v>
                </c:pt>
                <c:pt idx="55">
                  <c:v>2691.668504525569</c:v>
                </c:pt>
                <c:pt idx="56">
                  <c:v>2690.902415920666</c:v>
                </c:pt>
                <c:pt idx="57">
                  <c:v>2690.368823941855</c:v>
                </c:pt>
                <c:pt idx="58">
                  <c:v>2689.879981187311</c:v>
                </c:pt>
                <c:pt idx="59">
                  <c:v>2689.368268666748</c:v>
                </c:pt>
                <c:pt idx="60">
                  <c:v>2688.849181231688</c:v>
                </c:pt>
                <c:pt idx="61">
                  <c:v>2688.418530040225</c:v>
                </c:pt>
                <c:pt idx="62">
                  <c:v>2687.935484952494</c:v>
                </c:pt>
                <c:pt idx="63">
                  <c:v>2687.465654508635</c:v>
                </c:pt>
                <c:pt idx="64">
                  <c:v>2686.986506216522</c:v>
                </c:pt>
                <c:pt idx="65">
                  <c:v>2686.576366733176</c:v>
                </c:pt>
                <c:pt idx="66">
                  <c:v>2686.123028108961</c:v>
                </c:pt>
                <c:pt idx="67">
                  <c:v>2685.76410486959</c:v>
                </c:pt>
                <c:pt idx="68">
                  <c:v>2685.266759252025</c:v>
                </c:pt>
                <c:pt idx="69">
                  <c:v>2684.838268282212</c:v>
                </c:pt>
                <c:pt idx="70">
                  <c:v>2684.344258811687</c:v>
                </c:pt>
                <c:pt idx="71">
                  <c:v>2684.009111898592</c:v>
                </c:pt>
                <c:pt idx="72">
                  <c:v>2683.537186227637</c:v>
                </c:pt>
                <c:pt idx="73">
                  <c:v>2682.959399881261</c:v>
                </c:pt>
                <c:pt idx="74">
                  <c:v>2682.593675974817</c:v>
                </c:pt>
                <c:pt idx="75">
                  <c:v>2682.174729680835</c:v>
                </c:pt>
                <c:pt idx="76">
                  <c:v>2681.633377970777</c:v>
                </c:pt>
                <c:pt idx="77">
                  <c:v>2681.074277895876</c:v>
                </c:pt>
                <c:pt idx="78">
                  <c:v>2680.805031719671</c:v>
                </c:pt>
                <c:pt idx="79">
                  <c:v>2680.307213361289</c:v>
                </c:pt>
                <c:pt idx="80">
                  <c:v>2679.910435734186</c:v>
                </c:pt>
                <c:pt idx="81">
                  <c:v>2679.417616487638</c:v>
                </c:pt>
                <c:pt idx="82">
                  <c:v>2679.101138360736</c:v>
                </c:pt>
                <c:pt idx="83">
                  <c:v>2678.620330554761</c:v>
                </c:pt>
                <c:pt idx="84">
                  <c:v>2678.227408694839</c:v>
                </c:pt>
                <c:pt idx="85">
                  <c:v>2677.901102367137</c:v>
                </c:pt>
                <c:pt idx="86">
                  <c:v>2677.592328033758</c:v>
                </c:pt>
                <c:pt idx="87">
                  <c:v>2677.336851587953</c:v>
                </c:pt>
                <c:pt idx="88">
                  <c:v>2676.893578124921</c:v>
                </c:pt>
                <c:pt idx="89">
                  <c:v>2676.682672527735</c:v>
                </c:pt>
                <c:pt idx="90">
                  <c:v>2676.298054911225</c:v>
                </c:pt>
                <c:pt idx="91">
                  <c:v>2676.077275539556</c:v>
                </c:pt>
                <c:pt idx="92">
                  <c:v>2675.748237262396</c:v>
                </c:pt>
                <c:pt idx="93">
                  <c:v>2675.521002594637</c:v>
                </c:pt>
                <c:pt idx="94">
                  <c:v>2675.243509673234</c:v>
                </c:pt>
                <c:pt idx="95">
                  <c:v>2674.830824547455</c:v>
                </c:pt>
                <c:pt idx="96">
                  <c:v>2674.710579424505</c:v>
                </c:pt>
                <c:pt idx="97">
                  <c:v>2674.359012410629</c:v>
                </c:pt>
                <c:pt idx="98">
                  <c:v>2674.190016568398</c:v>
                </c:pt>
                <c:pt idx="99">
                  <c:v>2673.894654942711</c:v>
                </c:pt>
                <c:pt idx="100">
                  <c:v>2673.759697209001</c:v>
                </c:pt>
                <c:pt idx="101">
                  <c:v>2673.572737760398</c:v>
                </c:pt>
                <c:pt idx="102">
                  <c:v>2673.302473071738</c:v>
                </c:pt>
                <c:pt idx="103">
                  <c:v>2673.207375269783</c:v>
                </c:pt>
                <c:pt idx="104">
                  <c:v>2673.172555637469</c:v>
                </c:pt>
                <c:pt idx="105">
                  <c:v>2672.929332564458</c:v>
                </c:pt>
                <c:pt idx="106">
                  <c:v>2672.888297210901</c:v>
                </c:pt>
                <c:pt idx="107">
                  <c:v>2672.848876817925</c:v>
                </c:pt>
                <c:pt idx="108">
                  <c:v>2672.717361854453</c:v>
                </c:pt>
                <c:pt idx="109">
                  <c:v>2672.777044222336</c:v>
                </c:pt>
                <c:pt idx="110">
                  <c:v>2672.720653805265</c:v>
                </c:pt>
                <c:pt idx="111">
                  <c:v>2672.598639611109</c:v>
                </c:pt>
                <c:pt idx="112">
                  <c:v>2672.616986234106</c:v>
                </c:pt>
                <c:pt idx="113">
                  <c:v>2672.460019122305</c:v>
                </c:pt>
                <c:pt idx="114">
                  <c:v>2672.418709222067</c:v>
                </c:pt>
                <c:pt idx="115">
                  <c:v>2672.376544454522</c:v>
                </c:pt>
                <c:pt idx="116">
                  <c:v>2672.284988766312</c:v>
                </c:pt>
                <c:pt idx="117">
                  <c:v>2672.22526340349</c:v>
                </c:pt>
                <c:pt idx="118">
                  <c:v>2672.026596115288</c:v>
                </c:pt>
                <c:pt idx="119">
                  <c:v>2671.970446275512</c:v>
                </c:pt>
                <c:pt idx="120">
                  <c:v>2671.856910938031</c:v>
                </c:pt>
                <c:pt idx="121">
                  <c:v>2671.734762465316</c:v>
                </c:pt>
                <c:pt idx="122">
                  <c:v>2671.624790400971</c:v>
                </c:pt>
                <c:pt idx="123">
                  <c:v>2671.654913496507</c:v>
                </c:pt>
                <c:pt idx="124">
                  <c:v>2671.55448128243</c:v>
                </c:pt>
                <c:pt idx="125">
                  <c:v>2671.555262916696</c:v>
                </c:pt>
                <c:pt idx="126">
                  <c:v>2671.642630922799</c:v>
                </c:pt>
                <c:pt idx="127">
                  <c:v>2671.528754240956</c:v>
                </c:pt>
                <c:pt idx="128">
                  <c:v>2671.716476898112</c:v>
                </c:pt>
                <c:pt idx="129">
                  <c:v>2671.632131097548</c:v>
                </c:pt>
                <c:pt idx="130">
                  <c:v>2671.785967959034</c:v>
                </c:pt>
                <c:pt idx="131">
                  <c:v>2672.00258832198</c:v>
                </c:pt>
                <c:pt idx="132">
                  <c:v>2672.145907617792</c:v>
                </c:pt>
                <c:pt idx="133">
                  <c:v>2672.262088376571</c:v>
                </c:pt>
                <c:pt idx="134">
                  <c:v>2672.478706954055</c:v>
                </c:pt>
                <c:pt idx="135">
                  <c:v>2672.708457979676</c:v>
                </c:pt>
                <c:pt idx="136">
                  <c:v>2672.811129833762</c:v>
                </c:pt>
                <c:pt idx="137">
                  <c:v>2673.018641276298</c:v>
                </c:pt>
                <c:pt idx="138">
                  <c:v>2673.298433729452</c:v>
                </c:pt>
                <c:pt idx="139">
                  <c:v>2673.5257336157</c:v>
                </c:pt>
                <c:pt idx="140">
                  <c:v>2673.882119678937</c:v>
                </c:pt>
                <c:pt idx="141">
                  <c:v>2674.108450593098</c:v>
                </c:pt>
                <c:pt idx="142">
                  <c:v>2674.284219824957</c:v>
                </c:pt>
                <c:pt idx="143">
                  <c:v>2674.619771268388</c:v>
                </c:pt>
                <c:pt idx="144">
                  <c:v>2674.811288200135</c:v>
                </c:pt>
                <c:pt idx="145">
                  <c:v>2675.095778091706</c:v>
                </c:pt>
                <c:pt idx="146">
                  <c:v>2675.295265762803</c:v>
                </c:pt>
                <c:pt idx="147">
                  <c:v>2675.586944487273</c:v>
                </c:pt>
                <c:pt idx="148">
                  <c:v>2675.728441597502</c:v>
                </c:pt>
                <c:pt idx="149">
                  <c:v>2676.03978450837</c:v>
                </c:pt>
                <c:pt idx="150">
                  <c:v>2676.41288176594</c:v>
                </c:pt>
                <c:pt idx="151">
                  <c:v>2676.700779028285</c:v>
                </c:pt>
                <c:pt idx="152">
                  <c:v>2676.955320476383</c:v>
                </c:pt>
                <c:pt idx="153">
                  <c:v>2677.210266088246</c:v>
                </c:pt>
                <c:pt idx="154">
                  <c:v>2677.539889282522</c:v>
                </c:pt>
                <c:pt idx="155">
                  <c:v>2677.77164857613</c:v>
                </c:pt>
                <c:pt idx="156">
                  <c:v>2678.05911231437</c:v>
                </c:pt>
                <c:pt idx="157">
                  <c:v>2678.324896242484</c:v>
                </c:pt>
                <c:pt idx="158">
                  <c:v>2678.760343194256</c:v>
                </c:pt>
                <c:pt idx="159">
                  <c:v>2678.934012540692</c:v>
                </c:pt>
                <c:pt idx="160">
                  <c:v>2679.273151773947</c:v>
                </c:pt>
                <c:pt idx="161">
                  <c:v>2679.638484907437</c:v>
                </c:pt>
                <c:pt idx="162">
                  <c:v>2679.986525649553</c:v>
                </c:pt>
                <c:pt idx="163">
                  <c:v>2680.362843976811</c:v>
                </c:pt>
                <c:pt idx="164">
                  <c:v>2680.656874477047</c:v>
                </c:pt>
                <c:pt idx="165">
                  <c:v>2681.141038946116</c:v>
                </c:pt>
                <c:pt idx="166">
                  <c:v>2681.441034380151</c:v>
                </c:pt>
                <c:pt idx="167">
                  <c:v>2681.993978895342</c:v>
                </c:pt>
                <c:pt idx="168">
                  <c:v>2682.391940718691</c:v>
                </c:pt>
                <c:pt idx="169">
                  <c:v>2682.915880658896</c:v>
                </c:pt>
                <c:pt idx="170">
                  <c:v>2683.443845939073</c:v>
                </c:pt>
                <c:pt idx="171">
                  <c:v>2684.053089463599</c:v>
                </c:pt>
                <c:pt idx="172">
                  <c:v>2684.426467296629</c:v>
                </c:pt>
                <c:pt idx="173">
                  <c:v>2685.202148008529</c:v>
                </c:pt>
                <c:pt idx="174">
                  <c:v>2685.746033918141</c:v>
                </c:pt>
                <c:pt idx="175">
                  <c:v>2686.242028108916</c:v>
                </c:pt>
                <c:pt idx="176">
                  <c:v>2686.848274404113</c:v>
                </c:pt>
                <c:pt idx="177">
                  <c:v>2687.464173849088</c:v>
                </c:pt>
                <c:pt idx="178">
                  <c:v>2688.187625072262</c:v>
                </c:pt>
                <c:pt idx="179">
                  <c:v>2688.722217643149</c:v>
                </c:pt>
                <c:pt idx="180">
                  <c:v>2689.36961225335</c:v>
                </c:pt>
                <c:pt idx="181">
                  <c:v>2689.952409004994</c:v>
                </c:pt>
                <c:pt idx="182">
                  <c:v>2690.5667082176</c:v>
                </c:pt>
                <c:pt idx="183">
                  <c:v>2691.286112934711</c:v>
                </c:pt>
                <c:pt idx="184">
                  <c:v>2691.708451415575</c:v>
                </c:pt>
                <c:pt idx="185">
                  <c:v>2692.332079968445</c:v>
                </c:pt>
                <c:pt idx="186">
                  <c:v>2692.941896358347</c:v>
                </c:pt>
                <c:pt idx="187">
                  <c:v>2693.54717945733</c:v>
                </c:pt>
                <c:pt idx="188">
                  <c:v>2694.106611521892</c:v>
                </c:pt>
                <c:pt idx="189">
                  <c:v>2694.58931326976</c:v>
                </c:pt>
                <c:pt idx="190">
                  <c:v>2695.227838941296</c:v>
                </c:pt>
                <c:pt idx="191">
                  <c:v>2695.893073584095</c:v>
                </c:pt>
                <c:pt idx="192">
                  <c:v>2696.44638643649</c:v>
                </c:pt>
                <c:pt idx="193">
                  <c:v>2696.984703352465</c:v>
                </c:pt>
                <c:pt idx="194">
                  <c:v>2697.502755963133</c:v>
                </c:pt>
                <c:pt idx="195">
                  <c:v>2698.211716438776</c:v>
                </c:pt>
                <c:pt idx="196">
                  <c:v>2698.744574867953</c:v>
                </c:pt>
                <c:pt idx="197">
                  <c:v>2699.550750181976</c:v>
                </c:pt>
                <c:pt idx="198">
                  <c:v>2700.100066526029</c:v>
                </c:pt>
                <c:pt idx="199">
                  <c:v>2700.798934050626</c:v>
                </c:pt>
                <c:pt idx="200">
                  <c:v>2701.613507167395</c:v>
                </c:pt>
                <c:pt idx="201">
                  <c:v>2702.227556402274</c:v>
                </c:pt>
                <c:pt idx="202">
                  <c:v>2702.934701240567</c:v>
                </c:pt>
                <c:pt idx="203">
                  <c:v>2703.810254870827</c:v>
                </c:pt>
                <c:pt idx="204">
                  <c:v>2704.614349908813</c:v>
                </c:pt>
                <c:pt idx="205">
                  <c:v>2705.349531148823</c:v>
                </c:pt>
                <c:pt idx="206">
                  <c:v>2706.428874766004</c:v>
                </c:pt>
                <c:pt idx="207">
                  <c:v>2707.185997678543</c:v>
                </c:pt>
                <c:pt idx="208">
                  <c:v>2708.053513691632</c:v>
                </c:pt>
                <c:pt idx="209">
                  <c:v>2708.975933123206</c:v>
                </c:pt>
                <c:pt idx="210">
                  <c:v>2709.929755498521</c:v>
                </c:pt>
                <c:pt idx="211">
                  <c:v>2710.776759778393</c:v>
                </c:pt>
                <c:pt idx="212">
                  <c:v>2711.675685734151</c:v>
                </c:pt>
                <c:pt idx="213">
                  <c:v>2712.618819612096</c:v>
                </c:pt>
                <c:pt idx="214">
                  <c:v>2713.403250630905</c:v>
                </c:pt>
                <c:pt idx="215">
                  <c:v>2714.430532583009</c:v>
                </c:pt>
                <c:pt idx="216">
                  <c:v>2715.124057836022</c:v>
                </c:pt>
                <c:pt idx="217">
                  <c:v>2716.028847901768</c:v>
                </c:pt>
                <c:pt idx="218">
                  <c:v>2717.001745421667</c:v>
                </c:pt>
                <c:pt idx="219">
                  <c:v>2717.765581637483</c:v>
                </c:pt>
                <c:pt idx="220">
                  <c:v>2718.562423641157</c:v>
                </c:pt>
                <c:pt idx="221">
                  <c:v>2719.460022897974</c:v>
                </c:pt>
                <c:pt idx="222">
                  <c:v>2720.284625130148</c:v>
                </c:pt>
                <c:pt idx="223">
                  <c:v>2721.136694205718</c:v>
                </c:pt>
                <c:pt idx="224">
                  <c:v>2722.01613177358</c:v>
                </c:pt>
                <c:pt idx="225">
                  <c:v>2722.843712452214</c:v>
                </c:pt>
                <c:pt idx="226">
                  <c:v>2723.753510324714</c:v>
                </c:pt>
                <c:pt idx="227">
                  <c:v>2724.619478825956</c:v>
                </c:pt>
                <c:pt idx="228">
                  <c:v>2725.542674611314</c:v>
                </c:pt>
                <c:pt idx="229">
                  <c:v>2726.490533938934</c:v>
                </c:pt>
                <c:pt idx="230">
                  <c:v>2727.366068975403</c:v>
                </c:pt>
                <c:pt idx="231">
                  <c:v>2728.42675622362</c:v>
                </c:pt>
                <c:pt idx="232">
                  <c:v>2729.345802686525</c:v>
                </c:pt>
                <c:pt idx="233">
                  <c:v>2730.327377287637</c:v>
                </c:pt>
                <c:pt idx="234">
                  <c:v>2731.275615406239</c:v>
                </c:pt>
                <c:pt idx="235">
                  <c:v>2732.410990361145</c:v>
                </c:pt>
                <c:pt idx="236">
                  <c:v>2733.37371126838</c:v>
                </c:pt>
                <c:pt idx="237">
                  <c:v>2734.400824079456</c:v>
                </c:pt>
                <c:pt idx="238">
                  <c:v>2735.447465781551</c:v>
                </c:pt>
                <c:pt idx="239">
                  <c:v>2736.577363887402</c:v>
                </c:pt>
                <c:pt idx="240">
                  <c:v>2737.580395373951</c:v>
                </c:pt>
              </c:numCache>
            </c:numRef>
          </c:yVal>
        </c:ser>
        <c:ser>
          <c:idx val="1"/>
          <c:order val="1"/>
          <c:tx>
            <c:v>Paper low-altitude 35 km / 800 km pass</c:v>
          </c:tx>
          <c:spPr>
            <a:ln xmlns:a="http://schemas.openxmlformats.org/drawingml/2006/mai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-376.8</c:v>
                </c:pt>
                <c:pt idx="8">
                  <c:v>-373.2</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-326.8</c:v>
                </c:pt>
                <c:pt idx="23">
                  <c:v>-323.2</c:v>
                </c:pt>
                <c:pt idx="24">
                  <c:v>-320</c:v>
                </c:pt>
                <c:pt idx="25">
                  <c:v>-316.8</c:v>
                </c:pt>
                <c:pt idx="26">
                  <c:v>-313.2</c:v>
                </c:pt>
                <c:pt idx="27">
                  <c:v>-310</c:v>
                </c:pt>
                <c:pt idx="28">
                  <c:v>-306.8</c:v>
                </c:pt>
                <c:pt idx="29">
                  <c:v>-303.2</c:v>
                </c:pt>
                <c:pt idx="30">
                  <c:v>-300</c:v>
                </c:pt>
                <c:pt idx="31">
                  <c:v>-296.8</c:v>
                </c:pt>
                <c:pt idx="32">
                  <c:v>-293.2</c:v>
                </c:pt>
                <c:pt idx="33">
                  <c:v>-290</c:v>
                </c:pt>
                <c:pt idx="34">
                  <c:v>-286.8</c:v>
                </c:pt>
                <c:pt idx="35">
                  <c:v>-283.2</c:v>
                </c:pt>
                <c:pt idx="36">
                  <c:v>-280</c:v>
                </c:pt>
                <c:pt idx="37">
                  <c:v>-276.8</c:v>
                </c:pt>
                <c:pt idx="38">
                  <c:v>-273.2</c:v>
                </c:pt>
                <c:pt idx="39">
                  <c:v>-270</c:v>
                </c:pt>
                <c:pt idx="40">
                  <c:v>-266.8</c:v>
                </c:pt>
                <c:pt idx="41">
                  <c:v>-263.2</c:v>
                </c:pt>
                <c:pt idx="42">
                  <c:v>-260</c:v>
                </c:pt>
                <c:pt idx="43">
                  <c:v>-256.8</c:v>
                </c:pt>
                <c:pt idx="44">
                  <c:v>-253.2</c:v>
                </c:pt>
                <c:pt idx="45">
                  <c:v>-250</c:v>
                </c:pt>
                <c:pt idx="46">
                  <c:v>-246.8</c:v>
                </c:pt>
                <c:pt idx="47">
                  <c:v>-243.2</c:v>
                </c:pt>
                <c:pt idx="48">
                  <c:v>-240</c:v>
                </c:pt>
                <c:pt idx="49">
                  <c:v>-236.8</c:v>
                </c:pt>
                <c:pt idx="50">
                  <c:v>-233.2</c:v>
                </c:pt>
                <c:pt idx="51">
                  <c:v>-230</c:v>
                </c:pt>
                <c:pt idx="52">
                  <c:v>-226.8</c:v>
                </c:pt>
                <c:pt idx="53">
                  <c:v>-223.2</c:v>
                </c:pt>
                <c:pt idx="54">
                  <c:v>-220</c:v>
                </c:pt>
                <c:pt idx="55">
                  <c:v>-216.8</c:v>
                </c:pt>
                <c:pt idx="56">
                  <c:v>-213.2</c:v>
                </c:pt>
                <c:pt idx="57">
                  <c:v>-210</c:v>
                </c:pt>
                <c:pt idx="58">
                  <c:v>-206.8</c:v>
                </c:pt>
                <c:pt idx="59">
                  <c:v>-203.2</c:v>
                </c:pt>
                <c:pt idx="60">
                  <c:v>-200</c:v>
                </c:pt>
                <c:pt idx="61">
                  <c:v>-196.8</c:v>
                </c:pt>
                <c:pt idx="62">
                  <c:v>-193.2</c:v>
                </c:pt>
                <c:pt idx="63">
                  <c:v>-190</c:v>
                </c:pt>
                <c:pt idx="64">
                  <c:v>-186.8</c:v>
                </c:pt>
                <c:pt idx="65">
                  <c:v>-183.2</c:v>
                </c:pt>
                <c:pt idx="66">
                  <c:v>-180</c:v>
                </c:pt>
                <c:pt idx="67">
                  <c:v>-176.8</c:v>
                </c:pt>
                <c:pt idx="68">
                  <c:v>-173.2</c:v>
                </c:pt>
                <c:pt idx="69">
                  <c:v>-170</c:v>
                </c:pt>
                <c:pt idx="70">
                  <c:v>-166.8</c:v>
                </c:pt>
                <c:pt idx="71">
                  <c:v>-163.2</c:v>
                </c:pt>
                <c:pt idx="72">
                  <c:v>-160</c:v>
                </c:pt>
                <c:pt idx="73">
                  <c:v>-156.8</c:v>
                </c:pt>
                <c:pt idx="74">
                  <c:v>-153.2</c:v>
                </c:pt>
                <c:pt idx="75">
                  <c:v>-150</c:v>
                </c:pt>
                <c:pt idx="76">
                  <c:v>-146.8</c:v>
                </c:pt>
                <c:pt idx="77">
                  <c:v>-143.2</c:v>
                </c:pt>
                <c:pt idx="78">
                  <c:v>-140</c:v>
                </c:pt>
                <c:pt idx="79">
                  <c:v>-136.8</c:v>
                </c:pt>
                <c:pt idx="80">
                  <c:v>-133.2</c:v>
                </c:pt>
                <c:pt idx="81">
                  <c:v>-130</c:v>
                </c:pt>
                <c:pt idx="82">
                  <c:v>-126.8</c:v>
                </c:pt>
                <c:pt idx="83">
                  <c:v>-123.2</c:v>
                </c:pt>
                <c:pt idx="84">
                  <c:v>-120</c:v>
                </c:pt>
                <c:pt idx="85">
                  <c:v>-116.8</c:v>
                </c:pt>
                <c:pt idx="86">
                  <c:v>-113.2</c:v>
                </c:pt>
                <c:pt idx="87">
                  <c:v>-110</c:v>
                </c:pt>
                <c:pt idx="88">
                  <c:v>-106.8</c:v>
                </c:pt>
                <c:pt idx="89">
                  <c:v>-103.2</c:v>
                </c:pt>
                <c:pt idx="90">
                  <c:v>-100</c:v>
                </c:pt>
                <c:pt idx="91">
                  <c:v>-96.80000000000001</c:v>
                </c:pt>
                <c:pt idx="92">
                  <c:v>-93.19999999999999</c:v>
                </c:pt>
                <c:pt idx="93">
                  <c:v>-90</c:v>
                </c:pt>
                <c:pt idx="94">
                  <c:v>-86.80000000000001</c:v>
                </c:pt>
                <c:pt idx="95">
                  <c:v>-83.19999999999999</c:v>
                </c:pt>
                <c:pt idx="96">
                  <c:v>-80</c:v>
                </c:pt>
                <c:pt idx="97">
                  <c:v>-76.79999999999995</c:v>
                </c:pt>
                <c:pt idx="98">
                  <c:v>-73.20000000000005</c:v>
                </c:pt>
                <c:pt idx="99">
                  <c:v>-70</c:v>
                </c:pt>
                <c:pt idx="100">
                  <c:v>-66.80000000000001</c:v>
                </c:pt>
                <c:pt idx="101">
                  <c:v>-63.19999999999999</c:v>
                </c:pt>
                <c:pt idx="102">
                  <c:v>-60</c:v>
                </c:pt>
                <c:pt idx="103">
                  <c:v>-56.80000000000001</c:v>
                </c:pt>
                <c:pt idx="104">
                  <c:v>-53.19999999999999</c:v>
                </c:pt>
                <c:pt idx="105">
                  <c:v>-50</c:v>
                </c:pt>
                <c:pt idx="106">
                  <c:v>-46.80000000000001</c:v>
                </c:pt>
                <c:pt idx="107">
                  <c:v>-43.19999999999999</c:v>
                </c:pt>
                <c:pt idx="108">
                  <c:v>-40</c:v>
                </c:pt>
                <c:pt idx="109">
                  <c:v>-36.80000000000001</c:v>
                </c:pt>
                <c:pt idx="110">
                  <c:v>-33.19999999999999</c:v>
                </c:pt>
                <c:pt idx="111">
                  <c:v>-30</c:v>
                </c:pt>
                <c:pt idx="112">
                  <c:v>-26.79999999999995</c:v>
                </c:pt>
                <c:pt idx="113">
                  <c:v>-23.20000000000005</c:v>
                </c:pt>
                <c:pt idx="114">
                  <c:v>-20</c:v>
                </c:pt>
                <c:pt idx="115">
                  <c:v>-16.80000000000001</c:v>
                </c:pt>
                <c:pt idx="116">
                  <c:v>-13.19999999999999</c:v>
                </c:pt>
                <c:pt idx="117">
                  <c:v>-10</c:v>
                </c:pt>
                <c:pt idx="118">
                  <c:v>-6.800000000000011</c:v>
                </c:pt>
                <c:pt idx="119">
                  <c:v>-3.199999999999989</c:v>
                </c:pt>
                <c:pt idx="120">
                  <c:v>0</c:v>
                </c:pt>
                <c:pt idx="121">
                  <c:v>3.199999999999989</c:v>
                </c:pt>
                <c:pt idx="122">
                  <c:v>6.799999999999955</c:v>
                </c:pt>
                <c:pt idx="123">
                  <c:v>9.999999999999943</c:v>
                </c:pt>
                <c:pt idx="124">
                  <c:v>13.19999999999999</c:v>
                </c:pt>
                <c:pt idx="125">
                  <c:v>16.80000000000001</c:v>
                </c:pt>
                <c:pt idx="126">
                  <c:v>20</c:v>
                </c:pt>
                <c:pt idx="127">
                  <c:v>23.20000000000005</c:v>
                </c:pt>
                <c:pt idx="128">
                  <c:v>26.79999999999995</c:v>
                </c:pt>
                <c:pt idx="129">
                  <c:v>30</c:v>
                </c:pt>
                <c:pt idx="130">
                  <c:v>33.19999999999999</c:v>
                </c:pt>
                <c:pt idx="131">
                  <c:v>36.80000000000001</c:v>
                </c:pt>
                <c:pt idx="132">
                  <c:v>40.00000000000006</c:v>
                </c:pt>
                <c:pt idx="133">
                  <c:v>43.20000000000005</c:v>
                </c:pt>
                <c:pt idx="134">
                  <c:v>46.80000000000001</c:v>
                </c:pt>
                <c:pt idx="135">
                  <c:v>50</c:v>
                </c:pt>
                <c:pt idx="136">
                  <c:v>53.19999999999999</c:v>
                </c:pt>
                <c:pt idx="137">
                  <c:v>56.79999999999995</c:v>
                </c:pt>
                <c:pt idx="138">
                  <c:v>59.99999999999994</c:v>
                </c:pt>
                <c:pt idx="139">
                  <c:v>63.19999999999999</c:v>
                </c:pt>
                <c:pt idx="140">
                  <c:v>66.80000000000001</c:v>
                </c:pt>
                <c:pt idx="141">
                  <c:v>70</c:v>
                </c:pt>
                <c:pt idx="142">
                  <c:v>73.20000000000005</c:v>
                </c:pt>
                <c:pt idx="143">
                  <c:v>76.79999999999995</c:v>
                </c:pt>
                <c:pt idx="144">
                  <c:v>80</c:v>
                </c:pt>
                <c:pt idx="145">
                  <c:v>83.19999999999999</c:v>
                </c:pt>
                <c:pt idx="146">
                  <c:v>86.80000000000001</c:v>
                </c:pt>
                <c:pt idx="147">
                  <c:v>90.00000000000006</c:v>
                </c:pt>
                <c:pt idx="148">
                  <c:v>93.20000000000005</c:v>
                </c:pt>
                <c:pt idx="149">
                  <c:v>96.80000000000001</c:v>
                </c:pt>
                <c:pt idx="150">
                  <c:v>100</c:v>
                </c:pt>
                <c:pt idx="151">
                  <c:v>103.2</c:v>
                </c:pt>
                <c:pt idx="152">
                  <c:v>106.8</c:v>
                </c:pt>
                <c:pt idx="153">
                  <c:v>109.9999999999999</c:v>
                </c:pt>
                <c:pt idx="154">
                  <c:v>113.1999999999999</c:v>
                </c:pt>
                <c:pt idx="155">
                  <c:v>116.8000000000001</c:v>
                </c:pt>
                <c:pt idx="156">
                  <c:v>120</c:v>
                </c:pt>
                <c:pt idx="157">
                  <c:v>123.2</c:v>
                </c:pt>
                <c:pt idx="158">
                  <c:v>126.8</c:v>
                </c:pt>
                <c:pt idx="159">
                  <c:v>130</c:v>
                </c:pt>
                <c:pt idx="160">
                  <c:v>133.1999999999999</c:v>
                </c:pt>
                <c:pt idx="161">
                  <c:v>136.8000000000001</c:v>
                </c:pt>
                <c:pt idx="162">
                  <c:v>140</c:v>
                </c:pt>
                <c:pt idx="163">
                  <c:v>143.2</c:v>
                </c:pt>
                <c:pt idx="164">
                  <c:v>146.8</c:v>
                </c:pt>
                <c:pt idx="165">
                  <c:v>150</c:v>
                </c:pt>
                <c:pt idx="166">
                  <c:v>153.2</c:v>
                </c:pt>
                <c:pt idx="167">
                  <c:v>156.8</c:v>
                </c:pt>
                <c:pt idx="168">
                  <c:v>160</c:v>
                </c:pt>
                <c:pt idx="169">
                  <c:v>163.1999999999999</c:v>
                </c:pt>
                <c:pt idx="170">
                  <c:v>166.8000000000001</c:v>
                </c:pt>
                <c:pt idx="171">
                  <c:v>170</c:v>
                </c:pt>
                <c:pt idx="172">
                  <c:v>173.2</c:v>
                </c:pt>
                <c:pt idx="173">
                  <c:v>176.8</c:v>
                </c:pt>
                <c:pt idx="174">
                  <c:v>180</c:v>
                </c:pt>
                <c:pt idx="175">
                  <c:v>183.1999999999999</c:v>
                </c:pt>
                <c:pt idx="176">
                  <c:v>186.8000000000001</c:v>
                </c:pt>
                <c:pt idx="177">
                  <c:v>190</c:v>
                </c:pt>
                <c:pt idx="178">
                  <c:v>193.2</c:v>
                </c:pt>
                <c:pt idx="179">
                  <c:v>196.8</c:v>
                </c:pt>
                <c:pt idx="180">
                  <c:v>200</c:v>
                </c:pt>
                <c:pt idx="181">
                  <c:v>203.2</c:v>
                </c:pt>
                <c:pt idx="182">
                  <c:v>206.8</c:v>
                </c:pt>
                <c:pt idx="183">
                  <c:v>210</c:v>
                </c:pt>
                <c:pt idx="184">
                  <c:v>213.1999999999999</c:v>
                </c:pt>
                <c:pt idx="185">
                  <c:v>216.8000000000001</c:v>
                </c:pt>
                <c:pt idx="186">
                  <c:v>220</c:v>
                </c:pt>
                <c:pt idx="187">
                  <c:v>223.2</c:v>
                </c:pt>
                <c:pt idx="188">
                  <c:v>226.8</c:v>
                </c:pt>
                <c:pt idx="189">
                  <c:v>230</c:v>
                </c:pt>
                <c:pt idx="190">
                  <c:v>233.1999999999999</c:v>
                </c:pt>
                <c:pt idx="191">
                  <c:v>236.8000000000001</c:v>
                </c:pt>
                <c:pt idx="192">
                  <c:v>240</c:v>
                </c:pt>
                <c:pt idx="193">
                  <c:v>243.2</c:v>
                </c:pt>
                <c:pt idx="194">
                  <c:v>246.8</c:v>
                </c:pt>
                <c:pt idx="195">
                  <c:v>250</c:v>
                </c:pt>
                <c:pt idx="196">
                  <c:v>253.2</c:v>
                </c:pt>
                <c:pt idx="197">
                  <c:v>256.8</c:v>
                </c:pt>
                <c:pt idx="198">
                  <c:v>260</c:v>
                </c:pt>
                <c:pt idx="199">
                  <c:v>263.1999999999999</c:v>
                </c:pt>
                <c:pt idx="200">
                  <c:v>266.8000000000001</c:v>
                </c:pt>
                <c:pt idx="201">
                  <c:v>270</c:v>
                </c:pt>
                <c:pt idx="202">
                  <c:v>273.2</c:v>
                </c:pt>
                <c:pt idx="203">
                  <c:v>276.8</c:v>
                </c:pt>
                <c:pt idx="204">
                  <c:v>280</c:v>
                </c:pt>
                <c:pt idx="205">
                  <c:v>283.1999999999999</c:v>
                </c:pt>
                <c:pt idx="206">
                  <c:v>286.8000000000001</c:v>
                </c:pt>
                <c:pt idx="207">
                  <c:v>290</c:v>
                </c:pt>
                <c:pt idx="208">
                  <c:v>293.2</c:v>
                </c:pt>
                <c:pt idx="209">
                  <c:v>296.8</c:v>
                </c:pt>
                <c:pt idx="210">
                  <c:v>300</c:v>
                </c:pt>
                <c:pt idx="211">
                  <c:v>303.2</c:v>
                </c:pt>
                <c:pt idx="212">
                  <c:v>306.8</c:v>
                </c:pt>
                <c:pt idx="213">
                  <c:v>310</c:v>
                </c:pt>
                <c:pt idx="214">
                  <c:v>313.1999999999999</c:v>
                </c:pt>
                <c:pt idx="215">
                  <c:v>316.8000000000001</c:v>
                </c:pt>
                <c:pt idx="216">
                  <c:v>320</c:v>
                </c:pt>
                <c:pt idx="217">
                  <c:v>323.2</c:v>
                </c:pt>
                <c:pt idx="218">
                  <c:v>326.8</c:v>
                </c:pt>
                <c:pt idx="219">
                  <c:v>330</c:v>
                </c:pt>
                <c:pt idx="220">
                  <c:v>333.1999999999999</c:v>
                </c:pt>
                <c:pt idx="221">
                  <c:v>336.8000000000001</c:v>
                </c:pt>
                <c:pt idx="222">
                  <c:v>340</c:v>
                </c:pt>
                <c:pt idx="223">
                  <c:v>343.2</c:v>
                </c:pt>
                <c:pt idx="224">
                  <c:v>346.8</c:v>
                </c:pt>
                <c:pt idx="225">
                  <c:v>350</c:v>
                </c:pt>
                <c:pt idx="226">
                  <c:v>353.2</c:v>
                </c:pt>
                <c:pt idx="227">
                  <c:v>356.8</c:v>
                </c:pt>
                <c:pt idx="228">
                  <c:v>360</c:v>
                </c:pt>
                <c:pt idx="229">
                  <c:v>363.1999999999999</c:v>
                </c:pt>
                <c:pt idx="230">
                  <c:v>366.8000000000001</c:v>
                </c:pt>
                <c:pt idx="231">
                  <c:v>370</c:v>
                </c:pt>
                <c:pt idx="232">
                  <c:v>373.2</c:v>
                </c:pt>
                <c:pt idx="233">
                  <c:v>376.8</c:v>
                </c:pt>
                <c:pt idx="234">
                  <c:v>380</c:v>
                </c:pt>
                <c:pt idx="235">
                  <c:v>383.1999999999999</c:v>
                </c:pt>
                <c:pt idx="236">
                  <c:v>386.8000000000001</c:v>
                </c:pt>
                <c:pt idx="237">
                  <c:v>390</c:v>
                </c:pt>
                <c:pt idx="238">
                  <c:v>393.2</c:v>
                </c:pt>
                <c:pt idx="239">
                  <c:v>396.8</c:v>
                </c:pt>
                <c:pt idx="240">
                  <c:v>400</c:v>
                </c:pt>
              </c:numCache>
            </c:numRef>
          </c:xVal>
          <c:yVal>
            <c:numRef>
              <c:f>Native_Chart_Data!$D$1718:$D$1958</c:f>
              <c:numCache>
                <c:formatCode>General</c:formatCode>
                <c:ptCount val="241"/>
                <c:pt idx="0">
                  <c:v>4006.184522038885</c:v>
                </c:pt>
                <c:pt idx="1">
                  <c:v>3959.147737402011</c:v>
                </c:pt>
                <c:pt idx="2">
                  <c:v>3906.689980315416</c:v>
                </c:pt>
                <c:pt idx="3">
                  <c:v>3860.669454605414</c:v>
                </c:pt>
                <c:pt idx="4">
                  <c:v>3815.077300022674</c:v>
                </c:pt>
                <c:pt idx="5">
                  <c:v>3764.015425077756</c:v>
                </c:pt>
                <c:pt idx="6">
                  <c:v>3718.720752708157</c:v>
                </c:pt>
                <c:pt idx="7">
                  <c:v>3673.717611988154</c:v>
                </c:pt>
                <c:pt idx="8">
                  <c:v>3623.578456931738</c:v>
                </c:pt>
                <c:pt idx="9">
                  <c:v>3579.321968781586</c:v>
                </c:pt>
                <c:pt idx="10">
                  <c:v>3535.53973919248</c:v>
                </c:pt>
                <c:pt idx="11">
                  <c:v>3486.631105449034</c:v>
                </c:pt>
                <c:pt idx="12">
                  <c:v>3443.213397997946</c:v>
                </c:pt>
                <c:pt idx="13">
                  <c:v>3399.895538099978</c:v>
                </c:pt>
                <c:pt idx="14">
                  <c:v>3351.834258988051</c:v>
                </c:pt>
                <c:pt idx="15">
                  <c:v>3309.70809101759</c:v>
                </c:pt>
                <c:pt idx="16">
                  <c:v>3267.709124542621</c:v>
                </c:pt>
                <c:pt idx="17">
                  <c:v>3220.525348840778</c:v>
                </c:pt>
                <c:pt idx="18">
                  <c:v>3178.903253405507</c:v>
                </c:pt>
                <c:pt idx="19">
                  <c:v>3137.627690080583</c:v>
                </c:pt>
                <c:pt idx="20">
                  <c:v>3091.684937172292</c:v>
                </c:pt>
                <c:pt idx="21">
                  <c:v>3051.467490586667</c:v>
                </c:pt>
                <c:pt idx="22">
                  <c:v>3011.205038375484</c:v>
                </c:pt>
                <c:pt idx="23">
                  <c:v>2965.891539195201</c:v>
                </c:pt>
                <c:pt idx="24">
                  <c:v>2926.020997254117</c:v>
                </c:pt>
                <c:pt idx="25">
                  <c:v>2886.821757475108</c:v>
                </c:pt>
                <c:pt idx="26">
                  <c:v>2843.103056245452</c:v>
                </c:pt>
                <c:pt idx="27">
                  <c:v>2804.324806344102</c:v>
                </c:pt>
                <c:pt idx="28">
                  <c:v>2765.639948174607</c:v>
                </c:pt>
                <c:pt idx="29">
                  <c:v>2722.530866002271</c:v>
                </c:pt>
                <c:pt idx="30">
                  <c:v>2684.585268981876</c:v>
                </c:pt>
                <c:pt idx="31">
                  <c:v>2647.084870404392</c:v>
                </c:pt>
                <c:pt idx="32">
                  <c:v>2605.146302763727</c:v>
                </c:pt>
                <c:pt idx="33">
                  <c:v>2568.019958311417</c:v>
                </c:pt>
                <c:pt idx="34">
                  <c:v>2531.067100407615</c:v>
                </c:pt>
                <c:pt idx="35">
                  <c:v>2489.887481598469</c:v>
                </c:pt>
                <c:pt idx="36">
                  <c:v>2453.729657605027</c:v>
                </c:pt>
                <c:pt idx="37">
                  <c:v>2417.952087128516</c:v>
                </c:pt>
                <c:pt idx="38">
                  <c:v>2377.718715826389</c:v>
                </c:pt>
                <c:pt idx="39">
                  <c:v>2342.268846897384</c:v>
                </c:pt>
                <c:pt idx="40">
                  <c:v>2306.994582996919</c:v>
                </c:pt>
                <c:pt idx="41">
                  <c:v>2267.715832763229</c:v>
                </c:pt>
                <c:pt idx="42">
                  <c:v>2233.246664887099</c:v>
                </c:pt>
                <c:pt idx="43">
                  <c:v>2199.146637866724</c:v>
                </c:pt>
                <c:pt idx="44">
                  <c:v>2160.851579664378</c:v>
                </c:pt>
                <c:pt idx="45">
                  <c:v>2126.753036439949</c:v>
                </c:pt>
                <c:pt idx="46">
                  <c:v>2093.169629426536</c:v>
                </c:pt>
                <c:pt idx="47">
                  <c:v>2056.049715968214</c:v>
                </c:pt>
                <c:pt idx="48">
                  <c:v>2023.202170567554</c:v>
                </c:pt>
                <c:pt idx="49">
                  <c:v>1990.403358109243</c:v>
                </c:pt>
                <c:pt idx="50">
                  <c:v>1953.647790706419</c:v>
                </c:pt>
                <c:pt idx="51">
                  <c:v>1921.275488770779</c:v>
                </c:pt>
                <c:pt idx="52">
                  <c:v>1889.370798964902</c:v>
                </c:pt>
                <c:pt idx="53">
                  <c:v>1853.952369748569</c:v>
                </c:pt>
                <c:pt idx="54">
                  <c:v>1822.521136552667</c:v>
                </c:pt>
                <c:pt idx="55">
                  <c:v>1791.044394227873</c:v>
                </c:pt>
                <c:pt idx="56">
                  <c:v>1756.02320988448</c:v>
                </c:pt>
                <c:pt idx="57">
                  <c:v>1725.305616464916</c:v>
                </c:pt>
                <c:pt idx="58">
                  <c:v>1694.97154817784</c:v>
                </c:pt>
                <c:pt idx="59">
                  <c:v>1660.982185929434</c:v>
                </c:pt>
                <c:pt idx="60">
                  <c:v>1630.796299635299</c:v>
                </c:pt>
                <c:pt idx="61">
                  <c:v>1600.891328906856</c:v>
                </c:pt>
                <c:pt idx="62">
                  <c:v>1567.637116650637</c:v>
                </c:pt>
                <c:pt idx="63">
                  <c:v>1538.279500845939</c:v>
                </c:pt>
                <c:pt idx="64">
                  <c:v>1509.274846022542</c:v>
                </c:pt>
                <c:pt idx="65">
                  <c:v>1477.007778249526</c:v>
                </c:pt>
                <c:pt idx="66">
                  <c:v>1448.203880481997</c:v>
                </c:pt>
                <c:pt idx="67">
                  <c:v>1419.563933171673</c:v>
                </c:pt>
                <c:pt idx="68">
                  <c:v>1387.956266731438</c:v>
                </c:pt>
                <c:pt idx="69">
                  <c:v>1360.159208148122</c:v>
                </c:pt>
                <c:pt idx="70">
                  <c:v>1332.493077142557</c:v>
                </c:pt>
                <c:pt idx="71">
                  <c:v>1301.44307761367</c:v>
                </c:pt>
                <c:pt idx="72">
                  <c:v>1274.014775426315</c:v>
                </c:pt>
                <c:pt idx="73">
                  <c:v>1246.728943517478</c:v>
                </c:pt>
                <c:pt idx="74">
                  <c:v>1216.590067955161</c:v>
                </c:pt>
                <c:pt idx="75">
                  <c:v>1190.174588931088</c:v>
                </c:pt>
                <c:pt idx="76">
                  <c:v>1163.646781870699</c:v>
                </c:pt>
                <c:pt idx="77">
                  <c:v>1133.810770513123</c:v>
                </c:pt>
                <c:pt idx="78">
                  <c:v>1107.663476732817</c:v>
                </c:pt>
                <c:pt idx="79">
                  <c:v>1081.92890252915</c:v>
                </c:pt>
                <c:pt idx="80">
                  <c:v>1053.237915738421</c:v>
                </c:pt>
                <c:pt idx="81">
                  <c:v>1027.767895171937</c:v>
                </c:pt>
                <c:pt idx="82">
                  <c:v>1002.363517598374</c:v>
                </c:pt>
                <c:pt idx="83">
                  <c:v>974.1534456502709</c:v>
                </c:pt>
                <c:pt idx="84">
                  <c:v>949.3439263517315</c:v>
                </c:pt>
                <c:pt idx="85">
                  <c:v>924.7866303079909</c:v>
                </c:pt>
                <c:pt idx="86">
                  <c:v>897.5024239250529</c:v>
                </c:pt>
                <c:pt idx="87">
                  <c:v>873.2708000463136</c:v>
                </c:pt>
                <c:pt idx="88">
                  <c:v>849.1298418746225</c:v>
                </c:pt>
                <c:pt idx="89">
                  <c:v>822.3450160213688</c:v>
                </c:pt>
                <c:pt idx="90">
                  <c:v>798.9000950122506</c:v>
                </c:pt>
                <c:pt idx="91">
                  <c:v>775.775665786726</c:v>
                </c:pt>
                <c:pt idx="92">
                  <c:v>749.72198990354</c:v>
                </c:pt>
                <c:pt idx="93">
                  <c:v>726.8407684316289</c:v>
                </c:pt>
                <c:pt idx="94">
                  <c:v>704.1134347722967</c:v>
                </c:pt>
                <c:pt idx="95">
                  <c:v>678.7707236721552</c:v>
                </c:pt>
                <c:pt idx="96">
                  <c:v>656.7701971330839</c:v>
                </c:pt>
                <c:pt idx="97">
                  <c:v>635.1547992334081</c:v>
                </c:pt>
                <c:pt idx="98">
                  <c:v>610.8510113002076</c:v>
                </c:pt>
                <c:pt idx="99">
                  <c:v>589.2813068975925</c:v>
                </c:pt>
                <c:pt idx="100">
                  <c:v>568.2671800772529</c:v>
                </c:pt>
                <c:pt idx="101">
                  <c:v>545.3235753259175</c:v>
                </c:pt>
                <c:pt idx="102">
                  <c:v>525.2418298323732</c:v>
                </c:pt>
                <c:pt idx="103">
                  <c:v>505.3303245017397</c:v>
                </c:pt>
                <c:pt idx="104">
                  <c:v>483.2455565341116</c:v>
                </c:pt>
                <c:pt idx="105">
                  <c:v>464.1818123077337</c:v>
                </c:pt>
                <c:pt idx="106">
                  <c:v>445.9303499887604</c:v>
                </c:pt>
                <c:pt idx="107">
                  <c:v>426.1314543910225</c:v>
                </c:pt>
                <c:pt idx="108">
                  <c:v>409.0096923375385</c:v>
                </c:pt>
                <c:pt idx="109">
                  <c:v>392.4299032252084</c:v>
                </c:pt>
                <c:pt idx="110">
                  <c:v>374.5318753864875</c:v>
                </c:pt>
                <c:pt idx="111">
                  <c:v>359.8496142799893</c:v>
                </c:pt>
                <c:pt idx="112">
                  <c:v>346.3884478023773</c:v>
                </c:pt>
                <c:pt idx="113">
                  <c:v>332.3135990985811</c:v>
                </c:pt>
                <c:pt idx="114">
                  <c:v>320.93709247237</c:v>
                </c:pt>
                <c:pt idx="115">
                  <c:v>310.8778028907184</c:v>
                </c:pt>
                <c:pt idx="116">
                  <c:v>301.3571579191976</c:v>
                </c:pt>
                <c:pt idx="117">
                  <c:v>294.5649510060312</c:v>
                </c:pt>
                <c:pt idx="118">
                  <c:v>289.8283648752175</c:v>
                </c:pt>
                <c:pt idx="119">
                  <c:v>286.6768082586119</c:v>
                </c:pt>
                <c:pt idx="120">
                  <c:v>285.4496258923695</c:v>
                </c:pt>
                <c:pt idx="121">
                  <c:v>285.9437901786073</c:v>
                </c:pt>
                <c:pt idx="122">
                  <c:v>289.5046327864193</c:v>
                </c:pt>
                <c:pt idx="123">
                  <c:v>294.6552522978751</c:v>
                </c:pt>
                <c:pt idx="124">
                  <c:v>301.3808505599766</c:v>
                </c:pt>
                <c:pt idx="125">
                  <c:v>310.7407942645036</c:v>
                </c:pt>
                <c:pt idx="126">
                  <c:v>320.4445818558166</c:v>
                </c:pt>
                <c:pt idx="127">
                  <c:v>331.6458641659622</c:v>
                </c:pt>
                <c:pt idx="128">
                  <c:v>346.1259254691169</c:v>
                </c:pt>
                <c:pt idx="129">
                  <c:v>360.2018669174499</c:v>
                </c:pt>
                <c:pt idx="130">
                  <c:v>374.979174132014</c:v>
                </c:pt>
                <c:pt idx="131">
                  <c:v>392.2776829264379</c:v>
                </c:pt>
                <c:pt idx="132">
                  <c:v>408.5702415481639</c:v>
                </c:pt>
                <c:pt idx="133">
                  <c:v>425.9397181682135</c:v>
                </c:pt>
                <c:pt idx="134">
                  <c:v>446.3421213823275</c:v>
                </c:pt>
                <c:pt idx="135">
                  <c:v>464.7813525203341</c:v>
                </c:pt>
                <c:pt idx="136">
                  <c:v>483.4361058636219</c:v>
                </c:pt>
                <c:pt idx="137">
                  <c:v>505.1728402834789</c:v>
                </c:pt>
                <c:pt idx="138">
                  <c:v>525.0301956551476</c:v>
                </c:pt>
                <c:pt idx="139">
                  <c:v>545.294526979861</c:v>
                </c:pt>
                <c:pt idx="140">
                  <c:v>568.6160000021816</c:v>
                </c:pt>
                <c:pt idx="141">
                  <c:v>589.595073012865</c:v>
                </c:pt>
                <c:pt idx="142">
                  <c:v>610.6232752319127</c:v>
                </c:pt>
                <c:pt idx="143">
                  <c:v>634.7142430382997</c:v>
                </c:pt>
                <c:pt idx="144">
                  <c:v>656.7596814523544</c:v>
                </c:pt>
                <c:pt idx="145">
                  <c:v>678.934378578411</c:v>
                </c:pt>
                <c:pt idx="146">
                  <c:v>704.1449836362386</c:v>
                </c:pt>
                <c:pt idx="147">
                  <c:v>726.6812853306784</c:v>
                </c:pt>
                <c:pt idx="148">
                  <c:v>749.5015119345261</c:v>
                </c:pt>
                <c:pt idx="149">
                  <c:v>775.4018440048759</c:v>
                </c:pt>
                <c:pt idx="150">
                  <c:v>798.9128126847422</c:v>
                </c:pt>
                <c:pt idx="151">
                  <c:v>822.691392020902</c:v>
                </c:pt>
                <c:pt idx="152">
                  <c:v>849.2996394600398</c:v>
                </c:pt>
                <c:pt idx="153">
                  <c:v>873.1094978635793</c:v>
                </c:pt>
                <c:pt idx="154">
                  <c:v>897.2665212613587</c:v>
                </c:pt>
                <c:pt idx="155">
                  <c:v>924.8641481909997</c:v>
                </c:pt>
                <c:pt idx="156">
                  <c:v>949.6945154062549</c:v>
                </c:pt>
                <c:pt idx="157">
                  <c:v>974.4855341929169</c:v>
                </c:pt>
                <c:pt idx="158">
                  <c:v>1002.437820798454</c:v>
                </c:pt>
                <c:pt idx="159">
                  <c:v>1027.587058741365</c:v>
                </c:pt>
                <c:pt idx="160">
                  <c:v>1053.061996168696</c:v>
                </c:pt>
                <c:pt idx="161">
                  <c:v>1082.114641640381</c:v>
                </c:pt>
                <c:pt idx="162">
                  <c:v>1108.021307304762</c:v>
                </c:pt>
                <c:pt idx="163">
                  <c:v>1133.897864973984</c:v>
                </c:pt>
                <c:pt idx="164">
                  <c:v>1163.204522336932</c:v>
                </c:pt>
                <c:pt idx="165">
                  <c:v>1189.738741201043</c:v>
                </c:pt>
                <c:pt idx="166">
                  <c:v>1216.646747635955</c:v>
                </c:pt>
                <c:pt idx="167">
                  <c:v>1246.895933746528</c:v>
                </c:pt>
                <c:pt idx="168">
                  <c:v>1273.942666327729</c:v>
                </c:pt>
                <c:pt idx="169">
                  <c:v>1301.253541568474</c:v>
                </c:pt>
                <c:pt idx="170">
                  <c:v>1332.205870179326</c:v>
                </c:pt>
                <c:pt idx="171">
                  <c:v>1359.945218719263</c:v>
                </c:pt>
                <c:pt idx="172">
                  <c:v>1388.098165085784</c:v>
                </c:pt>
                <c:pt idx="173">
                  <c:v>1419.95731393504</c:v>
                </c:pt>
                <c:pt idx="174">
                  <c:v>1448.233731510385</c:v>
                </c:pt>
                <c:pt idx="175">
                  <c:v>1476.666160388662</c:v>
                </c:pt>
                <c:pt idx="176">
                  <c:v>1509.252978622127</c:v>
                </c:pt>
                <c:pt idx="177">
                  <c:v>1538.48312898437</c:v>
                </c:pt>
                <c:pt idx="178">
                  <c:v>1567.959020475462</c:v>
                </c:pt>
                <c:pt idx="179">
                  <c:v>1601.120515949816</c:v>
                </c:pt>
                <c:pt idx="180">
                  <c:v>1630.763761471962</c:v>
                </c:pt>
                <c:pt idx="181">
                  <c:v>1660.699017744699</c:v>
                </c:pt>
                <c:pt idx="182">
                  <c:v>1694.822586614646</c:v>
                </c:pt>
                <c:pt idx="183">
                  <c:v>1725.548260538643</c:v>
                </c:pt>
                <c:pt idx="184">
                  <c:v>1756.320569107035</c:v>
                </c:pt>
                <c:pt idx="185">
                  <c:v>1790.918822879964</c:v>
                </c:pt>
                <c:pt idx="186">
                  <c:v>1821.953328576106</c:v>
                </c:pt>
                <c:pt idx="187">
                  <c:v>1853.59624895787</c:v>
                </c:pt>
                <c:pt idx="188">
                  <c:v>1889.569905314013</c:v>
                </c:pt>
                <c:pt idx="189">
                  <c:v>1921.47983023623</c:v>
                </c:pt>
                <c:pt idx="190">
                  <c:v>1953.587948364652</c:v>
                </c:pt>
                <c:pt idx="191">
                  <c:v>1990.040131893338</c:v>
                </c:pt>
                <c:pt idx="192">
                  <c:v>2022.880167968336</c:v>
                </c:pt>
                <c:pt idx="193">
                  <c:v>2055.916701140966</c:v>
                </c:pt>
                <c:pt idx="194">
                  <c:v>2093.535999451713</c:v>
                </c:pt>
                <c:pt idx="195">
                  <c:v>2127.089015227387</c:v>
                </c:pt>
                <c:pt idx="196">
                  <c:v>2160.681927524224</c:v>
                </c:pt>
                <c:pt idx="197">
                  <c:v>2198.86700095953</c:v>
                </c:pt>
                <c:pt idx="198">
                  <c:v>2233.379645200323</c:v>
                </c:pt>
                <c:pt idx="199">
                  <c:v>2268.093572924754</c:v>
                </c:pt>
                <c:pt idx="200">
                  <c:v>2307.269279658743</c:v>
                </c:pt>
                <c:pt idx="201">
                  <c:v>2342.397836711693</c:v>
                </c:pt>
                <c:pt idx="202">
                  <c:v>2377.586319197082</c:v>
                </c:pt>
                <c:pt idx="203">
                  <c:v>2417.6598864736</c:v>
                </c:pt>
                <c:pt idx="204">
                  <c:v>2453.826441863022</c:v>
                </c:pt>
                <c:pt idx="205">
                  <c:v>2490.216639782986</c:v>
                </c:pt>
                <c:pt idx="206">
                  <c:v>2531.154808755311</c:v>
                </c:pt>
                <c:pt idx="207">
                  <c:v>2567.74117554662</c:v>
                </c:pt>
                <c:pt idx="208">
                  <c:v>2604.702837274997</c:v>
                </c:pt>
                <c:pt idx="209">
                  <c:v>2646.979433940708</c:v>
                </c:pt>
                <c:pt idx="210">
                  <c:v>2684.843917592267</c:v>
                </c:pt>
                <c:pt idx="211">
                  <c:v>2722.73562812704</c:v>
                </c:pt>
                <c:pt idx="212">
                  <c:v>2765.514130169189</c:v>
                </c:pt>
                <c:pt idx="213">
                  <c:v>2803.976331236653</c:v>
                </c:pt>
                <c:pt idx="214">
                  <c:v>2842.830461587668</c:v>
                </c:pt>
                <c:pt idx="215">
                  <c:v>2886.984046410364</c:v>
                </c:pt>
                <c:pt idx="216">
                  <c:v>2926.60728683043</c:v>
                </c:pt>
                <c:pt idx="217">
                  <c:v>2966.111877040855</c:v>
                </c:pt>
                <c:pt idx="218">
                  <c:v>3010.783980478043</c:v>
                </c:pt>
                <c:pt idx="219">
                  <c:v>3051.177959160306</c:v>
                </c:pt>
                <c:pt idx="220">
                  <c:v>3091.992984294787</c:v>
                </c:pt>
                <c:pt idx="221">
                  <c:v>3137.997131474039</c:v>
                </c:pt>
                <c:pt idx="222">
                  <c:v>3179.093030635922</c:v>
                </c:pt>
                <c:pt idx="223">
                  <c:v>3220.474419904112</c:v>
                </c:pt>
                <c:pt idx="224">
                  <c:v>3267.386848018475</c:v>
                </c:pt>
                <c:pt idx="225">
                  <c:v>3309.459484632871</c:v>
                </c:pt>
                <c:pt idx="226">
                  <c:v>3352.06490243591</c:v>
                </c:pt>
                <c:pt idx="227">
                  <c:v>3400.216549598306</c:v>
                </c:pt>
                <c:pt idx="228">
                  <c:v>3443.039173659275</c:v>
                </c:pt>
                <c:pt idx="229">
                  <c:v>3486.123112704351</c:v>
                </c:pt>
                <c:pt idx="230">
                  <c:v>3535.217216361177</c:v>
                </c:pt>
                <c:pt idx="231">
                  <c:v>3579.384617384559</c:v>
                </c:pt>
                <c:pt idx="232">
                  <c:v>3623.801339841576</c:v>
                </c:pt>
                <c:pt idx="233">
                  <c:v>3673.792608096762</c:v>
                </c:pt>
                <c:pt idx="234">
                  <c:v>3718.47695762412</c:v>
                </c:pt>
                <c:pt idx="235">
                  <c:v>3763.561788221822</c:v>
                </c:pt>
                <c:pt idx="236">
                  <c:v>3814.934827256985</c:v>
                </c:pt>
                <c:pt idx="237">
                  <c:v>3861.017558017563</c:v>
                </c:pt>
                <c:pt idx="238">
                  <c:v>3907.272108473731</c:v>
                </c:pt>
                <c:pt idx="239">
                  <c:v>3959.187596526544</c:v>
                </c:pt>
                <c:pt idx="240">
                  <c:v>4005.818543910939</c:v>
                </c:pt>
              </c:numCache>
            </c:numRef>
          </c:yVal>
        </c:ser>
        <c:ser>
          <c:idx val="2"/>
          <c:order val="2"/>
          <c:tx>
            <c:v>Paper ice-ocean 35 km / 1600 km pass</c:v>
          </c:tx>
          <c:spPr>
            <a:ln xmlns:a="http://schemas.openxmlformats.org/drawingml/2006/mai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Native_Chart_Data!$F$1718:$F$1958</c:f>
              <c:numCache>
                <c:formatCode>General</c:formatCode>
                <c:ptCount val="241"/>
                <c:pt idx="0">
                  <c:v>9500.556371343455</c:v>
                </c:pt>
                <c:pt idx="1">
                  <c:v>9376.680634893852</c:v>
                </c:pt>
                <c:pt idx="2">
                  <c:v>9237.86693657525</c:v>
                </c:pt>
                <c:pt idx="3">
                  <c:v>9116.215434885857</c:v>
                </c:pt>
                <c:pt idx="4">
                  <c:v>8994.697019798912</c:v>
                </c:pt>
                <c:pt idx="5">
                  <c:v>8859.340160987978</c:v>
                </c:pt>
                <c:pt idx="6">
                  <c:v>8740.33178886133</c:v>
                </c:pt>
                <c:pt idx="7">
                  <c:v>8621.530757474558</c:v>
                </c:pt>
                <c:pt idx="8">
                  <c:v>8489.738021557185</c:v>
                </c:pt>
                <c:pt idx="9">
                  <c:v>8373.16191725028</c:v>
                </c:pt>
                <c:pt idx="10">
                  <c:v>8257.496479709396</c:v>
                </c:pt>
                <c:pt idx="11">
                  <c:v>8128.795130995124</c:v>
                </c:pt>
                <c:pt idx="12">
                  <c:v>8015.099169643812</c:v>
                </c:pt>
                <c:pt idx="13">
                  <c:v>7902.130399222022</c:v>
                </c:pt>
                <c:pt idx="14">
                  <c:v>7776.641992156676</c:v>
                </c:pt>
                <c:pt idx="15">
                  <c:v>7665.481000958895</c:v>
                </c:pt>
                <c:pt idx="16">
                  <c:v>7555.439677176813</c:v>
                </c:pt>
                <c:pt idx="17">
                  <c:v>7433.099881007341</c:v>
                </c:pt>
                <c:pt idx="18">
                  <c:v>7324.546168355662</c:v>
                </c:pt>
                <c:pt idx="19">
                  <c:v>7217.711125746066</c:v>
                </c:pt>
                <c:pt idx="20">
                  <c:v>7098.019488341909</c:v>
                </c:pt>
                <c:pt idx="21">
                  <c:v>6992.6479613045</c:v>
                </c:pt>
                <c:pt idx="22">
                  <c:v>6888.445538379483</c:v>
                </c:pt>
                <c:pt idx="23">
                  <c:v>6771.789850814738</c:v>
                </c:pt>
                <c:pt idx="24">
                  <c:v>6669.242000062811</c:v>
                </c:pt>
                <c:pt idx="25">
                  <c:v>6567.617122187415</c:v>
                </c:pt>
                <c:pt idx="26">
                  <c:v>6453.946736401601</c:v>
                </c:pt>
                <c:pt idx="27">
                  <c:v>6354.148628359924</c:v>
                </c:pt>
                <c:pt idx="28">
                  <c:v>6255.366172336804</c:v>
                </c:pt>
                <c:pt idx="29">
                  <c:v>6144.635133313037</c:v>
                </c:pt>
                <c:pt idx="30">
                  <c:v>6047.970949157087</c:v>
                </c:pt>
                <c:pt idx="31">
                  <c:v>5951.39951323184</c:v>
                </c:pt>
                <c:pt idx="32">
                  <c:v>5844.072163861854</c:v>
                </c:pt>
                <c:pt idx="33">
                  <c:v>5749.953698963689</c:v>
                </c:pt>
                <c:pt idx="34">
                  <c:v>5655.904045000844</c:v>
                </c:pt>
                <c:pt idx="35">
                  <c:v>5551.850758749343</c:v>
                </c:pt>
                <c:pt idx="36">
                  <c:v>5459.997895455708</c:v>
                </c:pt>
                <c:pt idx="37">
                  <c:v>5368.78586707363</c:v>
                </c:pt>
                <c:pt idx="38">
                  <c:v>5267.622993940169</c:v>
                </c:pt>
                <c:pt idx="39">
                  <c:v>5178.40985077925</c:v>
                </c:pt>
                <c:pt idx="40">
                  <c:v>5089.837376029708</c:v>
                </c:pt>
                <c:pt idx="41">
                  <c:v>4991.755684834356</c:v>
                </c:pt>
                <c:pt idx="42">
                  <c:v>4904.952222315528</c:v>
                </c:pt>
                <c:pt idx="43">
                  <c:v>4819.191173047067</c:v>
                </c:pt>
                <c:pt idx="44">
                  <c:v>4723.98050134968</c:v>
                </c:pt>
                <c:pt idx="45">
                  <c:v>4639.4759832506</c:v>
                </c:pt>
                <c:pt idx="46">
                  <c:v>4556.60858333567</c:v>
                </c:pt>
                <c:pt idx="47">
                  <c:v>4463.78426007426</c:v>
                </c:pt>
                <c:pt idx="48">
                  <c:v>4382.161216077137</c:v>
                </c:pt>
                <c:pt idx="49">
                  <c:v>4301.685868120516</c:v>
                </c:pt>
                <c:pt idx="50">
                  <c:v>4211.604469769382</c:v>
                </c:pt>
                <c:pt idx="51">
                  <c:v>4132.672970012625</c:v>
                </c:pt>
                <c:pt idx="52">
                  <c:v>4054.616149263494</c:v>
                </c:pt>
                <c:pt idx="53">
                  <c:v>3967.364609108405</c:v>
                </c:pt>
                <c:pt idx="54">
                  <c:v>3890.821211781023</c:v>
                </c:pt>
                <c:pt idx="55">
                  <c:v>3815.260537638034</c:v>
                </c:pt>
                <c:pt idx="56">
                  <c:v>3730.474169439499</c:v>
                </c:pt>
                <c:pt idx="57">
                  <c:v>3656.657350395744</c:v>
                </c:pt>
                <c:pt idx="58">
                  <c:v>3583.025074116563</c:v>
                </c:pt>
                <c:pt idx="59">
                  <c:v>3501.228989140432</c:v>
                </c:pt>
                <c:pt idx="60">
                  <c:v>3429.633863599945</c:v>
                </c:pt>
                <c:pt idx="61">
                  <c:v>3358.216416154722</c:v>
                </c:pt>
                <c:pt idx="62">
                  <c:v>3279.379574445211</c:v>
                </c:pt>
                <c:pt idx="63">
                  <c:v>3209.819190900689</c:v>
                </c:pt>
                <c:pt idx="64">
                  <c:v>3140.868117715043</c:v>
                </c:pt>
                <c:pt idx="65">
                  <c:v>3064.463120167224</c:v>
                </c:pt>
                <c:pt idx="66">
                  <c:v>2997.169322515261</c:v>
                </c:pt>
                <c:pt idx="67">
                  <c:v>2930.290863262151</c:v>
                </c:pt>
                <c:pt idx="68">
                  <c:v>2856.458663651637</c:v>
                </c:pt>
                <c:pt idx="69">
                  <c:v>2791.083333988286</c:v>
                </c:pt>
                <c:pt idx="70">
                  <c:v>2726.598196385351</c:v>
                </c:pt>
                <c:pt idx="71">
                  <c:v>2655.133708523069</c:v>
                </c:pt>
                <c:pt idx="72">
                  <c:v>2591.70764324169</c:v>
                </c:pt>
                <c:pt idx="73">
                  <c:v>2529.656712539714</c:v>
                </c:pt>
                <c:pt idx="74">
                  <c:v>2460.108031274173</c:v>
                </c:pt>
                <c:pt idx="75">
                  <c:v>2399.037857844189</c:v>
                </c:pt>
                <c:pt idx="76">
                  <c:v>2338.848545673518</c:v>
                </c:pt>
                <c:pt idx="77">
                  <c:v>2271.475739684186</c:v>
                </c:pt>
                <c:pt idx="78">
                  <c:v>2212.418081073065</c:v>
                </c:pt>
                <c:pt idx="79">
                  <c:v>2154.069064539017</c:v>
                </c:pt>
                <c:pt idx="80">
                  <c:v>2088.853489351747</c:v>
                </c:pt>
                <c:pt idx="81">
                  <c:v>2031.698162688825</c:v>
                </c:pt>
                <c:pt idx="82">
                  <c:v>1975.259292967204</c:v>
                </c:pt>
                <c:pt idx="83">
                  <c:v>1911.982365755576</c:v>
                </c:pt>
                <c:pt idx="84">
                  <c:v>1856.953435568455</c:v>
                </c:pt>
                <c:pt idx="85">
                  <c:v>1801.935674852775</c:v>
                </c:pt>
                <c:pt idx="86">
                  <c:v>1740.892286586182</c:v>
                </c:pt>
                <c:pt idx="87">
                  <c:v>1687.415864855376</c:v>
                </c:pt>
                <c:pt idx="88">
                  <c:v>1633.968224008504</c:v>
                </c:pt>
                <c:pt idx="89">
                  <c:v>1574.947285671523</c:v>
                </c:pt>
                <c:pt idx="90">
                  <c:v>1522.840188450573</c:v>
                </c:pt>
                <c:pt idx="91">
                  <c:v>1471.235948252955</c:v>
                </c:pt>
                <c:pt idx="92">
                  <c:v>1413.94781292206</c:v>
                </c:pt>
                <c:pt idx="93">
                  <c:v>1363.468640275265</c:v>
                </c:pt>
                <c:pt idx="94">
                  <c:v>1313.352325640526</c:v>
                </c:pt>
                <c:pt idx="95">
                  <c:v>1257.952705144909</c:v>
                </c:pt>
                <c:pt idx="96">
                  <c:v>1208.883796960501</c:v>
                </c:pt>
                <c:pt idx="97">
                  <c:v>1160.3541102259</c:v>
                </c:pt>
                <c:pt idx="98">
                  <c:v>1106.563522654145</c:v>
                </c:pt>
                <c:pt idx="99">
                  <c:v>1058.831159975098</c:v>
                </c:pt>
                <c:pt idx="100">
                  <c:v>1012.064595354614</c:v>
                </c:pt>
                <c:pt idx="101">
                  <c:v>959.6992490366466</c:v>
                </c:pt>
                <c:pt idx="102">
                  <c:v>913.7430465581227</c:v>
                </c:pt>
                <c:pt idx="103">
                  <c:v>868.5395491003828</c:v>
                </c:pt>
                <c:pt idx="104">
                  <c:v>817.9688649858522</c:v>
                </c:pt>
                <c:pt idx="105">
                  <c:v>773.8625324971048</c:v>
                </c:pt>
                <c:pt idx="106">
                  <c:v>730.4506475657673</c:v>
                </c:pt>
                <c:pt idx="107">
                  <c:v>682.0960655809658</c:v>
                </c:pt>
                <c:pt idx="108">
                  <c:v>640.0475870733427</c:v>
                </c:pt>
                <c:pt idx="109">
                  <c:v>599.066176193741</c:v>
                </c:pt>
                <c:pt idx="110">
                  <c:v>553.4978964465374</c:v>
                </c:pt>
                <c:pt idx="111">
                  <c:v>514.9837762599814</c:v>
                </c:pt>
                <c:pt idx="112">
                  <c:v>477.1635303185421</c:v>
                </c:pt>
                <c:pt idx="113">
                  <c:v>437.0157822838088</c:v>
                </c:pt>
                <c:pt idx="114">
                  <c:v>403.7857750285445</c:v>
                </c:pt>
                <c:pt idx="115">
                  <c:v>372.5309517744891</c:v>
                </c:pt>
                <c:pt idx="116">
                  <c:v>342.2544609165582</c:v>
                </c:pt>
                <c:pt idx="117">
                  <c:v>319.3997241168865</c:v>
                </c:pt>
                <c:pt idx="118">
                  <c:v>301.5999724716085</c:v>
                </c:pt>
                <c:pt idx="119">
                  <c:v>289.2412791527174</c:v>
                </c:pt>
                <c:pt idx="120">
                  <c:v>285.4496258923695</c:v>
                </c:pt>
                <c:pt idx="121">
                  <c:v>288.7955768368026</c:v>
                </c:pt>
                <c:pt idx="122">
                  <c:v>301.6329876220608</c:v>
                </c:pt>
                <c:pt idx="123">
                  <c:v>318.9091927078766</c:v>
                </c:pt>
                <c:pt idx="124">
                  <c:v>341.8770920620382</c:v>
                </c:pt>
                <c:pt idx="125">
                  <c:v>372.9997584627345</c:v>
                </c:pt>
                <c:pt idx="126">
                  <c:v>403.3552578355051</c:v>
                </c:pt>
                <c:pt idx="127">
                  <c:v>437.3422960859125</c:v>
                </c:pt>
                <c:pt idx="128">
                  <c:v>477.3110002130046</c:v>
                </c:pt>
                <c:pt idx="129">
                  <c:v>514.7823373735504</c:v>
                </c:pt>
                <c:pt idx="130">
                  <c:v>553.9006055367585</c:v>
                </c:pt>
                <c:pt idx="131">
                  <c:v>598.7767662366037</c:v>
                </c:pt>
                <c:pt idx="132">
                  <c:v>640.0379285550378</c:v>
                </c:pt>
                <c:pt idx="133">
                  <c:v>682.1647345655422</c:v>
                </c:pt>
                <c:pt idx="134">
                  <c:v>730.1679277696081</c:v>
                </c:pt>
                <c:pt idx="135">
                  <c:v>773.8737899853746</c:v>
                </c:pt>
                <c:pt idx="136">
                  <c:v>818.2319444741053</c:v>
                </c:pt>
                <c:pt idx="137">
                  <c:v>868.3304441097539</c:v>
                </c:pt>
                <c:pt idx="138">
                  <c:v>914.0428007371116</c:v>
                </c:pt>
                <c:pt idx="139">
                  <c:v>959.7681106792701</c:v>
                </c:pt>
                <c:pt idx="140">
                  <c:v>1011.961444386649</c:v>
                </c:pt>
                <c:pt idx="141">
                  <c:v>1059.127835685445</c:v>
                </c:pt>
                <c:pt idx="142">
                  <c:v>1106.232011168728</c:v>
                </c:pt>
                <c:pt idx="143">
                  <c:v>1160.429529823082</c:v>
                </c:pt>
                <c:pt idx="144">
                  <c:v>1208.825545061203</c:v>
                </c:pt>
                <c:pt idx="145">
                  <c:v>1257.696438896368</c:v>
                </c:pt>
                <c:pt idx="146">
                  <c:v>1313.538437334191</c:v>
                </c:pt>
                <c:pt idx="147">
                  <c:v>1363.492250135644</c:v>
                </c:pt>
                <c:pt idx="148">
                  <c:v>1413.878059556871</c:v>
                </c:pt>
                <c:pt idx="149">
                  <c:v>1471.454908880249</c:v>
                </c:pt>
                <c:pt idx="150">
                  <c:v>1522.81488443494</c:v>
                </c:pt>
                <c:pt idx="151">
                  <c:v>1574.87722686542</c:v>
                </c:pt>
                <c:pt idx="152">
                  <c:v>1634.210071279787</c:v>
                </c:pt>
                <c:pt idx="153">
                  <c:v>1686.979988369653</c:v>
                </c:pt>
                <c:pt idx="154">
                  <c:v>1740.978448906901</c:v>
                </c:pt>
                <c:pt idx="155">
                  <c:v>1801.873071650149</c:v>
                </c:pt>
                <c:pt idx="156">
                  <c:v>1856.708614896867</c:v>
                </c:pt>
                <c:pt idx="157">
                  <c:v>1912.259873742373</c:v>
                </c:pt>
                <c:pt idx="158">
                  <c:v>1975.101414739732</c:v>
                </c:pt>
                <c:pt idx="159">
                  <c:v>2031.798555805306</c:v>
                </c:pt>
                <c:pt idx="160">
                  <c:v>2089.073503194975</c:v>
                </c:pt>
                <c:pt idx="161">
                  <c:v>2153.951648074589</c:v>
                </c:pt>
                <c:pt idx="162">
                  <c:v>2212.490806607958</c:v>
                </c:pt>
                <c:pt idx="163">
                  <c:v>2271.627906606103</c:v>
                </c:pt>
                <c:pt idx="164">
                  <c:v>2338.459243820711</c:v>
                </c:pt>
                <c:pt idx="165">
                  <c:v>2399.231666652093</c:v>
                </c:pt>
                <c:pt idx="166">
                  <c:v>2460.040417379361</c:v>
                </c:pt>
                <c:pt idx="167">
                  <c:v>2529.486296689233</c:v>
                </c:pt>
                <c:pt idx="168">
                  <c:v>2592.146348508657</c:v>
                </c:pt>
                <c:pt idx="169">
                  <c:v>2654.889210932727</c:v>
                </c:pt>
                <c:pt idx="170">
                  <c:v>2726.825506113058</c:v>
                </c:pt>
                <c:pt idx="171">
                  <c:v>2791.225314975836</c:v>
                </c:pt>
                <c:pt idx="172">
                  <c:v>2856.226033694012</c:v>
                </c:pt>
                <c:pt idx="173">
                  <c:v>2930.463504936049</c:v>
                </c:pt>
                <c:pt idx="174">
                  <c:v>2997.038867629815</c:v>
                </c:pt>
                <c:pt idx="175">
                  <c:v>3064.159517811192</c:v>
                </c:pt>
                <c:pt idx="176">
                  <c:v>3141.02267016639</c:v>
                </c:pt>
                <c:pt idx="177">
                  <c:v>3209.636377410934</c:v>
                </c:pt>
                <c:pt idx="178">
                  <c:v>3279.232942558983</c:v>
                </c:pt>
                <c:pt idx="179">
                  <c:v>3358.596047655161</c:v>
                </c:pt>
                <c:pt idx="180">
                  <c:v>3429.358851046536</c:v>
                </c:pt>
                <c:pt idx="181">
                  <c:v>3501.549494764668</c:v>
                </c:pt>
                <c:pt idx="182">
                  <c:v>3583.073860581715</c:v>
                </c:pt>
                <c:pt idx="183">
                  <c:v>3656.40700682295</c:v>
                </c:pt>
                <c:pt idx="184">
                  <c:v>3730.743436868081</c:v>
                </c:pt>
                <c:pt idx="185">
                  <c:v>3814.921970322883</c:v>
                </c:pt>
                <c:pt idx="186">
                  <c:v>3890.767165711626</c:v>
                </c:pt>
                <c:pt idx="187">
                  <c:v>3967.480748745808</c:v>
                </c:pt>
                <c:pt idx="188">
                  <c:v>4054.37065121762</c:v>
                </c:pt>
                <c:pt idx="189">
                  <c:v>4132.747732519659</c:v>
                </c:pt>
                <c:pt idx="190">
                  <c:v>4211.941309035313</c:v>
                </c:pt>
                <c:pt idx="191">
                  <c:v>4301.463511833895</c:v>
                </c:pt>
                <c:pt idx="192">
                  <c:v>4382.539155040683</c:v>
                </c:pt>
                <c:pt idx="193">
                  <c:v>4463.734853187518</c:v>
                </c:pt>
                <c:pt idx="194">
                  <c:v>4556.388569519348</c:v>
                </c:pt>
                <c:pt idx="195">
                  <c:v>4639.808507150277</c:v>
                </c:pt>
                <c:pt idx="196">
                  <c:v>4723.475434804295</c:v>
                </c:pt>
                <c:pt idx="197">
                  <c:v>4819.254362723023</c:v>
                </c:pt>
                <c:pt idx="198">
                  <c:v>4905.006260578224</c:v>
                </c:pt>
                <c:pt idx="199">
                  <c:v>4991.48938144948</c:v>
                </c:pt>
                <c:pt idx="200">
                  <c:v>5090.147049793061</c:v>
                </c:pt>
                <c:pt idx="201">
                  <c:v>5178.508279581122</c:v>
                </c:pt>
                <c:pt idx="202">
                  <c:v>5267.481291794921</c:v>
                </c:pt>
                <c:pt idx="203">
                  <c:v>5369.156120221762</c:v>
                </c:pt>
                <c:pt idx="204">
                  <c:v>5459.8605829957</c:v>
                </c:pt>
                <c:pt idx="205">
                  <c:v>5551.638851287593</c:v>
                </c:pt>
                <c:pt idx="206">
                  <c:v>5656.251189079561</c:v>
                </c:pt>
                <c:pt idx="207">
                  <c:v>5749.357404371224</c:v>
                </c:pt>
                <c:pt idx="208">
                  <c:v>5844.274620092532</c:v>
                </c:pt>
                <c:pt idx="209">
                  <c:v>5951.428965774951</c:v>
                </c:pt>
                <c:pt idx="210">
                  <c:v>6047.702050281103</c:v>
                </c:pt>
                <c:pt idx="211">
                  <c:v>6145.111338452737</c:v>
                </c:pt>
                <c:pt idx="212">
                  <c:v>6255.217594700774</c:v>
                </c:pt>
                <c:pt idx="213">
                  <c:v>6354.280825753113</c:v>
                </c:pt>
                <c:pt idx="214">
                  <c:v>6454.255793929251</c:v>
                </c:pt>
                <c:pt idx="215">
                  <c:v>6567.347290290034</c:v>
                </c:pt>
                <c:pt idx="216">
                  <c:v>6669.157766597426</c:v>
                </c:pt>
                <c:pt idx="217">
                  <c:v>6771.954687848473</c:v>
                </c:pt>
                <c:pt idx="218">
                  <c:v>6888.021426206601</c:v>
                </c:pt>
                <c:pt idx="219">
                  <c:v>6992.888996566192</c:v>
                </c:pt>
                <c:pt idx="220">
                  <c:v>7098.013869852497</c:v>
                </c:pt>
                <c:pt idx="221">
                  <c:v>7217.546480079481</c:v>
                </c:pt>
                <c:pt idx="222">
                  <c:v>7325.109272184577</c:v>
                </c:pt>
                <c:pt idx="223">
                  <c:v>7432.782391212268</c:v>
                </c:pt>
                <c:pt idx="224">
                  <c:v>7555.73320099179</c:v>
                </c:pt>
                <c:pt idx="225">
                  <c:v>7665.636355141923</c:v>
                </c:pt>
                <c:pt idx="226">
                  <c:v>7776.31348402332</c:v>
                </c:pt>
                <c:pt idx="227">
                  <c:v>7902.234110027593</c:v>
                </c:pt>
                <c:pt idx="228">
                  <c:v>8014.969432881394</c:v>
                </c:pt>
                <c:pt idx="229">
                  <c:v>8128.406130195016</c:v>
                </c:pt>
                <c:pt idx="230">
                  <c:v>8257.762900264475</c:v>
                </c:pt>
                <c:pt idx="231">
                  <c:v>8373.137731591465</c:v>
                </c:pt>
                <c:pt idx="232">
                  <c:v>8489.606317132932</c:v>
                </c:pt>
                <c:pt idx="233">
                  <c:v>8622.02423942488</c:v>
                </c:pt>
                <c:pt idx="234">
                  <c:v>8739.913766874453</c:v>
                </c:pt>
                <c:pt idx="235">
                  <c:v>8859.603644488401</c:v>
                </c:pt>
                <c:pt idx="236">
                  <c:v>8994.652022373111</c:v>
                </c:pt>
                <c:pt idx="237">
                  <c:v>9115.781029913565</c:v>
                </c:pt>
                <c:pt idx="238">
                  <c:v>9238.143445583908</c:v>
                </c:pt>
                <c:pt idx="239">
                  <c:v>9376.367521334945</c:v>
                </c:pt>
                <c:pt idx="240">
                  <c:v>9500.459003101661</c:v>
                </c:pt>
              </c:numCache>
            </c:numRef>
          </c:yVal>
        </c:ser>
        <c:ser>
          <c:idx val="3"/>
          <c:order val="3"/>
          <c:tx>
            <c:v>Operating 25 km / 1600 km pass</c:v>
          </c:tx>
          <c:spPr>
            <a:ln xmlns:a="http://schemas.openxmlformats.org/drawingml/2006/mai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c:v>
                </c:pt>
                <c:pt idx="8">
                  <c:v>-746.4000000000001</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c:v>
                </c:pt>
                <c:pt idx="23">
                  <c:v>-646.4000000000001</c:v>
                </c:pt>
                <c:pt idx="24">
                  <c:v>-640</c:v>
                </c:pt>
                <c:pt idx="25">
                  <c:v>-633.6</c:v>
                </c:pt>
                <c:pt idx="26">
                  <c:v>-626.4000000000001</c:v>
                </c:pt>
                <c:pt idx="27">
                  <c:v>-620</c:v>
                </c:pt>
                <c:pt idx="28">
                  <c:v>-613.6</c:v>
                </c:pt>
                <c:pt idx="29">
                  <c:v>-606.4</c:v>
                </c:pt>
                <c:pt idx="30">
                  <c:v>-600</c:v>
                </c:pt>
                <c:pt idx="31">
                  <c:v>-593.6</c:v>
                </c:pt>
                <c:pt idx="32">
                  <c:v>-586.4</c:v>
                </c:pt>
                <c:pt idx="33">
                  <c:v>-580</c:v>
                </c:pt>
                <c:pt idx="34">
                  <c:v>-573.5999999999999</c:v>
                </c:pt>
                <c:pt idx="35">
                  <c:v>-566.4</c:v>
                </c:pt>
                <c:pt idx="36">
                  <c:v>-560</c:v>
                </c:pt>
                <c:pt idx="37">
                  <c:v>-553.5999999999999</c:v>
                </c:pt>
                <c:pt idx="38">
                  <c:v>-546.4000000000001</c:v>
                </c:pt>
                <c:pt idx="39">
                  <c:v>-540</c:v>
                </c:pt>
                <c:pt idx="40">
                  <c:v>-533.6</c:v>
                </c:pt>
                <c:pt idx="41">
                  <c:v>-526.4000000000001</c:v>
                </c:pt>
                <c:pt idx="42">
                  <c:v>-520</c:v>
                </c:pt>
                <c:pt idx="43">
                  <c:v>-513.6</c:v>
                </c:pt>
                <c:pt idx="44">
                  <c:v>-506.4</c:v>
                </c:pt>
                <c:pt idx="45">
                  <c:v>-500</c:v>
                </c:pt>
                <c:pt idx="46">
                  <c:v>-493.6</c:v>
                </c:pt>
                <c:pt idx="47">
                  <c:v>-486.4</c:v>
                </c:pt>
                <c:pt idx="48">
                  <c:v>-480</c:v>
                </c:pt>
                <c:pt idx="49">
                  <c:v>-473.6</c:v>
                </c:pt>
                <c:pt idx="50">
                  <c:v>-466.4</c:v>
                </c:pt>
                <c:pt idx="51">
                  <c:v>-459.9999999999999</c:v>
                </c:pt>
                <c:pt idx="52">
                  <c:v>-453.6</c:v>
                </c:pt>
                <c:pt idx="53">
                  <c:v>-446.4</c:v>
                </c:pt>
                <c:pt idx="54">
                  <c:v>-440.0000000000001</c:v>
                </c:pt>
                <c:pt idx="55">
                  <c:v>-433.6</c:v>
                </c:pt>
                <c:pt idx="56">
                  <c:v>-426.4</c:v>
                </c:pt>
                <c:pt idx="57">
                  <c:v>-420</c:v>
                </c:pt>
                <c:pt idx="58">
                  <c:v>-413.6</c:v>
                </c:pt>
                <c:pt idx="59">
                  <c:v>-406.4</c:v>
                </c:pt>
                <c:pt idx="60">
                  <c:v>-400</c:v>
                </c:pt>
                <c:pt idx="61">
                  <c:v>-393.6</c:v>
                </c:pt>
                <c:pt idx="62">
                  <c:v>-386.4</c:v>
                </c:pt>
                <c:pt idx="63">
                  <c:v>-380</c:v>
                </c:pt>
                <c:pt idx="64">
                  <c:v>-373.6000000000001</c:v>
                </c:pt>
                <c:pt idx="65">
                  <c:v>-366.4</c:v>
                </c:pt>
                <c:pt idx="66">
                  <c:v>-359.9999999999999</c:v>
                </c:pt>
                <c:pt idx="67">
                  <c:v>-353.6</c:v>
                </c:pt>
                <c:pt idx="68">
                  <c:v>-346.4</c:v>
                </c:pt>
                <c:pt idx="69">
                  <c:v>-340.0000000000001</c:v>
                </c:pt>
                <c:pt idx="70">
                  <c:v>-333.6</c:v>
                </c:pt>
                <c:pt idx="71">
                  <c:v>-326.3999999999999</c:v>
                </c:pt>
                <c:pt idx="72">
                  <c:v>-320</c:v>
                </c:pt>
                <c:pt idx="73">
                  <c:v>-313.6</c:v>
                </c:pt>
                <c:pt idx="74">
                  <c:v>-306.4</c:v>
                </c:pt>
                <c:pt idx="75">
                  <c:v>-300</c:v>
                </c:pt>
                <c:pt idx="76">
                  <c:v>-293.6</c:v>
                </c:pt>
                <c:pt idx="77">
                  <c:v>-286.4</c:v>
                </c:pt>
                <c:pt idx="78">
                  <c:v>-280</c:v>
                </c:pt>
                <c:pt idx="79">
                  <c:v>-273.6</c:v>
                </c:pt>
                <c:pt idx="80">
                  <c:v>-266.4</c:v>
                </c:pt>
                <c:pt idx="81">
                  <c:v>-260</c:v>
                </c:pt>
                <c:pt idx="82">
                  <c:v>-253.5999999999999</c:v>
                </c:pt>
                <c:pt idx="83">
                  <c:v>-246.4000000000001</c:v>
                </c:pt>
                <c:pt idx="84">
                  <c:v>-240</c:v>
                </c:pt>
                <c:pt idx="85">
                  <c:v>-233.6</c:v>
                </c:pt>
                <c:pt idx="86">
                  <c:v>-226.4</c:v>
                </c:pt>
                <c:pt idx="87">
                  <c:v>-220</c:v>
                </c:pt>
                <c:pt idx="88">
                  <c:v>-213.6</c:v>
                </c:pt>
                <c:pt idx="89">
                  <c:v>-206.4</c:v>
                </c:pt>
                <c:pt idx="90">
                  <c:v>-200</c:v>
                </c:pt>
                <c:pt idx="91">
                  <c:v>-193.6</c:v>
                </c:pt>
                <c:pt idx="92">
                  <c:v>-186.4</c:v>
                </c:pt>
                <c:pt idx="93">
                  <c:v>-180</c:v>
                </c:pt>
                <c:pt idx="94">
                  <c:v>-173.6</c:v>
                </c:pt>
                <c:pt idx="95">
                  <c:v>-166.4</c:v>
                </c:pt>
                <c:pt idx="96">
                  <c:v>-160</c:v>
                </c:pt>
                <c:pt idx="97">
                  <c:v>-153.5999999999999</c:v>
                </c:pt>
                <c:pt idx="98">
                  <c:v>-146.4000000000001</c:v>
                </c:pt>
                <c:pt idx="99">
                  <c:v>-140</c:v>
                </c:pt>
                <c:pt idx="100">
                  <c:v>-133.6</c:v>
                </c:pt>
                <c:pt idx="101">
                  <c:v>-126.4</c:v>
                </c:pt>
                <c:pt idx="102">
                  <c:v>-120</c:v>
                </c:pt>
                <c:pt idx="103">
                  <c:v>-113.6</c:v>
                </c:pt>
                <c:pt idx="104">
                  <c:v>-106.4</c:v>
                </c:pt>
                <c:pt idx="105">
                  <c:v>-100</c:v>
                </c:pt>
                <c:pt idx="106">
                  <c:v>-93.60000000000002</c:v>
                </c:pt>
                <c:pt idx="107">
                  <c:v>-86.39999999999998</c:v>
                </c:pt>
                <c:pt idx="108">
                  <c:v>-80</c:v>
                </c:pt>
                <c:pt idx="109">
                  <c:v>-73.60000000000002</c:v>
                </c:pt>
                <c:pt idx="110">
                  <c:v>-66.39999999999998</c:v>
                </c:pt>
                <c:pt idx="111">
                  <c:v>-60</c:v>
                </c:pt>
                <c:pt idx="112">
                  <c:v>-53.59999999999991</c:v>
                </c:pt>
                <c:pt idx="113">
                  <c:v>-46.40000000000009</c:v>
                </c:pt>
                <c:pt idx="114">
                  <c:v>-40</c:v>
                </c:pt>
                <c:pt idx="115">
                  <c:v>-33.60000000000002</c:v>
                </c:pt>
                <c:pt idx="116">
                  <c:v>-26.39999999999998</c:v>
                </c:pt>
                <c:pt idx="117">
                  <c:v>-20</c:v>
                </c:pt>
                <c:pt idx="118">
                  <c:v>-13.60000000000002</c:v>
                </c:pt>
                <c:pt idx="119">
                  <c:v>-6.399999999999977</c:v>
                </c:pt>
                <c:pt idx="120">
                  <c:v>0</c:v>
                </c:pt>
                <c:pt idx="121">
                  <c:v>6.399999999999977</c:v>
                </c:pt>
                <c:pt idx="122">
                  <c:v>13.59999999999991</c:v>
                </c:pt>
                <c:pt idx="123">
                  <c:v>19.99999999999989</c:v>
                </c:pt>
                <c:pt idx="124">
                  <c:v>26.39999999999998</c:v>
                </c:pt>
                <c:pt idx="125">
                  <c:v>33.60000000000002</c:v>
                </c:pt>
                <c:pt idx="126">
                  <c:v>40</c:v>
                </c:pt>
                <c:pt idx="127">
                  <c:v>46.40000000000009</c:v>
                </c:pt>
                <c:pt idx="128">
                  <c:v>53.59999999999991</c:v>
                </c:pt>
                <c:pt idx="129">
                  <c:v>60</c:v>
                </c:pt>
                <c:pt idx="130">
                  <c:v>66.39999999999998</c:v>
                </c:pt>
                <c:pt idx="131">
                  <c:v>73.60000000000002</c:v>
                </c:pt>
                <c:pt idx="132">
                  <c:v>80.00000000000011</c:v>
                </c:pt>
                <c:pt idx="133">
                  <c:v>86.40000000000009</c:v>
                </c:pt>
                <c:pt idx="134">
                  <c:v>93.60000000000002</c:v>
                </c:pt>
                <c:pt idx="135">
                  <c:v>100</c:v>
                </c:pt>
                <c:pt idx="136">
                  <c:v>106.4</c:v>
                </c:pt>
                <c:pt idx="137">
                  <c:v>113.5999999999999</c:v>
                </c:pt>
                <c:pt idx="138">
                  <c:v>119.9999999999999</c:v>
                </c:pt>
                <c:pt idx="139">
                  <c:v>126.4</c:v>
                </c:pt>
                <c:pt idx="140">
                  <c:v>133.6</c:v>
                </c:pt>
                <c:pt idx="141">
                  <c:v>140</c:v>
                </c:pt>
                <c:pt idx="142">
                  <c:v>146.4000000000001</c:v>
                </c:pt>
                <c:pt idx="143">
                  <c:v>153.5999999999999</c:v>
                </c:pt>
                <c:pt idx="144">
                  <c:v>160</c:v>
                </c:pt>
                <c:pt idx="145">
                  <c:v>166.4</c:v>
                </c:pt>
                <c:pt idx="146">
                  <c:v>173.6</c:v>
                </c:pt>
                <c:pt idx="147">
                  <c:v>180.0000000000001</c:v>
                </c:pt>
                <c:pt idx="148">
                  <c:v>186.4000000000001</c:v>
                </c:pt>
                <c:pt idx="149">
                  <c:v>193.6</c:v>
                </c:pt>
                <c:pt idx="150">
                  <c:v>200</c:v>
                </c:pt>
                <c:pt idx="151">
                  <c:v>206.4</c:v>
                </c:pt>
                <c:pt idx="152">
                  <c:v>213.5999999999999</c:v>
                </c:pt>
                <c:pt idx="153">
                  <c:v>219.9999999999999</c:v>
                </c:pt>
                <c:pt idx="154">
                  <c:v>226.3999999999999</c:v>
                </c:pt>
                <c:pt idx="155">
                  <c:v>233.6000000000001</c:v>
                </c:pt>
                <c:pt idx="156">
                  <c:v>240</c:v>
                </c:pt>
                <c:pt idx="157">
                  <c:v>246.4000000000001</c:v>
                </c:pt>
                <c:pt idx="158">
                  <c:v>253.5999999999999</c:v>
                </c:pt>
                <c:pt idx="159">
                  <c:v>260</c:v>
                </c:pt>
                <c:pt idx="160">
                  <c:v>266.3999999999999</c:v>
                </c:pt>
                <c:pt idx="161">
                  <c:v>273.6000000000001</c:v>
                </c:pt>
                <c:pt idx="162">
                  <c:v>280</c:v>
                </c:pt>
                <c:pt idx="163">
                  <c:v>286.4000000000001</c:v>
                </c:pt>
                <c:pt idx="164">
                  <c:v>293.5999999999999</c:v>
                </c:pt>
                <c:pt idx="165">
                  <c:v>300</c:v>
                </c:pt>
                <c:pt idx="166">
                  <c:v>306.4000000000001</c:v>
                </c:pt>
                <c:pt idx="167">
                  <c:v>313.5999999999999</c:v>
                </c:pt>
                <c:pt idx="168">
                  <c:v>320</c:v>
                </c:pt>
                <c:pt idx="169">
                  <c:v>326.3999999999999</c:v>
                </c:pt>
                <c:pt idx="170">
                  <c:v>333.6000000000001</c:v>
                </c:pt>
                <c:pt idx="171">
                  <c:v>340</c:v>
                </c:pt>
                <c:pt idx="172">
                  <c:v>346.4000000000001</c:v>
                </c:pt>
                <c:pt idx="173">
                  <c:v>353.5999999999999</c:v>
                </c:pt>
                <c:pt idx="174">
                  <c:v>360</c:v>
                </c:pt>
                <c:pt idx="175">
                  <c:v>366.3999999999999</c:v>
                </c:pt>
                <c:pt idx="176">
                  <c:v>373.6000000000001</c:v>
                </c:pt>
                <c:pt idx="177">
                  <c:v>380</c:v>
                </c:pt>
                <c:pt idx="178">
                  <c:v>386.4000000000001</c:v>
                </c:pt>
                <c:pt idx="179">
                  <c:v>393.5999999999999</c:v>
                </c:pt>
                <c:pt idx="180">
                  <c:v>400</c:v>
                </c:pt>
                <c:pt idx="181">
                  <c:v>406.4000000000001</c:v>
                </c:pt>
                <c:pt idx="182">
                  <c:v>413.5999999999999</c:v>
                </c:pt>
                <c:pt idx="183">
                  <c:v>420</c:v>
                </c:pt>
                <c:pt idx="184">
                  <c:v>426.3999999999999</c:v>
                </c:pt>
                <c:pt idx="185">
                  <c:v>433.6000000000001</c:v>
                </c:pt>
                <c:pt idx="186">
                  <c:v>440</c:v>
                </c:pt>
                <c:pt idx="187">
                  <c:v>446.4000000000001</c:v>
                </c:pt>
                <c:pt idx="188">
                  <c:v>453.5999999999999</c:v>
                </c:pt>
                <c:pt idx="189">
                  <c:v>460</c:v>
                </c:pt>
                <c:pt idx="190">
                  <c:v>466.3999999999999</c:v>
                </c:pt>
                <c:pt idx="191">
                  <c:v>473.6000000000001</c:v>
                </c:pt>
                <c:pt idx="192">
                  <c:v>480</c:v>
                </c:pt>
                <c:pt idx="193">
                  <c:v>486.4000000000001</c:v>
                </c:pt>
                <c:pt idx="194">
                  <c:v>493.5999999999999</c:v>
                </c:pt>
                <c:pt idx="195">
                  <c:v>500</c:v>
                </c:pt>
                <c:pt idx="196">
                  <c:v>506.4000000000001</c:v>
                </c:pt>
                <c:pt idx="197">
                  <c:v>513.5999999999999</c:v>
                </c:pt>
                <c:pt idx="198">
                  <c:v>520</c:v>
                </c:pt>
                <c:pt idx="199">
                  <c:v>526.3999999999999</c:v>
                </c:pt>
                <c:pt idx="200">
                  <c:v>533.6000000000001</c:v>
                </c:pt>
                <c:pt idx="201">
                  <c:v>540</c:v>
                </c:pt>
                <c:pt idx="202">
                  <c:v>546.4000000000001</c:v>
                </c:pt>
                <c:pt idx="203">
                  <c:v>553.5999999999999</c:v>
                </c:pt>
                <c:pt idx="204">
                  <c:v>560</c:v>
                </c:pt>
                <c:pt idx="205">
                  <c:v>566.3999999999999</c:v>
                </c:pt>
                <c:pt idx="206">
                  <c:v>573.6000000000001</c:v>
                </c:pt>
                <c:pt idx="207">
                  <c:v>580</c:v>
                </c:pt>
                <c:pt idx="208">
                  <c:v>586.4000000000001</c:v>
                </c:pt>
                <c:pt idx="209">
                  <c:v>593.5999999999999</c:v>
                </c:pt>
                <c:pt idx="210">
                  <c:v>600</c:v>
                </c:pt>
                <c:pt idx="211">
                  <c:v>606.4000000000001</c:v>
                </c:pt>
                <c:pt idx="212">
                  <c:v>613.5999999999999</c:v>
                </c:pt>
                <c:pt idx="213">
                  <c:v>620</c:v>
                </c:pt>
                <c:pt idx="214">
                  <c:v>626.3999999999999</c:v>
                </c:pt>
                <c:pt idx="215">
                  <c:v>633.6000000000001</c:v>
                </c:pt>
                <c:pt idx="216">
                  <c:v>640</c:v>
                </c:pt>
                <c:pt idx="217">
                  <c:v>646.4000000000001</c:v>
                </c:pt>
                <c:pt idx="218">
                  <c:v>653.5999999999999</c:v>
                </c:pt>
                <c:pt idx="219">
                  <c:v>660</c:v>
                </c:pt>
                <c:pt idx="220">
                  <c:v>666.3999999999999</c:v>
                </c:pt>
                <c:pt idx="221">
                  <c:v>673.6000000000001</c:v>
                </c:pt>
                <c:pt idx="222">
                  <c:v>680</c:v>
                </c:pt>
                <c:pt idx="223">
                  <c:v>686.4000000000001</c:v>
                </c:pt>
                <c:pt idx="224">
                  <c:v>693.5999999999999</c:v>
                </c:pt>
                <c:pt idx="225">
                  <c:v>700</c:v>
                </c:pt>
                <c:pt idx="226">
                  <c:v>706.4000000000001</c:v>
                </c:pt>
                <c:pt idx="227">
                  <c:v>713.5999999999999</c:v>
                </c:pt>
                <c:pt idx="228">
                  <c:v>720</c:v>
                </c:pt>
                <c:pt idx="229">
                  <c:v>726.3999999999999</c:v>
                </c:pt>
                <c:pt idx="230">
                  <c:v>733.6000000000001</c:v>
                </c:pt>
                <c:pt idx="231">
                  <c:v>740</c:v>
                </c:pt>
                <c:pt idx="232">
                  <c:v>746.4000000000001</c:v>
                </c:pt>
                <c:pt idx="233">
                  <c:v>753.5999999999999</c:v>
                </c:pt>
                <c:pt idx="234">
                  <c:v>760</c:v>
                </c:pt>
                <c:pt idx="235">
                  <c:v>766.3999999999999</c:v>
                </c:pt>
                <c:pt idx="236">
                  <c:v>773.6000000000001</c:v>
                </c:pt>
                <c:pt idx="237">
                  <c:v>780</c:v>
                </c:pt>
                <c:pt idx="238">
                  <c:v>786.4000000000001</c:v>
                </c:pt>
                <c:pt idx="239">
                  <c:v>793.5999999999999</c:v>
                </c:pt>
                <c:pt idx="240">
                  <c:v>800</c:v>
                </c:pt>
              </c:numCache>
            </c:numRef>
          </c:xVal>
          <c:yVal>
            <c:numRef>
              <c:f>Native_Chart_Data!$H$1718:$H$1958</c:f>
              <c:numCache>
                <c:formatCode>General</c:formatCode>
                <c:ptCount val="241"/>
                <c:pt idx="0">
                  <c:v>9500.556371343455</c:v>
                </c:pt>
                <c:pt idx="1">
                  <c:v>9375.78645312123</c:v>
                </c:pt>
                <c:pt idx="2">
                  <c:v>9235.980691879406</c:v>
                </c:pt>
                <c:pt idx="3">
                  <c:v>9113.459474677602</c:v>
                </c:pt>
                <c:pt idx="4">
                  <c:v>8991.083262053251</c:v>
                </c:pt>
                <c:pt idx="5">
                  <c:v>8854.775290553753</c:v>
                </c:pt>
                <c:pt idx="6">
                  <c:v>8734.933723952112</c:v>
                </c:pt>
                <c:pt idx="7">
                  <c:v>8615.311864200492</c:v>
                </c:pt>
                <c:pt idx="8">
                  <c:v>8482.60917722077</c:v>
                </c:pt>
                <c:pt idx="9">
                  <c:v>8365.237270419912</c:v>
                </c:pt>
                <c:pt idx="10">
                  <c:v>8248.788016979055</c:v>
                </c:pt>
                <c:pt idx="11">
                  <c:v>8119.218745794955</c:v>
                </c:pt>
                <c:pt idx="12">
                  <c:v>8004.764484602612</c:v>
                </c:pt>
                <c:pt idx="13">
                  <c:v>7891.049878608126</c:v>
                </c:pt>
                <c:pt idx="14">
                  <c:v>7764.735963080681</c:v>
                </c:pt>
                <c:pt idx="15">
                  <c:v>7652.855371318062</c:v>
                </c:pt>
                <c:pt idx="16">
                  <c:v>7542.106308297932</c:v>
                </c:pt>
                <c:pt idx="17">
                  <c:v>7418.984078737651</c:v>
                </c:pt>
                <c:pt idx="18">
                  <c:v>7309.750091969138</c:v>
                </c:pt>
                <c:pt idx="19">
                  <c:v>7202.244912727801</c:v>
                </c:pt>
                <c:pt idx="20">
                  <c:v>7081.816025654211</c:v>
                </c:pt>
                <c:pt idx="21">
                  <c:v>6975.80232907405</c:v>
                </c:pt>
                <c:pt idx="22">
                  <c:v>6870.969349722895</c:v>
                </c:pt>
                <c:pt idx="23">
                  <c:v>6753.621278144666</c:v>
                </c:pt>
                <c:pt idx="24">
                  <c:v>6650.47074761406</c:v>
                </c:pt>
                <c:pt idx="25">
                  <c:v>6548.25580809364</c:v>
                </c:pt>
                <c:pt idx="26">
                  <c:v>6433.938830803955</c:v>
                </c:pt>
                <c:pt idx="27">
                  <c:v>6333.578302346319</c:v>
                </c:pt>
                <c:pt idx="28">
                  <c:v>6234.24564203876</c:v>
                </c:pt>
                <c:pt idx="29">
                  <c:v>6122.914735787467</c:v>
                </c:pt>
                <c:pt idx="30">
                  <c:v>6025.726492848604</c:v>
                </c:pt>
                <c:pt idx="31">
                  <c:v>5928.648736328782</c:v>
                </c:pt>
                <c:pt idx="32">
                  <c:v>5820.765933364904</c:v>
                </c:pt>
                <c:pt idx="33">
                  <c:v>5726.165298383326</c:v>
                </c:pt>
                <c:pt idx="34">
                  <c:v>5631.65237257585</c:v>
                </c:pt>
                <c:pt idx="35">
                  <c:v>5527.088644171126</c:v>
                </c:pt>
                <c:pt idx="36">
                  <c:v>5434.79834663666</c:v>
                </c:pt>
                <c:pt idx="37">
                  <c:v>5343.164202862709</c:v>
                </c:pt>
                <c:pt idx="38">
                  <c:v>5241.538951238175</c:v>
                </c:pt>
                <c:pt idx="39">
                  <c:v>5151.930884437782</c:v>
                </c:pt>
                <c:pt idx="40">
                  <c:v>5062.979131012552</c:v>
                </c:pt>
                <c:pt idx="41">
                  <c:v>4964.481536374396</c:v>
                </c:pt>
                <c:pt idx="42">
                  <c:v>4877.328179359549</c:v>
                </c:pt>
                <c:pt idx="43">
                  <c:v>4791.228813085901</c:v>
                </c:pt>
                <c:pt idx="44">
                  <c:v>4695.650666460148</c:v>
                </c:pt>
                <c:pt idx="45">
                  <c:v>4610.84324098783</c:v>
                </c:pt>
                <c:pt idx="46">
                  <c:v>4527.676662769078</c:v>
                </c:pt>
                <c:pt idx="47">
                  <c:v>4434.539750557736</c:v>
                </c:pt>
                <c:pt idx="48">
                  <c:v>4352.65346960581</c:v>
                </c:pt>
                <c:pt idx="49">
                  <c:v>4271.923873594473</c:v>
                </c:pt>
                <c:pt idx="50">
                  <c:v>4181.580717076413</c:v>
                </c:pt>
                <c:pt idx="51">
                  <c:v>4102.426876759548</c:v>
                </c:pt>
                <c:pt idx="52">
                  <c:v>4024.160160309181</c:v>
                </c:pt>
                <c:pt idx="53">
                  <c:v>3936.695700076091</c:v>
                </c:pt>
                <c:pt idx="54">
                  <c:v>3859.974715726375</c:v>
                </c:pt>
                <c:pt idx="55">
                  <c:v>3784.246324933066</c:v>
                </c:pt>
                <c:pt idx="56">
                  <c:v>3699.30191597568</c:v>
                </c:pt>
                <c:pt idx="57">
                  <c:v>3625.344303804723</c:v>
                </c:pt>
                <c:pt idx="58">
                  <c:v>3551.597360231251</c:v>
                </c:pt>
                <c:pt idx="59">
                  <c:v>3469.686028659542</c:v>
                </c:pt>
                <c:pt idx="60">
                  <c:v>3397.995470414696</c:v>
                </c:pt>
                <c:pt idx="61">
                  <c:v>3326.510290593986</c:v>
                </c:pt>
                <c:pt idx="62">
                  <c:v>3247.597471574157</c:v>
                </c:pt>
                <c:pt idx="63">
                  <c:v>3177.990618415184</c:v>
                </c:pt>
                <c:pt idx="64">
                  <c:v>3109.009887937512</c:v>
                </c:pt>
                <c:pt idx="65">
                  <c:v>3032.578307421142</c:v>
                </c:pt>
                <c:pt idx="66">
                  <c:v>2965.278708244999</c:v>
                </c:pt>
                <c:pt idx="67">
                  <c:v>2898.417070837936</c:v>
                </c:pt>
                <c:pt idx="68">
                  <c:v>2824.599793254962</c:v>
                </c:pt>
                <c:pt idx="69">
                  <c:v>2759.267993629624</c:v>
                </c:pt>
                <c:pt idx="70">
                  <c:v>2694.831504974336</c:v>
                </c:pt>
                <c:pt idx="71">
                  <c:v>2623.425230126642</c:v>
                </c:pt>
                <c:pt idx="72">
                  <c:v>2560.088488449522</c:v>
                </c:pt>
                <c:pt idx="73">
                  <c:v>2498.108264956655</c:v>
                </c:pt>
                <c:pt idx="74">
                  <c:v>2428.67513320416</c:v>
                </c:pt>
                <c:pt idx="75">
                  <c:v>2367.716512231392</c:v>
                </c:pt>
                <c:pt idx="76">
                  <c:v>2307.637032802526</c:v>
                </c:pt>
                <c:pt idx="77">
                  <c:v>2240.42054896027</c:v>
                </c:pt>
                <c:pt idx="78">
                  <c:v>2181.50328770911</c:v>
                </c:pt>
                <c:pt idx="79">
                  <c:v>2123.297962760579</c:v>
                </c:pt>
                <c:pt idx="80">
                  <c:v>2058.271372657876</c:v>
                </c:pt>
                <c:pt idx="81">
                  <c:v>2001.281475278257</c:v>
                </c:pt>
                <c:pt idx="82">
                  <c:v>1945.00615432865</c:v>
                </c:pt>
                <c:pt idx="83">
                  <c:v>1881.952780960172</c:v>
                </c:pt>
                <c:pt idx="84">
                  <c:v>1827.084897627734</c:v>
                </c:pt>
                <c:pt idx="85">
                  <c:v>1772.272432596628</c:v>
                </c:pt>
                <c:pt idx="86">
                  <c:v>1711.450022783946</c:v>
                </c:pt>
                <c:pt idx="87">
                  <c:v>1658.154956784144</c:v>
                </c:pt>
                <c:pt idx="88">
                  <c:v>1604.932853763352</c:v>
                </c:pt>
                <c:pt idx="89">
                  <c:v>1546.123543461253</c:v>
                </c:pt>
                <c:pt idx="90">
                  <c:v>1494.220331773146</c:v>
                </c:pt>
                <c:pt idx="91">
                  <c:v>1442.817695131121</c:v>
                </c:pt>
                <c:pt idx="92">
                  <c:v>1385.732867388738</c:v>
                </c:pt>
                <c:pt idx="93">
                  <c:v>1335.434839963411</c:v>
                </c:pt>
                <c:pt idx="94">
                  <c:v>1285.504511515804</c:v>
                </c:pt>
                <c:pt idx="95">
                  <c:v>1230.251296014278</c:v>
                </c:pt>
                <c:pt idx="96">
                  <c:v>1181.336026778777</c:v>
                </c:pt>
                <c:pt idx="97">
                  <c:v>1132.933668481271</c:v>
                </c:pt>
                <c:pt idx="98">
                  <c:v>1079.226226242142</c:v>
                </c:pt>
                <c:pt idx="99">
                  <c:v>1031.598088648423</c:v>
                </c:pt>
                <c:pt idx="100">
                  <c:v>984.8323231675628</c:v>
                </c:pt>
                <c:pt idx="101">
                  <c:v>932.4708641756583</c:v>
                </c:pt>
                <c:pt idx="102">
                  <c:v>886.4597372531108</c:v>
                </c:pt>
                <c:pt idx="103">
                  <c:v>841.1061786695878</c:v>
                </c:pt>
                <c:pt idx="104">
                  <c:v>790.3494390057505</c:v>
                </c:pt>
                <c:pt idx="105">
                  <c:v>745.953527022406</c:v>
                </c:pt>
                <c:pt idx="106">
                  <c:v>702.144121054545</c:v>
                </c:pt>
                <c:pt idx="107">
                  <c:v>653.271654028491</c:v>
                </c:pt>
                <c:pt idx="108">
                  <c:v>610.5993837127407</c:v>
                </c:pt>
                <c:pt idx="109">
                  <c:v>568.797072806705</c:v>
                </c:pt>
                <c:pt idx="110">
                  <c:v>522.2177364636578</c:v>
                </c:pt>
                <c:pt idx="111">
                  <c:v>482.4244073104283</c:v>
                </c:pt>
                <c:pt idx="112">
                  <c:v>443.2221969503307</c:v>
                </c:pt>
                <c:pt idx="113">
                  <c:v>401.113136863523</c:v>
                </c:pt>
                <c:pt idx="114">
                  <c:v>365.7807671888995</c:v>
                </c:pt>
                <c:pt idx="115">
                  <c:v>332.263191455232</c:v>
                </c:pt>
                <c:pt idx="116">
                  <c:v>298.9985244554888</c:v>
                </c:pt>
                <c:pt idx="117">
                  <c:v>273.4933998987967</c:v>
                </c:pt>
                <c:pt idx="118">
                  <c:v>253.2927309834129</c:v>
                </c:pt>
                <c:pt idx="119">
                  <c:v>238.9667849962062</c:v>
                </c:pt>
                <c:pt idx="120">
                  <c:v>234.5789313633493</c:v>
                </c:pt>
                <c:pt idx="121">
                  <c:v>238.5842703863145</c:v>
                </c:pt>
                <c:pt idx="122">
                  <c:v>253.3206860578092</c:v>
                </c:pt>
                <c:pt idx="123">
                  <c:v>273.0846489801912</c:v>
                </c:pt>
                <c:pt idx="124">
                  <c:v>298.6887999718089</c:v>
                </c:pt>
                <c:pt idx="125">
                  <c:v>332.642526754116</c:v>
                </c:pt>
                <c:pt idx="126">
                  <c:v>365.4356044523713</c:v>
                </c:pt>
                <c:pt idx="127">
                  <c:v>401.3734936544012</c:v>
                </c:pt>
                <c:pt idx="128">
                  <c:v>443.3393813286131</c:v>
                </c:pt>
                <c:pt idx="129">
                  <c:v>482.2643114985864</c:v>
                </c:pt>
                <c:pt idx="130">
                  <c:v>522.5382572247767</c:v>
                </c:pt>
                <c:pt idx="131">
                  <c:v>568.565823552878</c:v>
                </c:pt>
                <c:pt idx="132">
                  <c:v>610.5916323677442</c:v>
                </c:pt>
                <c:pt idx="133">
                  <c:v>653.3270706753955</c:v>
                </c:pt>
                <c:pt idx="134">
                  <c:v>701.9144007435814</c:v>
                </c:pt>
                <c:pt idx="135">
                  <c:v>745.9627344688287</c:v>
                </c:pt>
                <c:pt idx="136">
                  <c:v>790.5661176236786</c:v>
                </c:pt>
                <c:pt idx="137">
                  <c:v>840.9326078964309</c:v>
                </c:pt>
                <c:pt idx="138">
                  <c:v>886.7103694425493</c:v>
                </c:pt>
                <c:pt idx="139">
                  <c:v>932.5288448805254</c:v>
                </c:pt>
                <c:pt idx="140">
                  <c:v>984.7447767945712</c:v>
                </c:pt>
                <c:pt idx="141">
                  <c:v>1031.851625789072</c:v>
                </c:pt>
                <c:pt idx="142">
                  <c:v>1078.941017998533</c:v>
                </c:pt>
                <c:pt idx="143">
                  <c:v>1132.999036177561</c:v>
                </c:pt>
                <c:pt idx="144">
                  <c:v>1181.28521935239</c:v>
                </c:pt>
                <c:pt idx="145">
                  <c:v>1230.026408396081</c:v>
                </c:pt>
                <c:pt idx="146">
                  <c:v>1285.668909744664</c:v>
                </c:pt>
                <c:pt idx="147">
                  <c:v>1335.455813764006</c:v>
                </c:pt>
                <c:pt idx="148">
                  <c:v>1385.67056989846</c:v>
                </c:pt>
                <c:pt idx="149">
                  <c:v>1443.014394306985</c:v>
                </c:pt>
                <c:pt idx="150">
                  <c:v>1494.197489623103</c:v>
                </c:pt>
                <c:pt idx="151">
                  <c:v>1546.060002257067</c:v>
                </c:pt>
                <c:pt idx="152">
                  <c:v>1605.153304930882</c:v>
                </c:pt>
                <c:pt idx="153">
                  <c:v>1657.755965187941</c:v>
                </c:pt>
                <c:pt idx="154">
                  <c:v>1711.529215198778</c:v>
                </c:pt>
                <c:pt idx="155">
                  <c:v>1772.21464669172</c:v>
                </c:pt>
                <c:pt idx="156">
                  <c:v>1826.858082720953</c:v>
                </c:pt>
                <c:pt idx="157">
                  <c:v>1882.210761089762</c:v>
                </c:pt>
                <c:pt idx="158">
                  <c:v>1944.858837742305</c:v>
                </c:pt>
                <c:pt idx="159">
                  <c:v>2001.375444236326</c:v>
                </c:pt>
                <c:pt idx="160">
                  <c:v>2058.477922917935</c:v>
                </c:pt>
                <c:pt idx="161">
                  <c:v>2123.187380831977</c:v>
                </c:pt>
                <c:pt idx="162">
                  <c:v>2181.571963631616</c:v>
                </c:pt>
                <c:pt idx="163">
                  <c:v>2240.564610948291</c:v>
                </c:pt>
                <c:pt idx="164">
                  <c:v>2307.267467304865</c:v>
                </c:pt>
                <c:pt idx="165">
                  <c:v>2367.900923017389</c:v>
                </c:pt>
                <c:pt idx="166">
                  <c:v>2428.610657778259</c:v>
                </c:pt>
                <c:pt idx="167">
                  <c:v>2497.945375811457</c:v>
                </c:pt>
                <c:pt idx="168">
                  <c:v>2560.508645682442</c:v>
                </c:pt>
                <c:pt idx="169">
                  <c:v>2623.190626267785</c:v>
                </c:pt>
                <c:pt idx="170">
                  <c:v>2695.050056278472</c:v>
                </c:pt>
                <c:pt idx="171">
                  <c:v>2759.40473656612</c:v>
                </c:pt>
                <c:pt idx="172">
                  <c:v>2824.375379688848</c:v>
                </c:pt>
                <c:pt idx="173">
                  <c:v>2898.583903876207</c:v>
                </c:pt>
                <c:pt idx="174">
                  <c:v>2965.152455231206</c:v>
                </c:pt>
                <c:pt idx="175">
                  <c:v>3032.284073090573</c:v>
                </c:pt>
                <c:pt idx="176">
                  <c:v>3109.159898307676</c:v>
                </c:pt>
                <c:pt idx="177">
                  <c:v>3177.812951422256</c:v>
                </c:pt>
                <c:pt idx="178">
                  <c:v>3247.454793226154</c:v>
                </c:pt>
                <c:pt idx="179">
                  <c:v>3326.880169992321</c:v>
                </c:pt>
                <c:pt idx="180">
                  <c:v>3397.727225112334</c:v>
                </c:pt>
                <c:pt idx="181">
                  <c:v>3469.998980615863</c:v>
                </c:pt>
                <c:pt idx="182">
                  <c:v>3551.645051083141</c:v>
                </c:pt>
                <c:pt idx="183">
                  <c:v>3625.099344864149</c:v>
                </c:pt>
                <c:pt idx="184">
                  <c:v>3699.565634398955</c:v>
                </c:pt>
                <c:pt idx="185">
                  <c:v>3783.91440300903</c:v>
                </c:pt>
                <c:pt idx="186">
                  <c:v>3859.921685924884</c:v>
                </c:pt>
                <c:pt idx="187">
                  <c:v>3936.809748368172</c:v>
                </c:pt>
                <c:pt idx="188">
                  <c:v>4023.918873075728</c:v>
                </c:pt>
                <c:pt idx="189">
                  <c:v>4102.500411292229</c:v>
                </c:pt>
                <c:pt idx="190">
                  <c:v>4181.912259453965</c:v>
                </c:pt>
                <c:pt idx="191">
                  <c:v>4271.704846882371</c:v>
                </c:pt>
                <c:pt idx="192">
                  <c:v>4353.025992120449</c:v>
                </c:pt>
                <c:pt idx="193">
                  <c:v>4434.491021465697</c:v>
                </c:pt>
                <c:pt idx="194">
                  <c:v>4527.459520818479</c:v>
                </c:pt>
                <c:pt idx="195">
                  <c:v>4611.171611868267</c:v>
                </c:pt>
                <c:pt idx="196">
                  <c:v>4695.15163279323</c:v>
                </c:pt>
                <c:pt idx="197">
                  <c:v>4791.291285020119</c:v>
                </c:pt>
                <c:pt idx="198">
                  <c:v>4877.38163084418</c:v>
                </c:pt>
                <c:pt idx="199">
                  <c:v>4964.217996293782</c:v>
                </c:pt>
                <c:pt idx="200">
                  <c:v>5063.28575218447</c:v>
                </c:pt>
                <c:pt idx="201">
                  <c:v>5152.028386800917</c:v>
                </c:pt>
                <c:pt idx="202">
                  <c:v>5241.398522516479</c:v>
                </c:pt>
                <c:pt idx="203">
                  <c:v>5343.531299949264</c:v>
                </c:pt>
                <c:pt idx="204">
                  <c:v>5434.662150530807</c:v>
                </c:pt>
                <c:pt idx="205">
                  <c:v>5526.87837903783</c:v>
                </c:pt>
                <c:pt idx="206">
                  <c:v>5631.996968936285</c:v>
                </c:pt>
                <c:pt idx="207">
                  <c:v>5725.573170850076</c:v>
                </c:pt>
                <c:pt idx="208">
                  <c:v>5820.967043429649</c:v>
                </c:pt>
                <c:pt idx="209">
                  <c:v>5928.678003819094</c:v>
                </c:pt>
                <c:pt idx="210">
                  <c:v>6025.459198865906</c:v>
                </c:pt>
                <c:pt idx="211">
                  <c:v>6123.388242453002</c:v>
                </c:pt>
                <c:pt idx="212">
                  <c:v>6234.097857525002</c:v>
                </c:pt>
                <c:pt idx="213">
                  <c:v>6333.709831112805</c:v>
                </c:pt>
                <c:pt idx="214">
                  <c:v>6434.24640902367</c:v>
                </c:pt>
                <c:pt idx="215">
                  <c:v>6547.987188435635</c:v>
                </c:pt>
                <c:pt idx="216">
                  <c:v>6650.386871354116</c:v>
                </c:pt>
                <c:pt idx="217">
                  <c:v>6753.785456348162</c:v>
                </c:pt>
                <c:pt idx="218">
                  <c:v>6870.546820843919</c:v>
                </c:pt>
                <c:pt idx="219">
                  <c:v>6976.042519176204</c:v>
                </c:pt>
                <c:pt idx="220">
                  <c:v>7081.81042563662</c:v>
                </c:pt>
                <c:pt idx="221">
                  <c:v>7202.080769171898</c:v>
                </c:pt>
                <c:pt idx="222">
                  <c:v>7310.311593445844</c:v>
                </c:pt>
                <c:pt idx="223">
                  <c:v>7418.667429654663</c:v>
                </c:pt>
                <c:pt idx="224">
                  <c:v>7542.399117852137</c:v>
                </c:pt>
                <c:pt idx="225">
                  <c:v>7653.010376100991</c:v>
                </c:pt>
                <c:pt idx="226">
                  <c:v>7764.408135091424</c:v>
                </c:pt>
                <c:pt idx="227">
                  <c:v>7891.153394811226</c:v>
                </c:pt>
                <c:pt idx="228">
                  <c:v>8004.634969601828</c:v>
                </c:pt>
                <c:pt idx="229">
                  <c:v>8118.830347051879</c:v>
                </c:pt>
                <c:pt idx="230">
                  <c:v>8249.054072142984</c:v>
                </c:pt>
                <c:pt idx="231">
                  <c:v>8365.213114269161</c:v>
                </c:pt>
                <c:pt idx="232">
                  <c:v>8482.477614126423</c:v>
                </c:pt>
                <c:pt idx="233">
                  <c:v>8615.80489558329</c:v>
                </c:pt>
                <c:pt idx="234">
                  <c:v>8734.516026047715</c:v>
                </c:pt>
                <c:pt idx="235">
                  <c:v>8855.038605032187</c:v>
                </c:pt>
                <c:pt idx="236">
                  <c:v>8991.03828693334</c:v>
                </c:pt>
                <c:pt idx="237">
                  <c:v>9113.025230448313</c:v>
                </c:pt>
                <c:pt idx="238">
                  <c:v>9236.257132309041</c:v>
                </c:pt>
                <c:pt idx="239">
                  <c:v>9375.473375519698</c:v>
                </c:pt>
                <c:pt idx="240">
                  <c:v>9500.459003101661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max val="12000"/>
        </c:scaling>
        <c:delete val="0"/>
        <c:axPos val="l"/>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50112"/>
        <c:crosses val="autoZero"/>
        <c:crossBetween val="midCat"/>
      </c:valAx>
      <c:valAx>
        <c:axId val="48650112"/>
        <c:scaling>
          <c:orientation val="minMax"/>
        </c:scaling>
        <c:delete val="0"/>
        <c:axPos val="b"/>
        <c:majorGridlines>
          <c:spPr>
            <a:ln xmlns:a="http://schemas.openxmlformats.org/drawingml/2006/main" w="9525">
              <a:solidFill>
                <a:srgbClr val="DDE1E6"/>
              </a:solidFill>
              <a:prstDash val="solid"/>
            </a:ln>
          </c:spPr>
        </c:majorGridlines>
        <c:numFmt formatCode="General" sourceLinked="0"/>
        <c:majorTickMark val="none"/>
        <c:minorTickMark val="none"/>
        <c:tickLblPos val="nextTo"/>
        <c:crossAx val="48672768"/>
        <c:crosses val="autoZero"/>
        <c:crossBetween val="midCat"/>
      </c:valAx>
    </c:plotArea>
    <c:legend>
      <c:legendPos val="b"/>
      <c:overlay val="0"/>
    </c:legend>
    <c:plotVisOnly val="1"/>
  </c:chart>
  <c:spPr>
    <a:solidFill xmlns:a="http://schemas.openxmlformats.org/drawingml/2006/main">
      <a:srgbClr val="FFFFFF"/>
    </a:solidFill>
    <a:ln xmlns:a="http://schemas.openxmlformats.org/drawingml/2006/main">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Subsurface Truth Model: Icy Layers</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Icy top surface</c:v>
          </c:tx>
          <c:spPr>
            <a:ln xmlns:a="http://schemas.openxmlformats.org/drawingml/2006/mai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119.426385705041</c:v>
                </c:pt>
                <c:pt idx="1">
                  <c:v>110.6960649372351</c:v>
                </c:pt>
                <c:pt idx="2">
                  <c:v>112.9921942484935</c:v>
                </c:pt>
                <c:pt idx="3">
                  <c:v>134.3858310571132</c:v>
                </c:pt>
                <c:pt idx="4">
                  <c:v>120.0695290678096</c:v>
                </c:pt>
                <c:pt idx="5">
                  <c:v>138.9015142544575</c:v>
                </c:pt>
                <c:pt idx="6">
                  <c:v>137.4660472548416</c:v>
                </c:pt>
                <c:pt idx="7">
                  <c:v>141.4558244940937</c:v>
                </c:pt>
                <c:pt idx="8">
                  <c:v>167.115238934812</c:v>
                </c:pt>
                <c:pt idx="9">
                  <c:v>160.5794310344608</c:v>
                </c:pt>
                <c:pt idx="10">
                  <c:v>176.1097635943437</c:v>
                </c:pt>
                <c:pt idx="11">
                  <c:v>194.4095358082685</c:v>
                </c:pt>
                <c:pt idx="12">
                  <c:v>196.396297455627</c:v>
                </c:pt>
                <c:pt idx="13">
                  <c:v>215.0450449749406</c:v>
                </c:pt>
                <c:pt idx="14">
                  <c:v>220.2786366784253</c:v>
                </c:pt>
                <c:pt idx="15">
                  <c:v>228.4857118671839</c:v>
                </c:pt>
                <c:pt idx="16">
                  <c:v>241.2439232793892</c:v>
                </c:pt>
                <c:pt idx="17">
                  <c:v>261.3961473371179</c:v>
                </c:pt>
                <c:pt idx="18">
                  <c:v>251.9673282751754</c:v>
                </c:pt>
                <c:pt idx="19">
                  <c:v>249.7278681271985</c:v>
                </c:pt>
                <c:pt idx="20">
                  <c:v>273.7150409905238</c:v>
                </c:pt>
                <c:pt idx="21">
                  <c:v>258.9174842564</c:v>
                </c:pt>
                <c:pt idx="22">
                  <c:v>268.7927966209265</c:v>
                </c:pt>
                <c:pt idx="23">
                  <c:v>265.4824606971452</c:v>
                </c:pt>
                <c:pt idx="24">
                  <c:v>253.6370227527636</c:v>
                </c:pt>
                <c:pt idx="25">
                  <c:v>262.7548434852893</c:v>
                </c:pt>
                <c:pt idx="26">
                  <c:v>253.9148101975453</c:v>
                </c:pt>
                <c:pt idx="27">
                  <c:v>253.748238320312</c:v>
                </c:pt>
                <c:pt idx="28">
                  <c:v>237.4046951101087</c:v>
                </c:pt>
                <c:pt idx="29">
                  <c:v>230.0353420074885</c:v>
                </c:pt>
                <c:pt idx="30">
                  <c:v>208.8220272535724</c:v>
                </c:pt>
                <c:pt idx="31">
                  <c:v>201.6642296015629</c:v>
                </c:pt>
                <c:pt idx="32">
                  <c:v>200.1167225823432</c:v>
                </c:pt>
                <c:pt idx="33">
                  <c:v>210.8483953416035</c:v>
                </c:pt>
                <c:pt idx="34">
                  <c:v>180.5581841932563</c:v>
                </c:pt>
                <c:pt idx="35">
                  <c:v>181.7291755177202</c:v>
                </c:pt>
                <c:pt idx="36">
                  <c:v>170.6281729970239</c:v>
                </c:pt>
                <c:pt idx="37">
                  <c:v>171.3855791373828</c:v>
                </c:pt>
                <c:pt idx="38">
                  <c:v>176.6662419277824</c:v>
                </c:pt>
                <c:pt idx="39">
                  <c:v>191.2465178874161</c:v>
                </c:pt>
                <c:pt idx="40">
                  <c:v>197.6655729751738</c:v>
                </c:pt>
                <c:pt idx="41">
                  <c:v>200.9817873532742</c:v>
                </c:pt>
                <c:pt idx="42">
                  <c:v>184.5442092413606</c:v>
                </c:pt>
                <c:pt idx="43">
                  <c:v>211.6343099261097</c:v>
                </c:pt>
                <c:pt idx="44">
                  <c:v>202.9365801484949</c:v>
                </c:pt>
                <c:pt idx="45">
                  <c:v>239.1871485288169</c:v>
                </c:pt>
                <c:pt idx="46">
                  <c:v>236.1887203554129</c:v>
                </c:pt>
                <c:pt idx="47">
                  <c:v>264.8535608975177</c:v>
                </c:pt>
                <c:pt idx="48">
                  <c:v>273.2461044321223</c:v>
                </c:pt>
                <c:pt idx="49">
                  <c:v>284.9525044866856</c:v>
                </c:pt>
                <c:pt idx="50">
                  <c:v>280.7134400393696</c:v>
                </c:pt>
                <c:pt idx="51">
                  <c:v>316.3148780494805</c:v>
                </c:pt>
                <c:pt idx="52">
                  <c:v>319.4152549266454</c:v>
                </c:pt>
                <c:pt idx="53">
                  <c:v>328.4448057508986</c:v>
                </c:pt>
                <c:pt idx="54">
                  <c:v>342.0571204684842</c:v>
                </c:pt>
                <c:pt idx="55">
                  <c:v>350.9183412247295</c:v>
                </c:pt>
                <c:pt idx="56">
                  <c:v>340.916814065535</c:v>
                </c:pt>
                <c:pt idx="57">
                  <c:v>355.1521998700699</c:v>
                </c:pt>
                <c:pt idx="58">
                  <c:v>353.2610093246909</c:v>
                </c:pt>
                <c:pt idx="59">
                  <c:v>338.6571544092517</c:v>
                </c:pt>
                <c:pt idx="60">
                  <c:v>336.9764483808808</c:v>
                </c:pt>
                <c:pt idx="61">
                  <c:v>326.2473250327614</c:v>
                </c:pt>
                <c:pt idx="62">
                  <c:v>331.8773601234619</c:v>
                </c:pt>
                <c:pt idx="63">
                  <c:v>310.2424726216749</c:v>
                </c:pt>
                <c:pt idx="64">
                  <c:v>313.2831784265769</c:v>
                </c:pt>
                <c:pt idx="65">
                  <c:v>296.8437612591667</c:v>
                </c:pt>
                <c:pt idx="66">
                  <c:v>289.342268541003</c:v>
                </c:pt>
                <c:pt idx="67">
                  <c:v>290.5597784751114</c:v>
                </c:pt>
                <c:pt idx="68">
                  <c:v>271.7435298342176</c:v>
                </c:pt>
                <c:pt idx="69">
                  <c:v>271.7227708541989</c:v>
                </c:pt>
                <c:pt idx="70">
                  <c:v>260.2713841318971</c:v>
                </c:pt>
                <c:pt idx="71">
                  <c:v>276.4936352896954</c:v>
                </c:pt>
                <c:pt idx="72">
                  <c:v>268.5791759815676</c:v>
                </c:pt>
                <c:pt idx="73">
                  <c:v>273.9345988471122</c:v>
                </c:pt>
                <c:pt idx="74">
                  <c:v>279.55588840773</c:v>
                </c:pt>
                <c:pt idx="75">
                  <c:v>286.69936407981</c:v>
                </c:pt>
                <c:pt idx="76">
                  <c:v>316.6082081776694</c:v>
                </c:pt>
                <c:pt idx="77">
                  <c:v>332.4494775976942</c:v>
                </c:pt>
                <c:pt idx="78">
                  <c:v>317.9181288017518</c:v>
                </c:pt>
                <c:pt idx="79">
                  <c:v>343.3798658737078</c:v>
                </c:pt>
                <c:pt idx="80">
                  <c:v>338.1583070998273</c:v>
                </c:pt>
                <c:pt idx="81">
                  <c:v>363.814542334925</c:v>
                </c:pt>
                <c:pt idx="82">
                  <c:v>371.186419883424</c:v>
                </c:pt>
                <c:pt idx="83">
                  <c:v>365.6884368087795</c:v>
                </c:pt>
                <c:pt idx="84">
                  <c:v>392.0220541536099</c:v>
                </c:pt>
                <c:pt idx="85">
                  <c:v>397.0709705715657</c:v>
                </c:pt>
                <c:pt idx="86">
                  <c:v>381.3731024685083</c:v>
                </c:pt>
                <c:pt idx="87">
                  <c:v>387.1431058674635</c:v>
                </c:pt>
                <c:pt idx="88">
                  <c:v>413.2956148642764</c:v>
                </c:pt>
                <c:pt idx="89">
                  <c:v>405.1793484681727</c:v>
                </c:pt>
                <c:pt idx="90">
                  <c:v>416.6302400609162</c:v>
                </c:pt>
                <c:pt idx="91">
                  <c:v>425.3137375368846</c:v>
                </c:pt>
                <c:pt idx="92">
                  <c:v>420.9575928892744</c:v>
                </c:pt>
                <c:pt idx="93">
                  <c:v>418.7700178970381</c:v>
                </c:pt>
                <c:pt idx="94">
                  <c:v>432.8844458250974</c:v>
                </c:pt>
                <c:pt idx="95">
                  <c:v>448.8683161255995</c:v>
                </c:pt>
                <c:pt idx="96">
                  <c:v>437.9918993100179</c:v>
                </c:pt>
                <c:pt idx="97">
                  <c:v>458.9108914727526</c:v>
                </c:pt>
                <c:pt idx="98">
                  <c:v>462.5412492823468</c:v>
                </c:pt>
                <c:pt idx="99">
                  <c:v>470.1016319483541</c:v>
                </c:pt>
                <c:pt idx="100">
                  <c:v>471.5144848831216</c:v>
                </c:pt>
                <c:pt idx="101">
                  <c:v>470.5815738170562</c:v>
                </c:pt>
                <c:pt idx="102">
                  <c:v>480.618285675218</c:v>
                </c:pt>
                <c:pt idx="103">
                  <c:v>460.6206107904381</c:v>
                </c:pt>
                <c:pt idx="104">
                  <c:v>475.6659223963138</c:v>
                </c:pt>
                <c:pt idx="105">
                  <c:v>470.2640951439132</c:v>
                </c:pt>
                <c:pt idx="106">
                  <c:v>442.9570814542643</c:v>
                </c:pt>
                <c:pt idx="107">
                  <c:v>455.8100478474453</c:v>
                </c:pt>
                <c:pt idx="108">
                  <c:v>447.753442721982</c:v>
                </c:pt>
                <c:pt idx="109">
                  <c:v>437.2320321691246</c:v>
                </c:pt>
                <c:pt idx="110">
                  <c:v>426.4950993655156</c:v>
                </c:pt>
                <c:pt idx="111">
                  <c:v>423.3056803950691</c:v>
                </c:pt>
                <c:pt idx="112">
                  <c:v>426.0147467563443</c:v>
                </c:pt>
                <c:pt idx="113">
                  <c:v>404.9650488224043</c:v>
                </c:pt>
                <c:pt idx="114">
                  <c:v>420.1474189559781</c:v>
                </c:pt>
                <c:pt idx="115">
                  <c:v>420.9762420978345</c:v>
                </c:pt>
                <c:pt idx="116">
                  <c:v>435.9830082671363</c:v>
                </c:pt>
                <c:pt idx="117">
                  <c:v>431.1058067229253</c:v>
                </c:pt>
                <c:pt idx="118">
                  <c:v>440.9944102420088</c:v>
                </c:pt>
                <c:pt idx="119">
                  <c:v>474.2327866718329</c:v>
                </c:pt>
                <c:pt idx="120">
                  <c:v>480.4480285892225</c:v>
                </c:pt>
                <c:pt idx="121">
                  <c:v>482.7451811280071</c:v>
                </c:pt>
                <c:pt idx="122">
                  <c:v>497.5816531469721</c:v>
                </c:pt>
                <c:pt idx="123">
                  <c:v>516.864115303311</c:v>
                </c:pt>
                <c:pt idx="124">
                  <c:v>534.5064840723982</c:v>
                </c:pt>
                <c:pt idx="125">
                  <c:v>549.7308148692482</c:v>
                </c:pt>
                <c:pt idx="126">
                  <c:v>536.8431041026677</c:v>
                </c:pt>
                <c:pt idx="127">
                  <c:v>562.9190196746022</c:v>
                </c:pt>
                <c:pt idx="128">
                  <c:v>561.6697690574489</c:v>
                </c:pt>
                <c:pt idx="129">
                  <c:v>568.643638224831</c:v>
                </c:pt>
                <c:pt idx="130">
                  <c:v>548.8146920903409</c:v>
                </c:pt>
                <c:pt idx="131">
                  <c:v>539.5212853164131</c:v>
                </c:pt>
                <c:pt idx="132">
                  <c:v>533.6920620973987</c:v>
                </c:pt>
                <c:pt idx="133">
                  <c:v>524.4263848132822</c:v>
                </c:pt>
                <c:pt idx="134">
                  <c:v>534.4078318791427</c:v>
                </c:pt>
                <c:pt idx="135">
                  <c:v>503.483802248403</c:v>
                </c:pt>
                <c:pt idx="136">
                  <c:v>497.2264534493298</c:v>
                </c:pt>
                <c:pt idx="137">
                  <c:v>479.6019721372586</c:v>
                </c:pt>
                <c:pt idx="138">
                  <c:v>481.2258795743999</c:v>
                </c:pt>
                <c:pt idx="139">
                  <c:v>478.279373718722</c:v>
                </c:pt>
                <c:pt idx="140">
                  <c:v>454.2022007690483</c:v>
                </c:pt>
                <c:pt idx="141">
                  <c:v>437.9381023255097</c:v>
                </c:pt>
                <c:pt idx="142">
                  <c:v>444.9386077034492</c:v>
                </c:pt>
                <c:pt idx="143">
                  <c:v>434.4446789557209</c:v>
                </c:pt>
                <c:pt idx="144">
                  <c:v>422.8387186345762</c:v>
                </c:pt>
                <c:pt idx="145">
                  <c:v>434.1242349583912</c:v>
                </c:pt>
                <c:pt idx="146">
                  <c:v>428.8351991704085</c:v>
                </c:pt>
                <c:pt idx="147">
                  <c:v>408.8461924087269</c:v>
                </c:pt>
                <c:pt idx="148">
                  <c:v>412.5510006804454</c:v>
                </c:pt>
                <c:pt idx="149">
                  <c:v>415.5675277705944</c:v>
                </c:pt>
                <c:pt idx="150">
                  <c:v>399.3459317049312</c:v>
                </c:pt>
                <c:pt idx="151">
                  <c:v>395.616361037493</c:v>
                </c:pt>
                <c:pt idx="152">
                  <c:v>400.308917557895</c:v>
                </c:pt>
                <c:pt idx="153">
                  <c:v>406.2017834650269</c:v>
                </c:pt>
                <c:pt idx="154">
                  <c:v>402.8973585502039</c:v>
                </c:pt>
                <c:pt idx="155">
                  <c:v>412.5967385351173</c:v>
                </c:pt>
                <c:pt idx="156">
                  <c:v>417.3671248555892</c:v>
                </c:pt>
                <c:pt idx="157">
                  <c:v>414.0307836021328</c:v>
                </c:pt>
                <c:pt idx="158">
                  <c:v>429.3392633910821</c:v>
                </c:pt>
                <c:pt idx="159">
                  <c:v>436.6642525095558</c:v>
                </c:pt>
                <c:pt idx="160">
                  <c:v>439.0113020884787</c:v>
                </c:pt>
                <c:pt idx="161">
                  <c:v>441.7637232897853</c:v>
                </c:pt>
                <c:pt idx="162">
                  <c:v>441.2537143317768</c:v>
                </c:pt>
                <c:pt idx="163">
                  <c:v>444.1394266764314</c:v>
                </c:pt>
                <c:pt idx="164">
                  <c:v>447.7794532624074</c:v>
                </c:pt>
                <c:pt idx="165">
                  <c:v>442.5092715341821</c:v>
                </c:pt>
                <c:pt idx="166">
                  <c:v>438.1289491107309</c:v>
                </c:pt>
                <c:pt idx="167">
                  <c:v>431.2131008039683</c:v>
                </c:pt>
                <c:pt idx="168">
                  <c:v>441.2625072507224</c:v>
                </c:pt>
                <c:pt idx="169">
                  <c:v>415.4369773441946</c:v>
                </c:pt>
                <c:pt idx="170">
                  <c:v>418.8320748478185</c:v>
                </c:pt>
                <c:pt idx="171">
                  <c:v>390.1569109362468</c:v>
                </c:pt>
                <c:pt idx="172">
                  <c:v>387.3749410179922</c:v>
                </c:pt>
                <c:pt idx="173">
                  <c:v>383.4871392298647</c:v>
                </c:pt>
                <c:pt idx="174">
                  <c:v>346.2287328646241</c:v>
                </c:pt>
                <c:pt idx="175">
                  <c:v>337.0351401858358</c:v>
                </c:pt>
                <c:pt idx="176">
                  <c:v>312.1836981889862</c:v>
                </c:pt>
                <c:pt idx="177">
                  <c:v>310.4659866511931</c:v>
                </c:pt>
                <c:pt idx="178">
                  <c:v>283.981710186696</c:v>
                </c:pt>
                <c:pt idx="179">
                  <c:v>263.5246591496981</c:v>
                </c:pt>
                <c:pt idx="180">
                  <c:v>258.3810354027646</c:v>
                </c:pt>
                <c:pt idx="181">
                  <c:v>239.9861394624414</c:v>
                </c:pt>
                <c:pt idx="182">
                  <c:v>239.5805230601625</c:v>
                </c:pt>
                <c:pt idx="183">
                  <c:v>216.5615747337968</c:v>
                </c:pt>
                <c:pt idx="184">
                  <c:v>222.437703421877</c:v>
                </c:pt>
                <c:pt idx="185">
                  <c:v>227.9718019768222</c:v>
                </c:pt>
                <c:pt idx="186">
                  <c:v>226.0841822180854</c:v>
                </c:pt>
                <c:pt idx="187">
                  <c:v>226.2394249125868</c:v>
                </c:pt>
                <c:pt idx="188">
                  <c:v>243.2704274883201</c:v>
                </c:pt>
                <c:pt idx="189">
                  <c:v>248.8414359782273</c:v>
                </c:pt>
                <c:pt idx="190">
                  <c:v>242.0089081204231</c:v>
                </c:pt>
                <c:pt idx="191">
                  <c:v>242.6378827008608</c:v>
                </c:pt>
                <c:pt idx="192">
                  <c:v>251.8480330414438</c:v>
                </c:pt>
                <c:pt idx="193">
                  <c:v>274.3131350022337</c:v>
                </c:pt>
                <c:pt idx="194">
                  <c:v>277.2699134824556</c:v>
                </c:pt>
                <c:pt idx="195">
                  <c:v>280.6842863692354</c:v>
                </c:pt>
                <c:pt idx="196">
                  <c:v>282.3717678695042</c:v>
                </c:pt>
                <c:pt idx="197">
                  <c:v>311.181919337271</c:v>
                </c:pt>
                <c:pt idx="198">
                  <c:v>302.8435496777789</c:v>
                </c:pt>
                <c:pt idx="199">
                  <c:v>298.9294049077882</c:v>
                </c:pt>
                <c:pt idx="200">
                  <c:v>304.8211728122678</c:v>
                </c:pt>
                <c:pt idx="201">
                  <c:v>300.6975060151263</c:v>
                </c:pt>
                <c:pt idx="202">
                  <c:v>276.5571077382654</c:v>
                </c:pt>
                <c:pt idx="203">
                  <c:v>269.2155410168153</c:v>
                </c:pt>
                <c:pt idx="204">
                  <c:v>271.1262021129023</c:v>
                </c:pt>
                <c:pt idx="205">
                  <c:v>259.7768551367322</c:v>
                </c:pt>
                <c:pt idx="206">
                  <c:v>247.2629698422237</c:v>
                </c:pt>
                <c:pt idx="207">
                  <c:v>225.3552826031468</c:v>
                </c:pt>
                <c:pt idx="208">
                  <c:v>208.8401598483281</c:v>
                </c:pt>
                <c:pt idx="209">
                  <c:v>178.9629634022754</c:v>
                </c:pt>
                <c:pt idx="210">
                  <c:v>165.2657325139355</c:v>
                </c:pt>
                <c:pt idx="211">
                  <c:v>168.7818798773847</c:v>
                </c:pt>
                <c:pt idx="212">
                  <c:v>147.2236511039814</c:v>
                </c:pt>
                <c:pt idx="213">
                  <c:v>125.2640973672651</c:v>
                </c:pt>
                <c:pt idx="214">
                  <c:v>119.0748447164613</c:v>
                </c:pt>
                <c:pt idx="215">
                  <c:v>107.7527102272833</c:v>
                </c:pt>
                <c:pt idx="216">
                  <c:v>124.997153734733</c:v>
                </c:pt>
                <c:pt idx="217">
                  <c:v>114.2648488800617</c:v>
                </c:pt>
                <c:pt idx="218">
                  <c:v>109.5440236905922</c:v>
                </c:pt>
                <c:pt idx="219">
                  <c:v>115.8187403149098</c:v>
                </c:pt>
                <c:pt idx="220">
                  <c:v>115.2352516171991</c:v>
                </c:pt>
                <c:pt idx="221">
                  <c:v>136.9862007623851</c:v>
                </c:pt>
                <c:pt idx="222">
                  <c:v>137.0828963277931</c:v>
                </c:pt>
                <c:pt idx="223">
                  <c:v>159.6183131652743</c:v>
                </c:pt>
                <c:pt idx="224">
                  <c:v>166.9931224443313</c:v>
                </c:pt>
                <c:pt idx="225">
                  <c:v>164.0684238718555</c:v>
                </c:pt>
                <c:pt idx="226">
                  <c:v>183.5232809151917</c:v>
                </c:pt>
                <c:pt idx="227">
                  <c:v>181.0418671910583</c:v>
                </c:pt>
                <c:pt idx="228">
                  <c:v>181.5418421561524</c:v>
                </c:pt>
                <c:pt idx="229">
                  <c:v>176.6795228662295</c:v>
                </c:pt>
                <c:pt idx="230">
                  <c:v>188.5060598638298</c:v>
                </c:pt>
                <c:pt idx="231">
                  <c:v>182.552269274569</c:v>
                </c:pt>
                <c:pt idx="232">
                  <c:v>186.9039056313416</c:v>
                </c:pt>
                <c:pt idx="233">
                  <c:v>190.0706248495408</c:v>
                </c:pt>
                <c:pt idx="234">
                  <c:v>200.6845452715871</c:v>
                </c:pt>
                <c:pt idx="235">
                  <c:v>178.2777126906697</c:v>
                </c:pt>
                <c:pt idx="236">
                  <c:v>194.5277817938577</c:v>
                </c:pt>
                <c:pt idx="237">
                  <c:v>188.3322187595174</c:v>
                </c:pt>
                <c:pt idx="238">
                  <c:v>193.7406778273125</c:v>
                </c:pt>
                <c:pt idx="239">
                  <c:v>168.9790164233354</c:v>
                </c:pt>
                <c:pt idx="240">
                  <c:v>179.3490111941471</c:v>
                </c:pt>
              </c:numCache>
            </c:numRef>
          </c:yVal>
        </c:ser>
        <c:ser>
          <c:idx val="1"/>
          <c:order val="1"/>
          <c:tx>
            <c:v>Shallow ice layer</c:v>
          </c:tx>
          <c:spPr>
            <a:ln xmlns:a="http://schemas.openxmlformats.org/drawingml/2006/mai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-827.2511098145717</c:v>
                </c:pt>
                <c:pt idx="1">
                  <c:v>-835.6945118398266</c:v>
                </c:pt>
                <c:pt idx="2">
                  <c:v>-835.3136681423579</c:v>
                </c:pt>
                <c:pt idx="3">
                  <c:v>-818.3992783704932</c:v>
                </c:pt>
                <c:pt idx="4">
                  <c:v>-837.581975454587</c:v>
                </c:pt>
                <c:pt idx="5">
                  <c:v>-826.7491641396975</c:v>
                </c:pt>
                <c:pt idx="6">
                  <c:v>-837.146717146574</c:v>
                </c:pt>
                <c:pt idx="7">
                  <c:v>-844.0519202641538</c:v>
                </c:pt>
                <c:pt idx="8">
                  <c:v>-831.7884005588228</c:v>
                </c:pt>
                <c:pt idx="9">
                  <c:v>-851.9614992508772</c:v>
                </c:pt>
                <c:pt idx="10">
                  <c:v>-852.3534685651045</c:v>
                </c:pt>
                <c:pt idx="11">
                  <c:v>-851.3420104490688</c:v>
                </c:pt>
                <c:pt idx="12">
                  <c:v>-867.0808245267104</c:v>
                </c:pt>
                <c:pt idx="13">
                  <c:v>-867.7324224439268</c:v>
                </c:pt>
                <c:pt idx="14">
                  <c:v>-881.9758867870137</c:v>
                </c:pt>
                <c:pt idx="15">
                  <c:v>-893.8724581672664</c:v>
                </c:pt>
                <c:pt idx="16">
                  <c:v>-901.6942061666549</c:v>
                </c:pt>
                <c:pt idx="17">
                  <c:v>-902.493975648824</c:v>
                </c:pt>
                <c:pt idx="18">
                  <c:v>-931.5484055439267</c:v>
                </c:pt>
                <c:pt idx="19">
                  <c:v>-953.3402900779081</c:v>
                </c:pt>
                <c:pt idx="20">
                  <c:v>-949.3812081354597</c:v>
                </c:pt>
                <c:pt idx="21">
                  <c:v>-981.8775156561201</c:v>
                </c:pt>
                <c:pt idx="22">
                  <c:v>-989.7164194125883</c:v>
                </c:pt>
                <c:pt idx="23">
                  <c:v>-1009.062432489755</c:v>
                </c:pt>
                <c:pt idx="24">
                  <c:v>-1035.287749037065</c:v>
                </c:pt>
                <c:pt idx="25">
                  <c:v>-1039.929313958596</c:v>
                </c:pt>
                <c:pt idx="26">
                  <c:v>-1060.227374811321</c:v>
                </c:pt>
                <c:pt idx="27">
                  <c:v>-1070.514064784201</c:v>
                </c:pt>
                <c:pt idx="28">
                  <c:v>-1094.567447205929</c:v>
                </c:pt>
                <c:pt idx="29">
                  <c:v>-1108.188349642299</c:v>
                </c:pt>
                <c:pt idx="30">
                  <c:v>-1133.252872999698</c:v>
                </c:pt>
                <c:pt idx="31">
                  <c:v>-1142.972953853963</c:v>
                </c:pt>
                <c:pt idx="32">
                  <c:v>-1145.475827693561</c:v>
                </c:pt>
                <c:pt idx="33">
                  <c:v>-1134.402784156857</c:v>
                </c:pt>
                <c:pt idx="34">
                  <c:v>-1160.988715033434</c:v>
                </c:pt>
                <c:pt idx="35">
                  <c:v>-1155.73666034265</c:v>
                </c:pt>
                <c:pt idx="36">
                  <c:v>-1160.736381052464</c:v>
                </c:pt>
                <c:pt idx="37">
                  <c:v>-1152.945538075121</c:v>
                </c:pt>
                <c:pt idx="38">
                  <c:v>-1139.543293398225</c:v>
                </c:pt>
                <c:pt idx="39">
                  <c:v>-1116.09373714273</c:v>
                </c:pt>
                <c:pt idx="40">
                  <c:v>-1099.517888407794</c:v>
                </c:pt>
                <c:pt idx="41">
                  <c:v>-1085.12468960023</c:v>
                </c:pt>
                <c:pt idx="42">
                  <c:v>-1089.067499497856</c:v>
                </c:pt>
                <c:pt idx="43">
                  <c:v>-1050.765096388202</c:v>
                </c:pt>
                <c:pt idx="44">
                  <c:v>-1046.527045652812</c:v>
                </c:pt>
                <c:pt idx="45">
                  <c:v>-999.0082700265247</c:v>
                </c:pt>
                <c:pt idx="46">
                  <c:v>-989.1921055281723</c:v>
                </c:pt>
                <c:pt idx="47">
                  <c:v>-949.1466340751148</c:v>
                </c:pt>
                <c:pt idx="48">
                  <c:v>-928.8616170149315</c:v>
                </c:pt>
                <c:pt idx="49">
                  <c:v>-905.8118440660602</c:v>
                </c:pt>
                <c:pt idx="50">
                  <c:v>-898.5880674069537</c:v>
                </c:pt>
                <c:pt idx="51">
                  <c:v>-853.7206343892476</c:v>
                </c:pt>
                <c:pt idx="52">
                  <c:v>-840.7245140837986</c:v>
                </c:pt>
                <c:pt idx="53">
                  <c:v>-822.7554304536417</c:v>
                </c:pt>
                <c:pt idx="54">
                  <c:v>-801.1362314824215</c:v>
                </c:pt>
                <c:pt idx="55">
                  <c:v>-784.8394949012296</c:v>
                </c:pt>
                <c:pt idx="56">
                  <c:v>-787.4068609597581</c:v>
                </c:pt>
                <c:pt idx="57">
                  <c:v>-767.4404318221907</c:v>
                </c:pt>
                <c:pt idx="58">
                  <c:v>-763.6515290381536</c:v>
                </c:pt>
                <c:pt idx="59">
                  <c:v>-772.7113318461704</c:v>
                </c:pt>
                <c:pt idx="60">
                  <c:v>-769.9459875526563</c:v>
                </c:pt>
                <c:pt idx="61">
                  <c:v>-776.3747750691296</c:v>
                </c:pt>
                <c:pt idx="62">
                  <c:v>-767.5252788906006</c:v>
                </c:pt>
                <c:pt idx="63">
                  <c:v>-785.1901245031981</c:v>
                </c:pt>
                <c:pt idx="64">
                  <c:v>-779.4170285515837</c:v>
                </c:pt>
                <c:pt idx="65">
                  <c:v>-792.5056832382081</c:v>
                </c:pt>
                <c:pt idx="66">
                  <c:v>-797.0870324910759</c:v>
                </c:pt>
                <c:pt idx="67">
                  <c:v>-793.2879810101367</c:v>
                </c:pt>
                <c:pt idx="68">
                  <c:v>-808.6346792256722</c:v>
                </c:pt>
                <c:pt idx="69">
                  <c:v>-805.783435246211</c:v>
                </c:pt>
                <c:pt idx="70">
                  <c:v>-813.6945156280321</c:v>
                </c:pt>
                <c:pt idx="71">
                  <c:v>-794.7835016384092</c:v>
                </c:pt>
                <c:pt idx="72">
                  <c:v>-798.757881009802</c:v>
                </c:pt>
                <c:pt idx="73">
                  <c:v>-789.6918403213141</c:v>
                </c:pt>
                <c:pt idx="74">
                  <c:v>-780.0694646622555</c:v>
                </c:pt>
                <c:pt idx="75">
                  <c:v>-768.7010356365288</c:v>
                </c:pt>
                <c:pt idx="76">
                  <c:v>-735.2256087579624</c:v>
                </c:pt>
                <c:pt idx="77">
                  <c:v>-715.0511647172691</c:v>
                </c:pt>
                <c:pt idx="78">
                  <c:v>-723.8940703908675</c:v>
                </c:pt>
                <c:pt idx="79">
                  <c:v>-694.2809235202546</c:v>
                </c:pt>
                <c:pt idx="80">
                  <c:v>-694.1515235450452</c:v>
                </c:pt>
                <c:pt idx="81">
                  <c:v>-664.5088438060924</c:v>
                </c:pt>
                <c:pt idx="82">
                  <c:v>-652.6593905434393</c:v>
                </c:pt>
                <c:pt idx="83">
                  <c:v>-653.5231457847972</c:v>
                </c:pt>
                <c:pt idx="84">
                  <c:v>-624.3093063293688</c:v>
                </c:pt>
                <c:pt idx="85">
                  <c:v>-616.134311505539</c:v>
                </c:pt>
                <c:pt idx="86">
                  <c:v>-628.6061295395906</c:v>
                </c:pt>
                <c:pt idx="87">
                  <c:v>-621.3199710102667</c:v>
                </c:pt>
                <c:pt idx="88">
                  <c:v>-595.4333131218996</c:v>
                </c:pt>
                <c:pt idx="89">
                  <c:v>-603.5185410306617</c:v>
                </c:pt>
                <c:pt idx="90">
                  <c:v>-593.9894294880303</c:v>
                </c:pt>
                <c:pt idx="91">
                  <c:v>-588.3701723908233</c:v>
                </c:pt>
                <c:pt idx="92">
                  <c:v>-596.5897414106009</c:v>
                </c:pt>
                <c:pt idx="93">
                  <c:v>-604.098535862803</c:v>
                </c:pt>
                <c:pt idx="94">
                  <c:v>-597.3597729755188</c:v>
                </c:pt>
                <c:pt idx="95">
                  <c:v>-590.2397326966823</c:v>
                </c:pt>
                <c:pt idx="96">
                  <c:v>-610.3087093112069</c:v>
                </c:pt>
                <c:pt idx="97">
                  <c:v>-601.2251120698961</c:v>
                </c:pt>
                <c:pt idx="98">
                  <c:v>-610.0553986553282</c:v>
                </c:pt>
                <c:pt idx="99">
                  <c:v>-616.3534984316332</c:v>
                </c:pt>
                <c:pt idx="100">
                  <c:v>-629.696333738625</c:v>
                </c:pt>
                <c:pt idx="101">
                  <c:v>-646.3162571534136</c:v>
                </c:pt>
                <c:pt idx="102">
                  <c:v>-653.2934482144624</c:v>
                </c:pt>
                <c:pt idx="103">
                  <c:v>-689.8372917978195</c:v>
                </c:pt>
                <c:pt idx="104">
                  <c:v>-693.3036403951405</c:v>
                </c:pt>
                <c:pt idx="105">
                  <c:v>-716.7800476133466</c:v>
                </c:pt>
                <c:pt idx="106">
                  <c:v>-761.4727406492054</c:v>
                </c:pt>
                <c:pt idx="107">
                  <c:v>-767.5979106000434</c:v>
                </c:pt>
                <c:pt idx="108">
                  <c:v>-793.5762767919456</c:v>
                </c:pt>
                <c:pt idx="109">
                  <c:v>-821.4930795336669</c:v>
                </c:pt>
                <c:pt idx="110">
                  <c:v>-848.982620752359</c:v>
                </c:pt>
                <c:pt idx="111">
                  <c:v>-868.3905403605138</c:v>
                </c:pt>
                <c:pt idx="112">
                  <c:v>-881.1056998894123</c:v>
                </c:pt>
                <c:pt idx="113">
                  <c:v>-915.4154936646919</c:v>
                </c:pt>
                <c:pt idx="114">
                  <c:v>-913.5586483176394</c:v>
                </c:pt>
                <c:pt idx="115">
                  <c:v>-923.94342120948</c:v>
                </c:pt>
                <c:pt idx="116">
                  <c:v>-919.04419343616</c:v>
                </c:pt>
                <c:pt idx="117">
                  <c:v>-931.4456698788504</c:v>
                </c:pt>
                <c:pt idx="118">
                  <c:v>-927.7917866743801</c:v>
                </c:pt>
                <c:pt idx="119">
                  <c:v>-899.7735310699898</c:v>
                </c:pt>
                <c:pt idx="120">
                  <c:v>-895.7054174200841</c:v>
                </c:pt>
                <c:pt idx="121">
                  <c:v>-893.388700196042</c:v>
                </c:pt>
                <c:pt idx="122">
                  <c:v>-877.0321750855124</c:v>
                </c:pt>
                <c:pt idx="123">
                  <c:v>-854.4389769119181</c:v>
                </c:pt>
                <c:pt idx="124">
                  <c:v>-831.5103228291276</c:v>
                </c:pt>
                <c:pt idx="125">
                  <c:v>-809.0756614103182</c:v>
                </c:pt>
                <c:pt idx="126">
                  <c:v>-811.9065257543798</c:v>
                </c:pt>
                <c:pt idx="127">
                  <c:v>-775.73649662041</c:v>
                </c:pt>
                <c:pt idx="128">
                  <c:v>-764.3479058909771</c:v>
                </c:pt>
                <c:pt idx="129">
                  <c:v>-743.7760052417295</c:v>
                </c:pt>
                <c:pt idx="130">
                  <c:v>-747.8212108880646</c:v>
                </c:pt>
                <c:pt idx="131">
                  <c:v>-740.825327707645</c:v>
                </c:pt>
                <c:pt idx="132">
                  <c:v>-729.7716309447131</c:v>
                </c:pt>
                <c:pt idx="133">
                  <c:v>-721.4845954102374</c:v>
                </c:pt>
                <c:pt idx="134">
                  <c:v>-694.3898312726923</c:v>
                </c:pt>
                <c:pt idx="135">
                  <c:v>-706.4345648944131</c:v>
                </c:pt>
                <c:pt idx="136">
                  <c:v>-694.8661009373099</c:v>
                </c:pt>
                <c:pt idx="137">
                  <c:v>-694.4663993704846</c:v>
                </c:pt>
                <c:pt idx="138">
                  <c:v>-676.0242233888048</c:v>
                </c:pt>
                <c:pt idx="139">
                  <c:v>-662.5729037069971</c:v>
                </c:pt>
                <c:pt idx="140">
                  <c:v>-670.1628890763233</c:v>
                </c:pt>
                <c:pt idx="141">
                  <c:v>-671.1441168172197</c:v>
                </c:pt>
                <c:pt idx="142">
                  <c:v>-650.8006971592579</c:v>
                </c:pt>
                <c:pt idx="143">
                  <c:v>-648.3592105454289</c:v>
                </c:pt>
                <c:pt idx="144">
                  <c:v>-648.169828077188</c:v>
                </c:pt>
                <c:pt idx="145">
                  <c:v>-627.2452650828152</c:v>
                </c:pt>
                <c:pt idx="146">
                  <c:v>-623.507620117085</c:v>
                </c:pt>
                <c:pt idx="147">
                  <c:v>-635.1708444329583</c:v>
                </c:pt>
                <c:pt idx="148">
                  <c:v>-625.369880962447</c:v>
                </c:pt>
                <c:pt idx="149">
                  <c:v>-617.4849020638592</c:v>
                </c:pt>
                <c:pt idx="150">
                  <c:v>-629.2787942629436</c:v>
                </c:pt>
                <c:pt idx="151">
                  <c:v>-630.2289401594893</c:v>
                </c:pt>
                <c:pt idx="152">
                  <c:v>-624.1659416875634</c:v>
                </c:pt>
                <c:pt idx="153">
                  <c:v>-617.9335449143928</c:v>
                </c:pt>
                <c:pt idx="154">
                  <c:v>-621.413871111788</c:v>
                </c:pt>
                <c:pt idx="155">
                  <c:v>-613.1863892343574</c:v>
                </c:pt>
                <c:pt idx="156">
                  <c:v>-610.3537736330311</c:v>
                </c:pt>
                <c:pt idx="157">
                  <c:v>-615.8511229245737</c:v>
                </c:pt>
                <c:pt idx="158">
                  <c:v>-603.8813269421064</c:v>
                </c:pt>
                <c:pt idx="159">
                  <c:v>-599.8944053086848</c:v>
                </c:pt>
                <c:pt idx="160">
                  <c:v>-600.8967899558368</c:v>
                </c:pt>
                <c:pt idx="161">
                  <c:v>-601.6194882047996</c:v>
                </c:pt>
                <c:pt idx="162">
                  <c:v>-605.4919082820436</c:v>
                </c:pt>
                <c:pt idx="163">
                  <c:v>-606.0417457977019</c:v>
                </c:pt>
                <c:pt idx="164">
                  <c:v>-605.7370718767169</c:v>
                </c:pt>
                <c:pt idx="165">
                  <c:v>-613.8022412100934</c:v>
                </c:pt>
                <c:pt idx="166">
                  <c:v>-620.7906602213554</c:v>
                </c:pt>
                <c:pt idx="167">
                  <c:v>-629.9678483813368</c:v>
                </c:pt>
                <c:pt idx="168">
                  <c:v>-622.6061478138508</c:v>
                </c:pt>
                <c:pt idx="169">
                  <c:v>-649.4410782922622</c:v>
                </c:pt>
                <c:pt idx="170">
                  <c:v>-648.0052251301223</c:v>
                </c:pt>
                <c:pt idx="171">
                  <c:v>-677.176756369658</c:v>
                </c:pt>
                <c:pt idx="172">
                  <c:v>-681.3631253377109</c:v>
                </c:pt>
                <c:pt idx="173">
                  <c:v>-686.5477834901984</c:v>
                </c:pt>
                <c:pt idx="174">
                  <c:v>-723.7795979872319</c:v>
                </c:pt>
                <c:pt idx="175">
                  <c:v>-734.1635911712084</c:v>
                </c:pt>
                <c:pt idx="176">
                  <c:v>-759.7627185483007</c:v>
                </c:pt>
                <c:pt idx="177">
                  <c:v>-763.430114933484</c:v>
                </c:pt>
                <c:pt idx="178">
                  <c:v>-791.2445324768312</c:v>
                </c:pt>
                <c:pt idx="179">
                  <c:v>-813.7373198512574</c:v>
                </c:pt>
                <c:pt idx="180">
                  <c:v>-822.083518694091</c:v>
                </c:pt>
                <c:pt idx="181">
                  <c:v>-843.7889717359258</c:v>
                </c:pt>
                <c:pt idx="182">
                  <c:v>-848.938033263913</c:v>
                </c:pt>
                <c:pt idx="183">
                  <c:v>-876.5738020053568</c:v>
                </c:pt>
                <c:pt idx="184">
                  <c:v>-877.3000445894819</c:v>
                </c:pt>
                <c:pt idx="185">
                  <c:v>-879.2216381200383</c:v>
                </c:pt>
                <c:pt idx="186">
                  <c:v>-889.1561868852476</c:v>
                </c:pt>
                <c:pt idx="187">
                  <c:v>-898.0213815928078</c:v>
                </c:pt>
                <c:pt idx="188">
                  <c:v>-891.5629780715262</c:v>
                </c:pt>
                <c:pt idx="189">
                  <c:v>-896.949702676274</c:v>
                </c:pt>
                <c:pt idx="190">
                  <c:v>-915.0346070177721</c:v>
                </c:pt>
                <c:pt idx="191">
                  <c:v>-926.6755126830545</c:v>
                </c:pt>
                <c:pt idx="192">
                  <c:v>-930.7073367968151</c:v>
                </c:pt>
                <c:pt idx="193">
                  <c:v>-922.5355117392124</c:v>
                </c:pt>
                <c:pt idx="194">
                  <c:v>-933.4887609746736</c:v>
                </c:pt>
                <c:pt idx="195">
                  <c:v>-944.2611133019359</c:v>
                </c:pt>
                <c:pt idx="196">
                  <c:v>-956.7982380300176</c:v>
                </c:pt>
                <c:pt idx="197">
                  <c:v>-943.2425763796587</c:v>
                </c:pt>
                <c:pt idx="198">
                  <c:v>-965.124397501332</c:v>
                </c:pt>
                <c:pt idx="199">
                  <c:v>-982.3583466865014</c:v>
                </c:pt>
                <c:pt idx="200">
                  <c:v>-989.5998463981643</c:v>
                </c:pt>
                <c:pt idx="201">
                  <c:v>-1005.69950526989</c:v>
                </c:pt>
                <c:pt idx="202">
                  <c:v>-1040.083920620264</c:v>
                </c:pt>
                <c:pt idx="203">
                  <c:v>-1057.241706866886</c:v>
                </c:pt>
                <c:pt idx="204">
                  <c:v>-1064.258273101221</c:v>
                </c:pt>
                <c:pt idx="205">
                  <c:v>-1082.597955712378</c:v>
                </c:pt>
                <c:pt idx="206">
                  <c:v>-1100.516262410322</c:v>
                </c:pt>
                <c:pt idx="207">
                  <c:v>-1125.797455656014</c:v>
                </c:pt>
                <c:pt idx="208">
                  <c:v>-1144.149994084235</c:v>
                </c:pt>
                <c:pt idx="209">
                  <c:v>-1173.502799466674</c:v>
                </c:pt>
                <c:pt idx="210">
                  <c:v>-1185.442651127311</c:v>
                </c:pt>
                <c:pt idx="211">
                  <c:v>-1178.948488261027</c:v>
                </c:pt>
                <c:pt idx="212">
                  <c:v>-1194.612276862437</c:v>
                </c:pt>
                <c:pt idx="213">
                  <c:v>-1208.768744496914</c:v>
                </c:pt>
                <c:pt idx="214">
                  <c:v>-1205.939140824699</c:v>
                </c:pt>
                <c:pt idx="215">
                  <c:v>-1206.261293081656</c:v>
                </c:pt>
                <c:pt idx="216">
                  <c:v>-1177.478452047542</c:v>
                </c:pt>
                <c:pt idx="217">
                  <c:v>-1173.989708131552</c:v>
                </c:pt>
                <c:pt idx="218">
                  <c:v>-1163.305052457079</c:v>
                </c:pt>
                <c:pt idx="219">
                  <c:v>-1140.797745941328</c:v>
                </c:pt>
                <c:pt idx="220">
                  <c:v>-1123.782376286916</c:v>
                </c:pt>
                <c:pt idx="221">
                  <c:v>-1084.423505213741</c:v>
                </c:pt>
                <c:pt idx="222">
                  <c:v>-1065.15152553097</c:v>
                </c:pt>
                <c:pt idx="223">
                  <c:v>-1023.847230912976</c:v>
                </c:pt>
                <c:pt idx="224">
                  <c:v>-996.8217375564985</c:v>
                </c:pt>
                <c:pt idx="225">
                  <c:v>-979.6266845904379</c:v>
                </c:pt>
                <c:pt idx="226">
                  <c:v>-941.1077909079058</c:v>
                </c:pt>
                <c:pt idx="227">
                  <c:v>-924.022007575636</c:v>
                </c:pt>
                <c:pt idx="228">
                  <c:v>-904.6551669317628</c:v>
                </c:pt>
                <c:pt idx="229">
                  <c:v>-891.2140373390394</c:v>
                </c:pt>
                <c:pt idx="230">
                  <c:v>-862.7135944994626</c:v>
                </c:pt>
                <c:pt idx="231">
                  <c:v>-852.4130106417501</c:v>
                </c:pt>
                <c:pt idx="232">
                  <c:v>-833.5010915615246</c:v>
                </c:pt>
                <c:pt idx="233">
                  <c:v>-817.140080220322</c:v>
                </c:pt>
                <c:pt idx="234">
                  <c:v>-795.153387803666</c:v>
                </c:pt>
                <c:pt idx="235">
                  <c:v>-806.4779448363088</c:v>
                </c:pt>
                <c:pt idx="236">
                  <c:v>-782.3674519891185</c:v>
                </c:pt>
                <c:pt idx="237">
                  <c:v>-781.520650573972</c:v>
                </c:pt>
                <c:pt idx="238">
                  <c:v>-771.2661513173169</c:v>
                </c:pt>
                <c:pt idx="239">
                  <c:v>-791.6996933869985</c:v>
                </c:pt>
                <c:pt idx="240">
                  <c:v>-780.1011245225925</c:v>
                </c:pt>
              </c:numCache>
            </c:numRef>
          </c:yVal>
        </c:ser>
        <c:ser>
          <c:idx val="2"/>
          <c:order val="2"/>
          <c:tx>
            <c:v>Warm/briny lens</c:v>
          </c:tx>
          <c:spPr>
            <a:ln xmlns:a="http://schemas.openxmlformats.org/drawingml/2006/mai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c:v>
                </c:pt>
                <c:pt idx="1">
                  <c:v>-5484.651904462073</c:v>
                </c:pt>
                <c:pt idx="2">
                  <c:v>-5487.920875412194</c:v>
                </c:pt>
                <c:pt idx="3">
                  <c:v>-5471.342399921711</c:v>
                </c:pt>
                <c:pt idx="4">
                  <c:v>-5489.714570217478</c:v>
                </c:pt>
                <c:pt idx="5">
                  <c:v>-5474.170625050671</c:v>
                </c:pt>
                <c:pt idx="6">
                  <c:v>-5478.11857189845</c:v>
                </c:pt>
                <c:pt idx="7">
                  <c:v>-5475.85876833678</c:v>
                </c:pt>
                <c:pt idx="8">
                  <c:v>-5451.140641991547</c:v>
                </c:pt>
                <c:pt idx="9">
                  <c:v>-5457.823618855485</c:v>
                </c:pt>
                <c:pt idx="10">
                  <c:v>-5441.641626720801</c:v>
                </c:pt>
                <c:pt idx="11">
                  <c:v>-5421.887358921212</c:v>
                </c:pt>
                <c:pt idx="12">
                  <c:v>-5417.639938008685</c:v>
                </c:pt>
                <c:pt idx="13">
                  <c:v>-5395.921698266008</c:v>
                </c:pt>
                <c:pt idx="14">
                  <c:v>-5386.807750496192</c:v>
                </c:pt>
                <c:pt idx="15">
                  <c:v>-5373.908045090209</c:v>
                </c:pt>
                <c:pt idx="16">
                  <c:v>-5355.644124754527</c:v>
                </c:pt>
                <c:pt idx="17">
                  <c:v>-5329.172903289982</c:v>
                </c:pt>
                <c:pt idx="18">
                  <c:v>-5331.469815227503</c:v>
                </c:pt>
                <c:pt idx="19">
                  <c:v>-5325.765425251717</c:v>
                </c:pt>
                <c:pt idx="20">
                  <c:v>-5293.024019897794</c:v>
                </c:pt>
                <c:pt idx="21">
                  <c:v>-5298.25912972317</c:v>
                </c:pt>
                <c:pt idx="22">
                  <c:v>-5278.015952986627</c:v>
                </c:pt>
                <c:pt idx="23">
                  <c:v>-5270.156463798183</c:v>
                </c:pt>
                <c:pt idx="24">
                  <c:v>-5270.034272909668</c:v>
                </c:pt>
                <c:pt idx="25">
                  <c:v>-5248.155927812239</c:v>
                </c:pt>
                <c:pt idx="26">
                  <c:v>-5243.448262211999</c:v>
                </c:pt>
                <c:pt idx="27">
                  <c:v>-5229.286567199342</c:v>
                </c:pt>
                <c:pt idx="28">
                  <c:v>-5230.528851347372</c:v>
                </c:pt>
                <c:pt idx="29">
                  <c:v>-5222.032593092469</c:v>
                </c:pt>
                <c:pt idx="30">
                  <c:v>-5226.62575338897</c:v>
                </c:pt>
                <c:pt idx="31">
                  <c:v>-5216.419947121439</c:v>
                </c:pt>
                <c:pt idx="32">
                  <c:v>-5199.872902849521</c:v>
                </c:pt>
                <c:pt idx="33">
                  <c:v>-5170.329773603953</c:v>
                </c:pt>
                <c:pt idx="34">
                  <c:v>-5181.107343020835</c:v>
                </c:pt>
                <c:pt idx="35">
                  <c:v>-5159.740064313806</c:v>
                </c:pt>
                <c:pt idx="36">
                  <c:v>-5149.980636924409</c:v>
                </c:pt>
                <c:pt idx="37">
                  <c:v>-5127.72026845178</c:v>
                </c:pt>
                <c:pt idx="38">
                  <c:v>-5100.3179683083</c:v>
                </c:pt>
                <c:pt idx="39">
                  <c:v>-5063.023618919044</c:v>
                </c:pt>
                <c:pt idx="40">
                  <c:v>-5033.326799878698</c:v>
                </c:pt>
                <c:pt idx="41">
                  <c:v>-5006.200495825688</c:v>
                </c:pt>
                <c:pt idx="42">
                  <c:v>-4998.329739470436</c:v>
                </c:pt>
                <c:pt idx="43">
                  <c:v>-4946.46993437061</c:v>
                </c:pt>
                <c:pt idx="44">
                  <c:v>-4929.976313943018</c:v>
                </c:pt>
                <c:pt idx="45">
                  <c:v>-4868.15535289123</c:v>
                </c:pt>
                <c:pt idx="46">
                  <c:v>-4845.249829766353</c:v>
                </c:pt>
                <c:pt idx="47">
                  <c:v>-4790.395813825722</c:v>
                </c:pt>
                <c:pt idx="48">
                  <c:v>-4755.579992683982</c:v>
                </c:pt>
                <c:pt idx="49">
                  <c:v>-4717.270023372559</c:v>
                </c:pt>
                <c:pt idx="50">
                  <c:v>-4694.781590686775</c:v>
                </c:pt>
                <c:pt idx="51">
                  <c:v>-4632.38747163453</c:v>
                </c:pt>
                <c:pt idx="52">
                  <c:v>-4602.490143183894</c:v>
                </c:pt>
                <c:pt idx="53">
                  <c:v>-4566.722204965172</c:v>
                </c:pt>
                <c:pt idx="54">
                  <c:v>-4526.494538861964</c:v>
                </c:pt>
                <c:pt idx="55">
                  <c:v>-4491.206793196538</c:v>
                </c:pt>
                <c:pt idx="56">
                  <c:v>-4475.037380852017</c:v>
                </c:pt>
                <c:pt idx="57">
                  <c:v>-4434.953989734147</c:v>
                </c:pt>
                <c:pt idx="58">
                  <c:v>-4411.387644686623</c:v>
                </c:pt>
                <c:pt idx="59">
                  <c:v>-4400.991732921984</c:v>
                </c:pt>
                <c:pt idx="60">
                  <c:v>-4378.197066060047</c:v>
                </c:pt>
                <c:pt idx="61">
                  <c:v>-4365.040713536599</c:v>
                </c:pt>
                <c:pt idx="62">
                  <c:v>-4336.179030396172</c:v>
                </c:pt>
                <c:pt idx="63">
                  <c:v>-4335.298007996449</c:v>
                </c:pt>
                <c:pt idx="64">
                  <c:v>-4310.516581284124</c:v>
                </c:pt>
                <c:pt idx="65">
                  <c:v>-4306.047034292111</c:v>
                </c:pt>
                <c:pt idx="66">
                  <c:v>-4293.524602285776</c:v>
                </c:pt>
                <c:pt idx="67">
                  <c:v>-4273.217830359151</c:v>
                </c:pt>
                <c:pt idx="68">
                  <c:v>-4273.925102638183</c:v>
                </c:pt>
                <c:pt idx="69">
                  <c:v>-4256.8584908824</c:v>
                </c:pt>
                <c:pt idx="70">
                  <c:v>-4252.28087019105</c:v>
                </c:pt>
                <c:pt idx="71">
                  <c:v>-4221.119957973046</c:v>
                </c:pt>
                <c:pt idx="72">
                  <c:v>-4215.213148758756</c:v>
                </c:pt>
                <c:pt idx="73">
                  <c:v>-4197.175849562021</c:v>
                </c:pt>
                <c:pt idx="74">
                  <c:v>-4180.028973224659</c:v>
                </c:pt>
                <c:pt idx="75">
                  <c:v>-4162.527994075395</c:v>
                </c:pt>
                <c:pt idx="76">
                  <c:v>-4123.436472607357</c:v>
                </c:pt>
                <c:pt idx="77">
                  <c:v>-4099.589149139923</c:v>
                </c:pt>
                <c:pt idx="78">
                  <c:v>-4107.288074615244</c:v>
                </c:pt>
                <c:pt idx="79">
                  <c:v>-4076.159965685792</c:v>
                </c:pt>
                <c:pt idx="80">
                  <c:v>-4076.869284802869</c:v>
                </c:pt>
                <c:pt idx="81">
                  <c:v>-4047.838968520703</c:v>
                </c:pt>
                <c:pt idx="82">
                  <c:v>-4038.211460178708</c:v>
                </c:pt>
                <c:pt idx="83">
                  <c:v>-4042.549167466184</c:v>
                </c:pt>
                <c:pt idx="84">
                  <c:v>-4016.12451745035</c:v>
                </c:pt>
                <c:pt idx="85">
                  <c:v>-4012.02506940018</c:v>
                </c:pt>
                <c:pt idx="86">
                  <c:v>-4029.681931039499</c:v>
                </c:pt>
                <c:pt idx="87">
                  <c:v>-4026.847636769431</c:v>
                </c:pt>
                <c:pt idx="88">
                  <c:v>-4004.57330689368</c:v>
                </c:pt>
                <c:pt idx="89">
                  <c:v>-4017.474930213879</c:v>
                </c:pt>
                <c:pt idx="90">
                  <c:v>-4011.68061028952</c:v>
                </c:pt>
                <c:pt idx="91">
                  <c:v>-4009.488622289074</c:v>
                </c:pt>
                <c:pt idx="92">
                  <c:v>-4021.134957196905</c:v>
                </c:pt>
                <c:pt idx="93">
                  <c:v>-4031.375472857176</c:v>
                </c:pt>
                <c:pt idx="94">
                  <c:v>-4026.041408732872</c:v>
                </c:pt>
                <c:pt idx="95">
                  <c:v>-4019.53084486996</c:v>
                </c:pt>
                <c:pt idx="96">
                  <c:v>-4040.540086077237</c:v>
                </c:pt>
                <c:pt idx="97">
                  <c:v>-4030.38124072338</c:v>
                </c:pt>
                <c:pt idx="98">
                  <c:v>-4038.107522902597</c:v>
                </c:pt>
                <c:pt idx="99">
                  <c:v>-4042.470911682998</c:v>
                </c:pt>
                <c:pt idx="100">
                  <c:v>-4053.521133551654</c:v>
                </c:pt>
                <c:pt idx="101">
                  <c:v>-4067.43016068726</c:v>
                </c:pt>
                <c:pt idx="102">
                  <c:v>-4070.857910634501</c:v>
                </c:pt>
                <c:pt idx="103">
                  <c:v>-4104.785235108246</c:v>
                </c:pt>
                <c:pt idx="104">
                  <c:v>-4104.113084632998</c:v>
                </c:pt>
                <c:pt idx="105">
                  <c:v>-4124.311310189217</c:v>
                </c:pt>
                <c:pt idx="106">
                  <c:v>-4166.818986157001</c:v>
                </c:pt>
                <c:pt idx="107">
                  <c:v>-4169.553155627718</c:v>
                </c:pt>
                <c:pt idx="108">
                  <c:v>-4193.56662985481</c:v>
                </c:pt>
                <c:pt idx="109">
                  <c:v>-4220.398808467127</c:v>
                </c:pt>
                <c:pt idx="110">
                  <c:v>-4247.785328007703</c:v>
                </c:pt>
                <c:pt idx="111">
                  <c:v>-4267.948668894841</c:v>
                </c:pt>
                <c:pt idx="112">
                  <c:v>-4282.523813289301</c:v>
                </c:pt>
                <c:pt idx="113">
                  <c:v>-4321.154242092987</c:v>
                </c:pt>
                <c:pt idx="114">
                  <c:v>-4323.835474590567</c:v>
                </c:pt>
                <c:pt idx="115">
                  <c:v>-4341.139444831239</c:v>
                </c:pt>
                <c:pt idx="116">
                  <c:v>-4344.520801916954</c:v>
                </c:pt>
                <c:pt idx="117">
                  <c:v>-4368.027275741328</c:v>
                </c:pt>
                <c:pt idx="118">
                  <c:v>-4376.99446071364</c:v>
                </c:pt>
                <c:pt idx="119">
                  <c:v>-4362.823181011854</c:v>
                </c:pt>
                <c:pt idx="120">
                  <c:v>-4375.870446974211</c:v>
                </c:pt>
                <c:pt idx="121">
                  <c:v>-4393.014522777029</c:v>
                </c:pt>
                <c:pt idx="122">
                  <c:v>-4397.780420247319</c:v>
                </c:pt>
                <c:pt idx="123">
                  <c:v>-4398.242915119187</c:v>
                </c:pt>
                <c:pt idx="124">
                  <c:v>-4400.468486470758</c:v>
                </c:pt>
                <c:pt idx="125">
                  <c:v>-4405.214355919788</c:v>
                </c:pt>
                <c:pt idx="126">
                  <c:v>-4438.152626491034</c:v>
                </c:pt>
                <c:pt idx="127">
                  <c:v>-4432.184501452464</c:v>
                </c:pt>
                <c:pt idx="128">
                  <c:v>-4453.574373916209</c:v>
                </c:pt>
                <c:pt idx="129">
                  <c:v>-4466.748254027386</c:v>
                </c:pt>
                <c:pt idx="130">
                  <c:v>-4506.705043400298</c:v>
                </c:pt>
                <c:pt idx="131">
                  <c:v>-4536.078008508066</c:v>
                </c:pt>
                <c:pt idx="132">
                  <c:v>-4561.908775273458</c:v>
                </c:pt>
                <c:pt idx="133">
                  <c:v>-4591.066906118212</c:v>
                </c:pt>
                <c:pt idx="134">
                  <c:v>-4600.836420606299</c:v>
                </c:pt>
                <c:pt idx="135">
                  <c:v>-4651.336223980074</c:v>
                </c:pt>
                <c:pt idx="136">
                  <c:v>-4676.959218735977</c:v>
                </c:pt>
                <c:pt idx="137">
                  <c:v>-4713.703102507014</c:v>
                </c:pt>
                <c:pt idx="138">
                  <c:v>-4730.915152248648</c:v>
                </c:pt>
                <c:pt idx="139">
                  <c:v>-4752.375995530008</c:v>
                </c:pt>
                <c:pt idx="140">
                  <c:v>-4794.606878538641</c:v>
                </c:pt>
                <c:pt idx="141">
                  <c:v>-4828.624386947019</c:v>
                </c:pt>
                <c:pt idx="142">
                  <c:v>-4838.936852126792</c:v>
                </c:pt>
                <c:pt idx="143">
                  <c:v>-4866.262936750023</c:v>
                </c:pt>
                <c:pt idx="144">
                  <c:v>-4894.179890756694</c:v>
                </c:pt>
                <c:pt idx="145">
                  <c:v>-4898.644183294328</c:v>
                </c:pt>
                <c:pt idx="146">
                  <c:v>-4919.082475223577</c:v>
                </c:pt>
                <c:pt idx="147">
                  <c:v>-4953.581833222283</c:v>
                </c:pt>
                <c:pt idx="148">
                  <c:v>-4963.711524097982</c:v>
                </c:pt>
                <c:pt idx="149">
                  <c:v>-4973.818515439892</c:v>
                </c:pt>
                <c:pt idx="150">
                  <c:v>-5002.419771654627</c:v>
                </c:pt>
                <c:pt idx="151">
                  <c:v>-5017.754962464925</c:v>
                </c:pt>
                <c:pt idx="152">
                  <c:v>-5023.866949347487</c:v>
                </c:pt>
                <c:pt idx="153">
                  <c:v>-5027.954102743057</c:v>
                </c:pt>
                <c:pt idx="154">
                  <c:v>-5040.394594329024</c:v>
                </c:pt>
                <c:pt idx="155">
                  <c:v>-5038.972322199023</c:v>
                </c:pt>
                <c:pt idx="156">
                  <c:v>-5041.609867064257</c:v>
                </c:pt>
                <c:pt idx="157">
                  <c:v>-5051.479849899224</c:v>
                </c:pt>
                <c:pt idx="158">
                  <c:v>-5041.830969477127</c:v>
                </c:pt>
                <c:pt idx="159">
                  <c:v>-5039.297328149049</c:v>
                </c:pt>
                <c:pt idx="160">
                  <c:v>-5040.88480870472</c:v>
                </c:pt>
                <c:pt idx="161">
                  <c:v>-5041.227185239991</c:v>
                </c:pt>
                <c:pt idx="162">
                  <c:v>-5044.014904854286</c:v>
                </c:pt>
                <c:pt idx="163">
                  <c:v>-5042.6178256281</c:v>
                </c:pt>
                <c:pt idx="164">
                  <c:v>-5039.710425244236</c:v>
                </c:pt>
                <c:pt idx="165">
                  <c:v>-5044.994947508472</c:v>
                </c:pt>
                <c:pt idx="166">
                  <c:v>-5048.713181898195</c:v>
                </c:pt>
                <c:pt idx="167">
                  <c:v>-5054.335893481355</c:v>
                </c:pt>
                <c:pt idx="168">
                  <c:v>-5042.410502086507</c:v>
                </c:pt>
                <c:pt idx="169">
                  <c:v>-5065.827440675229</c:v>
                </c:pt>
                <c:pt idx="170">
                  <c:v>-5059.542587450741</c:v>
                </c:pt>
                <c:pt idx="171">
                  <c:v>-5084.898587329454</c:v>
                </c:pt>
                <c:pt idx="172">
                  <c:v>-5083.983143817293</c:v>
                </c:pt>
                <c:pt idx="173">
                  <c:v>-5083.844928799067</c:v>
                </c:pt>
                <c:pt idx="174">
                  <c:v>-5116.795949780635</c:v>
                </c:pt>
                <c:pt idx="175">
                  <c:v>-5121.444753178344</c:v>
                </c:pt>
                <c:pt idx="176">
                  <c:v>-5141.553898704819</c:v>
                </c:pt>
                <c:pt idx="177">
                  <c:v>-5138.366918982902</c:v>
                </c:pt>
                <c:pt idx="178">
                  <c:v>-5159.813821337773</c:v>
                </c:pt>
                <c:pt idx="179">
                  <c:v>-5175.124627161256</c:v>
                </c:pt>
                <c:pt idx="180">
                  <c:v>-5175.030676082551</c:v>
                </c:pt>
                <c:pt idx="181">
                  <c:v>-5188.107708248319</c:v>
                </c:pt>
                <c:pt idx="182">
                  <c:v>-5183.119626711098</c:v>
                </c:pt>
                <c:pt idx="183">
                  <c:v>-5200.666974360808</c:v>
                </c:pt>
                <c:pt idx="184">
                  <c:v>-5189.232958419532</c:v>
                </c:pt>
                <c:pt idx="185">
                  <c:v>-5178.040334588754</c:v>
                </c:pt>
                <c:pt idx="186">
                  <c:v>-5174.148949456556</c:v>
                </c:pt>
                <c:pt idx="187">
                  <c:v>-5168.069484568527</c:v>
                </c:pt>
                <c:pt idx="188">
                  <c:v>-5144.940103165478</c:v>
                </c:pt>
                <c:pt idx="189">
                  <c:v>-5133.064194469213</c:v>
                </c:pt>
                <c:pt idx="190">
                  <c:v>-5133.350348163151</c:v>
                </c:pt>
                <c:pt idx="191">
                  <c:v>-5125.896862422095</c:v>
                </c:pt>
                <c:pt idx="192">
                  <c:v>-5109.546585590188</c:v>
                </c:pt>
                <c:pt idx="193">
                  <c:v>-5079.588339389804</c:v>
                </c:pt>
                <c:pt idx="194">
                  <c:v>-5068.748938833323</c:v>
                </c:pt>
                <c:pt idx="195">
                  <c:v>-5057.027770550233</c:v>
                </c:pt>
                <c:pt idx="196">
                  <c:v>-5046.577150283418</c:v>
                </c:pt>
                <c:pt idx="197">
                  <c:v>-5008.518556589677</c:v>
                </c:pt>
                <c:pt idx="198">
                  <c:v>-5007.098026593233</c:v>
                </c:pt>
                <c:pt idx="199">
                  <c:v>-5000.721965139574</c:v>
                </c:pt>
                <c:pt idx="200">
                  <c:v>-4983.992535431806</c:v>
                </c:pt>
                <c:pt idx="201">
                  <c:v>-4976.71992493886</c:v>
                </c:pt>
                <c:pt idx="202">
                  <c:v>-4988.899442377909</c:v>
                </c:pt>
                <c:pt idx="203">
                  <c:v>-4983.714787842305</c:v>
                </c:pt>
                <c:pt idx="204">
                  <c:v>-4968.717060648844</c:v>
                </c:pt>
                <c:pt idx="205">
                  <c:v>-4966.428115341479</c:v>
                </c:pt>
                <c:pt idx="206">
                  <c:v>-4964.767033068494</c:v>
                </c:pt>
                <c:pt idx="207">
                  <c:v>-4971.982298832261</c:v>
                </c:pt>
                <c:pt idx="208">
                  <c:v>-4973.311116733131</c:v>
                </c:pt>
                <c:pt idx="209">
                  <c:v>-4987.535675638616</c:v>
                </c:pt>
                <c:pt idx="210">
                  <c:v>-4985.145062455269</c:v>
                </c:pt>
                <c:pt idx="211">
                  <c:v>-4965.140137382676</c:v>
                </c:pt>
                <c:pt idx="212">
                  <c:v>-4969.845632782026</c:v>
                </c:pt>
                <c:pt idx="213">
                  <c:v>-4974.627736176234</c:v>
                </c:pt>
                <c:pt idx="214">
                  <c:v>-4963.355883064407</c:v>
                </c:pt>
                <c:pt idx="215">
                  <c:v>-4956.975717352276</c:v>
                </c:pt>
                <c:pt idx="216">
                  <c:v>-4921.831237324365</c:v>
                </c:pt>
                <c:pt idx="217">
                  <c:v>-4914.509848757794</c:v>
                </c:pt>
                <c:pt idx="218">
                  <c:v>-4901.067678962968</c:v>
                </c:pt>
                <c:pt idx="219">
                  <c:v>-4876.564984856768</c:v>
                </c:pt>
                <c:pt idx="220">
                  <c:v>-4858.899518904143</c:v>
                </c:pt>
                <c:pt idx="221">
                  <c:v>-4818.922087262267</c:v>
                </c:pt>
                <c:pt idx="222">
                  <c:v>-4800.664067117726</c:v>
                </c:pt>
                <c:pt idx="223">
                  <c:v>-4760.074231725524</c:v>
                </c:pt>
                <c:pt idx="224">
                  <c:v>-4734.792577809956</c:v>
                </c:pt>
                <c:pt idx="225">
                  <c:v>-4719.997479930365</c:v>
                </c:pt>
                <c:pt idx="226">
                  <c:v>-4683.048068235699</c:v>
                </c:pt>
                <c:pt idx="227">
                  <c:v>-4668.297018481284</c:v>
                </c:pt>
                <c:pt idx="228">
                  <c:v>-4650.862133112912</c:v>
                </c:pt>
                <c:pt idx="229">
                  <c:v>-4639.121143601256</c:v>
                </c:pt>
                <c:pt idx="230">
                  <c:v>-4611.055523011845</c:v>
                </c:pt>
                <c:pt idx="231">
                  <c:v>-4601.165653941214</c:v>
                </c:pt>
                <c:pt idx="232">
                  <c:v>-4581.395564728035</c:v>
                </c:pt>
                <c:pt idx="233">
                  <c:v>-4563.263982198521</c:v>
                </c:pt>
                <c:pt idx="234">
                  <c:v>-4538.165790986473</c:v>
                </c:pt>
                <c:pt idx="235">
                  <c:v>-4546.594591762395</c:v>
                </c:pt>
                <c:pt idx="236">
                  <c:v>-4516.897044460066</c:v>
                </c:pt>
                <c:pt idx="237">
                  <c:v>-4510.198690568171</c:v>
                </c:pt>
                <c:pt idx="238">
                  <c:v>-4492.471600728132</c:v>
                </c:pt>
                <c:pt idx="239">
                  <c:v>-4505.51038235012</c:v>
                </c:pt>
                <c:pt idx="240">
                  <c:v>-4484.032484397673</c:v>
                </c:pt>
              </c:numCache>
            </c:numRef>
          </c:yVal>
        </c:ser>
        <c:ser>
          <c:idx val="3"/>
          <c:order val="3"/>
          <c:tx>
            <c:v>Ice-ocean boundary</c:v>
          </c:tx>
          <c:spPr>
            <a:ln xmlns:a="http://schemas.openxmlformats.org/drawingml/2006/mai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c:v>
                </c:pt>
                <c:pt idx="1">
                  <c:v>-14438.07032625334</c:v>
                </c:pt>
                <c:pt idx="2">
                  <c:v>-14444.3460427413</c:v>
                </c:pt>
                <c:pt idx="3">
                  <c:v>-14428.52123975845</c:v>
                </c:pt>
                <c:pt idx="4">
                  <c:v>-14453.05608917493</c:v>
                </c:pt>
                <c:pt idx="5">
                  <c:v>-14439.43362626995</c:v>
                </c:pt>
                <c:pt idx="6">
                  <c:v>-14448.53098296152</c:v>
                </c:pt>
                <c:pt idx="7">
                  <c:v>-14451.04349187615</c:v>
                </c:pt>
                <c:pt idx="8">
                  <c:v>-14428.43940532974</c:v>
                </c:pt>
                <c:pt idx="9">
                  <c:v>-14442.11340826583</c:v>
                </c:pt>
                <c:pt idx="10">
                  <c:v>-14430.19820267315</c:v>
                </c:pt>
                <c:pt idx="11">
                  <c:v>-14414.68461396664</c:v>
                </c:pt>
                <c:pt idx="12">
                  <c:v>-14417.32116780461</c:v>
                </c:pt>
                <c:pt idx="13">
                  <c:v>-14400.51285612662</c:v>
                </c:pt>
                <c:pt idx="14">
                  <c:v>-14398.54606791298</c:v>
                </c:pt>
                <c:pt idx="15">
                  <c:v>-14392.73816003194</c:v>
                </c:pt>
                <c:pt idx="16">
                  <c:v>-14381.29296542815</c:v>
                </c:pt>
                <c:pt idx="17">
                  <c:v>-14360.97390118215</c:v>
                </c:pt>
                <c:pt idx="18">
                  <c:v>-14373.93874854069</c:v>
                </c:pt>
                <c:pt idx="19">
                  <c:v>-14378.277365315</c:v>
                </c:pt>
                <c:pt idx="20">
                  <c:v>-14352.29724530949</c:v>
                </c:pt>
                <c:pt idx="21">
                  <c:v>-14370.12316479474</c:v>
                </c:pt>
                <c:pt idx="22">
                  <c:v>-14359.42708212575</c:v>
                </c:pt>
                <c:pt idx="23">
                  <c:v>-14363.38308229373</c:v>
                </c:pt>
                <c:pt idx="24">
                  <c:v>-14376.70662345043</c:v>
                </c:pt>
                <c:pt idx="25">
                  <c:v>-14365.78830767519</c:v>
                </c:pt>
                <c:pt idx="26">
                  <c:v>-14375.01853111296</c:v>
                </c:pt>
                <c:pt idx="27">
                  <c:v>-14374.05945377826</c:v>
                </c:pt>
                <c:pt idx="28">
                  <c:v>-14391.263893767</c:v>
                </c:pt>
                <c:pt idx="29">
                  <c:v>-14397.98424606007</c:v>
                </c:pt>
                <c:pt idx="30">
                  <c:v>-14420.25924208522</c:v>
                </c:pt>
                <c:pt idx="31">
                  <c:v>-14426.31075528174</c:v>
                </c:pt>
                <c:pt idx="32">
                  <c:v>-14425.79478169259</c:v>
                </c:pt>
                <c:pt idx="33">
                  <c:v>-14411.13829874169</c:v>
                </c:pt>
                <c:pt idx="34">
                  <c:v>-14443.13501469738</c:v>
                </c:pt>
                <c:pt idx="35">
                  <c:v>-14439.18559993974</c:v>
                </c:pt>
                <c:pt idx="36">
                  <c:v>-14449.17808626281</c:v>
                </c:pt>
                <c:pt idx="37">
                  <c:v>-14445.63670551673</c:v>
                </c:pt>
                <c:pt idx="38">
                  <c:v>-14436.95702587731</c:v>
                </c:pt>
                <c:pt idx="39">
                  <c:v>-14417.72799957557</c:v>
                </c:pt>
                <c:pt idx="40">
                  <c:v>-14407.88937787309</c:v>
                </c:pt>
                <c:pt idx="41">
                  <c:v>-14401.70930632222</c:v>
                </c:pt>
                <c:pt idx="42">
                  <c:v>-14418.20476301484</c:v>
                </c:pt>
                <c:pt idx="43">
                  <c:v>-14385.2698527418</c:v>
                </c:pt>
                <c:pt idx="44">
                  <c:v>-14393.35922148808</c:v>
                </c:pt>
                <c:pt idx="45">
                  <c:v>-14350.46852559076</c:v>
                </c:pt>
                <c:pt idx="46">
                  <c:v>-14352.61729574875</c:v>
                </c:pt>
                <c:pt idx="47">
                  <c:v>-14318.99983062167</c:v>
                </c:pt>
                <c:pt idx="48">
                  <c:v>-14308.85651774103</c:v>
                </c:pt>
                <c:pt idx="49">
                  <c:v>-14295.33244233969</c:v>
                </c:pt>
                <c:pt idx="50">
                  <c:v>-14300.4158855701</c:v>
                </c:pt>
                <c:pt idx="51">
                  <c:v>-14260.54275395931</c:v>
                </c:pt>
                <c:pt idx="52">
                  <c:v>-14258.21349299659</c:v>
                </c:pt>
                <c:pt idx="53">
                  <c:v>-14249.64775427259</c:v>
                </c:pt>
                <c:pt idx="54">
                  <c:v>-14236.40952611411</c:v>
                </c:pt>
                <c:pt idx="55">
                  <c:v>-14229.16735582466</c:v>
                </c:pt>
                <c:pt idx="56">
                  <c:v>-14244.03525669502</c:v>
                </c:pt>
                <c:pt idx="57">
                  <c:v>-14231.90503448152</c:v>
                </c:pt>
                <c:pt idx="58">
                  <c:v>-14238.815093702</c:v>
                </c:pt>
                <c:pt idx="59">
                  <c:v>-14260.89612855773</c:v>
                </c:pt>
                <c:pt idx="60">
                  <c:v>-14268.94431623457</c:v>
                </c:pt>
                <c:pt idx="61">
                  <c:v>-14288.02662410436</c:v>
                </c:pt>
                <c:pt idx="62">
                  <c:v>-14289.19610652258</c:v>
                </c:pt>
                <c:pt idx="63">
                  <c:v>-14322.20015089423</c:v>
                </c:pt>
                <c:pt idx="64">
                  <c:v>-14327.84068835103</c:v>
                </c:pt>
                <c:pt idx="65">
                  <c:v>-14356.46748345205</c:v>
                </c:pt>
                <c:pt idx="66">
                  <c:v>-14375.69428814967</c:v>
                </c:pt>
                <c:pt idx="67">
                  <c:v>-14385.77903147693</c:v>
                </c:pt>
                <c:pt idx="68">
                  <c:v>-14419.50621076836</c:v>
                </c:pt>
                <c:pt idx="69">
                  <c:v>-14432.61478823603</c:v>
                </c:pt>
                <c:pt idx="70">
                  <c:v>-14459.56476813798</c:v>
                </c:pt>
                <c:pt idx="71">
                  <c:v>-14455.77741817838</c:v>
                </c:pt>
                <c:pt idx="72">
                  <c:v>-14480.3145463594</c:v>
                </c:pt>
                <c:pt idx="73">
                  <c:v>-14490.5285140744</c:v>
                </c:pt>
                <c:pt idx="74">
                  <c:v>-14501.23763333622</c:v>
                </c:pt>
                <c:pt idx="75">
                  <c:v>-14511.00128853418</c:v>
                </c:pt>
                <c:pt idx="76">
                  <c:v>-14495.59169686349</c:v>
                </c:pt>
                <c:pt idx="77">
                  <c:v>-14496.98572292323</c:v>
                </c:pt>
                <c:pt idx="78">
                  <c:v>-14533.75630370831</c:v>
                </c:pt>
                <c:pt idx="79">
                  <c:v>-14525.66962082915</c:v>
                </c:pt>
                <c:pt idx="80">
                  <c:v>-14553.27775510648</c:v>
                </c:pt>
                <c:pt idx="81">
                  <c:v>-14546.38002111027</c:v>
                </c:pt>
                <c:pt idx="82">
                  <c:v>-14560.9982154249</c:v>
                </c:pt>
                <c:pt idx="83">
                  <c:v>-14590.93478229853</c:v>
                </c:pt>
                <c:pt idx="84">
                  <c:v>-14585.20310009295</c:v>
                </c:pt>
                <c:pt idx="85">
                  <c:v>-14604.32692023479</c:v>
                </c:pt>
                <c:pt idx="86">
                  <c:v>-14647.66236571649</c:v>
                </c:pt>
                <c:pt idx="87">
                  <c:v>-14667.05231686869</c:v>
                </c:pt>
                <c:pt idx="88">
                  <c:v>-14663.69998490983</c:v>
                </c:pt>
                <c:pt idx="89">
                  <c:v>-14699.87210006933</c:v>
                </c:pt>
                <c:pt idx="90">
                  <c:v>-14714.1584182879</c:v>
                </c:pt>
                <c:pt idx="91">
                  <c:v>-14731.98157752291</c:v>
                </c:pt>
                <c:pt idx="92">
                  <c:v>-14765.01180007411</c:v>
                </c:pt>
                <c:pt idx="93">
                  <c:v>-14795.87028134129</c:v>
                </c:pt>
                <c:pt idx="94">
                  <c:v>-14808.40225130104</c:v>
                </c:pt>
                <c:pt idx="95">
                  <c:v>-14819.01705311522</c:v>
                </c:pt>
                <c:pt idx="96">
                  <c:v>-14860.42177906704</c:v>
                </c:pt>
                <c:pt idx="97">
                  <c:v>-14865.70321197845</c:v>
                </c:pt>
                <c:pt idx="98">
                  <c:v>-14890.77061513248</c:v>
                </c:pt>
                <c:pt idx="99">
                  <c:v>-14911.38745262829</c:v>
                </c:pt>
                <c:pt idx="100">
                  <c:v>-14938.99426033</c:v>
                </c:pt>
                <c:pt idx="101">
                  <c:v>-14969.20864515951</c:v>
                </c:pt>
                <c:pt idx="102">
                  <c:v>-14986.80229187282</c:v>
                </c:pt>
                <c:pt idx="103">
                  <c:v>-15038.47071442994</c:v>
                </c:pt>
                <c:pt idx="104">
                  <c:v>-15049.97647950563</c:v>
                </c:pt>
                <c:pt idx="105">
                  <c:v>-15084.52904427246</c:v>
                </c:pt>
                <c:pt idx="106">
                  <c:v>-15143.74135272811</c:v>
                </c:pt>
                <c:pt idx="107">
                  <c:v>-15156.81005384225</c:v>
                </c:pt>
                <c:pt idx="108">
                  <c:v>-15193.30565775866</c:v>
                </c:pt>
                <c:pt idx="109">
                  <c:v>-15232.15274806141</c:v>
                </c:pt>
                <c:pt idx="110">
                  <c:v>-15270.7392669019</c:v>
                </c:pt>
                <c:pt idx="111">
                  <c:v>-15300.1680976546</c:v>
                </c:pt>
                <c:pt idx="112">
                  <c:v>-15322.27260712914</c:v>
                </c:pt>
                <c:pt idx="113">
                  <c:v>-15370.8163727974</c:v>
                </c:pt>
                <c:pt idx="114">
                  <c:v>-15377.36510424107</c:v>
                </c:pt>
                <c:pt idx="115">
                  <c:v>-15399.54271163779</c:v>
                </c:pt>
                <c:pt idx="116">
                  <c:v>-15404.78075856211</c:v>
                </c:pt>
                <c:pt idx="117">
                  <c:v>-15431.86853872843</c:v>
                </c:pt>
                <c:pt idx="118">
                  <c:v>-15441.26537718523</c:v>
                </c:pt>
                <c:pt idx="119">
                  <c:v>-15423.14706135458</c:v>
                </c:pt>
                <c:pt idx="120">
                  <c:v>-15434.90175213269</c:v>
                </c:pt>
                <c:pt idx="121">
                  <c:v>-15450.15436755018</c:v>
                </c:pt>
                <c:pt idx="122">
                  <c:v>-15450.10983767677</c:v>
                </c:pt>
                <c:pt idx="123">
                  <c:v>-15443.96272049482</c:v>
                </c:pt>
                <c:pt idx="124">
                  <c:v>-15438.6211756346</c:v>
                </c:pt>
                <c:pt idx="125">
                  <c:v>-15434.94401738346</c:v>
                </c:pt>
                <c:pt idx="126">
                  <c:v>-15462.19636698205</c:v>
                </c:pt>
                <c:pt idx="127">
                  <c:v>-15443.88798179522</c:v>
                </c:pt>
                <c:pt idx="128">
                  <c:v>-15455.56622278984</c:v>
                </c:pt>
                <c:pt idx="129">
                  <c:v>-15456.68635224141</c:v>
                </c:pt>
                <c:pt idx="130">
                  <c:v>-15487.16046219176</c:v>
                </c:pt>
                <c:pt idx="131">
                  <c:v>-15504.4076138364</c:v>
                </c:pt>
                <c:pt idx="132">
                  <c:v>-15516.47623412749</c:v>
                </c:pt>
                <c:pt idx="133">
                  <c:v>-15531.22245801868</c:v>
                </c:pt>
                <c:pt idx="134">
                  <c:v>-15522.77876630299</c:v>
                </c:pt>
                <c:pt idx="135">
                  <c:v>-15559.71325627751</c:v>
                </c:pt>
                <c:pt idx="136">
                  <c:v>-15567.270186542</c:v>
                </c:pt>
                <c:pt idx="137">
                  <c:v>-15586.52701705587</c:v>
                </c:pt>
                <c:pt idx="138">
                  <c:v>-15582.58336368205</c:v>
                </c:pt>
                <c:pt idx="139">
                  <c:v>-15582.59636529414</c:v>
                </c:pt>
                <c:pt idx="140">
                  <c:v>-15605.45080160787</c:v>
                </c:pt>
                <c:pt idx="141">
                  <c:v>-15618.1592691375</c:v>
                </c:pt>
                <c:pt idx="142">
                  <c:v>-15603.11783803927</c:v>
                </c:pt>
                <c:pt idx="143">
                  <c:v>-15606.80495127967</c:v>
                </c:pt>
                <c:pt idx="144">
                  <c:v>-15610.56010475718</c:v>
                </c:pt>
                <c:pt idx="145">
                  <c:v>-15587.03699253716</c:v>
                </c:pt>
                <c:pt idx="146">
                  <c:v>-15581.24679763458</c:v>
                </c:pt>
                <c:pt idx="147">
                  <c:v>-15591.07457750605</c:v>
                </c:pt>
                <c:pt idx="148">
                  <c:v>-15572.77561357384</c:v>
                </c:pt>
                <c:pt idx="149">
                  <c:v>-15554.17175330666</c:v>
                </c:pt>
                <c:pt idx="150">
                  <c:v>-15556.4380725955</c:v>
                </c:pt>
                <c:pt idx="151">
                  <c:v>-15543.43238963229</c:v>
                </c:pt>
                <c:pt idx="152">
                  <c:v>-15519.82643614111</c:v>
                </c:pt>
                <c:pt idx="153">
                  <c:v>-15493.88691676859</c:v>
                </c:pt>
                <c:pt idx="154">
                  <c:v>-15477.50263290478</c:v>
                </c:pt>
                <c:pt idx="155">
                  <c:v>-15445.40149362999</c:v>
                </c:pt>
                <c:pt idx="156">
                  <c:v>-15418.06558106659</c:v>
                </c:pt>
                <c:pt idx="157">
                  <c:v>-15399.15764616569</c:v>
                </c:pt>
                <c:pt idx="158">
                  <c:v>-15358.22240601574</c:v>
                </c:pt>
                <c:pt idx="159">
                  <c:v>-15325.65886931908</c:v>
                </c:pt>
                <c:pt idx="160">
                  <c:v>-15298.0845917817</c:v>
                </c:pt>
                <c:pt idx="161">
                  <c:v>-15269.40753056406</c:v>
                </c:pt>
                <c:pt idx="162">
                  <c:v>-15243.8548544121</c:v>
                </c:pt>
                <c:pt idx="163">
                  <c:v>-15213.88298110334</c:v>
                </c:pt>
                <c:pt idx="164">
                  <c:v>-15182.55055198985</c:v>
                </c:pt>
                <c:pt idx="165">
                  <c:v>-15160.92317657608</c:v>
                </c:pt>
                <c:pt idx="166">
                  <c:v>-15137.87733646706</c:v>
                </c:pt>
                <c:pt idx="167">
                  <c:v>-15117.36692183767</c:v>
                </c:pt>
                <c:pt idx="168">
                  <c:v>-15077.2102730043</c:v>
                </c:pt>
                <c:pt idx="169">
                  <c:v>-15077.69460369085</c:v>
                </c:pt>
                <c:pt idx="170">
                  <c:v>-15044.66041903719</c:v>
                </c:pt>
                <c:pt idx="171">
                  <c:v>-15048.02871864556</c:v>
                </c:pt>
                <c:pt idx="172">
                  <c:v>-15021.77037522473</c:v>
                </c:pt>
                <c:pt idx="173">
                  <c:v>-14996.71320344989</c:v>
                </c:pt>
                <c:pt idx="174">
                  <c:v>-15009.68757154033</c:v>
                </c:pt>
                <c:pt idx="175">
                  <c:v>-14990.70512229523</c:v>
                </c:pt>
                <c:pt idx="176">
                  <c:v>-14989.65709518419</c:v>
                </c:pt>
                <c:pt idx="177">
                  <c:v>-14962.36777053193</c:v>
                </c:pt>
                <c:pt idx="178">
                  <c:v>-14963.48933970446</c:v>
                </c:pt>
                <c:pt idx="179">
                  <c:v>-14957.96180779668</c:v>
                </c:pt>
                <c:pt idx="180">
                  <c:v>-14935.24280301341</c:v>
                </c:pt>
                <c:pt idx="181">
                  <c:v>-14927.93885696681</c:v>
                </c:pt>
                <c:pt idx="182">
                  <c:v>-14900.4772975251</c:v>
                </c:pt>
                <c:pt idx="183">
                  <c:v>-14899.18535136159</c:v>
                </c:pt>
                <c:pt idx="184">
                  <c:v>-14865.38228835747</c:v>
                </c:pt>
                <c:pt idx="185">
                  <c:v>-14832.43579068597</c:v>
                </c:pt>
                <c:pt idx="186">
                  <c:v>-14808.45252833262</c:v>
                </c:pt>
                <c:pt idx="187">
                  <c:v>-14782.67707578216</c:v>
                </c:pt>
                <c:pt idx="188">
                  <c:v>-14738.23242765449</c:v>
                </c:pt>
                <c:pt idx="189">
                  <c:v>-14707.45207685315</c:v>
                </c:pt>
                <c:pt idx="190">
                  <c:v>-14691.44056988867</c:v>
                </c:pt>
                <c:pt idx="191">
                  <c:v>-14667.57878992478</c:v>
                </c:pt>
                <c:pt idx="192">
                  <c:v>-14634.61540487177</c:v>
                </c:pt>
                <c:pt idx="193">
                  <c:v>-14587.24542802724</c:v>
                </c:pt>
                <c:pt idx="194">
                  <c:v>-14562.84009242955</c:v>
                </c:pt>
                <c:pt idx="195">
                  <c:v>-14538.65729741616</c:v>
                </c:pt>
                <c:pt idx="196">
                  <c:v>-14517.20431886105</c:v>
                </c:pt>
                <c:pt idx="197">
                  <c:v>-14465.60751071009</c:v>
                </c:pt>
                <c:pt idx="198">
                  <c:v>-14457.14875749389</c:v>
                </c:pt>
                <c:pt idx="199">
                  <c:v>-14444.44571473639</c:v>
                </c:pt>
                <c:pt idx="200">
                  <c:v>-14421.3716957116</c:v>
                </c:pt>
                <c:pt idx="201">
                  <c:v>-14410.52932277614</c:v>
                </c:pt>
                <c:pt idx="202">
                  <c:v>-14423.32421280072</c:v>
                </c:pt>
                <c:pt idx="203">
                  <c:v>-14417.78862340636</c:v>
                </c:pt>
                <c:pt idx="204">
                  <c:v>-14402.52555752637</c:v>
                </c:pt>
                <c:pt idx="205">
                  <c:v>-14403.19673365668</c:v>
                </c:pt>
                <c:pt idx="206">
                  <c:v>-14406.00900589103</c:v>
                </c:pt>
                <c:pt idx="207">
                  <c:v>-14420.33737485911</c:v>
                </c:pt>
                <c:pt idx="208">
                  <c:v>-14429.3170091014</c:v>
                </c:pt>
                <c:pt idx="209">
                  <c:v>-14454.31784940987</c:v>
                </c:pt>
                <c:pt idx="210">
                  <c:v>-14461.64969716686</c:v>
                </c:pt>
                <c:pt idx="211">
                  <c:v>-14450.12031162774</c:v>
                </c:pt>
                <c:pt idx="212">
                  <c:v>-14467.92176162272</c:v>
                </c:pt>
                <c:pt idx="213">
                  <c:v>-14486.90903684283</c:v>
                </c:pt>
                <c:pt idx="214">
                  <c:v>-14488.62705535999</c:v>
                </c:pt>
                <c:pt idx="215">
                  <c:v>-14496.88439001302</c:v>
                </c:pt>
                <c:pt idx="216">
                  <c:v>-14473.24104630381</c:v>
                </c:pt>
                <c:pt idx="217">
                  <c:v>-14482.13232815153</c:v>
                </c:pt>
                <c:pt idx="218">
                  <c:v>-14484.7861700487</c:v>
                </c:pt>
                <c:pt idx="219">
                  <c:v>-14475.49394203273</c:v>
                </c:pt>
                <c:pt idx="220">
                  <c:v>-14474.58089026549</c:v>
                </c:pt>
                <c:pt idx="221">
                  <c:v>-14448.73823959726</c:v>
                </c:pt>
                <c:pt idx="222">
                  <c:v>-14448.08289278325</c:v>
                </c:pt>
                <c:pt idx="223">
                  <c:v>-14422.31770484941</c:v>
                </c:pt>
                <c:pt idx="224">
                  <c:v>-14414.27390644219</c:v>
                </c:pt>
                <c:pt idx="225">
                  <c:v>-14418.37708868726</c:v>
                </c:pt>
                <c:pt idx="226">
                  <c:v>-14397.33971434964</c:v>
                </c:pt>
                <c:pt idx="227">
                  <c:v>-14401.64787372049</c:v>
                </c:pt>
                <c:pt idx="228">
                  <c:v>-14402.86104028278</c:v>
                </c:pt>
                <c:pt idx="229">
                  <c:v>-14410.45627976571</c:v>
                </c:pt>
                <c:pt idx="230">
                  <c:v>-14399.26031512111</c:v>
                </c:pt>
                <c:pt idx="231">
                  <c:v>-14408.53292377112</c:v>
                </c:pt>
                <c:pt idx="232">
                  <c:v>-14406.22123249475</c:v>
                </c:pt>
                <c:pt idx="233">
                  <c:v>-14405.38920533039</c:v>
                </c:pt>
                <c:pt idx="234">
                  <c:v>-14396.1613891879</c:v>
                </c:pt>
                <c:pt idx="235">
                  <c:v>-14424.63670815447</c:v>
                </c:pt>
                <c:pt idx="236">
                  <c:v>-14409.06849003634</c:v>
                </c:pt>
                <c:pt idx="237">
                  <c:v>-14419.07997746522</c:v>
                </c:pt>
                <c:pt idx="238">
                  <c:v>-14415.82151908674</c:v>
                </c:pt>
                <c:pt idx="239">
                  <c:v>-14446.88329094121</c:v>
                </c:pt>
                <c:pt idx="240">
                  <c:v>-14437.78971669281</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Scenario Comparison: Thin / Medium / Thick Ice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Thin shell</c:v>
          </c:tx>
          <c:spPr>
            <a:ln xmlns:a="http://schemas.openxmlformats.org/drawingml/2006/mai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7996.088912299519</c:v>
                </c:pt>
                <c:pt idx="1">
                  <c:v>8001.821515154816</c:v>
                </c:pt>
                <c:pt idx="2">
                  <c:v>8006.536030344385</c:v>
                </c:pt>
                <c:pt idx="3">
                  <c:v>8009.598888948561</c:v>
                </c:pt>
                <c:pt idx="4">
                  <c:v>8015.219090033506</c:v>
                </c:pt>
                <c:pt idx="5">
                  <c:v>8018.084327288422</c:v>
                </c:pt>
                <c:pt idx="6">
                  <c:v>8022.298366618998</c:v>
                </c:pt>
                <c:pt idx="7">
                  <c:v>8025.874624003637</c:v>
                </c:pt>
                <c:pt idx="8">
                  <c:v>8027.555054345503</c:v>
                </c:pt>
                <c:pt idx="9">
                  <c:v>8031.481061615159</c:v>
                </c:pt>
                <c:pt idx="10">
                  <c:v>8033.469381447122</c:v>
                </c:pt>
                <c:pt idx="11">
                  <c:v>8035.001782376202</c:v>
                </c:pt>
                <c:pt idx="12">
                  <c:v>8037.544605893131</c:v>
                </c:pt>
                <c:pt idx="13">
                  <c:v>8038.556845605861</c:v>
                </c:pt>
                <c:pt idx="14">
                  <c:v>8040.353587525276</c:v>
                </c:pt>
                <c:pt idx="15">
                  <c:v>8041.673129544521</c:v>
                </c:pt>
                <c:pt idx="16">
                  <c:v>8042.39528878915</c:v>
                </c:pt>
                <c:pt idx="17">
                  <c:v>8042.303526685599</c:v>
                </c:pt>
                <c:pt idx="18">
                  <c:v>8044.248342248726</c:v>
                </c:pt>
                <c:pt idx="19">
                  <c:v>8045.40287839321</c:v>
                </c:pt>
                <c:pt idx="20">
                  <c:v>8044.306757465009</c:v>
                </c:pt>
                <c:pt idx="21">
                  <c:v>8045.972356978131</c:v>
                </c:pt>
                <c:pt idx="22">
                  <c:v>8045.520933310673</c:v>
                </c:pt>
                <c:pt idx="23">
                  <c:v>8045.87604864498</c:v>
                </c:pt>
                <c:pt idx="24">
                  <c:v>8046.689005411757</c:v>
                </c:pt>
                <c:pt idx="25">
                  <c:v>8045.698733138266</c:v>
                </c:pt>
                <c:pt idx="26">
                  <c:v>8045.913337720782</c:v>
                </c:pt>
                <c:pt idx="27">
                  <c:v>8045.294230654216</c:v>
                </c:pt>
                <c:pt idx="28">
                  <c:v>8045.767723882408</c:v>
                </c:pt>
                <c:pt idx="29">
                  <c:v>8045.410773437156</c:v>
                </c:pt>
                <c:pt idx="30">
                  <c:v>8045.994698136337</c:v>
                </c:pt>
                <c:pt idx="31">
                  <c:v>8045.386241685816</c:v>
                </c:pt>
                <c:pt idx="32">
                  <c:v>8044.251327351211</c:v>
                </c:pt>
                <c:pt idx="33">
                  <c:v>8042.092681745813</c:v>
                </c:pt>
                <c:pt idx="34">
                  <c:v>8043.031259389852</c:v>
                </c:pt>
                <c:pt idx="35">
                  <c:v>8041.503126501602</c:v>
                </c:pt>
                <c:pt idx="36">
                  <c:v>8040.893442592906</c:v>
                </c:pt>
                <c:pt idx="37">
                  <c:v>8039.362256559761</c:v>
                </c:pt>
                <c:pt idx="38">
                  <c:v>8037.492797292804</c:v>
                </c:pt>
                <c:pt idx="39">
                  <c:v>8034.935984604644</c:v>
                </c:pt>
                <c:pt idx="40">
                  <c:v>8033.055222966546</c:v>
                </c:pt>
                <c:pt idx="41">
                  <c:v>8031.480101521523</c:v>
                </c:pt>
                <c:pt idx="42">
                  <c:v>8031.511934740909</c:v>
                </c:pt>
                <c:pt idx="43">
                  <c:v>8028.297289467352</c:v>
                </c:pt>
                <c:pt idx="44">
                  <c:v>8027.962690900118</c:v>
                </c:pt>
                <c:pt idx="45">
                  <c:v>8024.310620765768</c:v>
                </c:pt>
                <c:pt idx="46">
                  <c:v>8023.843308857291</c:v>
                </c:pt>
                <c:pt idx="47">
                  <c:v>8021.119365335556</c:v>
                </c:pt>
                <c:pt idx="48">
                  <c:v>8020.156442195234</c:v>
                </c:pt>
                <c:pt idx="49">
                  <c:v>8019.156720754509</c:v>
                </c:pt>
                <c:pt idx="50">
                  <c:v>8019.621129085209</c:v>
                </c:pt>
                <c:pt idx="51">
                  <c:v>8017.271697604839</c:v>
                </c:pt>
                <c:pt idx="52">
                  <c:v>8017.695811357779</c:v>
                </c:pt>
                <c:pt idx="53">
                  <c:v>8017.950908012919</c:v>
                </c:pt>
                <c:pt idx="54">
                  <c:v>8018.156655620427</c:v>
                </c:pt>
                <c:pt idx="55">
                  <c:v>8019.047133377165</c:v>
                </c:pt>
                <c:pt idx="56">
                  <c:v>8021.723638918307</c:v>
                </c:pt>
                <c:pt idx="57">
                  <c:v>8022.881478893372</c:v>
                </c:pt>
                <c:pt idx="58">
                  <c:v>8025.641856664681</c:v>
                </c:pt>
                <c:pt idx="59">
                  <c:v>8029.754305631838</c:v>
                </c:pt>
                <c:pt idx="60">
                  <c:v>8033.256420538498</c:v>
                </c:pt>
                <c:pt idx="61">
                  <c:v>8037.850672025416</c:v>
                </c:pt>
                <c:pt idx="62">
                  <c:v>8041.590406655326</c:v>
                </c:pt>
                <c:pt idx="63">
                  <c:v>8047.843442933746</c:v>
                </c:pt>
                <c:pt idx="64">
                  <c:v>8052.618126727684</c:v>
                </c:pt>
                <c:pt idx="65">
                  <c:v>8059.321184591169</c:v>
                </c:pt>
                <c:pt idx="66">
                  <c:v>8065.770106179872</c:v>
                </c:pt>
                <c:pt idx="67">
                  <c:v>8071.986345473626</c:v>
                </c:pt>
                <c:pt idx="68">
                  <c:v>8080.187357331415</c:v>
                </c:pt>
                <c:pt idx="69">
                  <c:v>8087.385657499625</c:v>
                </c:pt>
                <c:pt idx="70">
                  <c:v>8095.909883748433</c:v>
                </c:pt>
                <c:pt idx="71">
                  <c:v>8102.749079407444</c:v>
                </c:pt>
                <c:pt idx="72">
                  <c:v>8111.891547287535</c:v>
                </c:pt>
                <c:pt idx="73">
                  <c:v>8120.454712106832</c:v>
                </c:pt>
                <c:pt idx="74">
                  <c:v>8129.436436959171</c:v>
                </c:pt>
                <c:pt idx="75">
                  <c:v>8138.735358937695</c:v>
                </c:pt>
                <c:pt idx="76">
                  <c:v>8146.709947772641</c:v>
                </c:pt>
                <c:pt idx="77">
                  <c:v>8156.189360286508</c:v>
                </c:pt>
                <c:pt idx="78">
                  <c:v>8168.420937880536</c:v>
                </c:pt>
                <c:pt idx="79">
                  <c:v>8177.977217686575</c:v>
                </c:pt>
                <c:pt idx="80">
                  <c:v>8190.289834213469</c:v>
                </c:pt>
                <c:pt idx="81">
                  <c:v>8200.60700989486</c:v>
                </c:pt>
                <c:pt idx="82">
                  <c:v>8212.701549419578</c:v>
                </c:pt>
                <c:pt idx="83">
                  <c:v>8226.142770509023</c:v>
                </c:pt>
                <c:pt idx="84">
                  <c:v>8237.473834835606</c:v>
                </c:pt>
                <c:pt idx="85">
                  <c:v>8250.768839943496</c:v>
                </c:pt>
                <c:pt idx="86">
                  <c:v>8265.969507501748</c:v>
                </c:pt>
                <c:pt idx="87">
                  <c:v>8279.807482504884</c:v>
                </c:pt>
                <c:pt idx="88">
                  <c:v>8292.34757987576</c:v>
                </c:pt>
                <c:pt idx="89">
                  <c:v>8307.778296695627</c:v>
                </c:pt>
                <c:pt idx="90">
                  <c:v>8321.933762091852</c:v>
                </c:pt>
                <c:pt idx="91">
                  <c:v>8336.512423282888</c:v>
                </c:pt>
                <c:pt idx="92">
                  <c:v>8352.283166129864</c:v>
                </c:pt>
                <c:pt idx="93">
                  <c:v>8368.052164581079</c:v>
                </c:pt>
                <c:pt idx="94">
                  <c:v>8382.707683419376</c:v>
                </c:pt>
                <c:pt idx="95">
                  <c:v>8397.336953082451</c:v>
                </c:pt>
                <c:pt idx="96">
                  <c:v>8414.127523107381</c:v>
                </c:pt>
                <c:pt idx="97">
                  <c:v>8428.537756898164</c:v>
                </c:pt>
                <c:pt idx="98">
                  <c:v>8444.321525428157</c:v>
                </c:pt>
                <c:pt idx="99">
                  <c:v>8459.818996517155</c:v>
                </c:pt>
                <c:pt idx="100">
                  <c:v>8475.779809867217</c:v>
                </c:pt>
                <c:pt idx="101">
                  <c:v>8491.884620437115</c:v>
                </c:pt>
                <c:pt idx="102">
                  <c:v>8507.081317651424</c:v>
                </c:pt>
                <c:pt idx="103">
                  <c:v>8524.50022887121</c:v>
                </c:pt>
                <c:pt idx="104">
                  <c:v>8539.103321046068</c:v>
                </c:pt>
                <c:pt idx="105">
                  <c:v>8555.136226679006</c:v>
                </c:pt>
                <c:pt idx="106">
                  <c:v>8572.684138800305</c:v>
                </c:pt>
                <c:pt idx="107">
                  <c:v>8586.941055929334</c:v>
                </c:pt>
                <c:pt idx="108">
                  <c:v>8602.582505264356</c:v>
                </c:pt>
                <c:pt idx="109">
                  <c:v>8618.161629126793</c:v>
                </c:pt>
                <c:pt idx="110">
                  <c:v>8633.47890144708</c:v>
                </c:pt>
                <c:pt idx="111">
                  <c:v>8647.910577927321</c:v>
                </c:pt>
                <c:pt idx="112">
                  <c:v>8661.558044637015</c:v>
                </c:pt>
                <c:pt idx="113">
                  <c:v>8676.679781890896</c:v>
                </c:pt>
                <c:pt idx="114">
                  <c:v>8688.631887758374</c:v>
                </c:pt>
                <c:pt idx="115">
                  <c:v>8701.285424554593</c:v>
                </c:pt>
                <c:pt idx="116">
                  <c:v>8712.420071756085</c:v>
                </c:pt>
                <c:pt idx="117">
                  <c:v>8724.635889998248</c:v>
                </c:pt>
                <c:pt idx="118">
                  <c:v>8735.24288308498</c:v>
                </c:pt>
                <c:pt idx="119">
                  <c:v>8743.558916414528</c:v>
                </c:pt>
                <c:pt idx="120">
                  <c:v>8753.44237939705</c:v>
                </c:pt>
                <c:pt idx="121">
                  <c:v>8763.094751773006</c:v>
                </c:pt>
                <c:pt idx="122">
                  <c:v>8771.230319953058</c:v>
                </c:pt>
                <c:pt idx="123">
                  <c:v>8778.45475968897</c:v>
                </c:pt>
                <c:pt idx="124">
                  <c:v>8785.220212838849</c:v>
                </c:pt>
                <c:pt idx="125">
                  <c:v>8791.57115773899</c:v>
                </c:pt>
                <c:pt idx="126">
                  <c:v>8799.471709096597</c:v>
                </c:pt>
                <c:pt idx="127">
                  <c:v>8803.743850808403</c:v>
                </c:pt>
                <c:pt idx="128">
                  <c:v>8809.47979551601</c:v>
                </c:pt>
                <c:pt idx="129">
                  <c:v>8813.931494756434</c:v>
                </c:pt>
                <c:pt idx="130">
                  <c:v>8819.78633485516</c:v>
                </c:pt>
                <c:pt idx="131">
                  <c:v>8824.160894534049</c:v>
                </c:pt>
                <c:pt idx="132">
                  <c:v>8827.59256292369</c:v>
                </c:pt>
                <c:pt idx="133">
                  <c:v>8830.60686355758</c:v>
                </c:pt>
                <c:pt idx="134">
                  <c:v>8831.452629000176</c:v>
                </c:pt>
                <c:pt idx="135">
                  <c:v>8834.758382189251</c:v>
                </c:pt>
                <c:pt idx="136">
                  <c:v>8835.473151995233</c:v>
                </c:pt>
                <c:pt idx="137">
                  <c:v>8836.370944056218</c:v>
                </c:pt>
                <c:pt idx="138">
                  <c:v>8835.09508379105</c:v>
                </c:pt>
                <c:pt idx="139">
                  <c:v>8833.481656457074</c:v>
                </c:pt>
                <c:pt idx="140">
                  <c:v>8832.809151307309</c:v>
                </c:pt>
                <c:pt idx="141">
                  <c:v>8830.853554304658</c:v>
                </c:pt>
                <c:pt idx="142">
                  <c:v>8826.431045158495</c:v>
                </c:pt>
                <c:pt idx="143">
                  <c:v>8822.687296629467</c:v>
                </c:pt>
                <c:pt idx="144">
                  <c:v>8818.369352865468</c:v>
                </c:pt>
                <c:pt idx="145">
                  <c:v>8811.638675122555</c:v>
                </c:pt>
                <c:pt idx="146">
                  <c:v>8805.545098242746</c:v>
                </c:pt>
                <c:pt idx="147">
                  <c:v>8799.956423453128</c:v>
                </c:pt>
                <c:pt idx="148">
                  <c:v>8791.92963783986</c:v>
                </c:pt>
                <c:pt idx="149">
                  <c:v>8783.356604592489</c:v>
                </c:pt>
                <c:pt idx="150">
                  <c:v>8775.681202365238</c:v>
                </c:pt>
                <c:pt idx="151">
                  <c:v>8766.47681286838</c:v>
                </c:pt>
                <c:pt idx="152">
                  <c:v>8756.074444534455</c:v>
                </c:pt>
                <c:pt idx="153">
                  <c:v>8745.04878512849</c:v>
                </c:pt>
                <c:pt idx="154">
                  <c:v>8734.219995300244</c:v>
                </c:pt>
                <c:pt idx="155">
                  <c:v>8721.899027690812</c:v>
                </c:pt>
                <c:pt idx="156">
                  <c:v>8709.487988257199</c:v>
                </c:pt>
                <c:pt idx="157">
                  <c:v>8697.253636372301</c:v>
                </c:pt>
                <c:pt idx="158">
                  <c:v>8683.15891817375</c:v>
                </c:pt>
                <c:pt idx="159">
                  <c:v>8669.27771700575</c:v>
                </c:pt>
                <c:pt idx="160">
                  <c:v>8655.402741628599</c:v>
                </c:pt>
                <c:pt idx="161">
                  <c:v>8641.144189619617</c:v>
                </c:pt>
                <c:pt idx="162">
                  <c:v>8626.809712809134</c:v>
                </c:pt>
                <c:pt idx="163">
                  <c:v>8611.912324278874</c:v>
                </c:pt>
                <c:pt idx="164">
                  <c:v>8596.681502888743</c:v>
                </c:pt>
                <c:pt idx="165">
                  <c:v>8581.887846460644</c:v>
                </c:pt>
                <c:pt idx="166">
                  <c:v>8566.803457067786</c:v>
                </c:pt>
                <c:pt idx="167">
                  <c:v>8551.719012452904</c:v>
                </c:pt>
                <c:pt idx="168">
                  <c:v>8535.160029140263</c:v>
                </c:pt>
                <c:pt idx="169">
                  <c:v>8521.222369569274</c:v>
                </c:pt>
                <c:pt idx="170">
                  <c:v>8504.920871636758</c:v>
                </c:pt>
                <c:pt idx="171">
                  <c:v>8491.002096269993</c:v>
                </c:pt>
                <c:pt idx="172">
                  <c:v>8475.0299239335</c:v>
                </c:pt>
                <c:pt idx="173">
                  <c:v>8459.110188473867</c:v>
                </c:pt>
                <c:pt idx="174">
                  <c:v>8445.753967422725</c:v>
                </c:pt>
                <c:pt idx="175">
                  <c:v>8430.257144364587</c:v>
                </c:pt>
                <c:pt idx="176">
                  <c:v>8416.012436355251</c:v>
                </c:pt>
                <c:pt idx="177">
                  <c:v>8400.058566450718</c:v>
                </c:pt>
                <c:pt idx="178">
                  <c:v>8386.109077440136</c:v>
                </c:pt>
                <c:pt idx="179">
                  <c:v>8371.817556820506</c:v>
                </c:pt>
                <c:pt idx="180">
                  <c:v>8356.493111128899</c:v>
                </c:pt>
                <c:pt idx="181">
                  <c:v>8342.358748036087</c:v>
                </c:pt>
                <c:pt idx="182">
                  <c:v>8327.031801321893</c:v>
                </c:pt>
                <c:pt idx="183">
                  <c:v>8313.660809352465</c:v>
                </c:pt>
                <c:pt idx="184">
                  <c:v>8298.300995478645</c:v>
                </c:pt>
                <c:pt idx="185">
                  <c:v>8283.224175964537</c:v>
                </c:pt>
                <c:pt idx="186">
                  <c:v>8268.995190802889</c:v>
                </c:pt>
                <c:pt idx="187">
                  <c:v>8254.90407538211</c:v>
                </c:pt>
                <c:pt idx="188">
                  <c:v>8239.826570328545</c:v>
                </c:pt>
                <c:pt idx="189">
                  <c:v>8225.96143205726</c:v>
                </c:pt>
                <c:pt idx="190">
                  <c:v>8213.397212905</c:v>
                </c:pt>
                <c:pt idx="191">
                  <c:v>8200.619169944104</c:v>
                </c:pt>
                <c:pt idx="192">
                  <c:v>8187.554890852266</c:v>
                </c:pt>
                <c:pt idx="193">
                  <c:v>8173.857209666211</c:v>
                </c:pt>
                <c:pt idx="194">
                  <c:v>8162.060503251606</c:v>
                </c:pt>
                <c:pt idx="195">
                  <c:v>8150.637871081966</c:v>
                </c:pt>
                <c:pt idx="196">
                  <c:v>8139.766847701806</c:v>
                </c:pt>
                <c:pt idx="197">
                  <c:v>8127.23418652605</c:v>
                </c:pt>
                <c:pt idx="198">
                  <c:v>8117.995768944417</c:v>
                </c:pt>
                <c:pt idx="199">
                  <c:v>8108.856315804299</c:v>
                </c:pt>
                <c:pt idx="200">
                  <c:v>8099.406077688131</c:v>
                </c:pt>
                <c:pt idx="201">
                  <c:v>8091.1747558352</c:v>
                </c:pt>
                <c:pt idx="202">
                  <c:v>8084.934726296439</c:v>
                </c:pt>
                <c:pt idx="203">
                  <c:v>8077.852290432748</c:v>
                </c:pt>
                <c:pt idx="204">
                  <c:v>8070.508467801601</c:v>
                </c:pt>
                <c:pt idx="205">
                  <c:v>8064.635473836378</c:v>
                </c:pt>
                <c:pt idx="206">
                  <c:v>8059.299586653292</c:v>
                </c:pt>
                <c:pt idx="207">
                  <c:v>8055.130961604242</c:v>
                </c:pt>
                <c:pt idx="208">
                  <c:v>8050.98644292235</c:v>
                </c:pt>
                <c:pt idx="209">
                  <c:v>8048.304447046679</c:v>
                </c:pt>
                <c:pt idx="210">
                  <c:v>8044.803486324438</c:v>
                </c:pt>
                <c:pt idx="211">
                  <c:v>8040.396205327817</c:v>
                </c:pt>
                <c:pt idx="212">
                  <c:v>8038.329976999688</c:v>
                </c:pt>
                <c:pt idx="213">
                  <c:v>8036.695223815555</c:v>
                </c:pt>
                <c:pt idx="214">
                  <c:v>8034.236045042047</c:v>
                </c:pt>
                <c:pt idx="215">
                  <c:v>8032.55040513217</c:v>
                </c:pt>
                <c:pt idx="216">
                  <c:v>8029.031010021199</c:v>
                </c:pt>
                <c:pt idx="217">
                  <c:v>8028.018447367374</c:v>
                </c:pt>
                <c:pt idx="218">
                  <c:v>8026.88160655661</c:v>
                </c:pt>
                <c:pt idx="219">
                  <c:v>8025.221975291202</c:v>
                </c:pt>
                <c:pt idx="220">
                  <c:v>8024.398878035481</c:v>
                </c:pt>
                <c:pt idx="221">
                  <c:v>8022.148442197804</c:v>
                </c:pt>
                <c:pt idx="222">
                  <c:v>8021.841184011073</c:v>
                </c:pt>
                <c:pt idx="223">
                  <c:v>8020.064809908074</c:v>
                </c:pt>
                <c:pt idx="224">
                  <c:v>8019.696865887585</c:v>
                </c:pt>
                <c:pt idx="225">
                  <c:v>8020.345031907515</c:v>
                </c:pt>
                <c:pt idx="226">
                  <c:v>8019.474647395656</c:v>
                </c:pt>
                <c:pt idx="227">
                  <c:v>8020.479357501349</c:v>
                </c:pt>
                <c:pt idx="228">
                  <c:v>8021.421585341412</c:v>
                </c:pt>
                <c:pt idx="229">
                  <c:v>8022.924691447567</c:v>
                </c:pt>
                <c:pt idx="230">
                  <c:v>8023.271506241717</c:v>
                </c:pt>
                <c:pt idx="231">
                  <c:v>8025.096856175132</c:v>
                </c:pt>
                <c:pt idx="232">
                  <c:v>8026.218825969351</c:v>
                </c:pt>
                <c:pt idx="233">
                  <c:v>8027.502906598964</c:v>
                </c:pt>
                <c:pt idx="234">
                  <c:v>8028.26526395272</c:v>
                </c:pt>
                <c:pt idx="235">
                  <c:v>8031.602931464826</c:v>
                </c:pt>
                <c:pt idx="236">
                  <c:v>8031.977949506607</c:v>
                </c:pt>
                <c:pt idx="237">
                  <c:v>8034.076707923607</c:v>
                </c:pt>
                <c:pt idx="238">
                  <c:v>8035.259208302732</c:v>
                </c:pt>
                <c:pt idx="239">
                  <c:v>8038.724269050503</c:v>
                </c:pt>
                <c:pt idx="240">
                  <c:v>8039.426300337827</c:v>
                </c:pt>
              </c:numCache>
            </c:numRef>
          </c:yVal>
        </c:ser>
        <c:ser>
          <c:idx val="1"/>
          <c:order val="1"/>
          <c:tx>
            <c:v>Medium shell</c:v>
          </c:tx>
          <c:spPr>
            <a:ln xmlns:a="http://schemas.openxmlformats.org/drawingml/2006/mai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2"/>
          <c:order val="2"/>
          <c:tx>
            <c:v>Thick shell</c:v>
          </c:tx>
          <c:spPr>
            <a:ln xmlns:a="http://schemas.openxmlformats.org/drawingml/2006/mai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25442.10108458938</c:v>
                </c:pt>
                <c:pt idx="1">
                  <c:v>25460.3411845835</c:v>
                </c:pt>
                <c:pt idx="2">
                  <c:v>25475.34191473213</c:v>
                </c:pt>
                <c:pt idx="3">
                  <c:v>25485.08737392724</c:v>
                </c:pt>
                <c:pt idx="4">
                  <c:v>25502.96983192479</c:v>
                </c:pt>
                <c:pt idx="5">
                  <c:v>25512.08649591771</c:v>
                </c:pt>
                <c:pt idx="6">
                  <c:v>25525.49480287863</c:v>
                </c:pt>
                <c:pt idx="7">
                  <c:v>25536.87380364793</c:v>
                </c:pt>
                <c:pt idx="8">
                  <c:v>25542.22062746296</c:v>
                </c:pt>
                <c:pt idx="9">
                  <c:v>25554.7124687755</c:v>
                </c:pt>
                <c:pt idx="10">
                  <c:v>25561.03894096812</c:v>
                </c:pt>
                <c:pt idx="11">
                  <c:v>25565.91476210609</c:v>
                </c:pt>
                <c:pt idx="12">
                  <c:v>25574.00556420541</c:v>
                </c:pt>
                <c:pt idx="13">
                  <c:v>25577.22632692774</c:v>
                </c:pt>
                <c:pt idx="14">
                  <c:v>25582.94323303497</c:v>
                </c:pt>
                <c:pt idx="15">
                  <c:v>25587.14177582347</c:v>
                </c:pt>
                <c:pt idx="16">
                  <c:v>25589.4395552382</c:v>
                </c:pt>
                <c:pt idx="17">
                  <c:v>25589.14758490872</c:v>
                </c:pt>
                <c:pt idx="18">
                  <c:v>25595.33563442776</c:v>
                </c:pt>
                <c:pt idx="19">
                  <c:v>25599.00915852385</c:v>
                </c:pt>
                <c:pt idx="20">
                  <c:v>25595.52150102503</c:v>
                </c:pt>
                <c:pt idx="21">
                  <c:v>25600.82113583951</c:v>
                </c:pt>
                <c:pt idx="22">
                  <c:v>25599.38478780668</c:v>
                </c:pt>
                <c:pt idx="23">
                  <c:v>25600.51470023403</c:v>
                </c:pt>
                <c:pt idx="24">
                  <c:v>25603.10138085559</c:v>
                </c:pt>
                <c:pt idx="25">
                  <c:v>25599.95051453084</c:v>
                </c:pt>
                <c:pt idx="26">
                  <c:v>25600.63334729339</c:v>
                </c:pt>
                <c:pt idx="27">
                  <c:v>25598.6634611725</c:v>
                </c:pt>
                <c:pt idx="28">
                  <c:v>25600.17003053493</c:v>
                </c:pt>
                <c:pt idx="29">
                  <c:v>25599.03427911822</c:v>
                </c:pt>
                <c:pt idx="30">
                  <c:v>25600.89222134289</c:v>
                </c:pt>
                <c:pt idx="31">
                  <c:v>25598.95622354578</c:v>
                </c:pt>
                <c:pt idx="32">
                  <c:v>25595.34513248112</c:v>
                </c:pt>
                <c:pt idx="33">
                  <c:v>25588.47671464577</c:v>
                </c:pt>
                <c:pt idx="34">
                  <c:v>25591.46309805862</c:v>
                </c:pt>
                <c:pt idx="35">
                  <c:v>25586.60085705055</c:v>
                </c:pt>
                <c:pt idx="36">
                  <c:v>25584.6609537047</c:v>
                </c:pt>
                <c:pt idx="37">
                  <c:v>25579.78899814469</c:v>
                </c:pt>
                <c:pt idx="38">
                  <c:v>25573.84071865892</c:v>
                </c:pt>
                <c:pt idx="39">
                  <c:v>25565.70540556023</c:v>
                </c:pt>
                <c:pt idx="40">
                  <c:v>25559.72116398446</c:v>
                </c:pt>
                <c:pt idx="41">
                  <c:v>25554.70941393211</c:v>
                </c:pt>
                <c:pt idx="42">
                  <c:v>25554.81070144834</c:v>
                </c:pt>
                <c:pt idx="43">
                  <c:v>25544.58228466885</c:v>
                </c:pt>
                <c:pt idx="44">
                  <c:v>25543.51765286401</c:v>
                </c:pt>
                <c:pt idx="45">
                  <c:v>25531.89742970926</c:v>
                </c:pt>
                <c:pt idx="46">
                  <c:v>25530.41052818229</c:v>
                </c:pt>
                <c:pt idx="47">
                  <c:v>25521.74343515858</c:v>
                </c:pt>
                <c:pt idx="48">
                  <c:v>25518.67958880302</c:v>
                </c:pt>
                <c:pt idx="49">
                  <c:v>25515.49865694616</c:v>
                </c:pt>
                <c:pt idx="50">
                  <c:v>25516.97631981657</c:v>
                </c:pt>
                <c:pt idx="51">
                  <c:v>25509.50085601539</c:v>
                </c:pt>
                <c:pt idx="52">
                  <c:v>25510.85030886566</c:v>
                </c:pt>
                <c:pt idx="53">
                  <c:v>25511.6619800411</c:v>
                </c:pt>
                <c:pt idx="54">
                  <c:v>25512.31663151954</c:v>
                </c:pt>
                <c:pt idx="55">
                  <c:v>25515.14996983643</c:v>
                </c:pt>
                <c:pt idx="56">
                  <c:v>25523.66612383098</c:v>
                </c:pt>
                <c:pt idx="57">
                  <c:v>25527.35016011527</c:v>
                </c:pt>
                <c:pt idx="58">
                  <c:v>25536.13318029671</c:v>
                </c:pt>
                <c:pt idx="59">
                  <c:v>25549.21824519221</c:v>
                </c:pt>
                <c:pt idx="60">
                  <c:v>25560.36133807704</c:v>
                </c:pt>
                <c:pt idx="61">
                  <c:v>25574.97941098996</c:v>
                </c:pt>
                <c:pt idx="62">
                  <c:v>25586.87856663058</c:v>
                </c:pt>
                <c:pt idx="63">
                  <c:v>25606.77459115283</c:v>
                </c:pt>
                <c:pt idx="64">
                  <c:v>25621.96676686081</c:v>
                </c:pt>
                <c:pt idx="65">
                  <c:v>25643.29467824463</c:v>
                </c:pt>
                <c:pt idx="66">
                  <c:v>25663.81397420868</c:v>
                </c:pt>
                <c:pt idx="67">
                  <c:v>25683.59291741608</c:v>
                </c:pt>
                <c:pt idx="68">
                  <c:v>25709.6870460545</c:v>
                </c:pt>
                <c:pt idx="69">
                  <c:v>25732.5907284079</c:v>
                </c:pt>
                <c:pt idx="70">
                  <c:v>25759.71326647228</c:v>
                </c:pt>
                <c:pt idx="71">
                  <c:v>25781.47434356914</c:v>
                </c:pt>
                <c:pt idx="72">
                  <c:v>25810.5640140967</c:v>
                </c:pt>
                <c:pt idx="73">
                  <c:v>25837.81044761264</c:v>
                </c:pt>
                <c:pt idx="74">
                  <c:v>25866.3886630519</c:v>
                </c:pt>
                <c:pt idx="75">
                  <c:v>25895.97614207448</c:v>
                </c:pt>
                <c:pt idx="76">
                  <c:v>25921.34983382203</c:v>
                </c:pt>
                <c:pt idx="77">
                  <c:v>25951.51160091161</c:v>
                </c:pt>
                <c:pt idx="78">
                  <c:v>25990.43025689261</c:v>
                </c:pt>
                <c:pt idx="79">
                  <c:v>26020.83660173001</c:v>
                </c:pt>
                <c:pt idx="80">
                  <c:v>26060.01310886104</c:v>
                </c:pt>
                <c:pt idx="81">
                  <c:v>26092.8404860291</c:v>
                </c:pt>
                <c:pt idx="82">
                  <c:v>26131.32311178956</c:v>
                </c:pt>
                <c:pt idx="83">
                  <c:v>26174.0906334378</c:v>
                </c:pt>
                <c:pt idx="84">
                  <c:v>26210.14401993147</c:v>
                </c:pt>
                <c:pt idx="85">
                  <c:v>26252.44630891112</c:v>
                </c:pt>
                <c:pt idx="86">
                  <c:v>26300.81206932374</c:v>
                </c:pt>
                <c:pt idx="87">
                  <c:v>26344.84198978826</c:v>
                </c:pt>
                <c:pt idx="88">
                  <c:v>26384.7422996047</c:v>
                </c:pt>
                <c:pt idx="89">
                  <c:v>26433.84003494063</c:v>
                </c:pt>
                <c:pt idx="90">
                  <c:v>26478.88015211044</c:v>
                </c:pt>
                <c:pt idx="91">
                  <c:v>26525.26680135464</c:v>
                </c:pt>
                <c:pt idx="92">
                  <c:v>26575.44643768593</c:v>
                </c:pt>
                <c:pt idx="93">
                  <c:v>26625.62052366707</c:v>
                </c:pt>
                <c:pt idx="94">
                  <c:v>26672.25171997074</c:v>
                </c:pt>
                <c:pt idx="95">
                  <c:v>26718.79939617143</c:v>
                </c:pt>
                <c:pt idx="96">
                  <c:v>26772.22393715985</c:v>
                </c:pt>
                <c:pt idx="97">
                  <c:v>26818.07468103961</c:v>
                </c:pt>
                <c:pt idx="98">
                  <c:v>26868.29576272595</c:v>
                </c:pt>
                <c:pt idx="99">
                  <c:v>26917.60589800913</c:v>
                </c:pt>
                <c:pt idx="100">
                  <c:v>26968.39030412296</c:v>
                </c:pt>
                <c:pt idx="101">
                  <c:v>27019.632883209</c:v>
                </c:pt>
                <c:pt idx="102">
                  <c:v>27067.98601070908</c:v>
                </c:pt>
                <c:pt idx="103">
                  <c:v>27123.40981913567</c:v>
                </c:pt>
                <c:pt idx="104">
                  <c:v>27169.87420332839</c:v>
                </c:pt>
                <c:pt idx="105">
                  <c:v>27220.88799397865</c:v>
                </c:pt>
                <c:pt idx="106">
                  <c:v>27276.72225981915</c:v>
                </c:pt>
                <c:pt idx="107">
                  <c:v>27322.08517795697</c:v>
                </c:pt>
                <c:pt idx="108">
                  <c:v>27371.85342584113</c:v>
                </c:pt>
                <c:pt idx="109">
                  <c:v>27421.42336540343</c:v>
                </c:pt>
                <c:pt idx="110">
                  <c:v>27470.16014096798</c:v>
                </c:pt>
                <c:pt idx="111">
                  <c:v>27516.07911158693</c:v>
                </c:pt>
                <c:pt idx="112">
                  <c:v>27559.50286929959</c:v>
                </c:pt>
                <c:pt idx="113">
                  <c:v>27607.61748783466</c:v>
                </c:pt>
                <c:pt idx="114">
                  <c:v>27645.64691559483</c:v>
                </c:pt>
                <c:pt idx="115">
                  <c:v>27685.90816903734</c:v>
                </c:pt>
                <c:pt idx="116">
                  <c:v>27721.33659195118</c:v>
                </c:pt>
                <c:pt idx="117">
                  <c:v>27760.20510453988</c:v>
                </c:pt>
                <c:pt idx="118">
                  <c:v>27793.95462799766</c:v>
                </c:pt>
                <c:pt idx="119">
                  <c:v>27820.41473404623</c:v>
                </c:pt>
                <c:pt idx="120">
                  <c:v>27851.86211626334</c:v>
                </c:pt>
                <c:pt idx="121">
                  <c:v>27882.57421018683</c:v>
                </c:pt>
                <c:pt idx="122">
                  <c:v>27908.46010894154</c:v>
                </c:pt>
                <c:pt idx="123">
                  <c:v>27931.44696264672</c:v>
                </c:pt>
                <c:pt idx="124">
                  <c:v>27952.97340448725</c:v>
                </c:pt>
                <c:pt idx="125">
                  <c:v>27973.18095644224</c:v>
                </c:pt>
                <c:pt idx="126">
                  <c:v>27998.31907439826</c:v>
                </c:pt>
                <c:pt idx="127">
                  <c:v>28011.91225257219</c:v>
                </c:pt>
                <c:pt idx="128">
                  <c:v>28030.16298573276</c:v>
                </c:pt>
                <c:pt idx="129">
                  <c:v>28044.32748331593</c:v>
                </c:pt>
                <c:pt idx="130">
                  <c:v>28062.95651999369</c:v>
                </c:pt>
                <c:pt idx="131">
                  <c:v>28076.87557351743</c:v>
                </c:pt>
                <c:pt idx="132">
                  <c:v>28087.79451839356</c:v>
                </c:pt>
                <c:pt idx="133">
                  <c:v>28097.38547495593</c:v>
                </c:pt>
                <c:pt idx="134">
                  <c:v>28100.07654681874</c:v>
                </c:pt>
                <c:pt idx="135">
                  <c:v>28110.59485242034</c:v>
                </c:pt>
                <c:pt idx="136">
                  <c:v>28112.86911998483</c:v>
                </c:pt>
                <c:pt idx="137">
                  <c:v>28115.72573108796</c:v>
                </c:pt>
                <c:pt idx="138">
                  <c:v>28111.66617569879</c:v>
                </c:pt>
                <c:pt idx="139">
                  <c:v>28106.5325432725</c:v>
                </c:pt>
                <c:pt idx="140">
                  <c:v>28104.39275415961</c:v>
                </c:pt>
                <c:pt idx="141">
                  <c:v>28098.17040006027</c:v>
                </c:pt>
                <c:pt idx="142">
                  <c:v>28084.09878004975</c:v>
                </c:pt>
                <c:pt idx="143">
                  <c:v>28072.18685291193</c:v>
                </c:pt>
                <c:pt idx="144">
                  <c:v>28058.44794093558</c:v>
                </c:pt>
                <c:pt idx="145">
                  <c:v>28037.03214811721</c:v>
                </c:pt>
                <c:pt idx="146">
                  <c:v>28017.64349440873</c:v>
                </c:pt>
                <c:pt idx="147">
                  <c:v>27999.86134735086</c:v>
                </c:pt>
                <c:pt idx="148">
                  <c:v>27974.32157494501</c:v>
                </c:pt>
                <c:pt idx="149">
                  <c:v>27947.04374188519</c:v>
                </c:pt>
                <c:pt idx="150">
                  <c:v>27922.62200752576</c:v>
                </c:pt>
                <c:pt idx="151">
                  <c:v>27893.33531367212</c:v>
                </c:pt>
                <c:pt idx="152">
                  <c:v>27860.23686897326</c:v>
                </c:pt>
                <c:pt idx="153">
                  <c:v>27825.15522540883</c:v>
                </c:pt>
                <c:pt idx="154">
                  <c:v>27790.69998504622</c:v>
                </c:pt>
                <c:pt idx="155">
                  <c:v>27751.49690628894</c:v>
                </c:pt>
                <c:pt idx="156">
                  <c:v>27712.00723536381</c:v>
                </c:pt>
                <c:pt idx="157">
                  <c:v>27673.07975209368</c:v>
                </c:pt>
                <c:pt idx="158">
                  <c:v>27628.23292146193</c:v>
                </c:pt>
                <c:pt idx="159">
                  <c:v>27584.06546320011</c:v>
                </c:pt>
                <c:pt idx="160">
                  <c:v>27539.91781427281</c:v>
                </c:pt>
                <c:pt idx="161">
                  <c:v>27494.54969424423</c:v>
                </c:pt>
                <c:pt idx="162">
                  <c:v>27448.93999530179</c:v>
                </c:pt>
                <c:pt idx="163">
                  <c:v>27401.5392136146</c:v>
                </c:pt>
                <c:pt idx="164">
                  <c:v>27353.07750919145</c:v>
                </c:pt>
                <c:pt idx="165">
                  <c:v>27306.00678419296</c:v>
                </c:pt>
                <c:pt idx="166">
                  <c:v>27258.01099976114</c:v>
                </c:pt>
                <c:pt idx="167">
                  <c:v>27210.01503962287</c:v>
                </c:pt>
                <c:pt idx="168">
                  <c:v>27157.32736544629</c:v>
                </c:pt>
                <c:pt idx="169">
                  <c:v>27112.98026681133</c:v>
                </c:pt>
                <c:pt idx="170">
                  <c:v>27061.11186429877</c:v>
                </c:pt>
                <c:pt idx="171">
                  <c:v>27016.82485176816</c:v>
                </c:pt>
                <c:pt idx="172">
                  <c:v>26966.00430342477</c:v>
                </c:pt>
                <c:pt idx="173">
                  <c:v>26915.35059968958</c:v>
                </c:pt>
                <c:pt idx="174">
                  <c:v>26872.85353270866</c:v>
                </c:pt>
                <c:pt idx="175">
                  <c:v>26823.54545934186</c:v>
                </c:pt>
                <c:pt idx="176">
                  <c:v>26778.22138840307</c:v>
                </c:pt>
                <c:pt idx="177">
                  <c:v>26727.45907507047</c:v>
                </c:pt>
                <c:pt idx="178">
                  <c:v>26683.07433730952</c:v>
                </c:pt>
                <c:pt idx="179">
                  <c:v>26637.60131715616</c:v>
                </c:pt>
                <c:pt idx="180">
                  <c:v>26588.84171722831</c:v>
                </c:pt>
                <c:pt idx="181">
                  <c:v>26543.86874375118</c:v>
                </c:pt>
                <c:pt idx="182">
                  <c:v>26495.1011860242</c:v>
                </c:pt>
                <c:pt idx="183">
                  <c:v>26452.55712066693</c:v>
                </c:pt>
                <c:pt idx="184">
                  <c:v>26403.68498561387</c:v>
                </c:pt>
                <c:pt idx="185">
                  <c:v>26355.71328715989</c:v>
                </c:pt>
                <c:pt idx="186">
                  <c:v>26310.43924346374</c:v>
                </c:pt>
                <c:pt idx="187">
                  <c:v>26265.6038762158</c:v>
                </c:pt>
                <c:pt idx="188">
                  <c:v>26217.62999649992</c:v>
                </c:pt>
                <c:pt idx="189">
                  <c:v>26173.51364745491</c:v>
                </c:pt>
                <c:pt idx="190">
                  <c:v>26133.53658651591</c:v>
                </c:pt>
                <c:pt idx="191">
                  <c:v>26092.87917709487</c:v>
                </c:pt>
                <c:pt idx="192">
                  <c:v>26051.31101634812</c:v>
                </c:pt>
                <c:pt idx="193">
                  <c:v>26007.72748530158</c:v>
                </c:pt>
                <c:pt idx="194">
                  <c:v>25970.19251034602</c:v>
                </c:pt>
                <c:pt idx="195">
                  <c:v>25933.84777162443</c:v>
                </c:pt>
                <c:pt idx="196">
                  <c:v>25899.25815177847</c:v>
                </c:pt>
                <c:pt idx="197">
                  <c:v>25859.38150258288</c:v>
                </c:pt>
                <c:pt idx="198">
                  <c:v>25829.98653755042</c:v>
                </c:pt>
                <c:pt idx="199">
                  <c:v>25800.90645937731</c:v>
                </c:pt>
                <c:pt idx="200">
                  <c:v>25770.83751991678</c:v>
                </c:pt>
                <c:pt idx="201">
                  <c:v>25744.64695038473</c:v>
                </c:pt>
                <c:pt idx="202">
                  <c:v>25724.79231094322</c:v>
                </c:pt>
                <c:pt idx="203">
                  <c:v>25702.25728774056</c:v>
                </c:pt>
                <c:pt idx="204">
                  <c:v>25678.89057936873</c:v>
                </c:pt>
                <c:pt idx="205">
                  <c:v>25660.20378038847</c:v>
                </c:pt>
                <c:pt idx="206">
                  <c:v>25643.2259575332</c:v>
                </c:pt>
                <c:pt idx="207">
                  <c:v>25629.96215055895</c:v>
                </c:pt>
                <c:pt idx="208">
                  <c:v>25616.77504566202</c:v>
                </c:pt>
                <c:pt idx="209">
                  <c:v>25608.24142242125</c:v>
                </c:pt>
                <c:pt idx="210">
                  <c:v>25597.10200194139</c:v>
                </c:pt>
                <c:pt idx="211">
                  <c:v>25583.07883513396</c:v>
                </c:pt>
                <c:pt idx="212">
                  <c:v>25576.50447227173</c:v>
                </c:pt>
                <c:pt idx="213">
                  <c:v>25571.30298486767</c:v>
                </c:pt>
                <c:pt idx="214">
                  <c:v>25563.47832513379</c:v>
                </c:pt>
                <c:pt idx="215">
                  <c:v>25558.11492542054</c:v>
                </c:pt>
                <c:pt idx="216">
                  <c:v>25546.91685006745</c:v>
                </c:pt>
                <c:pt idx="217">
                  <c:v>25543.69505980528</c:v>
                </c:pt>
                <c:pt idx="218">
                  <c:v>25540.07783904376</c:v>
                </c:pt>
                <c:pt idx="219">
                  <c:v>25534.79719410837</c:v>
                </c:pt>
                <c:pt idx="220">
                  <c:v>25532.17824829471</c:v>
                </c:pt>
                <c:pt idx="221">
                  <c:v>25525.01777062937</c:v>
                </c:pt>
                <c:pt idx="222">
                  <c:v>25524.04013094432</c:v>
                </c:pt>
                <c:pt idx="223">
                  <c:v>25518.38803152569</c:v>
                </c:pt>
                <c:pt idx="224">
                  <c:v>25517.21730055141</c:v>
                </c:pt>
                <c:pt idx="225">
                  <c:v>25519.27964697845</c:v>
                </c:pt>
                <c:pt idx="226">
                  <c:v>25516.51024171345</c:v>
                </c:pt>
                <c:pt idx="227">
                  <c:v>25519.7070465952</c:v>
                </c:pt>
                <c:pt idx="228">
                  <c:v>25522.70504426813</c:v>
                </c:pt>
                <c:pt idx="229">
                  <c:v>25527.48765460589</c:v>
                </c:pt>
                <c:pt idx="230">
                  <c:v>25528.59115622364</c:v>
                </c:pt>
                <c:pt idx="231">
                  <c:v>25534.39908782996</c:v>
                </c:pt>
                <c:pt idx="232">
                  <c:v>25537.96899172066</c:v>
                </c:pt>
                <c:pt idx="233">
                  <c:v>25542.05470281488</c:v>
                </c:pt>
                <c:pt idx="234">
                  <c:v>25544.48038530411</c:v>
                </c:pt>
                <c:pt idx="235">
                  <c:v>25555.10023647899</c:v>
                </c:pt>
                <c:pt idx="236">
                  <c:v>25556.29347570284</c:v>
                </c:pt>
                <c:pt idx="237">
                  <c:v>25562.97134339329</c:v>
                </c:pt>
                <c:pt idx="238">
                  <c:v>25566.7338445996</c:v>
                </c:pt>
                <c:pt idx="239">
                  <c:v>25577.75903788796</c:v>
                </c:pt>
                <c:pt idx="240">
                  <c:v>25579.99277380218</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Boundary Uncertainty Band</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Lower bound</c:v>
          </c:tx>
          <c:spPr>
            <a:ln xmlns:a="http://schemas.openxmlformats.org/drawingml/2006/mai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c:v>
                </c:pt>
                <c:pt idx="1">
                  <c:v>13048.76639119057</c:v>
                </c:pt>
                <c:pt idx="2">
                  <c:v>13057.33823698979</c:v>
                </c:pt>
                <c:pt idx="3">
                  <c:v>13062.90707081556</c:v>
                </c:pt>
                <c:pt idx="4">
                  <c:v>13073.12561824274</c:v>
                </c:pt>
                <c:pt idx="5">
                  <c:v>13078.3351405244</c:v>
                </c:pt>
                <c:pt idx="6">
                  <c:v>13085.99703021636</c:v>
                </c:pt>
                <c:pt idx="7">
                  <c:v>13092.49931637025</c:v>
                </c:pt>
                <c:pt idx="8">
                  <c:v>13095.55464426455</c:v>
                </c:pt>
                <c:pt idx="9">
                  <c:v>13102.69283930029</c:v>
                </c:pt>
                <c:pt idx="10">
                  <c:v>13106.30796626749</c:v>
                </c:pt>
                <c:pt idx="11">
                  <c:v>13109.09414977491</c:v>
                </c:pt>
                <c:pt idx="12">
                  <c:v>13113.71746526024</c:v>
                </c:pt>
                <c:pt idx="13">
                  <c:v>13115.55790110156</c:v>
                </c:pt>
                <c:pt idx="14">
                  <c:v>13118.82470459141</c:v>
                </c:pt>
                <c:pt idx="15">
                  <c:v>13121.22387189913</c:v>
                </c:pt>
                <c:pt idx="16">
                  <c:v>13122.53688870754</c:v>
                </c:pt>
                <c:pt idx="17">
                  <c:v>13122.37004851927</c:v>
                </c:pt>
                <c:pt idx="18">
                  <c:v>13125.90607681586</c:v>
                </c:pt>
                <c:pt idx="19">
                  <c:v>13128.0052334422</c:v>
                </c:pt>
                <c:pt idx="20">
                  <c:v>13126.01228630002</c:v>
                </c:pt>
                <c:pt idx="21">
                  <c:v>13129.04064905115</c:v>
                </c:pt>
                <c:pt idx="22">
                  <c:v>13128.21987874668</c:v>
                </c:pt>
                <c:pt idx="23">
                  <c:v>13128.86554299087</c:v>
                </c:pt>
                <c:pt idx="24">
                  <c:v>13130.34364620319</c:v>
                </c:pt>
                <c:pt idx="25">
                  <c:v>13128.54315116048</c:v>
                </c:pt>
                <c:pt idx="26">
                  <c:v>13128.93334131051</c:v>
                </c:pt>
                <c:pt idx="27">
                  <c:v>13127.80769209857</c:v>
                </c:pt>
                <c:pt idx="28">
                  <c:v>13128.6685888771</c:v>
                </c:pt>
                <c:pt idx="29">
                  <c:v>13128.01958806756</c:v>
                </c:pt>
                <c:pt idx="30">
                  <c:v>13129.08126933879</c:v>
                </c:pt>
                <c:pt idx="31">
                  <c:v>13127.9749848833</c:v>
                </c:pt>
                <c:pt idx="32">
                  <c:v>13125.91150427493</c:v>
                </c:pt>
                <c:pt idx="33">
                  <c:v>13121.98669408329</c:v>
                </c:pt>
                <c:pt idx="34">
                  <c:v>13123.69319889064</c:v>
                </c:pt>
                <c:pt idx="35">
                  <c:v>13120.91477545746</c:v>
                </c:pt>
                <c:pt idx="36">
                  <c:v>13119.80625925983</c:v>
                </c:pt>
                <c:pt idx="37">
                  <c:v>13117.02228465411</c:v>
                </c:pt>
                <c:pt idx="38">
                  <c:v>13113.6232678051</c:v>
                </c:pt>
                <c:pt idx="39">
                  <c:v>13108.97451746299</c:v>
                </c:pt>
                <c:pt idx="40">
                  <c:v>13105.55495084827</c:v>
                </c:pt>
                <c:pt idx="41">
                  <c:v>13102.69109367549</c:v>
                </c:pt>
                <c:pt idx="42">
                  <c:v>13102.7489722562</c:v>
                </c:pt>
                <c:pt idx="43">
                  <c:v>13096.90416266791</c:v>
                </c:pt>
                <c:pt idx="44">
                  <c:v>13096.29580163658</c:v>
                </c:pt>
                <c:pt idx="45">
                  <c:v>13089.65567411958</c:v>
                </c:pt>
                <c:pt idx="46">
                  <c:v>13088.80601610416</c:v>
                </c:pt>
                <c:pt idx="47">
                  <c:v>13083.85339151919</c:v>
                </c:pt>
                <c:pt idx="48">
                  <c:v>13082.10262217315</c:v>
                </c:pt>
                <c:pt idx="49">
                  <c:v>13080.28494682638</c:v>
                </c:pt>
                <c:pt idx="50">
                  <c:v>13081.12932560947</c:v>
                </c:pt>
                <c:pt idx="51">
                  <c:v>13076.8576320088</c:v>
                </c:pt>
                <c:pt idx="52">
                  <c:v>13077.62874792323</c:v>
                </c:pt>
                <c:pt idx="53">
                  <c:v>13078.09256002349</c:v>
                </c:pt>
                <c:pt idx="54">
                  <c:v>13078.46664658259</c:v>
                </c:pt>
                <c:pt idx="55">
                  <c:v>13080.08569704939</c:v>
                </c:pt>
                <c:pt idx="56">
                  <c:v>13084.95207076056</c:v>
                </c:pt>
                <c:pt idx="57">
                  <c:v>13087.05723435159</c:v>
                </c:pt>
                <c:pt idx="58">
                  <c:v>13092.07610302669</c:v>
                </c:pt>
                <c:pt idx="59">
                  <c:v>13099.55328296698</c:v>
                </c:pt>
                <c:pt idx="60">
                  <c:v>13105.92076461545</c:v>
                </c:pt>
                <c:pt idx="61">
                  <c:v>13114.27394913712</c:v>
                </c:pt>
                <c:pt idx="62">
                  <c:v>13121.07346664604</c:v>
                </c:pt>
                <c:pt idx="63">
                  <c:v>13132.4426235159</c:v>
                </c:pt>
                <c:pt idx="64">
                  <c:v>13141.12386677761</c:v>
                </c:pt>
                <c:pt idx="65">
                  <c:v>13153.31124471122</c:v>
                </c:pt>
                <c:pt idx="66">
                  <c:v>13165.03655669067</c:v>
                </c:pt>
                <c:pt idx="67">
                  <c:v>13176.33880995205</c:v>
                </c:pt>
                <c:pt idx="68">
                  <c:v>13191.24974060257</c:v>
                </c:pt>
                <c:pt idx="69">
                  <c:v>13204.33755909023</c:v>
                </c:pt>
                <c:pt idx="70">
                  <c:v>13219.83615226988</c:v>
                </c:pt>
                <c:pt idx="71">
                  <c:v>13232.27105346808</c:v>
                </c:pt>
                <c:pt idx="72">
                  <c:v>13248.89372234097</c:v>
                </c:pt>
                <c:pt idx="73">
                  <c:v>13264.46311292151</c:v>
                </c:pt>
                <c:pt idx="74">
                  <c:v>13280.79352174395</c:v>
                </c:pt>
                <c:pt idx="75">
                  <c:v>13297.70065261399</c:v>
                </c:pt>
                <c:pt idx="76">
                  <c:v>13312.19990504116</c:v>
                </c:pt>
                <c:pt idx="77">
                  <c:v>13329.43520052092</c:v>
                </c:pt>
                <c:pt idx="78">
                  <c:v>13351.67443251006</c:v>
                </c:pt>
                <c:pt idx="79">
                  <c:v>13369.04948670286</c:v>
                </c:pt>
                <c:pt idx="80">
                  <c:v>13391.43606220631</c:v>
                </c:pt>
                <c:pt idx="81">
                  <c:v>13410.1945634452</c:v>
                </c:pt>
                <c:pt idx="82">
                  <c:v>13432.18463530832</c:v>
                </c:pt>
                <c:pt idx="83">
                  <c:v>13456.62321910731</c:v>
                </c:pt>
                <c:pt idx="84">
                  <c:v>13477.22515424655</c:v>
                </c:pt>
                <c:pt idx="85">
                  <c:v>13501.39789080635</c:v>
                </c:pt>
                <c:pt idx="86">
                  <c:v>13529.03546818499</c:v>
                </c:pt>
                <c:pt idx="87">
                  <c:v>13554.19542273615</c:v>
                </c:pt>
                <c:pt idx="88">
                  <c:v>13576.99559977411</c:v>
                </c:pt>
                <c:pt idx="89">
                  <c:v>13605.0514485375</c:v>
                </c:pt>
                <c:pt idx="90">
                  <c:v>13630.78865834882</c:v>
                </c:pt>
                <c:pt idx="91">
                  <c:v>13657.2953150598</c:v>
                </c:pt>
                <c:pt idx="92">
                  <c:v>13685.96939296339</c:v>
                </c:pt>
                <c:pt idx="93">
                  <c:v>13714.64029923832</c:v>
                </c:pt>
                <c:pt idx="94">
                  <c:v>13741.28669712614</c:v>
                </c:pt>
                <c:pt idx="95">
                  <c:v>13767.88536924082</c:v>
                </c:pt>
                <c:pt idx="96">
                  <c:v>13798.41367837706</c:v>
                </c:pt>
                <c:pt idx="97">
                  <c:v>13824.61410345121</c:v>
                </c:pt>
                <c:pt idx="98">
                  <c:v>13853.31186441483</c:v>
                </c:pt>
                <c:pt idx="99">
                  <c:v>13881.48908457665</c:v>
                </c:pt>
                <c:pt idx="100">
                  <c:v>13910.50874521312</c:v>
                </c:pt>
                <c:pt idx="101">
                  <c:v>13939.79021897657</c:v>
                </c:pt>
                <c:pt idx="102">
                  <c:v>13967.42057754804</c:v>
                </c:pt>
                <c:pt idx="103">
                  <c:v>13999.09132522038</c:v>
                </c:pt>
                <c:pt idx="104">
                  <c:v>14025.64240190194</c:v>
                </c:pt>
                <c:pt idx="105">
                  <c:v>14054.79313941637</c:v>
                </c:pt>
                <c:pt idx="106">
                  <c:v>14086.69843418237</c:v>
                </c:pt>
                <c:pt idx="107">
                  <c:v>14112.6201016897</c:v>
                </c:pt>
                <c:pt idx="108">
                  <c:v>14141.05910048064</c:v>
                </c:pt>
                <c:pt idx="109">
                  <c:v>14169.38478023053</c:v>
                </c:pt>
                <c:pt idx="110">
                  <c:v>14197.23436626742</c:v>
                </c:pt>
                <c:pt idx="111">
                  <c:v>14223.47377804967</c:v>
                </c:pt>
                <c:pt idx="112">
                  <c:v>14248.28735388548</c:v>
                </c:pt>
                <c:pt idx="113">
                  <c:v>14275.78142161981</c:v>
                </c:pt>
                <c:pt idx="114">
                  <c:v>14297.51252319704</c:v>
                </c:pt>
                <c:pt idx="115">
                  <c:v>14320.51895373562</c:v>
                </c:pt>
                <c:pt idx="116">
                  <c:v>14340.76376682924</c:v>
                </c:pt>
                <c:pt idx="117">
                  <c:v>14362.97434545136</c:v>
                </c:pt>
                <c:pt idx="118">
                  <c:v>14382.25978742723</c:v>
                </c:pt>
                <c:pt idx="119">
                  <c:v>14397.37984802641</c:v>
                </c:pt>
                <c:pt idx="120">
                  <c:v>14415.34978072191</c:v>
                </c:pt>
                <c:pt idx="121">
                  <c:v>14432.89954867819</c:v>
                </c:pt>
                <c:pt idx="122">
                  <c:v>14447.69149082374</c:v>
                </c:pt>
                <c:pt idx="123">
                  <c:v>14460.82683579813</c:v>
                </c:pt>
                <c:pt idx="124">
                  <c:v>14473.127659707</c:v>
                </c:pt>
                <c:pt idx="125">
                  <c:v>14484.67483225271</c:v>
                </c:pt>
                <c:pt idx="126">
                  <c:v>14499.03947108472</c:v>
                </c:pt>
                <c:pt idx="127">
                  <c:v>14506.80700146982</c:v>
                </c:pt>
                <c:pt idx="128">
                  <c:v>14517.23599184729</c:v>
                </c:pt>
                <c:pt idx="129">
                  <c:v>14525.32999046624</c:v>
                </c:pt>
                <c:pt idx="130">
                  <c:v>14535.97515428211</c:v>
                </c:pt>
                <c:pt idx="131">
                  <c:v>14543.92889915282</c:v>
                </c:pt>
                <c:pt idx="132">
                  <c:v>14550.16829622489</c:v>
                </c:pt>
                <c:pt idx="133">
                  <c:v>14555.64884283196</c:v>
                </c:pt>
                <c:pt idx="134">
                  <c:v>14557.18659818214</c:v>
                </c:pt>
                <c:pt idx="135">
                  <c:v>14563.19705852591</c:v>
                </c:pt>
                <c:pt idx="136">
                  <c:v>14564.49663999133</c:v>
                </c:pt>
                <c:pt idx="137">
                  <c:v>14566.12898919312</c:v>
                </c:pt>
                <c:pt idx="138">
                  <c:v>14563.80924325645</c:v>
                </c:pt>
                <c:pt idx="139">
                  <c:v>14560.87573901286</c:v>
                </c:pt>
                <c:pt idx="140">
                  <c:v>14559.65300237692</c:v>
                </c:pt>
                <c:pt idx="141">
                  <c:v>14556.09737146301</c:v>
                </c:pt>
                <c:pt idx="142">
                  <c:v>14548.05644574272</c:v>
                </c:pt>
                <c:pt idx="143">
                  <c:v>14541.24963023539</c:v>
                </c:pt>
                <c:pt idx="144">
                  <c:v>14533.39882339176</c:v>
                </c:pt>
                <c:pt idx="145">
                  <c:v>14521.16122749555</c:v>
                </c:pt>
                <c:pt idx="146">
                  <c:v>14510.08199680499</c:v>
                </c:pt>
                <c:pt idx="147">
                  <c:v>14499.92076991478</c:v>
                </c:pt>
                <c:pt idx="148">
                  <c:v>14485.32661425429</c:v>
                </c:pt>
                <c:pt idx="149">
                  <c:v>14469.73928107725</c:v>
                </c:pt>
                <c:pt idx="150">
                  <c:v>14455.78400430043</c:v>
                </c:pt>
                <c:pt idx="151">
                  <c:v>14439.04875066978</c:v>
                </c:pt>
                <c:pt idx="152">
                  <c:v>14420.13535369901</c:v>
                </c:pt>
                <c:pt idx="153">
                  <c:v>14400.08870023362</c:v>
                </c:pt>
                <c:pt idx="154">
                  <c:v>14380.39999145499</c:v>
                </c:pt>
                <c:pt idx="155">
                  <c:v>14357.99823216511</c:v>
                </c:pt>
                <c:pt idx="156">
                  <c:v>14335.43270592218</c:v>
                </c:pt>
                <c:pt idx="157">
                  <c:v>14313.18842976782</c:v>
                </c:pt>
                <c:pt idx="158">
                  <c:v>14287.56166940682</c:v>
                </c:pt>
                <c:pt idx="159">
                  <c:v>14262.32312182864</c:v>
                </c:pt>
                <c:pt idx="160">
                  <c:v>14237.09589387018</c:v>
                </c:pt>
                <c:pt idx="161">
                  <c:v>14211.17125385385</c:v>
                </c:pt>
                <c:pt idx="162">
                  <c:v>14185.10856874388</c:v>
                </c:pt>
                <c:pt idx="163">
                  <c:v>14158.02240777977</c:v>
                </c:pt>
                <c:pt idx="164">
                  <c:v>14130.33000525226</c:v>
                </c:pt>
                <c:pt idx="165">
                  <c:v>14103.43244811026</c:v>
                </c:pt>
                <c:pt idx="166">
                  <c:v>14076.00628557779</c:v>
                </c:pt>
                <c:pt idx="167">
                  <c:v>14048.58002264164</c:v>
                </c:pt>
                <c:pt idx="168">
                  <c:v>14018.47278025502</c:v>
                </c:pt>
                <c:pt idx="169">
                  <c:v>13993.13158103504</c:v>
                </c:pt>
                <c:pt idx="170">
                  <c:v>13963.49249388501</c:v>
                </c:pt>
                <c:pt idx="171">
                  <c:v>13938.1856295818</c:v>
                </c:pt>
                <c:pt idx="172">
                  <c:v>13909.14531624273</c:v>
                </c:pt>
                <c:pt idx="173">
                  <c:v>13880.20034267976</c:v>
                </c:pt>
                <c:pt idx="174">
                  <c:v>13855.91630440495</c:v>
                </c:pt>
                <c:pt idx="175">
                  <c:v>13827.74026248106</c:v>
                </c:pt>
                <c:pt idx="176">
                  <c:v>13801.84079337318</c:v>
                </c:pt>
                <c:pt idx="177">
                  <c:v>13772.83375718312</c:v>
                </c:pt>
                <c:pt idx="178">
                  <c:v>13747.47104989116</c:v>
                </c:pt>
                <c:pt idx="179">
                  <c:v>13721.48646694638</c:v>
                </c:pt>
                <c:pt idx="180">
                  <c:v>13693.62383841618</c:v>
                </c:pt>
                <c:pt idx="181">
                  <c:v>13667.92499642925</c:v>
                </c:pt>
                <c:pt idx="182">
                  <c:v>13640.05782058526</c:v>
                </c:pt>
                <c:pt idx="183">
                  <c:v>13615.74692609539</c:v>
                </c:pt>
                <c:pt idx="184">
                  <c:v>13587.81999177935</c:v>
                </c:pt>
                <c:pt idx="185">
                  <c:v>13560.40759266279</c:v>
                </c:pt>
                <c:pt idx="186">
                  <c:v>13534.53671055071</c:v>
                </c:pt>
                <c:pt idx="187">
                  <c:v>13508.91650069474</c:v>
                </c:pt>
                <c:pt idx="188">
                  <c:v>13481.50285514281</c:v>
                </c:pt>
                <c:pt idx="189">
                  <c:v>13456.29351283138</c:v>
                </c:pt>
                <c:pt idx="190">
                  <c:v>13433.44947800909</c:v>
                </c:pt>
                <c:pt idx="191">
                  <c:v>13410.21667262564</c:v>
                </c:pt>
                <c:pt idx="192">
                  <c:v>13386.46343791321</c:v>
                </c:pt>
                <c:pt idx="193">
                  <c:v>13361.55856302947</c:v>
                </c:pt>
                <c:pt idx="194">
                  <c:v>13340.11000591201</c:v>
                </c:pt>
                <c:pt idx="195">
                  <c:v>13319.34158378539</c:v>
                </c:pt>
                <c:pt idx="196">
                  <c:v>13299.57608673055</c:v>
                </c:pt>
                <c:pt idx="197">
                  <c:v>13276.78943004736</c:v>
                </c:pt>
                <c:pt idx="198">
                  <c:v>13259.99230717167</c:v>
                </c:pt>
                <c:pt idx="199">
                  <c:v>13243.37511964418</c:v>
                </c:pt>
                <c:pt idx="200">
                  <c:v>13226.19286852387</c:v>
                </c:pt>
                <c:pt idx="201">
                  <c:v>13211.22682879127</c:v>
                </c:pt>
                <c:pt idx="202">
                  <c:v>13199.88132053898</c:v>
                </c:pt>
                <c:pt idx="203">
                  <c:v>13187.00416442318</c:v>
                </c:pt>
                <c:pt idx="204">
                  <c:v>13173.65175963927</c:v>
                </c:pt>
                <c:pt idx="205">
                  <c:v>13162.97358879341</c:v>
                </c:pt>
                <c:pt idx="206">
                  <c:v>13153.27197573326</c:v>
                </c:pt>
                <c:pt idx="207">
                  <c:v>13145.69265746226</c:v>
                </c:pt>
                <c:pt idx="208">
                  <c:v>13138.15716894973</c:v>
                </c:pt>
                <c:pt idx="209">
                  <c:v>13133.28081281214</c:v>
                </c:pt>
                <c:pt idx="210">
                  <c:v>13126.9154296808</c:v>
                </c:pt>
                <c:pt idx="211">
                  <c:v>13118.90219150512</c:v>
                </c:pt>
                <c:pt idx="212">
                  <c:v>13115.1454127267</c:v>
                </c:pt>
                <c:pt idx="213">
                  <c:v>13112.1731342101</c:v>
                </c:pt>
                <c:pt idx="214">
                  <c:v>13107.70190007645</c:v>
                </c:pt>
                <c:pt idx="215">
                  <c:v>13104.63710024031</c:v>
                </c:pt>
                <c:pt idx="216">
                  <c:v>13098.23820003854</c:v>
                </c:pt>
                <c:pt idx="217">
                  <c:v>13096.39717703159</c:v>
                </c:pt>
                <c:pt idx="218">
                  <c:v>13094.33019373929</c:v>
                </c:pt>
                <c:pt idx="219">
                  <c:v>13091.31268234764</c:v>
                </c:pt>
                <c:pt idx="220">
                  <c:v>13089.81614188269</c:v>
                </c:pt>
                <c:pt idx="221">
                  <c:v>13085.72444035964</c:v>
                </c:pt>
                <c:pt idx="222">
                  <c:v>13085.16578911104</c:v>
                </c:pt>
                <c:pt idx="223">
                  <c:v>13081.93601801468</c:v>
                </c:pt>
                <c:pt idx="224">
                  <c:v>13081.26702888652</c:v>
                </c:pt>
                <c:pt idx="225">
                  <c:v>13082.44551255912</c:v>
                </c:pt>
                <c:pt idx="226">
                  <c:v>13080.86299526483</c:v>
                </c:pt>
                <c:pt idx="227">
                  <c:v>13082.68974091154</c:v>
                </c:pt>
                <c:pt idx="228">
                  <c:v>13084.40288243893</c:v>
                </c:pt>
                <c:pt idx="229">
                  <c:v>13087.13580263194</c:v>
                </c:pt>
                <c:pt idx="230">
                  <c:v>13087.76637498494</c:v>
                </c:pt>
                <c:pt idx="231">
                  <c:v>13091.08519304569</c:v>
                </c:pt>
                <c:pt idx="232">
                  <c:v>13093.12513812609</c:v>
                </c:pt>
                <c:pt idx="233">
                  <c:v>13095.45983017993</c:v>
                </c:pt>
                <c:pt idx="234">
                  <c:v>13096.84593445949</c:v>
                </c:pt>
                <c:pt idx="235">
                  <c:v>13102.91442084514</c:v>
                </c:pt>
                <c:pt idx="236">
                  <c:v>13103.59627183019</c:v>
                </c:pt>
                <c:pt idx="237">
                  <c:v>13107.41219622474</c:v>
                </c:pt>
                <c:pt idx="238">
                  <c:v>13109.56219691406</c:v>
                </c:pt>
                <c:pt idx="239">
                  <c:v>13115.86230736455</c:v>
                </c:pt>
                <c:pt idx="240">
                  <c:v>13117.13872788696</c:v>
                </c:pt>
              </c:numCache>
            </c:numRef>
          </c:yVal>
        </c:ser>
        <c:ser>
          <c:idx val="1"/>
          <c:order val="1"/>
          <c:tx>
            <c:v>Mean boundary</c:v>
          </c:tx>
          <c:spPr>
            <a:ln xmlns:a="http://schemas.openxmlformats.org/drawingml/2006/mai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2"/>
          <c:order val="2"/>
          <c:tx>
            <c:v>Upper bound</c:v>
          </c:tx>
          <c:spPr>
            <a:ln xmlns:a="http://schemas.openxmlformats.org/drawingml/2006/mai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c:v>
                </c:pt>
                <c:pt idx="1">
                  <c:v>16048.76639119057</c:v>
                </c:pt>
                <c:pt idx="2">
                  <c:v>16057.33823698979</c:v>
                </c:pt>
                <c:pt idx="3">
                  <c:v>16062.90707081556</c:v>
                </c:pt>
                <c:pt idx="4">
                  <c:v>16073.12561824274</c:v>
                </c:pt>
                <c:pt idx="5">
                  <c:v>16078.3351405244</c:v>
                </c:pt>
                <c:pt idx="6">
                  <c:v>16085.99703021636</c:v>
                </c:pt>
                <c:pt idx="7">
                  <c:v>16092.49931637025</c:v>
                </c:pt>
                <c:pt idx="8">
                  <c:v>16095.55464426455</c:v>
                </c:pt>
                <c:pt idx="9">
                  <c:v>16102.69283930029</c:v>
                </c:pt>
                <c:pt idx="10">
                  <c:v>16106.30796626749</c:v>
                </c:pt>
                <c:pt idx="11">
                  <c:v>16109.09414977491</c:v>
                </c:pt>
                <c:pt idx="12">
                  <c:v>16113.71746526024</c:v>
                </c:pt>
                <c:pt idx="13">
                  <c:v>16115.55790110156</c:v>
                </c:pt>
                <c:pt idx="14">
                  <c:v>16118.82470459141</c:v>
                </c:pt>
                <c:pt idx="15">
                  <c:v>16121.22387189913</c:v>
                </c:pt>
                <c:pt idx="16">
                  <c:v>16122.53688870754</c:v>
                </c:pt>
                <c:pt idx="17">
                  <c:v>16122.37004851927</c:v>
                </c:pt>
                <c:pt idx="18">
                  <c:v>16125.90607681586</c:v>
                </c:pt>
                <c:pt idx="19">
                  <c:v>16128.0052334422</c:v>
                </c:pt>
                <c:pt idx="20">
                  <c:v>16126.01228630002</c:v>
                </c:pt>
                <c:pt idx="21">
                  <c:v>16129.04064905115</c:v>
                </c:pt>
                <c:pt idx="22">
                  <c:v>16128.21987874668</c:v>
                </c:pt>
                <c:pt idx="23">
                  <c:v>16128.86554299087</c:v>
                </c:pt>
                <c:pt idx="24">
                  <c:v>16130.34364620319</c:v>
                </c:pt>
                <c:pt idx="25">
                  <c:v>16128.54315116048</c:v>
                </c:pt>
                <c:pt idx="26">
                  <c:v>16128.93334131051</c:v>
                </c:pt>
                <c:pt idx="27">
                  <c:v>16127.80769209857</c:v>
                </c:pt>
                <c:pt idx="28">
                  <c:v>16128.6685888771</c:v>
                </c:pt>
                <c:pt idx="29">
                  <c:v>16128.01958806756</c:v>
                </c:pt>
                <c:pt idx="30">
                  <c:v>16129.08126933879</c:v>
                </c:pt>
                <c:pt idx="31">
                  <c:v>16127.9749848833</c:v>
                </c:pt>
                <c:pt idx="32">
                  <c:v>16125.91150427493</c:v>
                </c:pt>
                <c:pt idx="33">
                  <c:v>16121.98669408329</c:v>
                </c:pt>
                <c:pt idx="34">
                  <c:v>16123.69319889064</c:v>
                </c:pt>
                <c:pt idx="35">
                  <c:v>16120.91477545746</c:v>
                </c:pt>
                <c:pt idx="36">
                  <c:v>16119.80625925983</c:v>
                </c:pt>
                <c:pt idx="37">
                  <c:v>16117.02228465411</c:v>
                </c:pt>
                <c:pt idx="38">
                  <c:v>16113.6232678051</c:v>
                </c:pt>
                <c:pt idx="39">
                  <c:v>16108.97451746299</c:v>
                </c:pt>
                <c:pt idx="40">
                  <c:v>16105.55495084827</c:v>
                </c:pt>
                <c:pt idx="41">
                  <c:v>16102.69109367549</c:v>
                </c:pt>
                <c:pt idx="42">
                  <c:v>16102.7489722562</c:v>
                </c:pt>
                <c:pt idx="43">
                  <c:v>16096.90416266791</c:v>
                </c:pt>
                <c:pt idx="44">
                  <c:v>16096.29580163658</c:v>
                </c:pt>
                <c:pt idx="45">
                  <c:v>16089.65567411958</c:v>
                </c:pt>
                <c:pt idx="46">
                  <c:v>16088.80601610416</c:v>
                </c:pt>
                <c:pt idx="47">
                  <c:v>16083.85339151919</c:v>
                </c:pt>
                <c:pt idx="48">
                  <c:v>16082.10262217315</c:v>
                </c:pt>
                <c:pt idx="49">
                  <c:v>16080.28494682638</c:v>
                </c:pt>
                <c:pt idx="50">
                  <c:v>16081.12932560947</c:v>
                </c:pt>
                <c:pt idx="51">
                  <c:v>16076.8576320088</c:v>
                </c:pt>
                <c:pt idx="52">
                  <c:v>16077.62874792323</c:v>
                </c:pt>
                <c:pt idx="53">
                  <c:v>16078.09256002349</c:v>
                </c:pt>
                <c:pt idx="54">
                  <c:v>16078.46664658259</c:v>
                </c:pt>
                <c:pt idx="55">
                  <c:v>16080.08569704939</c:v>
                </c:pt>
                <c:pt idx="56">
                  <c:v>16084.95207076056</c:v>
                </c:pt>
                <c:pt idx="57">
                  <c:v>16087.05723435159</c:v>
                </c:pt>
                <c:pt idx="58">
                  <c:v>16092.07610302669</c:v>
                </c:pt>
                <c:pt idx="59">
                  <c:v>16099.55328296698</c:v>
                </c:pt>
                <c:pt idx="60">
                  <c:v>16105.92076461545</c:v>
                </c:pt>
                <c:pt idx="61">
                  <c:v>16114.27394913712</c:v>
                </c:pt>
                <c:pt idx="62">
                  <c:v>16121.07346664604</c:v>
                </c:pt>
                <c:pt idx="63">
                  <c:v>16132.4426235159</c:v>
                </c:pt>
                <c:pt idx="64">
                  <c:v>16141.12386677761</c:v>
                </c:pt>
                <c:pt idx="65">
                  <c:v>16153.31124471122</c:v>
                </c:pt>
                <c:pt idx="66">
                  <c:v>16165.03655669067</c:v>
                </c:pt>
                <c:pt idx="67">
                  <c:v>16176.33880995205</c:v>
                </c:pt>
                <c:pt idx="68">
                  <c:v>16191.24974060257</c:v>
                </c:pt>
                <c:pt idx="69">
                  <c:v>16204.33755909023</c:v>
                </c:pt>
                <c:pt idx="70">
                  <c:v>16219.83615226988</c:v>
                </c:pt>
                <c:pt idx="71">
                  <c:v>16232.27105346808</c:v>
                </c:pt>
                <c:pt idx="72">
                  <c:v>16248.89372234097</c:v>
                </c:pt>
                <c:pt idx="73">
                  <c:v>16264.46311292151</c:v>
                </c:pt>
                <c:pt idx="74">
                  <c:v>16280.79352174395</c:v>
                </c:pt>
                <c:pt idx="75">
                  <c:v>16297.70065261399</c:v>
                </c:pt>
                <c:pt idx="76">
                  <c:v>16312.19990504116</c:v>
                </c:pt>
                <c:pt idx="77">
                  <c:v>16329.43520052092</c:v>
                </c:pt>
                <c:pt idx="78">
                  <c:v>16351.67443251006</c:v>
                </c:pt>
                <c:pt idx="79">
                  <c:v>16369.04948670286</c:v>
                </c:pt>
                <c:pt idx="80">
                  <c:v>16391.43606220631</c:v>
                </c:pt>
                <c:pt idx="81">
                  <c:v>16410.1945634452</c:v>
                </c:pt>
                <c:pt idx="82">
                  <c:v>16432.18463530832</c:v>
                </c:pt>
                <c:pt idx="83">
                  <c:v>16456.62321910731</c:v>
                </c:pt>
                <c:pt idx="84">
                  <c:v>16477.22515424655</c:v>
                </c:pt>
                <c:pt idx="85">
                  <c:v>16501.39789080635</c:v>
                </c:pt>
                <c:pt idx="86">
                  <c:v>16529.03546818499</c:v>
                </c:pt>
                <c:pt idx="87">
                  <c:v>16554.19542273615</c:v>
                </c:pt>
                <c:pt idx="88">
                  <c:v>16576.99559977411</c:v>
                </c:pt>
                <c:pt idx="89">
                  <c:v>16605.0514485375</c:v>
                </c:pt>
                <c:pt idx="90">
                  <c:v>16630.78865834882</c:v>
                </c:pt>
                <c:pt idx="91">
                  <c:v>16657.2953150598</c:v>
                </c:pt>
                <c:pt idx="92">
                  <c:v>16685.96939296339</c:v>
                </c:pt>
                <c:pt idx="93">
                  <c:v>16714.64029923832</c:v>
                </c:pt>
                <c:pt idx="94">
                  <c:v>16741.28669712614</c:v>
                </c:pt>
                <c:pt idx="95">
                  <c:v>16767.88536924082</c:v>
                </c:pt>
                <c:pt idx="96">
                  <c:v>16798.41367837706</c:v>
                </c:pt>
                <c:pt idx="97">
                  <c:v>16824.61410345121</c:v>
                </c:pt>
                <c:pt idx="98">
                  <c:v>16853.31186441483</c:v>
                </c:pt>
                <c:pt idx="99">
                  <c:v>16881.48908457665</c:v>
                </c:pt>
                <c:pt idx="100">
                  <c:v>16910.50874521312</c:v>
                </c:pt>
                <c:pt idx="101">
                  <c:v>16939.79021897657</c:v>
                </c:pt>
                <c:pt idx="102">
                  <c:v>16967.42057754804</c:v>
                </c:pt>
                <c:pt idx="103">
                  <c:v>16999.09132522038</c:v>
                </c:pt>
                <c:pt idx="104">
                  <c:v>17025.64240190194</c:v>
                </c:pt>
                <c:pt idx="105">
                  <c:v>17054.79313941637</c:v>
                </c:pt>
                <c:pt idx="106">
                  <c:v>17086.69843418237</c:v>
                </c:pt>
                <c:pt idx="107">
                  <c:v>17112.6201016897</c:v>
                </c:pt>
                <c:pt idx="108">
                  <c:v>17141.05910048064</c:v>
                </c:pt>
                <c:pt idx="109">
                  <c:v>17169.38478023053</c:v>
                </c:pt>
                <c:pt idx="110">
                  <c:v>17197.23436626742</c:v>
                </c:pt>
                <c:pt idx="111">
                  <c:v>17223.47377804967</c:v>
                </c:pt>
                <c:pt idx="112">
                  <c:v>17248.28735388548</c:v>
                </c:pt>
                <c:pt idx="113">
                  <c:v>17275.78142161981</c:v>
                </c:pt>
                <c:pt idx="114">
                  <c:v>17297.51252319705</c:v>
                </c:pt>
                <c:pt idx="115">
                  <c:v>17320.51895373562</c:v>
                </c:pt>
                <c:pt idx="116">
                  <c:v>17340.76376682924</c:v>
                </c:pt>
                <c:pt idx="117">
                  <c:v>17362.97434545136</c:v>
                </c:pt>
                <c:pt idx="118">
                  <c:v>17382.25978742723</c:v>
                </c:pt>
                <c:pt idx="119">
                  <c:v>17397.37984802642</c:v>
                </c:pt>
                <c:pt idx="120">
                  <c:v>17415.34978072191</c:v>
                </c:pt>
                <c:pt idx="121">
                  <c:v>17432.89954867819</c:v>
                </c:pt>
                <c:pt idx="122">
                  <c:v>17447.69149082374</c:v>
                </c:pt>
                <c:pt idx="123">
                  <c:v>17460.82683579813</c:v>
                </c:pt>
                <c:pt idx="124">
                  <c:v>17473.127659707</c:v>
                </c:pt>
                <c:pt idx="125">
                  <c:v>17484.67483225271</c:v>
                </c:pt>
                <c:pt idx="126">
                  <c:v>17499.03947108472</c:v>
                </c:pt>
                <c:pt idx="127">
                  <c:v>17506.80700146982</c:v>
                </c:pt>
                <c:pt idx="128">
                  <c:v>17517.23599184729</c:v>
                </c:pt>
                <c:pt idx="129">
                  <c:v>17525.32999046624</c:v>
                </c:pt>
                <c:pt idx="130">
                  <c:v>17535.97515428211</c:v>
                </c:pt>
                <c:pt idx="131">
                  <c:v>17543.92889915282</c:v>
                </c:pt>
                <c:pt idx="132">
                  <c:v>17550.16829622489</c:v>
                </c:pt>
                <c:pt idx="133">
                  <c:v>17555.64884283196</c:v>
                </c:pt>
                <c:pt idx="134">
                  <c:v>17557.18659818214</c:v>
                </c:pt>
                <c:pt idx="135">
                  <c:v>17563.19705852591</c:v>
                </c:pt>
                <c:pt idx="136">
                  <c:v>17564.49663999133</c:v>
                </c:pt>
                <c:pt idx="137">
                  <c:v>17566.12898919312</c:v>
                </c:pt>
                <c:pt idx="138">
                  <c:v>17563.80924325645</c:v>
                </c:pt>
                <c:pt idx="139">
                  <c:v>17560.87573901286</c:v>
                </c:pt>
                <c:pt idx="140">
                  <c:v>17559.65300237692</c:v>
                </c:pt>
                <c:pt idx="141">
                  <c:v>17556.09737146301</c:v>
                </c:pt>
                <c:pt idx="142">
                  <c:v>17548.05644574272</c:v>
                </c:pt>
                <c:pt idx="143">
                  <c:v>17541.24963023539</c:v>
                </c:pt>
                <c:pt idx="144">
                  <c:v>17533.39882339176</c:v>
                </c:pt>
                <c:pt idx="145">
                  <c:v>17521.16122749555</c:v>
                </c:pt>
                <c:pt idx="146">
                  <c:v>17510.08199680499</c:v>
                </c:pt>
                <c:pt idx="147">
                  <c:v>17499.92076991478</c:v>
                </c:pt>
                <c:pt idx="148">
                  <c:v>17485.32661425429</c:v>
                </c:pt>
                <c:pt idx="149">
                  <c:v>17469.73928107725</c:v>
                </c:pt>
                <c:pt idx="150">
                  <c:v>17455.78400430043</c:v>
                </c:pt>
                <c:pt idx="151">
                  <c:v>17439.04875066978</c:v>
                </c:pt>
                <c:pt idx="152">
                  <c:v>17420.13535369901</c:v>
                </c:pt>
                <c:pt idx="153">
                  <c:v>17400.08870023362</c:v>
                </c:pt>
                <c:pt idx="154">
                  <c:v>17380.39999145499</c:v>
                </c:pt>
                <c:pt idx="155">
                  <c:v>17357.99823216511</c:v>
                </c:pt>
                <c:pt idx="156">
                  <c:v>17335.43270592218</c:v>
                </c:pt>
                <c:pt idx="157">
                  <c:v>17313.18842976782</c:v>
                </c:pt>
                <c:pt idx="158">
                  <c:v>17287.56166940682</c:v>
                </c:pt>
                <c:pt idx="159">
                  <c:v>17262.32312182864</c:v>
                </c:pt>
                <c:pt idx="160">
                  <c:v>17237.09589387018</c:v>
                </c:pt>
                <c:pt idx="161">
                  <c:v>17211.17125385385</c:v>
                </c:pt>
                <c:pt idx="162">
                  <c:v>17185.10856874388</c:v>
                </c:pt>
                <c:pt idx="163">
                  <c:v>17158.02240777977</c:v>
                </c:pt>
                <c:pt idx="164">
                  <c:v>17130.33000525226</c:v>
                </c:pt>
                <c:pt idx="165">
                  <c:v>17103.43244811026</c:v>
                </c:pt>
                <c:pt idx="166">
                  <c:v>17076.00628557779</c:v>
                </c:pt>
                <c:pt idx="167">
                  <c:v>17048.58002264164</c:v>
                </c:pt>
                <c:pt idx="168">
                  <c:v>17018.47278025502</c:v>
                </c:pt>
                <c:pt idx="169">
                  <c:v>16993.13158103504</c:v>
                </c:pt>
                <c:pt idx="170">
                  <c:v>16963.49249388501</c:v>
                </c:pt>
                <c:pt idx="171">
                  <c:v>16938.1856295818</c:v>
                </c:pt>
                <c:pt idx="172">
                  <c:v>16909.14531624273</c:v>
                </c:pt>
                <c:pt idx="173">
                  <c:v>16880.20034267976</c:v>
                </c:pt>
                <c:pt idx="174">
                  <c:v>16855.91630440495</c:v>
                </c:pt>
                <c:pt idx="175">
                  <c:v>16827.74026248106</c:v>
                </c:pt>
                <c:pt idx="176">
                  <c:v>16801.84079337318</c:v>
                </c:pt>
                <c:pt idx="177">
                  <c:v>16772.83375718312</c:v>
                </c:pt>
                <c:pt idx="178">
                  <c:v>16747.47104989116</c:v>
                </c:pt>
                <c:pt idx="179">
                  <c:v>16721.48646694638</c:v>
                </c:pt>
                <c:pt idx="180">
                  <c:v>16693.62383841618</c:v>
                </c:pt>
                <c:pt idx="181">
                  <c:v>16667.92499642925</c:v>
                </c:pt>
                <c:pt idx="182">
                  <c:v>16640.05782058526</c:v>
                </c:pt>
                <c:pt idx="183">
                  <c:v>16615.74692609539</c:v>
                </c:pt>
                <c:pt idx="184">
                  <c:v>16587.81999177935</c:v>
                </c:pt>
                <c:pt idx="185">
                  <c:v>16560.40759266279</c:v>
                </c:pt>
                <c:pt idx="186">
                  <c:v>16534.53671055071</c:v>
                </c:pt>
                <c:pt idx="187">
                  <c:v>16508.91650069474</c:v>
                </c:pt>
                <c:pt idx="188">
                  <c:v>16481.50285514281</c:v>
                </c:pt>
                <c:pt idx="189">
                  <c:v>16456.29351283138</c:v>
                </c:pt>
                <c:pt idx="190">
                  <c:v>16433.44947800909</c:v>
                </c:pt>
                <c:pt idx="191">
                  <c:v>16410.21667262564</c:v>
                </c:pt>
                <c:pt idx="192">
                  <c:v>16386.46343791321</c:v>
                </c:pt>
                <c:pt idx="193">
                  <c:v>16361.55856302947</c:v>
                </c:pt>
                <c:pt idx="194">
                  <c:v>16340.11000591201</c:v>
                </c:pt>
                <c:pt idx="195">
                  <c:v>16319.34158378539</c:v>
                </c:pt>
                <c:pt idx="196">
                  <c:v>16299.57608673055</c:v>
                </c:pt>
                <c:pt idx="197">
                  <c:v>16276.78943004736</c:v>
                </c:pt>
                <c:pt idx="198">
                  <c:v>16259.99230717167</c:v>
                </c:pt>
                <c:pt idx="199">
                  <c:v>16243.37511964418</c:v>
                </c:pt>
                <c:pt idx="200">
                  <c:v>16226.19286852387</c:v>
                </c:pt>
                <c:pt idx="201">
                  <c:v>16211.22682879127</c:v>
                </c:pt>
                <c:pt idx="202">
                  <c:v>16199.88132053898</c:v>
                </c:pt>
                <c:pt idx="203">
                  <c:v>16187.00416442318</c:v>
                </c:pt>
                <c:pt idx="204">
                  <c:v>16173.65175963927</c:v>
                </c:pt>
                <c:pt idx="205">
                  <c:v>16162.97358879341</c:v>
                </c:pt>
                <c:pt idx="206">
                  <c:v>16153.27197573326</c:v>
                </c:pt>
                <c:pt idx="207">
                  <c:v>16145.69265746226</c:v>
                </c:pt>
                <c:pt idx="208">
                  <c:v>16138.15716894973</c:v>
                </c:pt>
                <c:pt idx="209">
                  <c:v>16133.28081281214</c:v>
                </c:pt>
                <c:pt idx="210">
                  <c:v>16126.9154296808</c:v>
                </c:pt>
                <c:pt idx="211">
                  <c:v>16118.90219150512</c:v>
                </c:pt>
                <c:pt idx="212">
                  <c:v>16115.1454127267</c:v>
                </c:pt>
                <c:pt idx="213">
                  <c:v>16112.1731342101</c:v>
                </c:pt>
                <c:pt idx="214">
                  <c:v>16107.70190007645</c:v>
                </c:pt>
                <c:pt idx="215">
                  <c:v>16104.63710024031</c:v>
                </c:pt>
                <c:pt idx="216">
                  <c:v>16098.23820003854</c:v>
                </c:pt>
                <c:pt idx="217">
                  <c:v>16096.39717703159</c:v>
                </c:pt>
                <c:pt idx="218">
                  <c:v>16094.33019373929</c:v>
                </c:pt>
                <c:pt idx="219">
                  <c:v>16091.31268234764</c:v>
                </c:pt>
                <c:pt idx="220">
                  <c:v>16089.81614188269</c:v>
                </c:pt>
                <c:pt idx="221">
                  <c:v>16085.72444035964</c:v>
                </c:pt>
                <c:pt idx="222">
                  <c:v>16085.16578911104</c:v>
                </c:pt>
                <c:pt idx="223">
                  <c:v>16081.93601801468</c:v>
                </c:pt>
                <c:pt idx="224">
                  <c:v>16081.26702888652</c:v>
                </c:pt>
                <c:pt idx="225">
                  <c:v>16082.44551255912</c:v>
                </c:pt>
                <c:pt idx="226">
                  <c:v>16080.86299526483</c:v>
                </c:pt>
                <c:pt idx="227">
                  <c:v>16082.68974091154</c:v>
                </c:pt>
                <c:pt idx="228">
                  <c:v>16084.40288243893</c:v>
                </c:pt>
                <c:pt idx="229">
                  <c:v>16087.13580263194</c:v>
                </c:pt>
                <c:pt idx="230">
                  <c:v>16087.76637498494</c:v>
                </c:pt>
                <c:pt idx="231">
                  <c:v>16091.08519304569</c:v>
                </c:pt>
                <c:pt idx="232">
                  <c:v>16093.12513812609</c:v>
                </c:pt>
                <c:pt idx="233">
                  <c:v>16095.45983017993</c:v>
                </c:pt>
                <c:pt idx="234">
                  <c:v>16096.84593445949</c:v>
                </c:pt>
                <c:pt idx="235">
                  <c:v>16102.91442084514</c:v>
                </c:pt>
                <c:pt idx="236">
                  <c:v>16103.59627183019</c:v>
                </c:pt>
                <c:pt idx="237">
                  <c:v>16107.41219622474</c:v>
                </c:pt>
                <c:pt idx="238">
                  <c:v>16109.56219691406</c:v>
                </c:pt>
                <c:pt idx="239">
                  <c:v>16115.86230736455</c:v>
                </c:pt>
                <c:pt idx="240">
                  <c:v>16117.13872788696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Ocean Model vs No-Ocean Control</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Ocean model margin</c:v>
          </c:tx>
          <c:spPr>
            <a:ln xmlns:a="http://schemas.openxmlformats.org/drawingml/2006/mai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c:v>
                </c:pt>
                <c:pt idx="2">
                  <c:v>11.52634483041223</c:v>
                </c:pt>
                <c:pt idx="3">
                  <c:v>11.45302171759445</c:v>
                </c:pt>
                <c:pt idx="4">
                  <c:v>11.53276772989145</c:v>
                </c:pt>
                <c:pt idx="5">
                  <c:v>11.46890073816452</c:v>
                </c:pt>
                <c:pt idx="6">
                  <c:v>11.49149876348529</c:v>
                </c:pt>
                <c:pt idx="7">
                  <c:v>11.48984468406683</c:v>
                </c:pt>
                <c:pt idx="8">
                  <c:v>11.39392874767143</c:v>
                </c:pt>
                <c:pt idx="9">
                  <c:v>11.43577600835145</c:v>
                </c:pt>
                <c:pt idx="10">
                  <c:v>11.38160795743978</c:v>
                </c:pt>
                <c:pt idx="11">
                  <c:v>11.31453847230041</c:v>
                </c:pt>
                <c:pt idx="12">
                  <c:v>11.31676271977868</c:v>
                </c:pt>
                <c:pt idx="13">
                  <c:v>11.24621668855234</c:v>
                </c:pt>
                <c:pt idx="14">
                  <c:v>11.23246928941607</c:v>
                </c:pt>
                <c:pt idx="15">
                  <c:v>11.20491915673801</c:v>
                </c:pt>
                <c:pt idx="16">
                  <c:v>11.1567749480677</c:v>
                </c:pt>
                <c:pt idx="17">
                  <c:v>11.07579900342258</c:v>
                </c:pt>
                <c:pt idx="18">
                  <c:v>11.12129354192287</c:v>
                </c:pt>
                <c:pt idx="19">
                  <c:v>11.1348695270927</c:v>
                </c:pt>
                <c:pt idx="20">
                  <c:v>11.0345363519266</c:v>
                </c:pt>
                <c:pt idx="21">
                  <c:v>11.10038897691558</c:v>
                </c:pt>
                <c:pt idx="22">
                  <c:v>11.05908203278765</c:v>
                </c:pt>
                <c:pt idx="23">
                  <c:v>11.07374383782</c:v>
                </c:pt>
                <c:pt idx="24">
                  <c:v>11.12437741666464</c:v>
                </c:pt>
                <c:pt idx="25">
                  <c:v>11.08394504464057</c:v>
                </c:pt>
                <c:pt idx="26">
                  <c:v>11.1201635961216</c:v>
                </c:pt>
                <c:pt idx="27">
                  <c:v>11.11835345536429</c:v>
                </c:pt>
                <c:pt idx="28">
                  <c:v>11.18562160111786</c:v>
                </c:pt>
                <c:pt idx="29">
                  <c:v>11.21367121174734</c:v>
                </c:pt>
                <c:pt idx="30">
                  <c:v>11.30086016955972</c:v>
                </c:pt>
                <c:pt idx="31">
                  <c:v>11.32705753436567</c:v>
                </c:pt>
                <c:pt idx="32">
                  <c:v>11.32870790510413</c:v>
                </c:pt>
                <c:pt idx="33">
                  <c:v>11.27714663164549</c:v>
                </c:pt>
                <c:pt idx="34">
                  <c:v>11.40206178681505</c:v>
                </c:pt>
                <c:pt idx="35">
                  <c:v>11.3912652899642</c:v>
                </c:pt>
                <c:pt idx="36">
                  <c:v>11.4332305644122</c:v>
                </c:pt>
                <c:pt idx="37">
                  <c:v>11.42407619571817</c:v>
                </c:pt>
                <c:pt idx="38">
                  <c:v>11.39547570748875</c:v>
                </c:pt>
                <c:pt idx="39">
                  <c:v>11.32692735289757</c:v>
                </c:pt>
                <c:pt idx="40">
                  <c:v>11.29372808599415</c:v>
                </c:pt>
                <c:pt idx="41">
                  <c:v>11.27416274270166</c:v>
                </c:pt>
                <c:pt idx="42">
                  <c:v>11.34004038802685</c:v>
                </c:pt>
                <c:pt idx="43">
                  <c:v>11.21882140419363</c:v>
                </c:pt>
                <c:pt idx="44">
                  <c:v>11.25227392903516</c:v>
                </c:pt>
                <c:pt idx="45">
                  <c:v>11.09266337497647</c:v>
                </c:pt>
                <c:pt idx="46">
                  <c:v>11.10278784003618</c:v>
                </c:pt>
                <c:pt idx="47">
                  <c:v>10.97723270378081</c:v>
                </c:pt>
                <c:pt idx="48">
                  <c:v>10.93981083708111</c:v>
                </c:pt>
                <c:pt idx="49">
                  <c:v>10.88898635109995</c:v>
                </c:pt>
                <c:pt idx="50">
                  <c:v>10.90780024221201</c:v>
                </c:pt>
                <c:pt idx="51">
                  <c:v>10.75599676425009</c:v>
                </c:pt>
                <c:pt idx="52">
                  <c:v>10.7452917117532</c:v>
                </c:pt>
                <c:pt idx="53">
                  <c:v>10.71019389507676</c:v>
                </c:pt>
                <c:pt idx="54">
                  <c:v>10.65656762663644</c:v>
                </c:pt>
                <c:pt idx="55">
                  <c:v>10.62468465463841</c:v>
                </c:pt>
                <c:pt idx="56">
                  <c:v>10.67539678543975</c:v>
                </c:pt>
                <c:pt idx="57">
                  <c:v>10.62308660212188</c:v>
                </c:pt>
                <c:pt idx="58">
                  <c:v>10.64169287538862</c:v>
                </c:pt>
                <c:pt idx="59">
                  <c:v>10.71655809091902</c:v>
                </c:pt>
                <c:pt idx="60">
                  <c:v>10.73728937465913</c:v>
                </c:pt>
                <c:pt idx="61">
                  <c:v>10.79858287399928</c:v>
                </c:pt>
                <c:pt idx="62">
                  <c:v>10.79102167215611</c:v>
                </c:pt>
                <c:pt idx="63">
                  <c:v>10.90257336727695</c:v>
                </c:pt>
                <c:pt idx="64">
                  <c:v>10.9095092792331</c:v>
                </c:pt>
                <c:pt idx="65">
                  <c:v>11.00207917935668</c:v>
                </c:pt>
                <c:pt idx="66">
                  <c:v>11.05788083658414</c:v>
                </c:pt>
                <c:pt idx="67">
                  <c:v>11.07787575402272</c:v>
                </c:pt>
                <c:pt idx="68">
                  <c:v>11.18594479601746</c:v>
                </c:pt>
                <c:pt idx="69">
                  <c:v>11.21482103261036</c:v>
                </c:pt>
                <c:pt idx="70">
                  <c:v>11.29472348449482</c:v>
                </c:pt>
                <c:pt idx="71">
                  <c:v>11.25719126249966</c:v>
                </c:pt>
                <c:pt idx="72">
                  <c:v>11.32541897125253</c:v>
                </c:pt>
                <c:pt idx="73">
                  <c:v>11.33824993906754</c:v>
                </c:pt>
                <c:pt idx="74">
                  <c:v>11.35169168023442</c:v>
                </c:pt>
                <c:pt idx="75">
                  <c:v>11.3603134654602</c:v>
                </c:pt>
                <c:pt idx="76">
                  <c:v>11.27257644440855</c:v>
                </c:pt>
                <c:pt idx="77">
                  <c:v>11.24712901678392</c:v>
                </c:pt>
                <c:pt idx="78">
                  <c:v>11.3541807223438</c:v>
                </c:pt>
                <c:pt idx="79">
                  <c:v>11.29055889328013</c:v>
                </c:pt>
                <c:pt idx="80">
                  <c:v>11.36069559448323</c:v>
                </c:pt>
                <c:pt idx="81">
                  <c:v>11.2993393562684</c:v>
                </c:pt>
                <c:pt idx="82">
                  <c:v>11.31823000417327</c:v>
                </c:pt>
                <c:pt idx="83">
                  <c:v>11.39398682082963</c:v>
                </c:pt>
                <c:pt idx="84">
                  <c:v>11.33397660875665</c:v>
                </c:pt>
                <c:pt idx="85">
                  <c:v>11.36696096351638</c:v>
                </c:pt>
                <c:pt idx="86">
                  <c:v>11.49055510616162</c:v>
                </c:pt>
                <c:pt idx="87">
                  <c:v>11.52282699257835</c:v>
                </c:pt>
                <c:pt idx="88">
                  <c:v>11.4683773460746</c:v>
                </c:pt>
                <c:pt idx="89">
                  <c:v>11.56256527893849</c:v>
                </c:pt>
                <c:pt idx="90">
                  <c:v>11.5733835741524</c:v>
                </c:pt>
                <c:pt idx="91">
                  <c:v>11.59696422901268</c:v>
                </c:pt>
                <c:pt idx="92">
                  <c:v>11.65303840634078</c:v>
                </c:pt>
                <c:pt idx="93">
                  <c:v>11.47799684997721</c:v>
                </c:pt>
                <c:pt idx="94">
                  <c:v>11.37990545394013</c:v>
                </c:pt>
                <c:pt idx="95">
                  <c:v>11.28956863687699</c:v>
                </c:pt>
                <c:pt idx="96">
                  <c:v>11.06899877662448</c:v>
                </c:pt>
                <c:pt idx="97">
                  <c:v>11.00071227984535</c:v>
                </c:pt>
                <c:pt idx="98">
                  <c:v>10.8487866974947</c:v>
                </c:pt>
                <c:pt idx="99">
                  <c:v>10.7156003512202</c:v>
                </c:pt>
                <c:pt idx="100">
                  <c:v>10.55293773126772</c:v>
                </c:pt>
                <c:pt idx="101">
                  <c:v>10.37937353917545</c:v>
                </c:pt>
                <c:pt idx="102">
                  <c:v>10.25926430689356</c:v>
                </c:pt>
                <c:pt idx="103">
                  <c:v>9.995583270854873</c:v>
                </c:pt>
                <c:pt idx="104">
                  <c:v>9.901768272525338</c:v>
                </c:pt>
                <c:pt idx="105">
                  <c:v>9.711086685932031</c:v>
                </c:pt>
                <c:pt idx="106">
                  <c:v>9.41680792153064</c:v>
                </c:pt>
                <c:pt idx="107">
                  <c:v>9.317874115560869</c:v>
                </c:pt>
                <c:pt idx="108">
                  <c:v>9.120701502071526</c:v>
                </c:pt>
                <c:pt idx="109">
                  <c:v>8.91432691731076</c:v>
                </c:pt>
                <c:pt idx="110">
                  <c:v>8.709851587082369</c:v>
                </c:pt>
                <c:pt idx="111">
                  <c:v>8.544905322863507</c:v>
                </c:pt>
                <c:pt idx="112">
                  <c:v>8.411822848460915</c:v>
                </c:pt>
                <c:pt idx="113">
                  <c:v>8.168158463866057</c:v>
                </c:pt>
                <c:pt idx="114">
                  <c:v>8.102847555252396</c:v>
                </c:pt>
                <c:pt idx="115">
                  <c:v>7.972725550696062</c:v>
                </c:pt>
                <c:pt idx="116">
                  <c:v>7.915332699430266</c:v>
                </c:pt>
                <c:pt idx="117">
                  <c:v>7.767002537245162</c:v>
                </c:pt>
                <c:pt idx="118">
                  <c:v>7.694701387861414</c:v>
                </c:pt>
                <c:pt idx="119">
                  <c:v>7.73995854210547</c:v>
                </c:pt>
                <c:pt idx="120">
                  <c:v>7.660593900141151</c:v>
                </c:pt>
                <c:pt idx="121">
                  <c:v>7.567993856149855</c:v>
                </c:pt>
                <c:pt idx="122">
                  <c:v>7.54154647978153</c:v>
                </c:pt>
                <c:pt idx="123">
                  <c:v>7.542491327555446</c:v>
                </c:pt>
                <c:pt idx="124">
                  <c:v>7.541716023960348</c:v>
                </c:pt>
                <c:pt idx="125">
                  <c:v>7.535639746382621</c:v>
                </c:pt>
                <c:pt idx="126">
                  <c:v>7.400773998090621</c:v>
                </c:pt>
                <c:pt idx="127">
                  <c:v>7.460025984144764</c:v>
                </c:pt>
                <c:pt idx="128">
                  <c:v>7.394540837486844</c:v>
                </c:pt>
                <c:pt idx="129">
                  <c:v>7.375491122166437</c:v>
                </c:pt>
                <c:pt idx="130">
                  <c:v>7.234433387496487</c:v>
                </c:pt>
                <c:pt idx="131">
                  <c:v>7.151128040150653</c:v>
                </c:pt>
                <c:pt idx="132">
                  <c:v>7.09162264425656</c:v>
                </c:pt>
                <c:pt idx="133">
                  <c:v>7.022772764799086</c:v>
                </c:pt>
                <c:pt idx="134">
                  <c:v>7.053779572031509</c:v>
                </c:pt>
                <c:pt idx="135">
                  <c:v>6.895222783514676</c:v>
                </c:pt>
                <c:pt idx="136">
                  <c:v>6.862655815818925</c:v>
                </c:pt>
                <c:pt idx="137">
                  <c:v>6.782690265200259</c:v>
                </c:pt>
                <c:pt idx="138">
                  <c:v>6.802640421381518</c:v>
                </c:pt>
                <c:pt idx="139">
                  <c:v>6.807868722571641</c:v>
                </c:pt>
                <c:pt idx="140">
                  <c:v>6.718651903261375</c:v>
                </c:pt>
                <c:pt idx="141">
                  <c:v>6.674218168787895</c:v>
                </c:pt>
                <c:pt idx="142">
                  <c:v>6.748857559477365</c:v>
                </c:pt>
                <c:pt idx="143">
                  <c:v>6.746361374428936</c:v>
                </c:pt>
                <c:pt idx="144">
                  <c:v>6.745472212837427</c:v>
                </c:pt>
                <c:pt idx="145">
                  <c:v>6.861592334330702</c:v>
                </c:pt>
                <c:pt idx="146">
                  <c:v>6.904695729184013</c:v>
                </c:pt>
                <c:pt idx="147">
                  <c:v>6.883674818100538</c:v>
                </c:pt>
                <c:pt idx="148">
                  <c:v>6.983140154018237</c:v>
                </c:pt>
                <c:pt idx="149">
                  <c:v>7.085612794805655</c:v>
                </c:pt>
                <c:pt idx="150">
                  <c:v>7.101667015848548</c:v>
                </c:pt>
                <c:pt idx="151">
                  <c:v>7.183813204236564</c:v>
                </c:pt>
                <c:pt idx="152">
                  <c:v>7.312281132748666</c:v>
                </c:pt>
                <c:pt idx="153">
                  <c:v>7.452123186476463</c:v>
                </c:pt>
                <c:pt idx="154">
                  <c:v>7.553099997733234</c:v>
                </c:pt>
                <c:pt idx="155">
                  <c:v>7.72182772155417</c:v>
                </c:pt>
                <c:pt idx="156">
                  <c:v>7.871789319045057</c:v>
                </c:pt>
                <c:pt idx="157">
                  <c:v>7.987460755726516</c:v>
                </c:pt>
                <c:pt idx="158">
                  <c:v>8.197329884976114</c:v>
                </c:pt>
                <c:pt idx="159">
                  <c:v>8.373013417403463</c:v>
                </c:pt>
                <c:pt idx="160">
                  <c:v>8.52871953787821</c:v>
                </c:pt>
                <c:pt idx="161">
                  <c:v>8.690092134778155</c:v>
                </c:pt>
                <c:pt idx="162">
                  <c:v>8.839215672583947</c:v>
                </c:pt>
                <c:pt idx="163">
                  <c:v>9.007858255554396</c:v>
                </c:pt>
                <c:pt idx="164">
                  <c:v>9.183034296557857</c:v>
                </c:pt>
                <c:pt idx="165">
                  <c:v>9.317959401068556</c:v>
                </c:pt>
                <c:pt idx="166">
                  <c:v>9.459509854063064</c:v>
                </c:pt>
                <c:pt idx="167">
                  <c:v>9.590918785865675</c:v>
                </c:pt>
                <c:pt idx="168">
                  <c:v>9.8057384174951</c:v>
                </c:pt>
                <c:pt idx="169">
                  <c:v>9.849415253344866</c:v>
                </c:pt>
                <c:pt idx="170">
                  <c:v>10.03490234882954</c:v>
                </c:pt>
                <c:pt idx="171">
                  <c:v>10.06698150614186</c:v>
                </c:pt>
                <c:pt idx="172">
                  <c:v>10.22428744383549</c:v>
                </c:pt>
                <c:pt idx="173">
                  <c:v>10.37661708334819</c:v>
                </c:pt>
                <c:pt idx="174">
                  <c:v>10.36843087988111</c:v>
                </c:pt>
                <c:pt idx="175">
                  <c:v>10.4950775523245</c:v>
                </c:pt>
                <c:pt idx="176">
                  <c:v>10.54588870516282</c:v>
                </c:pt>
                <c:pt idx="177">
                  <c:v>10.70725866891399</c:v>
                </c:pt>
                <c:pt idx="178">
                  <c:v>10.74842526534942</c:v>
                </c:pt>
                <c:pt idx="179">
                  <c:v>10.81730764228115</c:v>
                </c:pt>
                <c:pt idx="180">
                  <c:v>10.95833639276857</c:v>
                </c:pt>
                <c:pt idx="181">
                  <c:v>11.03381009253146</c:v>
                </c:pt>
                <c:pt idx="182">
                  <c:v>11.19381724681749</c:v>
                </c:pt>
                <c:pt idx="183">
                  <c:v>11.24274464155326</c:v>
                </c:pt>
                <c:pt idx="184">
                  <c:v>11.42822537533861</c:v>
                </c:pt>
                <c:pt idx="185">
                  <c:v>11.60935368443442</c:v>
                </c:pt>
                <c:pt idx="186">
                  <c:v>11.75185432164957</c:v>
                </c:pt>
                <c:pt idx="187">
                  <c:v>11.90107250959217</c:v>
                </c:pt>
                <c:pt idx="188">
                  <c:v>11.93839405738957</c:v>
                </c:pt>
                <c:pt idx="189">
                  <c:v>11.86064947034479</c:v>
                </c:pt>
                <c:pt idx="190">
                  <c:v>11.83772270516697</c:v>
                </c:pt>
                <c:pt idx="191">
                  <c:v>11.78409463500163</c:v>
                </c:pt>
                <c:pt idx="192">
                  <c:v>11.69499691727194</c:v>
                </c:pt>
                <c:pt idx="193">
                  <c:v>11.55034578468457</c:v>
                </c:pt>
                <c:pt idx="194">
                  <c:v>11.49133184510526</c:v>
                </c:pt>
                <c:pt idx="195">
                  <c:v>11.43198382487959</c:v>
                </c:pt>
                <c:pt idx="196">
                  <c:v>11.38174980535786</c:v>
                </c:pt>
                <c:pt idx="197">
                  <c:v>11.21637855478378</c:v>
                </c:pt>
                <c:pt idx="198">
                  <c:v>11.21277836309522</c:v>
                </c:pt>
                <c:pt idx="199">
                  <c:v>11.1918771296147</c:v>
                </c:pt>
                <c:pt idx="200">
                  <c:v>11.13050910553211</c:v>
                </c:pt>
                <c:pt idx="201">
                  <c:v>11.11407848530896</c:v>
                </c:pt>
                <c:pt idx="202">
                  <c:v>11.18567996026136</c:v>
                </c:pt>
                <c:pt idx="203">
                  <c:v>11.18671648369239</c:v>
                </c:pt>
                <c:pt idx="204">
                  <c:v>11.14969854878346</c:v>
                </c:pt>
                <c:pt idx="205">
                  <c:v>11.17160396082725</c:v>
                </c:pt>
                <c:pt idx="206">
                  <c:v>11.20031595327293</c:v>
                </c:pt>
                <c:pt idx="207">
                  <c:v>11.27127220203305</c:v>
                </c:pt>
                <c:pt idx="208">
                  <c:v>11.32075461832474</c:v>
                </c:pt>
                <c:pt idx="209">
                  <c:v>11.42953542060628</c:v>
                </c:pt>
                <c:pt idx="210">
                  <c:v>11.47032050127067</c:v>
                </c:pt>
                <c:pt idx="211">
                  <c:v>11.43862678783039</c:v>
                </c:pt>
                <c:pt idx="212">
                  <c:v>11.51659478961149</c:v>
                </c:pt>
                <c:pt idx="213">
                  <c:v>11.59789399182183</c:v>
                </c:pt>
                <c:pt idx="214">
                  <c:v>11.61281428733101</c:v>
                </c:pt>
                <c:pt idx="215">
                  <c:v>11.65136026564821</c:v>
                </c:pt>
                <c:pt idx="216">
                  <c:v>11.56830491117452</c:v>
                </c:pt>
                <c:pt idx="217">
                  <c:v>11.60718387997792</c:v>
                </c:pt>
                <c:pt idx="218">
                  <c:v>11.62151981749273</c:v>
                </c:pt>
                <c:pt idx="219">
                  <c:v>11.58978242593383</c:v>
                </c:pt>
                <c:pt idx="220">
                  <c:v>11.58882399170179</c:v>
                </c:pt>
                <c:pt idx="221">
                  <c:v>11.49281845177034</c:v>
                </c:pt>
                <c:pt idx="222">
                  <c:v>11.49120263676178</c:v>
                </c:pt>
                <c:pt idx="223">
                  <c:v>11.39395547299986</c:v>
                </c:pt>
                <c:pt idx="224">
                  <c:v>11.36298445980167</c:v>
                </c:pt>
                <c:pt idx="225">
                  <c:v>11.37727591817131</c:v>
                </c:pt>
                <c:pt idx="226">
                  <c:v>11.29597495195052</c:v>
                </c:pt>
                <c:pt idx="227">
                  <c:v>11.30991944726983</c:v>
                </c:pt>
                <c:pt idx="228">
                  <c:v>11.3116884587697</c:v>
                </c:pt>
                <c:pt idx="229">
                  <c:v>11.33715016035401</c:v>
                </c:pt>
                <c:pt idx="230">
                  <c:v>11.29123127154021</c:v>
                </c:pt>
                <c:pt idx="231">
                  <c:v>11.32234783363091</c:v>
                </c:pt>
                <c:pt idx="232">
                  <c:v>11.3094291673807</c:v>
                </c:pt>
                <c:pt idx="233">
                  <c:v>11.30189861302636</c:v>
                </c:pt>
                <c:pt idx="234">
                  <c:v>11.26249236075319</c:v>
                </c:pt>
                <c:pt idx="235">
                  <c:v>11.36547036112528</c:v>
                </c:pt>
                <c:pt idx="236">
                  <c:v>11.30197015687966</c:v>
                </c:pt>
                <c:pt idx="237">
                  <c:v>11.33514744268501</c:v>
                </c:pt>
                <c:pt idx="238">
                  <c:v>11.31824360793034</c:v>
                </c:pt>
                <c:pt idx="239">
                  <c:v>11.43115049653733</c:v>
                </c:pt>
                <c:pt idx="240">
                  <c:v>11.39247864260339</c:v>
                </c:pt>
              </c:numCache>
            </c:numRef>
          </c:yVal>
        </c:ser>
        <c:ser>
          <c:idx val="1"/>
          <c:order val="1"/>
          <c:tx>
            <c:v>No-ocean control margin</c:v>
          </c:tx>
          <c:spPr>
            <a:ln xmlns:a="http://schemas.openxmlformats.org/drawingml/2006/mai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-15.86776747823512</c:v>
                </c:pt>
                <c:pt idx="1">
                  <c:v>-16</c:v>
                </c:pt>
                <c:pt idx="2">
                  <c:v>-16.12664011612724</c:v>
                </c:pt>
                <c:pt idx="3">
                  <c:v>-16.24697960371747</c:v>
                </c:pt>
                <c:pt idx="4">
                  <c:v>-16.36034547554184</c:v>
                </c:pt>
                <c:pt idx="5">
                  <c:v>-16.46610374365965</c:v>
                </c:pt>
                <c:pt idx="6">
                  <c:v>-16.56366296493606</c:v>
                </c:pt>
                <c:pt idx="7">
                  <c:v>-16.65247754863199</c:v>
                </c:pt>
                <c:pt idx="8">
                  <c:v>-16.73205080756888</c:v>
                </c:pt>
                <c:pt idx="9">
                  <c:v>-16.80193773580484</c:v>
                </c:pt>
                <c:pt idx="10">
                  <c:v>-16.86174749728841</c:v>
                </c:pt>
                <c:pt idx="11">
                  <c:v>-16.91114561157228</c:v>
                </c:pt>
                <c:pt idx="12">
                  <c:v>-16.94985582436365</c:v>
                </c:pt>
                <c:pt idx="13">
                  <c:v>-16.97766165245026</c:v>
                </c:pt>
                <c:pt idx="14">
                  <c:v>-16.99440759436236</c:v>
                </c:pt>
                <c:pt idx="15">
                  <c:v>-17</c:v>
                </c:pt>
                <c:pt idx="16">
                  <c:v>-16.99440759436236</c:v>
                </c:pt>
                <c:pt idx="17">
                  <c:v>-16.97766165245026</c:v>
                </c:pt>
                <c:pt idx="18">
                  <c:v>-16.94985582436365</c:v>
                </c:pt>
                <c:pt idx="19">
                  <c:v>-16.91114561157228</c:v>
                </c:pt>
                <c:pt idx="20">
                  <c:v>-16.86174749728841</c:v>
                </c:pt>
                <c:pt idx="21">
                  <c:v>-16.80193773580484</c:v>
                </c:pt>
                <c:pt idx="22">
                  <c:v>-16.73205080756887</c:v>
                </c:pt>
                <c:pt idx="23">
                  <c:v>-16.65247754863199</c:v>
                </c:pt>
                <c:pt idx="24">
                  <c:v>-16.56366296493606</c:v>
                </c:pt>
                <c:pt idx="25">
                  <c:v>-16.46610374365965</c:v>
                </c:pt>
                <c:pt idx="26">
                  <c:v>-16.36034547554184</c:v>
                </c:pt>
                <c:pt idx="27">
                  <c:v>-16.24697960371747</c:v>
                </c:pt>
                <c:pt idx="28">
                  <c:v>-16.12664011612724</c:v>
                </c:pt>
                <c:pt idx="29">
                  <c:v>-16</c:v>
                </c:pt>
                <c:pt idx="30">
                  <c:v>-15.86776747823512</c:v>
                </c:pt>
                <c:pt idx="31">
                  <c:v>-15.73068204873279</c:v>
                </c:pt>
                <c:pt idx="32">
                  <c:v>-15.58951034882181</c:v>
                </c:pt>
                <c:pt idx="33">
                  <c:v>-15.44504186791263</c:v>
                </c:pt>
                <c:pt idx="34">
                  <c:v>-15.29808453235235</c:v>
                </c:pt>
                <c:pt idx="35">
                  <c:v>-15.14946018717285</c:v>
                </c:pt>
                <c:pt idx="36">
                  <c:v>-15</c:v>
                </c:pt>
                <c:pt idx="37">
                  <c:v>-14.85053981282715</c:v>
                </c:pt>
                <c:pt idx="38">
                  <c:v>-14.70191546764765</c:v>
                </c:pt>
                <c:pt idx="39">
                  <c:v>-14.55495813208737</c:v>
                </c:pt>
                <c:pt idx="40">
                  <c:v>-14.41048965117819</c:v>
                </c:pt>
                <c:pt idx="41">
                  <c:v>-14.26931795126721</c:v>
                </c:pt>
                <c:pt idx="42">
                  <c:v>-14.13223252176488</c:v>
                </c:pt>
                <c:pt idx="43">
                  <c:v>-14</c:v>
                </c:pt>
                <c:pt idx="44">
                  <c:v>-13.87335988387276</c:v>
                </c:pt>
                <c:pt idx="45">
                  <c:v>-13.75302039628253</c:v>
                </c:pt>
                <c:pt idx="46">
                  <c:v>-13.63965452445816</c:v>
                </c:pt>
                <c:pt idx="47">
                  <c:v>-13.53389625634035</c:v>
                </c:pt>
                <c:pt idx="48">
                  <c:v>-13.43633703506394</c:v>
                </c:pt>
                <c:pt idx="49">
                  <c:v>-13.34752245136801</c:v>
                </c:pt>
                <c:pt idx="50">
                  <c:v>-13.26794919243112</c:v>
                </c:pt>
                <c:pt idx="51">
                  <c:v>-13.19806226419516</c:v>
                </c:pt>
                <c:pt idx="52">
                  <c:v>-13.13825250271159</c:v>
                </c:pt>
                <c:pt idx="53">
                  <c:v>-13.08885438842772</c:v>
                </c:pt>
                <c:pt idx="54">
                  <c:v>-13.05014417563635</c:v>
                </c:pt>
                <c:pt idx="55">
                  <c:v>-13.02233834754974</c:v>
                </c:pt>
                <c:pt idx="56">
                  <c:v>-13.00559240563764</c:v>
                </c:pt>
                <c:pt idx="57">
                  <c:v>-13</c:v>
                </c:pt>
                <c:pt idx="58">
                  <c:v>-13.00559240563764</c:v>
                </c:pt>
                <c:pt idx="59">
                  <c:v>-13.02233834754974</c:v>
                </c:pt>
                <c:pt idx="60">
                  <c:v>-13.05014417563635</c:v>
                </c:pt>
                <c:pt idx="61">
                  <c:v>-13.08885438842772</c:v>
                </c:pt>
                <c:pt idx="62">
                  <c:v>-13.13825250271159</c:v>
                </c:pt>
                <c:pt idx="63">
                  <c:v>-13.19806226419516</c:v>
                </c:pt>
                <c:pt idx="64">
                  <c:v>-13.26794919243112</c:v>
                </c:pt>
                <c:pt idx="65">
                  <c:v>-13.34752245136801</c:v>
                </c:pt>
                <c:pt idx="66">
                  <c:v>-13.43633703506394</c:v>
                </c:pt>
                <c:pt idx="67">
                  <c:v>-13.53389625634035</c:v>
                </c:pt>
                <c:pt idx="68">
                  <c:v>-13.63965452445816</c:v>
                </c:pt>
                <c:pt idx="69">
                  <c:v>-13.75302039628253</c:v>
                </c:pt>
                <c:pt idx="70">
                  <c:v>-13.87335988387276</c:v>
                </c:pt>
                <c:pt idx="71">
                  <c:v>-14</c:v>
                </c:pt>
                <c:pt idx="72">
                  <c:v>-14.13223252176488</c:v>
                </c:pt>
                <c:pt idx="73">
                  <c:v>-14.26931795126721</c:v>
                </c:pt>
                <c:pt idx="74">
                  <c:v>-14.41048965117819</c:v>
                </c:pt>
                <c:pt idx="75">
                  <c:v>-14.55495813208737</c:v>
                </c:pt>
                <c:pt idx="76">
                  <c:v>-14.70191546764765</c:v>
                </c:pt>
                <c:pt idx="77">
                  <c:v>-14.85053981282715</c:v>
                </c:pt>
                <c:pt idx="78">
                  <c:v>-15</c:v>
                </c:pt>
                <c:pt idx="79">
                  <c:v>-15.14946018717285</c:v>
                </c:pt>
                <c:pt idx="80">
                  <c:v>-15.29808453235235</c:v>
                </c:pt>
                <c:pt idx="81">
                  <c:v>-15.44504186791263</c:v>
                </c:pt>
                <c:pt idx="82">
                  <c:v>-15.58951034882181</c:v>
                </c:pt>
                <c:pt idx="83">
                  <c:v>-15.73068204873279</c:v>
                </c:pt>
                <c:pt idx="84">
                  <c:v>-15.86776747823512</c:v>
                </c:pt>
                <c:pt idx="85">
                  <c:v>-16</c:v>
                </c:pt>
                <c:pt idx="86">
                  <c:v>-16.12664011612724</c:v>
                </c:pt>
                <c:pt idx="87">
                  <c:v>-16.24697960371747</c:v>
                </c:pt>
                <c:pt idx="88">
                  <c:v>-16.36034547554184</c:v>
                </c:pt>
                <c:pt idx="89">
                  <c:v>-16.46610374365965</c:v>
                </c:pt>
                <c:pt idx="90">
                  <c:v>-16.56366296493606</c:v>
                </c:pt>
                <c:pt idx="91">
                  <c:v>-16.65247754863199</c:v>
                </c:pt>
                <c:pt idx="92">
                  <c:v>-16.73205080756888</c:v>
                </c:pt>
                <c:pt idx="93">
                  <c:v>-16.80193773580484</c:v>
                </c:pt>
                <c:pt idx="94">
                  <c:v>-16.86174749728841</c:v>
                </c:pt>
                <c:pt idx="95">
                  <c:v>-16.91114561157228</c:v>
                </c:pt>
                <c:pt idx="96">
                  <c:v>-16.94985582436365</c:v>
                </c:pt>
                <c:pt idx="97">
                  <c:v>-16.97766165245026</c:v>
                </c:pt>
                <c:pt idx="98">
                  <c:v>-16.99440759436236</c:v>
                </c:pt>
                <c:pt idx="99">
                  <c:v>-17</c:v>
                </c:pt>
                <c:pt idx="100">
                  <c:v>-16.99440759436236</c:v>
                </c:pt>
                <c:pt idx="101">
                  <c:v>-16.97766165245026</c:v>
                </c:pt>
                <c:pt idx="102">
                  <c:v>-16.94985582436365</c:v>
                </c:pt>
                <c:pt idx="103">
                  <c:v>-16.91114561157228</c:v>
                </c:pt>
                <c:pt idx="104">
                  <c:v>-16.86174749728841</c:v>
                </c:pt>
                <c:pt idx="105">
                  <c:v>-16.80193773580484</c:v>
                </c:pt>
                <c:pt idx="106">
                  <c:v>-16.73205080756888</c:v>
                </c:pt>
                <c:pt idx="107">
                  <c:v>-16.65247754863199</c:v>
                </c:pt>
                <c:pt idx="108">
                  <c:v>-16.56366296493606</c:v>
                </c:pt>
                <c:pt idx="109">
                  <c:v>-16.46610374365965</c:v>
                </c:pt>
                <c:pt idx="110">
                  <c:v>-16.36034547554184</c:v>
                </c:pt>
                <c:pt idx="111">
                  <c:v>-16.24697960371747</c:v>
                </c:pt>
                <c:pt idx="112">
                  <c:v>-16.12664011612724</c:v>
                </c:pt>
                <c:pt idx="113">
                  <c:v>-16</c:v>
                </c:pt>
                <c:pt idx="114">
                  <c:v>-15.86776747823512</c:v>
                </c:pt>
                <c:pt idx="115">
                  <c:v>-15.73068204873279</c:v>
                </c:pt>
                <c:pt idx="116">
                  <c:v>-15.58951034882181</c:v>
                </c:pt>
                <c:pt idx="117">
                  <c:v>-15.44504186791263</c:v>
                </c:pt>
                <c:pt idx="118">
                  <c:v>-15.29808453235235</c:v>
                </c:pt>
                <c:pt idx="119">
                  <c:v>-15.14946018717285</c:v>
                </c:pt>
                <c:pt idx="120">
                  <c:v>-15</c:v>
                </c:pt>
                <c:pt idx="121">
                  <c:v>-14.85053981282715</c:v>
                </c:pt>
                <c:pt idx="122">
                  <c:v>-14.70191546764765</c:v>
                </c:pt>
                <c:pt idx="123">
                  <c:v>-14.55495813208737</c:v>
                </c:pt>
                <c:pt idx="124">
                  <c:v>-14.41048965117819</c:v>
                </c:pt>
                <c:pt idx="125">
                  <c:v>-14.26931795126721</c:v>
                </c:pt>
                <c:pt idx="126">
                  <c:v>-14.13223252176488</c:v>
                </c:pt>
                <c:pt idx="127">
                  <c:v>-14</c:v>
                </c:pt>
                <c:pt idx="128">
                  <c:v>-13.87335988387276</c:v>
                </c:pt>
                <c:pt idx="129">
                  <c:v>-13.75302039628253</c:v>
                </c:pt>
                <c:pt idx="130">
                  <c:v>-13.63965452445816</c:v>
                </c:pt>
                <c:pt idx="131">
                  <c:v>-13.53389625634035</c:v>
                </c:pt>
                <c:pt idx="132">
                  <c:v>-13.43633703506394</c:v>
                </c:pt>
                <c:pt idx="133">
                  <c:v>-13.34752245136801</c:v>
                </c:pt>
                <c:pt idx="134">
                  <c:v>-13.26794919243112</c:v>
                </c:pt>
                <c:pt idx="135">
                  <c:v>-13.19806226419516</c:v>
                </c:pt>
                <c:pt idx="136">
                  <c:v>-13.13825250271159</c:v>
                </c:pt>
                <c:pt idx="137">
                  <c:v>-13.08885438842772</c:v>
                </c:pt>
                <c:pt idx="138">
                  <c:v>-13.05014417563635</c:v>
                </c:pt>
                <c:pt idx="139">
                  <c:v>-13.02233834754974</c:v>
                </c:pt>
                <c:pt idx="140">
                  <c:v>-13.00559240563764</c:v>
                </c:pt>
                <c:pt idx="141">
                  <c:v>-13</c:v>
                </c:pt>
                <c:pt idx="142">
                  <c:v>-13.00559240563764</c:v>
                </c:pt>
                <c:pt idx="143">
                  <c:v>-13.02233834754974</c:v>
                </c:pt>
                <c:pt idx="144">
                  <c:v>-13.05014417563635</c:v>
                </c:pt>
                <c:pt idx="145">
                  <c:v>-13.08885438842772</c:v>
                </c:pt>
                <c:pt idx="146">
                  <c:v>-13.13825250271159</c:v>
                </c:pt>
                <c:pt idx="147">
                  <c:v>-13.19806226419516</c:v>
                </c:pt>
                <c:pt idx="148">
                  <c:v>-13.26794919243112</c:v>
                </c:pt>
                <c:pt idx="149">
                  <c:v>-13.34752245136801</c:v>
                </c:pt>
                <c:pt idx="150">
                  <c:v>-13.43633703506394</c:v>
                </c:pt>
                <c:pt idx="151">
                  <c:v>-13.53389625634035</c:v>
                </c:pt>
                <c:pt idx="152">
                  <c:v>-13.63965452445816</c:v>
                </c:pt>
                <c:pt idx="153">
                  <c:v>-13.75302039628253</c:v>
                </c:pt>
                <c:pt idx="154">
                  <c:v>-13.87335988387276</c:v>
                </c:pt>
                <c:pt idx="155">
                  <c:v>-14</c:v>
                </c:pt>
                <c:pt idx="156">
                  <c:v>-14.13223252176488</c:v>
                </c:pt>
                <c:pt idx="157">
                  <c:v>-14.26931795126721</c:v>
                </c:pt>
                <c:pt idx="158">
                  <c:v>-14.41048965117819</c:v>
                </c:pt>
                <c:pt idx="159">
                  <c:v>-14.55495813208737</c:v>
                </c:pt>
                <c:pt idx="160">
                  <c:v>-14.70191546764765</c:v>
                </c:pt>
                <c:pt idx="161">
                  <c:v>-14.85053981282715</c:v>
                </c:pt>
                <c:pt idx="162">
                  <c:v>-15</c:v>
                </c:pt>
                <c:pt idx="163">
                  <c:v>-15.14946018717285</c:v>
                </c:pt>
                <c:pt idx="164">
                  <c:v>-15.29808453235235</c:v>
                </c:pt>
                <c:pt idx="165">
                  <c:v>-15.44504186791263</c:v>
                </c:pt>
                <c:pt idx="166">
                  <c:v>-15.58951034882181</c:v>
                </c:pt>
                <c:pt idx="167">
                  <c:v>-15.73068204873279</c:v>
                </c:pt>
                <c:pt idx="168">
                  <c:v>-15.86776747823512</c:v>
                </c:pt>
                <c:pt idx="169">
                  <c:v>-16</c:v>
                </c:pt>
                <c:pt idx="170">
                  <c:v>-16.12664011612724</c:v>
                </c:pt>
                <c:pt idx="171">
                  <c:v>-16.24697960371747</c:v>
                </c:pt>
                <c:pt idx="172">
                  <c:v>-16.36034547554184</c:v>
                </c:pt>
                <c:pt idx="173">
                  <c:v>-16.46610374365965</c:v>
                </c:pt>
                <c:pt idx="174">
                  <c:v>-16.56366296493606</c:v>
                </c:pt>
                <c:pt idx="175">
                  <c:v>-16.65247754863199</c:v>
                </c:pt>
                <c:pt idx="176">
                  <c:v>-16.73205080756887</c:v>
                </c:pt>
                <c:pt idx="177">
                  <c:v>-16.80193773580484</c:v>
                </c:pt>
                <c:pt idx="178">
                  <c:v>-16.86174749728841</c:v>
                </c:pt>
                <c:pt idx="179">
                  <c:v>-16.91114561157228</c:v>
                </c:pt>
                <c:pt idx="180">
                  <c:v>-16.94985582436365</c:v>
                </c:pt>
                <c:pt idx="181">
                  <c:v>-16.97766165245026</c:v>
                </c:pt>
                <c:pt idx="182">
                  <c:v>-16.99440759436236</c:v>
                </c:pt>
                <c:pt idx="183">
                  <c:v>-17</c:v>
                </c:pt>
                <c:pt idx="184">
                  <c:v>-16.99440759436236</c:v>
                </c:pt>
                <c:pt idx="185">
                  <c:v>-16.97766165245026</c:v>
                </c:pt>
                <c:pt idx="186">
                  <c:v>-16.94985582436365</c:v>
                </c:pt>
                <c:pt idx="187">
                  <c:v>-16.91114561157228</c:v>
                </c:pt>
                <c:pt idx="188">
                  <c:v>-16.86174749728841</c:v>
                </c:pt>
                <c:pt idx="189">
                  <c:v>-16.80193773580484</c:v>
                </c:pt>
                <c:pt idx="190">
                  <c:v>-16.73205080756888</c:v>
                </c:pt>
                <c:pt idx="191">
                  <c:v>-16.65247754863199</c:v>
                </c:pt>
                <c:pt idx="192">
                  <c:v>-16.56366296493606</c:v>
                </c:pt>
                <c:pt idx="193">
                  <c:v>-16.46610374365966</c:v>
                </c:pt>
                <c:pt idx="194">
                  <c:v>-16.36034547554184</c:v>
                </c:pt>
                <c:pt idx="195">
                  <c:v>-16.24697960371747</c:v>
                </c:pt>
                <c:pt idx="196">
                  <c:v>-16.12664011612724</c:v>
                </c:pt>
                <c:pt idx="197">
                  <c:v>-16</c:v>
                </c:pt>
                <c:pt idx="198">
                  <c:v>-15.86776747823512</c:v>
                </c:pt>
                <c:pt idx="199">
                  <c:v>-15.73068204873279</c:v>
                </c:pt>
                <c:pt idx="200">
                  <c:v>-15.58951034882181</c:v>
                </c:pt>
                <c:pt idx="201">
                  <c:v>-15.44504186791263</c:v>
                </c:pt>
                <c:pt idx="202">
                  <c:v>-15.29808453235235</c:v>
                </c:pt>
                <c:pt idx="203">
                  <c:v>-15.14946018717285</c:v>
                </c:pt>
                <c:pt idx="204">
                  <c:v>-15</c:v>
                </c:pt>
                <c:pt idx="205">
                  <c:v>-14.85053981282715</c:v>
                </c:pt>
                <c:pt idx="206">
                  <c:v>-14.70191546764765</c:v>
                </c:pt>
                <c:pt idx="207">
                  <c:v>-14.55495813208737</c:v>
                </c:pt>
                <c:pt idx="208">
                  <c:v>-14.41048965117819</c:v>
                </c:pt>
                <c:pt idx="209">
                  <c:v>-14.26931795126721</c:v>
                </c:pt>
                <c:pt idx="210">
                  <c:v>-14.13223252176488</c:v>
                </c:pt>
                <c:pt idx="211">
                  <c:v>-14</c:v>
                </c:pt>
                <c:pt idx="212">
                  <c:v>-13.87335988387276</c:v>
                </c:pt>
                <c:pt idx="213">
                  <c:v>-13.75302039628254</c:v>
                </c:pt>
                <c:pt idx="214">
                  <c:v>-13.63965452445816</c:v>
                </c:pt>
                <c:pt idx="215">
                  <c:v>-13.53389625634035</c:v>
                </c:pt>
                <c:pt idx="216">
                  <c:v>-13.43633703506394</c:v>
                </c:pt>
                <c:pt idx="217">
                  <c:v>-13.34752245136801</c:v>
                </c:pt>
                <c:pt idx="218">
                  <c:v>-13.26794919243112</c:v>
                </c:pt>
                <c:pt idx="219">
                  <c:v>-13.19806226419516</c:v>
                </c:pt>
                <c:pt idx="220">
                  <c:v>-13.13825250271159</c:v>
                </c:pt>
                <c:pt idx="221">
                  <c:v>-13.08885438842772</c:v>
                </c:pt>
                <c:pt idx="222">
                  <c:v>-13.05014417563635</c:v>
                </c:pt>
                <c:pt idx="223">
                  <c:v>-13.02233834754974</c:v>
                </c:pt>
                <c:pt idx="224">
                  <c:v>-13.00559240563764</c:v>
                </c:pt>
                <c:pt idx="225">
                  <c:v>-13</c:v>
                </c:pt>
                <c:pt idx="226">
                  <c:v>-13.00559240563764</c:v>
                </c:pt>
                <c:pt idx="227">
                  <c:v>-13.02233834754974</c:v>
                </c:pt>
                <c:pt idx="228">
                  <c:v>-13.05014417563635</c:v>
                </c:pt>
                <c:pt idx="229">
                  <c:v>-13.08885438842772</c:v>
                </c:pt>
                <c:pt idx="230">
                  <c:v>-13.13825250271159</c:v>
                </c:pt>
                <c:pt idx="231">
                  <c:v>-13.19806226419516</c:v>
                </c:pt>
                <c:pt idx="232">
                  <c:v>-13.26794919243112</c:v>
                </c:pt>
                <c:pt idx="233">
                  <c:v>-13.34752245136801</c:v>
                </c:pt>
                <c:pt idx="234">
                  <c:v>-13.43633703506394</c:v>
                </c:pt>
                <c:pt idx="235">
                  <c:v>-13.53389625634035</c:v>
                </c:pt>
                <c:pt idx="236">
                  <c:v>-13.63965452445816</c:v>
                </c:pt>
                <c:pt idx="237">
                  <c:v>-13.75302039628253</c:v>
                </c:pt>
                <c:pt idx="238">
                  <c:v>-13.87335988387276</c:v>
                </c:pt>
                <c:pt idx="239">
                  <c:v>-14</c:v>
                </c:pt>
                <c:pt idx="240">
                  <c:v>-14.13223252176488</c:v>
                </c:pt>
              </c:numCache>
            </c:numRef>
          </c:yVal>
        </c:ser>
        <c:ser>
          <c:idx val="2"/>
          <c:order val="2"/>
          <c:tx>
            <c:v>Zero threshold</c:v>
          </c:tx>
          <c:spPr>
            <a:ln xmlns:a="http://schemas.openxmlformats.org/drawingml/2006/mai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Radargram-Style Return Timing With Clutter</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Surface clutter upper</c:v>
          </c:tx>
          <c:spPr>
            <a:ln xmlns:a="http://schemas.openxmlformats.org/drawingml/2006/mai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13.46239186827274</c:v>
                </c:pt>
                <c:pt idx="1">
                  <c:v>13.42658477444273</c:v>
                </c:pt>
                <c:pt idx="2">
                  <c:v>13.37929165882718</c:v>
                </c:pt>
                <c:pt idx="3">
                  <c:v>13.32089329778511</c:v>
                </c:pt>
                <c:pt idx="4">
                  <c:v>13.25185988058195</c:v>
                </c:pt>
                <c:pt idx="5">
                  <c:v>13.17274722370204</c:v>
                </c:pt>
                <c:pt idx="6">
                  <c:v>13.08419229574109</c:v>
                </c:pt>
                <c:pt idx="7">
                  <c:v>12.98690808890957</c:v>
                </c:pt>
                <c:pt idx="8">
                  <c:v>12.88167787843871</c:v>
                </c:pt>
                <c:pt idx="9">
                  <c:v>12.76934891610886</c:v>
                </c:pt>
                <c:pt idx="10">
                  <c:v>12.65082560867634</c:v>
                </c:pt>
                <c:pt idx="11">
                  <c:v>12.52706223612201</c:v>
                </c:pt>
                <c:pt idx="12">
                  <c:v>12.39905526835001</c:v>
                </c:pt>
                <c:pt idx="13">
                  <c:v>12.26783534219796</c:v>
                </c:pt>
                <c:pt idx="14">
                  <c:v>12.13445896335515</c:v>
                </c:pt>
                <c:pt idx="15">
                  <c:v>12</c:v>
                </c:pt>
                <c:pt idx="16">
                  <c:v>11.86554103664485</c:v>
                </c:pt>
                <c:pt idx="17">
                  <c:v>11.73216465780204</c:v>
                </c:pt>
                <c:pt idx="18">
                  <c:v>11.60094473164999</c:v>
                </c:pt>
                <c:pt idx="19">
                  <c:v>11.47293776387798</c:v>
                </c:pt>
                <c:pt idx="20">
                  <c:v>11.34917439132366</c:v>
                </c:pt>
                <c:pt idx="21">
                  <c:v>11.23065108389114</c:v>
                </c:pt>
                <c:pt idx="22">
                  <c:v>11.11832212156129</c:v>
                </c:pt>
                <c:pt idx="23">
                  <c:v>11.01309191109043</c:v>
                </c:pt>
                <c:pt idx="24">
                  <c:v>10.91580770425891</c:v>
                </c:pt>
                <c:pt idx="25">
                  <c:v>10.82725277629796</c:v>
                </c:pt>
                <c:pt idx="26">
                  <c:v>10.74814011941805</c:v>
                </c:pt>
                <c:pt idx="27">
                  <c:v>10.67910670221489</c:v>
                </c:pt>
                <c:pt idx="28">
                  <c:v>10.62070834117282</c:v>
                </c:pt>
                <c:pt idx="29">
                  <c:v>10.57341522555727</c:v>
                </c:pt>
                <c:pt idx="30">
                  <c:v>10.53760813172726</c:v>
                </c:pt>
                <c:pt idx="31">
                  <c:v>10.5135753573481</c:v>
                </c:pt>
                <c:pt idx="32">
                  <c:v>10.50151040018803</c:v>
                </c:pt>
                <c:pt idx="33">
                  <c:v>10.50151040018803</c:v>
                </c:pt>
                <c:pt idx="34">
                  <c:v>10.5135753573481</c:v>
                </c:pt>
                <c:pt idx="35">
                  <c:v>10.53760813172726</c:v>
                </c:pt>
                <c:pt idx="36">
                  <c:v>10.57341522555727</c:v>
                </c:pt>
                <c:pt idx="37">
                  <c:v>10.62070834117282</c:v>
                </c:pt>
                <c:pt idx="38">
                  <c:v>10.67910670221489</c:v>
                </c:pt>
                <c:pt idx="39">
                  <c:v>10.74814011941805</c:v>
                </c:pt>
                <c:pt idx="40">
                  <c:v>10.82725277629796</c:v>
                </c:pt>
                <c:pt idx="41">
                  <c:v>10.91580770425891</c:v>
                </c:pt>
                <c:pt idx="42">
                  <c:v>11.01309191109043</c:v>
                </c:pt>
                <c:pt idx="43">
                  <c:v>11.11832212156129</c:v>
                </c:pt>
                <c:pt idx="44">
                  <c:v>11.23065108389114</c:v>
                </c:pt>
                <c:pt idx="45">
                  <c:v>11.34917439132366</c:v>
                </c:pt>
                <c:pt idx="46">
                  <c:v>11.47293776387799</c:v>
                </c:pt>
                <c:pt idx="47">
                  <c:v>11.60094473164999</c:v>
                </c:pt>
                <c:pt idx="48">
                  <c:v>11.73216465780204</c:v>
                </c:pt>
                <c:pt idx="49">
                  <c:v>11.86554103664485</c:v>
                </c:pt>
                <c:pt idx="50">
                  <c:v>12</c:v>
                </c:pt>
                <c:pt idx="51">
                  <c:v>12.13445896335515</c:v>
                </c:pt>
                <c:pt idx="52">
                  <c:v>12.26783534219796</c:v>
                </c:pt>
                <c:pt idx="53">
                  <c:v>12.39905526835001</c:v>
                </c:pt>
                <c:pt idx="54">
                  <c:v>12.52706223612201</c:v>
                </c:pt>
                <c:pt idx="55">
                  <c:v>12.65082560867634</c:v>
                </c:pt>
                <c:pt idx="56">
                  <c:v>12.76934891610886</c:v>
                </c:pt>
                <c:pt idx="57">
                  <c:v>12.88167787843871</c:v>
                </c:pt>
                <c:pt idx="58">
                  <c:v>12.98690808890957</c:v>
                </c:pt>
                <c:pt idx="59">
                  <c:v>13.08419229574109</c:v>
                </c:pt>
                <c:pt idx="60">
                  <c:v>13.17274722370204</c:v>
                </c:pt>
                <c:pt idx="61">
                  <c:v>13.25185988058195</c:v>
                </c:pt>
                <c:pt idx="62">
                  <c:v>13.32089329778511</c:v>
                </c:pt>
                <c:pt idx="63">
                  <c:v>13.37929165882718</c:v>
                </c:pt>
                <c:pt idx="64">
                  <c:v>13.42658477444273</c:v>
                </c:pt>
                <c:pt idx="65">
                  <c:v>13.46239186827274</c:v>
                </c:pt>
                <c:pt idx="66">
                  <c:v>13.4864246426519</c:v>
                </c:pt>
                <c:pt idx="67">
                  <c:v>13.49848959981197</c:v>
                </c:pt>
                <c:pt idx="68">
                  <c:v>13.49848959981197</c:v>
                </c:pt>
                <c:pt idx="69">
                  <c:v>13.4864246426519</c:v>
                </c:pt>
                <c:pt idx="70">
                  <c:v>13.46239186827274</c:v>
                </c:pt>
                <c:pt idx="71">
                  <c:v>13.42658477444273</c:v>
                </c:pt>
                <c:pt idx="72">
                  <c:v>13.37929165882718</c:v>
                </c:pt>
                <c:pt idx="73">
                  <c:v>13.32089329778511</c:v>
                </c:pt>
                <c:pt idx="74">
                  <c:v>13.25185988058195</c:v>
                </c:pt>
                <c:pt idx="75">
                  <c:v>13.17274722370204</c:v>
                </c:pt>
                <c:pt idx="76">
                  <c:v>13.08419229574109</c:v>
                </c:pt>
                <c:pt idx="77">
                  <c:v>12.98690808890957</c:v>
                </c:pt>
                <c:pt idx="78">
                  <c:v>12.88167787843871</c:v>
                </c:pt>
                <c:pt idx="79">
                  <c:v>12.76934891610886</c:v>
                </c:pt>
                <c:pt idx="80">
                  <c:v>12.65082560867634</c:v>
                </c:pt>
                <c:pt idx="81">
                  <c:v>12.52706223612201</c:v>
                </c:pt>
                <c:pt idx="82">
                  <c:v>12.39905526835001</c:v>
                </c:pt>
                <c:pt idx="83">
                  <c:v>12.26783534219796</c:v>
                </c:pt>
                <c:pt idx="84">
                  <c:v>12.13445896335515</c:v>
                </c:pt>
                <c:pt idx="85">
                  <c:v>12</c:v>
                </c:pt>
                <c:pt idx="86">
                  <c:v>11.86554103664485</c:v>
                </c:pt>
                <c:pt idx="87">
                  <c:v>11.73216465780204</c:v>
                </c:pt>
                <c:pt idx="88">
                  <c:v>11.60094473164999</c:v>
                </c:pt>
                <c:pt idx="89">
                  <c:v>11.47293776387799</c:v>
                </c:pt>
                <c:pt idx="90">
                  <c:v>11.34917439132366</c:v>
                </c:pt>
                <c:pt idx="91">
                  <c:v>11.23065108389114</c:v>
                </c:pt>
                <c:pt idx="92">
                  <c:v>11.11832212156129</c:v>
                </c:pt>
                <c:pt idx="93">
                  <c:v>11.01309191109043</c:v>
                </c:pt>
                <c:pt idx="94">
                  <c:v>10.91580770425891</c:v>
                </c:pt>
                <c:pt idx="95">
                  <c:v>10.82725277629796</c:v>
                </c:pt>
                <c:pt idx="96">
                  <c:v>10.74814011941805</c:v>
                </c:pt>
                <c:pt idx="97">
                  <c:v>10.67910670221489</c:v>
                </c:pt>
                <c:pt idx="98">
                  <c:v>10.62070834117282</c:v>
                </c:pt>
                <c:pt idx="99">
                  <c:v>10.57341522555727</c:v>
                </c:pt>
                <c:pt idx="100">
                  <c:v>10.53760813172726</c:v>
                </c:pt>
                <c:pt idx="101">
                  <c:v>10.5135753573481</c:v>
                </c:pt>
                <c:pt idx="102">
                  <c:v>10.50151040018803</c:v>
                </c:pt>
                <c:pt idx="103">
                  <c:v>10.50151040018803</c:v>
                </c:pt>
                <c:pt idx="104">
                  <c:v>10.5135753573481</c:v>
                </c:pt>
                <c:pt idx="105">
                  <c:v>10.53760813172726</c:v>
                </c:pt>
                <c:pt idx="106">
                  <c:v>10.57341522555727</c:v>
                </c:pt>
                <c:pt idx="107">
                  <c:v>10.62070834117282</c:v>
                </c:pt>
                <c:pt idx="108">
                  <c:v>10.67910670221489</c:v>
                </c:pt>
                <c:pt idx="109">
                  <c:v>10.74814011941805</c:v>
                </c:pt>
                <c:pt idx="110">
                  <c:v>10.82725277629796</c:v>
                </c:pt>
                <c:pt idx="111">
                  <c:v>10.91580770425891</c:v>
                </c:pt>
                <c:pt idx="112">
                  <c:v>11.01309191109043</c:v>
                </c:pt>
                <c:pt idx="113">
                  <c:v>11.11832212156129</c:v>
                </c:pt>
                <c:pt idx="114">
                  <c:v>11.23065108389114</c:v>
                </c:pt>
                <c:pt idx="115">
                  <c:v>11.34917439132366</c:v>
                </c:pt>
                <c:pt idx="116">
                  <c:v>11.47293776387799</c:v>
                </c:pt>
                <c:pt idx="117">
                  <c:v>11.60094473164999</c:v>
                </c:pt>
                <c:pt idx="118">
                  <c:v>11.73216465780204</c:v>
                </c:pt>
                <c:pt idx="119">
                  <c:v>11.86554103664485</c:v>
                </c:pt>
                <c:pt idx="120">
                  <c:v>12</c:v>
                </c:pt>
                <c:pt idx="121">
                  <c:v>12.13445896335515</c:v>
                </c:pt>
                <c:pt idx="122">
                  <c:v>12.26783534219796</c:v>
                </c:pt>
                <c:pt idx="123">
                  <c:v>12.39905526835001</c:v>
                </c:pt>
                <c:pt idx="124">
                  <c:v>12.52706223612201</c:v>
                </c:pt>
                <c:pt idx="125">
                  <c:v>12.65082560867634</c:v>
                </c:pt>
                <c:pt idx="126">
                  <c:v>12.76934891610886</c:v>
                </c:pt>
                <c:pt idx="127">
                  <c:v>12.88167787843871</c:v>
                </c:pt>
                <c:pt idx="128">
                  <c:v>12.98690808890957</c:v>
                </c:pt>
                <c:pt idx="129">
                  <c:v>13.08419229574109</c:v>
                </c:pt>
                <c:pt idx="130">
                  <c:v>13.17274722370204</c:v>
                </c:pt>
                <c:pt idx="131">
                  <c:v>13.25185988058195</c:v>
                </c:pt>
                <c:pt idx="132">
                  <c:v>13.32089329778511</c:v>
                </c:pt>
                <c:pt idx="133">
                  <c:v>13.37929165882718</c:v>
                </c:pt>
                <c:pt idx="134">
                  <c:v>13.42658477444273</c:v>
                </c:pt>
                <c:pt idx="135">
                  <c:v>13.46239186827274</c:v>
                </c:pt>
                <c:pt idx="136">
                  <c:v>13.4864246426519</c:v>
                </c:pt>
                <c:pt idx="137">
                  <c:v>13.49848959981197</c:v>
                </c:pt>
                <c:pt idx="138">
                  <c:v>13.49848959981197</c:v>
                </c:pt>
                <c:pt idx="139">
                  <c:v>13.4864246426519</c:v>
                </c:pt>
                <c:pt idx="140">
                  <c:v>13.46239186827274</c:v>
                </c:pt>
                <c:pt idx="141">
                  <c:v>13.42658477444273</c:v>
                </c:pt>
                <c:pt idx="142">
                  <c:v>13.37929165882718</c:v>
                </c:pt>
                <c:pt idx="143">
                  <c:v>13.32089329778511</c:v>
                </c:pt>
                <c:pt idx="144">
                  <c:v>13.25185988058195</c:v>
                </c:pt>
                <c:pt idx="145">
                  <c:v>13.17274722370204</c:v>
                </c:pt>
                <c:pt idx="146">
                  <c:v>13.08419229574109</c:v>
                </c:pt>
                <c:pt idx="147">
                  <c:v>12.98690808890957</c:v>
                </c:pt>
                <c:pt idx="148">
                  <c:v>12.88167787843871</c:v>
                </c:pt>
                <c:pt idx="149">
                  <c:v>12.76934891610886</c:v>
                </c:pt>
                <c:pt idx="150">
                  <c:v>12.65082560867634</c:v>
                </c:pt>
                <c:pt idx="151">
                  <c:v>12.52706223612201</c:v>
                </c:pt>
                <c:pt idx="152">
                  <c:v>12.39905526835001</c:v>
                </c:pt>
                <c:pt idx="153">
                  <c:v>12.26783534219796</c:v>
                </c:pt>
                <c:pt idx="154">
                  <c:v>12.13445896335515</c:v>
                </c:pt>
                <c:pt idx="155">
                  <c:v>12</c:v>
                </c:pt>
                <c:pt idx="156">
                  <c:v>11.86554103664485</c:v>
                </c:pt>
                <c:pt idx="157">
                  <c:v>11.73216465780204</c:v>
                </c:pt>
                <c:pt idx="158">
                  <c:v>11.60094473164999</c:v>
                </c:pt>
                <c:pt idx="159">
                  <c:v>11.47293776387799</c:v>
                </c:pt>
                <c:pt idx="160">
                  <c:v>11.34917439132366</c:v>
                </c:pt>
                <c:pt idx="161">
                  <c:v>11.23065108389114</c:v>
                </c:pt>
                <c:pt idx="162">
                  <c:v>11.11832212156129</c:v>
                </c:pt>
                <c:pt idx="163">
                  <c:v>11.01309191109043</c:v>
                </c:pt>
                <c:pt idx="164">
                  <c:v>10.91580770425891</c:v>
                </c:pt>
                <c:pt idx="165">
                  <c:v>10.82725277629796</c:v>
                </c:pt>
                <c:pt idx="166">
                  <c:v>10.74814011941805</c:v>
                </c:pt>
                <c:pt idx="167">
                  <c:v>10.67910670221489</c:v>
                </c:pt>
                <c:pt idx="168">
                  <c:v>10.62070834117282</c:v>
                </c:pt>
                <c:pt idx="169">
                  <c:v>10.57341522555727</c:v>
                </c:pt>
                <c:pt idx="170">
                  <c:v>10.53760813172726</c:v>
                </c:pt>
                <c:pt idx="171">
                  <c:v>10.5135753573481</c:v>
                </c:pt>
                <c:pt idx="172">
                  <c:v>10.50151040018803</c:v>
                </c:pt>
                <c:pt idx="173">
                  <c:v>10.50151040018803</c:v>
                </c:pt>
                <c:pt idx="174">
                  <c:v>10.5135753573481</c:v>
                </c:pt>
                <c:pt idx="175">
                  <c:v>10.53760813172726</c:v>
                </c:pt>
                <c:pt idx="176">
                  <c:v>10.57341522555727</c:v>
                </c:pt>
                <c:pt idx="177">
                  <c:v>10.62070834117282</c:v>
                </c:pt>
                <c:pt idx="178">
                  <c:v>10.67910670221489</c:v>
                </c:pt>
                <c:pt idx="179">
                  <c:v>10.74814011941805</c:v>
                </c:pt>
                <c:pt idx="180">
                  <c:v>10.82725277629796</c:v>
                </c:pt>
                <c:pt idx="181">
                  <c:v>10.91580770425891</c:v>
                </c:pt>
                <c:pt idx="182">
                  <c:v>11.01309191109043</c:v>
                </c:pt>
                <c:pt idx="183">
                  <c:v>11.11832212156129</c:v>
                </c:pt>
                <c:pt idx="184">
                  <c:v>11.23065108389114</c:v>
                </c:pt>
                <c:pt idx="185">
                  <c:v>11.34917439132366</c:v>
                </c:pt>
                <c:pt idx="186">
                  <c:v>11.47293776387799</c:v>
                </c:pt>
                <c:pt idx="187">
                  <c:v>11.60094473164999</c:v>
                </c:pt>
                <c:pt idx="188">
                  <c:v>11.73216465780204</c:v>
                </c:pt>
                <c:pt idx="189">
                  <c:v>11.86554103664485</c:v>
                </c:pt>
                <c:pt idx="190">
                  <c:v>12</c:v>
                </c:pt>
                <c:pt idx="191">
                  <c:v>12.13445896335515</c:v>
                </c:pt>
                <c:pt idx="192">
                  <c:v>12.26783534219796</c:v>
                </c:pt>
                <c:pt idx="193">
                  <c:v>12.39905526835001</c:v>
                </c:pt>
                <c:pt idx="194">
                  <c:v>12.52706223612201</c:v>
                </c:pt>
                <c:pt idx="195">
                  <c:v>12.65082560867634</c:v>
                </c:pt>
                <c:pt idx="196">
                  <c:v>12.76934891610886</c:v>
                </c:pt>
                <c:pt idx="197">
                  <c:v>12.88167787843871</c:v>
                </c:pt>
                <c:pt idx="198">
                  <c:v>12.98690808890957</c:v>
                </c:pt>
                <c:pt idx="199">
                  <c:v>13.08419229574109</c:v>
                </c:pt>
                <c:pt idx="200">
                  <c:v>13.17274722370204</c:v>
                </c:pt>
                <c:pt idx="201">
                  <c:v>13.25185988058195</c:v>
                </c:pt>
                <c:pt idx="202">
                  <c:v>13.32089329778511</c:v>
                </c:pt>
                <c:pt idx="203">
                  <c:v>13.37929165882718</c:v>
                </c:pt>
                <c:pt idx="204">
                  <c:v>13.42658477444273</c:v>
                </c:pt>
                <c:pt idx="205">
                  <c:v>13.46239186827274</c:v>
                </c:pt>
                <c:pt idx="206">
                  <c:v>13.4864246426519</c:v>
                </c:pt>
                <c:pt idx="207">
                  <c:v>13.49848959981197</c:v>
                </c:pt>
                <c:pt idx="208">
                  <c:v>13.49848959981197</c:v>
                </c:pt>
                <c:pt idx="209">
                  <c:v>13.4864246426519</c:v>
                </c:pt>
                <c:pt idx="210">
                  <c:v>13.46239186827274</c:v>
                </c:pt>
                <c:pt idx="211">
                  <c:v>13.42658477444273</c:v>
                </c:pt>
                <c:pt idx="212">
                  <c:v>13.37929165882718</c:v>
                </c:pt>
                <c:pt idx="213">
                  <c:v>13.32089329778511</c:v>
                </c:pt>
                <c:pt idx="214">
                  <c:v>13.25185988058195</c:v>
                </c:pt>
                <c:pt idx="215">
                  <c:v>13.17274722370204</c:v>
                </c:pt>
                <c:pt idx="216">
                  <c:v>13.08419229574109</c:v>
                </c:pt>
                <c:pt idx="217">
                  <c:v>12.98690808890957</c:v>
                </c:pt>
                <c:pt idx="218">
                  <c:v>12.88167787843871</c:v>
                </c:pt>
                <c:pt idx="219">
                  <c:v>12.76934891610886</c:v>
                </c:pt>
                <c:pt idx="220">
                  <c:v>12.65082560867634</c:v>
                </c:pt>
                <c:pt idx="221">
                  <c:v>12.52706223612202</c:v>
                </c:pt>
                <c:pt idx="222">
                  <c:v>12.39905526835001</c:v>
                </c:pt>
                <c:pt idx="223">
                  <c:v>12.26783534219796</c:v>
                </c:pt>
                <c:pt idx="224">
                  <c:v>12.13445896335515</c:v>
                </c:pt>
                <c:pt idx="225">
                  <c:v>12</c:v>
                </c:pt>
                <c:pt idx="226">
                  <c:v>11.86554103664485</c:v>
                </c:pt>
                <c:pt idx="227">
                  <c:v>11.73216465780204</c:v>
                </c:pt>
                <c:pt idx="228">
                  <c:v>11.60094473164999</c:v>
                </c:pt>
                <c:pt idx="229">
                  <c:v>11.47293776387799</c:v>
                </c:pt>
                <c:pt idx="230">
                  <c:v>11.34917439132366</c:v>
                </c:pt>
                <c:pt idx="231">
                  <c:v>11.23065108389114</c:v>
                </c:pt>
                <c:pt idx="232">
                  <c:v>11.11832212156129</c:v>
                </c:pt>
                <c:pt idx="233">
                  <c:v>11.01309191109043</c:v>
                </c:pt>
                <c:pt idx="234">
                  <c:v>10.91580770425891</c:v>
                </c:pt>
                <c:pt idx="235">
                  <c:v>10.82725277629796</c:v>
                </c:pt>
                <c:pt idx="236">
                  <c:v>10.74814011941805</c:v>
                </c:pt>
                <c:pt idx="237">
                  <c:v>10.67910670221489</c:v>
                </c:pt>
                <c:pt idx="238">
                  <c:v>10.62070834117282</c:v>
                </c:pt>
                <c:pt idx="239">
                  <c:v>10.57341522555727</c:v>
                </c:pt>
                <c:pt idx="240">
                  <c:v>10.53760813172726</c:v>
                </c:pt>
              </c:numCache>
            </c:numRef>
          </c:yVal>
        </c:ser>
        <c:ser>
          <c:idx val="1"/>
          <c:order val="1"/>
          <c:tx>
            <c:v>Shallow ice return</c:v>
          </c:tx>
          <c:spPr>
            <a:ln xmlns:a="http://schemas.openxmlformats.org/drawingml/2006/mai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c:v>
                </c:pt>
                <c:pt idx="1">
                  <c:v>11.96622916929907</c:v>
                </c:pt>
                <c:pt idx="2">
                  <c:v>12.11792233840066</c:v>
                </c:pt>
                <c:pt idx="3">
                  <c:v>12.29126926890724</c:v>
                </c:pt>
                <c:pt idx="4">
                  <c:v>12.45918759215706</c:v>
                </c:pt>
                <c:pt idx="5">
                  <c:v>12.65315126085715</c:v>
                </c:pt>
                <c:pt idx="6">
                  <c:v>12.84637775361228</c:v>
                </c:pt>
                <c:pt idx="7">
                  <c:v>13.04949478055771</c:v>
                </c:pt>
                <c:pt idx="8">
                  <c:v>13.26849083586356</c:v>
                </c:pt>
                <c:pt idx="9">
                  <c:v>13.47591953201668</c:v>
                </c:pt>
                <c:pt idx="10">
                  <c:v>13.69558179277424</c:v>
                </c:pt>
                <c:pt idx="11">
                  <c:v>13.91625075328312</c:v>
                </c:pt>
                <c:pt idx="12">
                  <c:v>14.12673986966042</c:v>
                </c:pt>
                <c:pt idx="13">
                  <c:v>14.34055691594272</c:v>
                </c:pt>
                <c:pt idx="14">
                  <c:v>14.54125784590168</c:v>
                </c:pt>
                <c:pt idx="15">
                  <c:v>14.73449879235893</c:v>
                </c:pt>
                <c:pt idx="16">
                  <c:v>14.91896198873063</c:v>
                </c:pt>
                <c:pt idx="17">
                  <c:v>15.09402401214795</c:v>
                </c:pt>
                <c:pt idx="18">
                  <c:v>15.24027303999413</c:v>
                </c:pt>
                <c:pt idx="19">
                  <c:v>15.37348134370449</c:v>
                </c:pt>
                <c:pt idx="20">
                  <c:v>15.50118209908999</c:v>
                </c:pt>
                <c:pt idx="21">
                  <c:v>15.5911962710529</c:v>
                </c:pt>
                <c:pt idx="22">
                  <c:v>15.6726011146299</c:v>
                </c:pt>
                <c:pt idx="23">
                  <c:v>15.72660372410714</c:v>
                </c:pt>
                <c:pt idx="24">
                  <c:v>15.75487398444793</c:v>
                </c:pt>
                <c:pt idx="25">
                  <c:v>15.77116815825281</c:v>
                </c:pt>
                <c:pt idx="26">
                  <c:v>15.75703558397085</c:v>
                </c:pt>
                <c:pt idx="27">
                  <c:v>15.72545830706678</c:v>
                </c:pt>
                <c:pt idx="28">
                  <c:v>15.6652592533351</c:v>
                </c:pt>
                <c:pt idx="29">
                  <c:v>15.58930036551997</c:v>
                </c:pt>
                <c:pt idx="30">
                  <c:v>15.48793610810427</c:v>
                </c:pt>
                <c:pt idx="31">
                  <c:v>15.37587382003119</c:v>
                </c:pt>
                <c:pt idx="32">
                  <c:v>15.25079952696173</c:v>
                </c:pt>
                <c:pt idx="33">
                  <c:v>15.11779641048778</c:v>
                </c:pt>
                <c:pt idx="34">
                  <c:v>14.95365211870584</c:v>
                </c:pt>
                <c:pt idx="35">
                  <c:v>14.7950595168968</c:v>
                </c:pt>
                <c:pt idx="36">
                  <c:v>14.623633092068</c:v>
                </c:pt>
                <c:pt idx="37">
                  <c:v>14.45330908022245</c:v>
                </c:pt>
                <c:pt idx="38">
                  <c:v>14.28312583226619</c:v>
                </c:pt>
                <c:pt idx="39">
                  <c:v>14.11788278833436</c:v>
                </c:pt>
                <c:pt idx="40">
                  <c:v>13.9517845843396</c:v>
                </c:pt>
                <c:pt idx="41">
                  <c:v>13.78965989546767</c:v>
                </c:pt>
                <c:pt idx="42">
                  <c:v>13.62591372567696</c:v>
                </c:pt>
                <c:pt idx="43">
                  <c:v>13.49276895979808</c:v>
                </c:pt>
                <c:pt idx="44">
                  <c:v>13.35453036962142</c:v>
                </c:pt>
                <c:pt idx="45">
                  <c:v>13.25130854879388</c:v>
                </c:pt>
                <c:pt idx="46">
                  <c:v>13.14462425572058</c:v>
                </c:pt>
                <c:pt idx="47">
                  <c:v>13.06940199783266</c:v>
                </c:pt>
                <c:pt idx="48">
                  <c:v>13.00192070365095</c:v>
                </c:pt>
                <c:pt idx="49">
                  <c:v>12.95402227227746</c:v>
                </c:pt>
                <c:pt idx="50">
                  <c:v>12.91687681373485</c:v>
                </c:pt>
                <c:pt idx="51">
                  <c:v>12.91697467512203</c:v>
                </c:pt>
                <c:pt idx="52">
                  <c:v>12.9196202931375</c:v>
                </c:pt>
                <c:pt idx="53">
                  <c:v>12.94241377666358</c:v>
                </c:pt>
                <c:pt idx="54">
                  <c:v>12.98375213377968</c:v>
                </c:pt>
                <c:pt idx="55">
                  <c:v>13.03794536052773</c:v>
                </c:pt>
                <c:pt idx="56">
                  <c:v>13.09676248058359</c:v>
                </c:pt>
                <c:pt idx="57">
                  <c:v>13.17890231562772</c:v>
                </c:pt>
                <c:pt idx="58">
                  <c:v>13.26320436177126</c:v>
                </c:pt>
                <c:pt idx="59">
                  <c:v>13.34912188134441</c:v>
                </c:pt>
                <c:pt idx="60">
                  <c:v>13.44652085649568</c:v>
                </c:pt>
                <c:pt idx="61">
                  <c:v>13.5425517811687</c:v>
                </c:pt>
                <c:pt idx="62">
                  <c:v>13.64681015953621</c:v>
                </c:pt>
                <c:pt idx="63">
                  <c:v>13.73608554253114</c:v>
                </c:pt>
                <c:pt idx="64">
                  <c:v>13.83258811138292</c:v>
                </c:pt>
                <c:pt idx="65">
                  <c:v>13.91295460446153</c:v>
                </c:pt>
                <c:pt idx="66">
                  <c:v>13.98840870276441</c:v>
                </c:pt>
                <c:pt idx="67">
                  <c:v>14.05672762662513</c:v>
                </c:pt>
                <c:pt idx="68">
                  <c:v>14.10232990629842</c:v>
                </c:pt>
                <c:pt idx="69">
                  <c:v>14.14196563377077</c:v>
                </c:pt>
                <c:pt idx="70">
                  <c:v>14.15984630334503</c:v>
                </c:pt>
                <c:pt idx="71">
                  <c:v>14.17340504263699</c:v>
                </c:pt>
                <c:pt idx="72">
                  <c:v>14.1572038673417</c:v>
                </c:pt>
                <c:pt idx="73">
                  <c:v>14.1285129935943</c:v>
                </c:pt>
                <c:pt idx="74">
                  <c:v>14.08100056914749</c:v>
                </c:pt>
                <c:pt idx="75">
                  <c:v>14.01545747324426</c:v>
                </c:pt>
                <c:pt idx="76">
                  <c:v>13.94251791613962</c:v>
                </c:pt>
                <c:pt idx="77">
                  <c:v>13.84557449966917</c:v>
                </c:pt>
                <c:pt idx="78">
                  <c:v>13.71810352116307</c:v>
                </c:pt>
                <c:pt idx="79">
                  <c:v>13.59506559743211</c:v>
                </c:pt>
                <c:pt idx="80">
                  <c:v>13.44472081399298</c:v>
                </c:pt>
                <c:pt idx="81">
                  <c:v>13.29840783218821</c:v>
                </c:pt>
                <c:pt idx="82">
                  <c:v>13.13510669312075</c:v>
                </c:pt>
                <c:pt idx="83">
                  <c:v>12.95991938397577</c:v>
                </c:pt>
                <c:pt idx="84">
                  <c:v>12.79676770804064</c:v>
                </c:pt>
                <c:pt idx="85">
                  <c:v>12.62322673538092</c:v>
                </c:pt>
                <c:pt idx="86">
                  <c:v>12.44242867395597</c:v>
                </c:pt>
                <c:pt idx="87">
                  <c:v>12.27732760668193</c:v>
                </c:pt>
                <c:pt idx="88">
                  <c:v>12.13028926001637</c:v>
                </c:pt>
                <c:pt idx="89">
                  <c:v>11.97816819866713</c:v>
                </c:pt>
                <c:pt idx="90">
                  <c:v>11.84923662660562</c:v>
                </c:pt>
                <c:pt idx="91">
                  <c:v>11.73542882172482</c:v>
                </c:pt>
                <c:pt idx="92">
                  <c:v>11.63420962511821</c:v>
                </c:pt>
                <c:pt idx="93">
                  <c:v>11.55490937896898</c:v>
                </c:pt>
                <c:pt idx="94">
                  <c:v>11.5060753683172</c:v>
                </c:pt>
                <c:pt idx="95">
                  <c:v>11.48238292317718</c:v>
                </c:pt>
                <c:pt idx="96">
                  <c:v>11.4713870826873</c:v>
                </c:pt>
                <c:pt idx="97">
                  <c:v>11.50180054154563</c:v>
                </c:pt>
                <c:pt idx="98">
                  <c:v>11.55079479618914</c:v>
                </c:pt>
                <c:pt idx="99">
                  <c:v>11.6285598561317</c:v>
                </c:pt>
                <c:pt idx="100">
                  <c:v>11.73004148660475</c:v>
                </c:pt>
                <c:pt idx="101">
                  <c:v>11.85640151500476</c:v>
                </c:pt>
                <c:pt idx="102">
                  <c:v>12.01295212086215</c:v>
                </c:pt>
                <c:pt idx="103">
                  <c:v>12.17884911002664</c:v>
                </c:pt>
                <c:pt idx="104">
                  <c:v>12.38330061239433</c:v>
                </c:pt>
                <c:pt idx="105">
                  <c:v>12.59793411287508</c:v>
                </c:pt>
                <c:pt idx="106">
                  <c:v>12.81975927419813</c:v>
                </c:pt>
                <c:pt idx="107">
                  <c:v>13.07570920805277</c:v>
                </c:pt>
                <c:pt idx="108">
                  <c:v>13.33401548224709</c:v>
                </c:pt>
                <c:pt idx="109">
                  <c:v>13.6005050970286</c:v>
                </c:pt>
                <c:pt idx="110">
                  <c:v>13.87318076473001</c:v>
                </c:pt>
                <c:pt idx="111">
                  <c:v>14.15257632343408</c:v>
                </c:pt>
                <c:pt idx="112">
                  <c:v>14.43471160713042</c:v>
                </c:pt>
                <c:pt idx="113">
                  <c:v>14.70230413451821</c:v>
                </c:pt>
                <c:pt idx="114">
                  <c:v>14.9806995675764</c:v>
                </c:pt>
                <c:pt idx="115">
                  <c:v>15.24280907375233</c:v>
                </c:pt>
                <c:pt idx="116">
                  <c:v>15.49925405850959</c:v>
                </c:pt>
                <c:pt idx="117">
                  <c:v>15.73109303168732</c:v>
                </c:pt>
                <c:pt idx="118">
                  <c:v>15.95222650273821</c:v>
                </c:pt>
                <c:pt idx="119">
                  <c:v>16.16441011761666</c:v>
                </c:pt>
                <c:pt idx="120">
                  <c:v>16.34165949496012</c:v>
                </c:pt>
                <c:pt idx="121">
                  <c:v>16.49317964961659</c:v>
                </c:pt>
                <c:pt idx="122">
                  <c:v>16.62532449599302</c:v>
                </c:pt>
                <c:pt idx="123">
                  <c:v>16.73310680148039</c:v>
                </c:pt>
                <c:pt idx="124">
                  <c:v>16.81282188648689</c:v>
                </c:pt>
                <c:pt idx="125">
                  <c:v>16.86361922381777</c:v>
                </c:pt>
                <c:pt idx="126">
                  <c:v>16.87314474022525</c:v>
                </c:pt>
                <c:pt idx="127">
                  <c:v>16.87343473635194</c:v>
                </c:pt>
                <c:pt idx="128">
                  <c:v>16.83349232105275</c:v>
                </c:pt>
                <c:pt idx="129">
                  <c:v>16.77099172920463</c:v>
                </c:pt>
                <c:pt idx="130">
                  <c:v>16.67036445755426</c:v>
                </c:pt>
                <c:pt idx="131">
                  <c:v>16.55067148803274</c:v>
                </c:pt>
                <c:pt idx="132">
                  <c:v>16.41011019785758</c:v>
                </c:pt>
                <c:pt idx="133">
                  <c:v>16.24716128813826</c:v>
                </c:pt>
                <c:pt idx="134">
                  <c:v>16.07452947908627</c:v>
                </c:pt>
                <c:pt idx="135">
                  <c:v>15.86571234498302</c:v>
                </c:pt>
                <c:pt idx="136">
                  <c:v>15.6540329257096</c:v>
                </c:pt>
                <c:pt idx="137">
                  <c:v>15.424625610414</c:v>
                </c:pt>
                <c:pt idx="138">
                  <c:v>15.19432385135818</c:v>
                </c:pt>
                <c:pt idx="139">
                  <c:v>14.95411413142432</c:v>
                </c:pt>
                <c:pt idx="140">
                  <c:v>14.69840933900922</c:v>
                </c:pt>
                <c:pt idx="141">
                  <c:v>14.44318663290396</c:v>
                </c:pt>
                <c:pt idx="142">
                  <c:v>14.19793832227163</c:v>
                </c:pt>
                <c:pt idx="143">
                  <c:v>13.94535736939796</c:v>
                </c:pt>
                <c:pt idx="144">
                  <c:v>13.69515861135228</c:v>
                </c:pt>
                <c:pt idx="145">
                  <c:v>13.46053967013909</c:v>
                </c:pt>
                <c:pt idx="146">
                  <c:v>13.22439952439565</c:v>
                </c:pt>
                <c:pt idx="147">
                  <c:v>12.98911268092365</c:v>
                </c:pt>
                <c:pt idx="148">
                  <c:v>12.77423246036031</c:v>
                </c:pt>
                <c:pt idx="149">
                  <c:v>12.56932326631235</c:v>
                </c:pt>
                <c:pt idx="150">
                  <c:v>12.36654950914795</c:v>
                </c:pt>
                <c:pt idx="151">
                  <c:v>12.18179168557088</c:v>
                </c:pt>
                <c:pt idx="152">
                  <c:v>12.01376536641662</c:v>
                </c:pt>
                <c:pt idx="153">
                  <c:v>11.85953818036684</c:v>
                </c:pt>
                <c:pt idx="154">
                  <c:v>11.71453008297688</c:v>
                </c:pt>
                <c:pt idx="155">
                  <c:v>11.58951960079883</c:v>
                </c:pt>
                <c:pt idx="156">
                  <c:v>11.47611123789633</c:v>
                </c:pt>
                <c:pt idx="157">
                  <c:v>11.37282357404823</c:v>
                </c:pt>
                <c:pt idx="158">
                  <c:v>11.29231364814009</c:v>
                </c:pt>
                <c:pt idx="159">
                  <c:v>11.22182234816862</c:v>
                </c:pt>
                <c:pt idx="160">
                  <c:v>11.16262205910061</c:v>
                </c:pt>
                <c:pt idx="161">
                  <c:v>11.11708591093982</c:v>
                </c:pt>
                <c:pt idx="162">
                  <c:v>11.08327372239296</c:v>
                </c:pt>
                <c:pt idx="163">
                  <c:v>11.06414908200007</c:v>
                </c:pt>
                <c:pt idx="164">
                  <c:v>11.05826852054295</c:v>
                </c:pt>
                <c:pt idx="165">
                  <c:v>11.06087185976314</c:v>
                </c:pt>
                <c:pt idx="166">
                  <c:v>11.07647042417342</c:v>
                </c:pt>
                <c:pt idx="167">
                  <c:v>11.10332356761526</c:v>
                </c:pt>
                <c:pt idx="168">
                  <c:v>11.15061203147973</c:v>
                </c:pt>
                <c:pt idx="169">
                  <c:v>11.19318535214152</c:v>
                </c:pt>
                <c:pt idx="170">
                  <c:v>11.2619386271712</c:v>
                </c:pt>
                <c:pt idx="171">
                  <c:v>11.32775431937922</c:v>
                </c:pt>
                <c:pt idx="172">
                  <c:v>11.41817181519422</c:v>
                </c:pt>
                <c:pt idx="173">
                  <c:v>11.52037461205396</c:v>
                </c:pt>
                <c:pt idx="174">
                  <c:v>11.61903326132532</c:v>
                </c:pt>
                <c:pt idx="175">
                  <c:v>11.74329958336641</c:v>
                </c:pt>
                <c:pt idx="176">
                  <c:v>11.87233466031334</c:v>
                </c:pt>
                <c:pt idx="177">
                  <c:v>12.02443631624757</c:v>
                </c:pt>
                <c:pt idx="178">
                  <c:v>12.17665074544833</c:v>
                </c:pt>
                <c:pt idx="179">
                  <c:v>12.34331397201891</c:v>
                </c:pt>
                <c:pt idx="180">
                  <c:v>12.52844107703034</c:v>
                </c:pt>
                <c:pt idx="181">
                  <c:v>12.71794884841855</c:v>
                </c:pt>
                <c:pt idx="182">
                  <c:v>12.92602918154035</c:v>
                </c:pt>
                <c:pt idx="183">
                  <c:v>13.13260586119184</c:v>
                </c:pt>
                <c:pt idx="184">
                  <c:v>13.36120353672857</c:v>
                </c:pt>
                <c:pt idx="185">
                  <c:v>13.59683590322653</c:v>
                </c:pt>
                <c:pt idx="186">
                  <c:v>13.83488133215325</c:v>
                </c:pt>
                <c:pt idx="187">
                  <c:v>14.07841712111493</c:v>
                </c:pt>
                <c:pt idx="188">
                  <c:v>14.33291486393518</c:v>
                </c:pt>
                <c:pt idx="189">
                  <c:v>14.58319305055136</c:v>
                </c:pt>
                <c:pt idx="190">
                  <c:v>14.82694414790151</c:v>
                </c:pt>
                <c:pt idx="191">
                  <c:v>15.07162194994815</c:v>
                </c:pt>
                <c:pt idx="192">
                  <c:v>15.31567161208274</c:v>
                </c:pt>
                <c:pt idx="193">
                  <c:v>15.55914300880029</c:v>
                </c:pt>
                <c:pt idx="194">
                  <c:v>15.784244332471</c:v>
                </c:pt>
                <c:pt idx="195">
                  <c:v>15.99819749744023</c:v>
                </c:pt>
                <c:pt idx="196">
                  <c:v>16.1976998230906</c:v>
                </c:pt>
                <c:pt idx="197">
                  <c:v>16.39421736068906</c:v>
                </c:pt>
                <c:pt idx="198">
                  <c:v>16.55504424581826</c:v>
                </c:pt>
                <c:pt idx="199">
                  <c:v>16.69784307443742</c:v>
                </c:pt>
                <c:pt idx="200">
                  <c:v>16.82321226669026</c:v>
                </c:pt>
                <c:pt idx="201">
                  <c:v>16.91993827680391</c:v>
                </c:pt>
                <c:pt idx="202">
                  <c:v>16.98166337973243</c:v>
                </c:pt>
                <c:pt idx="203">
                  <c:v>17.02448940309526</c:v>
                </c:pt>
                <c:pt idx="204">
                  <c:v>17.04369639151245</c:v>
                </c:pt>
                <c:pt idx="205">
                  <c:v>17.02773137628087</c:v>
                </c:pt>
                <c:pt idx="206">
                  <c:v>16.98177778482456</c:v>
                </c:pt>
                <c:pt idx="207">
                  <c:v>16.90168136842663</c:v>
                </c:pt>
                <c:pt idx="208">
                  <c:v>16.79455108350007</c:v>
                </c:pt>
                <c:pt idx="209">
                  <c:v>16.65190484048178</c:v>
                </c:pt>
                <c:pt idx="210">
                  <c:v>16.48854707168433</c:v>
                </c:pt>
                <c:pt idx="211">
                  <c:v>16.30608658529514</c:v>
                </c:pt>
                <c:pt idx="212">
                  <c:v>16.08589550788824</c:v>
                </c:pt>
                <c:pt idx="213">
                  <c:v>15.84148229985317</c:v>
                </c:pt>
                <c:pt idx="214">
                  <c:v>15.58263196416372</c:v>
                </c:pt>
                <c:pt idx="215">
                  <c:v>15.30181317832256</c:v>
                </c:pt>
                <c:pt idx="216">
                  <c:v>15.01769916733125</c:v>
                </c:pt>
                <c:pt idx="217">
                  <c:v>14.70633679605334</c:v>
                </c:pt>
                <c:pt idx="218">
                  <c:v>14.38697937076384</c:v>
                </c:pt>
                <c:pt idx="219">
                  <c:v>14.0652699058273</c:v>
                </c:pt>
                <c:pt idx="220">
                  <c:v>13.7361291418324</c:v>
                </c:pt>
                <c:pt idx="221">
                  <c:v>13.41690669362629</c:v>
                </c:pt>
                <c:pt idx="222">
                  <c:v>13.0902280368982</c:v>
                </c:pt>
                <c:pt idx="223">
                  <c:v>12.78054705110583</c:v>
                </c:pt>
                <c:pt idx="224">
                  <c:v>12.47345707749842</c:v>
                </c:pt>
                <c:pt idx="225">
                  <c:v>12.17461601748865</c:v>
                </c:pt>
                <c:pt idx="226">
                  <c:v>11.90274535589731</c:v>
                </c:pt>
                <c:pt idx="227">
                  <c:v>11.63980039571654</c:v>
                </c:pt>
                <c:pt idx="228">
                  <c:v>11.40038632178666</c:v>
                </c:pt>
                <c:pt idx="229">
                  <c:v>11.18303502997324</c:v>
                </c:pt>
                <c:pt idx="230">
                  <c:v>11.00040664340236</c:v>
                </c:pt>
                <c:pt idx="231">
                  <c:v>10.83797467648239</c:v>
                </c:pt>
                <c:pt idx="232">
                  <c:v>10.71056052040486</c:v>
                </c:pt>
                <c:pt idx="233">
                  <c:v>10.61380125001845</c:v>
                </c:pt>
                <c:pt idx="234">
                  <c:v>10.55249135008258</c:v>
                </c:pt>
                <c:pt idx="235">
                  <c:v>10.50769341882867</c:v>
                </c:pt>
                <c:pt idx="236">
                  <c:v>10.51332624061964</c:v>
                </c:pt>
                <c:pt idx="237">
                  <c:v>10.5398294520269</c:v>
                </c:pt>
                <c:pt idx="238">
                  <c:v>10.60243969908032</c:v>
                </c:pt>
                <c:pt idx="239">
                  <c:v>10.67999317246221</c:v>
                </c:pt>
                <c:pt idx="240">
                  <c:v>10.80182316145832</c:v>
                </c:pt>
              </c:numCache>
            </c:numRef>
          </c:yVal>
        </c:ser>
        <c:ser>
          <c:idx val="2"/>
          <c:order val="2"/>
          <c:tx>
            <c:v>Warm/briny lens return</c:v>
          </c:tx>
          <c:spPr>
            <a:ln xmlns:a="http://schemas.openxmlformats.org/drawingml/2006/mai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c:v>
                </c:pt>
                <c:pt idx="37">
                  <c:v>63.2721793339209</c:v>
                </c:pt>
                <c:pt idx="38">
                  <c:v>62.83770307044693</c:v>
                </c:pt>
                <c:pt idx="39">
                  <c:v>62.39383676233442</c:v>
                </c:pt>
                <c:pt idx="40">
                  <c:v>61.94327669589608</c:v>
                </c:pt>
                <c:pt idx="41">
                  <c:v>61.48875026069394</c:v>
                </c:pt>
                <c:pt idx="42">
                  <c:v>61.03298525353271</c:v>
                </c:pt>
                <c:pt idx="43">
                  <c:v>60.57867938634165</c:v>
                </c:pt>
                <c:pt idx="44">
                  <c:v>60.12847038374264</c:v>
                </c:pt>
                <c:pt idx="45">
                  <c:v>59.68490704604569</c:v>
                </c:pt>
                <c:pt idx="46">
                  <c:v>59.25042163867944</c:v>
                </c:pt>
                <c:pt idx="47">
                  <c:v>58.82730394989614</c:v>
                </c:pt>
                <c:pt idx="48">
                  <c:v>58.41767733528795</c:v>
                </c:pt>
                <c:pt idx="49">
                  <c:v>58.02347704055207</c:v>
                </c:pt>
                <c:pt idx="50">
                  <c:v>57.64643106342641</c:v>
                </c:pt>
                <c:pt idx="51">
                  <c:v>57.28804378219413</c:v>
                </c:pt>
                <c:pt idx="52">
                  <c:v>56.94958254206358</c:v>
                </c:pt>
                <c:pt idx="53">
                  <c:v>56.63206735252432</c:v>
                </c:pt>
                <c:pt idx="54">
                  <c:v>56.33626380893449</c:v>
                </c:pt>
                <c:pt idx="55">
                  <c:v>56.06267931058755</c:v>
                </c:pt>
                <c:pt idx="56">
                  <c:v>55.81156260582527</c:v>
                </c:pt>
                <c:pt idx="57">
                  <c:v>55.58290665289033</c:v>
                </c:pt>
                <c:pt idx="58">
                  <c:v>55.37645474362806</c:v>
                </c:pt>
                <c:pt idx="59">
                  <c:v>55.19170979632118</c:v>
                </c:pt>
                <c:pt idx="60">
                  <c:v>55.02794668433552</c:v>
                </c:pt>
                <c:pt idx="61">
                  <c:v>54.88422742930896</c:v>
                </c:pt>
                <c:pt idx="62">
                  <c:v>54.75941905175904</c:v>
                </c:pt>
                <c:pt idx="63">
                  <c:v>54.65221383861781</c:v>
                </c:pt>
                <c:pt idx="64">
                  <c:v>54.5611517567082</c:v>
                </c:pt>
                <c:pt idx="65">
                  <c:v>54.48464471390928</c:v>
                </c:pt>
                <c:pt idx="66">
                  <c:v>54.42100234604079</c:v>
                </c:pt>
                <c:pt idx="67">
                  <c:v>54.36845898762721</c:v>
                </c:pt>
                <c:pt idx="68">
                  <c:v>54.32520146893516</c:v>
                </c:pt>
                <c:pt idx="69">
                  <c:v>54.28939737023659</c:v>
                </c:pt>
                <c:pt idx="70">
                  <c:v>54.2592233573158</c:v>
                </c:pt>
                <c:pt idx="71">
                  <c:v>54.23289321994464</c:v>
                </c:pt>
                <c:pt idx="72">
                  <c:v>54.20868523748972</c:v>
                </c:pt>
                <c:pt idx="73">
                  <c:v>54.1849685030232</c:v>
                </c:pt>
                <c:pt idx="74">
                  <c:v>54.16022784927287</c:v>
                </c:pt>
                <c:pt idx="75">
                  <c:v>54.13308703639569</c:v>
                </c:pt>
                <c:pt idx="76">
                  <c:v>54.10232988276156</c:v>
                </c:pt>
                <c:pt idx="77">
                  <c:v>54.06691904550461</c:v>
                </c:pt>
                <c:pt idx="78">
                  <c:v>54.02601218728453</c:v>
                </c:pt>
                <c:pt idx="79">
                  <c:v>53.97897529919253</c:v>
                </c:pt>
                <c:pt idx="80">
                  <c:v>53.92539298666411</c:v>
                </c:pt>
                <c:pt idx="81">
                  <c:v>53.8650755651949</c:v>
                </c:pt>
                <c:pt idx="82">
                  <c:v>53.79806285511729</c:v>
                </c:pt>
                <c:pt idx="83">
                  <c:v>53.72462460914915</c:v>
                </c:pt>
                <c:pt idx="84">
                  <c:v>53.64525755229829</c:v>
                </c:pt>
                <c:pt idx="85">
                  <c:v>53.5606790603841</c:v>
                </c:pt>
                <c:pt idx="86">
                  <c:v>53.47181755027974</c:v>
                </c:pt>
                <c:pt idx="87">
                  <c:v>53.37979970132255</c:v>
                </c:pt>
                <c:pt idx="88">
                  <c:v>53.28593467251834</c:v>
                </c:pt>
                <c:pt idx="89">
                  <c:v>53.19169552350488</c:v>
                </c:pt>
                <c:pt idx="90">
                  <c:v>53.09869808808607</c:v>
                </c:pt>
                <c:pt idx="91">
                  <c:v>53.00867758686559</c:v>
                </c:pt>
                <c:pt idx="92">
                  <c:v>52.92346329949962</c:v>
                </c:pt>
                <c:pt idx="93">
                  <c:v>52.84495164679894</c:v>
                </c:pt>
                <c:pt idx="94">
                  <c:v>52.77507805784559</c:v>
                </c:pt>
                <c:pt idx="95">
                  <c:v>52.71578801701763</c:v>
                </c:pt>
                <c:pt idx="96">
                  <c:v>52.66900769998341</c:v>
                </c:pt>
                <c:pt idx="97">
                  <c:v>52.63661461605952</c:v>
                </c:pt>
                <c:pt idx="98">
                  <c:v>52.62040867664199</c:v>
                </c:pt>
                <c:pt idx="99">
                  <c:v>52.62208410562419</c:v>
                </c:pt>
                <c:pt idx="100">
                  <c:v>52.64320259781321</c:v>
                </c:pt>
                <c:pt idx="101">
                  <c:v>52.68516811544707</c:v>
                </c:pt>
                <c:pt idx="102">
                  <c:v>52.74920369119536</c:v>
                </c:pt>
                <c:pt idx="103">
                  <c:v>52.83633057878352</c:v>
                </c:pt>
                <c:pt idx="104">
                  <c:v>52.94735005999193</c:v>
                </c:pt>
                <c:pt idx="105">
                  <c:v>53.08282817970846</c:v>
                </c:pt>
                <c:pt idx="106">
                  <c:v>53.24308363948805</c:v>
                </c:pt>
                <c:pt idx="107">
                  <c:v>53.42817903530177</c:v>
                </c:pt>
                <c:pt idx="108">
                  <c:v>53.63791557749561</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63.54738802139131</c:v>
                </c:pt>
                <c:pt idx="155">
                  <c:v>63.53355337195066</c:v>
                </c:pt>
                <c:pt idx="156">
                  <c:v>63.52566836253827</c:v>
                </c:pt>
                <c:pt idx="157">
                  <c:v>63.52496852932701</c:v>
                </c:pt>
                <c:pt idx="158">
                  <c:v>63.53251549462896</c:v>
                </c:pt>
                <c:pt idx="159">
                  <c:v>63.54918482220506</c:v>
                </c:pt>
                <c:pt idx="160">
                  <c:v>63.57565629456027</c:v>
                </c:pt>
                <c:pt idx="161">
                  <c:v>63.61240665184315</c:v>
                </c:pt>
                <c:pt idx="162">
                  <c:v>63.6597048045248</c:v>
                </c:pt>
                <c:pt idx="163">
                  <c:v>63.71760950787898</c:v>
                </c:pt>
                <c:pt idx="164">
                  <c:v>63.78596946557745</c:v>
                </c:pt>
                <c:pt idx="165">
                  <c:v>63.86442581239112</c:v>
                </c:pt>
                <c:pt idx="166">
                  <c:v>63.95241691180074</c:v>
                </c:pt>
                <c:pt idx="167">
                  <c:v>64.04918539284387</c:v>
                </c:pt>
                <c:pt idx="168">
                  <c:v>64.153787341177</c:v>
                </c:pt>
                <c:pt idx="169">
                  <c:v>64.26510355142348</c:v>
                </c:pt>
                <c:pt idx="170">
                  <c:v>64.38185274064449</c:v>
                </c:pt>
                <c:pt idx="171">
                  <c:v>64.50260661542801</c:v>
                </c:pt>
                <c:pt idx="172">
                  <c:v>64.62580667689143</c:v>
                </c:pt>
                <c:pt idx="173">
                  <c:v>64.74978263816101</c:v>
                </c:pt>
                <c:pt idx="174">
                  <c:v>64.87277231709785</c:v>
                </c:pt>
                <c:pt idx="175">
                  <c:v>64.99294285281674</c:v>
                </c:pt>
                <c:pt idx="176">
                  <c:v>65.1084130777482</c:v>
                </c:pt>
                <c:pt idx="177">
                  <c:v>65.21727685770217</c:v>
                </c:pt>
                <c:pt idx="178">
                  <c:v>65.31762719093531</c:v>
                </c:pt>
                <c:pt idx="179">
                  <c:v>65.40758083417285</c:v>
                </c:pt>
                <c:pt idx="180">
                  <c:v>65.48530319968066</c:v>
                </c:pt>
                <c:pt idx="181">
                  <c:v>65.54903324381729</c:v>
                </c:pt>
                <c:pt idx="182">
                  <c:v>65.59710804515286</c:v>
                </c:pt>
                <c:pt idx="183">
                  <c:v>65.62798675046476</c:v>
                </c:pt>
                <c:pt idx="184">
                  <c:v>65.64027355097991</c:v>
                </c:pt>
                <c:pt idx="185">
                  <c:v>65.63273934038186</c:v>
                </c:pt>
                <c:pt idx="186">
                  <c:v>65.6043417014887</c:v>
                </c:pt>
                <c:pt idx="187">
                  <c:v>65.55424287113708</c:v>
                </c:pt>
                <c:pt idx="188">
                  <c:v>65.48182534345781</c:v>
                </c:pt>
                <c:pt idx="189">
                  <c:v>65.38670479092697</c:v>
                </c:pt>
                <c:pt idx="190">
                  <c:v>65.26874001053905</c:v>
                </c:pt>
                <c:pt idx="191">
                  <c:v>65.1280396390858</c:v>
                </c:pt>
                <c:pt idx="192">
                  <c:v>64.96496542639868</c:v>
                </c:pt>
                <c:pt idx="193">
                  <c:v>64.78013190778108</c:v>
                </c:pt>
                <c:pt idx="194">
                  <c:v>64.57440237566473</c:v>
                </c:pt>
                <c:pt idx="195">
                  <c:v>64.34888111445791</c:v>
                </c:pt>
                <c:pt idx="196">
                  <c:v>64.10490193008049</c:v>
                </c:pt>
                <c:pt idx="197">
                  <c:v>63.84401307510865</c:v>
                </c:pt>
                <c:pt idx="198">
                  <c:v>63.56795873999096</c:v>
                </c:pt>
                <c:pt idx="199">
                  <c:v>63.27865734862529</c:v>
                </c:pt>
                <c:pt idx="200">
                  <c:v>62.97817696091568</c:v>
                </c:pt>
                <c:pt idx="201">
                  <c:v>62.66870814407275</c:v>
                </c:pt>
                <c:pt idx="202">
                  <c:v>62.35253472684293</c:v>
                </c:pt>
                <c:pt idx="203">
                  <c:v>62.03200289522606</c:v>
                </c:pt>
                <c:pt idx="204">
                  <c:v>61.70948912347937</c:v>
                </c:pt>
                <c:pt idx="205">
                  <c:v>61.38736745949564</c:v>
                </c:pt>
                <c:pt idx="206">
                  <c:v>61.06797669846246</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ser>
          <c:idx val="3"/>
          <c:order val="3"/>
          <c:tx>
            <c:v>Ocean boundary return</c:v>
          </c:tx>
          <c:spPr>
            <a:ln xmlns:a="http://schemas.openxmlformats.org/drawingml/2006/mai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c:v>
                </c:pt>
                <c:pt idx="1">
                  <c:v>171.2724143493201</c:v>
                </c:pt>
                <c:pt idx="2">
                  <c:v>171.3675083819372</c:v>
                </c:pt>
                <c:pt idx="3">
                  <c:v>171.4336376253212</c:v>
                </c:pt>
                <c:pt idx="4">
                  <c:v>171.5616772910373</c:v>
                </c:pt>
                <c:pt idx="5">
                  <c:v>171.6369010939573</c:v>
                </c:pt>
                <c:pt idx="6">
                  <c:v>171.7478525136675</c:v>
                </c:pt>
                <c:pt idx="7">
                  <c:v>171.8515506429407</c:v>
                </c:pt>
                <c:pt idx="8">
                  <c:v>171.9207151297603</c:v>
                </c:pt>
                <c:pt idx="9">
                  <c:v>172.0446148979578</c:v>
                </c:pt>
                <c:pt idx="10">
                  <c:v>172.1327555816374</c:v>
                </c:pt>
                <c:pt idx="11">
                  <c:v>172.2169276666153</c:v>
                </c:pt>
                <c:pt idx="12">
                  <c:v>172.3285623189109</c:v>
                </c:pt>
                <c:pt idx="13">
                  <c:v>172.4125440618374</c:v>
                </c:pt>
                <c:pt idx="14">
                  <c:v>172.5185797361115</c:v>
                </c:pt>
                <c:pt idx="15">
                  <c:v>172.6191279948908</c:v>
                </c:pt>
                <c:pt idx="16">
                  <c:v>172.7112721760463</c:v>
                </c:pt>
                <c:pt idx="17">
                  <c:v>172.7899951604774</c:v>
                </c:pt>
                <c:pt idx="18">
                  <c:v>172.9164807561102</c:v>
                </c:pt>
                <c:pt idx="19">
                  <c:v>173.0293177779683</c:v>
                </c:pt>
                <c:pt idx="20">
                  <c:v>173.096583032322</c:v>
                </c:pt>
                <c:pt idx="21">
                  <c:v>173.2260911079919</c:v>
                </c:pt>
                <c:pt idx="22">
                  <c:v>173.3120887416028</c:v>
                </c:pt>
                <c:pt idx="23">
                  <c:v>173.4172700533292</c:v>
                </c:pt>
                <c:pt idx="24">
                  <c:v>173.5336708988426</c:v>
                </c:pt>
                <c:pt idx="25">
                  <c:v>173.6120317154917</c:v>
                </c:pt>
                <c:pt idx="26">
                  <c:v>173.7168541280162</c:v>
                </c:pt>
                <c:pt idx="27">
                  <c:v>173.8036761273062</c:v>
                </c:pt>
                <c:pt idx="28">
                  <c:v>173.9136406572268</c:v>
                </c:pt>
                <c:pt idx="29">
                  <c:v>174.0047823939275</c:v>
                </c:pt>
                <c:pt idx="30">
                  <c:v>174.1149038586723</c:v>
                </c:pt>
                <c:pt idx="31">
                  <c:v>174.1975110454906</c:v>
                </c:pt>
                <c:pt idx="32">
                  <c:v>174.2665540831781</c:v>
                </c:pt>
                <c:pt idx="33">
                  <c:v>174.3108786921869</c:v>
                </c:pt>
                <c:pt idx="34">
                  <c:v>174.4190530201103</c:v>
                </c:pt>
                <c:pt idx="35">
                  <c:v>174.4705552478893</c:v>
                </c:pt>
                <c:pt idx="36">
                  <c:v>174.5380959410257</c:v>
                </c:pt>
                <c:pt idx="37">
                  <c:v>174.5815888334475</c:v>
                </c:pt>
                <c:pt idx="38">
                  <c:v>174.6132843407746</c:v>
                </c:pt>
                <c:pt idx="39">
                  <c:v>174.6253237489993</c:v>
                </c:pt>
                <c:pt idx="40">
                  <c:v>174.64684358455</c:v>
                </c:pt>
                <c:pt idx="41">
                  <c:v>174.6695689465965</c:v>
                </c:pt>
                <c:pt idx="42">
                  <c:v>174.7213427330852</c:v>
                </c:pt>
                <c:pt idx="43">
                  <c:v>174.6971477884363</c:v>
                </c:pt>
                <c:pt idx="44">
                  <c:v>174.7290581190651</c:v>
                </c:pt>
                <c:pt idx="45">
                  <c:v>174.6830902189844</c:v>
                </c:pt>
                <c:pt idx="46">
                  <c:v>174.6994848803274</c:v>
                </c:pt>
                <c:pt idx="47">
                  <c:v>174.6606404341728</c:v>
                </c:pt>
                <c:pt idx="48">
                  <c:v>174.6532115967964</c:v>
                </c:pt>
                <c:pt idx="49">
                  <c:v>174.6383225398852</c:v>
                </c:pt>
                <c:pt idx="50">
                  <c:v>174.6483494381196</c:v>
                </c:pt>
                <c:pt idx="51">
                  <c:v>174.5909279586099</c:v>
                </c:pt>
                <c:pt idx="52">
                  <c:v>174.5867235272918</c:v>
                </c:pt>
                <c:pt idx="53">
                  <c:v>174.5722638558172</c:v>
                </c:pt>
                <c:pt idx="54">
                  <c:v>174.5502218396483</c:v>
                </c:pt>
                <c:pt idx="55">
                  <c:v>174.536565043304</c:v>
                </c:pt>
                <c:pt idx="56">
                  <c:v>174.5552181099046</c:v>
                </c:pt>
                <c:pt idx="57">
                  <c:v>174.5350052004032</c:v>
                </c:pt>
                <c:pt idx="58">
                  <c:v>174.54351718745</c:v>
                </c:pt>
                <c:pt idx="59">
                  <c:v>174.5755744879225</c:v>
                </c:pt>
                <c:pt idx="60">
                  <c:v>174.5890607949218</c:v>
                </c:pt>
                <c:pt idx="61">
                  <c:v>174.6210111046747</c:v>
                </c:pt>
                <c:pt idx="62">
                  <c:v>174.6296961407077</c:v>
                </c:pt>
                <c:pt idx="63">
                  <c:v>174.68815127281</c:v>
                </c:pt>
                <c:pt idx="64">
                  <c:v>174.7105358183803</c:v>
                </c:pt>
                <c:pt idx="65">
                  <c:v>174.7707638130524</c:v>
                </c:pt>
                <c:pt idx="66">
                  <c:v>174.8220907216846</c:v>
                </c:pt>
                <c:pt idx="67">
                  <c:v>174.8653723770344</c:v>
                </c:pt>
                <c:pt idx="68">
                  <c:v>174.9488912898883</c:v>
                </c:pt>
                <c:pt idx="69">
                  <c:v>175.0085634033533</c:v>
                </c:pt>
                <c:pt idx="70">
                  <c:v>175.0950932401071</c:v>
                </c:pt>
                <c:pt idx="71">
                  <c:v>175.1439076772993</c:v>
                </c:pt>
                <c:pt idx="72">
                  <c:v>175.2415584227405</c:v>
                </c:pt>
                <c:pt idx="73">
                  <c:v>175.3262541447943</c:v>
                </c:pt>
                <c:pt idx="74">
                  <c:v>175.41998686851</c:v>
                </c:pt>
                <c:pt idx="75">
                  <c:v>175.5210155665409</c:v>
                </c:pt>
                <c:pt idx="76">
                  <c:v>175.5943439305481</c:v>
                </c:pt>
                <c:pt idx="77">
                  <c:v>175.7014969018185</c:v>
                </c:pt>
                <c:pt idx="78">
                  <c:v>175.8698409688165</c:v>
                </c:pt>
                <c:pt idx="79">
                  <c:v>175.9826210574485</c:v>
                </c:pt>
                <c:pt idx="80">
                  <c:v>176.1575277291347</c:v>
                </c:pt>
                <c:pt idx="81">
                  <c:v>176.2923729288226</c:v>
                </c:pt>
                <c:pt idx="82">
                  <c:v>176.469006755122</c:v>
                </c:pt>
                <c:pt idx="83">
                  <c:v>176.6785078568824</c:v>
                </c:pt>
                <c:pt idx="84">
                  <c:v>176.8466011395183</c:v>
                </c:pt>
                <c:pt idx="85">
                  <c:v>177.0615910980758</c:v>
                </c:pt>
                <c:pt idx="86">
                  <c:v>177.3225412933788</c:v>
                </c:pt>
                <c:pt idx="87">
                  <c:v>177.5591859946215</c:v>
                </c:pt>
                <c:pt idx="88">
                  <c:v>177.7732020742829</c:v>
                </c:pt>
                <c:pt idx="89">
                  <c:v>178.0552754766549</c:v>
                </c:pt>
                <c:pt idx="90">
                  <c:v>178.3156903224529</c:v>
                </c:pt>
                <c:pt idx="91">
                  <c:v>178.5913191915579</c:v>
                </c:pt>
                <c:pt idx="92">
                  <c:v>178.8989376478252</c:v>
                </c:pt>
                <c:pt idx="93">
                  <c:v>179.212917020788</c:v>
                </c:pt>
                <c:pt idx="94">
                  <c:v>179.5093724604723</c:v>
                </c:pt>
                <c:pt idx="95">
                  <c:v>179.8118672059323</c:v>
                </c:pt>
                <c:pt idx="96">
                  <c:v>180.1676916451822</c:v>
                </c:pt>
                <c:pt idx="97">
                  <c:v>180.4788185957607</c:v>
                </c:pt>
                <c:pt idx="98">
                  <c:v>180.8262967377769</c:v>
                </c:pt>
                <c:pt idx="99">
                  <c:v>181.1742592379904</c:v>
                </c:pt>
                <c:pt idx="100">
                  <c:v>181.5388316629444</c:v>
                </c:pt>
                <c:pt idx="101">
                  <c:v>181.9130299523318</c:v>
                </c:pt>
                <c:pt idx="102">
                  <c:v>182.2740200234053</c:v>
                </c:pt>
                <c:pt idx="103">
                  <c:v>182.6892409541461</c:v>
                </c:pt>
                <c:pt idx="104">
                  <c:v>183.0497433294032</c:v>
                </c:pt>
                <c:pt idx="105">
                  <c:v>183.4469913766357</c:v>
                </c:pt>
                <c:pt idx="106">
                  <c:v>183.8825963078607</c:v>
                </c:pt>
                <c:pt idx="107">
                  <c:v>184.2525398301557</c:v>
                </c:pt>
                <c:pt idx="108">
                  <c:v>184.6574923480014</c:v>
                </c:pt>
                <c:pt idx="109">
                  <c:v>185.065914877234</c:v>
                </c:pt>
                <c:pt idx="110">
                  <c:v>185.4731776810646</c:v>
                </c:pt>
                <c:pt idx="111">
                  <c:v>185.8654717861376</c:v>
                </c:pt>
                <c:pt idx="112">
                  <c:v>186.2446257435596</c:v>
                </c:pt>
                <c:pt idx="113">
                  <c:v>186.6590243328687</c:v>
                </c:pt>
                <c:pt idx="114">
                  <c:v>187.0080098613232</c:v>
                </c:pt>
                <c:pt idx="115">
                  <c:v>187.3747551303428</c:v>
                </c:pt>
                <c:pt idx="116">
                  <c:v>187.7109040766235</c:v>
                </c:pt>
                <c:pt idx="117">
                  <c:v>188.0721661973787</c:v>
                </c:pt>
                <c:pt idx="118">
                  <c:v>188.400027085687</c:v>
                </c:pt>
                <c:pt idx="119">
                  <c:v>188.6793175003886</c:v>
                </c:pt>
                <c:pt idx="120">
                  <c:v>188.9928972775226</c:v>
                </c:pt>
                <c:pt idx="121">
                  <c:v>189.3014876480464</c:v>
                </c:pt>
                <c:pt idx="122">
                  <c:v>189.5768816948983</c:v>
                </c:pt>
                <c:pt idx="123">
                  <c:v>189.8317109083227</c:v>
                </c:pt>
                <c:pt idx="124">
                  <c:v>190.0752958632997</c:v>
                </c:pt>
                <c:pt idx="125">
                  <c:v>190.3081613562302</c:v>
                </c:pt>
                <c:pt idx="126">
                  <c:v>190.5722863702888</c:v>
                </c:pt>
                <c:pt idx="127">
                  <c:v>190.7554561414836</c:v>
                </c:pt>
                <c:pt idx="128">
                  <c:v>190.967208954459</c:v>
                </c:pt>
                <c:pt idx="129">
                  <c:v>191.1478199088678</c:v>
                </c:pt>
                <c:pt idx="130">
                  <c:v>191.3549341627508</c:v>
                </c:pt>
                <c:pt idx="131">
                  <c:v>191.5259362046392</c:v>
                </c:pt>
                <c:pt idx="132">
                  <c:v>191.6720867379131</c:v>
                </c:pt>
                <c:pt idx="133">
                  <c:v>191.8044103500156</c:v>
                </c:pt>
                <c:pt idx="134">
                  <c:v>191.8847977978898</c:v>
                </c:pt>
                <c:pt idx="135">
                  <c:v>192.0129046314037</c:v>
                </c:pt>
                <c:pt idx="136">
                  <c:v>192.0794234928657</c:v>
                </c:pt>
                <c:pt idx="137">
                  <c:v>192.1440189249669</c:v>
                </c:pt>
                <c:pt idx="138">
                  <c:v>192.1556067621492</c:v>
                </c:pt>
                <c:pt idx="139">
                  <c:v>192.1536545752768</c:v>
                </c:pt>
                <c:pt idx="140">
                  <c:v>192.1656189721031</c:v>
                </c:pt>
                <c:pt idx="141">
                  <c:v>192.1433636606524</c:v>
                </c:pt>
                <c:pt idx="142">
                  <c:v>192.061239959897</c:v>
                </c:pt>
                <c:pt idx="143">
                  <c:v>191.9871054533503</c:v>
                </c:pt>
                <c:pt idx="144">
                  <c:v>191.8938780501334</c:v>
                </c:pt>
                <c:pt idx="145">
                  <c:v>191.7418624225212</c:v>
                </c:pt>
                <c:pt idx="146">
                  <c:v>191.5969365261093</c:v>
                </c:pt>
                <c:pt idx="147">
                  <c:v>191.4563057726188</c:v>
                </c:pt>
                <c:pt idx="148">
                  <c:v>191.2565176495023</c:v>
                </c:pt>
                <c:pt idx="149">
                  <c:v>191.0385370813704</c:v>
                </c:pt>
                <c:pt idx="150">
                  <c:v>190.8336852733512</c:v>
                </c:pt>
                <c:pt idx="151">
                  <c:v>190.5897446364859</c:v>
                </c:pt>
                <c:pt idx="152">
                  <c:v>190.3140637980437</c:v>
                </c:pt>
                <c:pt idx="153">
                  <c:v>190.0192788304422</c:v>
                </c:pt>
                <c:pt idx="154">
                  <c:v>189.7233509562465</c:v>
                </c:pt>
                <c:pt idx="155">
                  <c:v>189.3900899438082</c:v>
                </c:pt>
                <c:pt idx="156">
                  <c:v>189.0500685565576</c:v>
                </c:pt>
                <c:pt idx="157">
                  <c:v>188.709368144973</c:v>
                </c:pt>
                <c:pt idx="158">
                  <c:v>188.3243492031052</c:v>
                </c:pt>
                <c:pt idx="159">
                  <c:v>187.9401487564789</c:v>
                </c:pt>
                <c:pt idx="160">
                  <c:v>187.552668621543</c:v>
                </c:pt>
                <c:pt idx="161">
                  <c:v>187.1538853198464</c:v>
                </c:pt>
                <c:pt idx="162">
                  <c:v>186.7508473890742</c:v>
                </c:pt>
                <c:pt idx="163">
                  <c:v>186.3334582455537</c:v>
                </c:pt>
                <c:pt idx="164">
                  <c:v>185.9071001139335</c:v>
                </c:pt>
                <c:pt idx="165">
                  <c:v>185.4888462578628</c:v>
                </c:pt>
                <c:pt idx="166">
                  <c:v>185.0634223374194</c:v>
                </c:pt>
                <c:pt idx="167">
                  <c:v>184.6375497565194</c:v>
                </c:pt>
                <c:pt idx="168">
                  <c:v>184.1798408615662</c:v>
                </c:pt>
                <c:pt idx="169">
                  <c:v>183.7791756339931</c:v>
                </c:pt>
                <c:pt idx="170">
                  <c:v>183.3283664331559</c:v>
                </c:pt>
                <c:pt idx="171">
                  <c:v>182.9303362859525</c:v>
                </c:pt>
                <c:pt idx="172">
                  <c:v>182.4897418139814</c:v>
                </c:pt>
                <c:pt idx="173">
                  <c:v>182.052477048548</c:v>
                </c:pt>
                <c:pt idx="174">
                  <c:v>181.6731756985949</c:v>
                </c:pt>
                <c:pt idx="175">
                  <c:v>181.2506787464015</c:v>
                </c:pt>
                <c:pt idx="176">
                  <c:v>180.8586299347382</c:v>
                </c:pt>
                <c:pt idx="177">
                  <c:v>180.433470616986</c:v>
                </c:pt>
                <c:pt idx="178">
                  <c:v>180.055739204275</c:v>
                </c:pt>
                <c:pt idx="179">
                  <c:v>179.6751169228598</c:v>
                </c:pt>
                <c:pt idx="180">
                  <c:v>179.2770087337272</c:v>
                </c:pt>
                <c:pt idx="181">
                  <c:v>178.9097112381465</c:v>
                </c:pt>
                <c:pt idx="182">
                  <c:v>178.5220584917705</c:v>
                </c:pt>
                <c:pt idx="183">
                  <c:v>178.1822830083323</c:v>
                </c:pt>
                <c:pt idx="184">
                  <c:v>177.8054424863072</c:v>
                </c:pt>
                <c:pt idx="185">
                  <c:v>177.4407889412828</c:v>
                </c:pt>
                <c:pt idx="186">
                  <c:v>177.1006924451752</c:v>
                </c:pt>
                <c:pt idx="187">
                  <c:v>176.7699712318878</c:v>
                </c:pt>
                <c:pt idx="188">
                  <c:v>176.424470046214</c:v>
                </c:pt>
                <c:pt idx="189">
                  <c:v>176.1117507446382</c:v>
                </c:pt>
                <c:pt idx="190">
                  <c:v>175.8337849085759</c:v>
                </c:pt>
                <c:pt idx="191">
                  <c:v>175.5578980910194</c:v>
                </c:pt>
                <c:pt idx="192">
                  <c:v>175.2825268596642</c:v>
                </c:pt>
                <c:pt idx="193">
                  <c:v>175.0001457560964</c:v>
                </c:pt>
                <c:pt idx="194">
                  <c:v>174.7654140611182</c:v>
                </c:pt>
                <c:pt idx="195">
                  <c:v>174.5452757532566</c:v>
                </c:pt>
                <c:pt idx="196">
                  <c:v>174.3434456414765</c:v>
                </c:pt>
                <c:pt idx="197">
                  <c:v>174.1119913329567</c:v>
                </c:pt>
                <c:pt idx="198">
                  <c:v>173.9577389627031</c:v>
                </c:pt>
                <c:pt idx="199">
                  <c:v>173.8114983103325</c:v>
                </c:pt>
                <c:pt idx="200">
                  <c:v>173.6641944368428</c:v>
                </c:pt>
                <c:pt idx="201">
                  <c:v>173.5486012690382</c:v>
                </c:pt>
                <c:pt idx="202">
                  <c:v>173.4811174687096</c:v>
                </c:pt>
                <c:pt idx="203">
                  <c:v>173.4002611926633</c:v>
                </c:pt>
                <c:pt idx="204">
                  <c:v>173.3182552260234</c:v>
                </c:pt>
                <c:pt idx="205">
                  <c:v>173.2721574014499</c:v>
                </c:pt>
                <c:pt idx="206">
                  <c:v>173.2414475708054</c:v>
                </c:pt>
                <c:pt idx="207">
                  <c:v>173.2393538473594</c:v>
                </c:pt>
                <c:pt idx="208">
                  <c:v>173.2408020781292</c:v>
                </c:pt>
                <c:pt idx="209">
                  <c:v>173.27644255142</c:v>
                </c:pt>
                <c:pt idx="210">
                  <c:v>173.2965985631456</c:v>
                </c:pt>
                <c:pt idx="211">
                  <c:v>173.2989564322131</c:v>
                </c:pt>
                <c:pt idx="212">
                  <c:v>173.3531936729069</c:v>
                </c:pt>
                <c:pt idx="213">
                  <c:v>173.417639699321</c:v>
                </c:pt>
                <c:pt idx="214">
                  <c:v>173.4647332731504</c:v>
                </c:pt>
                <c:pt idx="215">
                  <c:v>173.5285280880068</c:v>
                </c:pt>
                <c:pt idx="216">
                  <c:v>173.5522833869739</c:v>
                </c:pt>
                <c:pt idx="217">
                  <c:v>173.6292700009905</c:v>
                </c:pt>
                <c:pt idx="218">
                  <c:v>173.7022389438857</c:v>
                </c:pt>
                <c:pt idx="219">
                  <c:v>173.7621505367651</c:v>
                </c:pt>
                <c:pt idx="220">
                  <c:v>173.8379259216372</c:v>
                </c:pt>
                <c:pt idx="221">
                  <c:v>173.8802687158138</c:v>
                </c:pt>
                <c:pt idx="222">
                  <c:v>173.9615445833391</c:v>
                </c:pt>
                <c:pt idx="223">
                  <c:v>174.0076871109721</c:v>
                </c:pt>
                <c:pt idx="224">
                  <c:v>174.0804471361015</c:v>
                </c:pt>
                <c:pt idx="225">
                  <c:v>174.1709937521724</c:v>
                </c:pt>
                <c:pt idx="226">
                  <c:v>174.2242599769817</c:v>
                </c:pt>
                <c:pt idx="227">
                  <c:v>174.3131951345992</c:v>
                </c:pt>
                <c:pt idx="228">
                  <c:v>174.3956652725952</c:v>
                </c:pt>
                <c:pt idx="229">
                  <c:v>174.4848517042599</c:v>
                </c:pt>
                <c:pt idx="230">
                  <c:v>174.543426161596</c:v>
                </c:pt>
                <c:pt idx="231">
                  <c:v>174.6280482120384</c:v>
                </c:pt>
                <c:pt idx="232">
                  <c:v>174.6914068646851</c:v>
                </c:pt>
                <c:pt idx="233">
                  <c:v>174.7520138860863</c:v>
                </c:pt>
                <c:pt idx="234">
                  <c:v>174.7949579603906</c:v>
                </c:pt>
                <c:pt idx="235">
                  <c:v>174.8869879041961</c:v>
                </c:pt>
                <c:pt idx="236">
                  <c:v>174.9084461456891</c:v>
                </c:pt>
                <c:pt idx="237">
                  <c:v>174.9604554197529</c:v>
                </c:pt>
                <c:pt idx="238">
                  <c:v>174.985986423785</c:v>
                </c:pt>
                <c:pt idx="239">
                  <c:v>175.0541038676799</c:v>
                </c:pt>
                <c:pt idx="240">
                  <c:v>175.0558998688489</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Detectability Margin vs Threshold</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Lens echo margin</c:v>
          </c:tx>
          <c:spPr>
            <a:ln xmlns:a="http://schemas.openxmlformats.org/drawingml/2006/mai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c:v>
                </c:pt>
                <c:pt idx="1">
                  <c:v>10.94405444767837</c:v>
                </c:pt>
                <c:pt idx="2">
                  <c:v>10.93705952367122</c:v>
                </c:pt>
                <c:pt idx="3">
                  <c:v>10.93194128814892</c:v>
                </c:pt>
                <c:pt idx="4">
                  <c:v>10.92879713802691</c:v>
                </c:pt>
                <c:pt idx="5">
                  <c:v>10.92773318902522</c:v>
                </c:pt>
                <c:pt idx="6">
                  <c:v>10.92886521758934</c:v>
                </c:pt>
                <c:pt idx="7">
                  <c:v>10.93231962482959</c:v>
                </c:pt>
                <c:pt idx="8">
                  <c:v>10.93823441008485</c:v>
                </c:pt>
                <c:pt idx="9">
                  <c:v>10.94676013932515</c:v>
                </c:pt>
                <c:pt idx="10">
                  <c:v>10.95806089110564</c:v>
                </c:pt>
                <c:pt idx="11">
                  <c:v>10.97231516021436</c:v>
                </c:pt>
                <c:pt idx="12">
                  <c:v>10.98971669656621</c:v>
                </c:pt>
                <c:pt idx="13">
                  <c:v>11.0104752543475</c:v>
                </c:pt>
                <c:pt idx="14">
                  <c:v>11.03481722397622</c:v>
                </c:pt>
                <c:pt idx="15">
                  <c:v>11.06298611719117</c:v>
                </c:pt>
                <c:pt idx="16">
                  <c:v>11.09524287360331</c:v>
                </c:pt>
                <c:pt idx="17">
                  <c:v>11.13186595542611</c:v>
                </c:pt>
                <c:pt idx="18">
                  <c:v>11.17315119594618</c:v>
                </c:pt>
                <c:pt idx="19">
                  <c:v>11.21941136669949</c:v>
                </c:pt>
                <c:pt idx="20">
                  <c:v>11.27097542838185</c:v>
                </c:pt>
                <c:pt idx="21">
                  <c:v>11.32818743134351</c:v>
                </c:pt>
                <c:pt idx="22">
                  <c:v>11.39140503318654</c:v>
                </c:pt>
                <c:pt idx="23">
                  <c:v>11.460997603584</c:v>
                </c:pt>
                <c:pt idx="24">
                  <c:v>11.53734389003947</c:v>
                </c:pt>
                <c:pt idx="25">
                  <c:v>11.62082922295817</c:v>
                </c:pt>
                <c:pt idx="26">
                  <c:v>11.71184224413672</c:v>
                </c:pt>
                <c:pt idx="27">
                  <c:v>11.81077114960547</c:v>
                </c:pt>
                <c:pt idx="28">
                  <c:v>11.91799944565429</c:v>
                </c:pt>
                <c:pt idx="29">
                  <c:v>12.03390122578696</c:v>
                </c:pt>
                <c:pt idx="30">
                  <c:v>12.15883598619677</c:v>
                </c:pt>
                <c:pt idx="31">
                  <c:v>12.2931430080146</c:v>
                </c:pt>
                <c:pt idx="32">
                  <c:v>12.43713534589568</c:v>
                </c:pt>
                <c:pt idx="33">
                  <c:v>12.59109347428907</c:v>
                </c:pt>
                <c:pt idx="34">
                  <c:v>12.75525865474931</c:v>
                </c:pt>
                <c:pt idx="35">
                  <c:v>12.9298260996448</c:v>
                </c:pt>
                <c:pt idx="36">
                  <c:v>13.11493801930633</c:v>
                </c:pt>
                <c:pt idx="37">
                  <c:v>13.31067665073504</c:v>
                </c:pt>
                <c:pt idx="38">
                  <c:v>13.51705737612768</c:v>
                </c:pt>
                <c:pt idx="39">
                  <c:v>13.73402204834725</c:v>
                </c:pt>
                <c:pt idx="40">
                  <c:v>13.96143264773784</c:v>
                </c:pt>
                <c:pt idx="41">
                  <c:v>14.19906540003257</c:v>
                </c:pt>
                <c:pt idx="42">
                  <c:v>14.44660548823266</c:v>
                </c:pt>
                <c:pt idx="43">
                  <c:v>14.70364249197382</c:v>
                </c:pt>
                <c:pt idx="44">
                  <c:v>14.96966668581474</c:v>
                </c:pt>
                <c:pt idx="45">
                  <c:v>15.24406632290322</c:v>
                </c:pt>
                <c:pt idx="46">
                  <c:v>15.52612602248264</c:v>
                </c:pt>
                <c:pt idx="47">
                  <c:v>15.81502636864548</c:v>
                </c:pt>
                <c:pt idx="48">
                  <c:v>16.10984481364878</c:v>
                </c:pt>
                <c:pt idx="49">
                  <c:v>16.40955796208737</c:v>
                </c:pt>
                <c:pt idx="50">
                  <c:v>16.71304529246248</c:v>
                </c:pt>
                <c:pt idx="51">
                  <c:v>17.01909435046272</c:v>
                </c:pt>
                <c:pt idx="52">
                  <c:v>17.32640742394413</c:v>
                </c:pt>
                <c:pt idx="53">
                  <c:v>17.6336096835896</c:v>
                </c:pt>
                <c:pt idx="54">
                  <c:v>17.93925874604536</c:v>
                </c:pt>
                <c:pt idx="55">
                  <c:v>18.24185558853317</c:v>
                </c:pt>
                <c:pt idx="56">
                  <c:v>18.53985671612903</c:v>
                </c:pt>
                <c:pt idx="57">
                  <c:v>18.83168745571935</c:v>
                </c:pt>
                <c:pt idx="58">
                  <c:v>19.1157562247491</c:v>
                </c:pt>
                <c:pt idx="59">
                  <c:v>19.39046959891661</c:v>
                </c:pt>
                <c:pt idx="60">
                  <c:v>19.65424798157655</c:v>
                </c:pt>
                <c:pt idx="61">
                  <c:v>19.90554165938302</c:v>
                </c:pt>
                <c:pt idx="62">
                  <c:v>20.14284701417269</c:v>
                </c:pt>
                <c:pt idx="63">
                  <c:v>20.36472265071861</c:v>
                </c:pt>
                <c:pt idx="64">
                  <c:v>20.56980519415077</c:v>
                </c:pt>
                <c:pt idx="65">
                  <c:v>20.75682450981097</c:v>
                </c:pt>
                <c:pt idx="66">
                  <c:v>20.92461810224447</c:v>
                </c:pt>
                <c:pt idx="67">
                  <c:v>21.07214445896403</c:v>
                </c:pt>
                <c:pt idx="68">
                  <c:v>21.19849511846669</c:v>
                </c:pt>
                <c:pt idx="69">
                  <c:v>21.30290526052315</c:v>
                </c:pt>
                <c:pt idx="70">
                  <c:v>21.38476263965948</c:v>
                </c:pt>
                <c:pt idx="71">
                  <c:v>21.44361470955886</c:v>
                </c:pt>
                <c:pt idx="72">
                  <c:v>21.479173816272</c:v>
                </c:pt>
                <c:pt idx="73">
                  <c:v>21.49132037099317</c:v>
                </c:pt>
                <c:pt idx="74">
                  <c:v>21.48010394801528</c:v>
                </c:pt>
                <c:pt idx="75">
                  <c:v>21.44574228954945</c:v>
                </c:pt>
                <c:pt idx="76">
                  <c:v>21.38861823557541</c:v>
                </c:pt>
                <c:pt idx="77">
                  <c:v>21.30927463296119</c:v>
                </c:pt>
                <c:pt idx="78">
                  <c:v>21.2084073129487</c:v>
                </c:pt>
                <c:pt idx="79">
                  <c:v>21.08685625897105</c:v>
                </c:pt>
                <c:pt idx="80">
                  <c:v>20.94559511693128</c:v>
                </c:pt>
                <c:pt idx="81">
                  <c:v>20.78571922688296</c:v>
                </c:pt>
                <c:pt idx="82">
                  <c:v>20.60843237795678</c:v>
                </c:pt>
                <c:pt idx="83">
                  <c:v>20.41503250692276</c:v>
                </c:pt>
                <c:pt idx="84">
                  <c:v>20.20689657462812</c:v>
                </c:pt>
                <c:pt idx="85">
                  <c:v>19.98546486349368</c:v>
                </c:pt>
                <c:pt idx="86">
                  <c:v>19.7522249431966</c:v>
                </c:pt>
                <c:pt idx="87">
                  <c:v>19.50869555065323</c:v>
                </c:pt>
                <c:pt idx="88">
                  <c:v>19.25641062459864</c:v>
                </c:pt>
                <c:pt idx="89">
                  <c:v>18.99690372471244</c:v>
                </c:pt>
                <c:pt idx="90">
                  <c:v>18.73169305073707</c:v>
                </c:pt>
                <c:pt idx="91">
                  <c:v>18.46226725883983</c:v>
                </c:pt>
                <c:pt idx="92">
                  <c:v>18.19007225112235</c:v>
                </c:pt>
                <c:pt idx="93">
                  <c:v>17.91649909027647</c:v>
                </c:pt>
                <c:pt idx="94">
                  <c:v>17.64287316555813</c:v>
                </c:pt>
                <c:pt idx="95">
                  <c:v>17.37044470915772</c:v>
                </c:pt>
                <c:pt idx="96">
                  <c:v>17.10038073434223</c:v>
                </c:pt>
                <c:pt idx="97">
                  <c:v>16.83375843907528</c:v>
                </c:pt>
                <c:pt idx="98">
                  <c:v>16.57156009179545</c:v>
                </c:pt>
                <c:pt idx="99">
                  <c:v>16.31466939021669</c:v>
                </c:pt>
                <c:pt idx="100">
                  <c:v>16.06386925991185</c:v>
                </c:pt>
                <c:pt idx="101">
                  <c:v>15.81984103748953</c:v>
                </c:pt>
                <c:pt idx="102">
                  <c:v>15.58316496373532</c:v>
                </c:pt>
                <c:pt idx="103">
                  <c:v>15.35432189544113</c:v>
                </c:pt>
                <c:pt idx="104">
                  <c:v>15.13369613098466</c:v>
                </c:pt>
                <c:pt idx="105">
                  <c:v>14.92157923415759</c:v>
                </c:pt>
                <c:pt idx="106">
                  <c:v>14.71817473330427</c:v>
                </c:pt>
                <c:pt idx="107">
                  <c:v>14.52360356847507</c:v>
                </c:pt>
                <c:pt idx="108">
                  <c:v>14.33791015790025</c:v>
                </c:pt>
                <c:pt idx="109">
                  <c:v>14.1610689564674</c:v>
                </c:pt>
                <c:pt idx="110">
                  <c:v>13.99299138279922</c:v>
                </c:pt>
                <c:pt idx="111">
                  <c:v>13.83353299769115</c:v>
                </c:pt>
                <c:pt idx="112">
                  <c:v>13.68250082475744</c:v>
                </c:pt>
                <c:pt idx="113">
                  <c:v>13.53966071379657</c:v>
                </c:pt>
                <c:pt idx="114">
                  <c:v>13.40474465825285</c:v>
                </c:pt>
                <c:pt idx="115">
                  <c:v>13.27745798983797</c:v>
                </c:pt>
                <c:pt idx="116">
                  <c:v>13.15748638550217</c:v>
                </c:pt>
                <c:pt idx="117">
                  <c:v>13.04450263413103</c:v>
                </c:pt>
                <c:pt idx="118">
                  <c:v>12.93817312222435</c:v>
                </c:pt>
                <c:pt idx="119">
                  <c:v>12.83816400904198</c:v>
                </c:pt>
                <c:pt idx="120">
                  <c:v>12.74414707195135</c:v>
                </c:pt>
                <c:pt idx="121">
                  <c:v>12.65580521169096</c:v>
                </c:pt>
                <c:pt idx="122">
                  <c:v>12.57283761470939</c:v>
                </c:pt>
                <c:pt idx="123">
                  <c:v>12.49496457543002</c:v>
                </c:pt>
                <c:pt idx="124">
                  <c:v>12.42193198504769</c:v>
                </c:pt>
                <c:pt idx="125">
                  <c:v>12.35351549515601</c:v>
                </c:pt>
                <c:pt idx="126">
                  <c:v>12.28952436405631</c:v>
                </c:pt>
                <c:pt idx="127">
                  <c:v>12.22980499099525</c:v>
                </c:pt>
                <c:pt idx="128">
                  <c:v>12.17424413886716</c:v>
                </c:pt>
                <c:pt idx="129">
                  <c:v>12.12277183921904</c:v>
                </c:pt>
                <c:pt idx="130">
                  <c:v>12.07536396490622</c:v>
                </c:pt>
                <c:pt idx="131">
                  <c:v>12.03204444574229</c:v>
                </c:pt>
                <c:pt idx="132">
                  <c:v>11.99288709132536</c:v>
                </c:pt>
                <c:pt idx="133">
                  <c:v>11.95801697334799</c:v>
                </c:pt>
                <c:pt idx="134">
                  <c:v>11.92761130763381</c:v>
                </c:pt>
                <c:pt idx="135">
                  <c:v>11.90189976448971</c:v>
                </c:pt>
                <c:pt idx="136">
                  <c:v>11.8811641253855</c:v>
                </c:pt>
                <c:pt idx="137">
                  <c:v>11.86573719519114</c:v>
                </c:pt>
                <c:pt idx="138">
                  <c:v>11.85600087296537</c:v>
                </c:pt>
                <c:pt idx="139">
                  <c:v>11.85238328135978</c:v>
                </c:pt>
                <c:pt idx="140">
                  <c:v>11.85535485581405</c:v>
                </c:pt>
                <c:pt idx="141">
                  <c:v>11.86542330055539</c:v>
                </c:pt>
                <c:pt idx="142">
                  <c:v>11.88312732956654</c:v>
                </c:pt>
                <c:pt idx="143">
                  <c:v>11.90902912760539</c:v>
                </c:pt>
                <c:pt idx="144">
                  <c:v>11.94370548932877</c:v>
                </c:pt>
                <c:pt idx="145">
                  <c:v>11.98773762365725</c:v>
                </c:pt>
                <c:pt idx="146">
                  <c:v>12.04169964553505</c:v>
                </c:pt>
                <c:pt idx="147">
                  <c:v>12.10614581772516</c:v>
                </c:pt>
                <c:pt idx="148">
                  <c:v>12.18159665047092</c:v>
                </c:pt>
                <c:pt idx="149">
                  <c:v>12.26852401567733</c:v>
                </c:pt>
                <c:pt idx="150">
                  <c:v>12.36733548333729</c:v>
                </c:pt>
                <c:pt idx="151">
                  <c:v>12.47835813958349</c:v>
                </c:pt>
                <c:pt idx="152">
                  <c:v>12.60182219606717</c:v>
                </c:pt>
                <c:pt idx="153">
                  <c:v>12.73784474723769</c:v>
                </c:pt>
                <c:pt idx="154">
                  <c:v>12.88641407327967</c:v>
                </c:pt>
                <c:pt idx="155">
                  <c:v>13.04737491967618</c:v>
                </c:pt>
                <c:pt idx="156">
                  <c:v>13.22041520738186</c:v>
                </c:pt>
                <c:pt idx="157">
                  <c:v>13.40505463834765</c:v>
                </c:pt>
                <c:pt idx="158">
                  <c:v>13.60063565785244</c:v>
                </c:pt>
                <c:pt idx="159">
                  <c:v>13.80631721636726</c:v>
                </c:pt>
                <c:pt idx="160">
                  <c:v>14.02107173859068</c:v>
                </c:pt>
                <c:pt idx="161">
                  <c:v>14.2436856555204</c:v>
                </c:pt>
                <c:pt idx="162">
                  <c:v>14.47276378728047</c:v>
                </c:pt>
                <c:pt idx="163">
                  <c:v>14.70673778092275</c:v>
                </c:pt>
                <c:pt idx="164">
                  <c:v>14.94387871029035</c:v>
                </c:pt>
                <c:pt idx="165">
                  <c:v>15.18231383669486</c:v>
                </c:pt>
                <c:pt idx="166">
                  <c:v>15.42004741268546</c:v>
                </c:pt>
                <c:pt idx="167">
                  <c:v>15.65498529020348</c:v>
                </c:pt>
                <c:pt idx="168">
                  <c:v>15.88496297298555</c:v>
                </c:pt>
                <c:pt idx="169">
                  <c:v>16.10777663555344</c:v>
                </c:pt>
                <c:pt idx="170">
                  <c:v>16.3212165219803</c:v>
                </c:pt>
                <c:pt idx="171">
                  <c:v>16.52310204124088</c:v>
                </c:pt>
                <c:pt idx="172">
                  <c:v>16.71131779646405</c:v>
                </c:pt>
                <c:pt idx="173">
                  <c:v>16.88384972646298</c:v>
                </c:pt>
                <c:pt idx="174">
                  <c:v>17.03882050253208</c:v>
                </c:pt>
                <c:pt idx="175">
                  <c:v>17.17452331387063</c:v>
                </c:pt>
                <c:pt idx="176">
                  <c:v>17.28945319238709</c:v>
                </c:pt>
                <c:pt idx="177">
                  <c:v>17.38233507229691</c:v>
                </c:pt>
                <c:pt idx="178">
                  <c:v>17.45214785102703</c:v>
                </c:pt>
                <c:pt idx="179">
                  <c:v>17.49814381359621</c:v>
                </c:pt>
                <c:pt idx="180">
                  <c:v>17.51986289996337</c:v>
                </c:pt>
                <c:pt idx="181">
                  <c:v>17.51714143003829</c:v>
                </c:pt>
                <c:pt idx="182">
                  <c:v>17.49011504959088</c:v>
                </c:pt>
                <c:pt idx="183">
                  <c:v>17.43921581707286</c:v>
                </c:pt>
                <c:pt idx="184">
                  <c:v>17.36516351092536</c:v>
                </c:pt>
                <c:pt idx="185">
                  <c:v>17.26895139371343</c:v>
                </c:pt>
                <c:pt idx="186">
                  <c:v>17.15182681794999</c:v>
                </c:pt>
                <c:pt idx="187">
                  <c:v>17.01526719364268</c:v>
                </c:pt>
                <c:pt idx="188">
                  <c:v>16.86095195487877</c:v>
                </c:pt>
                <c:pt idx="189">
                  <c:v>16.69073125836656</c:v>
                </c:pt>
                <c:pt idx="190">
                  <c:v>16.50659221788738</c:v>
                </c:pt>
                <c:pt idx="191">
                  <c:v>16.31062352319572</c:v>
                </c:pt>
                <c:pt idx="192">
                  <c:v>16.10497930921013</c:v>
                </c:pt>
                <c:pt idx="193">
                  <c:v>15.89184313160826</c:v>
                </c:pt>
                <c:pt idx="194">
                  <c:v>15.6733928694386</c:v>
                </c:pt>
                <c:pt idx="195">
                  <c:v>15.45176731629343</c:v>
                </c:pt>
                <c:pt idx="196">
                  <c:v>15.22903514195812</c:v>
                </c:pt>
                <c:pt idx="197">
                  <c:v>15.00716680992038</c:v>
                </c:pt>
                <c:pt idx="198">
                  <c:v>14.78800992681233</c:v>
                </c:pt>
                <c:pt idx="199">
                  <c:v>14.57326838216252</c:v>
                </c:pt>
                <c:pt idx="200">
                  <c:v>14.36448551522657</c:v>
                </c:pt>
                <c:pt idx="201">
                  <c:v>14.16303142449749</c:v>
                </c:pt>
                <c:pt idx="202">
                  <c:v>13.97009441884008</c:v>
                </c:pt>
                <c:pt idx="203">
                  <c:v>13.78667650067769</c:v>
                </c:pt>
                <c:pt idx="204">
                  <c:v>13.61359267435834</c:v>
                </c:pt>
                <c:pt idx="205">
                  <c:v>13.4514737891721</c:v>
                </c:pt>
                <c:pt idx="206">
                  <c:v>13.30077255821503</c:v>
                </c:pt>
                <c:pt idx="207">
                  <c:v>13.16177234242336</c:v>
                </c:pt>
                <c:pt idx="208">
                  <c:v>13.03459825395984</c:v>
                </c:pt>
                <c:pt idx="209">
                  <c:v>12.91923011440398</c:v>
                </c:pt>
                <c:pt idx="210">
                  <c:v>12.81551679997835</c:v>
                </c:pt>
                <c:pt idx="211">
                  <c:v>12.72319151694841</c:v>
                </c:pt>
                <c:pt idx="212">
                  <c:v>12.64188757359162</c:v>
                </c:pt>
                <c:pt idx="213">
                  <c:v>12.57115424869617</c:v>
                </c:pt>
                <c:pt idx="214">
                  <c:v>12.51047239821188</c:v>
                </c:pt>
                <c:pt idx="215">
                  <c:v>12.45926948916763</c:v>
                </c:pt>
                <c:pt idx="216">
                  <c:v>12.41693380106578</c:v>
                </c:pt>
                <c:pt idx="217">
                  <c:v>12.38282758756344</c:v>
                </c:pt>
                <c:pt idx="218">
                  <c:v>12.35629904344702</c:v>
                </c:pt>
                <c:pt idx="219">
                  <c:v>12.33669297204202</c:v>
                </c:pt>
                <c:pt idx="220">
                  <c:v>12.32336009490004</c:v>
                </c:pt>
                <c:pt idx="221">
                  <c:v>12.31566498779625</c:v>
                </c:pt>
                <c:pt idx="222">
                  <c:v>12.31299266398487</c:v>
                </c:pt>
                <c:pt idx="223">
                  <c:v>12.31475385682582</c:v>
                </c:pt>
                <c:pt idx="224">
                  <c:v>12.32038907911149</c:v>
                </c:pt>
                <c:pt idx="225">
                  <c:v>12.32937155573159</c:v>
                </c:pt>
                <c:pt idx="226">
                  <c:v>12.34120913996424</c:v>
                </c:pt>
                <c:pt idx="227">
                  <c:v>12.35544533208781</c:v>
                </c:pt>
                <c:pt idx="228">
                  <c:v>12.37165952270713</c:v>
                </c:pt>
                <c:pt idx="229">
                  <c:v>12.38946658280402</c:v>
                </c:pt>
                <c:pt idx="230">
                  <c:v>12.40851591872286</c:v>
                </c:pt>
                <c:pt idx="231">
                  <c:v>12.4284901037703</c:v>
                </c:pt>
                <c:pt idx="232">
                  <c:v>12.44910318950861</c:v>
                </c:pt>
                <c:pt idx="233">
                  <c:v>12.47009878978264</c:v>
                </c:pt>
                <c:pt idx="234">
                  <c:v>12.49124801960951</c:v>
                </c:pt>
                <c:pt idx="235">
                  <c:v>12.51234735977926</c:v>
                </c:pt>
                <c:pt idx="236">
                  <c:v>12.53321650678751</c:v>
                </c:pt>
                <c:pt idx="237">
                  <c:v>12.55369625689396</c:v>
                </c:pt>
                <c:pt idx="238">
                  <c:v>12.57364646293919</c:v>
                </c:pt>
                <c:pt idx="239">
                  <c:v>12.59294409325221</c:v>
                </c:pt>
                <c:pt idx="240">
                  <c:v>12.61148141366841</c:v>
                </c:pt>
              </c:numCache>
            </c:numRef>
          </c:yVal>
        </c:ser>
        <c:ser>
          <c:idx val="1"/>
          <c:order val="1"/>
          <c:tx>
            <c:v>Ocean echo margin</c:v>
          </c:tx>
          <c:spPr>
            <a:ln xmlns:a="http://schemas.openxmlformats.org/drawingml/2006/mai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c:v>
                </c:pt>
                <c:pt idx="2">
                  <c:v>11.52634483041223</c:v>
                </c:pt>
                <c:pt idx="3">
                  <c:v>11.45302171759445</c:v>
                </c:pt>
                <c:pt idx="4">
                  <c:v>11.53276772989145</c:v>
                </c:pt>
                <c:pt idx="5">
                  <c:v>11.46890073816452</c:v>
                </c:pt>
                <c:pt idx="6">
                  <c:v>11.49149876348529</c:v>
                </c:pt>
                <c:pt idx="7">
                  <c:v>11.48984468406683</c:v>
                </c:pt>
                <c:pt idx="8">
                  <c:v>11.39392874767143</c:v>
                </c:pt>
                <c:pt idx="9">
                  <c:v>11.43577600835145</c:v>
                </c:pt>
                <c:pt idx="10">
                  <c:v>11.38160795743978</c:v>
                </c:pt>
                <c:pt idx="11">
                  <c:v>11.31453847230041</c:v>
                </c:pt>
                <c:pt idx="12">
                  <c:v>11.31676271977868</c:v>
                </c:pt>
                <c:pt idx="13">
                  <c:v>11.24621668855234</c:v>
                </c:pt>
                <c:pt idx="14">
                  <c:v>11.23246928941607</c:v>
                </c:pt>
                <c:pt idx="15">
                  <c:v>11.20491915673801</c:v>
                </c:pt>
                <c:pt idx="16">
                  <c:v>11.1567749480677</c:v>
                </c:pt>
                <c:pt idx="17">
                  <c:v>11.07579900342258</c:v>
                </c:pt>
                <c:pt idx="18">
                  <c:v>11.12129354192287</c:v>
                </c:pt>
                <c:pt idx="19">
                  <c:v>11.1348695270927</c:v>
                </c:pt>
                <c:pt idx="20">
                  <c:v>11.0345363519266</c:v>
                </c:pt>
                <c:pt idx="21">
                  <c:v>11.10038897691558</c:v>
                </c:pt>
                <c:pt idx="22">
                  <c:v>11.05908203278765</c:v>
                </c:pt>
                <c:pt idx="23">
                  <c:v>11.07374383782</c:v>
                </c:pt>
                <c:pt idx="24">
                  <c:v>11.12437741666464</c:v>
                </c:pt>
                <c:pt idx="25">
                  <c:v>11.08394504464057</c:v>
                </c:pt>
                <c:pt idx="26">
                  <c:v>11.1201635961216</c:v>
                </c:pt>
                <c:pt idx="27">
                  <c:v>11.11835345536429</c:v>
                </c:pt>
                <c:pt idx="28">
                  <c:v>11.18562160111786</c:v>
                </c:pt>
                <c:pt idx="29">
                  <c:v>11.21367121174734</c:v>
                </c:pt>
                <c:pt idx="30">
                  <c:v>11.30086016955972</c:v>
                </c:pt>
                <c:pt idx="31">
                  <c:v>11.32705753436567</c:v>
                </c:pt>
                <c:pt idx="32">
                  <c:v>11.32870790510413</c:v>
                </c:pt>
                <c:pt idx="33">
                  <c:v>11.27714663164549</c:v>
                </c:pt>
                <c:pt idx="34">
                  <c:v>11.40206178681505</c:v>
                </c:pt>
                <c:pt idx="35">
                  <c:v>11.3912652899642</c:v>
                </c:pt>
                <c:pt idx="36">
                  <c:v>11.4332305644122</c:v>
                </c:pt>
                <c:pt idx="37">
                  <c:v>11.42407619571817</c:v>
                </c:pt>
                <c:pt idx="38">
                  <c:v>11.39547570748875</c:v>
                </c:pt>
                <c:pt idx="39">
                  <c:v>11.32692735289757</c:v>
                </c:pt>
                <c:pt idx="40">
                  <c:v>11.29372808599415</c:v>
                </c:pt>
                <c:pt idx="41">
                  <c:v>11.27416274270166</c:v>
                </c:pt>
                <c:pt idx="42">
                  <c:v>11.34004038802685</c:v>
                </c:pt>
                <c:pt idx="43">
                  <c:v>11.21882140419363</c:v>
                </c:pt>
                <c:pt idx="44">
                  <c:v>11.25227392903516</c:v>
                </c:pt>
                <c:pt idx="45">
                  <c:v>11.09266337497647</c:v>
                </c:pt>
                <c:pt idx="46">
                  <c:v>11.10278784003618</c:v>
                </c:pt>
                <c:pt idx="47">
                  <c:v>10.97723270378081</c:v>
                </c:pt>
                <c:pt idx="48">
                  <c:v>10.93981083708111</c:v>
                </c:pt>
                <c:pt idx="49">
                  <c:v>10.88898635109995</c:v>
                </c:pt>
                <c:pt idx="50">
                  <c:v>10.90780024221201</c:v>
                </c:pt>
                <c:pt idx="51">
                  <c:v>10.75599676425009</c:v>
                </c:pt>
                <c:pt idx="52">
                  <c:v>10.7452917117532</c:v>
                </c:pt>
                <c:pt idx="53">
                  <c:v>10.71019389507676</c:v>
                </c:pt>
                <c:pt idx="54">
                  <c:v>10.65656762663644</c:v>
                </c:pt>
                <c:pt idx="55">
                  <c:v>10.62468465463841</c:v>
                </c:pt>
                <c:pt idx="56">
                  <c:v>10.67539678543975</c:v>
                </c:pt>
                <c:pt idx="57">
                  <c:v>10.62308660212188</c:v>
                </c:pt>
                <c:pt idx="58">
                  <c:v>10.64169287538862</c:v>
                </c:pt>
                <c:pt idx="59">
                  <c:v>10.71655809091902</c:v>
                </c:pt>
                <c:pt idx="60">
                  <c:v>10.73728937465913</c:v>
                </c:pt>
                <c:pt idx="61">
                  <c:v>10.79858287399928</c:v>
                </c:pt>
                <c:pt idx="62">
                  <c:v>10.79102167215611</c:v>
                </c:pt>
                <c:pt idx="63">
                  <c:v>10.90257336727695</c:v>
                </c:pt>
                <c:pt idx="64">
                  <c:v>10.9095092792331</c:v>
                </c:pt>
                <c:pt idx="65">
                  <c:v>11.00207917935668</c:v>
                </c:pt>
                <c:pt idx="66">
                  <c:v>11.05788083658414</c:v>
                </c:pt>
                <c:pt idx="67">
                  <c:v>11.07787575402272</c:v>
                </c:pt>
                <c:pt idx="68">
                  <c:v>11.18594479601746</c:v>
                </c:pt>
                <c:pt idx="69">
                  <c:v>11.21482103261036</c:v>
                </c:pt>
                <c:pt idx="70">
                  <c:v>11.29472348449482</c:v>
                </c:pt>
                <c:pt idx="71">
                  <c:v>11.25719126249966</c:v>
                </c:pt>
                <c:pt idx="72">
                  <c:v>11.32541897125253</c:v>
                </c:pt>
                <c:pt idx="73">
                  <c:v>11.33824993906754</c:v>
                </c:pt>
                <c:pt idx="74">
                  <c:v>11.35169168023442</c:v>
                </c:pt>
                <c:pt idx="75">
                  <c:v>11.3603134654602</c:v>
                </c:pt>
                <c:pt idx="76">
                  <c:v>11.27257644440855</c:v>
                </c:pt>
                <c:pt idx="77">
                  <c:v>11.24712901678392</c:v>
                </c:pt>
                <c:pt idx="78">
                  <c:v>11.3541807223438</c:v>
                </c:pt>
                <c:pt idx="79">
                  <c:v>11.29055889328013</c:v>
                </c:pt>
                <c:pt idx="80">
                  <c:v>11.36069559448323</c:v>
                </c:pt>
                <c:pt idx="81">
                  <c:v>11.2993393562684</c:v>
                </c:pt>
                <c:pt idx="82">
                  <c:v>11.31823000417327</c:v>
                </c:pt>
                <c:pt idx="83">
                  <c:v>11.39398682082963</c:v>
                </c:pt>
                <c:pt idx="84">
                  <c:v>11.33397660875665</c:v>
                </c:pt>
                <c:pt idx="85">
                  <c:v>11.36696096351638</c:v>
                </c:pt>
                <c:pt idx="86">
                  <c:v>11.49055510616162</c:v>
                </c:pt>
                <c:pt idx="87">
                  <c:v>11.52282699257835</c:v>
                </c:pt>
                <c:pt idx="88">
                  <c:v>11.4683773460746</c:v>
                </c:pt>
                <c:pt idx="89">
                  <c:v>11.56256527893849</c:v>
                </c:pt>
                <c:pt idx="90">
                  <c:v>11.5733835741524</c:v>
                </c:pt>
                <c:pt idx="91">
                  <c:v>11.59696422901268</c:v>
                </c:pt>
                <c:pt idx="92">
                  <c:v>11.65303840634078</c:v>
                </c:pt>
                <c:pt idx="93">
                  <c:v>11.47799684997721</c:v>
                </c:pt>
                <c:pt idx="94">
                  <c:v>11.37990545394013</c:v>
                </c:pt>
                <c:pt idx="95">
                  <c:v>11.28956863687699</c:v>
                </c:pt>
                <c:pt idx="96">
                  <c:v>11.06899877662448</c:v>
                </c:pt>
                <c:pt idx="97">
                  <c:v>11.00071227984535</c:v>
                </c:pt>
                <c:pt idx="98">
                  <c:v>10.8487866974947</c:v>
                </c:pt>
                <c:pt idx="99">
                  <c:v>10.7156003512202</c:v>
                </c:pt>
                <c:pt idx="100">
                  <c:v>10.55293773126772</c:v>
                </c:pt>
                <c:pt idx="101">
                  <c:v>10.37937353917545</c:v>
                </c:pt>
                <c:pt idx="102">
                  <c:v>10.25926430689356</c:v>
                </c:pt>
                <c:pt idx="103">
                  <c:v>9.995583270854873</c:v>
                </c:pt>
                <c:pt idx="104">
                  <c:v>9.901768272525338</c:v>
                </c:pt>
                <c:pt idx="105">
                  <c:v>9.711086685932031</c:v>
                </c:pt>
                <c:pt idx="106">
                  <c:v>9.41680792153064</c:v>
                </c:pt>
                <c:pt idx="107">
                  <c:v>9.317874115560869</c:v>
                </c:pt>
                <c:pt idx="108">
                  <c:v>9.120701502071526</c:v>
                </c:pt>
                <c:pt idx="109">
                  <c:v>8.91432691731076</c:v>
                </c:pt>
                <c:pt idx="110">
                  <c:v>8.709851587082369</c:v>
                </c:pt>
                <c:pt idx="111">
                  <c:v>8.544905322863507</c:v>
                </c:pt>
                <c:pt idx="112">
                  <c:v>8.411822848460915</c:v>
                </c:pt>
                <c:pt idx="113">
                  <c:v>8.168158463866057</c:v>
                </c:pt>
                <c:pt idx="114">
                  <c:v>8.102847555252396</c:v>
                </c:pt>
                <c:pt idx="115">
                  <c:v>7.972725550696062</c:v>
                </c:pt>
                <c:pt idx="116">
                  <c:v>7.915332699430266</c:v>
                </c:pt>
                <c:pt idx="117">
                  <c:v>7.767002537245162</c:v>
                </c:pt>
                <c:pt idx="118">
                  <c:v>7.694701387861414</c:v>
                </c:pt>
                <c:pt idx="119">
                  <c:v>7.73995854210547</c:v>
                </c:pt>
                <c:pt idx="120">
                  <c:v>7.660593900141151</c:v>
                </c:pt>
                <c:pt idx="121">
                  <c:v>7.567993856149855</c:v>
                </c:pt>
                <c:pt idx="122">
                  <c:v>7.54154647978153</c:v>
                </c:pt>
                <c:pt idx="123">
                  <c:v>7.542491327555446</c:v>
                </c:pt>
                <c:pt idx="124">
                  <c:v>7.541716023960348</c:v>
                </c:pt>
                <c:pt idx="125">
                  <c:v>7.535639746382621</c:v>
                </c:pt>
                <c:pt idx="126">
                  <c:v>7.400773998090621</c:v>
                </c:pt>
                <c:pt idx="127">
                  <c:v>7.460025984144764</c:v>
                </c:pt>
                <c:pt idx="128">
                  <c:v>7.394540837486844</c:v>
                </c:pt>
                <c:pt idx="129">
                  <c:v>7.375491122166437</c:v>
                </c:pt>
                <c:pt idx="130">
                  <c:v>7.234433387496487</c:v>
                </c:pt>
                <c:pt idx="131">
                  <c:v>7.151128040150653</c:v>
                </c:pt>
                <c:pt idx="132">
                  <c:v>7.09162264425656</c:v>
                </c:pt>
                <c:pt idx="133">
                  <c:v>7.022772764799086</c:v>
                </c:pt>
                <c:pt idx="134">
                  <c:v>7.053779572031509</c:v>
                </c:pt>
                <c:pt idx="135">
                  <c:v>6.895222783514676</c:v>
                </c:pt>
                <c:pt idx="136">
                  <c:v>6.862655815818925</c:v>
                </c:pt>
                <c:pt idx="137">
                  <c:v>6.782690265200259</c:v>
                </c:pt>
                <c:pt idx="138">
                  <c:v>6.802640421381518</c:v>
                </c:pt>
                <c:pt idx="139">
                  <c:v>6.807868722571641</c:v>
                </c:pt>
                <c:pt idx="140">
                  <c:v>6.718651903261375</c:v>
                </c:pt>
                <c:pt idx="141">
                  <c:v>6.674218168787895</c:v>
                </c:pt>
                <c:pt idx="142">
                  <c:v>6.748857559477365</c:v>
                </c:pt>
                <c:pt idx="143">
                  <c:v>6.746361374428936</c:v>
                </c:pt>
                <c:pt idx="144">
                  <c:v>6.745472212837427</c:v>
                </c:pt>
                <c:pt idx="145">
                  <c:v>6.861592334330702</c:v>
                </c:pt>
                <c:pt idx="146">
                  <c:v>6.904695729184013</c:v>
                </c:pt>
                <c:pt idx="147">
                  <c:v>6.883674818100538</c:v>
                </c:pt>
                <c:pt idx="148">
                  <c:v>6.983140154018237</c:v>
                </c:pt>
                <c:pt idx="149">
                  <c:v>7.085612794805655</c:v>
                </c:pt>
                <c:pt idx="150">
                  <c:v>7.101667015848548</c:v>
                </c:pt>
                <c:pt idx="151">
                  <c:v>7.183813204236564</c:v>
                </c:pt>
                <c:pt idx="152">
                  <c:v>7.312281132748666</c:v>
                </c:pt>
                <c:pt idx="153">
                  <c:v>7.452123186476463</c:v>
                </c:pt>
                <c:pt idx="154">
                  <c:v>7.553099997733234</c:v>
                </c:pt>
                <c:pt idx="155">
                  <c:v>7.72182772155417</c:v>
                </c:pt>
                <c:pt idx="156">
                  <c:v>7.871789319045057</c:v>
                </c:pt>
                <c:pt idx="157">
                  <c:v>7.987460755726516</c:v>
                </c:pt>
                <c:pt idx="158">
                  <c:v>8.197329884976114</c:v>
                </c:pt>
                <c:pt idx="159">
                  <c:v>8.373013417403463</c:v>
                </c:pt>
                <c:pt idx="160">
                  <c:v>8.52871953787821</c:v>
                </c:pt>
                <c:pt idx="161">
                  <c:v>8.690092134778155</c:v>
                </c:pt>
                <c:pt idx="162">
                  <c:v>8.839215672583947</c:v>
                </c:pt>
                <c:pt idx="163">
                  <c:v>9.007858255554396</c:v>
                </c:pt>
                <c:pt idx="164">
                  <c:v>9.183034296557857</c:v>
                </c:pt>
                <c:pt idx="165">
                  <c:v>9.317959401068556</c:v>
                </c:pt>
                <c:pt idx="166">
                  <c:v>9.459509854063064</c:v>
                </c:pt>
                <c:pt idx="167">
                  <c:v>9.590918785865675</c:v>
                </c:pt>
                <c:pt idx="168">
                  <c:v>9.8057384174951</c:v>
                </c:pt>
                <c:pt idx="169">
                  <c:v>9.849415253344866</c:v>
                </c:pt>
                <c:pt idx="170">
                  <c:v>10.03490234882954</c:v>
                </c:pt>
                <c:pt idx="171">
                  <c:v>10.06698150614186</c:v>
                </c:pt>
                <c:pt idx="172">
                  <c:v>10.22428744383549</c:v>
                </c:pt>
                <c:pt idx="173">
                  <c:v>10.37661708334819</c:v>
                </c:pt>
                <c:pt idx="174">
                  <c:v>10.36843087988111</c:v>
                </c:pt>
                <c:pt idx="175">
                  <c:v>10.4950775523245</c:v>
                </c:pt>
                <c:pt idx="176">
                  <c:v>10.54588870516282</c:v>
                </c:pt>
                <c:pt idx="177">
                  <c:v>10.70725866891399</c:v>
                </c:pt>
                <c:pt idx="178">
                  <c:v>10.74842526534942</c:v>
                </c:pt>
                <c:pt idx="179">
                  <c:v>10.81730764228115</c:v>
                </c:pt>
                <c:pt idx="180">
                  <c:v>10.95833639276857</c:v>
                </c:pt>
                <c:pt idx="181">
                  <c:v>11.03381009253146</c:v>
                </c:pt>
                <c:pt idx="182">
                  <c:v>11.19381724681749</c:v>
                </c:pt>
                <c:pt idx="183">
                  <c:v>11.24274464155326</c:v>
                </c:pt>
                <c:pt idx="184">
                  <c:v>11.42822537533861</c:v>
                </c:pt>
                <c:pt idx="185">
                  <c:v>11.60935368443442</c:v>
                </c:pt>
                <c:pt idx="186">
                  <c:v>11.75185432164957</c:v>
                </c:pt>
                <c:pt idx="187">
                  <c:v>11.90107250959217</c:v>
                </c:pt>
                <c:pt idx="188">
                  <c:v>11.93839405738957</c:v>
                </c:pt>
                <c:pt idx="189">
                  <c:v>11.86064947034479</c:v>
                </c:pt>
                <c:pt idx="190">
                  <c:v>11.83772270516697</c:v>
                </c:pt>
                <c:pt idx="191">
                  <c:v>11.78409463500163</c:v>
                </c:pt>
                <c:pt idx="192">
                  <c:v>11.69499691727194</c:v>
                </c:pt>
                <c:pt idx="193">
                  <c:v>11.55034578468457</c:v>
                </c:pt>
                <c:pt idx="194">
                  <c:v>11.49133184510526</c:v>
                </c:pt>
                <c:pt idx="195">
                  <c:v>11.43198382487959</c:v>
                </c:pt>
                <c:pt idx="196">
                  <c:v>11.38174980535786</c:v>
                </c:pt>
                <c:pt idx="197">
                  <c:v>11.21637855478378</c:v>
                </c:pt>
                <c:pt idx="198">
                  <c:v>11.21277836309522</c:v>
                </c:pt>
                <c:pt idx="199">
                  <c:v>11.1918771296147</c:v>
                </c:pt>
                <c:pt idx="200">
                  <c:v>11.13050910553211</c:v>
                </c:pt>
                <c:pt idx="201">
                  <c:v>11.11407848530896</c:v>
                </c:pt>
                <c:pt idx="202">
                  <c:v>11.18567996026136</c:v>
                </c:pt>
                <c:pt idx="203">
                  <c:v>11.18671648369239</c:v>
                </c:pt>
                <c:pt idx="204">
                  <c:v>11.14969854878346</c:v>
                </c:pt>
                <c:pt idx="205">
                  <c:v>11.17160396082725</c:v>
                </c:pt>
                <c:pt idx="206">
                  <c:v>11.20031595327293</c:v>
                </c:pt>
                <c:pt idx="207">
                  <c:v>11.27127220203305</c:v>
                </c:pt>
                <c:pt idx="208">
                  <c:v>11.32075461832474</c:v>
                </c:pt>
                <c:pt idx="209">
                  <c:v>11.42953542060628</c:v>
                </c:pt>
                <c:pt idx="210">
                  <c:v>11.47032050127067</c:v>
                </c:pt>
                <c:pt idx="211">
                  <c:v>11.43862678783039</c:v>
                </c:pt>
                <c:pt idx="212">
                  <c:v>11.51659478961149</c:v>
                </c:pt>
                <c:pt idx="213">
                  <c:v>11.59789399182183</c:v>
                </c:pt>
                <c:pt idx="214">
                  <c:v>11.61281428733101</c:v>
                </c:pt>
                <c:pt idx="215">
                  <c:v>11.65136026564821</c:v>
                </c:pt>
                <c:pt idx="216">
                  <c:v>11.56830491117452</c:v>
                </c:pt>
                <c:pt idx="217">
                  <c:v>11.60718387997792</c:v>
                </c:pt>
                <c:pt idx="218">
                  <c:v>11.62151981749273</c:v>
                </c:pt>
                <c:pt idx="219">
                  <c:v>11.58978242593383</c:v>
                </c:pt>
                <c:pt idx="220">
                  <c:v>11.58882399170179</c:v>
                </c:pt>
                <c:pt idx="221">
                  <c:v>11.49281845177034</c:v>
                </c:pt>
                <c:pt idx="222">
                  <c:v>11.49120263676178</c:v>
                </c:pt>
                <c:pt idx="223">
                  <c:v>11.39395547299986</c:v>
                </c:pt>
                <c:pt idx="224">
                  <c:v>11.36298445980167</c:v>
                </c:pt>
                <c:pt idx="225">
                  <c:v>11.37727591817131</c:v>
                </c:pt>
                <c:pt idx="226">
                  <c:v>11.29597495195052</c:v>
                </c:pt>
                <c:pt idx="227">
                  <c:v>11.30991944726983</c:v>
                </c:pt>
                <c:pt idx="228">
                  <c:v>11.3116884587697</c:v>
                </c:pt>
                <c:pt idx="229">
                  <c:v>11.33715016035401</c:v>
                </c:pt>
                <c:pt idx="230">
                  <c:v>11.29123127154021</c:v>
                </c:pt>
                <c:pt idx="231">
                  <c:v>11.32234783363091</c:v>
                </c:pt>
                <c:pt idx="232">
                  <c:v>11.3094291673807</c:v>
                </c:pt>
                <c:pt idx="233">
                  <c:v>11.30189861302636</c:v>
                </c:pt>
                <c:pt idx="234">
                  <c:v>11.26249236075319</c:v>
                </c:pt>
                <c:pt idx="235">
                  <c:v>11.36547036112528</c:v>
                </c:pt>
                <c:pt idx="236">
                  <c:v>11.30197015687966</c:v>
                </c:pt>
                <c:pt idx="237">
                  <c:v>11.33514744268501</c:v>
                </c:pt>
                <c:pt idx="238">
                  <c:v>11.31824360793034</c:v>
                </c:pt>
                <c:pt idx="239">
                  <c:v>11.43115049653733</c:v>
                </c:pt>
                <c:pt idx="240">
                  <c:v>11.39247864260339</c:v>
                </c:pt>
              </c:numCache>
            </c:numRef>
          </c:yVal>
        </c:ser>
        <c:ser>
          <c:idx val="2"/>
          <c:order val="2"/>
          <c:tx>
            <c:v>Zero margin threshold</c:v>
          </c:tx>
          <c:spPr>
            <a:ln xmlns:a="http://schemas.openxmlformats.org/drawingml/2006/mai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legend>
      <c:legendPos val="b"/>
      <c:overlay val="0"/>
      <c:txPr>
        <a:bodyPr xmlns:a="http://schemas.openxmlformats.org/drawingml/2006/main" anchorCtr="1"/>
        <a:lstStyle xmlns:a="http://schemas.openxmlformats.org/drawingml/2006/main"/>
        <a:p xmlns:a="http://schemas.openxmlformats.org/drawingml/2006/main">
          <a:pPr>
            <a:defRPr sz="800"/>
          </a:pPr>
        </a:p>
      </c:txPr>
    </c:legend>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Reflection Strength by Material / Interface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Material/interface strength</c:v>
          </c:tx>
          <c:spPr>
            <a:ln xmlns:a="http://schemas.openxmlformats.org/drawingml/2006/mai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00" b="1"/>
              <a:t>Cross-Instrument Evidence Score</a:t>
            </a:r>
          </a:p>
        </c:rich>
      </c:tx>
      <c:overlay val="0"/>
      <c:txPr>
        <a:bodyPr xmlns:a="http://schemas.openxmlformats.org/drawingml/2006/main" anchorCtr="1"/>
        <a:lstStyle xmlns:a="http://schemas.openxmlformats.org/drawingml/2006/main"/>
        <a:p xmlns:a="http://schemas.openxmlformats.org/drawingml/2006/main">
          <a:pPr>
            <a:defRPr sz="1100" b="1"/>
          </a:pPr>
        </a:p>
      </c:txPr>
    </c:title>
    <c:autoTitleDeleted val="0"/>
    <c:plotArea>
      <c:layout/>
      <c:scatterChart>
        <c:scatterStyle val="lineMarker"/>
        <c:ser>
          <c:idx val="0"/>
          <c:order val="0"/>
          <c:tx>
            <c:v>Evidence support score</c:v>
          </c:tx>
          <c:spPr>
            <a:ln xmlns:a="http://schemas.openxmlformats.org/drawingml/2006/mai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50112"/>
        <c:crosses val="autoZero"/>
        <c:crossBetween val="midCat"/>
      </c:valAx>
      <c:valAx>
        <c:axId val="48650112"/>
        <c:scaling>
          <c:orientation val="minMax"/>
        </c:scaling>
        <c:delete val="0"/>
        <c:axPos val="b"/>
        <c:majorGridlines>
          <c:spPr>
            <a:ln xmlns:a="http://schemas.openxmlformats.org/drawingml/2006/main" w="6350">
              <a:solidFill>
                <a:srgbClr val="DDE1E6"/>
              </a:solidFill>
              <a:prstDash val="solid"/>
            </a:ln>
          </c:spPr>
        </c:majorGridlines>
        <c:numFmt formatCode="General" sourceLinked="1"/>
        <c:majorTickMark val="out"/>
        <c:minorTickMark val="none"/>
        <c:tickLblPos val="nextTo"/>
        <c:txPr>
          <a:bodyPr xmlns:a="http://schemas.openxmlformats.org/drawingml/2006/main" anchorCtr="1"/>
          <a:lstStyle xmlns:a="http://schemas.openxmlformats.org/drawingml/2006/main"/>
          <a:p xmlns:a="http://schemas.openxmlformats.org/drawingml/2006/main">
            <a:pPr>
              <a:defRPr sz="800">
                <a:solidFill>
                  <a:srgbClr val="526174"/>
                </a:solidFill>
              </a:defRPr>
            </a:pPr>
          </a:p>
        </c:txPr>
        <c:crossAx val="48672768"/>
        <c:crosses val="autoZero"/>
        <c:crossBetween val="midCat"/>
      </c:valAx>
    </c:plotArea>
    <c:plotVisOnly val="1"/>
  </c:chart>
  <c:spPr>
    <a:solidFill xmlns:a="http://schemas.openxmlformats.org/drawingml/2006/main">
      <a:srgbClr val="FFFFFF"/>
    </a:solidFill>
    <a:ln xmlns:a="http://schemas.openxmlformats.org/drawingml/2006/main" w="9525">
      <a:solidFill>
        <a:srgbClr val="D4DAE3"/>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Doppler-Inverted Look Angle vs Existing Geometry</a:t>
            </a:r>
          </a:p>
        </c:rich>
      </c:tx>
      <c:overlay val="0"/>
    </c:title>
    <c:autoTitleDeleted val="0"/>
    <c:plotArea>
      <c:layout/>
      <c:scatterChart>
        <c:scatterStyle val="lineMarker"/>
        <c:varyColors val="1"/>
        <c:ser>
          <c:idx val="0"/>
          <c:order val="0"/>
          <c:tx>
            <c:v>Doppler angle from VHF shift</c:v>
          </c:tx>
          <c:spPr>
            <a:ln xmlns:a="http://schemas.openxmlformats.org/drawingml/2006/mai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Doppler_Depth_Data!$D$4:$D$244</c:f>
              <c:numCache>
                <c:formatCode>0.000</c:formatCode>
                <c:ptCount val="241"/>
                <c:pt idx="0">
                  <c:v>18.31924841287496</c:v>
                </c:pt>
                <c:pt idx="1">
                  <c:v>18.24249364136679</c:v>
                </c:pt>
                <c:pt idx="2">
                  <c:v>18.08902296660575</c:v>
                </c:pt>
                <c:pt idx="3">
                  <c:v>17.93556181389558</c:v>
                </c:pt>
                <c:pt idx="4">
                  <c:v>17.78210988090865</c:v>
                </c:pt>
                <c:pt idx="5">
                  <c:v>17.62866687134153</c:v>
                </c:pt>
                <c:pt idx="6">
                  <c:v>17.4752324942239</c:v>
                </c:pt>
                <c:pt idx="7">
                  <c:v>17.32180646495787</c:v>
                </c:pt>
                <c:pt idx="8">
                  <c:v>17.16838850409602</c:v>
                </c:pt>
                <c:pt idx="9">
                  <c:v>17.0149783379552</c:v>
                </c:pt>
                <c:pt idx="10">
                  <c:v>16.86157569877515</c:v>
                </c:pt>
                <c:pt idx="11">
                  <c:v>16.70818032383314</c:v>
                </c:pt>
                <c:pt idx="12">
                  <c:v>16.55479195613307</c:v>
                </c:pt>
                <c:pt idx="13">
                  <c:v>16.40141034393769</c:v>
                </c:pt>
                <c:pt idx="14">
                  <c:v>16.24803524125667</c:v>
                </c:pt>
                <c:pt idx="15">
                  <c:v>16.09466640670268</c:v>
                </c:pt>
                <c:pt idx="16">
                  <c:v>15.94130360417881</c:v>
                </c:pt>
                <c:pt idx="17">
                  <c:v>15.78794660357033</c:v>
                </c:pt>
                <c:pt idx="18">
                  <c:v>15.63459517897829</c:v>
                </c:pt>
                <c:pt idx="19">
                  <c:v>15.48124910997298</c:v>
                </c:pt>
                <c:pt idx="20">
                  <c:v>15.32790818098478</c:v>
                </c:pt>
                <c:pt idx="21">
                  <c:v>15.17457218123491</c:v>
                </c:pt>
                <c:pt idx="22">
                  <c:v>15.02124090531434</c:v>
                </c:pt>
                <c:pt idx="23">
                  <c:v>14.86791415209619</c:v>
                </c:pt>
                <c:pt idx="24">
                  <c:v>14.71459172549512</c:v>
                </c:pt>
                <c:pt idx="25">
                  <c:v>14.56127343427849</c:v>
                </c:pt>
                <c:pt idx="26">
                  <c:v>14.40795909153249</c:v>
                </c:pt>
                <c:pt idx="27">
                  <c:v>14.25464851503147</c:v>
                </c:pt>
                <c:pt idx="28">
                  <c:v>14.10134152702874</c:v>
                </c:pt>
                <c:pt idx="29">
                  <c:v>13.94803795481707</c:v>
                </c:pt>
                <c:pt idx="30">
                  <c:v>13.79473762959732</c:v>
                </c:pt>
                <c:pt idx="31">
                  <c:v>13.64144038689361</c:v>
                </c:pt>
                <c:pt idx="32">
                  <c:v>13.4881460669104</c:v>
                </c:pt>
                <c:pt idx="33">
                  <c:v>13.33485451399833</c:v>
                </c:pt>
                <c:pt idx="34">
                  <c:v>13.18156557668113</c:v>
                </c:pt>
                <c:pt idx="35">
                  <c:v>13.02827910772971</c:v>
                </c:pt>
                <c:pt idx="36">
                  <c:v>12.87499496410282</c:v>
                </c:pt>
                <c:pt idx="37">
                  <c:v>12.721713006511</c:v>
                </c:pt>
                <c:pt idx="38">
                  <c:v>12.56843310022389</c:v>
                </c:pt>
                <c:pt idx="39">
                  <c:v>12.41515511400424</c:v>
                </c:pt>
                <c:pt idx="40">
                  <c:v>12.26187892061253</c:v>
                </c:pt>
                <c:pt idx="41">
                  <c:v>12.10860439702048</c:v>
                </c:pt>
                <c:pt idx="42">
                  <c:v>11.95533142367547</c:v>
                </c:pt>
                <c:pt idx="43">
                  <c:v>11.80205988478593</c:v>
                </c:pt>
                <c:pt idx="44">
                  <c:v>11.64878966841675</c:v>
                </c:pt>
                <c:pt idx="45">
                  <c:v>11.49552066630207</c:v>
                </c:pt>
                <c:pt idx="46">
                  <c:v>11.34225277379883</c:v>
                </c:pt>
                <c:pt idx="47">
                  <c:v>11.18898588954185</c:v>
                </c:pt>
                <c:pt idx="48">
                  <c:v>11.03571991601968</c:v>
                </c:pt>
                <c:pt idx="49">
                  <c:v>10.88245475913409</c:v>
                </c:pt>
                <c:pt idx="50">
                  <c:v>10.72919032792043</c:v>
                </c:pt>
                <c:pt idx="51">
                  <c:v>10.57592653524659</c:v>
                </c:pt>
                <c:pt idx="52">
                  <c:v>10.42266329696708</c:v>
                </c:pt>
                <c:pt idx="53">
                  <c:v>10.26940053212915</c:v>
                </c:pt>
                <c:pt idx="54">
                  <c:v>10.11613816306954</c:v>
                </c:pt>
                <c:pt idx="55">
                  <c:v>9.962876115550957</c:v>
                </c:pt>
                <c:pt idx="56">
                  <c:v>9.809614318184586</c:v>
                </c:pt>
                <c:pt idx="57">
                  <c:v>9.65635270252849</c:v>
                </c:pt>
                <c:pt idx="58">
                  <c:v>9.503091203549335</c:v>
                </c:pt>
                <c:pt idx="59">
                  <c:v>9.349829758990628</c:v>
                </c:pt>
                <c:pt idx="60">
                  <c:v>9.196568309171878</c:v>
                </c:pt>
                <c:pt idx="61">
                  <c:v>9.043306797899985</c:v>
                </c:pt>
                <c:pt idx="62">
                  <c:v>8.890045171598464</c:v>
                </c:pt>
                <c:pt idx="63">
                  <c:v>8.736783378996103</c:v>
                </c:pt>
                <c:pt idx="64">
                  <c:v>8.583521372219812</c:v>
                </c:pt>
                <c:pt idx="65">
                  <c:v>8.430259105606691</c:v>
                </c:pt>
                <c:pt idx="66">
                  <c:v>8.276996536260333</c:v>
                </c:pt>
                <c:pt idx="67">
                  <c:v>8.123733624198083</c:v>
                </c:pt>
                <c:pt idx="68">
                  <c:v>7.97047033130123</c:v>
                </c:pt>
                <c:pt idx="69">
                  <c:v>7.817206622401356</c:v>
                </c:pt>
                <c:pt idx="70">
                  <c:v>7.663942464780593</c:v>
                </c:pt>
                <c:pt idx="71">
                  <c:v>7.510677827899894</c:v>
                </c:pt>
                <c:pt idx="72">
                  <c:v>7.357412683568207</c:v>
                </c:pt>
                <c:pt idx="73">
                  <c:v>7.204147006081979</c:v>
                </c:pt>
                <c:pt idx="74">
                  <c:v>7.05088077192491</c:v>
                </c:pt>
                <c:pt idx="75">
                  <c:v>6.897613959573504</c:v>
                </c:pt>
                <c:pt idx="76">
                  <c:v>6.74434654992639</c:v>
                </c:pt>
                <c:pt idx="77">
                  <c:v>6.591078525660941</c:v>
                </c:pt>
                <c:pt idx="78">
                  <c:v>6.437809872020356</c:v>
                </c:pt>
                <c:pt idx="79">
                  <c:v>6.284540575748266</c:v>
                </c:pt>
                <c:pt idx="80">
                  <c:v>6.131270625676376</c:v>
                </c:pt>
                <c:pt idx="81">
                  <c:v>5.978000012803714</c:v>
                </c:pt>
                <c:pt idx="82">
                  <c:v>5.8247287296197</c:v>
                </c:pt>
                <c:pt idx="83">
                  <c:v>5.671456770747564</c:v>
                </c:pt>
                <c:pt idx="84">
                  <c:v>5.51818413246129</c:v>
                </c:pt>
                <c:pt idx="85">
                  <c:v>5.364910812825088</c:v>
                </c:pt>
                <c:pt idx="86">
                  <c:v>5.211636811240886</c:v>
                </c:pt>
                <c:pt idx="87">
                  <c:v>5.05836212915411</c:v>
                </c:pt>
                <c:pt idx="88">
                  <c:v>4.905086769585109</c:v>
                </c:pt>
                <c:pt idx="89">
                  <c:v>4.751810736697388</c:v>
                </c:pt>
                <c:pt idx="90">
                  <c:v>4.598534036477488</c:v>
                </c:pt>
                <c:pt idx="91">
                  <c:v>4.445256676551721</c:v>
                </c:pt>
                <c:pt idx="92">
                  <c:v>4.291978665412176</c:v>
                </c:pt>
                <c:pt idx="93">
                  <c:v>4.138700012972839</c:v>
                </c:pt>
                <c:pt idx="94">
                  <c:v>3.985420730981504</c:v>
                </c:pt>
                <c:pt idx="95">
                  <c:v>3.832140831972331</c:v>
                </c:pt>
                <c:pt idx="96">
                  <c:v>3.678860329818849</c:v>
                </c:pt>
                <c:pt idx="97">
                  <c:v>3.525579239434834</c:v>
                </c:pt>
                <c:pt idx="98">
                  <c:v>3.372297577046575</c:v>
                </c:pt>
                <c:pt idx="99">
                  <c:v>3.219015359877822</c:v>
                </c:pt>
                <c:pt idx="100">
                  <c:v>3.065732606118929</c:v>
                </c:pt>
                <c:pt idx="101">
                  <c:v>2.912449335196128</c:v>
                </c:pt>
                <c:pt idx="102">
                  <c:v>2.759165566928832</c:v>
                </c:pt>
                <c:pt idx="103">
                  <c:v>2.605881322356941</c:v>
                </c:pt>
                <c:pt idx="104">
                  <c:v>2.45259662342992</c:v>
                </c:pt>
                <c:pt idx="105">
                  <c:v>2.299311492676652</c:v>
                </c:pt>
                <c:pt idx="106">
                  <c:v>2.14602595384358</c:v>
                </c:pt>
                <c:pt idx="107">
                  <c:v>1.992740030701054</c:v>
                </c:pt>
                <c:pt idx="108">
                  <c:v>1.839453747942456</c:v>
                </c:pt>
                <c:pt idx="109">
                  <c:v>1.686167131261798</c:v>
                </c:pt>
                <c:pt idx="110">
                  <c:v>1.532880206108608</c:v>
                </c:pt>
                <c:pt idx="111">
                  <c:v>1.379592998850973</c:v>
                </c:pt>
                <c:pt idx="112">
                  <c:v>1.226305536843568</c:v>
                </c:pt>
                <c:pt idx="113">
                  <c:v>1.073017847137408</c:v>
                </c:pt>
                <c:pt idx="114">
                  <c:v>0.9197299572161001</c:v>
                </c:pt>
                <c:pt idx="115">
                  <c:v>0.7664418952824079</c:v>
                </c:pt>
                <c:pt idx="116">
                  <c:v>0.6131536893559759</c:v>
                </c:pt>
                <c:pt idx="117">
                  <c:v>0.4598653682310064</c:v>
                </c:pt>
                <c:pt idx="118">
                  <c:v>0.3065769604731414</c:v>
                </c:pt>
                <c:pt idx="119">
                  <c:v>0.1532884946606284</c:v>
                </c:pt>
                <c:pt idx="120">
                  <c:v>0</c:v>
                </c:pt>
                <c:pt idx="121">
                  <c:v>0.1532884946606284</c:v>
                </c:pt>
                <c:pt idx="122">
                  <c:v>0.3065769604731414</c:v>
                </c:pt>
                <c:pt idx="123">
                  <c:v>0.4598653682310064</c:v>
                </c:pt>
                <c:pt idx="124">
                  <c:v>0.6131536893559759</c:v>
                </c:pt>
                <c:pt idx="125">
                  <c:v>0.7664418952824079</c:v>
                </c:pt>
                <c:pt idx="126">
                  <c:v>0.9197299572161001</c:v>
                </c:pt>
                <c:pt idx="127">
                  <c:v>1.073017847137408</c:v>
                </c:pt>
                <c:pt idx="128">
                  <c:v>1.226305536843568</c:v>
                </c:pt>
                <c:pt idx="129">
                  <c:v>1.379592998850973</c:v>
                </c:pt>
                <c:pt idx="130">
                  <c:v>1.532880206108608</c:v>
                </c:pt>
                <c:pt idx="131">
                  <c:v>1.686167131261798</c:v>
                </c:pt>
                <c:pt idx="132">
                  <c:v>1.839453747942456</c:v>
                </c:pt>
                <c:pt idx="133">
                  <c:v>1.992740030701054</c:v>
                </c:pt>
                <c:pt idx="134">
                  <c:v>2.14602595384358</c:v>
                </c:pt>
                <c:pt idx="135">
                  <c:v>2.299311492676652</c:v>
                </c:pt>
                <c:pt idx="136">
                  <c:v>2.45259662342992</c:v>
                </c:pt>
                <c:pt idx="137">
                  <c:v>2.605881322356941</c:v>
                </c:pt>
                <c:pt idx="138">
                  <c:v>2.759165566928832</c:v>
                </c:pt>
                <c:pt idx="139">
                  <c:v>2.912449335196128</c:v>
                </c:pt>
                <c:pt idx="140">
                  <c:v>3.065732606118929</c:v>
                </c:pt>
                <c:pt idx="141">
                  <c:v>3.219015359877822</c:v>
                </c:pt>
                <c:pt idx="142">
                  <c:v>3.372297577046575</c:v>
                </c:pt>
                <c:pt idx="143">
                  <c:v>3.525579239434834</c:v>
                </c:pt>
                <c:pt idx="144">
                  <c:v>3.678860329818849</c:v>
                </c:pt>
                <c:pt idx="145">
                  <c:v>3.832140831972331</c:v>
                </c:pt>
                <c:pt idx="146">
                  <c:v>3.985420730981504</c:v>
                </c:pt>
                <c:pt idx="147">
                  <c:v>4.138700012972839</c:v>
                </c:pt>
                <c:pt idx="148">
                  <c:v>4.291978665412176</c:v>
                </c:pt>
                <c:pt idx="149">
                  <c:v>4.445256676551721</c:v>
                </c:pt>
                <c:pt idx="150">
                  <c:v>4.598534036477488</c:v>
                </c:pt>
                <c:pt idx="151">
                  <c:v>4.751810736697388</c:v>
                </c:pt>
                <c:pt idx="152">
                  <c:v>4.905086769585109</c:v>
                </c:pt>
                <c:pt idx="153">
                  <c:v>5.05836212915411</c:v>
                </c:pt>
                <c:pt idx="154">
                  <c:v>5.211636811240886</c:v>
                </c:pt>
                <c:pt idx="155">
                  <c:v>5.364910812825088</c:v>
                </c:pt>
                <c:pt idx="156">
                  <c:v>5.51818413246129</c:v>
                </c:pt>
                <c:pt idx="157">
                  <c:v>5.671456770747564</c:v>
                </c:pt>
                <c:pt idx="158">
                  <c:v>5.8247287296197</c:v>
                </c:pt>
                <c:pt idx="159">
                  <c:v>5.978000012803714</c:v>
                </c:pt>
                <c:pt idx="160">
                  <c:v>6.131270625676376</c:v>
                </c:pt>
                <c:pt idx="161">
                  <c:v>6.284540575748266</c:v>
                </c:pt>
                <c:pt idx="162">
                  <c:v>6.437809872020356</c:v>
                </c:pt>
                <c:pt idx="163">
                  <c:v>6.591078525660941</c:v>
                </c:pt>
                <c:pt idx="164">
                  <c:v>6.74434654992639</c:v>
                </c:pt>
                <c:pt idx="165">
                  <c:v>6.897613959573504</c:v>
                </c:pt>
                <c:pt idx="166">
                  <c:v>7.05088077192491</c:v>
                </c:pt>
                <c:pt idx="167">
                  <c:v>7.204147006081979</c:v>
                </c:pt>
                <c:pt idx="168">
                  <c:v>7.357412683568207</c:v>
                </c:pt>
                <c:pt idx="169">
                  <c:v>7.510677827899894</c:v>
                </c:pt>
                <c:pt idx="170">
                  <c:v>7.663942464780593</c:v>
                </c:pt>
                <c:pt idx="171">
                  <c:v>7.817206622401356</c:v>
                </c:pt>
                <c:pt idx="172">
                  <c:v>7.97047033130123</c:v>
                </c:pt>
                <c:pt idx="173">
                  <c:v>8.123733624198083</c:v>
                </c:pt>
                <c:pt idx="174">
                  <c:v>8.276996536260333</c:v>
                </c:pt>
                <c:pt idx="175">
                  <c:v>8.430259105606691</c:v>
                </c:pt>
                <c:pt idx="176">
                  <c:v>8.583521372219812</c:v>
                </c:pt>
                <c:pt idx="177">
                  <c:v>8.736783378996103</c:v>
                </c:pt>
                <c:pt idx="178">
                  <c:v>8.890045171598464</c:v>
                </c:pt>
                <c:pt idx="179">
                  <c:v>9.043306797899985</c:v>
                </c:pt>
                <c:pt idx="180">
                  <c:v>9.196568309171878</c:v>
                </c:pt>
                <c:pt idx="181">
                  <c:v>9.349829758990628</c:v>
                </c:pt>
                <c:pt idx="182">
                  <c:v>9.503091203549335</c:v>
                </c:pt>
                <c:pt idx="183">
                  <c:v>9.65635270252849</c:v>
                </c:pt>
                <c:pt idx="184">
                  <c:v>9.809614318184586</c:v>
                </c:pt>
                <c:pt idx="185">
                  <c:v>9.962876115550957</c:v>
                </c:pt>
                <c:pt idx="186">
                  <c:v>10.11613816306954</c:v>
                </c:pt>
                <c:pt idx="187">
                  <c:v>10.26940053212915</c:v>
                </c:pt>
                <c:pt idx="188">
                  <c:v>10.42266329696708</c:v>
                </c:pt>
                <c:pt idx="189">
                  <c:v>10.57592653524659</c:v>
                </c:pt>
                <c:pt idx="190">
                  <c:v>10.72919032792043</c:v>
                </c:pt>
                <c:pt idx="191">
                  <c:v>10.88245475913409</c:v>
                </c:pt>
                <c:pt idx="192">
                  <c:v>11.03571991601968</c:v>
                </c:pt>
                <c:pt idx="193">
                  <c:v>11.18898588954185</c:v>
                </c:pt>
                <c:pt idx="194">
                  <c:v>11.34225277379883</c:v>
                </c:pt>
                <c:pt idx="195">
                  <c:v>11.49552066630207</c:v>
                </c:pt>
                <c:pt idx="196">
                  <c:v>11.64878966841675</c:v>
                </c:pt>
                <c:pt idx="197">
                  <c:v>11.80205988478593</c:v>
                </c:pt>
                <c:pt idx="198">
                  <c:v>11.95533142367547</c:v>
                </c:pt>
                <c:pt idx="199">
                  <c:v>12.10860439702048</c:v>
                </c:pt>
                <c:pt idx="200">
                  <c:v>12.26187892061253</c:v>
                </c:pt>
                <c:pt idx="201">
                  <c:v>12.41515511400424</c:v>
                </c:pt>
                <c:pt idx="202">
                  <c:v>12.56843310022389</c:v>
                </c:pt>
                <c:pt idx="203">
                  <c:v>12.721713006511</c:v>
                </c:pt>
                <c:pt idx="204">
                  <c:v>12.87499496410282</c:v>
                </c:pt>
                <c:pt idx="205">
                  <c:v>13.02827910772971</c:v>
                </c:pt>
                <c:pt idx="206">
                  <c:v>13.18156557668113</c:v>
                </c:pt>
                <c:pt idx="207">
                  <c:v>13.33485451399833</c:v>
                </c:pt>
                <c:pt idx="208">
                  <c:v>13.4881460669104</c:v>
                </c:pt>
                <c:pt idx="209">
                  <c:v>13.64144038689361</c:v>
                </c:pt>
                <c:pt idx="210">
                  <c:v>13.79473762959732</c:v>
                </c:pt>
                <c:pt idx="211">
                  <c:v>13.94803795481707</c:v>
                </c:pt>
                <c:pt idx="212">
                  <c:v>14.10134152702874</c:v>
                </c:pt>
                <c:pt idx="213">
                  <c:v>14.25464851503147</c:v>
                </c:pt>
                <c:pt idx="214">
                  <c:v>14.40795909153249</c:v>
                </c:pt>
                <c:pt idx="215">
                  <c:v>14.56127343427849</c:v>
                </c:pt>
                <c:pt idx="216">
                  <c:v>14.71459172549512</c:v>
                </c:pt>
                <c:pt idx="217">
                  <c:v>14.86791415209619</c:v>
                </c:pt>
                <c:pt idx="218">
                  <c:v>15.02124090531434</c:v>
                </c:pt>
                <c:pt idx="219">
                  <c:v>15.17457218123491</c:v>
                </c:pt>
                <c:pt idx="220">
                  <c:v>15.32790818098478</c:v>
                </c:pt>
                <c:pt idx="221">
                  <c:v>15.48124910997298</c:v>
                </c:pt>
                <c:pt idx="222">
                  <c:v>15.63459517897829</c:v>
                </c:pt>
                <c:pt idx="223">
                  <c:v>15.78794660357033</c:v>
                </c:pt>
                <c:pt idx="224">
                  <c:v>15.94130360417881</c:v>
                </c:pt>
                <c:pt idx="225">
                  <c:v>16.09466640670268</c:v>
                </c:pt>
                <c:pt idx="226">
                  <c:v>16.24803524125667</c:v>
                </c:pt>
                <c:pt idx="227">
                  <c:v>16.40141034393769</c:v>
                </c:pt>
                <c:pt idx="228">
                  <c:v>16.55479195613307</c:v>
                </c:pt>
                <c:pt idx="229">
                  <c:v>16.70818032383314</c:v>
                </c:pt>
                <c:pt idx="230">
                  <c:v>16.86157569877515</c:v>
                </c:pt>
                <c:pt idx="231">
                  <c:v>17.0149783379552</c:v>
                </c:pt>
                <c:pt idx="232">
                  <c:v>17.16838850409602</c:v>
                </c:pt>
                <c:pt idx="233">
                  <c:v>17.32180646495787</c:v>
                </c:pt>
                <c:pt idx="234">
                  <c:v>17.4752324942239</c:v>
                </c:pt>
                <c:pt idx="235">
                  <c:v>17.62866687134153</c:v>
                </c:pt>
                <c:pt idx="236">
                  <c:v>17.78210988090865</c:v>
                </c:pt>
                <c:pt idx="237">
                  <c:v>17.93556181389558</c:v>
                </c:pt>
                <c:pt idx="238">
                  <c:v>18.08902296660575</c:v>
                </c:pt>
                <c:pt idx="239">
                  <c:v>18.24249364136679</c:v>
                </c:pt>
                <c:pt idx="240">
                  <c:v>18.31924841287496</c:v>
                </c:pt>
              </c:numCache>
            </c:numRef>
          </c:yVal>
        </c:ser>
        <c:ser>
          <c:idx val="1"/>
          <c:order val="1"/>
          <c:tx>
            <c:v>Existing model geometry angle</c:v>
          </c:tx>
          <c:spPr>
            <a:ln xmlns:a="http://schemas.openxmlformats.org/drawingml/2006/main" w="16000">
              <a:solidFill>
                <a:srgbClr val="4472C4"/>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Doppler_Depth_Data!$E$4:$E$244</c:f>
              <c:numCache>
                <c:formatCode>0.000</c:formatCode>
                <c:ptCount val="241"/>
                <c:pt idx="0">
                  <c:v>9.14005123413285</c:v>
                </c:pt>
                <c:pt idx="1">
                  <c:v>9.07774203179775</c:v>
                </c:pt>
                <c:pt idx="2">
                  <c:v>9.015458913989574</c:v>
                </c:pt>
                <c:pt idx="3">
                  <c:v>8.953204095149154</c:v>
                </c:pt>
                <c:pt idx="4">
                  <c:v>8.890979841704603</c:v>
                </c:pt>
                <c:pt idx="5">
                  <c:v>8.828788473728661</c:v>
                </c:pt>
                <c:pt idx="6">
                  <c:v>8.766632366658216</c:v>
                </c:pt>
                <c:pt idx="7">
                  <c:v>8.704513953078392</c:v>
                </c:pt>
                <c:pt idx="8">
                  <c:v>8.642435724573849</c:v>
                </c:pt>
                <c:pt idx="9">
                  <c:v>8.580400233649934</c:v>
                </c:pt>
                <c:pt idx="10">
                  <c:v>8.518410095726479</c:v>
                </c:pt>
                <c:pt idx="11">
                  <c:v>8.45646799120709</c:v>
                </c:pt>
                <c:pt idx="12">
                  <c:v>8.394576667627003</c:v>
                </c:pt>
                <c:pt idx="13">
                  <c:v>8.33273894188251</c:v>
                </c:pt>
                <c:pt idx="14">
                  <c:v>8.27095770254524</c:v>
                </c:pt>
                <c:pt idx="15">
                  <c:v>8.2092359122646</c:v>
                </c:pt>
                <c:pt idx="16">
                  <c:v>8.147576610261819</c:v>
                </c:pt>
                <c:pt idx="17">
                  <c:v>8.085982914919201</c:v>
                </c:pt>
                <c:pt idx="18">
                  <c:v>8.024458026468219</c:v>
                </c:pt>
                <c:pt idx="19">
                  <c:v>7.963005229780315</c:v>
                </c:pt>
                <c:pt idx="20">
                  <c:v>7.901627897264307</c:v>
                </c:pt>
                <c:pt idx="21">
                  <c:v>7.84032949187448</c:v>
                </c:pt>
                <c:pt idx="22">
                  <c:v>7.779113570233542</c:v>
                </c:pt>
                <c:pt idx="23">
                  <c:v>7.717983785874701</c:v>
                </c:pt>
                <c:pt idx="24">
                  <c:v>7.656943892607386</c:v>
                </c:pt>
                <c:pt idx="25">
                  <c:v>7.595997748011027</c:v>
                </c:pt>
                <c:pt idx="26">
                  <c:v>7.535149317061624</c:v>
                </c:pt>
                <c:pt idx="27">
                  <c:v>7.474402675895853</c:v>
                </c:pt>
                <c:pt idx="28">
                  <c:v>7.413762015717533</c:v>
                </c:pt>
                <c:pt idx="29">
                  <c:v>7.353231646851434</c:v>
                </c:pt>
                <c:pt idx="30">
                  <c:v>7.292816002949434</c:v>
                </c:pt>
                <c:pt idx="31">
                  <c:v>7.232519645354166</c:v>
                </c:pt>
                <c:pt idx="32">
                  <c:v>7.172347267625264</c:v>
                </c:pt>
                <c:pt idx="33">
                  <c:v>7.112303700233444</c:v>
                </c:pt>
                <c:pt idx="34">
                  <c:v>7.05239391542762</c:v>
                </c:pt>
                <c:pt idx="35">
                  <c:v>6.992623032280269</c:v>
                </c:pt>
                <c:pt idx="36">
                  <c:v>6.932996321916247</c:v>
                </c:pt>
                <c:pt idx="37">
                  <c:v>6.873519212930159</c:v>
                </c:pt>
                <c:pt idx="38">
                  <c:v>6.814197296997338</c:v>
                </c:pt>
                <c:pt idx="39">
                  <c:v>6.755036334683316</c:v>
                </c:pt>
                <c:pt idx="40">
                  <c:v>6.696042261456512</c:v>
                </c:pt>
                <c:pt idx="41">
                  <c:v>6.637221193908625</c:v>
                </c:pt>
                <c:pt idx="42">
                  <c:v>6.57857943618696</c:v>
                </c:pt>
                <c:pt idx="43">
                  <c:v>6.5201234866425</c:v>
                </c:pt>
                <c:pt idx="44">
                  <c:v>6.461860044697184</c:v>
                </c:pt>
                <c:pt idx="45">
                  <c:v>6.403796017933306</c:v>
                </c:pt>
                <c:pt idx="46">
                  <c:v>6.345938529407371</c:v>
                </c:pt>
                <c:pt idx="47">
                  <c:v>6.28829492519001</c:v>
                </c:pt>
                <c:pt idx="48">
                  <c:v>6.23087278213282</c:v>
                </c:pt>
                <c:pt idx="49">
                  <c:v>6.173679915861962</c:v>
                </c:pt>
                <c:pt idx="50">
                  <c:v>6.116724388997361</c:v>
                </c:pt>
                <c:pt idx="51">
                  <c:v>6.060014519595078</c:v>
                </c:pt>
                <c:pt idx="52">
                  <c:v>6.003558889809033</c:v>
                </c:pt>
                <c:pt idx="53">
                  <c:v>5.947366354766674</c:v>
                </c:pt>
                <c:pt idx="54">
                  <c:v>5.891446051651431</c:v>
                </c:pt>
                <c:pt idx="55">
                  <c:v>5.835807408982732</c:v>
                </c:pt>
                <c:pt idx="56">
                  <c:v>5.780460156082168</c:v>
                </c:pt>
                <c:pt idx="57">
                  <c:v>5.725414332711807</c:v>
                </c:pt>
                <c:pt idx="58">
                  <c:v>5.670680298867937</c:v>
                </c:pt>
                <c:pt idx="59">
                  <c:v>5.616268744710344</c:v>
                </c:pt>
                <c:pt idx="60">
                  <c:v>5.562190700603825</c:v>
                </c:pt>
                <c:pt idx="61">
                  <c:v>5.508457547244826</c:v>
                </c:pt>
                <c:pt idx="62">
                  <c:v>5.455081025841906</c:v>
                </c:pt>
                <c:pt idx="63">
                  <c:v>5.402073248314196</c:v>
                </c:pt>
                <c:pt idx="64">
                  <c:v>5.349446707466922</c:v>
                </c:pt>
                <c:pt idx="65">
                  <c:v>5.297214287097746</c:v>
                </c:pt>
                <c:pt idx="66">
                  <c:v>5.2453892719816</c:v>
                </c:pt>
                <c:pt idx="67">
                  <c:v>5.193985357675413</c:v>
                </c:pt>
                <c:pt idx="68">
                  <c:v>5.143016660077165</c:v>
                </c:pt>
                <c:pt idx="69">
                  <c:v>5.092497724666333</c:v>
                </c:pt>
                <c:pt idx="70">
                  <c:v>5.042443535344872</c:v>
                </c:pt>
                <c:pt idx="71">
                  <c:v>4.99286952278949</c:v>
                </c:pt>
                <c:pt idx="72">
                  <c:v>4.943791572217107</c:v>
                </c:pt>
                <c:pt idx="73">
                  <c:v>4.89522603045604</c:v>
                </c:pt>
                <c:pt idx="74">
                  <c:v>4.847189712205752</c:v>
                </c:pt>
                <c:pt idx="75">
                  <c:v>4.799699905357918</c:v>
                </c:pt>
                <c:pt idx="76">
                  <c:v>4.752774375241167</c:v>
                </c:pt>
                <c:pt idx="77">
                  <c:v>4.706431367641406</c:v>
                </c:pt>
                <c:pt idx="78">
                  <c:v>4.660689610438978</c:v>
                </c:pt>
                <c:pt idx="79">
                  <c:v>4.615568313693441</c:v>
                </c:pt>
                <c:pt idx="80">
                  <c:v>4.571087167996556</c:v>
                </c:pt>
                <c:pt idx="81">
                  <c:v>4.527266340904271</c:v>
                </c:pt>
                <c:pt idx="82">
                  <c:v>4.484126471249511</c:v>
                </c:pt>
                <c:pt idx="83">
                  <c:v>4.441688661129496</c:v>
                </c:pt>
                <c:pt idx="84">
                  <c:v>4.3999744653546</c:v>
                </c:pt>
                <c:pt idx="85">
                  <c:v>4.359005878140658</c:v>
                </c:pt>
                <c:pt idx="86">
                  <c:v>4.318805316823553</c:v>
                </c:pt>
                <c:pt idx="87">
                  <c:v>4.279395602374318</c:v>
                </c:pt>
                <c:pt idx="88">
                  <c:v>4.240799936495226</c:v>
                </c:pt>
                <c:pt idx="89">
                  <c:v>4.203041875082947</c:v>
                </c:pt>
                <c:pt idx="90">
                  <c:v>4.1661452978543</c:v>
                </c:pt>
                <c:pt idx="91">
                  <c:v>4.130134373943814</c:v>
                </c:pt>
                <c:pt idx="92">
                  <c:v>4.095033523300829</c:v>
                </c:pt>
                <c:pt idx="93">
                  <c:v>4.060867373737527</c:v>
                </c:pt>
                <c:pt idx="94">
                  <c:v>4.027660713508556</c:v>
                </c:pt>
                <c:pt idx="95">
                  <c:v>3.995438439338081</c:v>
                </c:pt>
                <c:pt idx="96">
                  <c:v>3.964225499851384</c:v>
                </c:pt>
                <c:pt idx="97">
                  <c:v>3.934046834415676</c:v>
                </c:pt>
                <c:pt idx="98">
                  <c:v>3.904927307448455</c:v>
                </c:pt>
                <c:pt idx="99">
                  <c:v>3.876891638311472</c:v>
                </c:pt>
                <c:pt idx="100">
                  <c:v>3.849964326973522</c:v>
                </c:pt>
                <c:pt idx="101">
                  <c:v>3.824169575695489</c:v>
                </c:pt>
                <c:pt idx="102">
                  <c:v>3.79953120706518</c:v>
                </c:pt>
                <c:pt idx="103">
                  <c:v>3.776072578786574</c:v>
                </c:pt>
                <c:pt idx="104">
                  <c:v>3.75381649570681</c:v>
                </c:pt>
                <c:pt idx="105">
                  <c:v>3.732785119642679</c:v>
                </c:pt>
                <c:pt idx="106">
                  <c:v>3.712999877645171</c:v>
                </c:pt>
                <c:pt idx="107">
                  <c:v>3.694481369413298</c:v>
                </c:pt>
                <c:pt idx="108">
                  <c:v>3.677249274635185</c:v>
                </c:pt>
                <c:pt idx="109">
                  <c:v>3.661322261092852</c:v>
                </c:pt>
                <c:pt idx="110">
                  <c:v>3.646717894415093</c:v>
                </c:pt>
                <c:pt idx="111">
                  <c:v>3.633452550398256</c:v>
                </c:pt>
                <c:pt idx="112">
                  <c:v>3.62154133083556</c:v>
                </c:pt>
                <c:pt idx="113">
                  <c:v>3.610997983800247</c:v>
                </c:pt>
                <c:pt idx="114">
                  <c:v>3.601834829314977</c:v>
                </c:pt>
                <c:pt idx="115">
                  <c:v>3.594062691308639</c:v>
                </c:pt>
                <c:pt idx="116">
                  <c:v>3.587690836711843</c:v>
                </c:pt>
                <c:pt idx="117">
                  <c:v>3.582726922473895</c:v>
                </c:pt>
                <c:pt idx="118">
                  <c:v>3.579176951198118</c:v>
                </c:pt>
                <c:pt idx="119">
                  <c:v>3.577045235990127</c:v>
                </c:pt>
                <c:pt idx="120">
                  <c:v>3.576334374997351</c:v>
                </c:pt>
                <c:pt idx="121">
                  <c:v>3.577045235990127</c:v>
                </c:pt>
                <c:pt idx="122">
                  <c:v>3.579176951198118</c:v>
                </c:pt>
                <c:pt idx="123">
                  <c:v>3.582726922473895</c:v>
                </c:pt>
                <c:pt idx="124">
                  <c:v>3.587690836711843</c:v>
                </c:pt>
                <c:pt idx="125">
                  <c:v>3.594062691308639</c:v>
                </c:pt>
                <c:pt idx="126">
                  <c:v>3.601834829314977</c:v>
                </c:pt>
                <c:pt idx="127">
                  <c:v>3.610997983800247</c:v>
                </c:pt>
                <c:pt idx="128">
                  <c:v>3.62154133083556</c:v>
                </c:pt>
                <c:pt idx="129">
                  <c:v>3.633452550398256</c:v>
                </c:pt>
                <c:pt idx="130">
                  <c:v>3.646717894415093</c:v>
                </c:pt>
                <c:pt idx="131">
                  <c:v>3.661322261092852</c:v>
                </c:pt>
                <c:pt idx="132">
                  <c:v>3.677249274635185</c:v>
                </c:pt>
                <c:pt idx="133">
                  <c:v>3.694481369413298</c:v>
                </c:pt>
                <c:pt idx="134">
                  <c:v>3.712999877645171</c:v>
                </c:pt>
                <c:pt idx="135">
                  <c:v>3.732785119642679</c:v>
                </c:pt>
                <c:pt idx="136">
                  <c:v>3.75381649570681</c:v>
                </c:pt>
                <c:pt idx="137">
                  <c:v>3.776072578786574</c:v>
                </c:pt>
                <c:pt idx="138">
                  <c:v>3.79953120706518</c:v>
                </c:pt>
                <c:pt idx="139">
                  <c:v>3.824169575695489</c:v>
                </c:pt>
                <c:pt idx="140">
                  <c:v>3.849964326973522</c:v>
                </c:pt>
                <c:pt idx="141">
                  <c:v>3.876891638311472</c:v>
                </c:pt>
                <c:pt idx="142">
                  <c:v>3.904927307448455</c:v>
                </c:pt>
                <c:pt idx="143">
                  <c:v>3.934046834415676</c:v>
                </c:pt>
                <c:pt idx="144">
                  <c:v>3.964225499851384</c:v>
                </c:pt>
                <c:pt idx="145">
                  <c:v>3.995438439338081</c:v>
                </c:pt>
                <c:pt idx="146">
                  <c:v>4.027660713508556</c:v>
                </c:pt>
                <c:pt idx="147">
                  <c:v>4.060867373737527</c:v>
                </c:pt>
                <c:pt idx="148">
                  <c:v>4.095033523300829</c:v>
                </c:pt>
                <c:pt idx="149">
                  <c:v>4.130134373943814</c:v>
                </c:pt>
                <c:pt idx="150">
                  <c:v>4.1661452978543</c:v>
                </c:pt>
                <c:pt idx="151">
                  <c:v>4.203041875082947</c:v>
                </c:pt>
                <c:pt idx="152">
                  <c:v>4.240799936495226</c:v>
                </c:pt>
                <c:pt idx="153">
                  <c:v>4.279395602374318</c:v>
                </c:pt>
                <c:pt idx="154">
                  <c:v>4.318805316823553</c:v>
                </c:pt>
                <c:pt idx="155">
                  <c:v>4.359005878140658</c:v>
                </c:pt>
                <c:pt idx="156">
                  <c:v>4.3999744653546</c:v>
                </c:pt>
                <c:pt idx="157">
                  <c:v>4.441688661129496</c:v>
                </c:pt>
                <c:pt idx="158">
                  <c:v>4.484126471249511</c:v>
                </c:pt>
                <c:pt idx="159">
                  <c:v>4.527266340904271</c:v>
                </c:pt>
                <c:pt idx="160">
                  <c:v>4.571087167996556</c:v>
                </c:pt>
                <c:pt idx="161">
                  <c:v>4.615568313693441</c:v>
                </c:pt>
                <c:pt idx="162">
                  <c:v>4.660689610438978</c:v>
                </c:pt>
                <c:pt idx="163">
                  <c:v>4.706431367641406</c:v>
                </c:pt>
                <c:pt idx="164">
                  <c:v>4.752774375241167</c:v>
                </c:pt>
                <c:pt idx="165">
                  <c:v>4.799699905357918</c:v>
                </c:pt>
                <c:pt idx="166">
                  <c:v>4.847189712205752</c:v>
                </c:pt>
                <c:pt idx="167">
                  <c:v>4.89522603045604</c:v>
                </c:pt>
                <c:pt idx="168">
                  <c:v>4.943791572217107</c:v>
                </c:pt>
                <c:pt idx="169">
                  <c:v>4.99286952278949</c:v>
                </c:pt>
                <c:pt idx="170">
                  <c:v>5.042443535344872</c:v>
                </c:pt>
                <c:pt idx="171">
                  <c:v>5.092497724666333</c:v>
                </c:pt>
                <c:pt idx="172">
                  <c:v>5.143016660077165</c:v>
                </c:pt>
                <c:pt idx="173">
                  <c:v>5.193985357675413</c:v>
                </c:pt>
                <c:pt idx="174">
                  <c:v>5.2453892719816</c:v>
                </c:pt>
                <c:pt idx="175">
                  <c:v>5.297214287097746</c:v>
                </c:pt>
                <c:pt idx="176">
                  <c:v>5.349446707466922</c:v>
                </c:pt>
                <c:pt idx="177">
                  <c:v>5.402073248314196</c:v>
                </c:pt>
                <c:pt idx="178">
                  <c:v>5.455081025841906</c:v>
                </c:pt>
                <c:pt idx="179">
                  <c:v>5.508457547244826</c:v>
                </c:pt>
                <c:pt idx="180">
                  <c:v>5.562190700603825</c:v>
                </c:pt>
                <c:pt idx="181">
                  <c:v>5.616268744710344</c:v>
                </c:pt>
                <c:pt idx="182">
                  <c:v>5.670680298867937</c:v>
                </c:pt>
                <c:pt idx="183">
                  <c:v>5.725414332711807</c:v>
                </c:pt>
                <c:pt idx="184">
                  <c:v>5.780460156082168</c:v>
                </c:pt>
                <c:pt idx="185">
                  <c:v>5.835807408982732</c:v>
                </c:pt>
                <c:pt idx="186">
                  <c:v>5.891446051651431</c:v>
                </c:pt>
                <c:pt idx="187">
                  <c:v>5.947366354766674</c:v>
                </c:pt>
                <c:pt idx="188">
                  <c:v>6.003558889809033</c:v>
                </c:pt>
                <c:pt idx="189">
                  <c:v>6.060014519595078</c:v>
                </c:pt>
                <c:pt idx="190">
                  <c:v>6.116724388997361</c:v>
                </c:pt>
                <c:pt idx="191">
                  <c:v>6.173679915861962</c:v>
                </c:pt>
                <c:pt idx="192">
                  <c:v>6.23087278213282</c:v>
                </c:pt>
                <c:pt idx="193">
                  <c:v>6.28829492519001</c:v>
                </c:pt>
                <c:pt idx="194">
                  <c:v>6.345938529407371</c:v>
                </c:pt>
                <c:pt idx="195">
                  <c:v>6.403796017933306</c:v>
                </c:pt>
                <c:pt idx="196">
                  <c:v>6.461860044697184</c:v>
                </c:pt>
                <c:pt idx="197">
                  <c:v>6.5201234866425</c:v>
                </c:pt>
                <c:pt idx="198">
                  <c:v>6.57857943618696</c:v>
                </c:pt>
                <c:pt idx="199">
                  <c:v>6.637221193908625</c:v>
                </c:pt>
                <c:pt idx="200">
                  <c:v>6.696042261456512</c:v>
                </c:pt>
                <c:pt idx="201">
                  <c:v>6.755036334683316</c:v>
                </c:pt>
                <c:pt idx="202">
                  <c:v>6.814197296997338</c:v>
                </c:pt>
                <c:pt idx="203">
                  <c:v>6.873519212930159</c:v>
                </c:pt>
                <c:pt idx="204">
                  <c:v>6.932996321916247</c:v>
                </c:pt>
                <c:pt idx="205">
                  <c:v>6.992623032280269</c:v>
                </c:pt>
                <c:pt idx="206">
                  <c:v>7.05239391542762</c:v>
                </c:pt>
                <c:pt idx="207">
                  <c:v>7.112303700233444</c:v>
                </c:pt>
                <c:pt idx="208">
                  <c:v>7.172347267625264</c:v>
                </c:pt>
                <c:pt idx="209">
                  <c:v>7.232519645354166</c:v>
                </c:pt>
                <c:pt idx="210">
                  <c:v>7.292816002949434</c:v>
                </c:pt>
                <c:pt idx="211">
                  <c:v>7.353231646851434</c:v>
                </c:pt>
                <c:pt idx="212">
                  <c:v>7.413762015717533</c:v>
                </c:pt>
                <c:pt idx="213">
                  <c:v>7.474402675895853</c:v>
                </c:pt>
                <c:pt idx="214">
                  <c:v>7.535149317061624</c:v>
                </c:pt>
                <c:pt idx="215">
                  <c:v>7.595997748011027</c:v>
                </c:pt>
                <c:pt idx="216">
                  <c:v>7.656943892607386</c:v>
                </c:pt>
                <c:pt idx="217">
                  <c:v>7.717983785874701</c:v>
                </c:pt>
                <c:pt idx="218">
                  <c:v>7.779113570233542</c:v>
                </c:pt>
                <c:pt idx="219">
                  <c:v>7.84032949187448</c:v>
                </c:pt>
                <c:pt idx="220">
                  <c:v>7.901627897264307</c:v>
                </c:pt>
                <c:pt idx="221">
                  <c:v>7.963005229780315</c:v>
                </c:pt>
                <c:pt idx="222">
                  <c:v>8.024458026468219</c:v>
                </c:pt>
                <c:pt idx="223">
                  <c:v>8.085982914919201</c:v>
                </c:pt>
                <c:pt idx="224">
                  <c:v>8.147576610261819</c:v>
                </c:pt>
                <c:pt idx="225">
                  <c:v>8.2092359122646</c:v>
                </c:pt>
                <c:pt idx="226">
                  <c:v>8.27095770254524</c:v>
                </c:pt>
                <c:pt idx="227">
                  <c:v>8.33273894188251</c:v>
                </c:pt>
                <c:pt idx="228">
                  <c:v>8.394576667627003</c:v>
                </c:pt>
                <c:pt idx="229">
                  <c:v>8.45646799120709</c:v>
                </c:pt>
                <c:pt idx="230">
                  <c:v>8.518410095726479</c:v>
                </c:pt>
                <c:pt idx="231">
                  <c:v>8.580400233649934</c:v>
                </c:pt>
                <c:pt idx="232">
                  <c:v>8.642435724573849</c:v>
                </c:pt>
                <c:pt idx="233">
                  <c:v>8.704513953078392</c:v>
                </c:pt>
                <c:pt idx="234">
                  <c:v>8.766632366658216</c:v>
                </c:pt>
                <c:pt idx="235">
                  <c:v>8.828788473728661</c:v>
                </c:pt>
                <c:pt idx="236">
                  <c:v>8.890979841704603</c:v>
                </c:pt>
                <c:pt idx="237">
                  <c:v>8.953204095149154</c:v>
                </c:pt>
                <c:pt idx="238">
                  <c:v>9.015458913989574</c:v>
                </c:pt>
                <c:pt idx="239">
                  <c:v>9.07774203179775</c:v>
                </c:pt>
                <c:pt idx="240">
                  <c:v>9.14005123413285</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1"/>
        <c:axPos val="l"/>
        <c:numFmt formatCode="0.000" sourceLinked="1"/>
        <c:majorTickMark val="none"/>
        <c:minorTickMark val="none"/>
        <c:tickLblPos val="nextTo"/>
        <c:crossAx val="48650112"/>
        <c:crosses val="autoZero"/>
        <c:crossBetween val="midCat"/>
      </c:valAx>
      <c:valAx>
        <c:axId val="48650112"/>
        <c:scaling>
          <c:orientation val="minMax"/>
        </c:scaling>
        <c:delete val="1"/>
        <c:axPos val="b"/>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Raw Slant Depth vs Doppler-Corrected Ocean Depth</a:t>
            </a:r>
          </a:p>
        </c:rich>
      </c:tx>
      <c:overlay val="0"/>
    </c:title>
    <c:autoTitleDeleted val="0"/>
    <c:plotArea>
      <c:layout/>
      <c:scatterChart>
        <c:scatterStyle val="lineMarker"/>
        <c:varyColors val="1"/>
        <c:ser>
          <c:idx val="0"/>
          <c:order val="0"/>
          <c:tx>
            <c:v>True simulated ocean depth</c:v>
          </c:tx>
          <c:spPr>
            <a:ln xmlns:a="http://schemas.openxmlformats.org/drawingml/2006/main" w="16000">
              <a:solidFill>
                <a:srgbClr val="404040"/>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Doppler_Depth_Data!$H$4:$H$244</c:f>
              <c:numCache>
                <c:formatCode>0.0</c:formatCode>
                <c:ptCount val="241"/>
                <c:pt idx="0">
                  <c:v>14538.34347690821</c:v>
                </c:pt>
                <c:pt idx="1">
                  <c:v>14548.76639119057</c:v>
                </c:pt>
                <c:pt idx="2">
                  <c:v>14557.33823698979</c:v>
                </c:pt>
                <c:pt idx="3">
                  <c:v>14562.90707081556</c:v>
                </c:pt>
                <c:pt idx="4">
                  <c:v>14573.12561824274</c:v>
                </c:pt>
                <c:pt idx="5">
                  <c:v>14578.3351405244</c:v>
                </c:pt>
                <c:pt idx="6">
                  <c:v>14585.99703021636</c:v>
                </c:pt>
                <c:pt idx="7">
                  <c:v>14592.49931637025</c:v>
                </c:pt>
                <c:pt idx="8">
                  <c:v>14595.55464426455</c:v>
                </c:pt>
                <c:pt idx="9">
                  <c:v>14602.69283930029</c:v>
                </c:pt>
                <c:pt idx="10">
                  <c:v>14606.30796626749</c:v>
                </c:pt>
                <c:pt idx="11">
                  <c:v>14609.09414977491</c:v>
                </c:pt>
                <c:pt idx="12">
                  <c:v>14613.71746526024</c:v>
                </c:pt>
                <c:pt idx="13">
                  <c:v>14615.55790110156</c:v>
                </c:pt>
                <c:pt idx="14">
                  <c:v>14618.82470459141</c:v>
                </c:pt>
                <c:pt idx="15">
                  <c:v>14621.22387189913</c:v>
                </c:pt>
                <c:pt idx="16">
                  <c:v>14622.53688870754</c:v>
                </c:pt>
                <c:pt idx="17">
                  <c:v>14622.37004851927</c:v>
                </c:pt>
                <c:pt idx="18">
                  <c:v>14625.90607681586</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14577.62874792323</c:v>
                </c:pt>
                <c:pt idx="53">
                  <c:v>14578.09256002349</c:v>
                </c:pt>
                <c:pt idx="54">
                  <c:v>14578.46664658259</c:v>
                </c:pt>
                <c:pt idx="55">
                  <c:v>14580.08569704939</c:v>
                </c:pt>
                <c:pt idx="56">
                  <c:v>14584.95207076056</c:v>
                </c:pt>
                <c:pt idx="57">
                  <c:v>14587.05723435159</c:v>
                </c:pt>
                <c:pt idx="58">
                  <c:v>14592.07610302669</c:v>
                </c:pt>
                <c:pt idx="59">
                  <c:v>14599.55328296698</c:v>
                </c:pt>
                <c:pt idx="60">
                  <c:v>14605.92076461545</c:v>
                </c:pt>
                <c:pt idx="61">
                  <c:v>14614.27394913712</c:v>
                </c:pt>
                <c:pt idx="62">
                  <c:v>14621.07346664604</c:v>
                </c:pt>
                <c:pt idx="63">
                  <c:v>14632.4426235159</c:v>
                </c:pt>
                <c:pt idx="64">
                  <c:v>14641.12386677761</c:v>
                </c:pt>
                <c:pt idx="65">
                  <c:v>14653.31124471122</c:v>
                </c:pt>
                <c:pt idx="66">
                  <c:v>14665.03655669067</c:v>
                </c:pt>
                <c:pt idx="67">
                  <c:v>14676.33880995205</c:v>
                </c:pt>
                <c:pt idx="68">
                  <c:v>14691.24974060257</c:v>
                </c:pt>
                <c:pt idx="69">
                  <c:v>14704.33755909023</c:v>
                </c:pt>
                <c:pt idx="70">
                  <c:v>14719.83615226988</c:v>
                </c:pt>
                <c:pt idx="71">
                  <c:v>14732.27105346808</c:v>
                </c:pt>
                <c:pt idx="72">
                  <c:v>14748.89372234097</c:v>
                </c:pt>
                <c:pt idx="73">
                  <c:v>14764.46311292151</c:v>
                </c:pt>
                <c:pt idx="74">
                  <c:v>14780.79352174395</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14977.22515424655</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15241.28669712614</c:v>
                </c:pt>
                <c:pt idx="95">
                  <c:v>15267.88536924082</c:v>
                </c:pt>
                <c:pt idx="96">
                  <c:v>15298.41367837706</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15641.05910048064</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16021.16122749555</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15493.13158103504</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15272.83375718312</c:v>
                </c:pt>
                <c:pt idx="178">
                  <c:v>15247.47104989116</c:v>
                </c:pt>
                <c:pt idx="179">
                  <c:v>15221.48646694638</c:v>
                </c:pt>
                <c:pt idx="180">
                  <c:v>15193.62383841618</c:v>
                </c:pt>
                <c:pt idx="181">
                  <c:v>15167.92499642925</c:v>
                </c:pt>
                <c:pt idx="182">
                  <c:v>15140.05782058526</c:v>
                </c:pt>
                <c:pt idx="183">
                  <c:v>15115.74692609539</c:v>
                </c:pt>
                <c:pt idx="184">
                  <c:v>15087.81999177935</c:v>
                </c:pt>
                <c:pt idx="185">
                  <c:v>15060.40759266279</c:v>
                </c:pt>
                <c:pt idx="186">
                  <c:v>15034.53671055071</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14799.57608673055</c:v>
                </c:pt>
                <c:pt idx="197">
                  <c:v>14776.78943004736</c:v>
                </c:pt>
                <c:pt idx="198">
                  <c:v>14759.99230717167</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14638.15716894973</c:v>
                </c:pt>
                <c:pt idx="209">
                  <c:v>14633.28081281214</c:v>
                </c:pt>
                <c:pt idx="210">
                  <c:v>14626.9154296808</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14591.08519304569</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ser>
          <c:idx val="1"/>
          <c:order val="1"/>
          <c:tx>
            <c:v>Raw slant depth from echo delay</c:v>
          </c:tx>
          <c:spPr>
            <a:ln xmlns:a="http://schemas.openxmlformats.org/drawingml/2006/main" w="16000">
              <a:solidFill>
                <a:srgbClr val="ED7D31"/>
              </a:solidFill>
              <a:prstDash val="dash"/>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Doppler_Depth_Data!$L$4:$L$244</c:f>
              <c:numCache>
                <c:formatCode>0.0</c:formatCode>
                <c:ptCount val="241"/>
                <c:pt idx="0">
                  <c:v>15314.48238005806</c:v>
                </c:pt>
                <c:pt idx="1">
                  <c:v>15318.68106736729</c:v>
                </c:pt>
                <c:pt idx="2">
                  <c:v>15314.24099562565</c:v>
                </c:pt>
                <c:pt idx="3">
                  <c:v>15306.76288770532</c:v>
                </c:pt>
                <c:pt idx="4">
                  <c:v>15304.29123764089</c:v>
                </c:pt>
                <c:pt idx="5">
                  <c:v>15296.67842739621</c:v>
                </c:pt>
                <c:pt idx="6">
                  <c:v>15291.75993407291</c:v>
                </c:pt>
                <c:pt idx="7">
                  <c:v>15285.74529924041</c:v>
                </c:pt>
                <c:pt idx="8">
                  <c:v>15276.24317027072</c:v>
                </c:pt>
                <c:pt idx="9">
                  <c:v>15271.13658458609</c:v>
                </c:pt>
                <c:pt idx="10">
                  <c:v>15262.46702398555</c:v>
                </c:pt>
                <c:pt idx="11">
                  <c:v>15253.05593878344</c:v>
                </c:pt>
                <c:pt idx="12">
                  <c:v>15245.68634203979</c:v>
                </c:pt>
                <c:pt idx="13">
                  <c:v>15235.53724694909</c:v>
                </c:pt>
                <c:pt idx="14">
                  <c:v>15226.9994436043</c:v>
                </c:pt>
                <c:pt idx="15">
                  <c:v>15217.68143010278</c:v>
                </c:pt>
                <c:pt idx="16">
                  <c:v>15207.35761988127</c:v>
                </c:pt>
                <c:pt idx="17">
                  <c:v>15195.62101868458</c:v>
                </c:pt>
                <c:pt idx="18">
                  <c:v>15187.85650147176</c:v>
                </c:pt>
                <c:pt idx="19">
                  <c:v>15178.72175154274</c:v>
                </c:pt>
                <c:pt idx="20">
                  <c:v>15165.46652011909</c:v>
                </c:pt>
                <c:pt idx="21">
                  <c:v>15157.54233403912</c:v>
                </c:pt>
                <c:pt idx="22">
                  <c:v>15145.75314830343</c:v>
                </c:pt>
                <c:pt idx="23">
                  <c:v>15135.60682341501</c:v>
                </c:pt>
                <c:pt idx="24">
                  <c:v>15126.44418481234</c:v>
                </c:pt>
                <c:pt idx="25">
                  <c:v>15114.01553775119</c:v>
                </c:pt>
                <c:pt idx="26">
                  <c:v>15103.97439573604</c:v>
                </c:pt>
                <c:pt idx="27">
                  <c:v>15092.4913806562</c:v>
                </c:pt>
                <c:pt idx="28">
                  <c:v>15083.18045790379</c:v>
                </c:pt>
                <c:pt idx="29">
                  <c:v>15072.43441173186</c:v>
                </c:pt>
                <c:pt idx="30">
                  <c:v>15063.57217211566</c:v>
                </c:pt>
                <c:pt idx="31">
                  <c:v>15052.59863411096</c:v>
                </c:pt>
                <c:pt idx="32">
                  <c:v>15040.76286041543</c:v>
                </c:pt>
                <c:pt idx="33">
                  <c:v>15027.13713305236</c:v>
                </c:pt>
                <c:pt idx="34">
                  <c:v>15019.42003564885</c:v>
                </c:pt>
                <c:pt idx="35">
                  <c:v>15007.21676575603</c:v>
                </c:pt>
                <c:pt idx="36">
                  <c:v>14996.84905658798</c:v>
                </c:pt>
                <c:pt idx="37">
                  <c:v>14984.88379607068</c:v>
                </c:pt>
                <c:pt idx="38">
                  <c:v>14972.41014092163</c:v>
                </c:pt>
                <c:pt idx="39">
                  <c:v>14958.77890168908</c:v>
                </c:pt>
                <c:pt idx="40">
                  <c:v>14946.52868299378</c:v>
                </c:pt>
                <c:pt idx="41">
                  <c:v>14934.96805261188</c:v>
                </c:pt>
                <c:pt idx="42">
                  <c:v>14926.51410465146</c:v>
                </c:pt>
                <c:pt idx="43">
                  <c:v>14912.14639870546</c:v>
                </c:pt>
                <c:pt idx="44">
                  <c:v>14903.24803866074</c:v>
                </c:pt>
                <c:pt idx="45">
                  <c:v>14888.31090245161</c:v>
                </c:pt>
                <c:pt idx="46">
                  <c:v>14879.40235969815</c:v>
                </c:pt>
                <c:pt idx="47">
                  <c:v>14866.42737591574</c:v>
                </c:pt>
                <c:pt idx="48">
                  <c:v>14856.83466482771</c:v>
                </c:pt>
                <c:pt idx="49">
                  <c:v>14847.29012147353</c:v>
                </c:pt>
                <c:pt idx="50">
                  <c:v>14840.57103155252</c:v>
                </c:pt>
                <c:pt idx="51">
                  <c:v>14828.76043457689</c:v>
                </c:pt>
                <c:pt idx="52">
                  <c:v>14822.19512043236</c:v>
                </c:pt>
                <c:pt idx="53">
                  <c:v>14815.42998534846</c:v>
                </c:pt>
                <c:pt idx="54">
                  <c:v>14808.68623810419</c:v>
                </c:pt>
                <c:pt idx="55">
                  <c:v>14803.31887457664</c:v>
                </c:pt>
                <c:pt idx="56">
                  <c:v>14801.35794142605</c:v>
                </c:pt>
                <c:pt idx="57">
                  <c:v>14796.70379302957</c:v>
                </c:pt>
                <c:pt idx="58">
                  <c:v>14795.11395687704</c:v>
                </c:pt>
                <c:pt idx="59">
                  <c:v>14796.12277105219</c:v>
                </c:pt>
                <c:pt idx="60">
                  <c:v>14796.1123711418</c:v>
                </c:pt>
                <c:pt idx="61">
                  <c:v>14798.21849724291</c:v>
                </c:pt>
                <c:pt idx="62">
                  <c:v>14798.85610682159</c:v>
                </c:pt>
                <c:pt idx="63">
                  <c:v>14804.22230652782</c:v>
                </c:pt>
                <c:pt idx="64">
                  <c:v>14806.97161094325</c:v>
                </c:pt>
                <c:pt idx="65">
                  <c:v>14813.36902316962</c:v>
                </c:pt>
                <c:pt idx="66">
                  <c:v>14819.40037570525</c:v>
                </c:pt>
                <c:pt idx="67">
                  <c:v>14825.10567243095</c:v>
                </c:pt>
                <c:pt idx="68">
                  <c:v>14834.55651671808</c:v>
                </c:pt>
                <c:pt idx="69">
                  <c:v>14842.26616338622</c:v>
                </c:pt>
                <c:pt idx="70">
                  <c:v>14852.50880086993</c:v>
                </c:pt>
                <c:pt idx="71">
                  <c:v>14859.76008469627</c:v>
                </c:pt>
                <c:pt idx="72">
                  <c:v>14871.33506354522</c:v>
                </c:pt>
                <c:pt idx="73">
                  <c:v>14881.94674805037</c:v>
                </c:pt>
                <c:pt idx="74">
                  <c:v>14893.42451136428</c:v>
                </c:pt>
                <c:pt idx="75">
                  <c:v>14905.58212736093</c:v>
                </c:pt>
                <c:pt idx="76">
                  <c:v>14915.41382757295</c:v>
                </c:pt>
                <c:pt idx="77">
                  <c:v>14928.10023505614</c:v>
                </c:pt>
                <c:pt idx="78">
                  <c:v>14945.9212645303</c:v>
                </c:pt>
                <c:pt idx="79">
                  <c:v>14958.94485368062</c:v>
                </c:pt>
                <c:pt idx="80">
                  <c:v>14977.10812011327</c:v>
                </c:pt>
                <c:pt idx="81">
                  <c:v>14991.7201661761</c:v>
                </c:pt>
                <c:pt idx="82">
                  <c:v>15009.67960362737</c:v>
                </c:pt>
                <c:pt idx="83">
                  <c:v>15030.19716246201</c:v>
                </c:pt>
                <c:pt idx="84">
                  <c:v>15046.95682411144</c:v>
                </c:pt>
                <c:pt idx="85">
                  <c:v>15067.40197275717</c:v>
                </c:pt>
                <c:pt idx="86">
                  <c:v>15091.4238590384</c:v>
                </c:pt>
                <c:pt idx="87">
                  <c:v>15113.05467300392</c:v>
                </c:pt>
                <c:pt idx="88">
                  <c:v>15132.41490859513</c:v>
                </c:pt>
                <c:pt idx="89">
                  <c:v>15157.14831056458</c:v>
                </c:pt>
                <c:pt idx="90">
                  <c:v>15179.65302262524</c:v>
                </c:pt>
                <c:pt idx="91">
                  <c:v>15203.02841863379</c:v>
                </c:pt>
                <c:pt idx="92">
                  <c:v>15228.676378114</c:v>
                </c:pt>
                <c:pt idx="93">
                  <c:v>15254.41981444641</c:v>
                </c:pt>
                <c:pt idx="94">
                  <c:v>15278.23301008752</c:v>
                </c:pt>
                <c:pt idx="95">
                  <c:v>15302.09881060886</c:v>
                </c:pt>
                <c:pt idx="96">
                  <c:v>15330.00329658558</c:v>
                </c:pt>
                <c:pt idx="97">
                  <c:v>15353.67178212201</c:v>
                </c:pt>
                <c:pt idx="98">
                  <c:v>15379.94399405865</c:v>
                </c:pt>
                <c:pt idx="99">
                  <c:v>15405.79661053239</c:v>
                </c:pt>
                <c:pt idx="100">
                  <c:v>15432.59533349051</c:v>
                </c:pt>
                <c:pt idx="101">
                  <c:v>15459.75896073535</c:v>
                </c:pt>
                <c:pt idx="102">
                  <c:v>15485.372790727</c:v>
                </c:pt>
                <c:pt idx="103">
                  <c:v>15515.13540125469</c:v>
                </c:pt>
                <c:pt idx="104">
                  <c:v>15539.87742790315</c:v>
                </c:pt>
                <c:pt idx="105">
                  <c:v>15567.32674764007</c:v>
                </c:pt>
                <c:pt idx="106">
                  <c:v>15597.6380669919</c:v>
                </c:pt>
                <c:pt idx="107">
                  <c:v>15622.06768577976</c:v>
                </c:pt>
                <c:pt idx="108">
                  <c:v>15649.12318722121</c:v>
                </c:pt>
                <c:pt idx="109">
                  <c:v>15676.17266829466</c:v>
                </c:pt>
                <c:pt idx="110">
                  <c:v>15702.8538168342</c:v>
                </c:pt>
                <c:pt idx="111">
                  <c:v>15728.03288866008</c:v>
                </c:pt>
                <c:pt idx="112">
                  <c:v>15751.8951197935</c:v>
                </c:pt>
                <c:pt idx="113">
                  <c:v>15778.54831854901</c:v>
                </c:pt>
                <c:pt idx="114">
                  <c:v>15799.54806836333</c:v>
                </c:pt>
                <c:pt idx="115">
                  <c:v>15821.93453993175</c:v>
                </c:pt>
                <c:pt idx="116">
                  <c:v>15841.67087749329</c:v>
                </c:pt>
                <c:pt idx="117">
                  <c:v>15863.48530018634</c:v>
                </c:pt>
                <c:pt idx="118">
                  <c:v>15882.48715118804</c:v>
                </c:pt>
                <c:pt idx="119">
                  <c:v>15897.43674258138</c:v>
                </c:pt>
                <c:pt idx="120">
                  <c:v>15915.34978072191</c:v>
                </c:pt>
                <c:pt idx="121">
                  <c:v>15932.95657035333</c:v>
                </c:pt>
                <c:pt idx="122">
                  <c:v>15947.91979127733</c:v>
                </c:pt>
                <c:pt idx="123">
                  <c:v>15961.34094241322</c:v>
                </c:pt>
                <c:pt idx="124">
                  <c:v>15974.04235010018</c:v>
                </c:pt>
                <c:pt idx="125">
                  <c:v>15986.10510676572</c:v>
                </c:pt>
                <c:pt idx="126">
                  <c:v>16001.10098345338</c:v>
                </c:pt>
                <c:pt idx="127">
                  <c:v>16009.61441772104</c:v>
                </c:pt>
                <c:pt idx="128">
                  <c:v>16020.90537104095</c:v>
                </c:pt>
                <c:pt idx="129">
                  <c:v>16029.97662600151</c:v>
                </c:pt>
                <c:pt idx="130">
                  <c:v>16041.71587061257</c:v>
                </c:pt>
                <c:pt idx="131">
                  <c:v>16050.8790375918</c:v>
                </c:pt>
                <c:pt idx="132">
                  <c:v>16058.44330807095</c:v>
                </c:pt>
                <c:pt idx="133">
                  <c:v>16065.36451461384</c:v>
                </c:pt>
                <c:pt idx="134">
                  <c:v>16068.45644638507</c:v>
                </c:pt>
                <c:pt idx="135">
                  <c:v>16076.14032411274</c:v>
                </c:pt>
                <c:pt idx="136">
                  <c:v>16079.2257263278</c:v>
                </c:pt>
                <c:pt idx="137">
                  <c:v>16082.76004127682</c:v>
                </c:pt>
                <c:pt idx="138">
                  <c:v>16082.45365306966</c:v>
                </c:pt>
                <c:pt idx="139">
                  <c:v>16081.64774922179</c:v>
                </c:pt>
                <c:pt idx="140">
                  <c:v>16082.66995461423</c:v>
                </c:pt>
                <c:pt idx="141">
                  <c:v>16081.47098785729</c:v>
                </c:pt>
                <c:pt idx="142">
                  <c:v>16075.89369177593</c:v>
                </c:pt>
                <c:pt idx="143">
                  <c:v>16071.6661532282</c:v>
                </c:pt>
                <c:pt idx="144">
                  <c:v>16066.50610876552</c:v>
                </c:pt>
                <c:pt idx="145">
                  <c:v>16057.06266682711</c:v>
                </c:pt>
                <c:pt idx="146">
                  <c:v>16048.89194190647</c:v>
                </c:pt>
                <c:pt idx="147">
                  <c:v>16041.75344417306</c:v>
                </c:pt>
                <c:pt idx="148">
                  <c:v>16030.28160452702</c:v>
                </c:pt>
                <c:pt idx="149">
                  <c:v>16017.92371803715</c:v>
                </c:pt>
                <c:pt idx="150">
                  <c:v>16007.31266281962</c:v>
                </c:pt>
                <c:pt idx="151">
                  <c:v>15994.02204397074</c:v>
                </c:pt>
                <c:pt idx="152">
                  <c:v>15978.65383583296</c:v>
                </c:pt>
                <c:pt idx="153">
                  <c:v>15962.25524409775</c:v>
                </c:pt>
                <c:pt idx="154">
                  <c:v>15946.3225587197</c:v>
                </c:pt>
                <c:pt idx="155">
                  <c:v>15927.77123748838</c:v>
                </c:pt>
                <c:pt idx="156">
                  <c:v>15909.16005890277</c:v>
                </c:pt>
                <c:pt idx="157">
                  <c:v>15890.97594990154</c:v>
                </c:pt>
                <c:pt idx="158">
                  <c:v>15869.49586867414</c:v>
                </c:pt>
                <c:pt idx="159">
                  <c:v>15848.50797256806</c:v>
                </c:pt>
                <c:pt idx="160">
                  <c:v>15827.63312514022</c:v>
                </c:pt>
                <c:pt idx="161">
                  <c:v>15806.15792443953</c:v>
                </c:pt>
                <c:pt idx="162">
                  <c:v>15784.64426751072</c:v>
                </c:pt>
                <c:pt idx="163">
                  <c:v>15762.20030132237</c:v>
                </c:pt>
                <c:pt idx="164">
                  <c:v>15739.24479715696</c:v>
                </c:pt>
                <c:pt idx="165">
                  <c:v>15717.18804724917</c:v>
                </c:pt>
                <c:pt idx="166">
                  <c:v>15694.69686871167</c:v>
                </c:pt>
                <c:pt idx="167">
                  <c:v>15672.30302483826</c:v>
                </c:pt>
                <c:pt idx="168">
                  <c:v>15647.30295941468</c:v>
                </c:pt>
                <c:pt idx="169">
                  <c:v>15627.20489049211</c:v>
                </c:pt>
                <c:pt idx="170">
                  <c:v>15602.86785679993</c:v>
                </c:pt>
                <c:pt idx="171">
                  <c:v>15582.99782450005</c:v>
                </c:pt>
                <c:pt idx="172">
                  <c:v>15559.45485266447</c:v>
                </c:pt>
                <c:pt idx="173">
                  <c:v>15536.10190497716</c:v>
                </c:pt>
                <c:pt idx="174">
                  <c:v>15517.55230688287</c:v>
                </c:pt>
                <c:pt idx="175">
                  <c:v>15495.16481343951</c:v>
                </c:pt>
                <c:pt idx="176">
                  <c:v>15475.17282718796</c:v>
                </c:pt>
                <c:pt idx="177">
                  <c:v>15452.13140481486</c:v>
                </c:pt>
                <c:pt idx="178">
                  <c:v>15432.87027283013</c:v>
                </c:pt>
                <c:pt idx="179">
                  <c:v>15413.07377805095</c:v>
                </c:pt>
                <c:pt idx="180">
                  <c:v>15391.46824503421</c:v>
                </c:pt>
                <c:pt idx="181">
                  <c:v>15372.14708419282</c:v>
                </c:pt>
                <c:pt idx="182">
                  <c:v>15350.72043126231</c:v>
                </c:pt>
                <c:pt idx="183">
                  <c:v>15332.99186275338</c:v>
                </c:pt>
                <c:pt idx="184">
                  <c:v>15311.68722191658</c:v>
                </c:pt>
                <c:pt idx="185">
                  <c:v>15290.99489589421</c:v>
                </c:pt>
                <c:pt idx="186">
                  <c:v>15271.95844934728</c:v>
                </c:pt>
                <c:pt idx="187">
                  <c:v>15253.26791940919</c:v>
                </c:pt>
                <c:pt idx="188">
                  <c:v>15232.84495414772</c:v>
                </c:pt>
                <c:pt idx="189">
                  <c:v>15214.75335013131</c:v>
                </c:pt>
                <c:pt idx="190">
                  <c:v>15199.16000849485</c:v>
                </c:pt>
                <c:pt idx="191">
                  <c:v>15183.26380587579</c:v>
                </c:pt>
                <c:pt idx="192">
                  <c:v>15166.92974748241</c:v>
                </c:pt>
                <c:pt idx="193">
                  <c:v>15149.51331029401</c:v>
                </c:pt>
                <c:pt idx="194">
                  <c:v>15135.71210669326</c:v>
                </c:pt>
                <c:pt idx="195">
                  <c:v>15122.69856103653</c:v>
                </c:pt>
                <c:pt idx="196">
                  <c:v>15110.80319863397</c:v>
                </c:pt>
                <c:pt idx="197">
                  <c:v>15095.91656066851</c:v>
                </c:pt>
                <c:pt idx="198">
                  <c:v>15087.24376322037</c:v>
                </c:pt>
                <c:pt idx="199">
                  <c:v>15078.85327348498</c:v>
                </c:pt>
                <c:pt idx="200">
                  <c:v>15069.98295110363</c:v>
                </c:pt>
                <c:pt idx="201">
                  <c:v>15063.47959204336</c:v>
                </c:pt>
                <c:pt idx="202">
                  <c:v>15060.78596119709</c:v>
                </c:pt>
                <c:pt idx="203">
                  <c:v>15056.62688544607</c:v>
                </c:pt>
                <c:pt idx="204">
                  <c:v>15052.08322503365</c:v>
                </c:pt>
                <c:pt idx="205">
                  <c:v>15050.38682305659</c:v>
                </c:pt>
                <c:pt idx="206">
                  <c:v>15049.7992338102</c:v>
                </c:pt>
                <c:pt idx="207">
                  <c:v>15051.49994844946</c:v>
                </c:pt>
                <c:pt idx="208">
                  <c:v>15053.35586279944</c:v>
                </c:pt>
                <c:pt idx="209">
                  <c:v>15058.0584806254</c:v>
                </c:pt>
                <c:pt idx="210">
                  <c:v>15061.34200595548</c:v>
                </c:pt>
                <c:pt idx="211">
                  <c:v>15063.04001894576</c:v>
                </c:pt>
                <c:pt idx="212">
                  <c:v>15069.23711746913</c:v>
                </c:pt>
                <c:pt idx="213">
                  <c:v>15076.36015749966</c:v>
                </c:pt>
                <c:pt idx="214">
                  <c:v>15082.05351214857</c:v>
                </c:pt>
                <c:pt idx="215">
                  <c:v>15089.31612501266</c:v>
                </c:pt>
                <c:pt idx="216">
                  <c:v>15093.25007459989</c:v>
                </c:pt>
                <c:pt idx="217">
                  <c:v>15102.01375907832</c:v>
                </c:pt>
                <c:pt idx="218">
                  <c:v>15110.66447670496</c:v>
                </c:pt>
                <c:pt idx="219">
                  <c:v>15118.45137338049</c:v>
                </c:pt>
                <c:pt idx="220">
                  <c:v>15127.9353458268</c:v>
                </c:pt>
                <c:pt idx="221">
                  <c:v>15134.84916718192</c:v>
                </c:pt>
                <c:pt idx="222">
                  <c:v>15145.55090753181</c:v>
                </c:pt>
                <c:pt idx="223">
                  <c:v>15153.60182468478</c:v>
                </c:pt>
                <c:pt idx="224">
                  <c:v>15164.43719355598</c:v>
                </c:pt>
                <c:pt idx="225">
                  <c:v>15177.32114809161</c:v>
                </c:pt>
                <c:pt idx="226">
                  <c:v>15187.45844503055</c:v>
                </c:pt>
                <c:pt idx="227">
                  <c:v>15201.27484778498</c:v>
                </c:pt>
                <c:pt idx="228">
                  <c:v>15215.10405276235</c:v>
                </c:pt>
                <c:pt idx="229">
                  <c:v>15230.12967834174</c:v>
                </c:pt>
                <c:pt idx="230">
                  <c:v>15243.09248894385</c:v>
                </c:pt>
                <c:pt idx="231">
                  <c:v>15258.99759396771</c:v>
                </c:pt>
                <c:pt idx="232">
                  <c:v>15273.70035997955</c:v>
                </c:pt>
                <c:pt idx="233">
                  <c:v>15288.84645820356</c:v>
                </c:pt>
                <c:pt idx="234">
                  <c:v>15303.13377700529</c:v>
                </c:pt>
                <c:pt idx="235">
                  <c:v>15322.46884471197</c:v>
                </c:pt>
                <c:pt idx="236">
                  <c:v>15336.2906706328</c:v>
                </c:pt>
                <c:pt idx="237">
                  <c:v>15353.5412815118</c:v>
                </c:pt>
                <c:pt idx="238">
                  <c:v>15369.18031866713</c:v>
                </c:pt>
                <c:pt idx="239">
                  <c:v>15389.32767156422</c:v>
                </c:pt>
                <c:pt idx="240">
                  <c:v>15397.48416665519</c:v>
                </c:pt>
              </c:numCache>
            </c:numRef>
          </c:yVal>
        </c:ser>
        <c:ser>
          <c:idx val="2"/>
          <c:order val="2"/>
          <c:tx>
            <c:v>Doppler-corrected actual depth</c:v>
          </c:tx>
          <c:spPr>
            <a:ln xmlns:a="http://schemas.openxmlformats.org/drawingml/2006/mai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14538.34347690822</c:v>
                </c:pt>
                <c:pt idx="1">
                  <c:v>14548.76639119057</c:v>
                </c:pt>
                <c:pt idx="2">
                  <c:v>14557.33823698979</c:v>
                </c:pt>
                <c:pt idx="3">
                  <c:v>14562.90707081557</c:v>
                </c:pt>
                <c:pt idx="4">
                  <c:v>14573.12561824274</c:v>
                </c:pt>
                <c:pt idx="5">
                  <c:v>14578.3351405244</c:v>
                </c:pt>
                <c:pt idx="6">
                  <c:v>14585.99703021636</c:v>
                </c:pt>
                <c:pt idx="7">
                  <c:v>14592.49931637025</c:v>
                </c:pt>
                <c:pt idx="8">
                  <c:v>14595.55464426455</c:v>
                </c:pt>
                <c:pt idx="9">
                  <c:v>14602.69283930029</c:v>
                </c:pt>
                <c:pt idx="10">
                  <c:v>14606.3079662675</c:v>
                </c:pt>
                <c:pt idx="11">
                  <c:v>14609.09414977491</c:v>
                </c:pt>
                <c:pt idx="12">
                  <c:v>14613.71746526024</c:v>
                </c:pt>
                <c:pt idx="13">
                  <c:v>14615.55790110156</c:v>
                </c:pt>
                <c:pt idx="14">
                  <c:v>14618.82470459141</c:v>
                </c:pt>
                <c:pt idx="15">
                  <c:v>14621.22387189913</c:v>
                </c:pt>
                <c:pt idx="16">
                  <c:v>14622.53688870754</c:v>
                </c:pt>
                <c:pt idx="17">
                  <c:v>14622.37004851927</c:v>
                </c:pt>
                <c:pt idx="18">
                  <c:v>14625.90607681587</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14577.62874792324</c:v>
                </c:pt>
                <c:pt idx="53">
                  <c:v>14578.09256002349</c:v>
                </c:pt>
                <c:pt idx="54">
                  <c:v>14578.46664658259</c:v>
                </c:pt>
                <c:pt idx="55">
                  <c:v>14580.08569704939</c:v>
                </c:pt>
                <c:pt idx="56">
                  <c:v>14584.95207076056</c:v>
                </c:pt>
                <c:pt idx="57">
                  <c:v>14587.05723435159</c:v>
                </c:pt>
                <c:pt idx="58">
                  <c:v>14592.07610302669</c:v>
                </c:pt>
                <c:pt idx="59">
                  <c:v>14599.55328296697</c:v>
                </c:pt>
                <c:pt idx="60">
                  <c:v>14605.92076461545</c:v>
                </c:pt>
                <c:pt idx="61">
                  <c:v>14614.27394913712</c:v>
                </c:pt>
                <c:pt idx="62">
                  <c:v>14621.07346664605</c:v>
                </c:pt>
                <c:pt idx="63">
                  <c:v>14632.4426235159</c:v>
                </c:pt>
                <c:pt idx="64">
                  <c:v>14641.12386677761</c:v>
                </c:pt>
                <c:pt idx="65">
                  <c:v>14653.31124471121</c:v>
                </c:pt>
                <c:pt idx="66">
                  <c:v>14665.03655669068</c:v>
                </c:pt>
                <c:pt idx="67">
                  <c:v>14676.33880995204</c:v>
                </c:pt>
                <c:pt idx="68">
                  <c:v>14691.24974060257</c:v>
                </c:pt>
                <c:pt idx="69">
                  <c:v>14704.33755909023</c:v>
                </c:pt>
                <c:pt idx="70">
                  <c:v>14719.83615226987</c:v>
                </c:pt>
                <c:pt idx="71">
                  <c:v>14732.27105346808</c:v>
                </c:pt>
                <c:pt idx="72">
                  <c:v>14748.89372234097</c:v>
                </c:pt>
                <c:pt idx="73">
                  <c:v>14764.46311292151</c:v>
                </c:pt>
                <c:pt idx="74">
                  <c:v>14780.79352174394</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14977.22515424656</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15241.28669712613</c:v>
                </c:pt>
                <c:pt idx="95">
                  <c:v>15267.88536924082</c:v>
                </c:pt>
                <c:pt idx="96">
                  <c:v>15298.41367837705</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15641.05910048065</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16021.16122749556</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15493.13158103505</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15272.83375718313</c:v>
                </c:pt>
                <c:pt idx="178">
                  <c:v>15247.47104989116</c:v>
                </c:pt>
                <c:pt idx="179">
                  <c:v>15221.48646694637</c:v>
                </c:pt>
                <c:pt idx="180">
                  <c:v>15193.62383841618</c:v>
                </c:pt>
                <c:pt idx="181">
                  <c:v>15167.92499642925</c:v>
                </c:pt>
                <c:pt idx="182">
                  <c:v>15140.05782058526</c:v>
                </c:pt>
                <c:pt idx="183">
                  <c:v>15115.74692609539</c:v>
                </c:pt>
                <c:pt idx="184">
                  <c:v>15087.81999177935</c:v>
                </c:pt>
                <c:pt idx="185">
                  <c:v>15060.40759266279</c:v>
                </c:pt>
                <c:pt idx="186">
                  <c:v>15034.5367105507</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14799.57608673056</c:v>
                </c:pt>
                <c:pt idx="197">
                  <c:v>14776.78943004736</c:v>
                </c:pt>
                <c:pt idx="198">
                  <c:v>14759.99230717166</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14638.15716894972</c:v>
                </c:pt>
                <c:pt idx="209">
                  <c:v>14633.28081281214</c:v>
                </c:pt>
                <c:pt idx="210">
                  <c:v>14626.91542968079</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14591.0851930457</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axMin"/>
        </c:scaling>
        <c:delete val="1"/>
        <c:axPos val="r"/>
        <c:numFmt formatCode="0.0" sourceLinked="1"/>
        <c:majorTickMark val="none"/>
        <c:minorTickMark val="none"/>
        <c:tickLblPos val="nextTo"/>
        <c:crossAx val="48650112"/>
        <c:crosses val="autoZero"/>
        <c:crossBetween val="midCat"/>
      </c:valAx>
      <c:valAx>
        <c:axId val="48650112"/>
        <c:scaling>
          <c:orientation val="minMax"/>
        </c:scaling>
        <c:delete val="1"/>
        <c:axPos val="t"/>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Depth Error Before and After Angle Correction</a:t>
            </a:r>
          </a:p>
        </c:rich>
      </c:tx>
      <c:overlay val="0"/>
    </c:title>
    <c:autoTitleDeleted val="0"/>
    <c:plotArea>
      <c:layout/>
      <c:scatterChart>
        <c:scatterStyle val="lineMarker"/>
        <c:varyColors val="1"/>
        <c:ser>
          <c:idx val="0"/>
          <c:order val="0"/>
          <c:tx>
            <c:v>Uncorrected slant-depth error</c:v>
          </c:tx>
          <c:spPr>
            <a:ln xmlns:a="http://schemas.openxmlformats.org/drawingml/2006/main" w="16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Doppler_Depth_Data!$N$4:$N$244</c:f>
              <c:numCache>
                <c:formatCode>0.000</c:formatCode>
                <c:ptCount val="241"/>
                <c:pt idx="0">
                  <c:v>776.1389031498456</c:v>
                </c:pt>
                <c:pt idx="1">
                  <c:v>769.914676176717</c:v>
                </c:pt>
                <c:pt idx="2">
                  <c:v>756.9027586358607</c:v>
                </c:pt>
                <c:pt idx="3">
                  <c:v>743.855816889758</c:v>
                </c:pt>
                <c:pt idx="4">
                  <c:v>731.1656193981544</c:v>
                </c:pt>
                <c:pt idx="5">
                  <c:v>718.3432868718064</c:v>
                </c:pt>
                <c:pt idx="6">
                  <c:v>705.7629038565556</c:v>
                </c:pt>
                <c:pt idx="7">
                  <c:v>693.2459828701667</c:v>
                </c:pt>
                <c:pt idx="8">
                  <c:v>680.6885260061717</c:v>
                </c:pt>
                <c:pt idx="9">
                  <c:v>668.4437452858056</c:v>
                </c:pt>
                <c:pt idx="10">
                  <c:v>656.1590577180541</c:v>
                </c:pt>
                <c:pt idx="11">
                  <c:v>643.9617890085265</c:v>
                </c:pt>
                <c:pt idx="12">
                  <c:v>631.9688767795578</c:v>
                </c:pt>
                <c:pt idx="13">
                  <c:v>619.9793458475287</c:v>
                </c:pt>
                <c:pt idx="14">
                  <c:v>608.1747390128912</c:v>
                </c:pt>
                <c:pt idx="15">
                  <c:v>596.4575582036523</c:v>
                </c:pt>
                <c:pt idx="16">
                  <c:v>584.8207311737297</c:v>
                </c:pt>
                <c:pt idx="17">
                  <c:v>573.2509701653144</c:v>
                </c:pt>
                <c:pt idx="18">
                  <c:v>561.9504246558954</c:v>
                </c:pt>
                <c:pt idx="19">
                  <c:v>550.7165181005403</c:v>
                </c:pt>
                <c:pt idx="20">
                  <c:v>539.4542338190731</c:v>
                </c:pt>
                <c:pt idx="21">
                  <c:v>528.5016849879739</c:v>
                </c:pt>
                <c:pt idx="22">
                  <c:v>517.5332695567577</c:v>
                </c:pt>
                <c:pt idx="23">
                  <c:v>506.7412804241358</c:v>
                </c:pt>
                <c:pt idx="24">
                  <c:v>496.1005386091474</c:v>
                </c:pt>
                <c:pt idx="25">
                  <c:v>485.4723865907054</c:v>
                </c:pt>
                <c:pt idx="26">
                  <c:v>475.0410544255337</c:v>
                </c:pt>
                <c:pt idx="27">
                  <c:v>464.6836885576286</c:v>
                </c:pt>
                <c:pt idx="28">
                  <c:v>454.5118690266809</c:v>
                </c:pt>
                <c:pt idx="29">
                  <c:v>444.4148236643014</c:v>
                </c:pt>
                <c:pt idx="30">
                  <c:v>434.4909027768681</c:v>
                </c:pt>
                <c:pt idx="31">
                  <c:v>424.6236492276566</c:v>
                </c:pt>
                <c:pt idx="32">
                  <c:v>414.8513561404961</c:v>
                </c:pt>
                <c:pt idx="33">
                  <c:v>405.150438969069</c:v>
                </c:pt>
                <c:pt idx="34">
                  <c:v>395.7268367582074</c:v>
                </c:pt>
                <c:pt idx="35">
                  <c:v>386.3019902985707</c:v>
                </c:pt>
                <c:pt idx="36">
                  <c:v>377.0427973281548</c:v>
                </c:pt>
                <c:pt idx="37">
                  <c:v>367.861511416575</c:v>
                </c:pt>
                <c:pt idx="38">
                  <c:v>358.786873116529</c:v>
                </c:pt>
                <c:pt idx="39">
                  <c:v>349.804384226094</c:v>
                </c:pt>
                <c:pt idx="40">
                  <c:v>340.9737321455177</c:v>
                </c:pt>
                <c:pt idx="41">
                  <c:v>332.2769589363816</c:v>
                </c:pt>
                <c:pt idx="42">
                  <c:v>323.765132395265</c:v>
                </c:pt>
                <c:pt idx="43">
                  <c:v>315.2422360375476</c:v>
                </c:pt>
                <c:pt idx="44">
                  <c:v>306.9522370241666</c:v>
                </c:pt>
                <c:pt idx="45">
                  <c:v>298.6552283320361</c:v>
                </c:pt>
                <c:pt idx="46">
                  <c:v>290.5963435939866</c:v>
                </c:pt>
                <c:pt idx="47">
                  <c:v>282.5739843965493</c:v>
                </c:pt>
                <c:pt idx="48">
                  <c:v>274.7320426545557</c:v>
                </c:pt>
                <c:pt idx="49">
                  <c:v>267.0051746471509</c:v>
                </c:pt>
                <c:pt idx="50">
                  <c:v>259.4417059430561</c:v>
                </c:pt>
                <c:pt idx="51">
                  <c:v>251.9028025680909</c:v>
                </c:pt>
                <c:pt idx="52">
                  <c:v>244.5663725091254</c:v>
                </c:pt>
                <c:pt idx="53">
                  <c:v>237.3374253249694</c:v>
                </c:pt>
                <c:pt idx="54">
                  <c:v>230.2195915215998</c:v>
                </c:pt>
                <c:pt idx="55">
                  <c:v>223.2331775272469</c:v>
                </c:pt>
                <c:pt idx="56">
                  <c:v>216.405870665496</c:v>
                </c:pt>
                <c:pt idx="57">
                  <c:v>209.6465586779832</c:v>
                </c:pt>
                <c:pt idx="58">
                  <c:v>203.0378538503537</c:v>
                </c:pt>
                <c:pt idx="59">
                  <c:v>196.5694880852134</c:v>
                </c:pt>
                <c:pt idx="60">
                  <c:v>190.1916065263504</c:v>
                </c:pt>
                <c:pt idx="61">
                  <c:v>183.9445481057883</c:v>
                </c:pt>
                <c:pt idx="62">
                  <c:v>177.782640175541</c:v>
                </c:pt>
                <c:pt idx="63">
                  <c:v>171.7796830119205</c:v>
                </c:pt>
                <c:pt idx="64">
                  <c:v>165.8477441656414</c:v>
                </c:pt>
                <c:pt idx="65">
                  <c:v>160.0577784584038</c:v>
                </c:pt>
                <c:pt idx="66">
                  <c:v>154.3638190145757</c:v>
                </c:pt>
                <c:pt idx="67">
                  <c:v>148.7668624789076</c:v>
                </c:pt>
                <c:pt idx="68">
                  <c:v>143.3067761155035</c:v>
                </c:pt>
                <c:pt idx="69">
                  <c:v>137.9286042959902</c:v>
                </c:pt>
                <c:pt idx="70">
                  <c:v>132.672648600048</c:v>
                </c:pt>
                <c:pt idx="71">
                  <c:v>127.4890312281896</c:v>
                </c:pt>
                <c:pt idx="72">
                  <c:v>122.441341204245</c:v>
                </c:pt>
                <c:pt idx="73">
                  <c:v>117.4836351288595</c:v>
                </c:pt>
                <c:pt idx="74">
                  <c:v>112.6309896203384</c:v>
                </c:pt>
                <c:pt idx="75">
                  <c:v>107.8814747469369</c:v>
                </c:pt>
                <c:pt idx="76">
                  <c:v>103.213922531786</c:v>
                </c:pt>
                <c:pt idx="77">
                  <c:v>98.66503453521364</c:v>
                </c:pt>
                <c:pt idx="78">
                  <c:v>94.24683202023516</c:v>
                </c:pt>
                <c:pt idx="79">
                  <c:v>89.89536697775657</c:v>
                </c:pt>
                <c:pt idx="80">
                  <c:v>85.67205790696062</c:v>
                </c:pt>
                <c:pt idx="81">
                  <c:v>81.52560273090057</c:v>
                </c:pt>
                <c:pt idx="82">
                  <c:v>77.49496831905162</c:v>
                </c:pt>
                <c:pt idx="83">
                  <c:v>73.57394335469507</c:v>
                </c:pt>
                <c:pt idx="84">
                  <c:v>69.7316698648865</c:v>
                </c:pt>
                <c:pt idx="85">
                  <c:v>66.00408195081582</c:v>
                </c:pt>
                <c:pt idx="86">
                  <c:v>62.3883908534026</c:v>
                </c:pt>
                <c:pt idx="87">
                  <c:v>58.85925026776931</c:v>
                </c:pt>
                <c:pt idx="88">
                  <c:v>55.41930882102133</c:v>
                </c:pt>
                <c:pt idx="89">
                  <c:v>52.09686202708144</c:v>
                </c:pt>
                <c:pt idx="90">
                  <c:v>48.86436427642366</c:v>
                </c:pt>
                <c:pt idx="91">
                  <c:v>45.7331035739935</c:v>
                </c:pt>
                <c:pt idx="92">
                  <c:v>42.70698515061486</c:v>
                </c:pt>
                <c:pt idx="93">
                  <c:v>39.77951520808529</c:v>
                </c:pt>
                <c:pt idx="94">
                  <c:v>36.94631296138323</c:v>
                </c:pt>
                <c:pt idx="95">
                  <c:v>34.2134413680451</c:v>
                </c:pt>
                <c:pt idx="96">
                  <c:v>31.58961820852346</c:v>
                </c:pt>
                <c:pt idx="97">
                  <c:v>29.05767867080249</c:v>
                </c:pt>
                <c:pt idx="98">
                  <c:v>26.63212964382365</c:v>
                </c:pt>
                <c:pt idx="99">
                  <c:v>24.30752595574631</c:v>
                </c:pt>
                <c:pt idx="100">
                  <c:v>22.08658827738509</c:v>
                </c:pt>
                <c:pt idx="101">
                  <c:v>19.96874175878293</c:v>
                </c:pt>
                <c:pt idx="102">
                  <c:v>17.95221317895994</c:v>
                </c:pt>
                <c:pt idx="103">
                  <c:v>16.04407603430445</c:v>
                </c:pt>
                <c:pt idx="104">
                  <c:v>14.23502600121355</c:v>
                </c:pt>
                <c:pt idx="105">
                  <c:v>12.53360822369723</c:v>
                </c:pt>
                <c:pt idx="106">
                  <c:v>10.93963280952994</c:v>
                </c:pt>
                <c:pt idx="107">
                  <c:v>9.447584090059536</c:v>
                </c:pt>
                <c:pt idx="108">
                  <c:v>8.064086740563653</c:v>
                </c:pt>
                <c:pt idx="109">
                  <c:v>6.787888064132858</c:v>
                </c:pt>
                <c:pt idx="110">
                  <c:v>5.619450566779051</c:v>
                </c:pt>
                <c:pt idx="111">
                  <c:v>4.559110610411153</c:v>
                </c:pt>
                <c:pt idx="112">
                  <c:v>3.607765908020156</c:v>
                </c:pt>
                <c:pt idx="113">
                  <c:v>2.766896929204449</c:v>
                </c:pt>
                <c:pt idx="114">
                  <c:v>2.035545166285374</c:v>
                </c:pt>
                <c:pt idx="115">
                  <c:v>1.415586196131699</c:v>
                </c:pt>
                <c:pt idx="116">
                  <c:v>0.9071106640458311</c:v>
                </c:pt>
                <c:pt idx="117">
                  <c:v>0.5109547349820787</c:v>
                </c:pt>
                <c:pt idx="118">
                  <c:v>0.2273637608032004</c:v>
                </c:pt>
                <c:pt idx="119">
                  <c:v>0.05689455496758455</c:v>
                </c:pt>
                <c:pt idx="120">
                  <c:v>0</c:v>
                </c:pt>
                <c:pt idx="121">
                  <c:v>0.05702167513481982</c:v>
                </c:pt>
                <c:pt idx="122">
                  <c:v>0.2283004535893269</c:v>
                </c:pt>
                <c:pt idx="123">
                  <c:v>0.514106615088167</c:v>
                </c:pt>
                <c:pt idx="124">
                  <c:v>0.9146903931869019</c:v>
                </c:pt>
                <c:pt idx="125">
                  <c:v>1.430274513013501</c:v>
                </c:pt>
                <c:pt idx="126">
                  <c:v>2.061512368656622</c:v>
                </c:pt>
                <c:pt idx="127">
                  <c:v>2.807416251218456</c:v>
                </c:pt>
                <c:pt idx="128">
                  <c:v>3.669379193655914</c:v>
                </c:pt>
                <c:pt idx="129">
                  <c:v>4.646635535264068</c:v>
                </c:pt>
                <c:pt idx="130">
                  <c:v>5.740716330466967</c:v>
                </c:pt>
                <c:pt idx="131">
                  <c:v>6.950138438984141</c:v>
                </c:pt>
                <c:pt idx="132">
                  <c:v>8.27501184605535</c:v>
                </c:pt>
                <c:pt idx="133">
                  <c:v>9.715671781874335</c:v>
                </c:pt>
                <c:pt idx="134">
                  <c:v>11.26984820293728</c:v>
                </c:pt>
                <c:pt idx="135">
                  <c:v>12.94326558682951</c:v>
                </c:pt>
                <c:pt idx="136">
                  <c:v>14.72908633646693</c:v>
                </c:pt>
                <c:pt idx="137">
                  <c:v>16.63105208369234</c:v>
                </c:pt>
                <c:pt idx="138">
                  <c:v>18.64440981320877</c:v>
                </c:pt>
                <c:pt idx="139">
                  <c:v>20.77201020892971</c:v>
                </c:pt>
                <c:pt idx="140">
                  <c:v>23.01695223730712</c:v>
                </c:pt>
                <c:pt idx="141">
                  <c:v>25.37361639427581</c:v>
                </c:pt>
                <c:pt idx="142">
                  <c:v>27.83724603321389</c:v>
                </c:pt>
                <c:pt idx="143">
                  <c:v>30.41652299280759</c:v>
                </c:pt>
                <c:pt idx="144">
                  <c:v>33.10728537376599</c:v>
                </c:pt>
                <c:pt idx="145">
                  <c:v>35.90143933155559</c:v>
                </c:pt>
                <c:pt idx="146">
                  <c:v>38.8099451014823</c:v>
                </c:pt>
                <c:pt idx="147">
                  <c:v>41.8326742582849</c:v>
                </c:pt>
                <c:pt idx="148">
                  <c:v>44.95499027273218</c:v>
                </c:pt>
                <c:pt idx="149">
                  <c:v>48.18443695990391</c:v>
                </c:pt>
                <c:pt idx="150">
                  <c:v>51.52865851919159</c:v>
                </c:pt>
                <c:pt idx="151">
                  <c:v>54.97329330096181</c:v>
                </c:pt>
                <c:pt idx="152">
                  <c:v>58.51848213395351</c:v>
                </c:pt>
                <c:pt idx="153">
                  <c:v>62.16654386413757</c:v>
                </c:pt>
                <c:pt idx="154">
                  <c:v>65.92256726471896</c:v>
                </c:pt>
                <c:pt idx="155">
                  <c:v>69.77300532326808</c:v>
                </c:pt>
                <c:pt idx="156">
                  <c:v>73.72735298059524</c:v>
                </c:pt>
                <c:pt idx="157">
                  <c:v>77.78752013372468</c:v>
                </c:pt>
                <c:pt idx="158">
                  <c:v>81.93419926732167</c:v>
                </c:pt>
                <c:pt idx="159">
                  <c:v>86.18485073942611</c:v>
                </c:pt>
                <c:pt idx="160">
                  <c:v>90.5372312700456</c:v>
                </c:pt>
                <c:pt idx="161">
                  <c:v>94.98667058567844</c:v>
                </c:pt>
                <c:pt idx="162">
                  <c:v>99.53569876684378</c:v>
                </c:pt>
                <c:pt idx="163">
                  <c:v>104.1778935425991</c:v>
                </c:pt>
                <c:pt idx="164">
                  <c:v>108.9147919047009</c:v>
                </c:pt>
                <c:pt idx="165">
                  <c:v>113.7555991389108</c:v>
                </c:pt>
                <c:pt idx="166">
                  <c:v>118.6905831338809</c:v>
                </c:pt>
                <c:pt idx="167">
                  <c:v>123.7230021966188</c:v>
                </c:pt>
                <c:pt idx="168">
                  <c:v>128.8301791596587</c:v>
                </c:pt>
                <c:pt idx="169">
                  <c:v>134.0733094570696</c:v>
                </c:pt>
                <c:pt idx="170">
                  <c:v>139.3753629149178</c:v>
                </c:pt>
                <c:pt idx="171">
                  <c:v>144.8121949182441</c:v>
                </c:pt>
                <c:pt idx="172">
                  <c:v>150.3095364217443</c:v>
                </c:pt>
                <c:pt idx="173">
                  <c:v>155.9015622974002</c:v>
                </c:pt>
                <c:pt idx="174">
                  <c:v>161.6360024779224</c:v>
                </c:pt>
                <c:pt idx="175">
                  <c:v>167.4245509584489</c:v>
                </c:pt>
                <c:pt idx="176">
                  <c:v>173.3320338147805</c:v>
                </c:pt>
                <c:pt idx="177">
                  <c:v>179.2976476317326</c:v>
                </c:pt>
                <c:pt idx="178">
                  <c:v>185.3992229389696</c:v>
                </c:pt>
                <c:pt idx="179">
                  <c:v>191.5873111045748</c:v>
                </c:pt>
                <c:pt idx="180">
                  <c:v>197.8444066180364</c:v>
                </c:pt>
                <c:pt idx="181">
                  <c:v>204.2220877635737</c:v>
                </c:pt>
                <c:pt idx="182">
                  <c:v>210.6626106770564</c:v>
                </c:pt>
                <c:pt idx="183">
                  <c:v>217.2449366579949</c:v>
                </c:pt>
                <c:pt idx="184">
                  <c:v>223.8672301372244</c:v>
                </c:pt>
                <c:pt idx="185">
                  <c:v>230.5873032314194</c:v>
                </c:pt>
                <c:pt idx="186">
                  <c:v>237.4217387965728</c:v>
                </c:pt>
                <c:pt idx="187">
                  <c:v>244.3514187144501</c:v>
                </c:pt>
                <c:pt idx="188">
                  <c:v>251.3420990049126</c:v>
                </c:pt>
                <c:pt idx="189">
                  <c:v>258.4598372999262</c:v>
                </c:pt>
                <c:pt idx="190">
                  <c:v>265.710530485756</c:v>
                </c:pt>
                <c:pt idx="191">
                  <c:v>273.0471332501511</c:v>
                </c:pt>
                <c:pt idx="192">
                  <c:v>280.4663095691994</c:v>
                </c:pt>
                <c:pt idx="193">
                  <c:v>287.9547472645318</c:v>
                </c:pt>
                <c:pt idx="194">
                  <c:v>295.6021007812524</c:v>
                </c:pt>
                <c:pt idx="195">
                  <c:v>303.3569772511419</c:v>
                </c:pt>
                <c:pt idx="196">
                  <c:v>311.227111903414</c:v>
                </c:pt>
                <c:pt idx="197">
                  <c:v>319.1271306211493</c:v>
                </c:pt>
                <c:pt idx="198">
                  <c:v>327.2514560487016</c:v>
                </c:pt>
                <c:pt idx="199">
                  <c:v>335.4781538407988</c:v>
                </c:pt>
                <c:pt idx="200">
                  <c:v>343.7900825797551</c:v>
                </c:pt>
                <c:pt idx="201">
                  <c:v>352.2527632520905</c:v>
                </c:pt>
                <c:pt idx="202">
                  <c:v>360.904640658111</c:v>
                </c:pt>
                <c:pt idx="203">
                  <c:v>369.6227210228972</c:v>
                </c:pt>
                <c:pt idx="204">
                  <c:v>378.4314653943748</c:v>
                </c:pt>
                <c:pt idx="205">
                  <c:v>387.4132342631783</c:v>
                </c:pt>
                <c:pt idx="206">
                  <c:v>396.5272580769488</c:v>
                </c:pt>
                <c:pt idx="207">
                  <c:v>405.8072909872044</c:v>
                </c:pt>
                <c:pt idx="208">
                  <c:v>415.1986938497139</c:v>
                </c:pt>
                <c:pt idx="209">
                  <c:v>424.7776678132541</c:v>
                </c:pt>
                <c:pt idx="210">
                  <c:v>434.42657627468</c:v>
                </c:pt>
                <c:pt idx="211">
                  <c:v>444.1378274406361</c:v>
                </c:pt>
                <c:pt idx="212">
                  <c:v>454.0917047424227</c:v>
                </c:pt>
                <c:pt idx="213">
                  <c:v>464.1870232895635</c:v>
                </c:pt>
                <c:pt idx="214">
                  <c:v>474.3516120721179</c:v>
                </c:pt>
                <c:pt idx="215">
                  <c:v>484.6790247723584</c:v>
                </c:pt>
                <c:pt idx="216">
                  <c:v>495.0118745613472</c:v>
                </c:pt>
                <c:pt idx="217">
                  <c:v>505.6165820467304</c:v>
                </c:pt>
                <c:pt idx="218">
                  <c:v>516.334282965674</c:v>
                </c:pt>
                <c:pt idx="219">
                  <c:v>527.1386910328456</c:v>
                </c:pt>
                <c:pt idx="220">
                  <c:v>538.1192039441048</c:v>
                </c:pt>
                <c:pt idx="221">
                  <c:v>549.1247268222778</c:v>
                </c:pt>
                <c:pt idx="222">
                  <c:v>560.3851184207688</c:v>
                </c:pt>
                <c:pt idx="223">
                  <c:v>571.6658066701002</c:v>
                </c:pt>
                <c:pt idx="224">
                  <c:v>583.1701646694619</c:v>
                </c:pt>
                <c:pt idx="225">
                  <c:v>594.8756355324913</c:v>
                </c:pt>
                <c:pt idx="226">
                  <c:v>606.5954497657258</c:v>
                </c:pt>
                <c:pt idx="227">
                  <c:v>618.5851068734391</c:v>
                </c:pt>
                <c:pt idx="228">
                  <c:v>630.7011703234184</c:v>
                </c:pt>
                <c:pt idx="229">
                  <c:v>642.9938757098043</c:v>
                </c:pt>
                <c:pt idx="230">
                  <c:v>655.3261139589122</c:v>
                </c:pt>
                <c:pt idx="231">
                  <c:v>667.9124009220122</c:v>
                </c:pt>
                <c:pt idx="232">
                  <c:v>680.5752218534581</c:v>
                </c:pt>
                <c:pt idx="233">
                  <c:v>693.3866280236325</c:v>
                </c:pt>
                <c:pt idx="234">
                  <c:v>706.2878425457966</c:v>
                </c:pt>
                <c:pt idx="235">
                  <c:v>719.5544238668317</c:v>
                </c:pt>
                <c:pt idx="236">
                  <c:v>732.6943988026105</c:v>
                </c:pt>
                <c:pt idx="237">
                  <c:v>746.1290852870643</c:v>
                </c:pt>
                <c:pt idx="238">
                  <c:v>759.6181217530775</c:v>
                </c:pt>
                <c:pt idx="239">
                  <c:v>773.4653641996665</c:v>
                </c:pt>
                <c:pt idx="240">
                  <c:v>780.3454387682359</c:v>
                </c:pt>
              </c:numCache>
            </c:numRef>
          </c:yVal>
        </c:ser>
        <c:ser>
          <c:idx val="1"/>
          <c:order val="1"/>
          <c:tx>
            <c:v>Corrected depth error</c:v>
          </c:tx>
          <c:spPr>
            <a:ln xmlns:a="http://schemas.openxmlformats.org/drawingml/2006/main" w="18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Doppler_Depth_Data!$O$4:$O$244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1"/>
        <c:axPos val="l"/>
        <c:numFmt formatCode="0.000" sourceLinked="1"/>
        <c:majorTickMark val="none"/>
        <c:minorTickMark val="none"/>
        <c:tickLblPos val="nextTo"/>
        <c:crossAx val="48650112"/>
        <c:crosses val="autoZero"/>
        <c:crossBetween val="midCat"/>
      </c:valAx>
      <c:valAx>
        <c:axId val="48650112"/>
        <c:scaling>
          <c:orientation val="minMax"/>
        </c:scaling>
        <c:delete val="1"/>
        <c:axPos val="b"/>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Corrected Layer Depths From Doppler Angle</a:t>
            </a:r>
          </a:p>
        </c:rich>
      </c:tx>
      <c:overlay val="0"/>
    </c:title>
    <c:autoTitleDeleted val="0"/>
    <c:plotArea>
      <c:layout/>
      <c:scatterChart>
        <c:scatterStyle val="lineMarker"/>
        <c:varyColors val="1"/>
        <c:ser>
          <c:idx val="0"/>
          <c:order val="0"/>
          <c:tx>
            <c:v>Corrected upper-layer depth</c:v>
          </c:tx>
          <c:spPr>
            <a:ln xmlns:a="http://schemas.openxmlformats.org/drawingml/2006/main" w="16000">
              <a:solidFill>
                <a:srgbClr val="70AD47"/>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Doppler_Depth_Data!$S$4:$S$244</c:f>
              <c:numCache>
                <c:formatCode>0.0</c:formatCode>
                <c:ptCount val="241"/>
                <c:pt idx="0">
                  <c:v>946.6774955196128</c:v>
                </c:pt>
                <c:pt idx="1">
                  <c:v>946.3905767770618</c:v>
                </c:pt>
                <c:pt idx="2">
                  <c:v>948.3058623908512</c:v>
                </c:pt>
                <c:pt idx="3">
                  <c:v>952.7851094276065</c:v>
                </c:pt>
                <c:pt idx="4">
                  <c:v>957.6515045223967</c:v>
                </c:pt>
                <c:pt idx="5">
                  <c:v>965.6506783941551</c:v>
                </c:pt>
                <c:pt idx="6">
                  <c:v>974.6127644014156</c:v>
                </c:pt>
                <c:pt idx="7">
                  <c:v>985.5077447582473</c:v>
                </c:pt>
                <c:pt idx="8">
                  <c:v>998.9036394936348</c:v>
                </c:pt>
                <c:pt idx="9">
                  <c:v>1012.540930285338</c:v>
                </c:pt>
                <c:pt idx="10">
                  <c:v>1028.463232159448</c:v>
                </c:pt>
                <c:pt idx="11">
                  <c:v>1045.751546257337</c:v>
                </c:pt>
                <c:pt idx="12">
                  <c:v>1063.477121982337</c:v>
                </c:pt>
                <c:pt idx="13">
                  <c:v>1082.777467418868</c:v>
                </c:pt>
                <c:pt idx="14">
                  <c:v>1102.254523465439</c:v>
                </c:pt>
                <c:pt idx="15">
                  <c:v>1122.35817003445</c:v>
                </c:pt>
                <c:pt idx="16">
                  <c:v>1142.938129446044</c:v>
                </c:pt>
                <c:pt idx="17">
                  <c:v>1163.890122985942</c:v>
                </c:pt>
                <c:pt idx="18">
                  <c:v>1183.515733819102</c:v>
                </c:pt>
                <c:pt idx="19">
                  <c:v>1203.068158205107</c:v>
                </c:pt>
                <c:pt idx="20">
                  <c:v>1223.096249125984</c:v>
                </c:pt>
                <c:pt idx="21">
                  <c:v>1240.79499991252</c:v>
                </c:pt>
                <c:pt idx="22">
                  <c:v>1258.509216033515</c:v>
                </c:pt>
                <c:pt idx="23">
                  <c:v>1274.5448931869</c:v>
                </c:pt>
                <c:pt idx="24">
                  <c:v>1288.924771789829</c:v>
                </c:pt>
                <c:pt idx="25">
                  <c:v>1302.684157443885</c:v>
                </c:pt>
                <c:pt idx="26">
                  <c:v>1314.142185008866</c:v>
                </c:pt>
                <c:pt idx="27">
                  <c:v>1324.262303104513</c:v>
                </c:pt>
                <c:pt idx="28">
                  <c:v>1331.972142316038</c:v>
                </c:pt>
                <c:pt idx="29">
                  <c:v>1338.223691649787</c:v>
                </c:pt>
                <c:pt idx="30">
                  <c:v>1342.07490025327</c:v>
                </c:pt>
                <c:pt idx="31">
                  <c:v>1344.637183455526</c:v>
                </c:pt>
                <c:pt idx="32">
                  <c:v>1345.592550275905</c:v>
                </c:pt>
                <c:pt idx="33">
                  <c:v>1345.251179498461</c:v>
                </c:pt>
                <c:pt idx="34">
                  <c:v>1341.54689922669</c:v>
                </c:pt>
                <c:pt idx="35">
                  <c:v>1337.46583586037</c:v>
                </c:pt>
                <c:pt idx="36">
                  <c:v>1331.364554049488</c:v>
                </c:pt>
                <c:pt idx="37">
                  <c:v>1324.331117212503</c:v>
                </c:pt>
                <c:pt idx="38">
                  <c:v>1316.209535326007</c:v>
                </c:pt>
                <c:pt idx="39">
                  <c:v>1307.340255030146</c:v>
                </c:pt>
                <c:pt idx="40">
                  <c:v>1297.183461382967</c:v>
                </c:pt>
                <c:pt idx="41">
                  <c:v>1286.106476953504</c:v>
                </c:pt>
                <c:pt idx="42">
                  <c:v>1273.611708739217</c:v>
                </c:pt>
                <c:pt idx="43">
                  <c:v>1262.399406314311</c:v>
                </c:pt>
                <c:pt idx="44">
                  <c:v>1249.463625801307</c:v>
                </c:pt>
                <c:pt idx="45">
                  <c:v>1238.195418555342</c:v>
                </c:pt>
                <c:pt idx="46">
                  <c:v>1225.380825883585</c:v>
                </c:pt>
                <c:pt idx="47">
                  <c:v>1214.000194972632</c:v>
                </c:pt>
                <c:pt idx="48">
                  <c:v>1202.107721447054</c:v>
                </c:pt>
                <c:pt idx="49">
                  <c:v>1190.764348552746</c:v>
                </c:pt>
                <c:pt idx="50">
                  <c:v>1179.301507446323</c:v>
                </c:pt>
                <c:pt idx="51">
                  <c:v>1170.035512438728</c:v>
                </c:pt>
                <c:pt idx="52">
                  <c:v>1160.139769010444</c:v>
                </c:pt>
                <c:pt idx="53">
                  <c:v>1151.20023620454</c:v>
                </c:pt>
                <c:pt idx="54">
                  <c:v>1143.193351950906</c:v>
                </c:pt>
                <c:pt idx="55">
                  <c:v>1135.757836125959</c:v>
                </c:pt>
                <c:pt idx="56">
                  <c:v>1128.323675025293</c:v>
                </c:pt>
                <c:pt idx="57">
                  <c:v>1122.592631692261</c:v>
                </c:pt>
                <c:pt idx="58">
                  <c:v>1116.912538362845</c:v>
                </c:pt>
                <c:pt idx="59">
                  <c:v>1111.368486255422</c:v>
                </c:pt>
                <c:pt idx="60">
                  <c:v>1106.922435933537</c:v>
                </c:pt>
                <c:pt idx="61">
                  <c:v>1102.622100101891</c:v>
                </c:pt>
                <c:pt idx="62">
                  <c:v>1099.402639014062</c:v>
                </c:pt>
                <c:pt idx="63">
                  <c:v>1095.432597124873</c:v>
                </c:pt>
                <c:pt idx="64">
                  <c:v>1092.700206978161</c:v>
                </c:pt>
                <c:pt idx="65">
                  <c:v>1089.349444497375</c:v>
                </c:pt>
                <c:pt idx="66">
                  <c:v>1086.429301032079</c:v>
                </c:pt>
                <c:pt idx="67">
                  <c:v>1083.847759485248</c:v>
                </c:pt>
                <c:pt idx="68">
                  <c:v>1080.37820905989</c:v>
                </c:pt>
                <c:pt idx="69">
                  <c:v>1077.50620610041</c:v>
                </c:pt>
                <c:pt idx="70">
                  <c:v>1073.965899759929</c:v>
                </c:pt>
                <c:pt idx="71">
                  <c:v>1071.277136928105</c:v>
                </c:pt>
                <c:pt idx="72">
                  <c:v>1067.337056991369</c:v>
                </c:pt>
                <c:pt idx="73">
                  <c:v>1063.626439168426</c:v>
                </c:pt>
                <c:pt idx="74">
                  <c:v>1059.625353069985</c:v>
                </c:pt>
                <c:pt idx="75">
                  <c:v>1055.400399716339</c:v>
                </c:pt>
                <c:pt idx="76">
                  <c:v>1051.833816935632</c:v>
                </c:pt>
                <c:pt idx="77">
                  <c:v>1047.500642314963</c:v>
                </c:pt>
                <c:pt idx="78">
                  <c:v>1041.812199192619</c:v>
                </c:pt>
                <c:pt idx="79">
                  <c:v>1037.660789393963</c:v>
                </c:pt>
                <c:pt idx="80">
                  <c:v>1032.309830644872</c:v>
                </c:pt>
                <c:pt idx="81">
                  <c:v>1028.323386141017</c:v>
                </c:pt>
                <c:pt idx="82">
                  <c:v>1023.845810426863</c:v>
                </c:pt>
                <c:pt idx="83">
                  <c:v>1019.211582593577</c:v>
                </c:pt>
                <c:pt idx="84">
                  <c:v>1016.331360482979</c:v>
                </c:pt>
                <c:pt idx="85">
                  <c:v>1013.205282077105</c:v>
                </c:pt>
                <c:pt idx="86">
                  <c:v>1009.979232008099</c:v>
                </c:pt>
                <c:pt idx="87">
                  <c:v>1008.46307687773</c:v>
                </c:pt>
                <c:pt idx="88">
                  <c:v>1008.728927986176</c:v>
                </c:pt>
                <c:pt idx="89">
                  <c:v>1008.697889498834</c:v>
                </c:pt>
                <c:pt idx="90">
                  <c:v>1010.619669548946</c:v>
                </c:pt>
                <c:pt idx="91">
                  <c:v>1013.683909927708</c:v>
                </c:pt>
                <c:pt idx="92">
                  <c:v>1017.547334299876</c:v>
                </c:pt>
                <c:pt idx="93">
                  <c:v>1022.868553759841</c:v>
                </c:pt>
                <c:pt idx="94">
                  <c:v>1030.244218800616</c:v>
                </c:pt>
                <c:pt idx="95">
                  <c:v>1039.108048822282</c:v>
                </c:pt>
                <c:pt idx="96">
                  <c:v>1048.300608621225</c:v>
                </c:pt>
                <c:pt idx="97">
                  <c:v>1060.136003542649</c:v>
                </c:pt>
                <c:pt idx="98">
                  <c:v>1072.596647937675</c:v>
                </c:pt>
                <c:pt idx="99">
                  <c:v>1086.455130379987</c:v>
                </c:pt>
                <c:pt idx="100">
                  <c:v>1101.210818621747</c:v>
                </c:pt>
                <c:pt idx="101">
                  <c:v>1116.89783097047</c:v>
                </c:pt>
                <c:pt idx="102">
                  <c:v>1133.91173388968</c:v>
                </c:pt>
                <c:pt idx="103">
                  <c:v>1150.457902588258</c:v>
                </c:pt>
                <c:pt idx="104">
                  <c:v>1168.969562791454</c:v>
                </c:pt>
                <c:pt idx="105">
                  <c:v>1187.04414275726</c:v>
                </c:pt>
                <c:pt idx="106">
                  <c:v>1204.42982210347</c:v>
                </c:pt>
                <c:pt idx="107">
                  <c:v>1223.407958447489</c:v>
                </c:pt>
                <c:pt idx="108">
                  <c:v>1241.329719513928</c:v>
                </c:pt>
                <c:pt idx="109">
                  <c:v>1258.725111702792</c:v>
                </c:pt>
                <c:pt idx="110">
                  <c:v>1275.477720117875</c:v>
                </c:pt>
                <c:pt idx="111">
                  <c:v>1291.696220755583</c:v>
                </c:pt>
                <c:pt idx="112">
                  <c:v>1307.120446645756</c:v>
                </c:pt>
                <c:pt idx="113">
                  <c:v>1320.380542487096</c:v>
                </c:pt>
                <c:pt idx="114">
                  <c:v>1333.706067273617</c:v>
                </c:pt>
                <c:pt idx="115">
                  <c:v>1344.919663307315</c:v>
                </c:pt>
                <c:pt idx="116">
                  <c:v>1355.027201703296</c:v>
                </c:pt>
                <c:pt idx="117">
                  <c:v>1362.551476601776</c:v>
                </c:pt>
                <c:pt idx="118">
                  <c:v>1368.786196916389</c:v>
                </c:pt>
                <c:pt idx="119">
                  <c:v>1374.006317741823</c:v>
                </c:pt>
                <c:pt idx="120">
                  <c:v>1376.153446009307</c:v>
                </c:pt>
                <c:pt idx="121">
                  <c:v>1376.133881324049</c:v>
                </c:pt>
                <c:pt idx="122">
                  <c:v>1374.613828232485</c:v>
                </c:pt>
                <c:pt idx="123">
                  <c:v>1371.303092215229</c:v>
                </c:pt>
                <c:pt idx="124">
                  <c:v>1366.016806901526</c:v>
                </c:pt>
                <c:pt idx="125">
                  <c:v>1358.806476279567</c:v>
                </c:pt>
                <c:pt idx="126">
                  <c:v>1348.749629857048</c:v>
                </c:pt>
                <c:pt idx="127">
                  <c:v>1338.655516295012</c:v>
                </c:pt>
                <c:pt idx="128">
                  <c:v>1326.017674948426</c:v>
                </c:pt>
                <c:pt idx="129">
                  <c:v>1312.41964346656</c:v>
                </c:pt>
                <c:pt idx="130">
                  <c:v>1296.635902978405</c:v>
                </c:pt>
                <c:pt idx="131">
                  <c:v>1280.346613024058</c:v>
                </c:pt>
                <c:pt idx="132">
                  <c:v>1263.463693042112</c:v>
                </c:pt>
                <c:pt idx="133">
                  <c:v>1245.91098022352</c:v>
                </c:pt>
                <c:pt idx="134">
                  <c:v>1228.797663151835</c:v>
                </c:pt>
                <c:pt idx="135">
                  <c:v>1209.918367142816</c:v>
                </c:pt>
                <c:pt idx="136">
                  <c:v>1192.092554386639</c:v>
                </c:pt>
                <c:pt idx="137">
                  <c:v>1174.068371507743</c:v>
                </c:pt>
                <c:pt idx="138">
                  <c:v>1157.250102963205</c:v>
                </c:pt>
                <c:pt idx="139">
                  <c:v>1140.852277425719</c:v>
                </c:pt>
                <c:pt idx="140">
                  <c:v>1124.365089845372</c:v>
                </c:pt>
                <c:pt idx="141">
                  <c:v>1109.082219142729</c:v>
                </c:pt>
                <c:pt idx="142">
                  <c:v>1095.739304862707</c:v>
                </c:pt>
                <c:pt idx="143">
                  <c:v>1082.80388950115</c:v>
                </c:pt>
                <c:pt idx="144">
                  <c:v>1071.008546711764</c:v>
                </c:pt>
                <c:pt idx="145">
                  <c:v>1061.369500041206</c:v>
                </c:pt>
                <c:pt idx="146">
                  <c:v>1052.342819287494</c:v>
                </c:pt>
                <c:pt idx="147">
                  <c:v>1044.017036841685</c:v>
                </c:pt>
                <c:pt idx="148">
                  <c:v>1037.920881642892</c:v>
                </c:pt>
                <c:pt idx="149">
                  <c:v>1033.052429834453</c:v>
                </c:pt>
                <c:pt idx="150">
                  <c:v>1028.624725967875</c:v>
                </c:pt>
                <c:pt idx="151">
                  <c:v>1025.845301196982</c:v>
                </c:pt>
                <c:pt idx="152">
                  <c:v>1024.474859245458</c:v>
                </c:pt>
                <c:pt idx="153">
                  <c:v>1024.13532837942</c:v>
                </c:pt>
                <c:pt idx="154">
                  <c:v>1024.311229661992</c:v>
                </c:pt>
                <c:pt idx="155">
                  <c:v>1025.783127769475</c:v>
                </c:pt>
                <c:pt idx="156">
                  <c:v>1027.72089848862</c:v>
                </c:pt>
                <c:pt idx="157">
                  <c:v>1029.881906526707</c:v>
                </c:pt>
                <c:pt idx="158">
                  <c:v>1033.220590333189</c:v>
                </c:pt>
                <c:pt idx="159">
                  <c:v>1036.55865781824</c:v>
                </c:pt>
                <c:pt idx="160">
                  <c:v>1039.908092044315</c:v>
                </c:pt>
                <c:pt idx="161">
                  <c:v>1043.383211494585</c:v>
                </c:pt>
                <c:pt idx="162">
                  <c:v>1046.745622613821</c:v>
                </c:pt>
                <c:pt idx="163">
                  <c:v>1050.181172474133</c:v>
                </c:pt>
                <c:pt idx="164">
                  <c:v>1053.516525139124</c:v>
                </c:pt>
                <c:pt idx="165">
                  <c:v>1056.311512744275</c:v>
                </c:pt>
                <c:pt idx="166">
                  <c:v>1058.919609332086</c:v>
                </c:pt>
                <c:pt idx="167">
                  <c:v>1061.180949185305</c:v>
                </c:pt>
                <c:pt idx="168">
                  <c:v>1063.868655064573</c:v>
                </c:pt>
                <c:pt idx="169">
                  <c:v>1064.878055636457</c:v>
                </c:pt>
                <c:pt idx="170">
                  <c:v>1066.837299977941</c:v>
                </c:pt>
                <c:pt idx="171">
                  <c:v>1067.333667305905</c:v>
                </c:pt>
                <c:pt idx="172">
                  <c:v>1068.738066355703</c:v>
                </c:pt>
                <c:pt idx="173">
                  <c:v>1070.034922720063</c:v>
                </c:pt>
                <c:pt idx="174">
                  <c:v>1070.008330851856</c:v>
                </c:pt>
                <c:pt idx="175">
                  <c:v>1071.198731357044</c:v>
                </c:pt>
                <c:pt idx="176">
                  <c:v>1071.946416737287</c:v>
                </c:pt>
                <c:pt idx="177">
                  <c:v>1073.896101584677</c:v>
                </c:pt>
                <c:pt idx="178">
                  <c:v>1075.226242663528</c:v>
                </c:pt>
                <c:pt idx="179">
                  <c:v>1077.261979000956</c:v>
                </c:pt>
                <c:pt idx="180">
                  <c:v>1080.464554096856</c:v>
                </c:pt>
                <c:pt idx="181">
                  <c:v>1083.775111198367</c:v>
                </c:pt>
                <c:pt idx="182">
                  <c:v>1088.518556324075</c:v>
                </c:pt>
                <c:pt idx="183">
                  <c:v>1093.135376739154</c:v>
                </c:pt>
                <c:pt idx="184">
                  <c:v>1099.737748011359</c:v>
                </c:pt>
                <c:pt idx="185">
                  <c:v>1107.193440096861</c:v>
                </c:pt>
                <c:pt idx="186">
                  <c:v>1115.240369103333</c:v>
                </c:pt>
                <c:pt idx="187">
                  <c:v>1124.260806505395</c:v>
                </c:pt>
                <c:pt idx="188">
                  <c:v>1134.833405559846</c:v>
                </c:pt>
                <c:pt idx="189">
                  <c:v>1145.791138654501</c:v>
                </c:pt>
                <c:pt idx="190">
                  <c:v>1157.043515138195</c:v>
                </c:pt>
                <c:pt idx="191">
                  <c:v>1169.313395383915</c:v>
                </c:pt>
                <c:pt idx="192">
                  <c:v>1182.555369838259</c:v>
                </c:pt>
                <c:pt idx="193">
                  <c:v>1196.848646741446</c:v>
                </c:pt>
                <c:pt idx="194">
                  <c:v>1210.758674457129</c:v>
                </c:pt>
                <c:pt idx="195">
                  <c:v>1224.945399671171</c:v>
                </c:pt>
                <c:pt idx="196">
                  <c:v>1239.170005899522</c:v>
                </c:pt>
                <c:pt idx="197">
                  <c:v>1254.42449571693</c:v>
                </c:pt>
                <c:pt idx="198">
                  <c:v>1267.967947179111</c:v>
                </c:pt>
                <c:pt idx="199">
                  <c:v>1281.28775159429</c:v>
                </c:pt>
                <c:pt idx="200">
                  <c:v>1294.421019210432</c:v>
                </c:pt>
                <c:pt idx="201">
                  <c:v>1306.397011285016</c:v>
                </c:pt>
                <c:pt idx="202">
                  <c:v>1316.641028358529</c:v>
                </c:pt>
                <c:pt idx="203">
                  <c:v>1326.457247883701</c:v>
                </c:pt>
                <c:pt idx="204">
                  <c:v>1335.384475214123</c:v>
                </c:pt>
                <c:pt idx="205">
                  <c:v>1342.37481084911</c:v>
                </c:pt>
                <c:pt idx="206">
                  <c:v>1347.779232252546</c:v>
                </c:pt>
                <c:pt idx="207">
                  <c:v>1351.152738259161</c:v>
                </c:pt>
                <c:pt idx="208">
                  <c:v>1352.990153932563</c:v>
                </c:pt>
                <c:pt idx="209">
                  <c:v>1352.465762868949</c:v>
                </c:pt>
                <c:pt idx="210">
                  <c:v>1350.708383641247</c:v>
                </c:pt>
                <c:pt idx="211">
                  <c:v>1347.730368138411</c:v>
                </c:pt>
                <c:pt idx="212">
                  <c:v>1341.835927966419</c:v>
                </c:pt>
                <c:pt idx="213">
                  <c:v>1334.032841864179</c:v>
                </c:pt>
                <c:pt idx="214">
                  <c:v>1325.01398554116</c:v>
                </c:pt>
                <c:pt idx="215">
                  <c:v>1314.01400330894</c:v>
                </c:pt>
                <c:pt idx="216">
                  <c:v>1302.475605782275</c:v>
                </c:pt>
                <c:pt idx="217">
                  <c:v>1288.254557011614</c:v>
                </c:pt>
                <c:pt idx="218">
                  <c:v>1272.849076147672</c:v>
                </c:pt>
                <c:pt idx="219">
                  <c:v>1256.616486256238</c:v>
                </c:pt>
                <c:pt idx="220">
                  <c:v>1239.017627904116</c:v>
                </c:pt>
                <c:pt idx="221">
                  <c:v>1221.409705976127</c:v>
                </c:pt>
                <c:pt idx="222">
                  <c:v>1202.234421858763</c:v>
                </c:pt>
                <c:pt idx="223">
                  <c:v>1183.465544078251</c:v>
                </c:pt>
                <c:pt idx="224">
                  <c:v>1163.81486000083</c:v>
                </c:pt>
                <c:pt idx="225">
                  <c:v>1143.695108462293</c:v>
                </c:pt>
                <c:pt idx="226">
                  <c:v>1124.631071823097</c:v>
                </c:pt>
                <c:pt idx="227">
                  <c:v>1105.063874766694</c:v>
                </c:pt>
                <c:pt idx="228">
                  <c:v>1086.197009087915</c:v>
                </c:pt>
                <c:pt idx="229">
                  <c:v>1067.893560205269</c:v>
                </c:pt>
                <c:pt idx="230">
                  <c:v>1051.219654363292</c:v>
                </c:pt>
                <c:pt idx="231">
                  <c:v>1034.965279916319</c:v>
                </c:pt>
                <c:pt idx="232">
                  <c:v>1020.404997192866</c:v>
                </c:pt>
                <c:pt idx="233">
                  <c:v>1007.210705069863</c:v>
                </c:pt>
                <c:pt idx="234">
                  <c:v>995.8379330752527</c:v>
                </c:pt>
                <c:pt idx="235">
                  <c:v>984.7556575269784</c:v>
                </c:pt>
                <c:pt idx="236">
                  <c:v>976.8952337829762</c:v>
                </c:pt>
                <c:pt idx="237">
                  <c:v>969.8528693334896</c:v>
                </c:pt>
                <c:pt idx="238">
                  <c:v>965.0068291446295</c:v>
                </c:pt>
                <c:pt idx="239">
                  <c:v>960.6787098103338</c:v>
                </c:pt>
                <c:pt idx="240">
                  <c:v>959.4501357167395</c:v>
                </c:pt>
              </c:numCache>
            </c:numRef>
          </c:yVal>
        </c:ser>
        <c:ser>
          <c:idx val="1"/>
          <c:order val="1"/>
          <c:tx>
            <c:v>Corrected briny lens depth</c:v>
          </c:tx>
          <c:spPr>
            <a:ln xmlns:a="http://schemas.openxmlformats.org/drawingml/2006/main" w="16000">
              <a:solidFill>
                <a:srgbClr val="4472C4"/>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Doppler_Depth_Data!$R$4:$R$244</c:f>
              <c:numCache>
                <c:formatCode>0.0</c:formatCode>
                <c:ptCount val="241"/>
                <c:pt idx="0">
                  <c:v>5589.043116114486</c:v>
                </c:pt>
                <c:pt idx="1">
                  <c:v>5595.347969399307</c:v>
                </c:pt>
                <c:pt idx="2">
                  <c:v>5600.913069660688</c:v>
                </c:pt>
                <c:pt idx="3">
                  <c:v>5605.728230978823</c:v>
                </c:pt>
                <c:pt idx="4">
                  <c:v>5609.784099285287</c:v>
                </c:pt>
                <c:pt idx="5">
                  <c:v>5613.072139305128</c:v>
                </c:pt>
                <c:pt idx="6">
                  <c:v>5615.584619153291</c:v>
                </c:pt>
                <c:pt idx="7">
                  <c:v>5617.314592830873</c:v>
                </c:pt>
                <c:pt idx="8">
                  <c:v>5618.255880926358</c:v>
                </c:pt>
                <c:pt idx="9">
                  <c:v>5618.403049889946</c:v>
                </c:pt>
                <c:pt idx="10">
                  <c:v>5617.751390315144</c:v>
                </c:pt>
                <c:pt idx="11">
                  <c:v>5616.29689472948</c:v>
                </c:pt>
                <c:pt idx="12">
                  <c:v>5614.036235464313</c:v>
                </c:pt>
                <c:pt idx="13">
                  <c:v>5610.96674324095</c:v>
                </c:pt>
                <c:pt idx="14">
                  <c:v>5607.086387174617</c:v>
                </c:pt>
                <c:pt idx="15">
                  <c:v>5602.393756957392</c:v>
                </c:pt>
                <c:pt idx="16">
                  <c:v>5596.888048033918</c:v>
                </c:pt>
                <c:pt idx="17">
                  <c:v>5590.569050627099</c:v>
                </c:pt>
                <c:pt idx="18">
                  <c:v>5583.43714350268</c:v>
                </c:pt>
                <c:pt idx="19">
                  <c:v>5575.493293378916</c:v>
                </c:pt>
                <c:pt idx="20">
                  <c:v>5566.739060888318</c:v>
                </c:pt>
                <c:pt idx="21">
                  <c:v>5557.17661397957</c:v>
                </c:pt>
                <c:pt idx="22">
                  <c:v>5546.808749607555</c:v>
                </c:pt>
                <c:pt idx="23">
                  <c:v>5535.638924495327</c:v>
                </c:pt>
                <c:pt idx="24">
                  <c:v>5523.671295662431</c:v>
                </c:pt>
                <c:pt idx="25">
                  <c:v>5510.910771297527</c:v>
                </c:pt>
                <c:pt idx="26">
                  <c:v>5497.363072409545</c:v>
                </c:pt>
                <c:pt idx="27">
                  <c:v>5483.034805519655</c:v>
                </c:pt>
                <c:pt idx="28">
                  <c:v>5467.933546457481</c:v>
                </c:pt>
                <c:pt idx="29">
                  <c:v>5452.067935099959</c:v>
                </c:pt>
                <c:pt idx="30">
                  <c:v>5435.447780642542</c:v>
                </c:pt>
                <c:pt idx="31">
                  <c:v>5418.084176723001</c:v>
                </c:pt>
                <c:pt idx="32">
                  <c:v>5399.989625431865</c:v>
                </c:pt>
                <c:pt idx="33">
                  <c:v>5381.178168945557</c:v>
                </c:pt>
                <c:pt idx="34">
                  <c:v>5361.665527214092</c:v>
                </c:pt>
                <c:pt idx="35">
                  <c:v>5341.469239831526</c:v>
                </c:pt>
                <c:pt idx="36">
                  <c:v>5320.608809921434</c:v>
                </c:pt>
                <c:pt idx="37">
                  <c:v>5299.105847589161</c:v>
                </c:pt>
                <c:pt idx="38">
                  <c:v>5276.984210236082</c:v>
                </c:pt>
                <c:pt idx="39">
                  <c:v>5254.270136806459</c:v>
                </c:pt>
                <c:pt idx="40">
                  <c:v>5230.992372853872</c:v>
                </c:pt>
                <c:pt idx="41">
                  <c:v>5207.182283178962</c:v>
                </c:pt>
                <c:pt idx="42">
                  <c:v>5182.873948711797</c:v>
                </c:pt>
                <c:pt idx="43">
                  <c:v>5158.104244296719</c:v>
                </c:pt>
                <c:pt idx="44">
                  <c:v>5132.912894091512</c:v>
                </c:pt>
                <c:pt idx="45">
                  <c:v>5107.342501420047</c:v>
                </c:pt>
                <c:pt idx="46">
                  <c:v>5081.438550121767</c:v>
                </c:pt>
                <c:pt idx="47">
                  <c:v>5055.24937472324</c:v>
                </c:pt>
                <c:pt idx="48">
                  <c:v>5028.826097116103</c:v>
                </c:pt>
                <c:pt idx="49">
                  <c:v>5002.222527859246</c:v>
                </c:pt>
                <c:pt idx="50">
                  <c:v>4975.495030726146</c:v>
                </c:pt>
                <c:pt idx="51">
                  <c:v>4948.70234968401</c:v>
                </c:pt>
                <c:pt idx="52">
                  <c:v>4921.90539811054</c:v>
                </c:pt>
                <c:pt idx="53">
                  <c:v>4895.167010716071</c:v>
                </c:pt>
                <c:pt idx="54">
                  <c:v>4868.551659330447</c:v>
                </c:pt>
                <c:pt idx="55">
                  <c:v>4842.125134421267</c:v>
                </c:pt>
                <c:pt idx="56">
                  <c:v>4815.954194917552</c:v>
                </c:pt>
                <c:pt idx="57">
                  <c:v>4790.106189604217</c:v>
                </c:pt>
                <c:pt idx="58">
                  <c:v>4764.648654011315</c:v>
                </c:pt>
                <c:pt idx="59">
                  <c:v>4739.648887331236</c:v>
                </c:pt>
                <c:pt idx="60">
                  <c:v>4715.173514440928</c:v>
                </c:pt>
                <c:pt idx="61">
                  <c:v>4691.288038569361</c:v>
                </c:pt>
                <c:pt idx="62">
                  <c:v>4668.056390519633</c:v>
                </c:pt>
                <c:pt idx="63">
                  <c:v>4645.540480618124</c:v>
                </c:pt>
                <c:pt idx="64">
                  <c:v>4623.799759710701</c:v>
                </c:pt>
                <c:pt idx="65">
                  <c:v>4602.890795551278</c:v>
                </c:pt>
                <c:pt idx="66">
                  <c:v>4582.86687082678</c:v>
                </c:pt>
                <c:pt idx="67">
                  <c:v>4563.777608834263</c:v>
                </c:pt>
                <c:pt idx="68">
                  <c:v>4545.668632472402</c:v>
                </c:pt>
                <c:pt idx="69">
                  <c:v>4528.581261736597</c:v>
                </c:pt>
                <c:pt idx="70">
                  <c:v>4512.552254322947</c:v>
                </c:pt>
                <c:pt idx="71">
                  <c:v>4497.613593262742</c:v>
                </c:pt>
                <c:pt idx="72">
                  <c:v>4483.792324740322</c:v>
                </c:pt>
                <c:pt idx="73">
                  <c:v>4471.110448409133</c:v>
                </c:pt>
                <c:pt idx="74">
                  <c:v>4459.584861632389</c:v>
                </c:pt>
                <c:pt idx="75">
                  <c:v>4449.227358155205</c:v>
                </c:pt>
                <c:pt idx="76">
                  <c:v>4440.044680785028</c:v>
                </c:pt>
                <c:pt idx="77">
                  <c:v>4432.038626737618</c:v>
                </c:pt>
                <c:pt idx="78">
                  <c:v>4425.206203416996</c:v>
                </c:pt>
                <c:pt idx="79">
                  <c:v>4419.5398315595</c:v>
                </c:pt>
                <c:pt idx="80">
                  <c:v>4415.027591902696</c:v>
                </c:pt>
                <c:pt idx="81">
                  <c:v>4411.653510855628</c:v>
                </c:pt>
                <c:pt idx="82">
                  <c:v>4409.397880062132</c:v>
                </c:pt>
                <c:pt idx="83">
                  <c:v>4408.237604274964</c:v>
                </c:pt>
                <c:pt idx="84">
                  <c:v>4408.14657160396</c:v>
                </c:pt>
                <c:pt idx="85">
                  <c:v>4409.096039971746</c:v>
                </c:pt>
                <c:pt idx="86">
                  <c:v>4411.055033508008</c:v>
                </c:pt>
                <c:pt idx="87">
                  <c:v>4413.990742636895</c:v>
                </c:pt>
                <c:pt idx="88">
                  <c:v>4417.868921757958</c:v>
                </c:pt>
                <c:pt idx="89">
                  <c:v>4422.654278682051</c:v>
                </c:pt>
                <c:pt idx="90">
                  <c:v>4428.310850350436</c:v>
                </c:pt>
                <c:pt idx="91">
                  <c:v>4434.80235982596</c:v>
                </c:pt>
                <c:pt idx="92">
                  <c:v>4442.09255008618</c:v>
                </c:pt>
                <c:pt idx="93">
                  <c:v>4450.145490754213</c:v>
                </c:pt>
                <c:pt idx="94">
                  <c:v>4458.92585455797</c:v>
                </c:pt>
                <c:pt idx="95">
                  <c:v>4468.399160995559</c:v>
                </c:pt>
                <c:pt idx="96">
                  <c:v>4478.531985387254</c:v>
                </c:pt>
                <c:pt idx="97">
                  <c:v>4489.292132196134</c:v>
                </c:pt>
                <c:pt idx="98">
                  <c:v>4500.648772184944</c:v>
                </c:pt>
                <c:pt idx="99">
                  <c:v>4512.572543631352</c:v>
                </c:pt>
                <c:pt idx="100">
                  <c:v>4525.035618434777</c:v>
                </c:pt>
                <c:pt idx="101">
                  <c:v>4538.011734504316</c:v>
                </c:pt>
                <c:pt idx="102">
                  <c:v>4551.476196309719</c:v>
                </c:pt>
                <c:pt idx="103">
                  <c:v>4565.405845898685</c:v>
                </c:pt>
                <c:pt idx="104">
                  <c:v>4579.779007029312</c:v>
                </c:pt>
                <c:pt idx="105">
                  <c:v>4594.57540533313</c:v>
                </c:pt>
                <c:pt idx="106">
                  <c:v>4609.776067611265</c:v>
                </c:pt>
                <c:pt idx="107">
                  <c:v>4625.363203475163</c:v>
                </c:pt>
                <c:pt idx="108">
                  <c:v>4641.320072576793</c:v>
                </c:pt>
                <c:pt idx="109">
                  <c:v>4657.630840636252</c:v>
                </c:pt>
                <c:pt idx="110">
                  <c:v>4674.280427373219</c:v>
                </c:pt>
                <c:pt idx="111">
                  <c:v>4691.254349289909</c:v>
                </c:pt>
                <c:pt idx="112">
                  <c:v>4708.538560045645</c:v>
                </c:pt>
                <c:pt idx="113">
                  <c:v>4726.119290915392</c:v>
                </c:pt>
                <c:pt idx="114">
                  <c:v>4743.982893546545</c:v>
                </c:pt>
                <c:pt idx="115">
                  <c:v>4762.115686929073</c:v>
                </c:pt>
                <c:pt idx="116">
                  <c:v>4780.503810184089</c:v>
                </c:pt>
                <c:pt idx="117">
                  <c:v>4799.133082464253</c:v>
                </c:pt>
                <c:pt idx="118">
                  <c:v>4817.988870955648</c:v>
                </c:pt>
                <c:pt idx="119">
                  <c:v>4837.055967683687</c:v>
                </c:pt>
                <c:pt idx="120">
                  <c:v>4856.318475563434</c:v>
                </c:pt>
                <c:pt idx="121">
                  <c:v>4875.759703905035</c:v>
                </c:pt>
                <c:pt idx="122">
                  <c:v>4895.362073394291</c:v>
                </c:pt>
                <c:pt idx="123">
                  <c:v>4915.107030422499</c:v>
                </c:pt>
                <c:pt idx="124">
                  <c:v>4934.974970543156</c:v>
                </c:pt>
                <c:pt idx="125">
                  <c:v>4954.945170789036</c:v>
                </c:pt>
                <c:pt idx="126">
                  <c:v>4974.995730593703</c:v>
                </c:pt>
                <c:pt idx="127">
                  <c:v>4995.103521127067</c:v>
                </c:pt>
                <c:pt idx="128">
                  <c:v>5015.244142973658</c:v>
                </c:pt>
                <c:pt idx="129">
                  <c:v>5035.391892252217</c:v>
                </c:pt>
                <c:pt idx="130">
                  <c:v>5055.519735490639</c:v>
                </c:pt>
                <c:pt idx="131">
                  <c:v>5075.599293824479</c:v>
                </c:pt>
                <c:pt idx="132">
                  <c:v>5095.600837370856</c:v>
                </c:pt>
                <c:pt idx="133">
                  <c:v>5115.493290931494</c:v>
                </c:pt>
                <c:pt idx="134">
                  <c:v>5135.244252485441</c:v>
                </c:pt>
                <c:pt idx="135">
                  <c:v>5154.820026228477</c:v>
                </c:pt>
                <c:pt idx="136">
                  <c:v>5174.185672185307</c:v>
                </c:pt>
                <c:pt idx="137">
                  <c:v>5193.305074644272</c:v>
                </c:pt>
                <c:pt idx="138">
                  <c:v>5212.141031823048</c:v>
                </c:pt>
                <c:pt idx="139">
                  <c:v>5230.65536924873</c:v>
                </c:pt>
                <c:pt idx="140">
                  <c:v>5248.809079307691</c:v>
                </c:pt>
                <c:pt idx="141">
                  <c:v>5266.562489272528</c:v>
                </c:pt>
                <c:pt idx="142">
                  <c:v>5283.87545983024</c:v>
                </c:pt>
                <c:pt idx="143">
                  <c:v>5300.707615705742</c:v>
                </c:pt>
                <c:pt idx="144">
                  <c:v>5317.018609391271</c:v>
                </c:pt>
                <c:pt idx="145">
                  <c:v>5332.768418252719</c:v>
                </c:pt>
                <c:pt idx="146">
                  <c:v>5347.917674393987</c:v>
                </c:pt>
                <c:pt idx="147">
                  <c:v>5362.428025631009</c:v>
                </c:pt>
                <c:pt idx="148">
                  <c:v>5376.262524778427</c:v>
                </c:pt>
                <c:pt idx="149">
                  <c:v>5389.386043210486</c:v>
                </c:pt>
                <c:pt idx="150">
                  <c:v>5401.765703359557</c:v>
                </c:pt>
                <c:pt idx="151">
                  <c:v>5413.371323502418</c:v>
                </c:pt>
                <c:pt idx="152">
                  <c:v>5424.175866905382</c:v>
                </c:pt>
                <c:pt idx="153">
                  <c:v>5434.155886208085</c:v>
                </c:pt>
                <c:pt idx="154">
                  <c:v>5443.291952879228</c:v>
                </c:pt>
                <c:pt idx="155">
                  <c:v>5451.56906073414</c:v>
                </c:pt>
                <c:pt idx="156">
                  <c:v>5458.976991919846</c:v>
                </c:pt>
                <c:pt idx="157">
                  <c:v>5465.510633501357</c:v>
                </c:pt>
                <c:pt idx="158">
                  <c:v>5471.170232868209</c:v>
                </c:pt>
                <c:pt idx="159">
                  <c:v>5475.961580658603</c:v>
                </c:pt>
                <c:pt idx="160">
                  <c:v>5479.896110793198</c:v>
                </c:pt>
                <c:pt idx="161">
                  <c:v>5482.990908529776</c:v>
                </c:pt>
                <c:pt idx="162">
                  <c:v>5485.268619186062</c:v>
                </c:pt>
                <c:pt idx="163">
                  <c:v>5486.757252304532</c:v>
                </c:pt>
                <c:pt idx="164">
                  <c:v>5487.489878506644</c:v>
                </c:pt>
                <c:pt idx="165">
                  <c:v>5487.504219042655</c:v>
                </c:pt>
                <c:pt idx="166">
                  <c:v>5486.842131008925</c:v>
                </c:pt>
                <c:pt idx="167">
                  <c:v>5485.548994285324</c:v>
                </c:pt>
                <c:pt idx="168">
                  <c:v>5483.673009337232</c:v>
                </c:pt>
                <c:pt idx="169">
                  <c:v>5481.264418019423</c:v>
                </c:pt>
                <c:pt idx="170">
                  <c:v>5478.374662298561</c:v>
                </c:pt>
                <c:pt idx="171">
                  <c:v>5475.055498265702</c:v>
                </c:pt>
                <c:pt idx="172">
                  <c:v>5471.358084835288</c:v>
                </c:pt>
                <c:pt idx="173">
                  <c:v>5467.332068028931</c:v>
                </c:pt>
                <c:pt idx="174">
                  <c:v>5463.024682645259</c:v>
                </c:pt>
                <c:pt idx="175">
                  <c:v>5458.47989336418</c:v>
                </c:pt>
                <c:pt idx="176">
                  <c:v>5453.737596893806</c:v>
                </c:pt>
                <c:pt idx="177">
                  <c:v>5448.832905634094</c:v>
                </c:pt>
                <c:pt idx="178">
                  <c:v>5443.79553152447</c:v>
                </c:pt>
                <c:pt idx="179">
                  <c:v>5438.649286310955</c:v>
                </c:pt>
                <c:pt idx="180">
                  <c:v>5433.411711485315</c:v>
                </c:pt>
                <c:pt idx="181">
                  <c:v>5428.09384771076</c:v>
                </c:pt>
                <c:pt idx="182">
                  <c:v>5422.700149771262</c:v>
                </c:pt>
                <c:pt idx="183">
                  <c:v>5417.228549094604</c:v>
                </c:pt>
                <c:pt idx="184">
                  <c:v>5411.670661841408</c:v>
                </c:pt>
                <c:pt idx="185">
                  <c:v>5406.012136565577</c:v>
                </c:pt>
                <c:pt idx="186">
                  <c:v>5400.233131674641</c:v>
                </c:pt>
                <c:pt idx="187">
                  <c:v>5394.308909481113</c:v>
                </c:pt>
                <c:pt idx="188">
                  <c:v>5388.210530653798</c:v>
                </c:pt>
                <c:pt idx="189">
                  <c:v>5381.905630447442</c:v>
                </c:pt>
                <c:pt idx="190">
                  <c:v>5375.359256283574</c:v>
                </c:pt>
                <c:pt idx="191">
                  <c:v>5368.534745122956</c:v>
                </c:pt>
                <c:pt idx="192">
                  <c:v>5361.394618631632</c:v>
                </c:pt>
                <c:pt idx="193">
                  <c:v>5353.901474392038</c:v>
                </c:pt>
                <c:pt idx="194">
                  <c:v>5346.018852315779</c:v>
                </c:pt>
                <c:pt idx="195">
                  <c:v>5337.712056919468</c:v>
                </c:pt>
                <c:pt idx="196">
                  <c:v>5328.948918152922</c:v>
                </c:pt>
                <c:pt idx="197">
                  <c:v>5319.700475926949</c:v>
                </c:pt>
                <c:pt idx="198">
                  <c:v>5309.941576271011</c:v>
                </c:pt>
                <c:pt idx="199">
                  <c:v>5299.651370047362</c:v>
                </c:pt>
                <c:pt idx="200">
                  <c:v>5288.813708244073</c:v>
                </c:pt>
                <c:pt idx="201">
                  <c:v>5277.417430953986</c:v>
                </c:pt>
                <c:pt idx="202">
                  <c:v>5265.456550116173</c:v>
                </c:pt>
                <c:pt idx="203">
                  <c:v>5252.930328859119</c:v>
                </c:pt>
                <c:pt idx="204">
                  <c:v>5239.843262761747</c:v>
                </c:pt>
                <c:pt idx="205">
                  <c:v>5226.204970478212</c:v>
                </c:pt>
                <c:pt idx="206">
                  <c:v>5212.030002910717</c:v>
                </c:pt>
                <c:pt idx="207">
                  <c:v>5197.337581435408</c:v>
                </c:pt>
                <c:pt idx="208">
                  <c:v>5182.15127658146</c:v>
                </c:pt>
                <c:pt idx="209">
                  <c:v>5166.498639040893</c:v>
                </c:pt>
                <c:pt idx="210">
                  <c:v>5150.410794969203</c:v>
                </c:pt>
                <c:pt idx="211">
                  <c:v>5133.92201726006</c:v>
                </c:pt>
                <c:pt idx="212">
                  <c:v>5117.069283886007</c:v>
                </c:pt>
                <c:pt idx="213">
                  <c:v>5099.891833543499</c:v>
                </c:pt>
                <c:pt idx="214">
                  <c:v>5082.430727780868</c:v>
                </c:pt>
                <c:pt idx="215">
                  <c:v>5064.728427579559</c:v>
                </c:pt>
                <c:pt idx="216">
                  <c:v>5046.828391059098</c:v>
                </c:pt>
                <c:pt idx="217">
                  <c:v>5028.774697637855</c:v>
                </c:pt>
                <c:pt idx="218">
                  <c:v>5010.611702653559</c:v>
                </c:pt>
                <c:pt idx="219">
                  <c:v>4992.383725171678</c:v>
                </c:pt>
                <c:pt idx="220">
                  <c:v>4974.134770521344</c:v>
                </c:pt>
                <c:pt idx="221">
                  <c:v>4955.908288024653</c:v>
                </c:pt>
                <c:pt idx="222">
                  <c:v>4937.746963445518</c:v>
                </c:pt>
                <c:pt idx="223">
                  <c:v>4919.692544890799</c:v>
                </c:pt>
                <c:pt idx="224">
                  <c:v>4901.785700254289</c:v>
                </c:pt>
                <c:pt idx="225">
                  <c:v>4884.065903802221</c:v>
                </c:pt>
                <c:pt idx="226">
                  <c:v>4866.571349150892</c:v>
                </c:pt>
                <c:pt idx="227">
                  <c:v>4849.338885672342</c:v>
                </c:pt>
                <c:pt idx="228">
                  <c:v>4832.403975269064</c:v>
                </c:pt>
                <c:pt idx="229">
                  <c:v>4815.800666467486</c:v>
                </c:pt>
                <c:pt idx="230">
                  <c:v>4799.561582875675</c:v>
                </c:pt>
                <c:pt idx="231">
                  <c:v>4783.717923215784</c:v>
                </c:pt>
                <c:pt idx="232">
                  <c:v>4768.299470359377</c:v>
                </c:pt>
                <c:pt idx="233">
                  <c:v>4753.334607048062</c:v>
                </c:pt>
                <c:pt idx="234">
                  <c:v>4738.85033625806</c:v>
                </c:pt>
                <c:pt idx="235">
                  <c:v>4724.872304453064</c:v>
                </c:pt>
                <c:pt idx="236">
                  <c:v>4711.424826253924</c:v>
                </c:pt>
                <c:pt idx="237">
                  <c:v>4698.530909327687</c:v>
                </c:pt>
                <c:pt idx="238">
                  <c:v>4686.212278555446</c:v>
                </c:pt>
                <c:pt idx="239">
                  <c:v>4674.489398773457</c:v>
                </c:pt>
                <c:pt idx="240">
                  <c:v>4663.381495591821</c:v>
                </c:pt>
              </c:numCache>
            </c:numRef>
          </c:yVal>
        </c:ser>
        <c:ser>
          <c:idx val="2"/>
          <c:order val="2"/>
          <c:tx>
            <c:v>Corrected ocean boundary depth</c:v>
          </c:tx>
          <c:spPr>
            <a:ln xmlns:a="http://schemas.openxmlformats.org/drawingml/2006/main" w="18000">
              <a:solidFill>
                <a:srgbClr val="ED7D31"/>
              </a:solidFill>
              <a:prstDash val="solid"/>
            </a:ln>
          </c:spPr>
          <c:marker>
            <c:symbol val="none"/>
          </c:marker>
          <c:xVal>
            <c:numRef>
              <c:f>Doppler_Depth_Data!$A$4:$A$244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Doppler_Depth_Data!$M$4:$M$244</c:f>
              <c:numCache>
                <c:formatCode>0.0</c:formatCode>
                <c:ptCount val="241"/>
                <c:pt idx="0">
                  <c:v>14538.34347690822</c:v>
                </c:pt>
                <c:pt idx="1">
                  <c:v>14548.76639119057</c:v>
                </c:pt>
                <c:pt idx="2">
                  <c:v>14557.33823698979</c:v>
                </c:pt>
                <c:pt idx="3">
                  <c:v>14562.90707081557</c:v>
                </c:pt>
                <c:pt idx="4">
                  <c:v>14573.12561824274</c:v>
                </c:pt>
                <c:pt idx="5">
                  <c:v>14578.3351405244</c:v>
                </c:pt>
                <c:pt idx="6">
                  <c:v>14585.99703021636</c:v>
                </c:pt>
                <c:pt idx="7">
                  <c:v>14592.49931637025</c:v>
                </c:pt>
                <c:pt idx="8">
                  <c:v>14595.55464426455</c:v>
                </c:pt>
                <c:pt idx="9">
                  <c:v>14602.69283930029</c:v>
                </c:pt>
                <c:pt idx="10">
                  <c:v>14606.3079662675</c:v>
                </c:pt>
                <c:pt idx="11">
                  <c:v>14609.09414977491</c:v>
                </c:pt>
                <c:pt idx="12">
                  <c:v>14613.71746526024</c:v>
                </c:pt>
                <c:pt idx="13">
                  <c:v>14615.55790110156</c:v>
                </c:pt>
                <c:pt idx="14">
                  <c:v>14618.82470459141</c:v>
                </c:pt>
                <c:pt idx="15">
                  <c:v>14621.22387189913</c:v>
                </c:pt>
                <c:pt idx="16">
                  <c:v>14622.53688870754</c:v>
                </c:pt>
                <c:pt idx="17">
                  <c:v>14622.37004851927</c:v>
                </c:pt>
                <c:pt idx="18">
                  <c:v>14625.90607681587</c:v>
                </c:pt>
                <c:pt idx="19">
                  <c:v>14628.0052334422</c:v>
                </c:pt>
                <c:pt idx="20">
                  <c:v>14626.01228630002</c:v>
                </c:pt>
                <c:pt idx="21">
                  <c:v>14629.04064905115</c:v>
                </c:pt>
                <c:pt idx="22">
                  <c:v>14628.21987874668</c:v>
                </c:pt>
                <c:pt idx="23">
                  <c:v>14628.86554299087</c:v>
                </c:pt>
                <c:pt idx="24">
                  <c:v>14630.34364620319</c:v>
                </c:pt>
                <c:pt idx="25">
                  <c:v>14628.54315116048</c:v>
                </c:pt>
                <c:pt idx="26">
                  <c:v>14628.93334131051</c:v>
                </c:pt>
                <c:pt idx="27">
                  <c:v>14627.80769209857</c:v>
                </c:pt>
                <c:pt idx="28">
                  <c:v>14628.6685888771</c:v>
                </c:pt>
                <c:pt idx="29">
                  <c:v>14628.01958806756</c:v>
                </c:pt>
                <c:pt idx="30">
                  <c:v>14629.08126933879</c:v>
                </c:pt>
                <c:pt idx="31">
                  <c:v>14627.9749848833</c:v>
                </c:pt>
                <c:pt idx="32">
                  <c:v>14625.91150427493</c:v>
                </c:pt>
                <c:pt idx="33">
                  <c:v>14621.98669408329</c:v>
                </c:pt>
                <c:pt idx="34">
                  <c:v>14623.69319889064</c:v>
                </c:pt>
                <c:pt idx="35">
                  <c:v>14620.91477545746</c:v>
                </c:pt>
                <c:pt idx="36">
                  <c:v>14619.80625925983</c:v>
                </c:pt>
                <c:pt idx="37">
                  <c:v>14617.02228465411</c:v>
                </c:pt>
                <c:pt idx="38">
                  <c:v>14613.6232678051</c:v>
                </c:pt>
                <c:pt idx="39">
                  <c:v>14608.97451746299</c:v>
                </c:pt>
                <c:pt idx="40">
                  <c:v>14605.55495084827</c:v>
                </c:pt>
                <c:pt idx="41">
                  <c:v>14602.69109367549</c:v>
                </c:pt>
                <c:pt idx="42">
                  <c:v>14602.7489722562</c:v>
                </c:pt>
                <c:pt idx="43">
                  <c:v>14596.90416266791</c:v>
                </c:pt>
                <c:pt idx="44">
                  <c:v>14596.29580163658</c:v>
                </c:pt>
                <c:pt idx="45">
                  <c:v>14589.65567411958</c:v>
                </c:pt>
                <c:pt idx="46">
                  <c:v>14588.80601610416</c:v>
                </c:pt>
                <c:pt idx="47">
                  <c:v>14583.85339151919</c:v>
                </c:pt>
                <c:pt idx="48">
                  <c:v>14582.10262217315</c:v>
                </c:pt>
                <c:pt idx="49">
                  <c:v>14580.28494682638</c:v>
                </c:pt>
                <c:pt idx="50">
                  <c:v>14581.12932560947</c:v>
                </c:pt>
                <c:pt idx="51">
                  <c:v>14576.8576320088</c:v>
                </c:pt>
                <c:pt idx="52">
                  <c:v>14577.62874792324</c:v>
                </c:pt>
                <c:pt idx="53">
                  <c:v>14578.09256002349</c:v>
                </c:pt>
                <c:pt idx="54">
                  <c:v>14578.46664658259</c:v>
                </c:pt>
                <c:pt idx="55">
                  <c:v>14580.08569704939</c:v>
                </c:pt>
                <c:pt idx="56">
                  <c:v>14584.95207076056</c:v>
                </c:pt>
                <c:pt idx="57">
                  <c:v>14587.05723435159</c:v>
                </c:pt>
                <c:pt idx="58">
                  <c:v>14592.07610302669</c:v>
                </c:pt>
                <c:pt idx="59">
                  <c:v>14599.55328296697</c:v>
                </c:pt>
                <c:pt idx="60">
                  <c:v>14605.92076461545</c:v>
                </c:pt>
                <c:pt idx="61">
                  <c:v>14614.27394913712</c:v>
                </c:pt>
                <c:pt idx="62">
                  <c:v>14621.07346664605</c:v>
                </c:pt>
                <c:pt idx="63">
                  <c:v>14632.4426235159</c:v>
                </c:pt>
                <c:pt idx="64">
                  <c:v>14641.12386677761</c:v>
                </c:pt>
                <c:pt idx="65">
                  <c:v>14653.31124471121</c:v>
                </c:pt>
                <c:pt idx="66">
                  <c:v>14665.03655669068</c:v>
                </c:pt>
                <c:pt idx="67">
                  <c:v>14676.33880995204</c:v>
                </c:pt>
                <c:pt idx="68">
                  <c:v>14691.24974060257</c:v>
                </c:pt>
                <c:pt idx="69">
                  <c:v>14704.33755909023</c:v>
                </c:pt>
                <c:pt idx="70">
                  <c:v>14719.83615226987</c:v>
                </c:pt>
                <c:pt idx="71">
                  <c:v>14732.27105346808</c:v>
                </c:pt>
                <c:pt idx="72">
                  <c:v>14748.89372234097</c:v>
                </c:pt>
                <c:pt idx="73">
                  <c:v>14764.46311292151</c:v>
                </c:pt>
                <c:pt idx="74">
                  <c:v>14780.79352174394</c:v>
                </c:pt>
                <c:pt idx="75">
                  <c:v>14797.70065261399</c:v>
                </c:pt>
                <c:pt idx="76">
                  <c:v>14812.19990504116</c:v>
                </c:pt>
                <c:pt idx="77">
                  <c:v>14829.43520052092</c:v>
                </c:pt>
                <c:pt idx="78">
                  <c:v>14851.67443251006</c:v>
                </c:pt>
                <c:pt idx="79">
                  <c:v>14869.04948670286</c:v>
                </c:pt>
                <c:pt idx="80">
                  <c:v>14891.43606220631</c:v>
                </c:pt>
                <c:pt idx="81">
                  <c:v>14910.1945634452</c:v>
                </c:pt>
                <c:pt idx="82">
                  <c:v>14932.18463530832</c:v>
                </c:pt>
                <c:pt idx="83">
                  <c:v>14956.62321910731</c:v>
                </c:pt>
                <c:pt idx="84">
                  <c:v>14977.22515424656</c:v>
                </c:pt>
                <c:pt idx="85">
                  <c:v>15001.39789080635</c:v>
                </c:pt>
                <c:pt idx="86">
                  <c:v>15029.03546818499</c:v>
                </c:pt>
                <c:pt idx="87">
                  <c:v>15054.19542273615</c:v>
                </c:pt>
                <c:pt idx="88">
                  <c:v>15076.99559977411</c:v>
                </c:pt>
                <c:pt idx="89">
                  <c:v>15105.0514485375</c:v>
                </c:pt>
                <c:pt idx="90">
                  <c:v>15130.78865834882</c:v>
                </c:pt>
                <c:pt idx="91">
                  <c:v>15157.2953150598</c:v>
                </c:pt>
                <c:pt idx="92">
                  <c:v>15185.96939296339</c:v>
                </c:pt>
                <c:pt idx="93">
                  <c:v>15214.64029923832</c:v>
                </c:pt>
                <c:pt idx="94">
                  <c:v>15241.28669712613</c:v>
                </c:pt>
                <c:pt idx="95">
                  <c:v>15267.88536924082</c:v>
                </c:pt>
                <c:pt idx="96">
                  <c:v>15298.41367837705</c:v>
                </c:pt>
                <c:pt idx="97">
                  <c:v>15324.61410345121</c:v>
                </c:pt>
                <c:pt idx="98">
                  <c:v>15353.31186441483</c:v>
                </c:pt>
                <c:pt idx="99">
                  <c:v>15381.48908457665</c:v>
                </c:pt>
                <c:pt idx="100">
                  <c:v>15410.50874521312</c:v>
                </c:pt>
                <c:pt idx="101">
                  <c:v>15439.79021897657</c:v>
                </c:pt>
                <c:pt idx="102">
                  <c:v>15467.42057754804</c:v>
                </c:pt>
                <c:pt idx="103">
                  <c:v>15499.09132522038</c:v>
                </c:pt>
                <c:pt idx="104">
                  <c:v>15525.64240190194</c:v>
                </c:pt>
                <c:pt idx="105">
                  <c:v>15554.79313941637</c:v>
                </c:pt>
                <c:pt idx="106">
                  <c:v>15586.69843418237</c:v>
                </c:pt>
                <c:pt idx="107">
                  <c:v>15612.6201016897</c:v>
                </c:pt>
                <c:pt idx="108">
                  <c:v>15641.05910048065</c:v>
                </c:pt>
                <c:pt idx="109">
                  <c:v>15669.38478023053</c:v>
                </c:pt>
                <c:pt idx="110">
                  <c:v>15697.23436626742</c:v>
                </c:pt>
                <c:pt idx="111">
                  <c:v>15723.47377804967</c:v>
                </c:pt>
                <c:pt idx="112">
                  <c:v>15748.28735388548</c:v>
                </c:pt>
                <c:pt idx="113">
                  <c:v>15775.78142161981</c:v>
                </c:pt>
                <c:pt idx="114">
                  <c:v>15797.51252319704</c:v>
                </c:pt>
                <c:pt idx="115">
                  <c:v>15820.51895373562</c:v>
                </c:pt>
                <c:pt idx="116">
                  <c:v>15840.76376682924</c:v>
                </c:pt>
                <c:pt idx="117">
                  <c:v>15862.97434545136</c:v>
                </c:pt>
                <c:pt idx="118">
                  <c:v>15882.25978742723</c:v>
                </c:pt>
                <c:pt idx="119">
                  <c:v>15897.37984802641</c:v>
                </c:pt>
                <c:pt idx="120">
                  <c:v>15915.34978072191</c:v>
                </c:pt>
                <c:pt idx="121">
                  <c:v>15932.89954867819</c:v>
                </c:pt>
                <c:pt idx="122">
                  <c:v>15947.69149082374</c:v>
                </c:pt>
                <c:pt idx="123">
                  <c:v>15960.82683579813</c:v>
                </c:pt>
                <c:pt idx="124">
                  <c:v>15973.127659707</c:v>
                </c:pt>
                <c:pt idx="125">
                  <c:v>15984.67483225271</c:v>
                </c:pt>
                <c:pt idx="126">
                  <c:v>15999.03947108472</c:v>
                </c:pt>
                <c:pt idx="127">
                  <c:v>16006.80700146982</c:v>
                </c:pt>
                <c:pt idx="128">
                  <c:v>16017.23599184729</c:v>
                </c:pt>
                <c:pt idx="129">
                  <c:v>16025.32999046624</c:v>
                </c:pt>
                <c:pt idx="130">
                  <c:v>16035.97515428211</c:v>
                </c:pt>
                <c:pt idx="131">
                  <c:v>16043.92889915282</c:v>
                </c:pt>
                <c:pt idx="132">
                  <c:v>16050.16829622489</c:v>
                </c:pt>
                <c:pt idx="133">
                  <c:v>16055.64884283196</c:v>
                </c:pt>
                <c:pt idx="134">
                  <c:v>16057.18659818214</c:v>
                </c:pt>
                <c:pt idx="135">
                  <c:v>16063.19705852591</c:v>
                </c:pt>
                <c:pt idx="136">
                  <c:v>16064.49663999133</c:v>
                </c:pt>
                <c:pt idx="137">
                  <c:v>16066.12898919312</c:v>
                </c:pt>
                <c:pt idx="138">
                  <c:v>16063.80924325645</c:v>
                </c:pt>
                <c:pt idx="139">
                  <c:v>16060.87573901286</c:v>
                </c:pt>
                <c:pt idx="140">
                  <c:v>16059.65300237692</c:v>
                </c:pt>
                <c:pt idx="141">
                  <c:v>16056.09737146301</c:v>
                </c:pt>
                <c:pt idx="142">
                  <c:v>16048.05644574272</c:v>
                </c:pt>
                <c:pt idx="143">
                  <c:v>16041.24963023539</c:v>
                </c:pt>
                <c:pt idx="144">
                  <c:v>16033.39882339176</c:v>
                </c:pt>
                <c:pt idx="145">
                  <c:v>16021.16122749556</c:v>
                </c:pt>
                <c:pt idx="146">
                  <c:v>16010.08199680499</c:v>
                </c:pt>
                <c:pt idx="147">
                  <c:v>15999.92076991478</c:v>
                </c:pt>
                <c:pt idx="148">
                  <c:v>15985.32661425429</c:v>
                </c:pt>
                <c:pt idx="149">
                  <c:v>15969.73928107725</c:v>
                </c:pt>
                <c:pt idx="150">
                  <c:v>15955.78400430043</c:v>
                </c:pt>
                <c:pt idx="151">
                  <c:v>15939.04875066978</c:v>
                </c:pt>
                <c:pt idx="152">
                  <c:v>15920.13535369901</c:v>
                </c:pt>
                <c:pt idx="153">
                  <c:v>15900.08870023362</c:v>
                </c:pt>
                <c:pt idx="154">
                  <c:v>15880.39999145499</c:v>
                </c:pt>
                <c:pt idx="155">
                  <c:v>15857.99823216511</c:v>
                </c:pt>
                <c:pt idx="156">
                  <c:v>15835.43270592218</c:v>
                </c:pt>
                <c:pt idx="157">
                  <c:v>15813.18842976782</c:v>
                </c:pt>
                <c:pt idx="158">
                  <c:v>15787.56166940682</c:v>
                </c:pt>
                <c:pt idx="159">
                  <c:v>15762.32312182864</c:v>
                </c:pt>
                <c:pt idx="160">
                  <c:v>15737.09589387018</c:v>
                </c:pt>
                <c:pt idx="161">
                  <c:v>15711.17125385385</c:v>
                </c:pt>
                <c:pt idx="162">
                  <c:v>15685.10856874388</c:v>
                </c:pt>
                <c:pt idx="163">
                  <c:v>15658.02240777977</c:v>
                </c:pt>
                <c:pt idx="164">
                  <c:v>15630.33000525226</c:v>
                </c:pt>
                <c:pt idx="165">
                  <c:v>15603.43244811026</c:v>
                </c:pt>
                <c:pt idx="166">
                  <c:v>15576.00628557779</c:v>
                </c:pt>
                <c:pt idx="167">
                  <c:v>15548.58002264164</c:v>
                </c:pt>
                <c:pt idx="168">
                  <c:v>15518.47278025502</c:v>
                </c:pt>
                <c:pt idx="169">
                  <c:v>15493.13158103505</c:v>
                </c:pt>
                <c:pt idx="170">
                  <c:v>15463.49249388501</c:v>
                </c:pt>
                <c:pt idx="171">
                  <c:v>15438.1856295818</c:v>
                </c:pt>
                <c:pt idx="172">
                  <c:v>15409.14531624273</c:v>
                </c:pt>
                <c:pt idx="173">
                  <c:v>15380.20034267976</c:v>
                </c:pt>
                <c:pt idx="174">
                  <c:v>15355.91630440495</c:v>
                </c:pt>
                <c:pt idx="175">
                  <c:v>15327.74026248106</c:v>
                </c:pt>
                <c:pt idx="176">
                  <c:v>15301.84079337318</c:v>
                </c:pt>
                <c:pt idx="177">
                  <c:v>15272.83375718313</c:v>
                </c:pt>
                <c:pt idx="178">
                  <c:v>15247.47104989116</c:v>
                </c:pt>
                <c:pt idx="179">
                  <c:v>15221.48646694637</c:v>
                </c:pt>
                <c:pt idx="180">
                  <c:v>15193.62383841618</c:v>
                </c:pt>
                <c:pt idx="181">
                  <c:v>15167.92499642925</c:v>
                </c:pt>
                <c:pt idx="182">
                  <c:v>15140.05782058526</c:v>
                </c:pt>
                <c:pt idx="183">
                  <c:v>15115.74692609539</c:v>
                </c:pt>
                <c:pt idx="184">
                  <c:v>15087.81999177935</c:v>
                </c:pt>
                <c:pt idx="185">
                  <c:v>15060.40759266279</c:v>
                </c:pt>
                <c:pt idx="186">
                  <c:v>15034.5367105507</c:v>
                </c:pt>
                <c:pt idx="187">
                  <c:v>15008.91650069474</c:v>
                </c:pt>
                <c:pt idx="188">
                  <c:v>14981.50285514281</c:v>
                </c:pt>
                <c:pt idx="189">
                  <c:v>14956.29351283138</c:v>
                </c:pt>
                <c:pt idx="190">
                  <c:v>14933.44947800909</c:v>
                </c:pt>
                <c:pt idx="191">
                  <c:v>14910.21667262564</c:v>
                </c:pt>
                <c:pt idx="192">
                  <c:v>14886.46343791321</c:v>
                </c:pt>
                <c:pt idx="193">
                  <c:v>14861.55856302947</c:v>
                </c:pt>
                <c:pt idx="194">
                  <c:v>14840.11000591201</c:v>
                </c:pt>
                <c:pt idx="195">
                  <c:v>14819.34158378539</c:v>
                </c:pt>
                <c:pt idx="196">
                  <c:v>14799.57608673056</c:v>
                </c:pt>
                <c:pt idx="197">
                  <c:v>14776.78943004736</c:v>
                </c:pt>
                <c:pt idx="198">
                  <c:v>14759.99230717166</c:v>
                </c:pt>
                <c:pt idx="199">
                  <c:v>14743.37511964418</c:v>
                </c:pt>
                <c:pt idx="200">
                  <c:v>14726.19286852387</c:v>
                </c:pt>
                <c:pt idx="201">
                  <c:v>14711.22682879127</c:v>
                </c:pt>
                <c:pt idx="202">
                  <c:v>14699.88132053898</c:v>
                </c:pt>
                <c:pt idx="203">
                  <c:v>14687.00416442318</c:v>
                </c:pt>
                <c:pt idx="204">
                  <c:v>14673.65175963927</c:v>
                </c:pt>
                <c:pt idx="205">
                  <c:v>14662.97358879341</c:v>
                </c:pt>
                <c:pt idx="206">
                  <c:v>14653.27197573326</c:v>
                </c:pt>
                <c:pt idx="207">
                  <c:v>14645.69265746226</c:v>
                </c:pt>
                <c:pt idx="208">
                  <c:v>14638.15716894972</c:v>
                </c:pt>
                <c:pt idx="209">
                  <c:v>14633.28081281214</c:v>
                </c:pt>
                <c:pt idx="210">
                  <c:v>14626.91542968079</c:v>
                </c:pt>
                <c:pt idx="211">
                  <c:v>14618.90219150512</c:v>
                </c:pt>
                <c:pt idx="212">
                  <c:v>14615.1454127267</c:v>
                </c:pt>
                <c:pt idx="213">
                  <c:v>14612.1731342101</c:v>
                </c:pt>
                <c:pt idx="214">
                  <c:v>14607.70190007645</c:v>
                </c:pt>
                <c:pt idx="215">
                  <c:v>14604.63710024031</c:v>
                </c:pt>
                <c:pt idx="216">
                  <c:v>14598.23820003854</c:v>
                </c:pt>
                <c:pt idx="217">
                  <c:v>14596.39717703159</c:v>
                </c:pt>
                <c:pt idx="218">
                  <c:v>14594.33019373929</c:v>
                </c:pt>
                <c:pt idx="219">
                  <c:v>14591.31268234764</c:v>
                </c:pt>
                <c:pt idx="220">
                  <c:v>14589.81614188269</c:v>
                </c:pt>
                <c:pt idx="221">
                  <c:v>14585.72444035964</c:v>
                </c:pt>
                <c:pt idx="222">
                  <c:v>14585.16578911104</c:v>
                </c:pt>
                <c:pt idx="223">
                  <c:v>14581.93601801468</c:v>
                </c:pt>
                <c:pt idx="224">
                  <c:v>14581.26702888652</c:v>
                </c:pt>
                <c:pt idx="225">
                  <c:v>14582.44551255912</c:v>
                </c:pt>
                <c:pt idx="226">
                  <c:v>14580.86299526483</c:v>
                </c:pt>
                <c:pt idx="227">
                  <c:v>14582.68974091154</c:v>
                </c:pt>
                <c:pt idx="228">
                  <c:v>14584.40288243893</c:v>
                </c:pt>
                <c:pt idx="229">
                  <c:v>14587.13580263194</c:v>
                </c:pt>
                <c:pt idx="230">
                  <c:v>14587.76637498494</c:v>
                </c:pt>
                <c:pt idx="231">
                  <c:v>14591.0851930457</c:v>
                </c:pt>
                <c:pt idx="232">
                  <c:v>14593.12513812609</c:v>
                </c:pt>
                <c:pt idx="233">
                  <c:v>14595.45983017993</c:v>
                </c:pt>
                <c:pt idx="234">
                  <c:v>14596.84593445949</c:v>
                </c:pt>
                <c:pt idx="235">
                  <c:v>14602.91442084514</c:v>
                </c:pt>
                <c:pt idx="236">
                  <c:v>14603.59627183019</c:v>
                </c:pt>
                <c:pt idx="237">
                  <c:v>14607.41219622474</c:v>
                </c:pt>
                <c:pt idx="238">
                  <c:v>14609.56219691406</c:v>
                </c:pt>
                <c:pt idx="239">
                  <c:v>14615.86230736455</c:v>
                </c:pt>
                <c:pt idx="240">
                  <c:v>14617.13872788696</c:v>
                </c:pt>
              </c:numCache>
            </c:numRef>
          </c:yVal>
        </c:ser>
        <c:dLbls>
          <c:showLegendKey val="0"/>
          <c:showVal val="0"/>
          <c:showCatName val="0"/>
          <c:showSerName val="0"/>
          <c:showPercent val="0"/>
          <c:showBubbleSize val="0"/>
          <c:showLeaderLines val="0"/>
        </c:dLbls>
        <c:axId val="48650112"/>
        <c:axId val="48672768"/>
      </c:scatterChart>
      <c:valAx>
        <c:axId val="48672768"/>
        <c:scaling>
          <c:orientation val="maxMin"/>
        </c:scaling>
        <c:delete val="1"/>
        <c:axPos val="r"/>
        <c:numFmt formatCode="0.0" sourceLinked="1"/>
        <c:majorTickMark val="none"/>
        <c:minorTickMark val="none"/>
        <c:tickLblPos val="nextTo"/>
        <c:crossAx val="48650112"/>
        <c:crosses val="autoZero"/>
        <c:crossBetween val="midCat"/>
      </c:valAx>
      <c:valAx>
        <c:axId val="48650112"/>
        <c:scaling>
          <c:orientation val="minMax"/>
        </c:scaling>
        <c:delete val="1"/>
        <c:axPos val="t"/>
        <c:numFmt formatCode="0.0" sourceLinked="1"/>
        <c:majorTickMark val="none"/>
        <c:minorTickMark val="none"/>
        <c:tickLblPos val="nextTo"/>
        <c:crossAx val="48672768"/>
        <c:crosses val="autoZero"/>
        <c:crossBetween val="midCat"/>
      </c:valAx>
    </c:plotArea>
    <c:legend>
      <c:legendPos val="b"/>
      <c:overlay val="1"/>
    </c:legend>
    <c:plotVisOnly val="1"/>
  </c:chart>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HF 9 MHz Workbook-Depth Outcomes</a:t>
            </a:r>
          </a:p>
        </c:rich>
      </c:tx>
      <c:overlay val="0"/>
    </c:title>
    <c:autoTitleDeleted val="0"/>
    <c:plotArea>
      <c:layout/>
      <c:barChart>
        <c:barDir val="col"/>
        <c:varyColors val="0"/>
        <c:ser>
          <c:idx val="0"/>
          <c:order val="0"/>
          <c:tx>
            <c:v>Clear ocean</c:v>
          </c:tx>
          <c:cat>
            <c:strRef>
              <c:f>'V2_Dashboard'!$A$16:$A$22</c:f>
              <c:strCache>
                <c:ptCount val="0"/>
              </c:strCache>
            </c:strRef>
          </c:cat>
          <c:val>
            <c:numRef>
              <c:f>'V2_Dashboard'!$B$16:$B$22</c:f>
              <c:numCache>
                <c:formatCode>0.0%</c:formatCode>
                <c:ptCount val="0"/>
              </c:numCache>
            </c:numRef>
          </c:val>
        </c:ser>
        <c:ser>
          <c:idx val="1"/>
          <c:order val="1"/>
          <c:tx>
            <c:v>Deep false risk</c:v>
          </c:tx>
          <c:cat>
            <c:strRef>
              <c:f>'V2_Dashboard'!$A$16:$A$22</c:f>
              <c:strCache>
                <c:ptCount val="0"/>
              </c:strCache>
            </c:strRef>
          </c:cat>
          <c:val>
            <c:numRef>
              <c:f>'V2_Dashboard'!$C$16:$C$22</c:f>
              <c:numCache>
                <c:formatCode>0.0%</c:formatCode>
                <c:ptCount val="0"/>
              </c:numCache>
            </c:numRef>
          </c:val>
        </c:ser>
        <c:ser>
          <c:idx val="2"/>
          <c:order val="2"/>
          <c:tx>
            <c:v>Weak/no deep</c:v>
          </c:tx>
          <c:cat>
            <c:strRef>
              <c:f>'V2_Dashboard'!$A$16:$A$22</c:f>
              <c:strCache>
                <c:ptCount val="0"/>
              </c:strCache>
            </c:strRef>
          </c:cat>
          <c:val>
            <c:numRef>
              <c:f>'V2_Dashboard'!$D$16:$D$22</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VHF 60 MHz Shallow Clutter Stress Test</a:t>
            </a:r>
          </a:p>
        </c:rich>
      </c:tx>
      <c:overlay val="0"/>
    </c:title>
    <c:autoTitleDeleted val="0"/>
    <c:plotArea>
      <c:layout/>
      <c:barChart>
        <c:barDir val="col"/>
        <c:varyColors val="0"/>
        <c:ser>
          <c:idx val="0"/>
          <c:order val="0"/>
          <c:tx>
            <c:v>Surface clutter</c:v>
          </c:tx>
          <c:cat>
            <c:strRef>
              <c:f>'V2_Dashboard'!$G$16:$G$19</c:f>
              <c:strCache>
                <c:ptCount val="0"/>
              </c:strCache>
            </c:strRef>
          </c:cat>
          <c:val>
            <c:numRef>
              <c:f>'V2_Dashboard'!$H$16:$H$19</c:f>
              <c:numCache>
                <c:formatCode>0.0%</c:formatCode>
                <c:ptCount val="0"/>
              </c:numCache>
            </c:numRef>
          </c:val>
        </c:ser>
        <c:ser>
          <c:idx val="1"/>
          <c:order val="1"/>
          <c:tx>
            <c:v>Internal feature</c:v>
          </c:tx>
          <c:cat>
            <c:strRef>
              <c:f>'V2_Dashboard'!$G$16:$G$19</c:f>
              <c:strCache>
                <c:ptCount val="0"/>
              </c:strCache>
            </c:strRef>
          </c:cat>
          <c:val>
            <c:numRef>
              <c:f>'V2_Dashboard'!$I$16:$I$19</c:f>
              <c:numCache>
                <c:formatCode>0.0%</c:formatCode>
                <c:ptCount val="0"/>
              </c:numCache>
            </c:numRef>
          </c:val>
        </c:ser>
        <c:ser>
          <c:idx val="2"/>
          <c:order val="2"/>
          <c:tx>
            <c:v>Outside shallow window</c:v>
          </c:tx>
          <c:cat>
            <c:strRef>
              <c:f>'V2_Dashboard'!$G$16:$G$19</c:f>
              <c:strCache>
                <c:ptCount val="0"/>
              </c:strCache>
            </c:strRef>
          </c:cat>
          <c:val>
            <c:numRef>
              <c:f>'V2_Dashboard'!$J$16:$J$19</c:f>
              <c:numCache>
                <c:formatCode>0.0%</c:formatCode>
                <c:ptCount val="0"/>
              </c:numCache>
            </c:numRef>
          </c:val>
        </c:ser>
        <c:ser>
          <c:idx val="3"/>
          <c:order val="3"/>
          <c:tx>
            <c:v>Weak/no detection</c:v>
          </c:tx>
          <c:cat>
            <c:strRef>
              <c:f>'V2_Dashboard'!$G$16:$G$19</c:f>
              <c:strCache>
                <c:ptCount val="0"/>
              </c:strCache>
            </c:strRef>
          </c:cat>
          <c:val>
            <c:numRef>
              <c:f>'V2_Dashboard'!$K$16:$K$19</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28</xdr:row>
      <xdr:rowOff>0</xdr:rowOff>
    </xdr:from>
    <xdr:to>
      <xdr:col>9</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9efa6c678c4ecf"/>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bbaedf65c5472c"/>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7968371abe4027"/>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7035afd67c44dc"/>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8e7cd7049c465d"/>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a4c4cb59f94a8f"/>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a8767ef0ec4a11"/>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2b8bcb753548be"/>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28</xdr:row>
      <xdr:rowOff>0</xdr:rowOff>
    </xdr:from>
    <xdr:to>
      <xdr:col>9</xdr:col>
      <xdr:colOff>76200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10e5f9c94b44fc"/>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5817a1a01e4c95"/>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3b8575c5f84d98"/>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deaa52b7094309"/>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6d6fb7f4734ed4"/>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c3305500254234"/>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a9e7cf4fac4a6f"/>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8f0c1b71ca498a"/>
        </a:graphicData>
      </a:graphic>
    </xdr:graphicFrame>
    <xdr:clientData/>
  </xdr:twoCellAnchor>
</xdr:wsDr>
</file>

<file path=xl/drawings/drawing3.xml><?xml version="1.0" encoding="utf-8"?>
<xdr:wsDr xmlns:xdr="http://schemas.openxmlformats.org/drawingml/2006/spreadsheetDrawing">
  <xdr:oneCellAnchor>
    <xdr:from>
      <xdr:col>0</xdr:col>
      <xdr:colOff>0</xdr:colOff>
      <xdr:row>13</xdr:row>
      <xdr:rowOff>0</xdr:rowOff>
    </xdr:from>
    <xdr:ext cx="8568000" cy="3671999"/>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370679f3694789"/>
        </a:graphicData>
      </a:graphic>
    </xdr:graphicFrame>
    <xdr:clientData/>
  </xdr:oneCellAnchor>
  <xdr:oneCellAnchor>
    <xdr:from>
      <xdr:col>9</xdr:col>
      <xdr:colOff>0</xdr:colOff>
      <xdr:row>13</xdr:row>
      <xdr:rowOff>0</xdr:rowOff>
    </xdr:from>
    <xdr:ext cx="8568000" cy="3671999"/>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40876bcc9e444d"/>
        </a:graphicData>
      </a:graphic>
    </xdr:graphicFrame>
    <xdr:clientData/>
  </xdr:oneCellAnchor>
  <xdr:oneCellAnchor>
    <xdr:from>
      <xdr:col>0</xdr:col>
      <xdr:colOff>0</xdr:colOff>
      <xdr:row>33</xdr:row>
      <xdr:rowOff>0</xdr:rowOff>
    </xdr:from>
    <xdr:ext cx="8568000" cy="3671999"/>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106c17068442fe"/>
        </a:graphicData>
      </a:graphic>
    </xdr:graphicFrame>
    <xdr:clientData/>
  </xdr:oneCellAnchor>
  <xdr:oneCellAnchor>
    <xdr:from>
      <xdr:col>9</xdr:col>
      <xdr:colOff>0</xdr:colOff>
      <xdr:row>33</xdr:row>
      <xdr:rowOff>0</xdr:rowOff>
    </xdr:from>
    <xdr:ext cx="8568000" cy="3671999"/>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b2e55e0c65476d"/>
        </a:graphicData>
      </a:graphic>
    </xdr:graphicFrame>
    <xdr:clientData/>
  </xdr:oneCellAnchor>
</xdr:wsDr>
</file>

<file path=xl/drawings/drawing4.xml><?xml version="1.0" encoding="utf-8"?>
<xdr:wsDr xmlns:xdr="http://schemas.openxmlformats.org/drawingml/2006/spreadsheetDrawing">
  <xdr:twoCellAnchor>
    <xdr:from>
      <xdr:col>0</xdr:col>
      <xdr:colOff>0</xdr:colOff>
      <xdr:row>24</xdr:row>
      <xdr:rowOff>0</xdr:rowOff>
    </xdr:from>
    <xdr:to>
      <xdr:col>7</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b33b1ac3d74432"/>
        </a:graphicData>
      </a:graphic>
    </xdr:graphicFrame>
    <xdr:clientData/>
  </xdr:twoCellAnchor>
  <xdr:twoCellAnchor>
    <xdr:from>
      <xdr:col>7</xdr:col>
      <xdr:colOff>0</xdr:colOff>
      <xdr:row>24</xdr:row>
      <xdr:rowOff>0</xdr:rowOff>
    </xdr:from>
    <xdr:to>
      <xdr:col>14</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3e58731106442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ables/table2.xml><?xml version="1.0" encoding="utf-8"?>
<x:table xmlns:x="http://schemas.openxmlformats.org/spreadsheetml/2006/main" id="2" name="V2SummaryTable" displayName="V2SummaryTable" ref="A1:U82" headerRowCount="1">
  <x:autoFilter ref="A1:U82"/>
  <x:tableColumns count="21">
    <x:tableColumn id="1" name="shell_mode"/>
    <x:tableColumn id="2" name="scenario"/>
    <x:tableColumn id="3" name="band"/>
    <x:tableColumn id="4" name="points"/>
    <x:tableColumn id="5" name="clear_ocean_pct"/>
    <x:tableColumn id="6" name="ambiguous_pct"/>
    <x:tableColumn id="7" name="false_stronger_pct"/>
    <x:tableColumn id="8" name="hidden_false_visible_pct"/>
    <x:tableColumn id="9" name="internal_feature_only_pct"/>
    <x:tableColumn id="10" name="surface_clutter_pct"/>
    <x:tableColumn id="11" name="outside_band_depth_window_pct"/>
    <x:tableColumn id="12" name="weak_no_deep_detection_pct"/>
    <x:tableColumn id="13" name="deep_false_risk_pct"/>
    <x:tableColumn id="14" name="surface_clutter_detected_pct"/>
    <x:tableColumn id="15" name="median_surface_clutter_snr_margin_db"/>
    <x:tableColumn id="16" name="max_surface_clutter_minus_ocean_db"/>
    <x:tableColumn id="17" name="median_ocean_snr_margin_db"/>
    <x:tableColumn id="18" name="min_ocean_snr_margin_db"/>
    <x:tableColumn id="19" name="max_false_minus_ocean_db"/>
    <x:tableColumn id="20" name="max_abs_inferred_depth_error_m"/>
    <x:tableColumn id="21" name="median_layer_count"/>
  </x:tableColumns>
  <x:tableStyleInfo name="TableStyleMedium2" showRowStripes="1"/>
</x:table>
</file>

<file path=xl/tables/table3.xml><?xml version="1.0" encoding="utf-8"?>
<x:table xmlns:x="http://schemas.openxmlformats.org/spreadsheetml/2006/main" id="3" name="V2TrackExamplesTable" displayName="V2TrackExamplesTable" ref="A1:L724" headerRowCount="1">
  <x:autoFilter ref="A1:L724"/>
  <x:tableColumns count="12">
    <x:tableColumn id="1" name="x_km"/>
    <x:tableColumn id="2" name="scenario"/>
    <x:tableColumn id="3" name="band"/>
    <x:tableColumn id="4" name="ocean_depth_m"/>
    <x:tableColumn id="5" name="ocean_snr_margin_db"/>
    <x:tableColumn id="6" name="false_snr_margin_db"/>
    <x:tableColumn id="7" name="surface_clutter_snr_margin_db"/>
    <x:tableColumn id="8" name="surface_clutter_apparent_depth_m"/>
    <x:tableColumn id="9" name="classification"/>
    <x:tableColumn id="10" name="inferred_depth_error_m"/>
    <x:tableColumn id="11" name="layer_count"/>
    <x:tableColumn id="12" name="surface_roughness_index"/>
  </x:tableColumns>
  <x:tableStyleInfo name="TableStyleMedium2" showRowStripes="1"/>
</x:table>
</file>

<file path=xl/tables/table4.xml><?xml version="1.0" encoding="utf-8"?>
<x:table xmlns:x="http://schemas.openxmlformats.org/spreadsheetml/2006/main" id="4" name="V2AttenuationSensitivityTable" displayName="V2AttenuationSensitivityTable" ref="A5:G117" headerRowCount="1">
  <x:autoFilter ref="A5:G117"/>
  <x:tableColumns count="7">
    <x:tableColumn id="1" name="eps"/>
    <x:tableColumn id="2" name="dirty_layer_thickness_m"/>
    <x:tableColumn id="3" name="dirty_layer_attenuation_db_km_hf"/>
    <x:tableColumn id="4" name="deep_false_risk_pct"/>
    <x:tableColumn id="5" name="weak_or_hidden_ocean_pct"/>
    <x:tableColumn id="6" name="median_ocean_snr_margin_db"/>
    <x:tableColumn id="7" name="median_false_minus_ocean_db"/>
  </x:tableColumns>
  <x:tableStyleInfo name="TableStyleMedium2" showRowStripes="1"/>
</x:table>
</file>

<file path=xl/tables/table5.xml><?xml version="1.0" encoding="utf-8"?>
<x:table xmlns:x="http://schemas.openxmlformats.org/spreadsheetml/2006/main" id="5" name="V2ClutterSummaryTable" displayName="V2ClutterSummaryTable" ref="I5:M9" headerRowCount="1">
  <x:autoFilter ref="I5:M9"/>
  <x:tableColumns count="5">
    <x:tableColumn id="1" name="scenario"/>
    <x:tableColumn id="2" name="surface_clutter_pct"/>
    <x:tableColumn id="3" name="internal_feature_only_pct"/>
    <x:tableColumn id="4" name="outside_band_depth_window_pct"/>
    <x:tableColumn id="5" name="median_surface_clutter_snr_margin_db"/>
  </x:tableColumns>
  <x:tableStyleInfo name="TableStyleMedium2" showRowStripes="1"/>
</x:table>
</file>

<file path=xl/tables/table6.xml><?xml version="1.0" encoding="utf-8"?>
<x:table xmlns:x="http://schemas.openxmlformats.org/spreadsheetml/2006/main" id="6" name="V2MaterialLibraryTable" displayName="V2MaterialLibraryTable" ref="A14:G21" headerRowCount="1">
  <x:autoFilter ref="A14:G21"/>
  <x:tableColumns count="7">
    <x:tableColumn id="1" name="key"/>
    <x:tableColumn id="2" name="label"/>
    <x:tableColumn id="3" name="eps_real"/>
    <x:tableColumn id="4" name="attenuation_db_km_hf_min"/>
    <x:tableColumn id="5" name="attenuation_db_km_hf_max"/>
    <x:tableColumn id="6" name="source_status"/>
    <x:tableColumn id="7" name="link"/>
  </x:tableColumns>
  <x:tableStyleInfo name="TableStyleMedium2" showRowStripes="1"/>
</x:table>
</file>

<file path=xl/tables/table7.xml><?xml version="1.0" encoding="utf-8"?>
<x:table xmlns:x="http://schemas.openxmlformats.org/spreadsheetml/2006/main" id="7" name="V2PhysicsValidationTable" displayName="V2PhysicsValidationTable" ref="A25:E27" headerRowCount="1">
  <x:autoFilter ref="A25:E27"/>
  <x:tableColumns count="5">
    <x:tableColumn id="1" name="check"/>
    <x:tableColumn id="2" name="observed"/>
    <x:tableColumn id="3" name="expected"/>
    <x:tableColumn id="4" name="abs_error"/>
    <x:tableColumn id="5" name="passed"/>
  </x:tableColumns>
  <x:tableStyleInfo name="TableStyleMedium2" showRowStripes="1"/>
</x:table>
</file>

<file path=xl/tables/table8.xml><?xml version="1.0" encoding="utf-8"?>
<x:table xmlns:x="http://schemas.openxmlformats.org/spreadsheetml/2006/main" id="8" name="V2CalibrationAnchorsTable" displayName="V2CalibrationAnchorsTable" ref="A32:G41" headerRowCount="1">
  <x:autoFilter ref="A32:G41"/>
  <x:tableColumns count="7">
    <x:tableColumn id="1" name="parameter"/>
    <x:tableColumn id="2" name="value"/>
    <x:tableColumn id="3" name="unit"/>
    <x:tableColumn id="4" name="v2_use"/>
    <x:tableColumn id="5" name="source"/>
    <x:tableColumn id="6" name="source_status"/>
    <x:tableColumn id="7" name="link"/>
  </x:tableColumns>
  <x:tableStyleInfo name="TableStyleMedium2" showRowStripes="1"/>
</x:table>
</file>

<file path=xl/tables/table9.xml><?xml version="1.0" encoding="utf-8"?>
<x:table xmlns:x="http://schemas.openxmlformats.org/spreadsheetml/2006/main" id="9" name="WorkbookErrorAuditTable" displayName="WorkbookErrorAuditTable" ref="A4:F13" headerRowCount="1">
  <x:autoFilter ref="A4:F13"/>
  <x:tableColumns count="6">
    <x:tableColumn id="1" name="Sheet"/>
    <x:tableColumn id="2" name="Cell(s)"/>
    <x:tableColumn id="3" name="Previous condition"/>
    <x:tableColumn id="4" name="Cleaned value"/>
    <x:tableColumn id="5" name="How it was computed"/>
    <x:tableColumn id="6"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17dd9c239934ef7" /></Relationships>
</file>

<file path=xl/worksheets/_rels/sheet2.xml.rels>&#65279;<?xml version="1.0" encoding="utf-8"?><Relationships xmlns="http://schemas.openxmlformats.org/package/2006/relationships"><Relationship Type="http://schemas.openxmlformats.org/officeDocument/2006/relationships/drawing" Target="/xl/drawings/drawing2.xml" Id="R9470ec583ea64b12" /></Relationships>
</file>

<file path=xl/worksheets/_rels/sheet3.xml.rels>&#65279;<?xml version="1.0" encoding="utf-8"?><Relationships xmlns="http://schemas.openxmlformats.org/package/2006/relationships"><Relationship Type="http://schemas.openxmlformats.org/officeDocument/2006/relationships/drawing" Target="/xl/drawings/drawing3.xml" Id="R56d9daf4f115417c" /></Relationships>
</file>

<file path=xl/worksheets/_rels/sheet7.xml.rels>&#65279;<?xml version="1.0" encoding="utf-8"?><Relationships xmlns="http://schemas.openxmlformats.org/package/2006/relationships"><Relationship Type="http://schemas.openxmlformats.org/officeDocument/2006/relationships/table" Target="/xl/tables/table1.xml" Id="R63ee964a612c48a1" /></Relationships>
</file>

<file path=xl/worksheets/_rels/sheet25.xml.rels>&#65279;<?xml version="1.0" encoding="utf-8"?><Relationships xmlns="http://schemas.openxmlformats.org/package/2006/relationships"><Relationship Type="http://schemas.openxmlformats.org/officeDocument/2006/relationships/table" Target="/xl/tables/table2.xml" Id="Rc6da3b865bff4cf1" /></Relationships>
</file>

<file path=xl/worksheets/_rels/sheet26.xml.rels>&#65279;<?xml version="1.0" encoding="utf-8"?><Relationships xmlns="http://schemas.openxmlformats.org/package/2006/relationships"><Relationship Type="http://schemas.openxmlformats.org/officeDocument/2006/relationships/table" Target="/xl/tables/table3.xml" Id="R1881680f76c8437c" /></Relationships>
</file>

<file path=xl/worksheets/_rels/sheet27.xml.rels>&#65279;<?xml version="1.0" encoding="utf-8"?><Relationships xmlns="http://schemas.openxmlformats.org/package/2006/relationships"><Relationship Type="http://schemas.openxmlformats.org/officeDocument/2006/relationships/table" Target="/xl/tables/table4.xml" Id="R515170606e17410c" /><Relationship Type="http://schemas.openxmlformats.org/officeDocument/2006/relationships/table" Target="/xl/tables/table5.xml" Id="R64f51e1c38894ade" /></Relationships>
</file>

<file path=xl/worksheets/_rels/sheet28.xml.rels>&#65279;<?xml version="1.0" encoding="utf-8"?><Relationships xmlns="http://schemas.openxmlformats.org/package/2006/relationships"><Relationship Type="http://schemas.openxmlformats.org/officeDocument/2006/relationships/table" Target="/xl/tables/table6.xml" Id="R2a8d03028df4455b" /><Relationship Type="http://schemas.openxmlformats.org/officeDocument/2006/relationships/table" Target="/xl/tables/table7.xml" Id="Rf481fcc39db84b30" /><Relationship Type="http://schemas.openxmlformats.org/officeDocument/2006/relationships/table" Target="/xl/tables/table8.xml" Id="R926b6bb6a6dc41b4" /></Relationships>
</file>

<file path=xl/worksheets/_rels/sheet29.xml.rels>&#65279;<?xml version="1.0" encoding="utf-8"?><Relationships xmlns="http://schemas.openxmlformats.org/package/2006/relationships"><Relationship Type="http://schemas.openxmlformats.org/officeDocument/2006/relationships/drawing" Target="/xl/drawings/drawing4.xml" Id="R64bf9e500a4c421c" /></Relationships>
</file>

<file path=xl/worksheets/_rels/sheet30.xml.rels>&#65279;<?xml version="1.0" encoding="utf-8"?><Relationships xmlns="http://schemas.openxmlformats.org/package/2006/relationships"><Relationship Type="http://schemas.openxmlformats.org/officeDocument/2006/relationships/table" Target="/xl/tables/table9.xml" Id="R2b23b137a08e4814" /></Relationships>
</file>

<file path=xl/worksheets/sheet1.xml><?xml version="1.0" encoding="utf-8"?>
<x:worksheet xmlns:x="http://schemas.openxmlformats.org/spreadsheetml/2006/main">
  <x:sheetViews>
    <x:sheetView showGridLines="0" workbookViewId="0"/>
  </x:sheetViews>
  <x:sheetFormatPr baseColWidth="8" defaultRowHeight="13.800000190734863"/>
  <x:cols>
    <x:col min="1" max="1" width="31" style="73" customWidth="1"/>
    <x:col min="2" max="2" width="13" style="73" customWidth="1"/>
    <x:col min="3" max="3" width="9" style="73" customWidth="1"/>
    <x:col min="4" max="4" width="34" style="73" customWidth="1"/>
    <x:col min="5" max="5" width="14" style="73" customWidth="1"/>
    <x:col min="6" max="6" width="18" style="73" customWidth="1"/>
    <x:col min="7" max="8" width="14" style="73" customWidth="1"/>
    <x:col min="9" max="9" width="28" style="73" customWidth="1"/>
    <x:col min="10" max="18" width="16" style="73" customWidth="1"/>
  </x:cols>
  <x:sheetData>
    <x:row r="1" s="73" customFormat="1" ht="21" customHeight="1">
      <x:c r="A1" s="81" t="inlineStr">
        <x:is>
          <x:t xml:space="preserve">Parabolic Motion Radar + Topography Parameter Model</x:t>
        </x:is>
      </x:c>
    </x:row>
    <x:row r="2" s="73" customFormat="1" ht="13.949999809265137" customHeight="1">
      <x:c r="A2" s="86" t="inlineStr">
        <x:is>
          <x:t xml:space="preserve">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t>
        </x:is>
      </x:c>
    </x:row>
    <x:row r="4" s="73" customFormat="1" ht="15.75" customHeight="1">
      <x:c r="A4" s="78" t="inlineStr">
        <x:is>
          <x:t xml:space="preserve">Key Output Results</x:t>
        </x:is>
      </x:c>
      <x:c r="B4" s="79" t="n"/>
      <x:c r="C4" s="79" t="n"/>
      <x:c r="D4" s="80" t="n"/>
    </x:row>
    <x:row r="5">
      <x:c r="A5" s="2" t="inlineStr">
        <x:is>
          <x:t xml:space="preserve">Output</x:t>
        </x:is>
      </x:c>
      <x:c r="B5" s="2" t="inlineStr">
        <x:is>
          <x:t xml:space="preserve">Value</x:t>
        </x:is>
      </x:c>
      <x:c r="C5" s="2" t="inlineStr">
        <x:is>
          <x:t xml:space="preserve">Unit</x:t>
        </x:is>
      </x:c>
      <x:c r="D5" s="2" t="inlineStr">
        <x:is>
          <x:t xml:space="preserve">What it means</x:t>
        </x:is>
      </x:c>
    </x:row>
    <x:row r="6" s="73" customFormat="1" ht="39.45000076293945" customHeight="1">
      <x:c r="A6" s="1" t="inlineStr">
        <x:is>
          <x:t xml:space="preserve">Topography toggle</x:t>
        </x:is>
      </x:c>
      <x:c r="B6" s="6" t="str">
        <x:f>IF(OR(Inputs!$C$27=TRUE,Inputs!$C$27="TRUE",Inputs!$C$27=1),"Topography ON","Topography OFF")</x:f>
        <x:v>Topography ON</x:v>
      </x:c>
      <x:c r="C6" s="1" t="n"/>
      <x:c r="D6" s="1" t="inlineStr">
        <x:is>
          <x:t xml:space="preserve">Set Inputs!C27 to TRUE to include terrain, or FALSE to return to a flat surface. Change Inputs!C47 to test a new terrain case.</x:t>
        </x:is>
      </x:c>
    </x:row>
    <x:row r="7">
      <x:c r="A7" s="1" t="inlineStr">
        <x:is>
          <x:t xml:space="preserve">Flat apparent depth at mid-pass</x:t>
        </x:is>
      </x:c>
      <x:c r="B7" s="11" t="n">
        <x:f>Model_Data!F122</x:f>
        <x:v>550.6998603390537</x:v>
      </x:c>
      <x:c r="C7" s="1" t="inlineStr">
        <x:is>
          <x:t xml:space="preserve">m</x:t>
        </x:is>
      </x:c>
      <x:c r="D7" s="1" t="inlineStr">
        <x:is>
          <x:t xml:space="preserve">Original flat-surface result.</x:t>
        </x:is>
      </x:c>
    </x:row>
    <x:row r="8" s="73" customFormat="1" ht="26.25" customHeight="1">
      <x:c r="A8" s="1" t="inlineStr">
        <x:is>
          <x:t xml:space="preserve">Topo apparent depth at mid-pass</x:t>
        </x:is>
      </x:c>
      <x:c r="B8" s="11" t="n">
        <x:f>Model_Data!AC122</x:f>
        <x:v>278.8355336025972</x:v>
      </x:c>
      <x:c r="C8" s="1" t="inlineStr">
        <x:is>
          <x:t xml:space="preserve">m</x:t>
        </x:is>
      </x:c>
      <x:c r="D8" s="1" t="inlineStr">
        <x:is>
          <x:t xml:space="preserve">Apparent depth after terrain height changes the range geometry.</x:t>
        </x:is>
      </x:c>
    </x:row>
    <x:row r="9" s="73" customFormat="1" ht="27.600000381469727" customHeight="1">
      <x:c r="A9" s="1" t="inlineStr">
        <x:is>
          <x:t xml:space="preserve">Depth change from topography</x:t>
        </x:is>
      </x:c>
      <x:c r="B9" s="11" t="n">
        <x:f>Model_Data!AI122</x:f>
        <x:v>-271.86432673645646</x:v>
      </x:c>
      <x:c r="C9" s="1" t="inlineStr">
        <x:is>
          <x:t xml:space="preserve">m</x:t>
        </x:is>
      </x:c>
      <x:c r="D9" s="1" t="inlineStr">
        <x:is>
          <x:t xml:space="preserve">Topo apparent depth minus flat apparent depth.</x:t>
        </x:is>
      </x:c>
    </x:row>
    <x:row r="10">
      <x:c r="A10" s="1" t="inlineStr">
        <x:is>
          <x:t xml:space="preserve">Topo extra two-way delay</x:t>
        </x:is>
      </x:c>
      <x:c r="B10" s="11" t="n">
        <x:f>Model_Data!AD122</x:f>
        <x:v>3.3111390001186956</x:v>
      </x:c>
      <x:c r="C10" s="1" t="inlineStr">
        <x:is>
          <x:t xml:space="preserve">us</x:t>
        </x:is>
      </x:c>
      <x:c r="D10" s="1" t="inlineStr">
        <x:is>
          <x:t xml:space="preserve">Two-way delay after topography is included.</x:t>
        </x:is>
      </x:c>
    </x:row>
    <x:row r="11" s="73" customFormat="1" ht="26.25" customHeight="1">
      <x:c r="A11" s="1" t="inlineStr">
        <x:is>
          <x:t xml:space="preserve">Topo VHF interferometric phase</x:t>
        </x:is>
      </x:c>
      <x:c r="B11" s="11" t="n">
        <x:f>Model_Data!AF122</x:f>
        <x:v>22.4830827575369</x:v>
      </x:c>
      <x:c r="C11" s="1" t="inlineStr">
        <x:is>
          <x:t xml:space="preserve">deg</x:t>
        </x:is>
      </x:c>
      <x:c r="D11" s="1" t="inlineStr">
        <x:is>
          <x:t xml:space="preserve">VHF phase after topography changes the look geometry.</x:t>
        </x:is>
      </x:c>
    </x:row>
    <x:row r="12" s="73" customFormat="1" ht="26.25" customHeight="1">
      <x:c r="A12" s="1" t="inlineStr">
        <x:is>
          <x:t xml:space="preserve">Max target terrain height</x:t>
        </x:is>
      </x:c>
      <x:c r="B12" s="11" t="n">
        <x:f>MAX(Model_Data!Y2:Y242)</x:f>
        <x:v>568.6436382247327</x:v>
      </x:c>
      <x:c r="C12" s="1" t="inlineStr">
        <x:is>
          <x:t xml:space="preserve">m</x:t>
        </x:is>
      </x:c>
      <x:c r="D12" s="1" t="inlineStr">
        <x:is>
          <x:t xml:space="preserve">Highest modeled terrain at the side-offset target path.</x:t>
        </x:is>
      </x:c>
    </x:row>
    <x:row r="13" s="73" customFormat="1" ht="26.25" customHeight="1">
      <x:c r="A13" s="1" t="inlineStr">
        <x:is>
          <x:t xml:space="preserve">Min target terrain height</x:t>
        </x:is>
      </x:c>
      <x:c r="B13" s="11" t="n">
        <x:f>MIN(Model_Data!Y2:Y242)</x:f>
        <x:v>107.75271022723112</x:v>
      </x:c>
      <x:c r="C13" s="1" t="inlineStr">
        <x:is>
          <x:t xml:space="preserve">m</x:t>
        </x:is>
      </x:c>
      <x:c r="D13" s="1" t="inlineStr">
        <x:is>
          <x:t xml:space="preserve">Lowest modeled terrain at the side-offset target path.</x:t>
        </x:is>
      </x:c>
    </x:row>
    <x:row r="14" s="73" customFormat="1" ht="26.25" customHeight="1">
      <x:c r="A14" s="1" t="inlineStr">
        <x:is>
          <x:t xml:space="preserve">Max absolute topo depth change</x:t>
        </x:is>
      </x:c>
      <x:c r="B14" s="11" t="n">
        <x:f>MAX(MAX(Model_Data!AI2:AI242),-MIN(Model_Data!AI2:AI242))</x:f>
        <x:v>302.98886990822893</x:v>
      </x:c>
      <x:c r="C14" s="1" t="inlineStr">
        <x:is>
          <x:t xml:space="preserve">m</x:t>
        </x:is>
      </x:c>
      <x:c r="D14" s="1" t="inlineStr">
        <x:is>
          <x:t xml:space="preserve">Largest magnitude of topography-driven apparent-depth change.</x:t>
        </x:is>
      </x:c>
    </x:row>
    <x:row r="15" s="73" customFormat="1" ht="26.25" customHeight="1">
      <x:c r="A15" s="1" t="inlineStr">
        <x:is>
          <x:t xml:space="preserve">Max topo VHF Doppler magnitude</x:t>
        </x:is>
      </x:c>
      <x:c r="B15" s="11" t="n">
        <x:f>MAX(Model_Data!AO2:AO242)</x:f>
        <x:v>534.0602149449296</x:v>
      </x:c>
      <x:c r="C15" s="1" t="inlineStr">
        <x:is>
          <x:t xml:space="preserve">Hz</x:t>
        </x:is>
      </x:c>
      <x:c r="D15" s="1" t="inlineStr">
        <x:is>
          <x:t xml:space="preserve">Largest VHF Doppler after topography is included.</x:t>
        </x:is>
      </x:c>
    </x:row>
    <x:row r="16" s="73" customFormat="1" ht="26.25" customHeight="1">
      <x:c r="A16" s="1" t="inlineStr">
        <x:is>
          <x:t xml:space="preserve">Simple minimum PRF with topo</x:t>
        </x:is>
      </x:c>
      <x:c r="B16" s="11" t="n">
        <x:f>2*B15</x:f>
        <x:v>1068.1204298898592</x:v>
      </x:c>
      <x:c r="C16" s="1" t="inlineStr">
        <x:is>
          <x:t xml:space="preserve">Hz</x:t>
        </x:is>
      </x:c>
      <x:c r="D16" s="1" t="inlineStr">
        <x:is>
          <x:t xml:space="preserve">Twice max topo VHF Doppler, a simple no-alias floor.</x:t>
        </x:is>
      </x:c>
    </x:row>
    <x:row r="17" s="73" customFormat="1" ht="26.25" customHeight="1">
      <x:c r="A17" s="1" t="inlineStr">
        <x:is>
          <x:t xml:space="preserve">Topo depth uncertainty band</x:t>
        </x:is>
      </x:c>
      <x:c r="B17" s="11" t="n">
        <x:f>Model_Data!AQ122</x:f>
        <x:v>42.13483146067416</x:v>
      </x:c>
      <x:c r="C17" s="1" t="inlineStr">
        <x:is>
          <x:t xml:space="preserve">m</x:t>
        </x:is>
      </x:c>
      <x:c r="D17" s="1" t="inlineStr">
        <x:is>
          <x:t xml:space="preserve">Representative vertical uncertainty converted to apparent-depth uncertainty.</x:t>
        </x:is>
      </x:c>
    </x:row>
    <x:row r="19" s="73" customFormat="1" ht="15.75" customHeight="1">
      <x:c r="A19" s="78" t="inlineStr">
        <x:is>
          <x:t xml:space="preserve">PRF Choices</x:t>
        </x:is>
      </x:c>
      <x:c r="B19" s="79" t="n"/>
      <x:c r="C19" s="79" t="n"/>
      <x:c r="D19" s="79" t="n"/>
      <x:c r="E19" s="79" t="n"/>
      <x:c r="F19" s="80" t="n"/>
    </x:row>
    <x:row r="20" s="73" customFormat="1" ht="26.25" customHeight="1">
      <x:c r="A20" s="2" t="inlineStr">
        <x:is>
          <x:t xml:space="preserve">PRF (Hz)</x:t>
        </x:is>
      </x:c>
      <x:c r="B20" s="2" t="inlineStr">
        <x:is>
          <x:t xml:space="preserve">Pulse interval (ms)</x:t>
        </x:is>
      </x:c>
      <x:c r="C20" s="2" t="inlineStr">
        <x:is>
          <x:t xml:space="preserve">Along-track spacing (m)</x:t>
        </x:is>
      </x:c>
      <x:c r="D20" s="2" t="inlineStr">
        <x:is>
          <x:t xml:space="preserve">Unambiguous range (km)</x:t>
        </x:is>
      </x:c>
      <x:c r="E20" s="2" t="inlineStr">
        <x:is>
          <x:t xml:space="preserve">Pulses in air at z0</x:t>
        </x:is>
      </x:c>
      <x:c r="F20" s="2" t="inlineStr">
        <x:is>
          <x:t xml:space="preserve">Status</x:t>
        </x:is>
      </x:c>
    </x:row>
    <x:row r="21" s="73" customFormat="1" ht="26.25" customHeight="1">
      <x:c r="A21" s="9" t="n">
        <x:f>PRF_Results!A4</x:f>
        <x:v>50</x:v>
      </x:c>
      <x:c r="B21" s="9" t="n">
        <x:f>PRF_Results!B4</x:f>
        <x:v>20</x:v>
      </x:c>
      <x:c r="C21" s="9" t="n">
        <x:f>PRF_Results!C4</x:f>
        <x:v>80</x:v>
      </x:c>
      <x:c r="D21" s="9" t="n">
        <x:f>PRF_Results!D4</x:f>
        <x:v>2997.92458</x:v>
      </x:c>
      <x:c r="E21" s="9" t="n">
        <x:f>PRF_Results!E4</x:f>
        <x:v>0.13342563807926083</x:v>
      </x:c>
      <x:c r="F21" s="1" t="str">
        <x:f>PRF_Results!F4</x:f>
        <x:v>Below simple Doppler floor</x:v>
      </x:c>
    </x:row>
    <x:row r="22" s="73" customFormat="1" ht="26.25" customHeight="1">
      <x:c r="A22" s="9" t="n">
        <x:f>PRF_Results!A5</x:f>
        <x:v>500</x:v>
      </x:c>
      <x:c r="B22" s="9" t="n">
        <x:f>PRF_Results!B5</x:f>
        <x:v>2</x:v>
      </x:c>
      <x:c r="C22" s="9" t="n">
        <x:f>PRF_Results!C5</x:f>
        <x:v>8</x:v>
      </x:c>
      <x:c r="D22" s="9" t="n">
        <x:f>PRF_Results!D5</x:f>
        <x:v>299.792458</x:v>
      </x:c>
      <x:c r="E22" s="9" t="n">
        <x:f>PRF_Results!E5</x:f>
        <x:v>1.3342563807926082</x:v>
      </x:c>
      <x:c r="F22" s="1" t="str">
        <x:f>PRF_Results!F5</x:f>
        <x:v>Below simple Doppler floor</x:v>
      </x:c>
    </x:row>
    <x:row r="23" s="73" customFormat="1" ht="26.25" customHeight="1">
      <x:c r="A23" s="9" t="n">
        <x:f>PRF_Results!A6</x:f>
        <x:v>3000</x:v>
      </x:c>
      <x:c r="B23" s="9" t="n">
        <x:f>PRF_Results!B6</x:f>
        <x:v>0.3333333333333333</x:v>
      </x:c>
      <x:c r="C23" s="9" t="n">
        <x:f>PRF_Results!C6</x:f>
        <x:v>1.3333333333333333</x:v>
      </x:c>
      <x:c r="D23" s="9" t="n">
        <x:f>PRF_Results!D6</x:f>
        <x:v>49.965409666666666</x:v>
      </x:c>
      <x:c r="E23" s="9" t="n">
        <x:f>PRF_Results!E6</x:f>
        <x:v>8.00553828475565</x:v>
      </x:c>
      <x:c r="F23" s="1" t="str">
        <x:f>PRF_Results!F6</x:f>
        <x:v>OK for modeled topo VHF Doppler</x:v>
      </x:c>
    </x:row>
    <x:row r="25" s="73" customFormat="1" ht="15.75" customHeight="1">
      <x:c r="A25" s="78" t="inlineStr">
        <x:is>
          <x:t xml:space="preserve">How to read this model</x:t>
        </x:is>
      </x:c>
      <x:c r="B25" s="79" t="n"/>
      <x:c r="C25" s="79" t="n"/>
      <x:c r="D25" s="79" t="n"/>
      <x:c r="E25" s="79" t="n"/>
      <x:c r="F25" s="79" t="n"/>
      <x:c r="G25" s="79" t="n"/>
      <x:c r="H25" s="80" t="n"/>
    </x:row>
    <x:row r="26" s="73" customFormat="1" ht="13.949999809265137" customHeight="1">
      <x:c r="A26" s="85" t="inlineStr">
        <x:is>
          <x:t xml:space="preserve">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t>
        </x:is>
      </x:c>
      <x:c r="B26" s="79" t="n"/>
      <x:c r="C26" s="79" t="n"/>
      <x:c r="D26" s="79" t="n"/>
      <x:c r="E26" s="79" t="n"/>
      <x:c r="F26" s="79" t="n"/>
      <x:c r="G26" s="79" t="n"/>
      <x:c r="H26" s="80" t="n"/>
    </x:row>
    <x:row r="114" s="73" customFormat="1" ht="15.75" customHeight="1">
      <x:c r="A114" s="78" t="inlineStr">
        <x:is>
          <x:t xml:space="preserve">Paper Pass Scenario Comparison</x:t>
        </x:is>
      </x:c>
      <x:c r="B114" s="79" t="n"/>
      <x:c r="C114" s="79" t="n"/>
      <x:c r="D114" s="79" t="n"/>
      <x:c r="E114" s="79" t="n"/>
      <x:c r="F114" s="79" t="n"/>
      <x:c r="G114" s="79" t="n"/>
      <x:c r="H114" s="79" t="n"/>
      <x:c r="I114" s="80" t="n"/>
    </x:row>
    <x:row r="115">
      <x:c r="A115" s="2" t="inlineStr">
        <x:is>
          <x:t xml:space="preserve">Scenario</x:t>
        </x:is>
      </x:c>
      <x:c r="B115" s="2" t="inlineStr">
        <x:is>
          <x:t xml:space="preserve">Show</x:t>
        </x:is>
      </x:c>
      <x:c r="C115" s="2" t="inlineStr">
        <x:is>
          <x:t xml:space="preserve">z0 (km)</x:t>
        </x:is>
      </x:c>
      <x:c r="D115" s="2" t="inlineStr">
        <x:is>
          <x:t xml:space="preserve">Length (km)</x:t>
        </x:is>
      </x:c>
      <x:c r="E115" s="2" t="inlineStr">
        <x:is>
          <x:t xml:space="preserve">Edge alt (km)</x:t>
        </x:is>
      </x:c>
      <x:c r="F115" s="2" t="inlineStr">
        <x:is>
          <x:t xml:space="preserve">Mid depth (m)</x:t>
        </x:is>
      </x:c>
      <x:c r="G115" s="2" t="inlineStr">
        <x:is>
          <x:t xml:space="preserve">Max VHF (Hz)</x:t>
        </x:is>
      </x:c>
      <x:c r="H115" s="2" t="inlineStr">
        <x:is>
          <x:t xml:space="preserve">PRF floor (Hz)</x:t>
        </x:is>
      </x:c>
      <x:c r="I115" s="2" t="inlineStr">
        <x:is>
          <x:t xml:space="preserve">Basis</x:t>
        </x:is>
      </x:c>
    </x:row>
    <x:row r="116">
      <x:c r="A116" s="1" t="str">
        <x:f>Inputs!G6</x:f>
        <x:v>Current custom inputs</x:v>
      </x:c>
      <x:c r="B116" s="8" t="b">
        <x:f>Inputs!F6</x:f>
        <x:v>1</x:v>
      </x:c>
      <x:c r="C116" s="9" t="n">
        <x:f>Inputs!H6</x:f>
        <x:v>400</x:v>
      </x:c>
      <x:c r="D116" s="9" t="n">
        <x:f>Inputs!J6-Inputs!I6</x:f>
        <x:v>120</x:v>
      </x:c>
      <x:c r="E116" s="9" t="n">
        <x:f>Inputs!M6</x:f>
        <x:v>404</x:v>
      </x:c>
      <x:c r="F116" s="9" t="n">
        <x:f>Scenario_Data!AF122</x:f>
        <x:v>550.6998603390537</x:v>
      </x:c>
      <x:c r="G116" s="9" t="n">
        <x:f>MAX(MAX(Scenario_Data!AL2:AL242),-MIN(Scenario_Data!AL2:AL242))</x:f>
        <x:v>504.93234145565276</x:v>
      </x:c>
      <x:c r="H116" s="9" t="n">
        <x:f>2*G116</x:f>
        <x:v>1009.8646829113055</x:v>
      </x:c>
      <x:c r="I116" s="1" t="inlineStr">
        <x:is>
          <x:t xml:space="preserve">Current editable</x:t>
        </x:is>
      </x:c>
    </x:row>
    <x:row r="117">
      <x:c r="A117" s="1" t="str">
        <x:f>Inputs!G7</x:f>
        <x:v>Paper low-altitude 800-km pass</x:v>
      </x:c>
      <x:c r="B117" s="8" t="b">
        <x:f>Inputs!F7</x:f>
        <x:v>1</x:v>
      </x:c>
      <x:c r="C117" s="9" t="n">
        <x:f>Inputs!H7</x:f>
        <x:v>35</x:v>
      </x:c>
      <x:c r="D117" s="9" t="n">
        <x:f>Inputs!J7-Inputs!I7</x:f>
        <x:v>800</x:v>
      </x:c>
      <x:c r="E117" s="9" t="n">
        <x:f>Inputs!M7</x:f>
        <x:v>400</x:v>
      </x:c>
      <x:c r="F117" s="9" t="n">
        <x:f>Scenario_Data!AG122</x:f>
        <x:v>4592.182396129015</x:v>
      </x:c>
      <x:c r="G117" s="9" t="n">
        <x:f>MAX(MAX(Scenario_Data!AM2:AM242),-MIN(Scenario_Data!AM2:AM242))</x:f>
        <x:v>3517.728529041067</x:v>
      </x:c>
      <x:c r="H117" s="9" t="n">
        <x:f>2*G117</x:f>
        <x:v>7035.457058082134</x:v>
      </x:c>
      <x:c r="I117" s="1" t="inlineStr">
        <x:is>
          <x:t xml:space="preserve">800 km below 400</x:t>
        </x:is>
      </x:c>
    </x:row>
    <x:row r="118">
      <x:c r="A118" s="1" t="str">
        <x:f>Inputs!G8</x:f>
        <x:v>Paper ice-ocean 1600-km pass</x:v>
      </x:c>
      <x:c r="B118" s="8" t="b">
        <x:f>Inputs!F8</x:f>
        <x:v>1</x:v>
      </x:c>
      <x:c r="C118" s="9" t="n">
        <x:f>Inputs!H8</x:f>
        <x:v>35</x:v>
      </x:c>
      <x:c r="D118" s="9" t="n">
        <x:f>Inputs!J8-Inputs!I8</x:f>
        <x:v>1600</x:v>
      </x:c>
      <x:c r="E118" s="9" t="n">
        <x:f>Inputs!M8</x:f>
        <x:v>1000</x:v>
      </x:c>
      <x:c r="F118" s="9" t="n">
        <x:f>Scenario_Data!AH122</x:f>
        <x:v>4592.182396129015</x:v>
      </x:c>
      <x:c r="G118" s="9" t="n">
        <x:f>MAX(MAX(Scenario_Data!AN2:AN242),-MIN(Scenario_Data!AN2:AN242))</x:f>
        <x:v>4665.341278693438</x:v>
      </x:c>
      <x:c r="H118" s="9" t="n">
        <x:f>2*G118</x:f>
        <x:v>9330.682557386875</x:v>
      </x:c>
      <x:c r="I118" s="1" t="inlineStr">
        <x:is>
          <x:t xml:space="preserve">1600 km below 1000</x:t>
        </x:is>
      </x:c>
    </x:row>
    <x:row r="119">
      <x:c r="A119" s="1" t="str">
        <x:f>Inputs!G9</x:f>
        <x:v>Paper operating 25-to-1000-km pass</x:v>
      </x:c>
      <x:c r="B119" s="8" t="b">
        <x:f>Inputs!F9</x:f>
        <x:v>1</x:v>
      </x:c>
      <x:c r="C119" s="9" t="n">
        <x:f>Inputs!H9</x:f>
        <x:v>25</x:v>
      </x:c>
      <x:c r="D119" s="9" t="n">
        <x:f>Inputs!J9-Inputs!I9</x:f>
        <x:v>1600</x:v>
      </x:c>
      <x:c r="E119" s="9" t="n">
        <x:f>Inputs!M9</x:f>
        <x:v>1000</x:v>
      </x:c>
      <x:c r="F119" s="9" t="n">
        <x:f>Scenario_Data!AI122</x:f>
        <x:v>5896.876901998302</x:v>
      </x:c>
      <x:c r="G119" s="9" t="n">
        <x:f>MAX(MAX(Scenario_Data!AO2:AO242),-MIN(Scenario_Data!AO2:AO242))</x:f>
        <x:v>4699.066787940814</x:v>
      </x:c>
      <x:c r="H119" s="9" t="n">
        <x:f>2*G119</x:f>
        <x:v>9398.133575881628</x:v>
      </x:c>
      <x:c r="I119" s="1" t="inlineStr">
        <x:is>
          <x:t xml:space="preserve">25-1000 km range</x:t>
        </x:is>
      </x:c>
    </x:row>
    <x:row r="120" s="73" customFormat="1" ht="13.949999809265137" customHeight="1">
      <x:c r="A120" s="5" t="inlineStr">
        <x:is>
          <x:t xml:space="preserve">Scenario note</x:t>
        </x:is>
      </x:c>
      <x:c r="B120" s="83" t="inlineStr">
        <x:is>
          <x:t xml:space="preserve">Paper numbers are converted into this workbook's simplified parabola so the outcomes can be compared. The paper states altitude ranges and groundtrack requirements, not an exact parabolic spacecraft trajectory.</x:t>
        </x:is>
      </x:c>
      <x:c r="C120" s="79" t="n"/>
      <x:c r="D120" s="79" t="n"/>
      <x:c r="E120" s="79" t="n"/>
      <x:c r="F120" s="79" t="n"/>
      <x:c r="G120" s="79" t="n"/>
      <x:c r="H120" s="79" t="n"/>
      <x:c r="I120" s="80" t="n"/>
    </x:row>
    <x:row r="122" s="73" customFormat="1" ht="27" customHeight="1">
      <x:c r="A122" s="84" t="inlineStr">
        <x:is>
          <x:t xml:space="preserve">Quick Graph Guide</x:t>
        </x:is>
      </x:c>
    </x:row>
    <x:row r="123" s="73" customFormat="1" ht="27" customHeight="1">
      <x:c r="A123" s="82" t="inlineStr">
        <x:is>
          <x:t xml:space="preserve">Graph</x:t>
        </x:is>
      </x:c>
      <x:c r="B123" s="82" t="inlineStr">
        <x:is>
          <x:t xml:space="preserve">What it is trying to show</x:t>
        </x:is>
      </x:c>
      <x:c r="C123" s="75" t="n"/>
      <x:c r="D123" s="75" t="n"/>
      <x:c r="E123" s="76" t="n"/>
      <x:c r="F123" s="82" t="inlineStr">
        <x:is>
          <x:t xml:space="preserve">How to read the baseline</x:t>
        </x:is>
      </x:c>
      <x:c r="G123" s="75" t="n"/>
      <x:c r="H123" s="75" t="n"/>
      <x:c r="I123" s="76" t="n"/>
    </x:row>
    <x:row r="124" s="73" customFormat="1" ht="27" customHeight="1">
      <x:c r="A124" s="16" t="inlineStr">
        <x:is>
          <x:t xml:space="preserve">Apparent depth</x:t>
        </x:is>
      </x:c>
      <x:c r="B124" s="77" t="inlineStr">
        <x:is>
          <x:t xml:space="preserve">Motion and topography change the apparent radar depth relative to the nadir reference.</x:t>
        </x:is>
      </x:c>
      <x:c r="C124" s="75" t="n"/>
      <x:c r="D124" s="75" t="n"/>
      <x:c r="E124" s="76" t="n"/>
      <x:c r="F124" s="77" t="inlineStr">
        <x:is>
          <x:t xml:space="preserve">Grey zero line is a reference, not a plotted terrain/run result.</x:t>
        </x:is>
      </x:c>
      <x:c r="G124" s="75" t="n"/>
      <x:c r="H124" s="75" t="n"/>
      <x:c r="I124" s="76" t="n"/>
    </x:row>
    <x:row r="125" s="73" customFormat="1" ht="27" customHeight="1">
      <x:c r="A125" s="16" t="inlineStr">
        <x:is>
          <x:t xml:space="preserve">Surface height</x:t>
        </x:is>
      </x:c>
      <x:c r="B125" s="77" t="inlineStr">
        <x:is>
          <x:t xml:space="preserve">Shows the generated topography used as the reference floor, plus the off-nadir target and nadir terrain heights. The satellite path is curved/parabolic, not flat.</x:t>
        </x:is>
      </x:c>
      <x:c r="C125" s="75" t="n"/>
      <x:c r="D125" s="75" t="n"/>
      <x:c r="E125" s="76" t="n"/>
      <x:c r="F125" s="77" t="inlineStr">
        <x:is>
          <x:t xml:space="preserve">Grey floor now follows the generated topography instead of 0 m; colored lines show target and nadir terrain.</x:t>
        </x:is>
      </x:c>
      <x:c r="G125" s="75" t="n"/>
      <x:c r="H125" s="75" t="n"/>
      <x:c r="I125" s="76" t="n"/>
    </x:row>
    <x:row r="126" s="73" customFormat="1" ht="27" customHeight="1">
      <x:c r="A126" s="16" t="inlineStr">
        <x:is>
          <x:t xml:space="preserve">Doppler</x:t>
        </x:is>
      </x:c>
      <x:c r="B126" s="77" t="inlineStr">
        <x:is>
          <x:t xml:space="preserve">Range-rate-driven VHF/HF Doppler, with flat geometry compared against topography-adjusted geometry.</x:t>
        </x:is>
      </x:c>
      <x:c r="C126" s="75" t="n"/>
      <x:c r="D126" s="75" t="n"/>
      <x:c r="E126" s="76" t="n"/>
      <x:c r="F126" s="77" t="inlineStr">
        <x:is>
          <x:t xml:space="preserve">Crossing 0 Hz means the radial motion changes sign near closest approach.</x:t>
        </x:is>
      </x:c>
      <x:c r="G126" s="75" t="n"/>
      <x:c r="H126" s="75" t="n"/>
      <x:c r="I126" s="76" t="n"/>
    </x:row>
    <x:row r="127" s="73" customFormat="1" ht="27" customHeight="1">
      <x:c r="A127" s="16" t="inlineStr">
        <x:is>
          <x:t xml:space="preserve">Motion-only / scenarios</x:t>
        </x:is>
      </x:c>
      <x:c r="B127" s="77" t="inlineStr">
        <x:is>
          <x:t xml:space="preserve">The motion-only chart is a radar reading from flat ground. It is not ground height; the curve comes from satellite path and slant-range geometry.</x:t>
        </x:is>
      </x:c>
      <x:c r="C127" s="75" t="n"/>
      <x:c r="D127" s="75" t="n"/>
      <x:c r="E127" s="76" t="n"/>
      <x:c r="F127" s="77" t="inlineStr">
        <x:is>
          <x:t xml:space="preserve">Scenario baselines are grey reference floors; they are intentionally not orange model lines.</x:t>
        </x:is>
      </x:c>
      <x:c r="G127" s="75" t="n"/>
      <x:c r="H127" s="75" t="n"/>
      <x:c r="I127" s="76" t="n"/>
    </x:row>
    <x:row r="128" s="73" customFormat="1" ht="27" customHeight="1">
      <x:c r="A128" s="16" t="inlineStr">
        <x:is>
          <x:t xml:space="preserve">Detailed notes</x:t>
        </x:is>
      </x:c>
      <x:c r="B128" s="77" t="inlineStr">
        <x:is>
          <x:t xml:space="preserve">See the Graph_Guide tab for every chart, source range, formula basis, and audit status.</x:t>
        </x:is>
      </x:c>
      <x:c r="C128" s="75" t="n"/>
      <x:c r="D128" s="75" t="n"/>
      <x:c r="E128" s="76" t="n"/>
      <x:c r="F128" s="77" t="inlineStr">
        <x:is>
          <x:t xml:space="preserve">Checks!B4:B23 remains the formula-health checklist.</x:t>
        </x:is>
      </x:c>
      <x:c r="G128" s="75" t="n"/>
      <x:c r="H128" s="75" t="n"/>
      <x:c r="I128" s="76" t="n"/>
    </x:row>
  </x:sheetData>
  <x:mergeCells>
    <x:mergeCell ref="B127:E127"/>
    <x:mergeCell ref="A4:D4"/>
    <x:mergeCell ref="B124:E124"/>
    <x:mergeCell ref="A1:H1"/>
    <x:mergeCell ref="B123:E123"/>
    <x:mergeCell ref="F123:I123"/>
    <x:mergeCell ref="B126:E126"/>
    <x:mergeCell ref="A25:H25"/>
    <x:mergeCell ref="B120:I120"/>
    <x:mergeCell ref="A122:I122"/>
    <x:mergeCell ref="B125:E125"/>
    <x:mergeCell ref="F128:I128"/>
    <x:mergeCell ref="A26:H26"/>
    <x:mergeCell ref="F124:I124"/>
    <x:mergeCell ref="F127:I127"/>
    <x:mergeCell ref="A19:F19"/>
    <x:mergeCell ref="A2:H2"/>
    <x:mergeCell ref="A114:I114"/>
    <x:mergeCell ref="F126:I126"/>
    <x:mergeCell ref="B128:E128"/>
    <x:mergeCell ref="F125:I125"/>
  </x:mergeCells>
  <x:dataValidations count="1">
    <x:dataValidation type="list" allowBlank="0" showDropDown="0" showInputMessage="0" showErrorMessage="0" sqref="B59:B62">
      <x:formula1>"TRUE,FALSE"</x:formula1>
    </x:dataValidation>
  </x:dataValidations>
  <x:pageMargins left="0.7" right="0.7" top="0.75" bottom="0.75" header="0.3" footer="0.3"/>
  <x:drawing xmlns:r="http://schemas.openxmlformats.org/officeDocument/2006/relationships" r:id="R617dd9c239934ef7"/>
</x:worksheet>
</file>

<file path=xl/worksheets/sheet2.xml><?xml version="1.0" encoding="utf-8"?>
<x:worksheet xmlns:x="http://schemas.openxmlformats.org/spreadsheetml/2006/main">
  <x:sheetViews>
    <x:sheetView showGridLines="0" workbookViewId="0"/>
  </x:sheetViews>
  <x:sheetFormatPr baseColWidth="8" defaultRowHeight="13.800000190734863"/>
  <x:cols>
    <x:col min="1" max="1" width="31" style="73" customWidth="1"/>
    <x:col min="2" max="2" width="13" style="73" customWidth="1"/>
    <x:col min="3" max="3" width="9" style="73" customWidth="1"/>
    <x:col min="4" max="4" width="34" style="73" customWidth="1"/>
    <x:col min="5" max="5" width="14" style="73" customWidth="1"/>
    <x:col min="6" max="6" width="18" style="73" customWidth="1"/>
    <x:col min="7" max="7" width="14" style="73" customWidth="1"/>
    <x:col min="8" max="8" width="13" style="73" customWidth="1"/>
    <x:col min="9" max="9" width="28" style="73" customWidth="1"/>
    <x:col min="10" max="10" width="16" style="73" customWidth="1"/>
    <x:col min="11" max="18" width="13" style="73" customWidth="1"/>
  </x:cols>
  <x:sheetData>
    <x:row r="1" s="73" customFormat="1" ht="21" customHeight="1">
      <x:c r="A1" s="89" t="inlineStr">
        <x:is>
          <x:t xml:space="preserve">Europa Ice Subsurface Interface</x:t>
        </x:is>
      </x:c>
    </x:row>
    <x:row r="2" s="73" customFormat="1" ht="28.049999237060547" customHeight="1">
      <x:c r="A2" s="88" t="inlineStr">
        <x:is>
          <x:t xml:space="preserve">Live subsurface outputs from Subsurface_Inputs. The model is synthetic: it helps test what radar might see below icy topography, but it does not prove real Europa layers by itself.</x:t>
        </x:is>
      </x:c>
    </x:row>
    <x:row r="4" s="73" customFormat="1" ht="15.75" customHeight="1">
      <x:c r="A4" s="87" t="inlineStr">
        <x:is>
          <x:t xml:space="preserve">Key Subsurface Results</x:t>
        </x:is>
      </x:c>
      <x:c r="F4" s="87" t="inlineStr">
        <x:is>
          <x:t xml:space="preserve">Realism / Proof Strength</x:t>
        </x:is>
      </x:c>
    </x:row>
    <x:row r="5">
      <x:c r="A5" s="23" t="inlineStr">
        <x:is>
          <x:t xml:space="preserve">Output</x:t>
        </x:is>
      </x:c>
      <x:c r="B5" s="23" t="inlineStr">
        <x:is>
          <x:t xml:space="preserve">Value</x:t>
        </x:is>
      </x:c>
      <x:c r="C5" s="23" t="inlineStr">
        <x:is>
          <x:t xml:space="preserve">Unit</x:t>
        </x:is>
      </x:c>
      <x:c r="D5" s="23" t="inlineStr">
        <x:is>
          <x:t xml:space="preserve">What it means</x:t>
        </x:is>
      </x:c>
      <x:c r="F5" s="23" t="inlineStr">
        <x:is>
          <x:t xml:space="preserve">Score</x:t>
        </x:is>
      </x:c>
      <x:c r="G5" s="23" t="inlineStr">
        <x:is>
          <x:t xml:space="preserve">Value</x:t>
        </x:is>
      </x:c>
      <x:c r="H5" s="23" t="inlineStr">
        <x:is>
          <x:t xml:space="preserve">Meaning</x:t>
        </x:is>
      </x:c>
      <x:c r="I5" s="23" t="inlineStr">
        <x:is>
          <x:t xml:space="preserve">Improve by</x:t>
        </x:is>
      </x:c>
    </x:row>
    <x:row r="6" s="73" customFormat="1" ht="26.25" customHeight="1">
      <x:c r="A6" s="25" t="inlineStr">
        <x:is>
          <x:t xml:space="preserve">Average bottom depth</x:t>
        </x:is>
      </x:c>
      <x:c r="B6" s="24" t="n">
        <x:f>AVERAGE(Subsurface_Live_Data!K2:K242)</x:f>
        <x:v>15077.38469557411</x:v>
      </x:c>
      <x:c r="C6" s="25" t="inlineStr">
        <x:is>
          <x:t xml:space="preserve">m</x:t>
        </x:is>
      </x:c>
      <x:c r="D6" s="25" t="inlineStr">
        <x:is>
          <x:t xml:space="preserve">Mean proposed ice-ocean boundary depth.</x:t>
        </x:is>
      </x:c>
      <x:c r="F6" s="25" t="inlineStr">
        <x:is>
          <x:t xml:space="preserve">Concept realism</x:t>
        </x:is>
      </x:c>
      <x:c r="G6" s="30" t="n">
        <x:v>0.7</x:v>
      </x:c>
      <x:c r="H6" s="25" t="inlineStr">
        <x:is>
          <x:t xml:space="preserve">Good for showing layered-ice radar behavior.</x:t>
        </x:is>
      </x:c>
      <x:c r="I6" s="25" t="inlineStr">
        <x:is>
          <x:t xml:space="preserve">Compare more scenarios.</x:t>
        </x:is>
      </x:c>
    </x:row>
    <x:row r="7" s="73" customFormat="1" ht="26.25" customHeight="1">
      <x:c r="A7" s="25" t="inlineStr">
        <x:is>
          <x:t xml:space="preserve">Boundary uncertainty band</x:t>
        </x:is>
      </x:c>
      <x:c r="B7" s="24" t="n">
        <x:f>Subsurface_Inputs!$C$44</x:f>
        <x:v>1500</x:v>
      </x:c>
      <x:c r="C7" s="25" t="inlineStr">
        <x:is>
          <x:t xml:space="preserve">m</x:t>
        </x:is>
      </x:c>
      <x:c r="D7" s="25" t="inlineStr">
        <x:is>
          <x:t xml:space="preserve">Plus/minus range around bottom reflector.</x:t>
        </x:is>
      </x:c>
      <x:c r="F7" s="25" t="inlineStr">
        <x:is>
          <x:t xml:space="preserve">Europa prediction realism</x:t>
        </x:is>
      </x:c>
      <x:c r="G7" s="30" t="n">
        <x:f>MIN(0.75,0.25+Subsurface_Materials_Evidence!D14/100*0.45)</x:f>
        <x:v>0.4615</x:v>
      </x:c>
      <x:c r="H7" s="25" t="inlineStr">
        <x:is>
          <x:t xml:space="preserve">Plausible, but synthetic and not measured.</x:t>
        </x:is>
      </x:c>
      <x:c r="I7" s="25" t="inlineStr">
        <x:is>
          <x:t xml:space="preserve">Use published constraints or real mission data.</x:t>
        </x:is>
      </x:c>
    </x:row>
    <x:row r="8" s="73" customFormat="1" ht="26.25" customHeight="1">
      <x:c r="A8" s="25" t="inlineStr">
        <x:is>
          <x:t xml:space="preserve">Best ocean echo margin</x:t>
        </x:is>
      </x:c>
      <x:c r="B8" s="24" t="n">
        <x:f>MAX(Subsurface_Live_Data!Y2:Y242)</x:f>
        <x:v>11.93839405738953</x:v>
      </x:c>
      <x:c r="C8" s="25" t="inlineStr">
        <x:is>
          <x:t xml:space="preserve">dB</x:t>
        </x:is>
      </x:c>
      <x:c r="D8" s="25" t="inlineStr">
        <x:is>
          <x:t xml:space="preserve">How far deep reflector rises above/below threshold.</x:t>
        </x:is>
      </x:c>
      <x:c r="F8" s="25" t="inlineStr">
        <x:is>
          <x:t xml:space="preserve">Proof strength</x:t>
        </x:is>
      </x:c>
      <x:c r="G8" s="30" t="n">
        <x:f>MIN(0.6,0.15+Subsurface_Materials_Evidence!D14/100*0.35)</x:f>
        <x:v>0.3145</x:v>
      </x:c>
      <x:c r="H8" s="25" t="inlineStr">
        <x:is>
          <x:t xml:space="preserve">Supports a hypothesis; does not prove a real layer.</x:t>
        </x:is>
      </x:c>
      <x:c r="I8" s="25" t="inlineStr">
        <x:is>
          <x:t xml:space="preserve">Validate with radar, thermal, composition, and magnetic/plasma data.</x:t>
        </x:is>
      </x:c>
    </x:row>
    <x:row r="9" s="73" customFormat="1" ht="26.25" customHeight="1">
      <x:c r="A9" s="25" t="inlineStr">
        <x:is>
          <x:t xml:space="preserve">Best lens echo margin</x:t>
        </x:is>
      </x:c>
      <x:c r="B9" s="24" t="n">
        <x:f>MAX(Subsurface_Live_Data!X2:X242)</x:f>
        <x:v>21.491320370993172</x:v>
      </x:c>
      <x:c r="C9" s="25" t="inlineStr">
        <x:is>
          <x:t xml:space="preserve">dB</x:t>
        </x:is>
      </x:c>
      <x:c r="D9" s="25" t="inlineStr">
        <x:is>
          <x:t xml:space="preserve">How far internal lens return rises above/below threshold.</x:t>
        </x:is>
      </x:c>
    </x:row>
    <x:row r="10" s="73" customFormat="1" ht="26.25" customHeight="1">
      <x:c r="A10" s="25" t="inlineStr">
        <x:is>
          <x:t xml:space="preserve">Likely visible ocean samples</x:t>
        </x:is>
      </x:c>
      <x:c r="B10" s="24" t="n">
        <x:f>COUNTIF(Subsurface_Live_Data!V2:V242,"Likely visible")</x:f>
        <x:v>241</x:v>
      </x:c>
      <x:c r="C10" s="25" t="inlineStr">
        <x:is>
          <x:t xml:space="preserve">count</x:t>
        </x:is>
      </x:c>
      <x:c r="D10" s="25" t="inlineStr">
        <x:is>
          <x:t xml:space="preserve">Pass samples clearing the detection threshold.</x:t>
        </x:is>
      </x:c>
    </x:row>
    <x:row r="11" s="73" customFormat="1" ht="26.25" customHeight="1">
      <x:c r="A11" s="25" t="inlineStr">
        <x:is>
          <x:t xml:space="preserve">Total evidence support</x:t>
        </x:is>
      </x:c>
      <x:c r="B11" s="24" t="n">
        <x:f>Subsurface_Materials_Evidence!D14</x:f>
        <x:v>47</x:v>
      </x:c>
      <x:c r="C11" s="25" t="inlineStr">
        <x:is>
          <x:t xml:space="preserve">%</x:t>
        </x:is>
      </x:c>
      <x:c r="D11" s="25" t="inlineStr">
        <x:is>
          <x:t xml:space="preserve">Radar + thermal + composition + magnetic/plasma support.</x:t>
        </x:is>
      </x:c>
    </x:row>
    <x:row r="13" s="73" customFormat="1" ht="15.75" customHeight="1">
      <x:c r="A13" s="87" t="inlineStr">
        <x:is>
          <x:t xml:space="preserve">Subsurface Graph Guide</x:t>
        </x:is>
      </x:c>
    </x:row>
    <x:row r="14" s="73" customFormat="1" ht="26.25" customHeight="1">
      <x:c r="A14" s="23" t="inlineStr">
        <x:is>
          <x:t xml:space="preserve">Graph</x:t>
        </x:is>
      </x:c>
      <x:c r="B14" s="23" t="inlineStr">
        <x:is>
          <x:t xml:space="preserve">What it shows</x:t>
        </x:is>
      </x:c>
      <x:c r="C14" s="23" t="inlineStr">
        <x:is>
          <x:t xml:space="preserve">How to read it</x:t>
        </x:is>
      </x:c>
      <x:c r="D14" s="23" t="n"/>
      <x:c r="E14" s="23" t="n"/>
      <x:c r="F14" s="23" t="inlineStr">
        <x:is>
          <x:t xml:space="preserve">Graph</x:t>
        </x:is>
      </x:c>
      <x:c r="G14" s="23" t="inlineStr">
        <x:is>
          <x:t xml:space="preserve">What it shows</x:t>
        </x:is>
      </x:c>
      <x:c r="H14" s="23" t="inlineStr">
        <x:is>
          <x:t xml:space="preserve">How to read it</x:t>
        </x:is>
      </x:c>
      <x:c r="I14" s="23" t="n"/>
    </x:row>
    <x:row r="15" s="73" customFormat="1" ht="26.25" customHeight="1">
      <x:c r="A15" s="25" t="inlineStr">
        <x:is>
          <x:t xml:space="preserve">Icy layers</x:t>
        </x:is>
      </x:c>
      <x:c r="B15" s="25" t="inlineStr">
        <x:is>
          <x:t xml:space="preserve">Top surface, internal ice, lens, and possible ocean boundary.</x:t>
        </x:is>
      </x:c>
      <x:c r="C15" s="25" t="inlineStr">
        <x:is>
          <x:t xml:space="preserve">Lower lines are deeper.</x:t>
        </x:is>
      </x:c>
      <x:c r="D15" s="25" t="n"/>
      <x:c r="E15" s="25" t="n"/>
      <x:c r="F15" s="25" t="inlineStr">
        <x:is>
          <x:t xml:space="preserve">Scenarios</x:t>
        </x:is>
      </x:c>
      <x:c r="G15" s="25" t="inlineStr">
        <x:is>
          <x:t xml:space="preserve">Thin / medium / thick ice shell cases.</x:t>
        </x:is>
      </x:c>
      <x:c r="H15" s="25" t="inlineStr">
        <x:is>
          <x:t xml:space="preserve">Different assumptions change boundary depth.</x:t>
        </x:is>
      </x:c>
      <x:c r="I15" s="25" t="n"/>
    </x:row>
    <x:row r="16" s="73" customFormat="1" ht="26.25" customHeight="1">
      <x:c r="A16" s="25" t="inlineStr">
        <x:is>
          <x:t xml:space="preserve">Uncertainty</x:t>
        </x:is>
      </x:c>
      <x:c r="B16" s="25" t="inlineStr">
        <x:is>
          <x:t xml:space="preserve">Mean bottom boundary with lower/upper bounds.</x:t>
        </x:is>
      </x:c>
      <x:c r="C16" s="25" t="inlineStr">
        <x:is>
          <x:t xml:space="preserve">Band width comes from Subsurface_Inputs.</x:t>
        </x:is>
      </x:c>
      <x:c r="D16" s="25" t="n"/>
      <x:c r="E16" s="25" t="n"/>
      <x:c r="F16" s="25" t="inlineStr">
        <x:is>
          <x:t xml:space="preserve">Control</x:t>
        </x:is>
      </x:c>
      <x:c r="G16" s="25" t="inlineStr">
        <x:is>
          <x:t xml:space="preserve">Ocean model compared with no-ocean control.</x:t>
        </x:is>
      </x:c>
      <x:c r="H16" s="25" t="inlineStr">
        <x:is>
          <x:t xml:space="preserve">Positive margin clears threshold.</x:t>
        </x:is>
      </x:c>
      <x:c r="I16" s="25" t="n"/>
    </x:row>
    <x:row r="17" s="73" customFormat="1" ht="69" customHeight="1">
      <x:c r="A17" s="25" t="inlineStr">
        <x:is>
          <x:t xml:space="preserve">Radargram timing</x:t>
        </x:is>
      </x:c>
      <x:c r="B17" s="25" t="inlineStr">
        <x:is>
          <x:t xml:space="preserve">Return delay with surface clutter and jitter.</x:t>
        </x:is>
      </x:c>
      <x:c r="C17" s="25" t="inlineStr">
        <x:is>
          <x:t xml:space="preserve">Later delay means deeper reflector.</x:t>
        </x:is>
      </x:c>
      <x:c r="D17" s="25" t="n"/>
      <x:c r="E17" s="25" t="n"/>
      <x:c r="F17" s="25" t="inlineStr">
        <x:is>
          <x:t xml:space="preserve">Detectability</x:t>
        </x:is>
      </x:c>
      <x:c r="G17" s="25" t="inlineStr">
        <x:is>
          <x:t xml:space="preserve">Lens/ocean echo margin above threshold.</x:t>
        </x:is>
      </x:c>
      <x:c r="H17" s="25" t="inlineStr">
        <x:is>
          <x:t xml:space="preserve">Above 0 dB is easier to detect.</x:t>
        </x:is>
      </x:c>
      <x:c r="I17" s="25" t="n"/>
    </x:row>
    <x:row r="18" s="73" customFormat="1" ht="55.20000076293945" customHeight="1">
      <x:c r="A18" s="25" t="inlineStr">
        <x:is>
          <x:t xml:space="preserve">Materials</x:t>
        </x:is>
      </x:c>
      <x:c r="B18" s="25" t="inlineStr">
        <x:is>
          <x:t xml:space="preserve">Reflector strength by material/interface.</x:t>
        </x:is>
      </x:c>
      <x:c r="C18" s="25" t="inlineStr">
        <x:is>
          <x:t xml:space="preserve">Less negative is stronger.</x:t>
        </x:is>
      </x:c>
      <x:c r="D18" s="25" t="n"/>
      <x:c r="E18" s="25" t="n"/>
      <x:c r="F18" s="25" t="inlineStr">
        <x:is>
          <x:t xml:space="preserve">Evidence</x:t>
        </x:is>
      </x:c>
      <x:c r="G18" s="25" t="inlineStr">
        <x:is>
          <x:t xml:space="preserve">Radar, thermal, composition, magnetic/plasma support.</x:t>
        </x:is>
      </x:c>
      <x:c r="H18" s="25" t="inlineStr">
        <x:is>
          <x:t xml:space="preserve">Higher percent means stronger support.</x:t>
        </x:is>
      </x:c>
      <x:c r="I18" s="25" t="n"/>
    </x:row>
    <x:row r="19" s="73" customFormat="1" ht="15.75" customHeight="1"/>
    <x:row r="20" s="73" customFormat="1" ht="26.25" customHeight="1"/>
    <x:row r="21" s="73" customFormat="1" ht="26.25" customHeight="1"/>
    <x:row r="22" s="73" customFormat="1" ht="26.25" customHeight="1"/>
    <x:row r="23" s="73" customFormat="1" ht="26.25" customHeight="1"/>
    <x:row r="25" s="73" customFormat="1" ht="15.75" customHeight="1"/>
    <x:row r="26" s="73" customFormat="1" ht="13.949999809265137" customHeight="1"/>
  </x:sheetData>
  <x:mergeCells>
    <x:mergeCell ref="A4:D4"/>
    <x:mergeCell ref="A2:H2"/>
    <x:mergeCell ref="F4:I4"/>
    <x:mergeCell ref="A13:I13"/>
    <x:mergeCell ref="A1:H1"/>
  </x:mergeCells>
  <x:pageMargins left="0.7" right="0.7" top="0.75" bottom="0.75" header="0.3" footer="0.3"/>
  <x:drawing xmlns:r="http://schemas.openxmlformats.org/officeDocument/2006/relationships" r:id="R9470ec583ea64b12"/>
</x:worksheet>
</file>

<file path=xl/worksheets/sheet3.xml><?xml version="1.0" encoding="utf-8"?>
<x:worksheet xmlns:x="http://schemas.openxmlformats.org/spreadsheetml/2006/main">
  <x:sheetViews>
    <x:sheetView showGridLines="0" workbookViewId="0"/>
  </x:sheetViews>
  <x:sheetFormatPr baseColWidth="8" defaultRowHeight="13.800000190734863"/>
  <x:cols>
    <x:col min="1" max="19" width="13" style="73" customWidth="1"/>
  </x:cols>
  <x:sheetData>
    <x:row r="1" s="73" customFormat="1" ht="18" customHeight="1">
      <x:c r="A1" s="94" t="inlineStr">
        <x:is>
          <x:t xml:space="preserve">Doppler-Angle Depth Inversion</x:t>
        </x:is>
      </x:c>
    </x:row>
    <x:row r="2" s="73" customFormat="1" ht="18" customHeight="1">
      <x:c r="A2" s="96" t="inlineStr">
        <x:is>
          <x:t xml:space="preserve">Main view only: charts plus key live results. The detailed row-by-row numbers that feed the graphs were moved to the Doppler_Depth_Data tab.</x:t>
        </x:is>
      </x:c>
    </x:row>
    <x:row r="3" s="73" customFormat="1" ht="18" customHeight="1"/>
    <x:row r="4" s="73" customFormat="1" ht="18" customHeight="1"/>
    <x:row r="5" s="73" customFormat="1" ht="18" customHeight="1">
      <x:c r="A5" s="110" t="inlineStr">
        <x:is>
          <x:t xml:space="preserve">Main result</x:t>
        </x:is>
      </x:c>
      <x:c r="B5" s="99" t="n"/>
      <x:c r="C5" s="99" t="n"/>
      <x:c r="D5" s="100" t="n"/>
      <x:c r="F5" s="110" t="inlineStr">
        <x:is>
          <x:t xml:space="preserve">Live inputs</x:t>
        </x:is>
      </x:c>
      <x:c r="G5" s="99" t="n"/>
      <x:c r="H5" s="99" t="n"/>
      <x:c r="I5" s="100" t="n"/>
      <x:c r="K5" s="110" t="inlineStr">
        <x:is>
          <x:t xml:space="preserve">Sample depth point</x:t>
        </x:is>
      </x:c>
      <x:c r="L5" s="99" t="n"/>
      <x:c r="M5" s="99" t="n"/>
      <x:c r="N5" s="100" t="n"/>
      <x:c r="P5" s="110" t="inlineStr">
        <x:is>
          <x:t xml:space="preserve">Simplified method</x:t>
        </x:is>
      </x:c>
      <x:c r="Q5" s="99" t="n"/>
      <x:c r="R5" s="99" t="n"/>
      <x:c r="S5" s="100" t="n"/>
    </x:row>
    <x:row r="6" s="73" customFormat="1" ht="18" customHeight="1">
      <x:c r="A6" s="43" t="inlineStr">
        <x:is>
          <x:t xml:space="preserve">Mean raw slant error</x:t>
        </x:is>
      </x:c>
      <x:c r="B6" s="179" t="n">
        <x:v>261.44719975668545</x:v>
      </x:c>
      <x:c r="C6" s="45" t="inlineStr">
        <x:is>
          <x:t xml:space="preserve">m</x:t>
        </x:is>
      </x:c>
      <x:c r="F6" s="46" t="inlineStr">
        <x:is>
          <x:t xml:space="preserve">VHF wavelength</x:t>
        </x:is>
      </x:c>
      <x:c r="G6" s="47" t="n">
        <x:f>Inputs!$C$13</x:f>
        <x:v>5</x:v>
      </x:c>
      <x:c r="H6" s="45" t="inlineStr">
        <x:is>
          <x:t xml:space="preserve">m</x:t>
        </x:is>
      </x:c>
      <x:c r="K6" s="48" t="inlineStr">
        <x:is>
          <x:t xml:space="preserve">x position</x:t>
        </x:is>
      </x:c>
      <x:c r="L6" s="47" t="n">
        <x:f>Doppler_Depth_Data!A4</x:f>
        <x:v>-60</x:v>
      </x:c>
      <x:c r="M6" s="45" t="inlineStr">
        <x:is>
          <x:t xml:space="preserve">km</x:t>
        </x:is>
      </x:c>
      <x:c r="P6" s="49" t="inlineStr">
        <x:is>
          <x:t xml:space="preserve">1</x:t>
        </x:is>
      </x:c>
      <x:c r="Q6" s="111" t="inlineStr">
        <x:is>
          <x:t xml:space="preserve">Doppler shift gives line-of-sight velocity</x:t>
        </x:is>
      </x:c>
      <x:c r="R6" s="99" t="n"/>
      <x:c r="S6" s="100" t="n"/>
    </x:row>
    <x:row r="7" s="73" customFormat="1" ht="18" customHeight="1">
      <x:c r="A7" s="43" t="inlineStr">
        <x:is>
          <x:t xml:space="preserve">Mean corrected error</x:t>
        </x:is>
      </x:c>
      <x:c r="B7" s="179" t="n">
        <x:v>1.1547941026660416e-12</x:v>
      </x:c>
      <x:c r="C7" s="45" t="inlineStr">
        <x:is>
          <x:t xml:space="preserve">m</x:t>
        </x:is>
      </x:c>
      <x:c r="F7" s="46" t="inlineStr">
        <x:is>
          <x:t xml:space="preserve">Spacecraft speed</x:t>
        </x:is>
      </x:c>
      <x:c r="G7" s="47" t="n">
        <x:f>Inputs!$C$11*1000</x:f>
        <x:v>4000</x:v>
      </x:c>
      <x:c r="H7" s="45" t="inlineStr">
        <x:is>
          <x:t xml:space="preserve">m/s</x:t>
        </x:is>
      </x:c>
      <x:c r="K7" s="48" t="inlineStr">
        <x:is>
          <x:t xml:space="preserve">True ocean depth</x:t>
        </x:is>
      </x:c>
      <x:c r="L7" s="47" t="n">
        <x:f>Doppler_Depth_Data!H4</x:f>
        <x:v>14538.343476908214</x:v>
      </x:c>
      <x:c r="M7" s="45" t="inlineStr">
        <x:is>
          <x:t xml:space="preserve">m</x:t>
        </x:is>
      </x:c>
      <x:c r="P7" s="49" t="inlineStr">
        <x:is>
          <x:t xml:space="preserve">2</x:t>
        </x:is>
      </x:c>
      <x:c r="Q7" s="111" t="inlineStr">
        <x:is>
          <x:t xml:space="preserve">Velocity gives look angle</x:t>
        </x:is>
      </x:c>
      <x:c r="R7" s="99" t="n"/>
      <x:c r="S7" s="100" t="n"/>
    </x:row>
    <x:row r="8" s="73" customFormat="1" ht="18" customHeight="1">
      <x:c r="A8" s="43" t="inlineStr">
        <x:is>
          <x:t xml:space="preserve">Max Doppler angle</x:t>
        </x:is>
      </x:c>
      <x:c r="B8" s="44" t="n">
        <x:f>MAX(Doppler_Depth_Data!D4:D244)</x:f>
        <x:v>18.31924841287496</x:v>
      </x:c>
      <x:c r="C8" s="45" t="inlineStr">
        <x:is>
          <x:t xml:space="preserve">deg</x:t>
        </x:is>
      </x:c>
      <x:c r="F8" s="46" t="inlineStr">
        <x:is>
          <x:t xml:space="preserve">Ice refractive index</x:t>
        </x:is>
      </x:c>
      <x:c r="G8" s="47" t="n">
        <x:f>Inputs!$C$12</x:f>
        <x:v>1.78</x:v>
      </x:c>
      <x:c r="H8" s="45" t="inlineStr">
        <x:is>
          <x:t xml:space="preserve">n</x:t>
        </x:is>
      </x:c>
      <x:c r="K8" s="48" t="inlineStr">
        <x:is>
          <x:t xml:space="preserve">Raw slant depth</x:t>
        </x:is>
      </x:c>
      <x:c r="L8" s="47" t="n">
        <x:f>Doppler_Depth_Data!L4</x:f>
        <x:v>15314.48238005806</x:v>
      </x:c>
      <x:c r="M8" s="45" t="inlineStr">
        <x:is>
          <x:t xml:space="preserve">m</x:t>
        </x:is>
      </x:c>
      <x:c r="P8" s="49" t="inlineStr">
        <x:is>
          <x:t xml:space="preserve">3</x:t>
        </x:is>
      </x:c>
      <x:c r="Q8" s="111" t="inlineStr">
        <x:is>
          <x:t xml:space="preserve">Echo delay gives slant depth</x:t>
        </x:is>
      </x:c>
      <x:c r="R8" s="99" t="n"/>
      <x:c r="S8" s="100" t="n"/>
    </x:row>
    <x:row r="9" s="73" customFormat="1" ht="18" customHeight="1">
      <x:c r="A9" s="43" t="inlineStr">
        <x:is>
          <x:t xml:space="preserve">Depth correction status</x:t>
        </x:is>
      </x:c>
      <x:c r="B9" s="182" t="str">
        <x:v>PASS</x:v>
      </x:c>
      <x:c r="C9" s="45" t="n"/>
      <x:c r="F9" s="46" t="inlineStr">
        <x:is>
          <x:t xml:space="preserve">Speed of light</x:t>
        </x:is>
      </x:c>
      <x:c r="G9" s="47" t="n">
        <x:f>Inputs!$C$21</x:f>
        <x:v>299792458</x:v>
      </x:c>
      <x:c r="H9" s="45" t="inlineStr">
        <x:is>
          <x:t xml:space="preserve">m/s</x:t>
        </x:is>
      </x:c>
      <x:c r="K9" s="48" t="inlineStr">
        <x:is>
          <x:t xml:space="preserve">Corrected ocean depth</x:t>
        </x:is>
      </x:c>
      <x:c r="L9" s="47" t="n">
        <x:f>Doppler_Depth_Data!M4</x:f>
        <x:v>14538.343476908216</x:v>
      </x:c>
      <x:c r="M9" s="45" t="inlineStr">
        <x:is>
          <x:t xml:space="preserve">m</x:t>
        </x:is>
      </x:c>
      <x:c r="P9" s="49" t="inlineStr">
        <x:is>
          <x:t xml:space="preserve">4</x:t>
        </x:is>
      </x:c>
      <x:c r="Q9" s="111" t="inlineStr">
        <x:is>
          <x:t xml:space="preserve">Angle correction gives actual depth</x:t>
        </x:is>
      </x:c>
      <x:c r="R9" s="99" t="n"/>
      <x:c r="S9" s="100" t="n"/>
    </x:row>
    <x:row r="10" s="73" customFormat="1" ht="18" customHeight="1"/>
    <x:row r="11" s="73" customFormat="1" ht="18" customHeight="1">
      <x:c r="A11" s="51" t="inlineStr">
        <x:is>
          <x:t xml:space="preserve">NASA context source</x:t>
        </x:is>
      </x:c>
      <x:c r="B11" s="112" t="inlineStr">
        <x:is>
          <x:t xml:space="preserve">https://science.nasa.gov/mission/europa-clipper/spacecraft-instruments/</x:t>
        </x:is>
      </x:c>
      <x:c r="C11" s="99" t="n"/>
      <x:c r="D11" s="99" t="n"/>
      <x:c r="E11" s="99" t="n"/>
      <x:c r="F11" s="99" t="n"/>
      <x:c r="G11" s="99" t="n"/>
      <x:c r="H11" s="99" t="n"/>
      <x:c r="I11" s="99" t="n"/>
      <x:c r="J11" s="99" t="n"/>
      <x:c r="K11" s="99" t="n"/>
      <x:c r="L11" s="99" t="n"/>
      <x:c r="M11" s="99" t="n"/>
      <x:c r="N11" s="99" t="n"/>
      <x:c r="O11" s="99" t="n"/>
      <x:c r="P11" s="99" t="n"/>
      <x:c r="Q11" s="99" t="n"/>
      <x:c r="R11" s="99" t="n"/>
      <x:c r="S11" s="100" t="n"/>
    </x:row>
    <x:row r="12" s="73" customFormat="1" ht="18" customHeight="1"/>
    <x:row r="13" s="73" customFormat="1" ht="18" customHeight="1"/>
    <x:row r="14" s="73" customFormat="1" ht="18" customHeight="1"/>
    <x:row r="15" s="73" customFormat="1" ht="18" customHeight="1"/>
    <x:row r="16" s="73" customFormat="1" ht="18" customHeight="1"/>
    <x:row r="17" s="73" customFormat="1" ht="18" customHeight="1"/>
    <x:row r="18" s="73" customFormat="1" ht="18" customHeight="1"/>
    <x:row r="19" s="73" customFormat="1" ht="18" customHeight="1"/>
    <x:row r="20" s="73" customFormat="1" ht="18" customHeight="1"/>
    <x:row r="21" s="73" customFormat="1" ht="18" customHeight="1"/>
    <x:row r="22" s="73" customFormat="1" ht="18" customHeight="1"/>
    <x:row r="23" s="73" customFormat="1" ht="18" customHeight="1"/>
    <x:row r="24" s="73" customFormat="1" ht="18" customHeight="1"/>
    <x:row r="25" s="73" customFormat="1" ht="18" customHeight="1"/>
    <x:row r="26" s="73" customFormat="1" ht="18" customHeight="1"/>
    <x:row r="27" s="73" customFormat="1" ht="18" customHeight="1"/>
    <x:row r="28" s="73" customFormat="1" ht="18" customHeight="1"/>
    <x:row r="29" s="73" customFormat="1" ht="18" customHeight="1"/>
    <x:row r="30" s="73" customFormat="1" ht="18" customHeight="1"/>
    <x:row r="31" s="73" customFormat="1" ht="18" customHeight="1"/>
    <x:row r="32" s="73" customFormat="1" ht="18" customHeight="1"/>
    <x:row r="33" s="73" customFormat="1" ht="18" customHeight="1"/>
    <x:row r="34" s="73" customFormat="1" ht="18" customHeight="1"/>
    <x:row r="35" s="73" customFormat="1" ht="18" customHeight="1"/>
    <x:row r="36" s="73" customFormat="1" ht="18" customHeight="1"/>
    <x:row r="37" s="73" customFormat="1" ht="18" customHeight="1"/>
    <x:row r="38" s="73" customFormat="1" ht="18" customHeight="1"/>
    <x:row r="39" s="73" customFormat="1" ht="18" customHeight="1"/>
    <x:row r="40" s="73" customFormat="1" ht="18" customHeight="1"/>
    <x:row r="41" s="73" customFormat="1" ht="18" customHeight="1"/>
    <x:row r="42" s="73" customFormat="1" ht="18" customHeight="1"/>
    <x:row r="43" s="73" customFormat="1" ht="18" customHeight="1"/>
    <x:row r="44" s="73" customFormat="1" ht="18" customHeight="1"/>
    <x:row r="45" s="73" customFormat="1" ht="18" customHeight="1"/>
    <x:row r="46" s="73" customFormat="1" ht="18" customHeight="1"/>
    <x:row r="47" s="73" customFormat="1" ht="18" customHeight="1"/>
    <x:row r="48" s="73" customFormat="1" ht="18" customHeight="1"/>
    <x:row r="49" s="73" customFormat="1" ht="18" customHeight="1"/>
    <x:row r="50" s="73" customFormat="1" ht="18" customHeight="1"/>
    <x:row r="51" s="73" customFormat="1" ht="18" customHeight="1"/>
    <x:row r="52" s="73" customFormat="1" ht="18" customHeight="1"/>
    <x:row r="53" s="73" customFormat="1" ht="18" customHeight="1"/>
    <x:row r="54" s="73" customFormat="1" ht="18" customHeight="1"/>
    <x:row r="55" s="73" customFormat="1" ht="18" customHeight="1"/>
  </x:sheetData>
  <x:mergeCells>
    <x:mergeCell ref="A5:D5"/>
    <x:mergeCell ref="P5:S5"/>
    <x:mergeCell ref="B11:S11"/>
    <x:mergeCell ref="Q9:S9"/>
    <x:mergeCell ref="A1:S1"/>
    <x:mergeCell ref="Q7:S7"/>
    <x:mergeCell ref="Q8:S8"/>
    <x:mergeCell ref="F5:I5"/>
    <x:mergeCell ref="Q6:S6"/>
    <x:mergeCell ref="K5:N5"/>
    <x:mergeCell ref="A2:S3"/>
  </x:mergeCells>
  <x:pageMargins left="0.7" right="0.7" top="0.75" bottom="0.75" header="0.3" footer="0.3"/>
  <x:drawing xmlns:r="http://schemas.openxmlformats.org/officeDocument/2006/relationships" r:id="R56d9daf4f115417c"/>
</x:worksheet>
</file>

<file path=xl/worksheets/sheet4.xml><?xml version="1.0" encoding="utf-8"?>
<x:worksheet xmlns:x="http://schemas.openxmlformats.org/spreadsheetml/2006/main">
  <x:sheetViews>
    <x:sheetView showGridLines="0" workbookViewId="0"/>
  </x:sheetViews>
  <x:sheetFormatPr baseColWidth="8" defaultRowHeight="13.800000190734863"/>
  <x:cols>
    <x:col min="1" max="1" width="10" style="73" customWidth="1"/>
    <x:col min="2" max="2" width="13" style="73" customWidth="1"/>
    <x:col min="3" max="3" width="15" style="73" customWidth="1"/>
    <x:col min="4" max="4" width="14" style="73" customWidth="1"/>
    <x:col min="5" max="5" width="16" style="73" customWidth="1"/>
    <x:col min="6" max="8" width="15" style="73" customWidth="1"/>
    <x:col min="9" max="11" width="16" style="73" customWidth="1"/>
    <x:col min="12" max="12" width="18" style="73" customWidth="1"/>
    <x:col min="13" max="13" width="21" style="73" customWidth="1"/>
    <x:col min="14" max="15" width="18" style="73" customWidth="1"/>
    <x:col min="16" max="17" width="17" style="73" customWidth="1"/>
    <x:col min="18" max="19" width="21" style="73" customWidth="1"/>
  </x:cols>
  <x:sheetData>
    <x:row r="1" s="73" customFormat="1" ht="24" customHeight="1">
      <x:c r="A1" s="97" t="inlineStr">
        <x:is>
          <x:t xml:space="preserve">Detailed Doppler Depth Data - feeds the Doppler dashboard charts</x:t>
        </x:is>
      </x:c>
    </x:row>
    <x:row r="3" s="73" customFormat="1" ht="21.600000381469727" customHeight="1">
      <x:c r="A3" s="52" t="inlineStr">
        <x:is>
          <x:t xml:space="preserve">x_km</x:t>
        </x:is>
      </x:c>
      <x:c r="B3" s="52" t="inlineStr">
        <x:is>
          <x:t xml:space="preserve">vhf_doppler_hz</x:t>
        </x:is>
      </x:c>
      <x:c r="C3" s="52" t="inlineStr">
        <x:is>
          <x:t xml:space="preserve">radial_velocity_m_s</x:t>
        </x:is>
      </x:c>
      <x:c r="D3" s="52" t="inlineStr">
        <x:is>
          <x:t xml:space="preserve">doppler_angle_deg</x:t>
        </x:is>
      </x:c>
      <x:c r="E3" s="52" t="inlineStr">
        <x:is>
          <x:t xml:space="preserve">geometry_look_angle_deg</x:t>
        </x:is>
      </x:c>
      <x:c r="F3" s="52" t="inlineStr">
        <x:is>
          <x:t xml:space="preserve">true_upper_depth_m</x:t>
        </x:is>
      </x:c>
      <x:c r="G3" s="52" t="inlineStr">
        <x:is>
          <x:t xml:space="preserve">true_lens_depth_m</x:t>
        </x:is>
      </x:c>
      <x:c r="H3" s="52" t="inlineStr">
        <x:is>
          <x:t xml:space="preserve">true_ocean_depth_m</x:t>
        </x:is>
      </x:c>
      <x:c r="I3" s="52" t="inlineStr">
        <x:is>
          <x:t xml:space="preserve">upper_slant_delay_us</x:t>
        </x:is>
      </x:c>
      <x:c r="J3" s="52" t="inlineStr">
        <x:is>
          <x:t xml:space="preserve">lens_slant_delay_us</x:t>
        </x:is>
      </x:c>
      <x:c r="K3" s="52" t="inlineStr">
        <x:is>
          <x:t xml:space="preserve">ocean_slant_delay_us</x:t>
        </x:is>
      </x:c>
      <x:c r="L3" s="52" t="inlineStr">
        <x:is>
          <x:t xml:space="preserve">raw_ocean_slant_depth_m</x:t>
        </x:is>
      </x:c>
      <x:c r="M3" s="52" t="inlineStr">
        <x:is>
          <x:t xml:space="preserve">doppler_corrected_ocean_depth_m</x:t>
        </x:is>
      </x:c>
      <x:c r="N3" s="52" t="inlineStr">
        <x:is>
          <x:t xml:space="preserve">uncorrected_ocean_error_m</x:t>
        </x:is>
      </x:c>
      <x:c r="O3" s="52" t="inlineStr">
        <x:is>
          <x:t xml:space="preserve">corrected_ocean_error_m</x:t>
        </x:is>
      </x:c>
      <x:c r="P3" s="52" t="inlineStr">
        <x:is>
          <x:t xml:space="preserve">correction_removed_m</x:t>
        </x:is>
      </x:c>
      <x:c r="Q3" s="52" t="inlineStr">
        <x:is>
          <x:t xml:space="preserve">raw_lens_slant_depth_m</x:t>
        </x:is>
      </x:c>
      <x:c r="R3" s="52" t="inlineStr">
        <x:is>
          <x:t xml:space="preserve">doppler_corrected_lens_depth_m</x:t>
        </x:is>
      </x:c>
      <x:c r="S3" s="52" t="inlineStr">
        <x:is>
          <x:t xml:space="preserve">doppler_corrected_upper_depth_m</x:t>
        </x:is>
      </x:c>
    </x:row>
    <x:row r="4">
      <x:c r="A4" s="53" t="n">
        <x:f>Subsurface_Live_Data!A2</x:f>
        <x:v>-60</x:v>
      </x:c>
      <x:c r="B4" s="54" t="n">
        <x:f>Model_Data!P2</x:f>
        <x:v>502.89823360690207</x:v>
      </x:c>
      <x:c r="C4" s="54" t="n">
        <x:f>ABS(B4)*Inputs!$C$13/2</x:f>
        <x:v>1257.2455840172552</x:v>
      </x:c>
      <x:c r="D4" s="54" t="n">
        <x:f>DEGREES(ASIN(MIN(1,C4/(Inputs!$C$11*1000))))</x:f>
        <x:v>18.31924841287496</x:v>
      </x:c>
      <x:c r="E4" s="54" t="n">
        <x:f>Model_Data!I2</x:f>
        <x:v>9.14005123413285</x:v>
      </x:c>
      <x:c r="F4" s="53" t="n">
        <x:f>Subsurface_Live_Data!F2</x:f>
        <x:v>946.6774955196128</x:v>
      </x:c>
      <x:c r="G4" s="53" t="n">
        <x:f>Subsurface_Live_Data!I2</x:f>
        <x:v>5589.043116114486</x:v>
      </x:c>
      <x:c r="H4" s="53" t="n">
        <x:f>Subsurface_Live_Data!K2</x:f>
        <x:v>14538.343476908214</x:v>
      </x:c>
      <x:c r="I4" s="54" t="n">
        <x:f>Subsurface_Live_Data!M2/COS(RADIANS(D4))</x:f>
        <x:v>11.841827914200504</x:v>
      </x:c>
      <x:c r="J4" s="54" t="n">
        <x:f>Subsurface_Live_Data!N2/COS(RADIANS(D4))</x:f>
        <x:v>69.91239054409688</x:v>
      </x:c>
      <x:c r="K4" s="54" t="n">
        <x:f>Subsurface_Live_Data!O2/COS(RADIANS(D4))</x:f>
        <x:v>181.85766792374307</x:v>
      </x:c>
      <x:c r="L4" s="53" t="n">
        <x:f>Inputs!$C$21*K4/(2*Inputs!$C$12*1000000)</x:f>
        <x:v>15314.48238005806</x:v>
      </x:c>
      <x:c r="M4" s="53" t="n">
        <x:f>L4*COS(RADIANS(D4))</x:f>
        <x:v>14538.343476908216</x:v>
      </x:c>
      <x:c r="N4" s="54" t="n">
        <x:f>L4-H4</x:f>
        <x:v>776.1389031498456</x:v>
      </x:c>
      <x:c r="O4" s="55" t="n">
        <x:f>M4-H4</x:f>
        <x:v>1.8189894035458565e-12</x:v>
      </x:c>
      <x:c r="P4" s="54" t="n">
        <x:f>N4-O4</x:f>
        <x:v>776.1389031498438</x:v>
      </x:c>
      <x:c r="Q4" s="53" t="n">
        <x:f>Inputs!$C$21*J4/(2*Inputs!$C$12*1000000)</x:f>
        <x:v>5887.417810637854</x:v>
      </x:c>
      <x:c r="R4" s="53" t="n">
        <x:f>Q4*COS(RADIANS(D4))</x:f>
        <x:v>5589.043116114486</x:v>
      </x:c>
      <x:c r="S4" s="53" t="n">
        <x:f>Inputs!$C$21*I4/(2*Inputs!$C$12*1000000)*COS(RADIANS(D4))</x:f>
        <x:v>946.6774955196129</x:v>
      </x:c>
    </x:row>
    <x:row r="5">
      <x:c r="A5" s="53" t="n">
        <x:f>Subsurface_Live_Data!A3</x:f>
        <x:v>-59.5</x:v>
      </x:c>
      <x:c r="B5" s="54" t="n">
        <x:f>Model_Data!P3</x:f>
        <x:v>500.86301291985365</x:v>
      </x:c>
      <x:c r="C5" s="54" t="n">
        <x:f>ABS(B5)*Inputs!$C$13/2</x:f>
        <x:v>1252.157532299634</x:v>
      </x:c>
      <x:c r="D5" s="54" t="n">
        <x:f>DEGREES(ASIN(MIN(1,C5/(Inputs!$C$11*1000))))</x:f>
        <x:v>18.24249364136679</x:v>
      </x:c>
      <x:c r="E5" s="54" t="n">
        <x:f>Model_Data!I3</x:f>
        <x:v>9.07774203179775</x:v>
      </x:c>
      <x:c r="F5" s="53" t="n">
        <x:f>Subsurface_Live_Data!F3</x:f>
        <x:v>946.3905767770619</x:v>
      </x:c>
      <x:c r="G5" s="53" t="n">
        <x:f>Subsurface_Live_Data!I3</x:f>
        <x:v>5595.347969399308</x:v>
      </x:c>
      <x:c r="H5" s="53" t="n">
        <x:f>Subsurface_Live_Data!K3</x:f>
        <x:v>14548.766391190573</x:v>
      </x:c>
      <x:c r="I5" s="54" t="n">
        <x:f>Subsurface_Live_Data!M3/COS(RADIANS(D5))</x:f>
        <x:v>11.833001136762373</x:v>
      </x:c>
      <x:c r="J5" s="54" t="n">
        <x:f>Subsurface_Live_Data!N3/COS(RADIANS(D5))</x:f>
        <x:v>69.96028965964635</x:v>
      </x:c>
      <x:c r="K5" s="54" t="n">
        <x:f>Subsurface_Live_Data!O3/COS(RADIANS(D5))</x:f>
        <x:v>181.9075268392094</x:v>
      </x:c>
      <x:c r="L5" s="53" t="n">
        <x:f>Inputs!$C$21*K5/(2*Inputs!$C$12*1000000)</x:f>
        <x:v>15318.68106736729</x:v>
      </x:c>
      <x:c r="M5" s="53" t="n">
        <x:f>L5*COS(RADIANS(D5))</x:f>
        <x:v>14548.766391190571</x:v>
      </x:c>
      <x:c r="N5" s="54" t="n">
        <x:f>L5-H5</x:f>
        <x:v>769.914676176717</x:v>
      </x:c>
      <x:c r="O5" s="55" t="n">
        <x:f>M5-H5</x:f>
        <x:v>-1.8189894035458565e-12</x:v>
      </x:c>
      <x:c r="P5" s="54" t="n">
        <x:f>N5-O5</x:f>
        <x:v>769.9146761767188</x:v>
      </x:c>
      <x:c r="Q5" s="53" t="n">
        <x:f>Inputs!$C$21*J5/(2*Inputs!$C$12*1000000)</x:f>
        <x:v>5891.451460521731</x:v>
      </x:c>
      <x:c r="R5" s="53" t="n">
        <x:f>Q5*COS(RADIANS(D5))</x:f>
        <x:v>5595.347969399307</x:v>
      </x:c>
      <x:c r="S5" s="53" t="n">
        <x:f>Inputs!$C$21*I5/(2*Inputs!$C$12*1000000)*COS(RADIANS(D5))</x:f>
        <x:v>946.3905767770619</x:v>
      </x:c>
    </x:row>
    <x:row r="6">
      <x:c r="A6" s="53" t="n">
        <x:f>Subsurface_Live_Data!A4</x:f>
        <x:v>-59</x:v>
      </x:c>
      <x:c r="B6" s="54" t="n">
        <x:f>Model_Data!P4</x:f>
        <x:v>496.7909104278988</x:v>
      </x:c>
      <x:c r="C6" s="54" t="n">
        <x:f>ABS(B6)*Inputs!$C$13/2</x:f>
        <x:v>1241.977276069747</x:v>
      </x:c>
      <x:c r="D6" s="54" t="n">
        <x:f>DEGREES(ASIN(MIN(1,C6/(Inputs!$C$11*1000))))</x:f>
        <x:v>18.089022966605746</x:v>
      </x:c>
      <x:c r="E6" s="54" t="n">
        <x:f>Model_Data!I4</x:f>
        <x:v>9.015458913989574</x:v>
      </x:c>
      <x:c r="F6" s="53" t="n">
        <x:f>Subsurface_Live_Data!F4</x:f>
        <x:v>948.3058623908515</x:v>
      </x:c>
      <x:c r="G6" s="53" t="n">
        <x:f>Subsurface_Live_Data!I4</x:f>
        <x:v>5600.913069660687</x:v>
      </x:c>
      <x:c r="H6" s="53" t="n">
        <x:f>Subsurface_Live_Data!K4</x:f>
        <x:v>14557.33823698979</x:v>
      </x:c>
      <x:c r="I6" s="54" t="n">
        <x:f>Subsurface_Live_Data!M4/COS(RADIANS(D6))</x:f>
        <x:v>11.846532076838654</x:v>
      </x:c>
      <x:c r="J6" s="54" t="n">
        <x:f>Subsurface_Live_Data!N4/COS(RADIANS(D6))</x:f>
        <x:v>69.96834984446501</x:v>
      </x:c>
      <x:c r="K6" s="54" t="n">
        <x:f>Subsurface_Live_Data!O4/COS(RADIANS(D6))</x:f>
        <x:v>181.8548015121425</x:v>
      </x:c>
      <x:c r="L6" s="53" t="n">
        <x:f>Inputs!$C$21*K6/(2*Inputs!$C$12*1000000)</x:f>
        <x:v>15314.24099562565</x:v>
      </x:c>
      <x:c r="M6" s="53" t="n">
        <x:f>L6*COS(RADIANS(D6))</x:f>
        <x:v>14557.338236989788</x:v>
      </x:c>
      <x:c r="N6" s="54" t="n">
        <x:f>L6-H6</x:f>
        <x:v>756.9027586358607</x:v>
      </x:c>
      <x:c r="O6" s="55" t="n">
        <x:f>M6-H6</x:f>
        <x:v>-1.8189894035458565e-12</x:v>
      </x:c>
      <x:c r="P6" s="54" t="n">
        <x:f>N6-O6</x:f>
        <x:v>756.9027586358625</x:v>
      </x:c>
      <x:c r="Q6" s="53" t="n">
        <x:f>Inputs!$C$21*J6/(2*Inputs!$C$12*1000000)</x:f>
        <x:v>5892.1302196842935</x:v>
      </x:c>
      <x:c r="R6" s="53" t="n">
        <x:f>Q6*COS(RADIANS(D6))</x:f>
        <x:v>5600.913069660688</x:v>
      </x:c>
      <x:c r="S6" s="53" t="n">
        <x:f>Inputs!$C$21*I6/(2*Inputs!$C$12*1000000)*COS(RADIANS(D6))</x:f>
        <x:v>948.3058623908515</x:v>
      </x:c>
    </x:row>
    <x:row r="7">
      <x:c r="A7" s="53" t="n">
        <x:f>Subsurface_Live_Data!A5</x:f>
        <x:v>-58.5</x:v>
      </x:c>
      <x:c r="B7" s="54" t="n">
        <x:f>Model_Data!P5</x:f>
        <x:v>492.71549658133154</x:v>
      </x:c>
      <x:c r="C7" s="54" t="n">
        <x:f>ABS(B7)*Inputs!$C$13/2</x:f>
        <x:v>1231.7887414533288</x:v>
      </x:c>
      <x:c r="D7" s="54" t="n">
        <x:f>DEGREES(ASIN(MIN(1,C7/(Inputs!$C$11*1000))))</x:f>
        <x:v>17.93556181389558</x:v>
      </x:c>
      <x:c r="E7" s="54" t="n">
        <x:f>Model_Data!I5</x:f>
        <x:v>8.953204095149154</x:v>
      </x:c>
      <x:c r="F7" s="53" t="n">
        <x:f>Subsurface_Live_Data!F5</x:f>
        <x:v>952.7851094276066</x:v>
      </x:c>
      <x:c r="G7" s="53" t="n">
        <x:f>Subsurface_Live_Data!I5</x:f>
        <x:v>5605.728230978824</x:v>
      </x:c>
      <x:c r="H7" s="53" t="n">
        <x:f>Subsurface_Live_Data!K5</x:f>
        <x:v>14562.907070815563</x:v>
      </x:c>
      <x:c r="I7" s="54" t="n">
        <x:f>Subsurface_Live_Data!M5/COS(RADIANS(D7))</x:f>
        <x:v>11.89212684178009</x:v>
      </x:c>
      <x:c r="J7" s="54" t="n">
        <x:f>Subsurface_Live_Data!N5/COS(RADIANS(D7))</x:f>
        <x:v>69.96754095306616</x:v>
      </x:c>
      <x:c r="K7" s="54" t="n">
        <x:f>Subsurface_Live_Data!O5/COS(RADIANS(D7))</x:f>
        <x:v>181.7659998645828</x:v>
      </x:c>
      <x:c r="L7" s="53" t="n">
        <x:f>Inputs!$C$21*K7/(2*Inputs!$C$12*1000000)</x:f>
        <x:v>15306.762887705321</x:v>
      </x:c>
      <x:c r="M7" s="53" t="n">
        <x:f>L7*COS(RADIANS(D7))</x:f>
        <x:v>14562.907070815565</x:v>
      </x:c>
      <x:c r="N7" s="54" t="n">
        <x:f>L7-H7</x:f>
        <x:v>743.855816889758</x:v>
      </x:c>
      <x:c r="O7" s="55" t="n">
        <x:f>M7-H7</x:f>
        <x:v>1.8189894035458565e-12</x:v>
      </x:c>
      <x:c r="P7" s="54" t="n">
        <x:f>N7-O7</x:f>
        <x:v>743.8558168897562</x:v>
      </x:c>
      <x:c r="Q7" s="53" t="n">
        <x:f>Inputs!$C$21*J7/(2*Inputs!$C$12*1000000)</x:f>
        <x:v>5892.062101835777</x:v>
      </x:c>
      <x:c r="R7" s="53" t="n">
        <x:f>Q7*COS(RADIANS(D7))</x:f>
        <x:v>5605.728230978823</x:v>
      </x:c>
      <x:c r="S7" s="53" t="n">
        <x:f>Inputs!$C$21*I7/(2*Inputs!$C$12*1000000)*COS(RADIANS(D7))</x:f>
        <x:v>952.7851094276066</x:v>
      </x:c>
    </x:row>
    <x:row r="8">
      <x:c r="A8" s="53" t="n">
        <x:f>Subsurface_Live_Data!A6</x:f>
        <x:v>-58</x:v>
      </x:c>
      <x:c r="B8" s="54" t="n">
        <x:f>Model_Data!P6</x:f>
        <x:v>488.63679323794713</x:v>
      </x:c>
      <x:c r="C8" s="54" t="n">
        <x:f>ABS(B8)*Inputs!$C$13/2</x:f>
        <x:v>1221.5919830948678</x:v>
      </x:c>
      <x:c r="D8" s="54" t="n">
        <x:f>DEGREES(ASIN(MIN(1,C8/(Inputs!$C$11*1000))))</x:f>
        <x:v>17.78210988090865</x:v>
      </x:c>
      <x:c r="E8" s="54" t="n">
        <x:f>Model_Data!I6</x:f>
        <x:v>8.890979841704603</x:v>
      </x:c>
      <x:c r="F8" s="53" t="n">
        <x:f>Subsurface_Live_Data!F6</x:f>
        <x:v>957.6515045223967</x:v>
      </x:c>
      <x:c r="G8" s="53" t="n">
        <x:f>Subsurface_Live_Data!I6</x:f>
        <x:v>5609.784099285287</x:v>
      </x:c>
      <x:c r="H8" s="53" t="n">
        <x:f>Subsurface_Live_Data!K6</x:f>
        <x:v>14573.125618242737</x:v>
      </x:c>
      <x:c r="I8" s="54" t="n">
        <x:f>Subsurface_Live_Data!M6/COS(RADIANS(D8))</x:f>
        <x:v>11.942556470031697</x:v>
      </x:c>
      <x:c r="J8" s="54" t="n">
        <x:f>Subsurface_Live_Data!N6/COS(RADIANS(D8))</x:f>
        <x:v>69.95776968346381</x:v>
      </x:c>
      <x:c r="K8" s="54" t="n">
        <x:f>Subsurface_Live_Data!O6/COS(RADIANS(D8))</x:f>
        <x:v>181.73664931224377</x:v>
      </x:c>
      <x:c r="L8" s="53" t="n">
        <x:f>Inputs!$C$21*K8/(2*Inputs!$C$12*1000000)</x:f>
        <x:v>15304.291237640891</x:v>
      </x:c>
      <x:c r="M8" s="53" t="n">
        <x:f>L8*COS(RADIANS(D8))</x:f>
        <x:v>14573.125618242737</x:v>
      </x:c>
      <x:c r="N8" s="54" t="n">
        <x:f>L8-H8</x:f>
        <x:v>731.1656193981544</x:v>
      </x:c>
      <x:c r="O8" s="55" t="n">
        <x:f>M8-H8</x:f>
        <x:v>0</x:v>
      </x:c>
      <x:c r="P8" s="54" t="n">
        <x:f>N8-O8</x:f>
        <x:v>731.1656193981544</x:v>
      </x:c>
      <x:c r="Q8" s="53" t="n">
        <x:f>Inputs!$C$21*J8/(2*Inputs!$C$12*1000000)</x:f>
        <x:v>5891.239249888623</x:v>
      </x:c>
      <x:c r="R8" s="53" t="n">
        <x:f>Q8*COS(RADIANS(D8))</x:f>
        <x:v>5609.784099285287</x:v>
      </x:c>
      <x:c r="S8" s="53" t="n">
        <x:f>Inputs!$C$21*I8/(2*Inputs!$C$12*1000000)*COS(RADIANS(D8))</x:f>
        <x:v>957.6515045223967</x:v>
      </x:c>
    </x:row>
    <x:row r="9">
      <x:c r="A9" s="53" t="n">
        <x:f>Subsurface_Live_Data!A7</x:f>
        <x:v>-57.5</x:v>
      </x:c>
      <x:c r="B9" s="54" t="n">
        <x:f>Model_Data!P7</x:f>
        <x:v>484.554822402788</x:v>
      </x:c>
      <x:c r="C9" s="54" t="n">
        <x:f>ABS(B9)*Inputs!$C$13/2</x:f>
        <x:v>1211.38705600697</x:v>
      </x:c>
      <x:c r="D9" s="54" t="n">
        <x:f>DEGREES(ASIN(MIN(1,C9/(Inputs!$C$11*1000))))</x:f>
        <x:v>17.62866687134153</x:v>
      </x:c>
      <x:c r="E9" s="54" t="n">
        <x:f>Model_Data!I7</x:f>
        <x:v>8.828788473728661</x:v>
      </x:c>
      <x:c r="F9" s="53" t="n">
        <x:f>Subsurface_Live_Data!F7</x:f>
        <x:v>965.6506783941551</x:v>
      </x:c>
      <x:c r="G9" s="53" t="n">
        <x:f>Subsurface_Live_Data!I7</x:f>
        <x:v>5613.072139305129</x:v>
      </x:c>
      <x:c r="H9" s="53" t="n">
        <x:f>Subsurface_Live_Data!K7</x:f>
        <x:v>14578.335140524403</x:v>
      </x:c>
      <x:c r="I9" s="54" t="n">
        <x:f>Subsurface_Live_Data!M7/COS(RADIANS(D9))</x:f>
        <x:v>12.032020186499857</x:v>
      </x:c>
      <x:c r="J9" s="54" t="n">
        <x:f>Subsurface_Live_Data!N7/COS(RADIANS(D9))</x:f>
        <x:v>69.93895287342453</x:v>
      </x:c>
      <x:c r="K9" s="54" t="n">
        <x:f>Subsurface_Live_Data!O7/COS(RADIANS(D9))</x:f>
        <x:v>181.64624809050568</x:v>
      </x:c>
      <x:c r="L9" s="53" t="n">
        <x:f>Inputs!$C$21*K9/(2*Inputs!$C$12*1000000)</x:f>
        <x:v>15296.67842739621</x:v>
      </x:c>
      <x:c r="M9" s="53" t="n">
        <x:f>L9*COS(RADIANS(D9))</x:f>
        <x:v>14578.335140524403</x:v>
      </x:c>
      <x:c r="N9" s="54" t="n">
        <x:f>L9-H9</x:f>
        <x:v>718.3432868718064</x:v>
      </x:c>
      <x:c r="O9" s="55" t="n">
        <x:f>M9-H9</x:f>
        <x:v>0</x:v>
      </x:c>
      <x:c r="P9" s="54" t="n">
        <x:f>N9-O9</x:f>
        <x:v>718.3432868718064</x:v>
      </x:c>
      <x:c r="Q9" s="53" t="n">
        <x:f>Inputs!$C$21*J9/(2*Inputs!$C$12*1000000)</x:f>
        <x:v>5889.654660637669</x:v>
      </x:c>
      <x:c r="R9" s="53" t="n">
        <x:f>Q9*COS(RADIANS(D9))</x:f>
        <x:v>5613.072139305128</x:v>
      </x:c>
      <x:c r="S9" s="53" t="n">
        <x:f>Inputs!$C$21*I9/(2*Inputs!$C$12*1000000)*COS(RADIANS(D9))</x:f>
        <x:v>965.6506783941552</x:v>
      </x:c>
    </x:row>
    <x:row r="10">
      <x:c r="A10" s="53" t="n">
        <x:f>Subsurface_Live_Data!A8</x:f>
        <x:v>-57</x:v>
      </x:c>
      <x:c r="B10" s="54" t="n">
        <x:f>Model_Data!P8</x:f>
        <x:v>480.4696062107723</x:v>
      </x:c>
      <x:c r="C10" s="54" t="n">
        <x:f>ABS(B10)*Inputs!$C$13/2</x:f>
        <x:v>1201.1740155269308</x:v>
      </x:c>
      <x:c r="D10" s="54" t="n">
        <x:f>DEGREES(ASIN(MIN(1,C10/(Inputs!$C$11*1000))))</x:f>
        <x:v>17.4752324942239</x:v>
      </x:c>
      <x:c r="E10" s="54" t="n">
        <x:f>Model_Data!I8</x:f>
        <x:v>8.766632366658216</x:v>
      </x:c>
      <x:c r="F10" s="53" t="n">
        <x:f>Subsurface_Live_Data!F8</x:f>
        <x:v>974.6127644014157</x:v>
      </x:c>
      <x:c r="G10" s="53" t="n">
        <x:f>Subsurface_Live_Data!I8</x:f>
        <x:v>5615.584619153291</x:v>
      </x:c>
      <x:c r="H10" s="53" t="n">
        <x:f>Subsurface_Live_Data!K8</x:f>
        <x:v>14585.997030216358</x:v>
      </x:c>
      <x:c r="I10" s="54" t="n">
        <x:f>Subsurface_Live_Data!M8/COS(RADIANS(D10))</x:f>
        <x:v>12.133406299306628</x:v>
      </x:c>
      <x:c r="J10" s="54" t="n">
        <x:f>Subsurface_Live_Data!N8/COS(RADIANS(D10))</x:f>
        <x:v>69.91101725839965</x:v>
      </x:c>
      <x:c r="K10" s="54" t="n">
        <x:f>Subsurface_Live_Data!O8/COS(RADIANS(D10))</x:f>
        <x:v>181.5878415637113</x:v>
      </x:c>
      <x:c r="L10" s="53" t="n">
        <x:f>Inputs!$C$21*K10/(2*Inputs!$C$12*1000000)</x:f>
        <x:v>15291.759934072914</x:v>
      </x:c>
      <x:c r="M10" s="53" t="n">
        <x:f>L10*COS(RADIANS(D10))</x:f>
        <x:v>14585.997030216358</x:v>
      </x:c>
      <x:c r="N10" s="54" t="n">
        <x:f>L10-H10</x:f>
        <x:v>705.7629038565556</x:v>
      </x:c>
      <x:c r="O10" s="55" t="n">
        <x:f>M10-H10</x:f>
        <x:v>0</x:v>
      </x:c>
      <x:c r="P10" s="54" t="n">
        <x:f>N10-O10</x:f>
        <x:v>705.7629038565556</x:v>
      </x:c>
      <x:c r="Q10" s="53" t="n">
        <x:f>Inputs!$C$21*J10/(2*Inputs!$C$12*1000000)</x:f>
        <x:v>5887.302164375295</x:v>
      </x:c>
      <x:c r="R10" s="53" t="n">
        <x:f>Q10*COS(RADIANS(D10))</x:f>
        <x:v>5615.584619153291</x:v>
      </x:c>
      <x:c r="S10" s="53" t="n">
        <x:f>Inputs!$C$21*I10/(2*Inputs!$C$12*1000000)*COS(RADIANS(D10))</x:f>
        <x:v>974.6127644014156</x:v>
      </x:c>
    </x:row>
    <x:row r="11">
      <x:c r="A11" s="53" t="n">
        <x:f>Subsurface_Live_Data!A9</x:f>
        <x:v>-56.5</x:v>
      </x:c>
      <x:c r="B11" s="54" t="n">
        <x:f>Model_Data!P9</x:f>
        <x:v>476.38116695534336</x:v>
      </x:c>
      <x:c r="C11" s="54" t="n">
        <x:f>ABS(B11)*Inputs!$C$13/2</x:f>
        <x:v>1190.9529173883584</x:v>
      </x:c>
      <x:c r="D11" s="54" t="n">
        <x:f>DEGREES(ASIN(MIN(1,C11/(Inputs!$C$11*1000))))</x:f>
        <x:v>17.321806464957866</x:v>
      </x:c>
      <x:c r="E11" s="54" t="n">
        <x:f>Model_Data!I9</x:f>
        <x:v>8.704513953078392</x:v>
      </x:c>
      <x:c r="F11" s="53" t="n">
        <x:f>Subsurface_Live_Data!F9</x:f>
        <x:v>985.5077447582461</x:v>
      </x:c>
      <x:c r="G11" s="53" t="n">
        <x:f>Subsurface_Live_Data!I9</x:f>
        <x:v>5617.314592830874</x:v>
      </x:c>
      <x:c r="H11" s="53" t="n">
        <x:f>Subsurface_Live_Data!K9</x:f>
        <x:v>14592.499316370253</x:v>
      </x:c>
      <x:c r="I11" s="54" t="n">
        <x:f>Subsurface_Live_Data!M9/COS(RADIANS(D11))</x:f>
        <x:v>12.258752413859844</x:v>
      </x:c>
      <x:c r="J11" s="54" t="n">
        <x:f>Subsurface_Live_Data!N9/COS(RADIANS(D11))</x:f>
        <x:v>69.87389920631003</x:v>
      </x:c>
      <x:c r="K11" s="54" t="n">
        <x:f>Subsurface_Live_Data!O9/COS(RADIANS(D11))</x:f>
        <x:v>181.51641848607113</x:v>
      </x:c>
      <x:c r="L11" s="53" t="n">
        <x:f>Inputs!$C$21*K11/(2*Inputs!$C$12*1000000)</x:f>
        <x:v>15285.745299240423</x:v>
      </x:c>
      <x:c r="M11" s="53" t="n">
        <x:f>L11*COS(RADIANS(D11))</x:f>
        <x:v>14592.499316370255</x:v>
      </x:c>
      <x:c r="N11" s="54" t="n">
        <x:f>L11-H11</x:f>
        <x:v>693.2459828701703</x:v>
      </x:c>
      <x:c r="O11" s="55" t="n">
        <x:f>M11-H11</x:f>
        <x:v>1.8189894035458565e-12</x:v>
      </x:c>
      <x:c r="P11" s="54" t="n">
        <x:f>N11-O11</x:f>
        <x:v>693.2459828701685</x:v>
      </x:c>
      <x:c r="Q11" s="53" t="n">
        <x:f>Inputs!$C$21*J11/(2*Inputs!$C$12*1000000)</x:f>
        <x:v>5884.176402557284</x:v>
      </x:c>
      <x:c r="R11" s="53" t="n">
        <x:f>Q11*COS(RADIANS(D11))</x:f>
        <x:v>5617.314592830873</x:v>
      </x:c>
      <x:c r="S11" s="53" t="n">
        <x:f>Inputs!$C$21*I11/(2*Inputs!$C$12*1000000)*COS(RADIANS(D11))</x:f>
        <x:v>985.5077447582461</x:v>
      </x:c>
    </x:row>
    <x:row r="12">
      <x:c r="A12" s="53" t="n">
        <x:f>Subsurface_Live_Data!A10</x:f>
        <x:v>-56</x:v>
      </x:c>
      <x:c r="B12" s="54" t="n">
        <x:f>Model_Data!P10</x:f>
        <x:v>472.2895270569097</x:v>
      </x:c>
      <x:c r="C12" s="54" t="n">
        <x:f>ABS(B12)*Inputs!$C$13/2</x:f>
        <x:v>1180.7238176422743</x:v>
      </x:c>
      <x:c r="D12" s="54" t="n">
        <x:f>DEGREES(ASIN(MIN(1,C12/(Inputs!$C$11*1000))))</x:f>
        <x:v>17.168388504096026</x:v>
      </x:c>
      <x:c r="E12" s="54" t="n">
        <x:f>Model_Data!I10</x:f>
        <x:v>8.642435724573849</x:v>
      </x:c>
      <x:c r="F12" s="53" t="n">
        <x:f>Subsurface_Live_Data!F10</x:f>
        <x:v>998.903639493633</x:v>
      </x:c>
      <x:c r="G12" s="53" t="n">
        <x:f>Subsurface_Live_Data!I10</x:f>
        <x:v>5618.255880926359</x:v>
      </x:c>
      <x:c r="H12" s="53" t="n">
        <x:f>Subsurface_Live_Data!K10</x:f>
        <x:v>14595.554644264555</x:v>
      </x:c>
      <x:c r="I12" s="54" t="n">
        <x:f>Subsurface_Live_Data!M10/COS(RADIANS(D12))</x:f>
        <x:v>12.415060785387011</x:v>
      </x:c>
      <x:c r="J12" s="54" t="n">
        <x:f>Subsurface_Live_Data!N10/COS(RADIANS(D12))</x:f>
        <x:v>69.8275444315301</x:v>
      </x:c>
      <x:c r="K12" s="54" t="n">
        <x:f>Subsurface_Live_Data!O10/COS(RADIANS(D12))</x:f>
        <x:v>181.40358182781168</x:v>
      </x:c>
      <x:c r="L12" s="53" t="n">
        <x:f>Inputs!$C$21*K12/(2*Inputs!$C$12*1000000)</x:f>
        <x:v>15276.243170270729</x:v>
      </x:c>
      <x:c r="M12" s="53" t="n">
        <x:f>L12*COS(RADIANS(D12))</x:f>
        <x:v>14595.554644264557</x:v>
      </x:c>
      <x:c r="N12" s="54" t="n">
        <x:f>L12-H12</x:f>
        <x:v>680.6885260061736</x:v>
      </x:c>
      <x:c r="O12" s="55" t="n">
        <x:f>M12-H12</x:f>
        <x:v>1.8189894035458565e-12</x:v>
      </x:c>
      <x:c r="P12" s="54" t="n">
        <x:f>N12-O12</x:f>
        <x:v>680.6885260061717</x:v>
      </x:c>
      <x:c r="Q12" s="53" t="n">
        <x:f>Inputs!$C$21*J12/(2*Inputs!$C$12*1000000)</x:f>
        <x:v>5880.272803717028</x:v>
      </x:c>
      <x:c r="R12" s="53" t="n">
        <x:f>Q12*COS(RADIANS(D12))</x:f>
        <x:v>5618.255880926358</x:v>
      </x:c>
      <x:c r="S12" s="53" t="n">
        <x:f>Inputs!$C$21*I12/(2*Inputs!$C$12*1000000)*COS(RADIANS(D12))</x:f>
        <x:v>998.903639493633</x:v>
      </x:c>
    </x:row>
    <x:row r="13">
      <x:c r="A13" s="53" t="n">
        <x:f>Subsurface_Live_Data!A11</x:f>
        <x:v>-55.5</x:v>
      </x:c>
      <x:c r="B13" s="54" t="n">
        <x:f>Model_Data!P11</x:f>
        <x:v>468.1947090801259</x:v>
      </x:c>
      <x:c r="C13" s="54" t="n">
        <x:f>ABS(B13)*Inputs!$C$13/2</x:f>
        <x:v>1170.4867727003148</x:v>
      </x:c>
      <x:c r="D13" s="54" t="n">
        <x:f>DEGREES(ASIN(MIN(1,C13/(Inputs!$C$11*1000))))</x:f>
        <x:v>17.014978337955196</x:v>
      </x:c>
      <x:c r="E13" s="54" t="n">
        <x:f>Model_Data!I11</x:f>
        <x:v>8.580400233649934</x:v>
      </x:c>
      <x:c r="F13" s="53" t="n">
        <x:f>Subsurface_Live_Data!F11</x:f>
        <x:v>1012.5409302853382</x:v>
      </x:c>
      <x:c r="G13" s="53" t="n">
        <x:f>Subsurface_Live_Data!I11</x:f>
        <x:v>5618.403049889946</x:v>
      </x:c>
      <x:c r="H13" s="53" t="n">
        <x:f>Subsurface_Live_Data!K11</x:f>
        <x:v>14602.692839300287</x:v>
      </x:c>
      <x:c r="I13" s="54" t="n">
        <x:f>Subsurface_Live_Data!M11/COS(RADIANS(D13))</x:f>
        <x:v>12.574197987799964</x:v>
      </x:c>
      <x:c r="J13" s="54" t="n">
        <x:f>Subsurface_Live_Data!N11/COS(RADIANS(D13))</x:f>
        <x:v>69.771907694306</x:v>
      </x:c>
      <x:c r="K13" s="54" t="n">
        <x:f>Subsurface_Live_Data!O11/COS(RADIANS(D13))</x:f>
        <x:v>181.34294172646094</x:v>
      </x:c>
      <x:c r="L13" s="53" t="n">
        <x:f>Inputs!$C$21*K13/(2*Inputs!$C$12*1000000)</x:f>
        <x:v>15271.136584586093</x:v>
      </x:c>
      <x:c r="M13" s="53" t="n">
        <x:f>L13*COS(RADIANS(D13))</x:f>
        <x:v>14602.692839300289</x:v>
      </x:c>
      <x:c r="N13" s="54" t="n">
        <x:f>L13-H13</x:f>
        <x:v>668.4437452858056</x:v>
      </x:c>
      <x:c r="O13" s="55" t="n">
        <x:f>M13-H13</x:f>
        <x:v>1.8189894035458565e-12</x:v>
      </x:c>
      <x:c r="P13" s="54" t="n">
        <x:f>N13-O13</x:f>
        <x:v>668.4437452858037</x:v>
      </x:c>
      <x:c r="Q13" s="53" t="n">
        <x:f>Inputs!$C$21*J13/(2*Inputs!$C$12*1000000)</x:f>
        <x:v>5875.58755815312</x:v>
      </x:c>
      <x:c r="R13" s="53" t="n">
        <x:f>Q13*COS(RADIANS(D13))</x:f>
        <x:v>5618.403049889946</x:v>
      </x:c>
      <x:c r="S13" s="53" t="n">
        <x:f>Inputs!$C$21*I13/(2*Inputs!$C$12*1000000)*COS(RADIANS(D13))</x:f>
        <x:v>1012.5409302853382</x:v>
      </x:c>
    </x:row>
    <x:row r="14">
      <x:c r="A14" s="53" t="n">
        <x:f>Subsurface_Live_Data!A12</x:f>
        <x:v>-55</x:v>
      </x:c>
      <x:c r="B14" s="54" t="n">
        <x:f>Model_Data!P12</x:f>
        <x:v>464.0967357390764</x:v>
      </x:c>
      <x:c r="C14" s="54" t="n">
        <x:f>ABS(B14)*Inputs!$C$13/2</x:f>
        <x:v>1160.241839347691</x:v>
      </x:c>
      <x:c r="D14" s="54" t="n">
        <x:f>DEGREES(ASIN(MIN(1,C14/(Inputs!$C$11*1000))))</x:f>
        <x:v>16.861575698775148</x:v>
      </x:c>
      <x:c r="E14" s="54" t="n">
        <x:f>Model_Data!I12</x:f>
        <x:v>8.518410095726479</x:v>
      </x:c>
      <x:c r="F14" s="53" t="n">
        <x:f>Subsurface_Live_Data!F12</x:f>
        <x:v>1028.4632321594486</x:v>
      </x:c>
      <x:c r="G14" s="53" t="n">
        <x:f>Subsurface_Live_Data!I12</x:f>
        <x:v>5617.751390315144</x:v>
      </x:c>
      <x:c r="H14" s="53" t="n">
        <x:f>Subsurface_Live_Data!K12</x:f>
        <x:v>14606.307966267492</x:v>
      </x:c>
      <x:c r="I14" s="54" t="n">
        <x:f>Subsurface_Live_Data!M12/COS(RADIANS(D14))</x:f>
        <x:v>12.761518387160095</x:v>
      </x:c>
      <x:c r="J14" s="54" t="n">
        <x:f>Subsurface_Live_Data!N12/COS(RADIANS(D14))</x:f>
        <x:v>69.70695249014621</x:v>
      </x:c>
      <x:c r="K14" s="54" t="n">
        <x:f>Subsurface_Live_Data!O12/COS(RADIANS(D14))</x:f>
        <x:v>181.23999171916643</x:v>
      </x:c>
      <x:c r="L14" s="53" t="n">
        <x:f>Inputs!$C$21*K14/(2*Inputs!$C$12*1000000)</x:f>
        <x:v>15262.467023985548</x:v>
      </x:c>
      <x:c r="M14" s="53" t="n">
        <x:f>L14*COS(RADIANS(D14))</x:f>
        <x:v>14606.307966267494</x:v>
      </x:c>
      <x:c r="N14" s="54" t="n">
        <x:f>L14-H14</x:f>
        <x:v>656.1590577180559</x:v>
      </x:c>
      <x:c r="O14" s="55" t="n">
        <x:f>M14-H14</x:f>
        <x:v>1.8189894035458565e-12</x:v>
      </x:c>
      <x:c r="P14" s="54" t="n">
        <x:f>N14-O14</x:f>
        <x:v>656.1590577180541</x:v>
      </x:c>
      <x:c r="Q14" s="53" t="n">
        <x:f>Inputs!$C$21*J14/(2*Inputs!$C$12*1000000)</x:f>
        <x:v>5870.117591772514</x:v>
      </x:c>
      <x:c r="R14" s="53" t="n">
        <x:f>Q14*COS(RADIANS(D14))</x:f>
        <x:v>5617.751390315143</x:v>
      </x:c>
      <x:c r="S14" s="53" t="n">
        <x:f>Inputs!$C$21*I14/(2*Inputs!$C$12*1000000)*COS(RADIANS(D14))</x:f>
        <x:v>1028.4632321594484</x:v>
      </x:c>
    </x:row>
    <x:row r="15">
      <x:c r="A15" s="53" t="n">
        <x:f>Subsurface_Live_Data!A13</x:f>
        <x:v>-54.5</x:v>
      </x:c>
      <x:c r="B15" s="54" t="n">
        <x:f>Model_Data!P13</x:f>
        <x:v>459.9956298745383</x:v>
      </x:c>
      <x:c r="C15" s="54" t="n">
        <x:f>ABS(B15)*Inputs!$C$13/2</x:f>
        <x:v>1149.9890746863457</x:v>
      </x:c>
      <x:c r="D15" s="54" t="n">
        <x:f>DEGREES(ASIN(MIN(1,C15/(Inputs!$C$11*1000))))</x:f>
        <x:v>16.70818032383313</x:v>
      </x:c>
      <x:c r="E15" s="54" t="n">
        <x:f>Model_Data!I13</x:f>
        <x:v>8.45646799120709</x:v>
      </x:c>
      <x:c r="F15" s="53" t="n">
        <x:f>Subsurface_Live_Data!F13</x:f>
        <x:v>1045.7515462573333</x:v>
      </x:c>
      <x:c r="G15" s="53" t="n">
        <x:f>Subsurface_Live_Data!I13</x:f>
        <x:v>5616.29689472948</x:v>
      </x:c>
      <x:c r="H15" s="53" t="n">
        <x:f>Subsurface_Live_Data!K13</x:f>
        <x:v>14609.094149774926</x:v>
      </x:c>
      <x:c r="I15" s="54" t="n">
        <x:f>Subsurface_Live_Data!M13/COS(RADIANS(D15))</x:f>
        <x:v>12.965563171114377</x:v>
      </x:c>
      <x:c r="J15" s="54" t="n">
        <x:f>Subsurface_Live_Data!N13/COS(RADIANS(D15))</x:f>
        <x:v>69.63265073521565</x:v>
      </x:c>
      <x:c r="K15" s="54" t="n">
        <x:f>Subsurface_Live_Data!O13/COS(RADIANS(D15))</x:f>
        <x:v>181.12823619488486</x:v>
      </x:c>
      <x:c r="L15" s="53" t="n">
        <x:f>Inputs!$C$21*K15/(2*Inputs!$C$12*1000000)</x:f>
        <x:v>15253.055938783455</x:v>
      </x:c>
      <x:c r="M15" s="53" t="n">
        <x:f>L15*COS(RADIANS(D15))</x:f>
        <x:v>14609.094149774928</x:v>
      </x:c>
      <x:c r="N15" s="54" t="n">
        <x:f>L15-H15</x:f>
        <x:v>643.9617890085283</x:v>
      </x:c>
      <x:c r="O15" s="55" t="n">
        <x:f>M15-H15</x:f>
        <x:v>1.8189894035458565e-12</x:v>
      </x:c>
      <x:c r="P15" s="54" t="n">
        <x:f>N15-O15</x:f>
        <x:v>643.9617890085265</x:v>
      </x:c>
      <x:c r="Q15" s="53" t="n">
        <x:f>Inputs!$C$21*J15/(2*Inputs!$C$12*1000000)</x:f>
        <x:v>5863.860539597136</x:v>
      </x:c>
      <x:c r="R15" s="53" t="n">
        <x:f>Q15*COS(RADIANS(D15))</x:f>
        <x:v>5616.29689472948</x:v>
      </x:c>
      <x:c r="S15" s="53" t="n">
        <x:f>Inputs!$C$21*I15/(2*Inputs!$C$12*1000000)*COS(RADIANS(D15))</x:f>
        <x:v>1045.751546257333</x:v>
      </x:c>
    </x:row>
    <x:row r="16">
      <x:c r="A16" s="53" t="n">
        <x:f>Subsurface_Live_Data!A14</x:f>
        <x:v>-54</x:v>
      </x:c>
      <x:c r="B16" s="54" t="n">
        <x:f>Model_Data!P14</x:f>
        <x:v>455.89141447326256</x:v>
      </x:c>
      <x:c r="C16" s="54" t="n">
        <x:f>ABS(B16)*Inputs!$C$13/2</x:f>
        <x:v>1139.7285361831564</x:v>
      </x:c>
      <x:c r="D16" s="54" t="n">
        <x:f>DEGREES(ASIN(MIN(1,C16/(Inputs!$C$11*1000))))</x:f>
        <x:v>16.554791956133073</x:v>
      </x:c>
      <x:c r="E16" s="54" t="n">
        <x:f>Model_Data!I14</x:f>
        <x:v>8.394576667627003</x:v>
      </x:c>
      <x:c r="F16" s="53" t="n">
        <x:f>Subsurface_Live_Data!F14</x:f>
        <x:v>1063.4771219823376</x:v>
      </x:c>
      <x:c r="G16" s="53" t="n">
        <x:f>Subsurface_Live_Data!I14</x:f>
        <x:v>5614.036235464312</x:v>
      </x:c>
      <x:c r="H16" s="53" t="n">
        <x:f>Subsurface_Live_Data!K14</x:f>
        <x:v>14613.717465260237</x:v>
      </x:c>
      <x:c r="I16" s="54" t="n">
        <x:f>Subsurface_Live_Data!M14/COS(RADIANS(D16))</x:f>
        <x:v>13.174790577873082</x:v>
      </x:c>
      <x:c r="J16" s="54" t="n">
        <x:f>Subsurface_Live_Data!N14/COS(RADIANS(D16))</x:f>
        <x:v>69.54898245574265</x:v>
      </x:c>
      <x:c r="K16" s="54" t="n">
        <x:f>Subsurface_Live_Data!O14/COS(RADIANS(D16))</x:f>
        <x:v>181.04072310472088</x:v>
      </x:c>
      <x:c r="L16" s="53" t="n">
        <x:f>Inputs!$C$21*K16/(2*Inputs!$C$12*1000000)</x:f>
        <x:v>15245.686342039795</x:v>
      </x:c>
      <x:c r="M16" s="53" t="n">
        <x:f>L16*COS(RADIANS(D16))</x:f>
        <x:v>14613.717465260239</x:v>
      </x:c>
      <x:c r="N16" s="54" t="n">
        <x:f>L16-H16</x:f>
        <x:v>631.9688767795578</x:v>
      </x:c>
      <x:c r="O16" s="55" t="n">
        <x:f>M16-H16</x:f>
        <x:v>1.8189894035458565e-12</x:v>
      </x:c>
      <x:c r="P16" s="54" t="n">
        <x:f>N16-O16</x:f>
        <x:v>631.968876779556</x:v>
      </x:c>
      <x:c r="Q16" s="53" t="n">
        <x:f>Inputs!$C$21*J16/(2*Inputs!$C$12*1000000)</x:f>
        <x:v>5856.814719608417</x:v>
      </x:c>
      <x:c r="R16" s="53" t="n">
        <x:f>Q16*COS(RADIANS(D16))</x:f>
        <x:v>5614.036235464313</x:v>
      </x:c>
      <x:c r="S16" s="53" t="n">
        <x:f>Inputs!$C$21*I16/(2*Inputs!$C$12*1000000)*COS(RADIANS(D16))</x:f>
        <x:v>1063.4771219823378</x:v>
      </x:c>
    </x:row>
    <x:row r="17">
      <x:c r="A17" s="53" t="n">
        <x:f>Subsurface_Live_Data!A15</x:f>
        <x:v>-53.5</x:v>
      </x:c>
      <x:c r="B17" s="54" t="n">
        <x:f>Model_Data!P15</x:f>
        <x:v>451.7841126563326</x:v>
      </x:c>
      <x:c r="C17" s="54" t="n">
        <x:f>ABS(B17)*Inputs!$C$13/2</x:f>
        <x:v>1129.4602816408315</x:v>
      </x:c>
      <x:c r="D17" s="54" t="n">
        <x:f>DEGREES(ASIN(MIN(1,C17/(Inputs!$C$11*1000))))</x:f>
        <x:v>16.401410343937687</x:v>
      </x:c>
      <x:c r="E17" s="54" t="n">
        <x:f>Model_Data!I15</x:f>
        <x:v>8.33273894188251</x:v>
      </x:c>
      <x:c r="F17" s="53" t="n">
        <x:f>Subsurface_Live_Data!F15</x:f>
        <x:v>1082.7774674188674</x:v>
      </x:c>
      <x:c r="G17" s="53" t="n">
        <x:f>Subsurface_Live_Data!I15</x:f>
        <x:v>5610.966743240949</x:v>
      </x:c>
      <x:c r="H17" s="53" t="n">
        <x:f>Subsurface_Live_Data!K15</x:f>
        <x:v>14615.557901101563</x:v>
      </x:c>
      <x:c r="I17" s="54" t="n">
        <x:f>Subsurface_Live_Data!M15/COS(RADIANS(D17))</x:f>
        <x:v>13.40327351178149</x:v>
      </x:c>
      <x:c r="J17" s="54" t="n">
        <x:f>Subsurface_Live_Data!N15/COS(RADIANS(D17))</x:f>
        <x:v>69.45593548824326</x:v>
      </x:c>
      <x:c r="K17" s="54" t="n">
        <x:f>Subsurface_Live_Data!O15/COS(RADIANS(D17))</x:f>
        <x:v>180.92020380025295</x:v>
      </x:c>
      <x:c r="L17" s="53" t="n">
        <x:f>Inputs!$C$21*K17/(2*Inputs!$C$12*1000000)</x:f>
        <x:v>15235.537246949092</x:v>
      </x:c>
      <x:c r="M17" s="53" t="n">
        <x:f>L17*COS(RADIANS(D17))</x:f>
        <x:v>14615.557901101562</x:v>
      </x:c>
      <x:c r="N17" s="54" t="n">
        <x:f>L17-H17</x:f>
        <x:v>619.9793458475287</x:v>
      </x:c>
      <x:c r="O17" s="55" t="n">
        <x:f>M17-H17</x:f>
        <x:v>-1.8189894035458565e-12</x:v>
      </x:c>
      <x:c r="P17" s="54" t="n">
        <x:f>N17-O17</x:f>
        <x:v>619.9793458475306</x:v>
      </x:c>
      <x:c r="Q17" s="53" t="n">
        <x:f>Inputs!$C$21*J17/(2*Inputs!$C$12*1000000)</x:f>
        <x:v>5848.979107502774</x:v>
      </x:c>
      <x:c r="R17" s="53" t="n">
        <x:f>Q17*COS(RADIANS(D17))</x:f>
        <x:v>5610.96674324095</x:v>
      </x:c>
      <x:c r="S17" s="53" t="n">
        <x:f>Inputs!$C$21*I17/(2*Inputs!$C$12*1000000)*COS(RADIANS(D17))</x:f>
        <x:v>1082.7774674188677</x:v>
      </x:c>
    </x:row>
    <x:row r="18">
      <x:c r="A18" s="53" t="n">
        <x:f>Subsurface_Live_Data!A16</x:f>
        <x:v>-53</x:v>
      </x:c>
      <x:c r="B18" s="54" t="n">
        <x:f>Model_Data!P16</x:f>
        <x:v>447.67374769307935</x:v>
      </x:c>
      <x:c r="C18" s="54" t="n">
        <x:f>ABS(B18)*Inputs!$C$13/2</x:f>
        <x:v>1119.1843692326984</x:v>
      </x:c>
      <x:c r="D18" s="54" t="n">
        <x:f>DEGREES(ASIN(MIN(1,C18/(Inputs!$C$11*1000))))</x:f>
        <x:v>16.248035241256673</x:v>
      </x:c>
      <x:c r="E18" s="54" t="n">
        <x:f>Model_Data!I16</x:f>
        <x:v>8.27095770254524</x:v>
      </x:c>
      <x:c r="F18" s="53" t="n">
        <x:f>Subsurface_Live_Data!F16</x:f>
        <x:v>1102.254523465439</x:v>
      </x:c>
      <x:c r="G18" s="53" t="n">
        <x:f>Subsurface_Live_Data!I16</x:f>
        <x:v>5607.086387174617</x:v>
      </x:c>
      <x:c r="H18" s="53" t="n">
        <x:f>Subsurface_Live_Data!K16</x:f>
        <x:v>14618.824704591409</x:v>
      </x:c>
      <x:c r="I18" s="54" t="n">
        <x:f>Subsurface_Live_Data!M16/COS(RADIANS(D18))</x:f>
        <x:v>13.63367880324477</x:v>
      </x:c>
      <x:c r="J18" s="54" t="n">
        <x:f>Subsurface_Live_Data!N16/COS(RADIANS(D18))</x:f>
        <x:v>69.35350519991022</x:v>
      </x:c>
      <x:c r="K18" s="54" t="n">
        <x:f>Subsurface_Live_Data!O16/COS(RADIANS(D18))</x:f>
        <x:v>180.81881839479533</x:v>
      </x:c>
      <x:c r="L18" s="53" t="n">
        <x:f>Inputs!$C$21*K18/(2*Inputs!$C$12*1000000)</x:f>
        <x:v>15226.9994436043</x:v>
      </x:c>
      <x:c r="M18" s="53" t="n">
        <x:f>L18*COS(RADIANS(D18))</x:f>
        <x:v>14618.824704591409</x:v>
      </x:c>
      <x:c r="N18" s="54" t="n">
        <x:f>L18-H18</x:f>
        <x:v>608.1747390128912</x:v>
      </x:c>
      <x:c r="O18" s="55" t="n">
        <x:f>M18-H18</x:f>
        <x:v>0</x:v>
      </x:c>
      <x:c r="P18" s="54" t="n">
        <x:f>N18-O18</x:f>
        <x:v>608.1747390128912</x:v>
      </x:c>
      <x:c r="Q18" s="53" t="n">
        <x:f>Inputs!$C$21*J18/(2*Inputs!$C$12*1000000)</x:f>
        <x:v>5840.353313145187</x:v>
      </x:c>
      <x:c r="R18" s="53" t="n">
        <x:f>Q18*COS(RADIANS(D18))</x:f>
        <x:v>5607.086387174617</x:v>
      </x:c>
      <x:c r="S18" s="53" t="n">
        <x:f>Inputs!$C$21*I18/(2*Inputs!$C$12*1000000)*COS(RADIANS(D18))</x:f>
        <x:v>1102.2545234654388</x:v>
      </x:c>
    </x:row>
    <x:row r="19">
      <x:c r="A19" s="53" t="n">
        <x:f>Subsurface_Live_Data!A17</x:f>
        <x:v>-52.5</x:v>
      </x:c>
      <x:c r="B19" s="54" t="n">
        <x:f>Model_Data!P17</x:f>
        <x:v>443.56034297125007</x:v>
      </x:c>
      <x:c r="C19" s="54" t="n">
        <x:f>ABS(B19)*Inputs!$C$13/2</x:f>
        <x:v>1108.9008574281252</x:v>
      </x:c>
      <x:c r="D19" s="54" t="n">
        <x:f>DEGREES(ASIN(MIN(1,C19/(Inputs!$C$11*1000))))</x:f>
        <x:v>16.09466640670267</x:v>
      </x:c>
      <x:c r="E19" s="54" t="n">
        <x:f>Model_Data!I17</x:f>
        <x:v>8.2092359122646</x:v>
      </x:c>
      <x:c r="F19" s="53" t="n">
        <x:f>Subsurface_Live_Data!F17</x:f>
        <x:v>1122.3581700344505</x:v>
      </x:c>
      <x:c r="G19" s="53" t="n">
        <x:f>Subsurface_Live_Data!I17</x:f>
        <x:v>5602.393756957393</x:v>
      </x:c>
      <x:c r="H19" s="53" t="n">
        <x:f>Subsurface_Live_Data!K17</x:f>
        <x:v>14621.223871899127</x:v>
      </x:c>
      <x:c r="I19" s="54" t="n">
        <x:f>Subsurface_Live_Data!M17/COS(RADIANS(D19))</x:f>
        <x:v>13.871567156087018</x:v>
      </x:c>
      <x:c r="J19" s="54" t="n">
        <x:f>Subsurface_Live_Data!N17/COS(RADIANS(D19))</x:f>
        <x:v>69.24169423749258</x:v>
      </x:c>
      <x:c r="K19" s="54" t="n">
        <x:f>Subsurface_Live_Data!O17/COS(RADIANS(D19))</x:f>
        <x:v>180.70816808595595</x:v>
      </x:c>
      <x:c r="L19" s="53" t="n">
        <x:f>Inputs!$C$21*K19/(2*Inputs!$C$12*1000000)</x:f>
        <x:v>15217.681430102777</x:v>
      </x:c>
      <x:c r="M19" s="53" t="n">
        <x:f>L19*COS(RADIANS(D19))</x:f>
        <x:v>14621.223871899127</x:v>
      </x:c>
      <x:c r="N19" s="54" t="n">
        <x:f>L19-H19</x:f>
        <x:v>596.4575582036505</x:v>
      </x:c>
      <x:c r="O19" s="55" t="n">
        <x:f>M19-H19</x:f>
        <x:v>0</x:v>
      </x:c>
      <x:c r="P19" s="54" t="n">
        <x:f>N19-O19</x:f>
        <x:v>596.4575582036505</x:v>
      </x:c>
      <x:c r="Q19" s="53" t="n">
        <x:f>Inputs!$C$21*J19/(2*Inputs!$C$12*1000000)</x:f>
        <x:v>5830.937559422005</x:v>
      </x:c>
      <x:c r="R19" s="53" t="n">
        <x:f>Q19*COS(RADIANS(D19))</x:f>
        <x:v>5602.393756957393</x:v>
      </x:c>
      <x:c r="S19" s="53" t="n">
        <x:f>Inputs!$C$21*I19/(2*Inputs!$C$12*1000000)*COS(RADIANS(D19))</x:f>
        <x:v>1122.3581700344505</x:v>
      </x:c>
    </x:row>
    <x:row r="20">
      <x:c r="A20" s="53" t="n">
        <x:f>Subsurface_Live_Data!A18</x:f>
        <x:v>-52</x:v>
      </x:c>
      <x:c r="B20" s="54" t="n">
        <x:f>Model_Data!P18</x:f>
        <x:v>439.4439220161985</x:v>
      </x:c>
      <x:c r="C20" s="54" t="n">
        <x:f>ABS(B20)*Inputs!$C$13/2</x:f>
        <x:v>1098.6098050404962</x:v>
      </x:c>
      <x:c r="D20" s="54" t="n">
        <x:f>DEGREES(ASIN(MIN(1,C20/(Inputs!$C$11*1000))))</x:f>
        <x:v>15.941303604178813</x:v>
      </x:c>
      <x:c r="E20" s="54" t="n">
        <x:f>Model_Data!I18</x:f>
        <x:v>8.147576610261819</x:v>
      </x:c>
      <x:c r="F20" s="53" t="n">
        <x:f>Subsurface_Live_Data!F18</x:f>
        <x:v>1142.9381294460443</x:v>
      </x:c>
      <x:c r="G20" s="53" t="n">
        <x:f>Subsurface_Live_Data!I18</x:f>
        <x:v>5596.888048033917</x:v>
      </x:c>
      <x:c r="H20" s="53" t="n">
        <x:f>Subsurface_Live_Data!K18</x:f>
        <x:v>14622.536888707544</x:v>
      </x:c>
      <x:c r="I20" s="54" t="n">
        <x:f>Subsurface_Live_Data!M18/COS(RADIANS(D20))</x:f>
        <x:v>14.115070441739014</x:v>
      </x:c>
      <x:c r="J20" s="54" t="n">
        <x:f>Subsurface_Live_Data!N18/COS(RADIANS(D20))</x:f>
        <x:v>69.12051231575904</x:v>
      </x:c>
      <x:c r="K20" s="54" t="n">
        <x:f>Subsurface_Live_Data!O18/COS(RADIANS(D20))</x:f>
        <x:v>180.58557405996297</x:v>
      </x:c>
      <x:c r="L20" s="53" t="n">
        <x:f>Inputs!$C$21*K20/(2*Inputs!$C$12*1000000)</x:f>
        <x:v>15207.357619881273</x:v>
      </x:c>
      <x:c r="M20" s="53" t="n">
        <x:f>L20*COS(RADIANS(D20))</x:f>
        <x:v>14622.53688870754</x:v>
      </x:c>
      <x:c r="N20" s="54" t="n">
        <x:f>L20-H20</x:f>
        <x:v>584.8207311737297</x:v>
      </x:c>
      <x:c r="O20" s="55" t="n">
        <x:f>M20-H20</x:f>
        <x:v>-3.637978807091713e-12</x:v>
      </x:c>
      <x:c r="P20" s="54" t="n">
        <x:f>N20-O20</x:f>
        <x:v>584.8207311737333</x:v>
      </x:c>
      <x:c r="Q20" s="53" t="n">
        <x:f>Inputs!$C$21*J20/(2*Inputs!$C$12*1000000)</x:f>
        <x:v>5820.732664427156</x:v>
      </x:c>
      <x:c r="R20" s="53" t="n">
        <x:f>Q20*COS(RADIANS(D20))</x:f>
        <x:v>5596.888048033918</x:v>
      </x:c>
      <x:c r="S20" s="53" t="n">
        <x:f>Inputs!$C$21*I20/(2*Inputs!$C$12*1000000)*COS(RADIANS(D20))</x:f>
        <x:v>1142.9381294460445</x:v>
      </x:c>
    </x:row>
    <x:row r="21">
      <x:c r="A21" s="53" t="n">
        <x:f>Subsurface_Live_Data!A19</x:f>
        <x:v>-51.5</x:v>
      </x:c>
      <x:c r="B21" s="54" t="n">
        <x:f>Model_Data!P19</x:f>
        <x:v>435.32450851025715</x:v>
      </x:c>
      <x:c r="C21" s="54" t="n">
        <x:f>ABS(B21)*Inputs!$C$13/2</x:f>
        <x:v>1088.3112712756429</x:v>
      </x:c>
      <x:c r="D21" s="54" t="n">
        <x:f>DEGREES(ASIN(MIN(1,C21/(Inputs!$C$11*1000))))</x:f>
        <x:v>15.78794660357033</x:v>
      </x:c>
      <x:c r="E21" s="54" t="n">
        <x:f>Model_Data!I19</x:f>
        <x:v>8.085982914919201</x:v>
      </x:c>
      <x:c r="F21" s="53" t="n">
        <x:f>Subsurface_Live_Data!F19</x:f>
        <x:v>1163.890122985942</x:v>
      </x:c>
      <x:c r="G21" s="53" t="n">
        <x:f>Subsurface_Live_Data!I19</x:f>
        <x:v>5590.5690506271</x:v>
      </x:c>
      <x:c r="H21" s="53" t="n">
        <x:f>Subsurface_Live_Data!K19</x:f>
        <x:v>14622.37004851927</x:v>
      </x:c>
      <x:c r="I21" s="54" t="n">
        <x:f>Subsurface_Live_Data!M19/COS(RADIANS(D21))</x:f>
        <x:v>14.362894186358874</x:v>
      </x:c>
      <x:c r="J21" s="54" t="n">
        <x:f>Subsurface_Live_Data!N19/COS(RADIANS(D21))</x:f>
        <x:v>68.98997605520506</x:v>
      </x:c>
      <x:c r="K21" s="54" t="n">
        <x:f>Subsurface_Live_Data!O19/COS(RADIANS(D21))</x:f>
        <x:v>180.446203308147</x:v>
      </x:c>
      <x:c r="L21" s="53" t="n">
        <x:f>Inputs!$C$21*K21/(2*Inputs!$C$12*1000000)</x:f>
        <x:v>15195.621018684584</x:v>
      </x:c>
      <x:c r="M21" s="53" t="n">
        <x:f>L21*COS(RADIANS(D21))</x:f>
        <x:v>14622.370048519268</x:v>
      </x:c>
      <x:c r="N21" s="54" t="n">
        <x:f>L21-H21</x:f>
        <x:v>573.2509701653144</x:v>
      </x:c>
      <x:c r="O21" s="55" t="n">
        <x:f>M21-H21</x:f>
        <x:v>-1.8189894035458565e-12</x:v>
      </x:c>
      <x:c r="P21" s="54" t="n">
        <x:f>N21-O21</x:f>
        <x:v>573.2509701653162</x:v>
      </x:c>
      <x:c r="Q21" s="53" t="n">
        <x:f>Inputs!$C$21*J21/(2*Inputs!$C$12*1000000)</x:f>
        <x:v>5809.740027795244</x:v>
      </x:c>
      <x:c r="R21" s="53" t="n">
        <x:f>Q21*COS(RADIANS(D21))</x:f>
        <x:v>5590.569050627099</x:v>
      </x:c>
      <x:c r="S21" s="53" t="n">
        <x:f>Inputs!$C$21*I21/(2*Inputs!$C$12*1000000)*COS(RADIANS(D21))</x:f>
        <x:v>1163.890122985942</x:v>
      </x:c>
    </x:row>
    <x:row r="22">
      <x:c r="A22" s="53" t="n">
        <x:f>Subsurface_Live_Data!A20</x:f>
        <x:v>-51</x:v>
      </x:c>
      <x:c r="B22" s="54" t="n">
        <x:f>Model_Data!P20</x:f>
        <x:v>431.2021262460803</x:v>
      </x:c>
      <x:c r="C22" s="54" t="n">
        <x:f>ABS(B22)*Inputs!$C$13/2</x:f>
        <x:v>1078.0053156152007</x:v>
      </x:c>
      <x:c r="D22" s="54" t="n">
        <x:f>DEGREES(ASIN(MIN(1,C22/(Inputs!$C$11*1000))))</x:f>
        <x:v>15.634595178978294</x:v>
      </x:c>
      <x:c r="E22" s="54" t="n">
        <x:f>Model_Data!I20</x:f>
        <x:v>8.024458026468219</x:v>
      </x:c>
      <x:c r="F22" s="53" t="n">
        <x:f>Subsurface_Live_Data!F20</x:f>
        <x:v>1183.5157338191023</x:v>
      </x:c>
      <x:c r="G22" s="53" t="n">
        <x:f>Subsurface_Live_Data!I20</x:f>
        <x:v>5583.437143502679</x:v>
      </x:c>
      <x:c r="H22" s="53" t="n">
        <x:f>Subsurface_Live_Data!K20</x:f>
        <x:v>14625.906076815862</x:v>
      </x:c>
      <x:c r="I22" s="54" t="n">
        <x:f>Subsurface_Live_Data!M20/COS(RADIANS(D22))</x:f>
        <x:v>14.594090528644108</x:v>
      </x:c>
      <x:c r="J22" s="54" t="n">
        <x:f>Subsurface_Live_Data!N20/COS(RADIANS(D22))</x:f>
        <x:v>68.8501088788457</x:v>
      </x:c>
      <x:c r="K22" s="54" t="n">
        <x:f>Subsurface_Live_Data!O20/COS(RADIANS(D22))</x:f>
        <x:v>180.35400058409556</x:v>
      </x:c>
      <x:c r="L22" s="53" t="n">
        <x:f>Inputs!$C$21*K22/(2*Inputs!$C$12*1000000)</x:f>
        <x:v>15187.856501471753</x:v>
      </x:c>
      <x:c r="M22" s="53" t="n">
        <x:f>L22*COS(RADIANS(D22))</x:f>
        <x:v>14625.906076815862</x:v>
      </x:c>
      <x:c r="N22" s="54" t="n">
        <x:f>L22-H22</x:f>
        <x:v>561.9504246558918</x:v>
      </x:c>
      <x:c r="O22" s="55" t="n">
        <x:f>M22-H22</x:f>
        <x:v>0</x:v>
      </x:c>
      <x:c r="P22" s="54" t="n">
        <x:f>N22-O22</x:f>
        <x:v>561.9504246558918</x:v>
      </x:c>
      <x:c r="Q22" s="53" t="n">
        <x:f>Inputs!$C$21*J22/(2*Inputs!$C$12*1000000)</x:f>
        <x:v>5797.961622010331</x:v>
      </x:c>
      <x:c r="R22" s="53" t="n">
        <x:f>Q22*COS(RADIANS(D22))</x:f>
        <x:v>5583.43714350268</x:v>
      </x:c>
      <x:c r="S22" s="53" t="n">
        <x:f>Inputs!$C$21*I22/(2*Inputs!$C$12*1000000)*COS(RADIANS(D22))</x:f>
        <x:v>1183.5157338191023</x:v>
      </x:c>
    </x:row>
    <x:row r="23">
      <x:c r="A23" s="53" t="n">
        <x:f>Subsurface_Live_Data!A21</x:f>
        <x:v>-50.5</x:v>
      </x:c>
      <x:c r="B23" s="54" t="n">
        <x:f>Model_Data!P21</x:f>
        <x:v>427.0767991610228</x:v>
      </x:c>
      <x:c r="C23" s="54" t="n">
        <x:f>ABS(B23)*Inputs!$C$13/2</x:f>
        <x:v>1067.691997902557</x:v>
      </x:c>
      <x:c r="D23" s="54" t="n">
        <x:f>DEGREES(ASIN(MIN(1,C23/(Inputs!$C$11*1000))))</x:f>
        <x:v>15.48124910997298</x:v>
      </x:c>
      <x:c r="E23" s="54" t="n">
        <x:f>Model_Data!I21</x:f>
        <x:v>7.9630052297803156</x:v>
      </x:c>
      <x:c r="F23" s="53" t="n">
        <x:f>Subsurface_Live_Data!F21</x:f>
        <x:v>1203.0681582051104</x:v>
      </x:c>
      <x:c r="G23" s="53" t="n">
        <x:f>Subsurface_Live_Data!I21</x:f>
        <x:v>5575.493293378915</x:v>
      </x:c>
      <x:c r="H23" s="53" t="n">
        <x:f>Subsurface_Live_Data!K21</x:f>
        <x:v>14628.005233442185</x:v>
      </x:c>
      <x:c r="I23" s="54" t="n">
        <x:f>Subsurface_Live_Data!M21/COS(RADIANS(D23))</x:f>
        <x:v>14.824143835111483</x:v>
      </x:c>
      <x:c r="J23" s="54" t="n">
        <x:f>Subsurface_Live_Data!N21/COS(RADIANS(D23))</x:f>
        <x:v>68.70094098081614</x:v>
      </x:c>
      <x:c r="K23" s="54" t="n">
        <x:f>Subsurface_Live_Data!O21/COS(RADIANS(D23))</x:f>
        <x:v>180.24552650851578</x:v>
      </x:c>
      <x:c r="L23" s="53" t="n">
        <x:f>Inputs!$C$21*K23/(2*Inputs!$C$12*1000000)</x:f>
        <x:v>15178.721751542726</x:v>
      </x:c>
      <x:c r="M23" s="53" t="n">
        <x:f>L23*COS(RADIANS(D23))</x:f>
        <x:v>14628.005233442185</x:v>
      </x:c>
      <x:c r="N23" s="54" t="n">
        <x:f>L23-H23</x:f>
        <x:v>550.7165181005403</x:v>
      </x:c>
      <x:c r="O23" s="55" t="n">
        <x:f>M23-H23</x:f>
        <x:v>0</x:v>
      </x:c>
      <x:c r="P23" s="54" t="n">
        <x:f>N23-O23</x:f>
        <x:v>550.7165181005403</x:v>
      </x:c>
      <x:c r="Q23" s="53" t="n">
        <x:f>Inputs!$C$21*J23/(2*Inputs!$C$12*1000000)</x:f>
        <x:v>5785.399989761742</x:v>
      </x:c>
      <x:c r="R23" s="53" t="n">
        <x:f>Q23*COS(RADIANS(D23))</x:f>
        <x:v>5575.493293378916</x:v>
      </x:c>
      <x:c r="S23" s="53" t="n">
        <x:f>Inputs!$C$21*I23/(2*Inputs!$C$12*1000000)*COS(RADIANS(D23))</x:f>
        <x:v>1203.0681582051104</x:v>
      </x:c>
    </x:row>
    <x:row r="24">
      <x:c r="A24" s="53" t="n">
        <x:f>Subsurface_Live_Data!A22</x:f>
        <x:v>-50</x:v>
      </x:c>
      <x:c r="B24" s="54" t="n">
        <x:f>Model_Data!P22</x:f>
        <x:v>422.9485513214968</x:v>
      </x:c>
      <x:c r="C24" s="54" t="n">
        <x:f>ABS(B24)*Inputs!$C$13/2</x:f>
        <x:v>1057.371378303742</x:v>
      </x:c>
      <x:c r="D24" s="54" t="n">
        <x:f>DEGREES(ASIN(MIN(1,C24/(Inputs!$C$11*1000))))</x:f>
        <x:v>15.327908180984782</x:v>
      </x:c>
      <x:c r="E24" s="54" t="n">
        <x:f>Model_Data!I22</x:f>
        <x:v>7.901627897264307</x:v>
      </x:c>
      <x:c r="F24" s="53" t="n">
        <x:f>Subsurface_Live_Data!F22</x:f>
        <x:v>1223.0962491259838</x:v>
      </x:c>
      <x:c r="G24" s="53" t="n">
        <x:f>Subsurface_Live_Data!I22</x:f>
        <x:v>5566.739060888317</x:v>
      </x:c>
      <x:c r="H24" s="53" t="n">
        <x:f>Subsurface_Live_Data!K22</x:f>
        <x:v>14626.012286300014</x:v>
      </x:c>
      <x:c r="I24" s="54" t="n">
        <x:f>Subsurface_Live_Data!M22/COS(RADIANS(D24))</x:f>
        <x:v>15.059819619053778</x:v>
      </x:c>
      <x:c r="J24" s="54" t="n">
        <x:f>Subsurface_Live_Data!N22/COS(RADIANS(D24))</x:f>
        <x:v>68.54250937587794</x:v>
      </x:c>
      <x:c r="K24" s="54" t="n">
        <x:f>Subsurface_Live_Data!O22/COS(RADIANS(D24))</x:f>
        <x:v>180.0881222022735</x:v>
      </x:c>
      <x:c r="L24" s="53" t="n">
        <x:f>Inputs!$C$21*K24/(2*Inputs!$C$12*1000000)</x:f>
        <x:v>15165.466520119086</x:v>
      </x:c>
      <x:c r="M24" s="53" t="n">
        <x:f>L24*COS(RADIANS(D24))</x:f>
        <x:v>14626.012286300014</x:v>
      </x:c>
      <x:c r="N24" s="54" t="n">
        <x:f>L24-H24</x:f>
        <x:v>539.4542338190713</x:v>
      </x:c>
      <x:c r="O24" s="55" t="n">
        <x:f>M24-H24</x:f>
        <x:v>0</x:v>
      </x:c>
      <x:c r="P24" s="54" t="n">
        <x:f>N24-O24</x:f>
        <x:v>539.4542338190713</x:v>
      </x:c>
      <x:c r="Q24" s="53" t="n">
        <x:f>Inputs!$C$21*J24/(2*Inputs!$C$12*1000000)</x:f>
        <x:v>5772.05824811306</x:v>
      </x:c>
      <x:c r="R24" s="53" t="n">
        <x:f>Q24*COS(RADIANS(D24))</x:f>
        <x:v>5566.739060888318</x:v>
      </x:c>
      <x:c r="S24" s="53" t="n">
        <x:f>Inputs!$C$21*I24/(2*Inputs!$C$12*1000000)*COS(RADIANS(D24))</x:f>
        <x:v>1223.096249125984</x:v>
      </x:c>
    </x:row>
    <x:row r="25">
      <x:c r="A25" s="53" t="n">
        <x:f>Subsurface_Live_Data!A23</x:f>
        <x:v>-49.5</x:v>
      </x:c>
      <x:c r="B25" s="54" t="n">
        <x:f>Model_Data!P23</x:f>
        <x:v>418.81740692178937</x:v>
      </x:c>
      <x:c r="C25" s="54" t="n">
        <x:f>ABS(B25)*Inputs!$C$13/2</x:f>
        <x:v>1047.0435173044734</x:v>
      </x:c>
      <x:c r="D25" s="54" t="n">
        <x:f>DEGREES(ASIN(MIN(1,C25/(Inputs!$C$11*1000))))</x:f>
        <x:v>15.174572181234904</x:v>
      </x:c>
      <x:c r="E25" s="54" t="n">
        <x:f>Model_Data!I23</x:f>
        <x:v>7.84032949187448</x:v>
      </x:c>
      <x:c r="F25" s="53" t="n">
        <x:f>Subsurface_Live_Data!F23</x:f>
        <x:v>1240.7949999125224</x:v>
      </x:c>
      <x:c r="G25" s="53" t="n">
        <x:f>Subsurface_Live_Data!I23</x:f>
        <x:v>5557.17661397957</x:v>
      </x:c>
      <x:c r="H25" s="53" t="n">
        <x:f>Subsurface_Live_Data!K23</x:f>
        <x:v>14629.040649051138</x:v>
      </x:c>
      <x:c r="I25" s="54" t="n">
        <x:f>Subsurface_Live_Data!M23/COS(RADIANS(D25))</x:f>
        <x:v>15.266598107354218</x:v>
      </x:c>
      <x:c r="J25" s="54" t="n">
        <x:f>Subsurface_Live_Data!N23/COS(RADIANS(D25))</x:f>
        <x:v>68.3748580411711</x:v>
      </x:c>
      <x:c r="K25" s="54" t="n">
        <x:f>Subsurface_Live_Data!O23/COS(RADIANS(D25))</x:f>
        <x:v>179.99402342929932</x:v>
      </x:c>
      <x:c r="L25" s="53" t="n">
        <x:f>Inputs!$C$21*K25/(2*Inputs!$C$12*1000000)</x:f>
        <x:v>15157.54233403911</x:v>
      </x:c>
      <x:c r="M25" s="53" t="n">
        <x:f>L25*COS(RADIANS(D25))</x:f>
        <x:v>14629.040649051136</x:v>
      </x:c>
      <x:c r="N25" s="54" t="n">
        <x:f>L25-H25</x:f>
        <x:v>528.5016849879721</x:v>
      </x:c>
      <x:c r="O25" s="55" t="n">
        <x:f>M25-H25</x:f>
        <x:v>-1.8189894035458565e-12</x:v>
      </x:c>
      <x:c r="P25" s="54" t="n">
        <x:f>N25-O25</x:f>
        <x:v>528.5016849879739</x:v>
      </x:c>
      <x:c r="Q25" s="53" t="n">
        <x:f>Inputs!$C$21*J25/(2*Inputs!$C$12*1000000)</x:f>
        <x:v>5757.940100439255</x:v>
      </x:c>
      <x:c r="R25" s="53" t="n">
        <x:f>Q25*COS(RADIANS(D25))</x:f>
        <x:v>5557.17661397957</x:v>
      </x:c>
      <x:c r="S25" s="53" t="n">
        <x:f>Inputs!$C$21*I25/(2*Inputs!$C$12*1000000)*COS(RADIANS(D25))</x:f>
        <x:v>1240.7949999125224</x:v>
      </x:c>
    </x:row>
    <x:row r="26">
      <x:c r="A26" s="53" t="n">
        <x:f>Subsurface_Live_Data!A24</x:f>
        <x:v>-49</x:v>
      </x:c>
      <x:c r="B26" s="54" t="n">
        <x:f>Model_Data!P24</x:f>
        <x:v>414.6833903003426</x:v>
      </x:c>
      <x:c r="C26" s="54" t="n">
        <x:f>ABS(B26)*Inputs!$C$13/2</x:f>
        <x:v>1036.7084757508565</x:v>
      </x:c>
      <x:c r="D26" s="54" t="n">
        <x:f>DEGREES(ASIN(MIN(1,C26/(Inputs!$C$11*1000))))</x:f>
        <x:v>15.02124090531434</x:v>
      </x:c>
      <x:c r="E26" s="54" t="n">
        <x:f>Model_Data!I24</x:f>
        <x:v>7.779113570233542</x:v>
      </x:c>
      <x:c r="F26" s="53" t="n">
        <x:f>Subsurface_Live_Data!F24</x:f>
        <x:v>1258.5092160335162</x:v>
      </x:c>
      <x:c r="G26" s="53" t="n">
        <x:f>Subsurface_Live_Data!I24</x:f>
        <x:v>5546.808749607553</x:v>
      </x:c>
      <x:c r="H26" s="53" t="n">
        <x:f>Subsurface_Live_Data!K24</x:f>
        <x:v>14628.219878746673</x:v>
      </x:c>
      <x:c r="I26" s="54" t="n">
        <x:f>Subsurface_Live_Data!M24/COS(RADIANS(D26))</x:f>
        <x:v>15.47337638891703</x:v>
      </x:c>
      <x:c r="J26" s="54" t="n">
        <x:f>Subsurface_Live_Data!N24/COS(RADIANS(D26))</x:f>
        <x:v>68.19803816019905</x:v>
      </x:c>
      <x:c r="K26" s="54" t="n">
        <x:f>Subsurface_Live_Data!O24/COS(RADIANS(D26))</x:f>
        <x:v>179.85402824229894</x:v>
      </x:c>
      <x:c r="L26" s="53" t="n">
        <x:f>Inputs!$C$21*K26/(2*Inputs!$C$12*1000000)</x:f>
        <x:v>15145.753148303433</x:v>
      </x:c>
      <x:c r="M26" s="53" t="n">
        <x:f>L26*COS(RADIANS(D26))</x:f>
        <x:v>14628.219878746673</x:v>
      </x:c>
      <x:c r="N26" s="54" t="n">
        <x:f>L26-H26</x:f>
        <x:v>517.5332695567595</x:v>
      </x:c>
      <x:c r="O26" s="55" t="n">
        <x:f>M26-H26</x:f>
        <x:v>0</x:v>
      </x:c>
      <x:c r="P26" s="54" t="n">
        <x:f>N26-O26</x:f>
        <x:v>517.5332695567595</x:v>
      </x:c>
      <x:c r="Q26" s="53" t="n">
        <x:f>Inputs!$C$21*J26/(2*Inputs!$C$12*1000000)</x:f>
        <x:v>5743.049856972998</x:v>
      </x:c>
      <x:c r="R26" s="53" t="n">
        <x:f>Q26*COS(RADIANS(D26))</x:f>
        <x:v>5546.808749607555</x:v>
      </x:c>
      <x:c r="S26" s="53" t="n">
        <x:f>Inputs!$C$21*I26/(2*Inputs!$C$12*1000000)*COS(RADIANS(D26))</x:f>
        <x:v>1258.5092160335162</x:v>
      </x:c>
    </x:row>
    <x:row r="27">
      <x:c r="A27" s="53" t="n">
        <x:f>Subsurface_Live_Data!A25</x:f>
        <x:v>-48.5</x:v>
      </x:c>
      <x:c r="B27" s="54" t="n">
        <x:f>Model_Data!P25</x:f>
        <x:v>410.54652591110425</x:v>
      </x:c>
      <x:c r="C27" s="54" t="n">
        <x:f>ABS(B27)*Inputs!$C$13/2</x:f>
        <x:v>1026.3663147777606</x:v>
      </x:c>
      <x:c r="D27" s="54" t="n">
        <x:f>DEGREES(ASIN(MIN(1,C27/(Inputs!$C$11*1000))))</x:f>
        <x:v>14.867914152096192</x:v>
      </x:c>
      <x:c r="E27" s="54" t="n">
        <x:f>Model_Data!I25</x:f>
        <x:v>7.717983785874701</x:v>
      </x:c>
      <x:c r="F27" s="53" t="n">
        <x:f>Subsurface_Live_Data!F25</x:f>
        <x:v>1274.5448931869018</x:v>
      </x:c>
      <x:c r="G27" s="53" t="n">
        <x:f>Subsurface_Live_Data!I25</x:f>
        <x:v>5535.638924495328</x:v>
      </x:c>
      <x:c r="H27" s="53" t="n">
        <x:f>Subsurface_Live_Data!K25</x:f>
        <x:v>14628.865542990865</x:v>
      </x:c>
      <x:c r="I27" s="54" t="n">
        <x:f>Subsurface_Live_Data!M25/COS(RADIANS(D27))</x:f>
        <x:v>15.65934605149464</x:v>
      </x:c>
      <x:c r="J27" s="54" t="n">
        <x:f>Subsurface_Live_Data!N25/COS(RADIANS(D27))</x:f>
        <x:v>68.01210847744093</x:v>
      </x:c>
      <x:c r="K27" s="54" t="n">
        <x:f>Subsurface_Live_Data!O25/COS(RADIANS(D27))</x:f>
        <x:v>179.73354183365547</x:v>
      </x:c>
      <x:c r="L27" s="53" t="n">
        <x:f>Inputs!$C$21*K27/(2*Inputs!$C$12*1000000)</x:f>
        <x:v>15135.606823414999</x:v>
      </x:c>
      <x:c r="M27" s="53" t="n">
        <x:f>L27*COS(RADIANS(D27))</x:f>
        <x:v>14628.865542990863</x:v>
      </x:c>
      <x:c r="N27" s="54" t="n">
        <x:f>L27-H27</x:f>
        <x:v>506.74128042413395</x:v>
      </x:c>
      <x:c r="O27" s="55" t="n">
        <x:f>M27-H27</x:f>
        <x:v>-1.8189894035458565e-12</x:v>
      </x:c>
      <x:c r="P27" s="54" t="n">
        <x:f>N27-O27</x:f>
        <x:v>506.74128042413577</x:v>
      </x:c>
      <x:c r="Q27" s="53" t="n">
        <x:f>Inputs!$C$21*J27/(2*Inputs!$C$12*1000000)</x:f>
        <x:v>5727.3924646670375</x:v>
      </x:c>
      <x:c r="R27" s="53" t="n">
        <x:f>Q27*COS(RADIANS(D27))</x:f>
        <x:v>5535.638924495327</x:v>
      </x:c>
      <x:c r="S27" s="53" t="n">
        <x:f>Inputs!$C$21*I27/(2*Inputs!$C$12*1000000)*COS(RADIANS(D27))</x:f>
        <x:v>1274.544893186902</x:v>
      </x:c>
    </x:row>
    <x:row r="28">
      <x:c r="A28" s="53" t="n">
        <x:f>Subsurface_Live_Data!A26</x:f>
        <x:v>-48</x:v>
      </x:c>
      <x:c r="B28" s="54" t="n">
        <x:f>Model_Data!P26</x:f>
        <x:v>406.40683834462834</x:v>
      </x:c>
      <x:c r="C28" s="54" t="n">
        <x:f>ABS(B28)*Inputs!$C$13/2</x:f>
        <x:v>1016.0170958615709</x:v>
      </x:c>
      <x:c r="D28" s="54" t="n">
        <x:f>DEGREES(ASIN(MIN(1,C28/(Inputs!$C$11*1000))))</x:f>
        <x:v>14.71459172549512</x:v>
      </x:c>
      <x:c r="E28" s="54" t="n">
        <x:f>Model_Data!I26</x:f>
        <x:v>7.656943892607386</x:v>
      </x:c>
      <x:c r="F28" s="53" t="n">
        <x:f>Subsurface_Live_Data!F26</x:f>
        <x:v>1288.9247717898286</x:v>
      </x:c>
      <x:c r="G28" s="53" t="n">
        <x:f>Subsurface_Live_Data!I26</x:f>
        <x:v>5523.6712956624315</x:v>
      </x:c>
      <x:c r="H28" s="53" t="n">
        <x:f>Subsurface_Live_Data!K26</x:f>
        <x:v>14630.343646203191</x:v>
      </x:c>
      <x:c r="I28" s="54" t="n">
        <x:f>Subsurface_Live_Data!M26/COS(RADIANS(D28))</x:f>
        <x:v>15.824834891599831</x:v>
      </x:c>
      <x:c r="J28" s="54" t="n">
        <x:f>Subsurface_Live_Data!N26/COS(RADIANS(D28))</x:f>
        <x:v>67.81713577274665</x:v>
      </x:c>
      <x:c r="K28" s="54" t="n">
        <x:f>Subsurface_Live_Data!O26/COS(RADIANS(D28))</x:f>
        <x:v>179.62473658337302</x:v>
      </x:c>
      <x:c r="L28" s="53" t="n">
        <x:f>Inputs!$C$21*K28/(2*Inputs!$C$12*1000000)</x:f>
        <x:v>15126.444184812339</x:v>
      </x:c>
      <x:c r="M28" s="53" t="n">
        <x:f>L28*COS(RADIANS(D28))</x:f>
        <x:v>14630.343646203193</x:v>
      </x:c>
      <x:c r="N28" s="54" t="n">
        <x:f>L28-H28</x:f>
        <x:v>496.1005386091474</x:v>
      </x:c>
      <x:c r="O28" s="55" t="n">
        <x:f>M28-H28</x:f>
        <x:v>1.8189894035458565e-12</x:v>
      </x:c>
      <x:c r="P28" s="54" t="n">
        <x:f>N28-O28</x:f>
        <x:v>496.1005386091456</x:v>
      </x:c>
      <x:c r="Q28" s="53" t="n">
        <x:f>Inputs!$C$21*J28/(2*Inputs!$C$12*1000000)</x:f>
        <x:v>5710.973547143665</x:v>
      </x:c>
      <x:c r="R28" s="53" t="n">
        <x:f>Q28*COS(RADIANS(D28))</x:f>
        <x:v>5523.6712956624315</x:v>
      </x:c>
      <x:c r="S28" s="53" t="n">
        <x:f>Inputs!$C$21*I28/(2*Inputs!$C$12*1000000)*COS(RADIANS(D28))</x:f>
        <x:v>1288.9247717898286</x:v>
      </x:c>
    </x:row>
    <x:row r="29">
      <x:c r="A29" s="53" t="n">
        <x:f>Subsurface_Live_Data!A27</x:f>
        <x:v>-47.5</x:v>
      </x:c>
      <x:c r="B29" s="54" t="n">
        <x:f>Model_Data!P27</x:f>
        <x:v>402.26435232361837</x:v>
      </x:c>
      <x:c r="C29" s="54" t="n">
        <x:f>ABS(B29)*Inputs!$C$13/2</x:f>
        <x:v>1005.6608808090459</x:v>
      </x:c>
      <x:c r="D29" s="54" t="n">
        <x:f>DEGREES(ASIN(MIN(1,C29/(Inputs!$C$11*1000))))</x:f>
        <x:v>14.561273434278492</x:v>
      </x:c>
      <x:c r="E29" s="54" t="n">
        <x:f>Model_Data!I27</x:f>
        <x:v>7.595997748011028</x:v>
      </x:c>
      <x:c r="F29" s="53" t="n">
        <x:f>Subsurface_Live_Data!F27</x:f>
        <x:v>1302.684157443889</x:v>
      </x:c>
      <x:c r="G29" s="53" t="n">
        <x:f>Subsurface_Live_Data!I27</x:f>
        <x:v>5510.910771297527</x:v>
      </x:c>
      <x:c r="H29" s="53" t="n">
        <x:f>Subsurface_Live_Data!K27</x:f>
        <x:v>14628.54315116047</x:v>
      </x:c>
      <x:c r="I29" s="54" t="n">
        <x:f>Subsurface_Live_Data!M27/COS(RADIANS(D29))</x:f>
        <x:v>15.982592028192055</x:v>
      </x:c>
      <x:c r="J29" s="54" t="n">
        <x:f>Subsurface_Live_Data!N27/COS(RADIANS(D29))</x:f>
        <x:v>67.61319546116567</x:v>
      </x:c>
      <x:c r="K29" s="54" t="n">
        <x:f>Subsurface_Live_Data!O27/COS(RADIANS(D29))</x:f>
        <x:v>179.47714786872382</x:v>
      </x:c>
      <x:c r="L29" s="53" t="n">
        <x:f>Inputs!$C$21*K29/(2*Inputs!$C$12*1000000)</x:f>
        <x:v>15114.015537751173</x:v>
      </x:c>
      <x:c r="M29" s="53" t="n">
        <x:f>L29*COS(RADIANS(D29))</x:f>
        <x:v>14628.54315116047</x:v>
      </x:c>
      <x:c r="N29" s="54" t="n">
        <x:f>L29-H29</x:f>
        <x:v>485.47238659070354</x:v>
      </x:c>
      <x:c r="O29" s="55" t="n">
        <x:f>M29-H29</x:f>
        <x:v>0</x:v>
      </x:c>
      <x:c r="P29" s="54" t="n">
        <x:f>N29-O29</x:f>
        <x:v>485.47238659070354</x:v>
      </x:c>
      <x:c r="Q29" s="53" t="n">
        <x:f>Inputs!$C$21*J29/(2*Inputs!$C$12*1000000)</x:f>
        <x:v>5693.799455207107</x:v>
      </x:c>
      <x:c r="R29" s="53" t="n">
        <x:f>Q29*COS(RADIANS(D29))</x:f>
        <x:v>5510.910771297527</x:v>
      </x:c>
      <x:c r="S29" s="53" t="n">
        <x:f>Inputs!$C$21*I29/(2*Inputs!$C$12*1000000)*COS(RADIANS(D29))</x:f>
        <x:v>1302.684157443889</x:v>
      </x:c>
    </x:row>
    <x:row r="30">
      <x:c r="A30" s="53" t="n">
        <x:f>Subsurface_Live_Data!A28</x:f>
        <x:v>-47</x:v>
      </x:c>
      <x:c r="B30" s="54" t="n">
        <x:f>Model_Data!P28</x:f>
        <x:v>398.1190926891031</x:v>
      </x:c>
      <x:c r="C30" s="54" t="n">
        <x:f>ABS(B30)*Inputs!$C$13/2</x:f>
        <x:v>995.2977317227578</x:v>
      </x:c>
      <x:c r="D30" s="54" t="n">
        <x:f>DEGREES(ASIN(MIN(1,C30/(Inputs!$C$11*1000))))</x:f>
        <x:v>14.40795909153249</x:v>
      </x:c>
      <x:c r="E30" s="54" t="n">
        <x:f>Model_Data!I28</x:f>
        <x:v>7.535149317061624</x:v>
      </x:c>
      <x:c r="F30" s="53" t="n">
        <x:f>Subsurface_Live_Data!F28</x:f>
        <x:v>1314.1421850088739</x:v>
      </x:c>
      <x:c r="G30" s="53" t="n">
        <x:f>Subsurface_Live_Data!I28</x:f>
        <x:v>5497.363072409545</x:v>
      </x:c>
      <x:c r="H30" s="53" t="n">
        <x:f>Subsurface_Live_Data!K28</x:f>
        <x:v>14628.933341310483</x:v>
      </x:c>
      <x:c r="I30" s="54" t="n">
        <x:f>Subsurface_Live_Data!M28/COS(RADIANS(D30))</x:f>
        <x:v>16.11202887431074</x:v>
      </x:c>
      <x:c r="J30" s="54" t="n">
        <x:f>Subsurface_Live_Data!N28/COS(RADIANS(D30))</x:f>
        <x:v>67.40037232320802</x:v>
      </x:c>
      <x:c r="K30" s="54" t="n">
        <x:f>Subsurface_Live_Data!O28/COS(RADIANS(D30))</x:f>
        <x:v>179.3579104942667</x:v>
      </x:c>
      <x:c r="L30" s="53" t="n">
        <x:f>Inputs!$C$21*K30/(2*Inputs!$C$12*1000000)</x:f>
        <x:v>15103.974395736013</x:v>
      </x:c>
      <x:c r="M30" s="53" t="n">
        <x:f>L30*COS(RADIANS(D30))</x:f>
        <x:v>14628.933341310483</x:v>
      </x:c>
      <x:c r="N30" s="54" t="n">
        <x:f>L30-H30</x:f>
        <x:v>475.0410544255301</x:v>
      </x:c>
      <x:c r="O30" s="55" t="n">
        <x:f>M30-H30</x:f>
        <x:v>0</x:v>
      </x:c>
      <x:c r="P30" s="54" t="n">
        <x:f>N30-O30</x:f>
        <x:v>475.0410544255301</x:v>
      </x:c>
      <x:c r="Q30" s="53" t="n">
        <x:f>Inputs!$C$21*J30/(2*Inputs!$C$12*1000000)</x:f>
        <x:v>5675.877328339804</x:v>
      </x:c>
      <x:c r="R30" s="53" t="n">
        <x:f>Q30*COS(RADIANS(D30))</x:f>
        <x:v>5497.363072409545</x:v>
      </x:c>
      <x:c r="S30" s="53" t="n">
        <x:f>Inputs!$C$21*I30/(2*Inputs!$C$12*1000000)*COS(RADIANS(D30))</x:f>
        <x:v>1314.1421850088736</x:v>
      </x:c>
    </x:row>
    <x:row r="31">
      <x:c r="A31" s="53" t="n">
        <x:f>Subsurface_Live_Data!A29</x:f>
        <x:v>-46.5</x:v>
      </x:c>
      <x:c r="B31" s="54" t="n">
        <x:f>Model_Data!P29</x:f>
        <x:v>393.9710844109868</x:v>
      </x:c>
      <x:c r="C31" s="54" t="n">
        <x:f>ABS(B31)*Inputs!$C$13/2</x:f>
        <x:v>984.927711027467</x:v>
      </x:c>
      <x:c r="D31" s="54" t="n">
        <x:f>DEGREES(ASIN(MIN(1,C31/(Inputs!$C$11*1000))))</x:f>
        <x:v>14.254648515031473</x:v>
      </x:c>
      <x:c r="E31" s="54" t="n">
        <x:f>Model_Data!I29</x:f>
        <x:v>7.4744026758958535</x:v>
      </x:c>
      <x:c r="F31" s="53" t="n">
        <x:f>Subsurface_Live_Data!F29</x:f>
        <x:v>1324.2623031045136</x:v>
      </x:c>
      <x:c r="G31" s="53" t="n">
        <x:f>Subsurface_Live_Data!I29</x:f>
        <x:v>5483.034805519655</x:v>
      </x:c>
      <x:c r="H31" s="53" t="n">
        <x:f>Subsurface_Live_Data!K29</x:f>
        <x:v>14627.807692098573</x:v>
      </x:c>
      <x:c r="I31" s="54" t="n">
        <x:f>Subsurface_Live_Data!M29/COS(RADIANS(D31))</x:f>
        <x:v>16.225011221912258</x:v>
      </x:c>
      <x:c r="J31" s="54" t="n">
        <x:f>Subsurface_Live_Data!N29/COS(RADIANS(D31))</x:f>
        <x:v>67.17876136860085</x:v>
      </x:c>
      <x:c r="K31" s="54" t="n">
        <x:f>Subsurface_Live_Data!O29/COS(RADIANS(D31))</x:f>
        <x:v>179.221551047612</x:v>
      </x:c>
      <x:c r="L31" s="53" t="n">
        <x:f>Inputs!$C$21*K31/(2*Inputs!$C$12*1000000)</x:f>
        <x:v>15092.491380656202</x:v>
      </x:c>
      <x:c r="M31" s="53" t="n">
        <x:f>L31*COS(RADIANS(D31))</x:f>
        <x:v>14627.807692098575</x:v>
      </x:c>
      <x:c r="N31" s="54" t="n">
        <x:f>L31-H31</x:f>
        <x:v>464.68368855762856</x:v>
      </x:c>
      <x:c r="O31" s="55" t="n">
        <x:f>M31-H31</x:f>
        <x:v>1.8189894035458565e-12</x:v>
      </x:c>
      <x:c r="P31" s="54" t="n">
        <x:f>N31-O31</x:f>
        <x:v>464.68368855762674</x:v>
      </x:c>
      <x:c r="Q31" s="53" t="n">
        <x:f>Inputs!$C$21*J31/(2*Inputs!$C$12*1000000)</x:f>
        <x:v>5657.215167440531</x:v>
      </x:c>
      <x:c r="R31" s="53" t="n">
        <x:f>Q31*COS(RADIANS(D31))</x:f>
        <x:v>5483.034805519655</x:v>
      </x:c>
      <x:c r="S31" s="53" t="n">
        <x:f>Inputs!$C$21*I31/(2*Inputs!$C$12*1000000)*COS(RADIANS(D31))</x:f>
        <x:v>1324.2623031045136</x:v>
      </x:c>
    </x:row>
    <x:row r="32">
      <x:c r="A32" s="53" t="n">
        <x:f>Subsurface_Live_Data!A30</x:f>
        <x:v>-46</x:v>
      </x:c>
      <x:c r="B32" s="54" t="n">
        <x:f>Model_Data!P30</x:f>
        <x:v>389.8203525829558</x:v>
      </x:c>
      <x:c r="C32" s="54" t="n">
        <x:f>ABS(B32)*Inputs!$C$13/2</x:f>
        <x:v>974.5508814573896</x:v>
      </x:c>
      <x:c r="D32" s="54" t="n">
        <x:f>DEGREES(ASIN(MIN(1,C32/(Inputs!$C$11*1000))))</x:f>
        <x:v>14.10134152702874</x:v>
      </x:c>
      <x:c r="E32" s="54" t="n">
        <x:f>Model_Data!I30</x:f>
        <x:v>7.413762015717533</x:v>
      </x:c>
      <x:c r="F32" s="53" t="n">
        <x:f>Subsurface_Live_Data!F30</x:f>
        <x:v>1331.9721423160381</x:v>
      </x:c>
      <x:c r="G32" s="53" t="n">
        <x:f>Subsurface_Live_Data!I30</x:f>
        <x:v>5467.933546457481</x:v>
      </x:c>
      <x:c r="H32" s="53" t="n">
        <x:f>Subsurface_Live_Data!K30</x:f>
        <x:v>14628.668588877104</x:v>
      </x:c>
      <x:c r="I32" s="54" t="n">
        <x:f>Subsurface_Live_Data!M30/COS(RADIANS(D32))</x:f>
        <x:v>16.308445356745395</x:v>
      </x:c>
      <x:c r="J32" s="54" t="n">
        <x:f>Subsurface_Live_Data!N30/COS(RADIANS(D32))</x:f>
        <x:v>66.94846883333587</x:v>
      </x:c>
      <x:c r="K32" s="54" t="n">
        <x:f>Subsurface_Live_Data!O30/COS(RADIANS(D32))</x:f>
        <x:v>179.11098494058004</x:v>
      </x:c>
      <x:c r="L32" s="53" t="n">
        <x:f>Inputs!$C$21*K32/(2*Inputs!$C$12*1000000)</x:f>
        <x:v>15083.180457903785</x:v>
      </x:c>
      <x:c r="M32" s="53" t="n">
        <x:f>L32*COS(RADIANS(D32))</x:f>
        <x:v>14628.668588877104</x:v>
      </x:c>
      <x:c r="N32" s="54" t="n">
        <x:f>L32-H32</x:f>
        <x:v>454.51186902668087</x:v>
      </x:c>
      <x:c r="O32" s="55" t="n">
        <x:f>M32-H32</x:f>
        <x:v>0</x:v>
      </x:c>
      <x:c r="P32" s="54" t="n">
        <x:f>N32-O32</x:f>
        <x:v>454.51186902668087</x:v>
      </x:c>
      <x:c r="Q32" s="53" t="n">
        <x:f>Inputs!$C$21*J32/(2*Inputs!$C$12*1000000)</x:f>
        <x:v>5637.821918787122</x:v>
      </x:c>
      <x:c r="R32" s="53" t="n">
        <x:f>Q32*COS(RADIANS(D32))</x:f>
        <x:v>5467.9335464574815</x:v>
      </x:c>
      <x:c r="S32" s="53" t="n">
        <x:f>Inputs!$C$21*I32/(2*Inputs!$C$12*1000000)*COS(RADIANS(D32))</x:f>
        <x:v>1331.972142316038</x:v>
      </x:c>
    </x:row>
    <x:row r="33">
      <x:c r="A33" s="53" t="n">
        <x:f>Subsurface_Live_Data!A31</x:f>
        <x:v>-45.5</x:v>
      </x:c>
      <x:c r="B33" s="54" t="n">
        <x:f>Model_Data!P31</x:f>
        <x:v>385.6669224382131</x:v>
      </x:c>
      <x:c r="C33" s="54" t="n">
        <x:f>ABS(B33)*Inputs!$C$13/2</x:f>
        <x:v>964.1673060955327</x:v>
      </x:c>
      <x:c r="D33" s="54" t="n">
        <x:f>DEGREES(ASIN(MIN(1,C33/(Inputs!$C$11*1000))))</x:f>
        <x:v>13.948037954817071</x:v>
      </x:c>
      <x:c r="E33" s="54" t="n">
        <x:f>Model_Data!I31</x:f>
        <x:v>7.353231646851434</x:v>
      </x:c>
      <x:c r="F33" s="53" t="n">
        <x:f>Subsurface_Live_Data!F31</x:f>
        <x:v>1338.2236916497875</x:v>
      </x:c>
      <x:c r="G33" s="53" t="n">
        <x:f>Subsurface_Live_Data!I31</x:f>
        <x:v>5452.067935099958</x:v>
      </x:c>
      <x:c r="H33" s="53" t="n">
        <x:f>Subsurface_Live_Data!K31</x:f>
        <x:v>14628.019588067555</x:v>
      </x:c>
      <x:c r="I33" s="54" t="n">
        <x:f>Subsurface_Live_Data!M31/COS(RADIANS(D33))</x:f>
        <x:v>16.374041199076057</x:v>
      </x:c>
      <x:c r="J33" s="54" t="n">
        <x:f>Subsurface_Live_Data!N31/COS(RADIANS(D33))</x:f>
        <x:v>66.70961330794523</x:v>
      </x:c>
      <x:c r="K33" s="54" t="n">
        <x:f>Subsurface_Live_Data!O31/COS(RADIANS(D33))</x:f>
        <x:v>178.98337691258865</x:v>
      </x:c>
      <x:c r="L33" s="53" t="n">
        <x:f>Inputs!$C$21*K33/(2*Inputs!$C$12*1000000)</x:f>
        <x:v>15072.434411731854</x:v>
      </x:c>
      <x:c r="M33" s="53" t="n">
        <x:f>L33*COS(RADIANS(D33))</x:f>
        <x:v>14628.019588067555</x:v>
      </x:c>
      <x:c r="N33" s="54" t="n">
        <x:f>L33-H33</x:f>
        <x:v>444.41482366429955</x:v>
      </x:c>
      <x:c r="O33" s="55" t="n">
        <x:f>M33-H33</x:f>
        <x:v>0</x:v>
      </x:c>
      <x:c r="P33" s="54" t="n">
        <x:f>N33-O33</x:f>
        <x:v>444.41482366429955</x:v>
      </x:c>
      <x:c r="Q33" s="53" t="n">
        <x:f>Inputs!$C$21*J33/(2*Inputs!$C$12*1000000)</x:f>
        <x:v>5617.707569050116</x:v>
      </x:c>
      <x:c r="R33" s="53" t="n">
        <x:f>Q33*COS(RADIANS(D33))</x:f>
        <x:v>5452.067935099959</x:v>
      </x:c>
      <x:c r="S33" s="53" t="n">
        <x:f>Inputs!$C$21*I33/(2*Inputs!$C$12*1000000)*COS(RADIANS(D33))</x:f>
        <x:v>1338.2236916497875</x:v>
      </x:c>
    </x:row>
    <x:row r="34">
      <x:c r="A34" s="53" t="n">
        <x:f>Subsurface_Live_Data!A32</x:f>
        <x:v>-45</x:v>
      </x:c>
      <x:c r="B34" s="54" t="n">
        <x:f>Model_Data!P32</x:f>
        <x:v>381.5108193193737</x:v>
      </x:c>
      <x:c r="C34" s="54" t="n">
        <x:f>ABS(B34)*Inputs!$C$13/2</x:f>
        <x:v>953.7770482984342</x:v>
      </x:c>
      <x:c r="D34" s="54" t="n">
        <x:f>DEGREES(ASIN(MIN(1,C34/(Inputs!$C$11*1000))))</x:f>
        <x:v>13.79473762959732</x:v>
      </x:c>
      <x:c r="E34" s="54" t="n">
        <x:f>Model_Data!I32</x:f>
        <x:v>7.292816002949435</x:v>
      </x:c>
      <x:c r="F34" s="53" t="n">
        <x:f>Subsurface_Live_Data!F32</x:f>
        <x:v>1342.0749002532702</x:v>
      </x:c>
      <x:c r="G34" s="53" t="n">
        <x:f>Subsurface_Live_Data!I32</x:f>
        <x:v>5435.447780642543</x:v>
      </x:c>
      <x:c r="H34" s="53" t="n">
        <x:f>Subsurface_Live_Data!K32</x:f>
        <x:v>14629.081269338794</x:v>
      </x:c>
      <x:c r="I34" s="54" t="n">
        <x:f>Subsurface_Live_Data!M32/COS(RADIANS(D34))</x:f>
        <x:v>16.410316953913824</x:v>
      </x:c>
      <x:c r="J34" s="54" t="n">
        <x:f>Subsurface_Live_Data!N32/COS(RADIANS(D34))</x:f>
        <x:v>66.46232699081</x:v>
      </x:c>
      <x:c r="K34" s="54" t="n">
        <x:f>Subsurface_Live_Data!O32/COS(RADIANS(D34))</x:f>
        <x:v>178.8781388647601</x:v>
      </x:c>
      <x:c r="L34" s="53" t="n">
        <x:f>Inputs!$C$21*K34/(2*Inputs!$C$12*1000000)</x:f>
        <x:v>15063.572172115662</x:v>
      </x:c>
      <x:c r="M34" s="53" t="n">
        <x:f>L34*COS(RADIANS(D34))</x:f>
        <x:v>14629.081269338792</x:v>
      </x:c>
      <x:c r="N34" s="54" t="n">
        <x:f>L34-H34</x:f>
        <x:v>434.4909027768681</x:v>
      </x:c>
      <x:c r="O34" s="55" t="n">
        <x:f>M34-H34</x:f>
        <x:v>-1.8189894035458565e-12</x:v>
      </x:c>
      <x:c r="P34" s="54" t="n">
        <x:f>N34-O34</x:f>
        <x:v>434.4909027768699</x:v>
      </x:c>
      <x:c r="Q34" s="53" t="n">
        <x:f>Inputs!$C$21*J34/(2*Inputs!$C$12*1000000)</x:f>
        <x:v>5596.883250835583</x:v>
      </x:c>
      <x:c r="R34" s="53" t="n">
        <x:f>Q34*COS(RADIANS(D34))</x:f>
        <x:v>5435.447780642542</x:v>
      </x:c>
      <x:c r="S34" s="53" t="n">
        <x:f>Inputs!$C$21*I34/(2*Inputs!$C$12*1000000)*COS(RADIANS(D34))</x:f>
        <x:v>1342.0749002532705</x:v>
      </x:c>
    </x:row>
    <x:row r="35">
      <x:c r="A35" s="53" t="n">
        <x:f>Subsurface_Live_Data!A33</x:f>
        <x:v>-44.5</x:v>
      </x:c>
      <x:c r="B35" s="54" t="n">
        <x:f>Model_Data!P33</x:f>
        <x:v>377.3520686901975</x:v>
      </x:c>
      <x:c r="C35" s="54" t="n">
        <x:f>ABS(B35)*Inputs!$C$13/2</x:f>
        <x:v>943.3801717254937</x:v>
      </x:c>
      <x:c r="D35" s="54" t="n">
        <x:f>DEGREES(ASIN(MIN(1,C35/(Inputs!$C$11*1000))))</x:f>
        <x:v>13.641440386893608</x:v>
      </x:c>
      <x:c r="E35" s="54" t="n">
        <x:f>Model_Data!I33</x:f>
        <x:v>7.232519645354166</x:v>
      </x:c>
      <x:c r="F35" s="53" t="n">
        <x:f>Subsurface_Live_Data!F33</x:f>
        <x:v>1344.637183455526</x:v>
      </x:c>
      <x:c r="G35" s="53" t="n">
        <x:f>Subsurface_Live_Data!I33</x:f>
        <x:v>5418.084176723001</x:v>
      </x:c>
      <x:c r="H35" s="53" t="n">
        <x:f>Subsurface_Live_Data!K33</x:f>
        <x:v>14627.9749848833</x:v>
      </x:c>
      <x:c r="I35" s="54" t="n">
        <x:f>Subsurface_Live_Data!M33/COS(RADIANS(D35))</x:f>
        <x:v>16.430912557554535</x:v>
      </x:c>
      <x:c r="J35" s="54" t="n">
        <x:f>Subsurface_Live_Data!N33/COS(RADIANS(D35))</x:f>
        <x:v>66.20675705875269</x:v>
      </x:c>
      <x:c r="K35" s="54" t="n">
        <x:f>Subsurface_Live_Data!O33/COS(RADIANS(D35))</x:f>
        <x:v>178.74782939814654</x:v>
      </x:c>
      <x:c r="L35" s="53" t="n">
        <x:f>Inputs!$C$21*K35/(2*Inputs!$C$12*1000000)</x:f>
        <x:v>15052.598634110958</x:v>
      </x:c>
      <x:c r="M35" s="53" t="n">
        <x:f>L35*COS(RADIANS(D35))</x:f>
        <x:v>14627.974984883302</x:v>
      </x:c>
      <x:c r="N35" s="54" t="n">
        <x:f>L35-H35</x:f>
        <x:v>424.62364922765846</x:v>
      </x:c>
      <x:c r="O35" s="55" t="n">
        <x:f>M35-H35</x:f>
        <x:v>1.8189894035458565e-12</x:v>
      </x:c>
      <x:c r="P35" s="54" t="n">
        <x:f>N35-O35</x:f>
        <x:v>424.62364922765664</x:v>
      </x:c>
      <x:c r="Q35" s="53" t="n">
        <x:f>Inputs!$C$21*J35/(2*Inputs!$C$12*1000000)</x:f>
        <x:v>5575.361358104584</x:v>
      </x:c>
      <x:c r="R35" s="53" t="n">
        <x:f>Q35*COS(RADIANS(D35))</x:f>
        <x:v>5418.084176723001</x:v>
      </x:c>
      <x:c r="S35" s="53" t="n">
        <x:f>Inputs!$C$21*I35/(2*Inputs!$C$12*1000000)*COS(RADIANS(D35))</x:f>
        <x:v>1344.6371834555262</x:v>
      </x:c>
    </x:row>
    <x:row r="36">
      <x:c r="A36" s="53" t="n">
        <x:f>Subsurface_Live_Data!A34</x:f>
        <x:v>-44</x:v>
      </x:c>
      <x:c r="B36" s="54" t="n">
        <x:f>Model_Data!P34</x:f>
        <x:v>373.1906961457753</x:v>
      </x:c>
      <x:c r="C36" s="54" t="n">
        <x:f>ABS(B36)*Inputs!$C$13/2</x:f>
        <x:v>932.9767403644382</x:v>
      </x:c>
      <x:c r="D36" s="54" t="n">
        <x:f>DEGREES(ASIN(MIN(1,C36/(Inputs!$C$11*1000))))</x:f>
        <x:v>13.488146066910405</x:v>
      </x:c>
      <x:c r="E36" s="54" t="n">
        <x:f>Model_Data!I34</x:f>
        <x:v>7.172347267625263</x:v>
      </x:c>
      <x:c r="F36" s="53" t="n">
        <x:f>Subsurface_Live_Data!F34</x:f>
        <x:v>1345.5925502759046</x:v>
      </x:c>
      <x:c r="G36" s="53" t="n">
        <x:f>Subsurface_Live_Data!I34</x:f>
        <x:v>5399.989625431864</x:v>
      </x:c>
      <x:c r="H36" s="53" t="n">
        <x:f>Subsurface_Live_Data!K34</x:f>
        <x:v>14625.911504274929</x:v>
      </x:c>
      <x:c r="I36" s="54" t="n">
        <x:f>Subsurface_Live_Data!M34/COS(RADIANS(D36))</x:f>
        <x:v>16.431975993271116</x:v>
      </x:c>
      <x:c r="J36" s="54" t="n">
        <x:f>Subsurface_Live_Data!N34/COS(RADIANS(D36))</x:f>
        <x:v>65.94306714229019</x:v>
      </x:c>
      <x:c r="K36" s="54" t="n">
        <x:f>Subsurface_Live_Data!O34/COS(RADIANS(D36))</x:f>
        <x:v>178.60728098463008</x:v>
      </x:c>
      <x:c r="L36" s="53" t="n">
        <x:f>Inputs!$C$21*K36/(2*Inputs!$C$12*1000000)</x:f>
        <x:v>15040.762860415425</x:v>
      </x:c>
      <x:c r="M36" s="53" t="n">
        <x:f>L36*COS(RADIANS(D36))</x:f>
        <x:v>14625.91150427493</x:v>
      </x:c>
      <x:c r="N36" s="54" t="n">
        <x:f>L36-H36</x:f>
        <x:v>414.85135614049614</x:v>
      </x:c>
      <x:c r="O36" s="55" t="n">
        <x:f>M36-H36</x:f>
        <x:v>1.8189894035458565e-12</x:v>
      </x:c>
      <x:c r="P36" s="54" t="n">
        <x:f>N36-O36</x:f>
        <x:v>414.8513561404943</x:v>
      </x:c>
      <x:c r="Q36" s="53" t="n">
        <x:f>Inputs!$C$21*J36/(2*Inputs!$C$12*1000000)</x:f>
        <x:v>5553.15567040624</x:v>
      </x:c>
      <x:c r="R36" s="53" t="n">
        <x:f>Q36*COS(RADIANS(D36))</x:f>
        <x:v>5399.989625431865</x:v>
      </x:c>
      <x:c r="S36" s="53" t="n">
        <x:f>Inputs!$C$21*I36/(2*Inputs!$C$12*1000000)*COS(RADIANS(D36))</x:f>
        <x:v>1345.5925502759048</x:v>
      </x:c>
    </x:row>
    <x:row r="37">
      <x:c r="A37" s="53" t="n">
        <x:f>Subsurface_Live_Data!A35</x:f>
        <x:v>-43.5</x:v>
      </x:c>
      <x:c r="B37" s="54" t="n">
        <x:f>Model_Data!P35</x:f>
        <x:v>369.0267273985228</x:v>
      </x:c>
      <x:c r="C37" s="54" t="n">
        <x:f>ABS(B37)*Inputs!$C$13/2</x:f>
        <x:v>922.566818496307</x:v>
      </x:c>
      <x:c r="D37" s="54" t="n">
        <x:f>DEGREES(ASIN(MIN(1,C37/(Inputs!$C$11*1000))))</x:f>
        <x:v>13.334854513998332</x:v>
      </x:c>
      <x:c r="E37" s="54" t="n">
        <x:f>Model_Data!I35</x:f>
        <x:v>7.1123037002334435</x:v>
      </x:c>
      <x:c r="F37" s="53" t="n">
        <x:f>Subsurface_Live_Data!F35</x:f>
        <x:v>1345.2511794984607</x:v>
      </x:c>
      <x:c r="G37" s="53" t="n">
        <x:f>Subsurface_Live_Data!I35</x:f>
        <x:v>5381.1781689455565</x:v>
      </x:c>
      <x:c r="H37" s="53" t="n">
        <x:f>Subsurface_Live_Data!K35</x:f>
        <x:v>14621.986694083294</x:v>
      </x:c>
      <x:c r="I37" s="54" t="n">
        <x:f>Subsurface_Live_Data!M35/COS(RADIANS(D37))</x:f>
        <x:v>16.41733052725855</x:v>
      </x:c>
      <x:c r="J37" s="54" t="n">
        <x:f>Subsurface_Live_Data!N35/COS(RADIANS(D37))</x:f>
        <x:v>65.67143888963841</x:v>
      </x:c>
      <x:c r="K37" s="54" t="n">
        <x:f>Subsurface_Live_Data!O35/COS(RADIANS(D37))</x:f>
        <x:v>178.44547708290386</x:v>
      </x:c>
      <x:c r="L37" s="53" t="n">
        <x:f>Inputs!$C$21*K37/(2*Inputs!$C$12*1000000)</x:f>
        <x:v>15027.137133052365</x:v>
      </x:c>
      <x:c r="M37" s="53" t="n">
        <x:f>L37*COS(RADIANS(D37))</x:f>
        <x:v>14621.986694083294</x:v>
      </x:c>
      <x:c r="N37" s="54" t="n">
        <x:f>L37-H37</x:f>
        <x:v>405.1504389690708</x:v>
      </x:c>
      <x:c r="O37" s="55" t="n">
        <x:f>M37-H37</x:f>
        <x:v>0</x:v>
      </x:c>
      <x:c r="P37" s="54" t="n">
        <x:f>N37-O37</x:f>
        <x:v>405.1504389690708</x:v>
      </x:c>
      <x:c r="Q37" s="53" t="n">
        <x:f>Inputs!$C$21*J37/(2*Inputs!$C$12*1000000)</x:f>
        <x:v>5530.281484584689</x:v>
      </x:c>
      <x:c r="R37" s="53" t="n">
        <x:f>Q37*COS(RADIANS(D37))</x:f>
        <x:v>5381.178168945558</x:v>
      </x:c>
      <x:c r="S37" s="53" t="n">
        <x:f>Inputs!$C$21*I37/(2*Inputs!$C$12*1000000)*COS(RADIANS(D37))</x:f>
        <x:v>1345.2511794984607</x:v>
      </x:c>
    </x:row>
    <x:row r="38">
      <x:c r="A38" s="53" t="n">
        <x:f>Subsurface_Live_Data!A36</x:f>
        <x:v>-43</x:v>
      </x:c>
      <x:c r="B38" s="54" t="n">
        <x:f>Model_Data!P36</x:f>
        <x:v>364.8601882793628</x:v>
      </x:c>
      <x:c r="C38" s="54" t="n">
        <x:f>ABS(B38)*Inputs!$C$13/2</x:f>
        <x:v>912.1504706984069</x:v>
      </x:c>
      <x:c r="D38" s="54" t="n">
        <x:f>DEGREES(ASIN(MIN(1,C38/(Inputs!$C$11*1000))))</x:f>
        <x:v>13.181565576681125</x:v>
      </x:c>
      <x:c r="E38" s="54" t="n">
        <x:f>Model_Data!I36</x:f>
        <x:v>7.05239391542762</x:v>
      </x:c>
      <x:c r="F38" s="53" t="n">
        <x:f>Subsurface_Live_Data!F36</x:f>
        <x:v>1341.5468992266901</x:v>
      </x:c>
      <x:c r="G38" s="53" t="n">
        <x:f>Subsurface_Live_Data!I36</x:f>
        <x:v>5361.6655272140915</x:v>
      </x:c>
      <x:c r="H38" s="53" t="n">
        <x:f>Subsurface_Live_Data!K36</x:f>
        <x:v>14623.693198890636</x:v>
      </x:c>
      <x:c r="I38" s="54" t="n">
        <x:f>Subsurface_Live_Data!M36/COS(RADIANS(D38))</x:f>
        <x:v>16.361806443837807</x:v>
      </x:c>
      <x:c r="J38" s="54" t="n">
        <x:f>Subsurface_Live_Data!N36/COS(RADIANS(D38))</x:f>
        <x:v>65.39207360058967</x:v>
      </x:c>
      <x:c r="K38" s="54" t="n">
        <x:f>Subsurface_Live_Data!O36/COS(RADIANS(D38))</x:f>
        <x:v>178.35383746348245</x:v>
      </x:c>
      <x:c r="L38" s="53" t="n">
        <x:f>Inputs!$C$21*K38/(2*Inputs!$C$12*1000000)</x:f>
        <x:v>15019.420035648845</x:v>
      </x:c>
      <x:c r="M38" s="53" t="n">
        <x:f>L38*COS(RADIANS(D38))</x:f>
        <x:v>14623.693198890638</x:v>
      </x:c>
      <x:c r="N38" s="54" t="n">
        <x:f>L38-H38</x:f>
        <x:v>395.7268367582092</x:v>
      </x:c>
      <x:c r="O38" s="55" t="n">
        <x:f>M38-H38</x:f>
        <x:v>1.8189894035458565e-12</x:v>
      </x:c>
      <x:c r="P38" s="54" t="n">
        <x:f>N38-O38</x:f>
        <x:v>395.72683675820736</x:v>
      </x:c>
      <x:c r="Q38" s="53" t="n">
        <x:f>Inputs!$C$21*J38/(2*Inputs!$C$12*1000000)</x:f>
        <x:v>5506.755752370137</x:v>
      </x:c>
      <x:c r="R38" s="53" t="n">
        <x:f>Q38*COS(RADIANS(D38))</x:f>
        <x:v>5361.665527214092</x:v>
      </x:c>
      <x:c r="S38" s="53" t="n">
        <x:f>Inputs!$C$21*I38/(2*Inputs!$C$12*1000000)*COS(RADIANS(D38))</x:f>
        <x:v>1341.5468992266901</x:v>
      </x:c>
    </x:row>
    <x:row r="39">
      <x:c r="A39" s="53" t="n">
        <x:f>Subsurface_Live_Data!A37</x:f>
        <x:v>-42.5</x:v>
      </x:c>
      <x:c r="B39" s="54" t="n">
        <x:f>Model_Data!P37</x:f>
        <x:v>360.6911047401809</x:v>
      </x:c>
      <x:c r="C39" s="54" t="n">
        <x:f>ABS(B39)*Inputs!$C$13/2</x:f>
        <x:v>901.7277618504522</x:v>
      </x:c>
      <x:c r="D39" s="54" t="n">
        <x:f>DEGREES(ASIN(MIN(1,C39/(Inputs!$C$11*1000))))</x:f>
        <x:v>13.028279107729707</x:v>
      </x:c>
      <x:c r="E39" s="54" t="n">
        <x:f>Model_Data!I37</x:f>
        <x:v>6.992623032280269</x:v>
      </x:c>
      <x:c r="F39" s="53" t="n">
        <x:f>Subsurface_Live_Data!F37</x:f>
        <x:v>1337.4658358603704</x:v>
      </x:c>
      <x:c r="G39" s="53" t="n">
        <x:f>Subsurface_Live_Data!I37</x:f>
        <x:v>5341.4692398315265</x:v>
      </x:c>
      <x:c r="H39" s="53" t="n">
        <x:f>Subsurface_Live_Data!K37</x:f>
        <x:v>14620.914775457455</x:v>
      </x:c>
      <x:c r="I39" s="54" t="n">
        <x:f>Subsurface_Live_Data!M37/COS(RADIANS(D39))</x:f>
        <x:v>16.301876633240987</x:v>
      </x:c>
      <x:c r="J39" s="54" t="n">
        <x:f>Subsurface_Live_Data!N37/COS(RADIANS(D39))</x:f>
        <x:v>65.10519390723015</x:v>
      </x:c>
      <x:c r="K39" s="54" t="n">
        <x:f>Subsurface_Live_Data!O37/COS(RADIANS(D39))</x:f>
        <x:v>178.2089250760653</x:v>
      </x:c>
      <x:c r="L39" s="53" t="n">
        <x:f>Inputs!$C$21*K39/(2*Inputs!$C$12*1000000)</x:f>
        <x:v>15007.216765756026</x:v>
      </x:c>
      <x:c r="M39" s="53" t="n">
        <x:f>L39*COS(RADIANS(D39))</x:f>
        <x:v>14620.914775457455</x:v>
      </x:c>
      <x:c r="N39" s="54" t="n">
        <x:f>L39-H39</x:f>
        <x:v>386.3019902985707</x:v>
      </x:c>
      <x:c r="O39" s="55" t="n">
        <x:f>M39-H39</x:f>
        <x:v>0</x:v>
      </x:c>
      <x:c r="P39" s="54" t="n">
        <x:f>N39-O39</x:f>
        <x:v>386.3019902985707</x:v>
      </x:c>
      <x:c r="Q39" s="53" t="n">
        <x:f>Inputs!$C$21*J39/(2*Inputs!$C$12*1000000)</x:f>
        <x:v>5482.597221914368</x:v>
      </x:c>
      <x:c r="R39" s="53" t="n">
        <x:f>Q39*COS(RADIANS(D39))</x:f>
        <x:v>5341.4692398315265</x:v>
      </x:c>
      <x:c r="S39" s="53" t="n">
        <x:f>Inputs!$C$21*I39/(2*Inputs!$C$12*1000000)*COS(RADIANS(D39))</x:f>
        <x:v>1337.4658358603704</x:v>
      </x:c>
    </x:row>
    <x:row r="40">
      <x:c r="A40" s="53" t="n">
        <x:f>Subsurface_Live_Data!A38</x:f>
        <x:v>-42</x:v>
      </x:c>
      <x:c r="B40" s="54" t="n">
        <x:f>Model_Data!P38</x:f>
        <x:v>356.5195028526432</x:v>
      </x:c>
      <x:c r="C40" s="54" t="n">
        <x:f>ABS(B40)*Inputs!$C$13/2</x:f>
        <x:v>891.298757131608</x:v>
      </x:c>
      <x:c r="D40" s="54" t="n">
        <x:f>DEGREES(ASIN(MIN(1,C40/(Inputs!$C$11*1000))))</x:f>
        <x:v>12.874994964102818</x:v>
      </x:c>
      <x:c r="E40" s="54" t="n">
        <x:f>Model_Data!I38</x:f>
        <x:v>6.932996321916247</x:v>
      </x:c>
      <x:c r="F40" s="53" t="n">
        <x:f>Subsurface_Live_Data!F38</x:f>
        <x:v>1331.3645540494858</x:v>
      </x:c>
      <x:c r="G40" s="53" t="n">
        <x:f>Subsurface_Live_Data!I38</x:f>
        <x:v>5320.608809921433</x:v>
      </x:c>
      <x:c r="H40" s="53" t="n">
        <x:f>Subsurface_Live_Data!K38</x:f>
        <x:v>14619.806259259834</x:v>
      </x:c>
      <x:c r="I40" s="54" t="n">
        <x:f>Subsurface_Live_Data!M38/COS(RADIANS(D40))</x:f>
        <x:v>16.21752918491632</x:v>
      </x:c>
      <x:c r="J40" s="54" t="n">
        <x:f>Subsurface_Live_Data!N38/COS(RADIANS(D40))</x:f>
        <x:v>64.8110454750897</x:v>
      </x:c>
      <x:c r="K40" s="54" t="n">
        <x:f>Subsurface_Live_Data!O38/COS(RADIANS(D40))</x:f>
        <x:v>178.08580975527155</x:v>
      </x:c>
      <x:c r="L40" s="53" t="n">
        <x:f>Inputs!$C$21*K40/(2*Inputs!$C$12*1000000)</x:f>
        <x:v>14996.84905658799</x:v>
      </x:c>
      <x:c r="M40" s="53" t="n">
        <x:f>L40*COS(RADIANS(D40))</x:f>
        <x:v>14619.806259259836</x:v>
      </x:c>
      <x:c r="N40" s="54" t="n">
        <x:f>L40-H40</x:f>
        <x:v>377.04279732815485</x:v>
      </x:c>
      <x:c r="O40" s="55" t="n">
        <x:f>M40-H40</x:f>
        <x:v>1.8189894035458565e-12</x:v>
      </x:c>
      <x:c r="P40" s="54" t="n">
        <x:f>N40-O40</x:f>
        <x:v>377.04279732815303</x:v>
      </x:c>
      <x:c r="Q40" s="53" t="n">
        <x:f>Inputs!$C$21*J40/(2*Inputs!$C$12*1000000)</x:f>
        <x:v>5457.826581046887</x:v>
      </x:c>
      <x:c r="R40" s="53" t="n">
        <x:f>Q40*COS(RADIANS(D40))</x:f>
        <x:v>5320.608809921434</x:v>
      </x:c>
      <x:c r="S40" s="53" t="n">
        <x:f>Inputs!$C$21*I40/(2*Inputs!$C$12*1000000)*COS(RADIANS(D40))</x:f>
        <x:v>1331.3645540494858</x:v>
      </x:c>
    </x:row>
    <x:row r="41">
      <x:c r="A41" s="53" t="n">
        <x:f>Subsurface_Live_Data!A39</x:f>
        <x:v>-41.5</x:v>
      </x:c>
      <x:c r="B41" s="54" t="n">
        <x:f>Model_Data!P39</x:f>
        <x:v>352.3454087967366</x:v>
      </x:c>
      <x:c r="C41" s="54" t="n">
        <x:f>ABS(B41)*Inputs!$C$13/2</x:f>
        <x:v>880.8635219918415</x:v>
      </x:c>
      <x:c r="D41" s="54" t="n">
        <x:f>DEGREES(ASIN(MIN(1,C41/(Inputs!$C$11*1000))))</x:f>
        <x:v>12.721713006510996</x:v>
      </x:c>
      <x:c r="E41" s="54" t="n">
        <x:f>Model_Data!I39</x:f>
        <x:v>6.873519212930159</x:v>
      </x:c>
      <x:c r="F41" s="53" t="n">
        <x:f>Subsurface_Live_Data!F39</x:f>
        <x:v>1324.3311172125022</x:v>
      </x:c>
      <x:c r="G41" s="53" t="n">
        <x:f>Subsurface_Live_Data!I39</x:f>
        <x:v>5299.105847589162</x:v>
      </x:c>
      <x:c r="H41" s="53" t="n">
        <x:f>Subsurface_Live_Data!K39</x:f>
        <x:v>14617.022284654113</x:v>
      </x:c>
      <x:c r="I41" s="54" t="n">
        <x:f>Subsurface_Live_Data!M39/COS(RADIANS(D41))</x:f>
        <x:v>16.122053166558825</x:v>
      </x:c>
      <x:c r="J41" s="54" t="n">
        <x:f>Subsurface_Live_Data!N39/COS(RADIANS(D41))</x:f>
        <x:v>64.50989869503063</x:v>
      </x:c>
      <x:c r="K41" s="54" t="n">
        <x:f>Subsurface_Live_Data!O39/COS(RADIANS(D41))</x:f>
        <x:v>177.94372370105336</x:v>
      </x:c>
      <x:c r="L41" s="53" t="n">
        <x:f>Inputs!$C$21*K41/(2*Inputs!$C$12*1000000)</x:f>
        <x:v>14984.883796070686</x:v>
      </x:c>
      <x:c r="M41" s="53" t="n">
        <x:f>L41*COS(RADIANS(D41))</x:f>
        <x:v>14617.022284654113</x:v>
      </x:c>
      <x:c r="N41" s="54" t="n">
        <x:f>L41-H41</x:f>
        <x:v>367.8615114165732</x:v>
      </x:c>
      <x:c r="O41" s="55" t="n">
        <x:f>M41-H41</x:f>
        <x:v>0</x:v>
      </x:c>
      <x:c r="P41" s="54" t="n">
        <x:f>N41-O41</x:f>
        <x:v>367.8615114165732</x:v>
      </x:c>
      <x:c r="Q41" s="53" t="n">
        <x:f>Inputs!$C$21*J41/(2*Inputs!$C$12*1000000)</x:f>
        <x:v>5432.466599751187</x:v>
      </x:c>
      <x:c r="R41" s="53" t="n">
        <x:f>Q41*COS(RADIANS(D41))</x:f>
        <x:v>5299.105847589161</x:v>
      </x:c>
      <x:c r="S41" s="53" t="n">
        <x:f>Inputs!$C$21*I41/(2*Inputs!$C$12*1000000)*COS(RADIANS(D41))</x:f>
        <x:v>1324.331117212502</x:v>
      </x:c>
    </x:row>
    <x:row r="42">
      <x:c r="A42" s="53" t="n">
        <x:f>Subsurface_Live_Data!A40</x:f>
        <x:v>-41</x:v>
      </x:c>
      <x:c r="B42" s="54" t="n">
        <x:f>Model_Data!P40</x:f>
        <x:v>348.16884888314235</x:v>
      </x:c>
      <x:c r="C42" s="54" t="n">
        <x:f>ABS(B42)*Inputs!$C$13/2</x:f>
        <x:v>870.4221222078559</x:v>
      </x:c>
      <x:c r="D42" s="54" t="n">
        <x:f>DEGREES(ASIN(MIN(1,C42/(Inputs!$C$11*1000))))</x:f>
        <x:v>12.56843310022389</x:v>
      </x:c>
      <x:c r="E42" s="54" t="n">
        <x:f>Model_Data!I40</x:f>
        <x:v>6.814197296997338</x:v>
      </x:c>
      <x:c r="F42" s="53" t="n">
        <x:f>Subsurface_Live_Data!F40</x:f>
        <x:v>1316.2095353260072</x:v>
      </x:c>
      <x:c r="G42" s="53" t="n">
        <x:f>Subsurface_Live_Data!I40</x:f>
        <x:v>5276.984210236083</x:v>
      </x:c>
      <x:c r="H42" s="53" t="n">
        <x:f>Subsurface_Live_Data!K40</x:f>
        <x:v>14613.623267805096</x:v>
      </x:c>
      <x:c r="I42" s="54" t="n">
        <x:f>Subsurface_Live_Data!M40/COS(RADIANS(D42))</x:f>
        <x:v>16.013569014050677</x:v>
      </x:c>
      <x:c r="J42" s="54" t="n">
        <x:f>Subsurface_Live_Data!N40/COS(RADIANS(D42))</x:f>
        <x:v>64.20205033368102</x:v>
      </x:c>
      <x:c r="K42" s="54" t="n">
        <x:f>Subsurface_Live_Data!O40/COS(RADIANS(D42))</x:f>
        <x:v>177.79560052068084</x:v>
      </x:c>
      <x:c r="L42" s="53" t="n">
        <x:f>Inputs!$C$21*K42/(2*Inputs!$C$12*1000000)</x:f>
        <x:v>14972.410140921625</x:v>
      </x:c>
      <x:c r="M42" s="53" t="n">
        <x:f>L42*COS(RADIANS(D42))</x:f>
        <x:v>14613.623267805098</x:v>
      </x:c>
      <x:c r="N42" s="54" t="n">
        <x:f>L42-H42</x:f>
        <x:v>358.786873116529</x:v>
      </x:c>
      <x:c r="O42" s="55" t="n">
        <x:f>M42-H42</x:f>
        <x:v>1.8189894035458565e-12</x:v>
      </x:c>
      <x:c r="P42" s="54" t="n">
        <x:f>N42-O42</x:f>
        <x:v>358.7868731165272</x:v>
      </x:c>
      <x:c r="Q42" s="53" t="n">
        <x:f>Inputs!$C$21*J42/(2*Inputs!$C$12*1000000)</x:f>
        <x:v>5406.542269149986</x:v>
      </x:c>
      <x:c r="R42" s="53" t="n">
        <x:f>Q42*COS(RADIANS(D42))</x:f>
        <x:v>5276.984210236082</x:v>
      </x:c>
      <x:c r="S42" s="53" t="n">
        <x:f>Inputs!$C$21*I42/(2*Inputs!$C$12*1000000)*COS(RADIANS(D42))</x:f>
        <x:v>1316.2095353260072</x:v>
      </x:c>
    </x:row>
    <x:row r="43">
      <x:c r="A43" s="53" t="n">
        <x:f>Subsurface_Live_Data!A41</x:f>
        <x:v>-40.5</x:v>
      </x:c>
      <x:c r="B43" s="54" t="n">
        <x:f>Model_Data!P41</x:f>
        <x:v>343.98984952458704</x:v>
      </x:c>
      <x:c r="C43" s="54" t="n">
        <x:f>ABS(B43)*Inputs!$C$13/2</x:f>
        <x:v>859.9746238114676</x:v>
      </x:c>
      <x:c r="D43" s="54" t="n">
        <x:f>DEGREES(ASIN(MIN(1,C43/(Inputs!$C$11*1000))))</x:f>
        <x:v>12.41515511400424</x:v>
      </x:c>
      <x:c r="E43" s="54" t="n">
        <x:f>Model_Data!I41</x:f>
        <x:v>6.755036334683316</x:v>
      </x:c>
      <x:c r="F43" s="53" t="n">
        <x:f>Subsurface_Live_Data!F41</x:f>
        <x:v>1307.3402550301425</x:v>
      </x:c>
      <x:c r="G43" s="53" t="n">
        <x:f>Subsurface_Live_Data!I41</x:f>
        <x:v>5254.27013680646</x:v>
      </x:c>
      <x:c r="H43" s="53" t="n">
        <x:f>Subsurface_Live_Data!K41</x:f>
        <x:v>14608.974517463</x:v>
      </x:c>
      <x:c r="I43" s="54" t="n">
        <x:f>Subsurface_Live_Data!M41/COS(RADIANS(D43))</x:f>
        <x:v>15.896237420848564</x:v>
      </x:c>
      <x:c r="J43" s="54" t="n">
        <x:f>Subsurface_Live_Data!N41/COS(RADIANS(D43))</x:f>
        <x:v>63.88782510642128</x:v>
      </x:c>
      <x:c r="K43" s="54" t="n">
        <x:f>Subsurface_Live_Data!O41/COS(RADIANS(D43))</x:f>
        <x:v>177.6337311661562</x:v>
      </x:c>
      <x:c r="L43" s="53" t="n">
        <x:f>Inputs!$C$21*K43/(2*Inputs!$C$12*1000000)</x:f>
        <x:v>14958.778901689095</x:v>
      </x:c>
      <x:c r="M43" s="53" t="n">
        <x:f>L43*COS(RADIANS(D43))</x:f>
        <x:v>14608.974517463002</x:v>
      </x:c>
      <x:c r="N43" s="54" t="n">
        <x:f>L43-H43</x:f>
        <x:v>349.80438422609404</x:v>
      </x:c>
      <x:c r="O43" s="55" t="n">
        <x:f>M43-H43</x:f>
        <x:v>1.8189894035458565e-12</x:v>
      </x:c>
      <x:c r="P43" s="54" t="n">
        <x:f>N43-O43</x:f>
        <x:v>349.8043842260922</x:v>
      </x:c>
      <x:c r="Q43" s="53" t="n">
        <x:f>Inputs!$C$21*J43/(2*Inputs!$C$12*1000000)</x:f>
        <x:v>5380.08093396858</x:v>
      </x:c>
      <x:c r="R43" s="53" t="n">
        <x:f>Q43*COS(RADIANS(D43))</x:f>
        <x:v>5254.270136806459</x:v>
      </x:c>
      <x:c r="S43" s="53" t="n">
        <x:f>Inputs!$C$21*I43/(2*Inputs!$C$12*1000000)*COS(RADIANS(D43))</x:f>
        <x:v>1307.3402550301428</x:v>
      </x:c>
    </x:row>
    <x:row r="44">
      <x:c r="A44" s="53" t="n">
        <x:f>Subsurface_Live_Data!A42</x:f>
        <x:v>-40</x:v>
      </x:c>
      <x:c r="B44" s="54" t="n">
        <x:f>Model_Data!P42</x:f>
        <x:v>339.80843724993974</x:v>
      </x:c>
      <x:c r="C44" s="54" t="n">
        <x:f>ABS(B44)*Inputs!$C$13/2</x:f>
        <x:v>849.5210931248494</x:v>
      </x:c>
      <x:c r="D44" s="54" t="n">
        <x:f>DEGREES(ASIN(MIN(1,C44/(Inputs!$C$11*1000))))</x:f>
        <x:v>12.261878920612524</x:v>
      </x:c>
      <x:c r="E44" s="54" t="n">
        <x:f>Model_Data!I42</x:f>
        <x:v>6.696042261456512</x:v>
      </x:c>
      <x:c r="F44" s="53" t="n">
        <x:f>Subsurface_Live_Data!F42</x:f>
        <x:v>1297.1834613829596</x:v>
      </x:c>
      <x:c r="G44" s="53" t="n">
        <x:f>Subsurface_Live_Data!I42</x:f>
        <x:v>5230.9923728538715</x:v>
      </x:c>
      <x:c r="H44" s="53" t="n">
        <x:f>Subsurface_Live_Data!K42</x:f>
        <x:v>14605.554950848293</x:v>
      </x:c>
      <x:c r="I44" s="54" t="n">
        <x:f>Subsurface_Live_Data!M42/COS(RADIANS(D44))</x:f>
        <x:v>15.763511751543192</x:v>
      </x:c>
      <x:c r="J44" s="54" t="n">
        <x:f>Subsurface_Live_Data!N42/COS(RADIANS(D44))</x:f>
        <x:v>63.56757713654739</x:v>
      </x:c>
      <x:c r="K44" s="54" t="n">
        <x:f>Subsurface_Live_Data!O42/COS(RADIANS(D44))</x:f>
        <x:v>177.48826126725965</x:v>
      </x:c>
      <x:c r="L44" s="53" t="n">
        <x:f>Inputs!$C$21*K44/(2*Inputs!$C$12*1000000)</x:f>
        <x:v>14946.52868299381</x:v>
      </x:c>
      <x:c r="M44" s="53" t="n">
        <x:f>L44*COS(RADIANS(D44))</x:f>
        <x:v>14605.554950848293</x:v>
      </x:c>
      <x:c r="N44" s="54" t="n">
        <x:f>L44-H44</x:f>
        <x:v>340.9737321455177</x:v>
      </x:c>
      <x:c r="O44" s="55" t="n">
        <x:f>M44-H44</x:f>
        <x:v>0</x:v>
      </x:c>
      <x:c r="P44" s="54" t="n">
        <x:f>N44-O44</x:f>
        <x:v>340.9737321455177</x:v>
      </x:c>
      <x:c r="Q44" s="53" t="n">
        <x:f>Inputs!$C$21*J44/(2*Inputs!$C$12*1000000)</x:f>
        <x:v>5353.112415412962</x:v>
      </x:c>
      <x:c r="R44" s="53" t="n">
        <x:f>Q44*COS(RADIANS(D44))</x:f>
        <x:v>5230.992372853872</x:v>
      </x:c>
      <x:c r="S44" s="53" t="n">
        <x:f>Inputs!$C$21*I44/(2*Inputs!$C$12*1000000)*COS(RADIANS(D44))</x:f>
        <x:v>1297.1834613829594</x:v>
      </x:c>
    </x:row>
    <x:row r="45">
      <x:c r="A45" s="53" t="n">
        <x:f>Subsurface_Live_Data!A43</x:f>
        <x:v>-39.5</x:v>
      </x:c>
      <x:c r="B45" s="54" t="n">
        <x:f>Model_Data!P43</x:f>
        <x:v>335.62463871039654</x:v>
      </x:c>
      <x:c r="C45" s="54" t="n">
        <x:f>ABS(B45)*Inputs!$C$13/2</x:f>
        <x:v>839.0615967759913</x:v>
      </x:c>
      <x:c r="D45" s="54" t="n">
        <x:f>DEGREES(ASIN(MIN(1,C45/(Inputs!$C$11*1000))))</x:f>
        <x:v>12.10860439702048</x:v>
      </x:c>
      <x:c r="E45" s="54" t="n">
        <x:f>Model_Data!I43</x:f>
        <x:v>6.637221193908625</x:v>
      </x:c>
      <x:c r="F45" s="53" t="n">
        <x:f>Subsurface_Live_Data!F43</x:f>
        <x:v>1286.1064769535044</x:v>
      </x:c>
      <x:c r="G45" s="53" t="n">
        <x:f>Subsurface_Live_Data!I43</x:f>
        <x:v>5207.182283178962</x:v>
      </x:c>
      <x:c r="H45" s="53" t="n">
        <x:f>Subsurface_Live_Data!K43</x:f>
        <x:v>14602.691093675494</x:v>
      </x:c>
      <x:c r="I45" s="54" t="n">
        <x:f>Subsurface_Live_Data!M43/COS(RADIANS(D45))</x:f>
        <x:v>15.619877377346539</x:v>
      </x:c>
      <x:c r="J45" s="54" t="n">
        <x:f>Subsurface_Live_Data!N43/COS(RADIANS(D45))</x:f>
        <x:v>63.24169126137387</x:v>
      </x:c>
      <x:c r="K45" s="54" t="n">
        <x:f>Subsurface_Live_Data!O43/COS(RADIANS(D45))</x:f>
        <x:v>177.35098014806724</x:v>
      </x:c>
      <x:c r="L45" s="53" t="n">
        <x:f>Inputs!$C$21*K45/(2*Inputs!$C$12*1000000)</x:f>
        <x:v>14934.968052611875</x:v>
      </x:c>
      <x:c r="M45" s="53" t="n">
        <x:f>L45*COS(RADIANS(D45))</x:f>
        <x:v>14602.691093675494</x:v>
      </x:c>
      <x:c r="N45" s="54" t="n">
        <x:f>L45-H45</x:f>
        <x:v>332.27695893638156</x:v>
      </x:c>
      <x:c r="O45" s="55" t="n">
        <x:f>M45-H45</x:f>
        <x:v>0</x:v>
      </x:c>
      <x:c r="P45" s="54" t="n">
        <x:f>N45-O45</x:f>
        <x:v>332.27695893638156</x:v>
      </x:c>
      <x:c r="Q45" s="53" t="n">
        <x:f>Inputs!$C$21*J45/(2*Inputs!$C$12*1000000)</x:f>
        <x:v>5325.669121158538</x:v>
      </x:c>
      <x:c r="R45" s="53" t="n">
        <x:f>Q45*COS(RADIANS(D45))</x:f>
        <x:v>5207.182283178962</x:v>
      </x:c>
      <x:c r="S45" s="53" t="n">
        <x:f>Inputs!$C$21*I45/(2*Inputs!$C$12*1000000)*COS(RADIANS(D45))</x:f>
        <x:v>1286.1064769535044</x:v>
      </x:c>
    </x:row>
    <x:row r="46">
      <x:c r="A46" s="53" t="n">
        <x:f>Subsurface_Live_Data!A44</x:f>
        <x:v>-39</x:v>
      </x:c>
      <x:c r="B46" s="54" t="n">
        <x:f>Model_Data!P44</x:f>
        <x:v>331.4384806597445</x:v>
      </x:c>
      <x:c r="C46" s="54" t="n">
        <x:f>ABS(B46)*Inputs!$C$13/2</x:f>
        <x:v>828.5962016493613</x:v>
      </x:c>
      <x:c r="D46" s="54" t="n">
        <x:f>DEGREES(ASIN(MIN(1,C46/(Inputs!$C$11*1000))))</x:f>
        <x:v>11.955331423675466</x:v>
      </x:c>
      <x:c r="E46" s="54" t="n">
        <x:f>Model_Data!I44</x:f>
        <x:v>6.57857943618696</x:v>
      </x:c>
      <x:c r="F46" s="53" t="n">
        <x:f>Subsurface_Live_Data!F44</x:f>
        <x:v>1273.611708739217</x:v>
      </x:c>
      <x:c r="G46" s="53" t="n">
        <x:f>Subsurface_Live_Data!I44</x:f>
        <x:v>5182.873948711796</x:v>
      </x:c>
      <x:c r="H46" s="53" t="n">
        <x:f>Subsurface_Live_Data!K44</x:f>
        <x:v>14602.748972256197</x:v>
      </x:c>
      <x:c r="I46" s="54" t="n">
        <x:f>Subsurface_Live_Data!M44/COS(RADIANS(D46))</x:f>
        <x:v>15.45931029083885</x:v>
      </x:c>
      <x:c r="J46" s="54" t="n">
        <x:f>Subsurface_Live_Data!N44/COS(RADIANS(D46))</x:f>
        <x:v>62.91058414558505</x:v>
      </x:c>
      <x:c r="K46" s="54" t="n">
        <x:f>Subsurface_Live_Data!O44/COS(RADIANS(D46))</x:f>
        <x:v>177.2505905153865</x:v>
      </x:c>
      <x:c r="L46" s="53" t="n">
        <x:f>Inputs!$C$21*K46/(2*Inputs!$C$12*1000000)</x:f>
        <x:v>14926.514104651462</x:v>
      </x:c>
      <x:c r="M46" s="53" t="n">
        <x:f>L46*COS(RADIANS(D46))</x:f>
        <x:v>14602.748972256197</x:v>
      </x:c>
      <x:c r="N46" s="54" t="n">
        <x:f>L46-H46</x:f>
        <x:v>323.765132395265</x:v>
      </x:c>
      <x:c r="O46" s="55" t="n">
        <x:f>M46-H46</x:f>
        <x:v>0</x:v>
      </x:c>
      <x:c r="P46" s="54" t="n">
        <x:f>N46-O46</x:f>
        <x:v>323.765132395265</x:v>
      </x:c>
      <x:c r="Q46" s="53" t="n">
        <x:f>Inputs!$C$21*J46/(2*Inputs!$C$12*1000000)</x:f>
        <x:v>5297.786139106958</x:v>
      </x:c>
      <x:c r="R46" s="53" t="n">
        <x:f>Q46*COS(RADIANS(D46))</x:f>
        <x:v>5182.873948711797</x:v>
      </x:c>
      <x:c r="S46" s="53" t="n">
        <x:f>Inputs!$C$21*I46/(2*Inputs!$C$12*1000000)*COS(RADIANS(D46))</x:f>
        <x:v>1273.611708739217</x:v>
      </x:c>
    </x:row>
    <x:row r="47">
      <x:c r="A47" s="53" t="n">
        <x:f>Subsurface_Live_Data!A45</x:f>
        <x:v>-38.5</x:v>
      </x:c>
      <x:c r="B47" s="54" t="n">
        <x:f>Model_Data!P45</x:f>
        <x:v>327.2499899624563</x:v>
      </x:c>
      <x:c r="C47" s="54" t="n">
        <x:f>ABS(B47)*Inputs!$C$13/2</x:f>
        <x:v>818.1249749061408</x:v>
      </x:c>
      <x:c r="D47" s="54" t="n">
        <x:f>DEGREES(ASIN(MIN(1,C47/(Inputs!$C$11*1000))))</x:f>
        <x:v>11.802059884785933</x:v>
      </x:c>
      <x:c r="E47" s="54" t="n">
        <x:f>Model_Data!I45</x:f>
        <x:v>6.520123486642501</x:v>
      </x:c>
      <x:c r="F47" s="53" t="n">
        <x:f>Subsurface_Live_Data!F45</x:f>
        <x:v>1262.3994063143114</x:v>
      </x:c>
      <x:c r="G47" s="53" t="n">
        <x:f>Subsurface_Live_Data!I45</x:f>
        <x:v>5158.104244296719</x:v>
      </x:c>
      <x:c r="H47" s="53" t="n">
        <x:f>Subsurface_Live_Data!K45</x:f>
        <x:v>14596.90416266791</x:v>
      </x:c>
      <x:c r="I47" s="54" t="n">
        <x:f>Subsurface_Live_Data!M45/COS(RADIANS(D47))</x:f>
        <x:v>15.314593677524538</x:v>
      </x:c>
      <x:c r="J47" s="54" t="n">
        <x:f>Subsurface_Live_Data!N45/COS(RADIANS(D47))</x:f>
        <x:v>62.5747051627265</x:v>
      </x:c>
      <x:c r="K47" s="54" t="n">
        <x:f>Subsurface_Live_Data!O45/COS(RADIANS(D47))</x:f>
        <x:v>177.07997570569782</x:v>
      </x:c>
      <x:c r="L47" s="53" t="n">
        <x:f>Inputs!$C$21*K47/(2*Inputs!$C$12*1000000)</x:f>
        <x:v>14912.14639870546</x:v>
      </x:c>
      <x:c r="M47" s="53" t="n">
        <x:f>L47*COS(RADIANS(D47))</x:f>
        <x:v>14596.904162667914</x:v>
      </x:c>
      <x:c r="N47" s="54" t="n">
        <x:f>L47-H47</x:f>
        <x:v>315.24223603754945</x:v>
      </x:c>
      <x:c r="O47" s="55" t="n">
        <x:f>M47-H47</x:f>
        <x:v>3.637978807091713e-12</x:v>
      </x:c>
      <x:c r="P47" s="54" t="n">
        <x:f>N47-O47</x:f>
        <x:v>315.2422360375458</x:v>
      </x:c>
      <x:c r="Q47" s="53" t="n">
        <x:f>Inputs!$C$21*J47/(2*Inputs!$C$12*1000000)</x:f>
        <x:v>5269.501311617716</x:v>
      </x:c>
      <x:c r="R47" s="53" t="n">
        <x:f>Q47*COS(RADIANS(D47))</x:f>
        <x:v>5158.104244296719</x:v>
      </x:c>
      <x:c r="S47" s="53" t="n">
        <x:f>Inputs!$C$21*I47/(2*Inputs!$C$12*1000000)*COS(RADIANS(D47))</x:f>
        <x:v>1262.3994063143116</x:v>
      </x:c>
    </x:row>
    <x:row r="48">
      <x:c r="A48" s="53" t="n">
        <x:f>Subsurface_Live_Data!A46</x:f>
        <x:v>-38</x:v>
      </x:c>
      <x:c r="B48" s="54" t="n">
        <x:f>Model_Data!P46</x:f>
        <x:v>323.0591935966004</x:v>
      </x:c>
      <x:c r="C48" s="54" t="n">
        <x:f>ABS(B48)*Inputs!$C$13/2</x:f>
        <x:v>807.647983991501</x:v>
      </x:c>
      <x:c r="D48" s="54" t="n">
        <x:f>DEGREES(ASIN(MIN(1,C48/(Inputs!$C$11*1000))))</x:f>
        <x:v>11.648789668416747</x:v>
      </x:c>
      <x:c r="E48" s="54" t="n">
        <x:f>Model_Data!I46</x:f>
        <x:v>6.4618600446971834</x:v>
      </x:c>
      <x:c r="F48" s="53" t="n">
        <x:f>Subsurface_Live_Data!F46</x:f>
        <x:v>1249.4636258013068</x:v>
      </x:c>
      <x:c r="G48" s="53" t="n">
        <x:f>Subsurface_Live_Data!I46</x:f>
        <x:v>5132.9128940915125</x:v>
      </x:c>
      <x:c r="H48" s="53" t="n">
        <x:f>Subsurface_Live_Data!K46</x:f>
        <x:v>14596.295801636577</x:v>
      </x:c>
      <x:c r="I48" s="54" t="n">
        <x:f>Subsurface_Live_Data!M46/COS(RADIANS(D48))</x:f>
        <x:v>15.14925186958972</x:v>
      </x:c>
      <x:c r="J48" s="54" t="n">
        <x:f>Subsurface_Live_Data!N46/COS(RADIANS(D48))</x:f>
        <x:v>62.23453700573961</x:v>
      </x:c>
      <x:c r="K48" s="54" t="n">
        <x:f>Subsurface_Live_Data!O46/COS(RADIANS(D48))</x:f>
        <x:v>176.9743087320504</x:v>
      </x:c>
      <x:c r="L48" s="53" t="n">
        <x:f>Inputs!$C$21*K48/(2*Inputs!$C$12*1000000)</x:f>
        <x:v>14903.248038660744</x:v>
      </x:c>
      <x:c r="M48" s="53" t="n">
        <x:f>L48*COS(RADIANS(D48))</x:f>
        <x:v>14596.29580163658</x:v>
      </x:c>
      <x:c r="N48" s="54" t="n">
        <x:f>L48-H48</x:f>
        <x:v>306.9522370241666</x:v>
      </x:c>
      <x:c r="O48" s="55" t="n">
        <x:f>M48-H48</x:f>
        <x:v>1.8189894035458565e-12</x:v>
      </x:c>
      <x:c r="P48" s="54" t="n">
        <x:f>N48-O48</x:f>
        <x:v>306.9522370241648</x:v>
      </x:c>
      <x:c r="Q48" s="53" t="n">
        <x:f>Inputs!$C$21*J48/(2*Inputs!$C$12*1000000)</x:f>
        <x:v>5240.855286922089</x:v>
      </x:c>
      <x:c r="R48" s="53" t="n">
        <x:f>Q48*COS(RADIANS(D48))</x:f>
        <x:v>5132.912894091512</x:v>
      </x:c>
      <x:c r="S48" s="53" t="n">
        <x:f>Inputs!$C$21*I48/(2*Inputs!$C$12*1000000)*COS(RADIANS(D48))</x:f>
        <x:v>1249.4636258013068</x:v>
      </x:c>
    </x:row>
    <x:row r="49">
      <x:c r="A49" s="53" t="n">
        <x:f>Subsurface_Live_Data!A47</x:f>
        <x:v>-37.5</x:v>
      </x:c>
      <x:c r="B49" s="54" t="n">
        <x:f>Model_Data!P47</x:f>
        <x:v>318.8661186490208</x:v>
      </x:c>
      <x:c r="C49" s="54" t="n">
        <x:f>ABS(B49)*Inputs!$C$13/2</x:f>
        <x:v>797.165296622552</x:v>
      </x:c>
      <x:c r="D49" s="54" t="n">
        <x:f>DEGREES(ASIN(MIN(1,C49/(Inputs!$C$11*1000))))</x:f>
        <x:v>11.495520666302072</x:v>
      </x:c>
      <x:c r="E49" s="54" t="n">
        <x:f>Model_Data!I47</x:f>
        <x:v>6.403796017933305</x:v>
      </x:c>
      <x:c r="F49" s="53" t="n">
        <x:f>Subsurface_Live_Data!F47</x:f>
        <x:v>1238.1954185553418</x:v>
      </x:c>
      <x:c r="G49" s="53" t="n">
        <x:f>Subsurface_Live_Data!I47</x:f>
        <x:v>5107.342501420047</x:v>
      </x:c>
      <x:c r="H49" s="53" t="n">
        <x:f>Subsurface_Live_Data!K47</x:f>
        <x:v>14589.655674119576</x:v>
      </x:c>
      <x:c r="I49" s="54" t="n">
        <x:f>Subsurface_Live_Data!M47/COS(RADIANS(D49))</x:f>
        <x:v>15.004408336512226</x:v>
      </x:c>
      <x:c r="J49" s="54" t="n">
        <x:f>Subsurface_Live_Data!N47/COS(RADIANS(D49))</x:f>
        <x:v>61.89059598939634</x:v>
      </x:c>
      <x:c r="K49" s="54" t="n">
        <x:f>Subsurface_Live_Data!O47/COS(RADIANS(D49))</x:f>
        <x:v>176.79693200529996</x:v>
      </x:c>
      <x:c r="L49" s="53" t="n">
        <x:f>Inputs!$C$21*K49/(2*Inputs!$C$12*1000000)</x:f>
        <x:v>14888.310902451614</x:v>
      </x:c>
      <x:c r="M49" s="53" t="n">
        <x:f>L49*COS(RADIANS(D49))</x:f>
        <x:v>14589.655674119578</x:v>
      </x:c>
      <x:c r="N49" s="54" t="n">
        <x:f>L49-H49</x:f>
        <x:v>298.65522833203795</x:v>
      </x:c>
      <x:c r="O49" s="55" t="n">
        <x:f>M49-H49</x:f>
        <x:v>1.8189894035458565e-12</x:v>
      </x:c>
      <x:c r="P49" s="54" t="n">
        <x:f>N49-O49</x:f>
        <x:v>298.65522833203613</x:v>
      </x:c>
      <x:c r="Q49" s="53" t="n">
        <x:f>Inputs!$C$21*J49/(2*Inputs!$C$12*1000000)</x:f>
        <x:v>5211.891544591593</x:v>
      </x:c>
      <x:c r="R49" s="53" t="n">
        <x:f>Q49*COS(RADIANS(D49))</x:f>
        <x:v>5107.342501420047</x:v>
      </x:c>
      <x:c r="S49" s="53" t="n">
        <x:f>Inputs!$C$21*I49/(2*Inputs!$C$12*1000000)*COS(RADIANS(D49))</x:f>
        <x:v>1238.1954185553418</x:v>
      </x:c>
    </x:row>
    <x:row r="50">
      <x:c r="A50" s="53" t="n">
        <x:f>Subsurface_Live_Data!A48</x:f>
        <x:v>-37</x:v>
      </x:c>
      <x:c r="B50" s="54" t="n">
        <x:f>Model_Data!P48</x:f>
        <x:v>314.6707923143367</x:v>
      </x:c>
      <x:c r="C50" s="54" t="n">
        <x:f>ABS(B50)*Inputs!$C$13/2</x:f>
        <x:v>786.6769807858418</x:v>
      </x:c>
      <x:c r="D50" s="54" t="n">
        <x:f>DEGREES(ASIN(MIN(1,C50/(Inputs!$C$11*1000))))</x:f>
        <x:v>11.342252773798828</x:v>
      </x:c>
      <x:c r="E50" s="54" t="n">
        <x:f>Model_Data!I48</x:f>
        <x:v>6.345938529407371</x:v>
      </x:c>
      <x:c r="F50" s="53" t="n">
        <x:f>Subsurface_Live_Data!F48</x:f>
        <x:v>1225.3808258835852</x:v>
      </x:c>
      <x:c r="G50" s="53" t="n">
        <x:f>Subsurface_Live_Data!I48</x:f>
        <x:v>5081.438550121767</x:v>
      </x:c>
      <x:c r="H50" s="53" t="n">
        <x:f>Subsurface_Live_Data!K48</x:f>
        <x:v>14588.806016104165</x:v>
      </x:c>
      <x:c r="I50" s="54" t="n">
        <x:f>Subsurface_Live_Data!M48/COS(RADIANS(D50))</x:f>
        <x:v>14.841100763196978</x:v>
      </x:c>
      <x:c r="J50" s="54" t="n">
        <x:f>Subsurface_Live_Data!N48/COS(RADIANS(D50))</x:f>
        <x:v>61.54343201018494</x:v>
      </x:c>
      <x:c r="K50" s="54" t="n">
        <x:f>Subsurface_Live_Data!O48/COS(RADIANS(D50))</x:f>
        <x:v>176.69114411318986</x:v>
      </x:c>
      <x:c r="L50" s="53" t="n">
        <x:f>Inputs!$C$21*K50/(2*Inputs!$C$12*1000000)</x:f>
        <x:v>14879.402359698151</x:v>
      </x:c>
      <x:c r="M50" s="53" t="n">
        <x:f>L50*COS(RADIANS(D50))</x:f>
        <x:v>14588.806016104165</x:v>
      </x:c>
      <x:c r="N50" s="54" t="n">
        <x:f>L50-H50</x:f>
        <x:v>290.5963435939866</x:v>
      </x:c>
      <x:c r="O50" s="55" t="n">
        <x:f>M50-H50</x:f>
        <x:v>0</x:v>
      </x:c>
      <x:c r="P50" s="54" t="n">
        <x:f>N50-O50</x:f>
        <x:v>290.5963435939866</x:v>
      </x:c>
      <x:c r="Q50" s="53" t="n">
        <x:f>Inputs!$C$21*J50/(2*Inputs!$C$12*1000000)</x:f>
        <x:v>5182.656392159894</x:v>
      </x:c>
      <x:c r="R50" s="53" t="n">
        <x:f>Q50*COS(RADIANS(D50))</x:f>
        <x:v>5081.438550121767</x:v>
      </x:c>
      <x:c r="S50" s="53" t="n">
        <x:f>Inputs!$C$21*I50/(2*Inputs!$C$12*1000000)*COS(RADIANS(D50))</x:f>
        <x:v>1225.3808258835852</x:v>
      </x:c>
    </x:row>
    <x:row r="51">
      <x:c r="A51" s="53" t="n">
        <x:f>Subsurface_Live_Data!A49</x:f>
        <x:v>-36.5</x:v>
      </x:c>
      <x:c r="B51" s="54" t="n">
        <x:f>Model_Data!P49</x:f>
        <x:v>310.4732418857566</x:v>
      </x:c>
      <x:c r="C51" s="54" t="n">
        <x:f>ABS(B51)*Inputs!$C$13/2</x:f>
        <x:v>776.1831047143914</x:v>
      </x:c>
      <x:c r="D51" s="54" t="n">
        <x:f>DEGREES(ASIN(MIN(1,C51/(Inputs!$C$11*1000))))</x:f>
        <x:v>11.188985889541847</x:v>
      </x:c>
      <x:c r="E51" s="54" t="n">
        <x:f>Model_Data!I49</x:f>
        <x:v>6.288294925190011</x:v>
      </x:c>
      <x:c r="F51" s="53" t="n">
        <x:f>Subsurface_Live_Data!F49</x:f>
        <x:v>1214.0001949726325</x:v>
      </x:c>
      <x:c r="G51" s="53" t="n">
        <x:f>Subsurface_Live_Data!I49</x:f>
        <x:v>5055.24937472324</x:v>
      </x:c>
      <x:c r="H51" s="53" t="n">
        <x:f>Subsurface_Live_Data!K49</x:f>
        <x:v>14583.853391519191</x:v>
      </x:c>
      <x:c r="I51" s="54" t="n">
        <x:f>Subsurface_Live_Data!M49/COS(RADIANS(D51))</x:f>
        <x:v>14.695432604252616</x:v>
      </x:c>
      <x:c r="J51" s="54" t="n">
        <x:f>Subsurface_Live_Data!N49/COS(RADIANS(D51))</x:f>
        <x:v>61.19362813249819</x:v>
      </x:c>
      <x:c r="K51" s="54" t="n">
        <x:f>Subsurface_Live_Data!O49/COS(RADIANS(D51))</x:f>
        <x:v>176.53706771455882</x:v>
      </x:c>
      <x:c r="L51" s="53" t="n">
        <x:f>Inputs!$C$21*K51/(2*Inputs!$C$12*1000000)</x:f>
        <x:v>14866.42737591574</x:v>
      </x:c>
      <x:c r="M51" s="53" t="n">
        <x:f>L51*COS(RADIANS(D51))</x:f>
        <x:v>14583.853391519191</x:v>
      </x:c>
      <x:c r="N51" s="54" t="n">
        <x:f>L51-H51</x:f>
        <x:v>282.57398439654935</x:v>
      </x:c>
      <x:c r="O51" s="55" t="n">
        <x:f>M51-H51</x:f>
        <x:v>0</x:v>
      </x:c>
      <x:c r="P51" s="54" t="n">
        <x:f>N51-O51</x:f>
        <x:v>282.57398439654935</x:v>
      </x:c>
      <x:c r="Q51" s="53" t="n">
        <x:f>Inputs!$C$21*J51/(2*Inputs!$C$12*1000000)</x:f>
        <x:v>5153.198930275164</x:v>
      </x:c>
      <x:c r="R51" s="53" t="n">
        <x:f>Q51*COS(RADIANS(D51))</x:f>
        <x:v>5055.24937472324</x:v>
      </x:c>
      <x:c r="S51" s="53" t="n">
        <x:f>Inputs!$C$21*I51/(2*Inputs!$C$12*1000000)*COS(RADIANS(D51))</x:f>
        <x:v>1214.0001949726322</x:v>
      </x:c>
    </x:row>
    <x:row r="52">
      <x:c r="A52" s="53" t="n">
        <x:f>Subsurface_Live_Data!A50</x:f>
        <x:v>-36</x:v>
      </x:c>
      <x:c r="B52" s="54" t="n">
        <x:f>Model_Data!P50</x:f>
        <x:v>306.2734947710851</x:v>
      </x:c>
      <x:c r="C52" s="54" t="n">
        <x:f>ABS(B52)*Inputs!$C$13/2</x:f>
        <x:v>765.6837369277127</x:v>
      </x:c>
      <x:c r="D52" s="54" t="n">
        <x:f>DEGREES(ASIN(MIN(1,C52/(Inputs!$C$11*1000))))</x:f>
        <x:v>11.035719916019675</x:v>
      </x:c>
      <x:c r="E52" s="54" t="n">
        <x:f>Model_Data!I50</x:f>
        <x:v>6.23087278213282</x:v>
      </x:c>
      <x:c r="F52" s="53" t="n">
        <x:f>Subsurface_Live_Data!F50</x:f>
        <x:v>1202.107721447054</x:v>
      </x:c>
      <x:c r="G52" s="53" t="n">
        <x:f>Subsurface_Live_Data!I50</x:f>
        <x:v>5028.826097116104</x:v>
      </x:c>
      <x:c r="H52" s="53" t="n">
        <x:f>Subsurface_Live_Data!K50</x:f>
        <x:v>14582.102622173152</x:v>
      </x:c>
      <x:c r="I52" s="54" t="n">
        <x:f>Subsurface_Live_Data!M50/COS(RADIANS(D52))</x:f>
        <x:v>14.543831081749651</x:v>
      </x:c>
      <x:c r="J52" s="54" t="n">
        <x:f>Subsurface_Live_Data!N50/COS(RADIANS(D52))</x:f>
        <x:v>60.84179977474034</x:v>
      </x:c>
      <x:c r="K52" s="54" t="n">
        <x:f>Subsurface_Live_Data!O50/COS(RADIANS(D52))</x:f>
        <x:v>176.4231554043519</x:v>
      </x:c>
      <x:c r="L52" s="53" t="n">
        <x:f>Inputs!$C$21*K52/(2*Inputs!$C$12*1000000)</x:f>
        <x:v>14856.834664827707</x:v>
      </x:c>
      <x:c r="M52" s="53" t="n">
        <x:f>L52*COS(RADIANS(D52))</x:f>
        <x:v>14582.102622173152</x:v>
      </x:c>
      <x:c r="N52" s="54" t="n">
        <x:f>L52-H52</x:f>
        <x:v>274.7320426545557</x:v>
      </x:c>
      <x:c r="O52" s="55" t="n">
        <x:f>M52-H52</x:f>
        <x:v>0</x:v>
      </x:c>
      <x:c r="P52" s="54" t="n">
        <x:f>N52-O52</x:f>
        <x:v>274.7320426545557</x:v>
      </x:c>
      <x:c r="Q52" s="53" t="n">
        <x:f>Inputs!$C$21*J52/(2*Inputs!$C$12*1000000)</x:f>
        <x:v>5123.570984161025</x:v>
      </x:c>
      <x:c r="R52" s="53" t="n">
        <x:f>Q52*COS(RADIANS(D52))</x:f>
        <x:v>5028.8260971161035</x:v>
      </x:c>
      <x:c r="S52" s="53" t="n">
        <x:f>Inputs!$C$21*I52/(2*Inputs!$C$12*1000000)*COS(RADIANS(D52))</x:f>
        <x:v>1202.1077214470538</x:v>
      </x:c>
    </x:row>
    <x:row r="53">
      <x:c r="A53" s="53" t="n">
        <x:f>Subsurface_Live_Data!A51</x:f>
        <x:v>-35.5</x:v>
      </x:c>
      <x:c r="B53" s="54" t="n">
        <x:f>Model_Data!P51</x:f>
        <x:v>302.0715784808999</x:v>
      </x:c>
      <x:c r="C53" s="54" t="n">
        <x:f>ABS(B53)*Inputs!$C$13/2</x:f>
        <x:v>755.1789462022498</x:v>
      </x:c>
      <x:c r="D53" s="54" t="n">
        <x:f>DEGREES(ASIN(MIN(1,C53/(Inputs!$C$11*1000))))</x:f>
        <x:v>10.882454759134086</x:v>
      </x:c>
      <x:c r="E53" s="54" t="n">
        <x:f>Model_Data!I51</x:f>
        <x:v>6.173679915861962</x:v>
      </x:c>
      <x:c r="F53" s="53" t="n">
        <x:f>Subsurface_Live_Data!F51</x:f>
        <x:v>1190.7643485527497</x:v>
      </x:c>
      <x:c r="G53" s="53" t="n">
        <x:f>Subsurface_Live_Data!I51</x:f>
        <x:v>5002.222527859245</x:v>
      </x:c>
      <x:c r="H53" s="53" t="n">
        <x:f>Subsurface_Live_Data!K51</x:f>
        <x:v>14580.284946826363</x:v>
      </x:c>
      <x:c r="I53" s="54" t="n">
        <x:f>Subsurface_Live_Data!M51/COS(RADIANS(D53))</x:f>
        <x:v>14.399131626246804</x:v>
      </x:c>
      <x:c r="J53" s="54" t="n">
        <x:f>Subsurface_Live_Data!N51/COS(RADIANS(D53))</x:f>
        <x:v>60.48859347356548</x:v>
      </x:c>
      <x:c r="K53" s="54" t="n">
        <x:f>Subsurface_Live_Data!O51/COS(RADIANS(D53))</x:f>
        <x:v>176.30981508029038</x:v>
      </x:c>
      <x:c r="L53" s="53" t="n">
        <x:f>Inputs!$C$21*K53/(2*Inputs!$C$12*1000000)</x:f>
        <x:v>14847.290121473516</x:v>
      </x:c>
      <x:c r="M53" s="53" t="n">
        <x:f>L53*COS(RADIANS(D53))</x:f>
        <x:v>14580.284946826365</x:v>
      </x:c>
      <x:c r="N53" s="54" t="n">
        <x:f>L53-H53</x:f>
        <x:v>267.00517464715267</x:v>
      </x:c>
      <x:c r="O53" s="55" t="n">
        <x:f>M53-H53</x:f>
        <x:v>1.8189894035458565e-12</x:v>
      </x:c>
      <x:c r="P53" s="54" t="n">
        <x:f>N53-O53</x:f>
        <x:v>267.00517464715085</x:v>
      </x:c>
      <x:c r="Q53" s="53" t="n">
        <x:f>Inputs!$C$21*J53/(2*Inputs!$C$12*1000000)</x:f>
        <x:v>5093.826999551392</x:v>
      </x:c>
      <x:c r="R53" s="53" t="n">
        <x:f>Q53*COS(RADIANS(D53))</x:f>
        <x:v>5002.222527859246</x:v>
      </x:c>
      <x:c r="S53" s="53" t="n">
        <x:f>Inputs!$C$21*I53/(2*Inputs!$C$12*1000000)*COS(RADIANS(D53))</x:f>
        <x:v>1190.7643485527499</x:v>
      </x:c>
    </x:row>
    <x:row r="54">
      <x:c r="A54" s="53" t="n">
        <x:f>Subsurface_Live_Data!A52</x:f>
        <x:v>-35</x:v>
      </x:c>
      <x:c r="B54" s="54" t="n">
        <x:f>Model_Data!P52</x:f>
        <x:v>297.8675206210937</x:v>
      </x:c>
      <x:c r="C54" s="54" t="n">
        <x:f>ABS(B54)*Inputs!$C$13/2</x:f>
        <x:v>744.6688015527343</x:v>
      </x:c>
      <x:c r="D54" s="54" t="n">
        <x:f>DEGREES(ASIN(MIN(1,C54/(Inputs!$C$11*1000))))</x:f>
        <x:v>10.729190327920428</x:v>
      </x:c>
      <x:c r="E54" s="54" t="n">
        <x:f>Model_Data!I52</x:f>
        <x:v>6.116724388997361</x:v>
      </x:c>
      <x:c r="F54" s="53" t="n">
        <x:f>Subsurface_Live_Data!F52</x:f>
        <x:v>1179.3015074463274</x:v>
      </x:c>
      <x:c r="G54" s="53" t="n">
        <x:f>Subsurface_Live_Data!I52</x:f>
        <x:v>4975.495030726145</x:v>
      </x:c>
      <x:c r="H54" s="53" t="n">
        <x:f>Subsurface_Live_Data!K52</x:f>
        <x:v>14581.129325609454</x:v>
      </x:c>
      <x:c r="I54" s="54" t="n">
        <x:f>Subsurface_Live_Data!M52/COS(RADIANS(D54))</x:f>
        <x:v>14.253240025659377</x:v>
      </x:c>
      <x:c r="J54" s="54" t="n">
        <x:f>Subsurface_Live_Data!N52/COS(RADIANS(D54))</x:f>
        <x:v>60.13468521123112</x:v>
      </x:c>
      <x:c r="K54" s="54" t="n">
        <x:f>Subsurface_Live_Data!O52/COS(RADIANS(D54))</x:f>
        <x:v>176.2300266817484</x:v>
      </x:c>
      <x:c r="L54" s="53" t="n">
        <x:f>Inputs!$C$21*K54/(2*Inputs!$C$12*1000000)</x:f>
        <x:v>14840.57103155251</x:v>
      </x:c>
      <x:c r="M54" s="53" t="n">
        <x:f>L54*COS(RADIANS(D54))</x:f>
        <x:v>14581.129325609454</x:v>
      </x:c>
      <x:c r="N54" s="54" t="n">
        <x:f>L54-H54</x:f>
        <x:v>259.44170594305615</x:v>
      </x:c>
      <x:c r="O54" s="55" t="n">
        <x:f>M54-H54</x:f>
        <x:v>0</x:v>
      </x:c>
      <x:c r="P54" s="54" t="n">
        <x:f>N54-O54</x:f>
        <x:v>259.44170594305615</x:v>
      </x:c>
      <x:c r="Q54" s="53" t="n">
        <x:f>Inputs!$C$21*J54/(2*Inputs!$C$12*1000000)</x:f>
        <x:v>5064.023901834615</x:v>
      </x:c>
      <x:c r="R54" s="53" t="n">
        <x:f>Q54*COS(RADIANS(D54))</x:f>
        <x:v>4975.495030726146</x:v>
      </x:c>
      <x:c r="S54" s="53" t="n">
        <x:f>Inputs!$C$21*I54/(2*Inputs!$C$12*1000000)*COS(RADIANS(D54))</x:f>
        <x:v>1179.3015074463274</x:v>
      </x:c>
    </x:row>
    <x:row r="55">
      <x:c r="A55" s="53" t="n">
        <x:f>Subsurface_Live_Data!A53</x:f>
        <x:v>-34.5</x:v>
      </x:c>
      <x:c r="B55" s="54" t="n">
        <x:f>Model_Data!P53</x:f>
        <x:v>293.66134891224647</x:v>
      </x:c>
      <x:c r="C55" s="54" t="n">
        <x:f>ABS(B55)*Inputs!$C$13/2</x:f>
        <x:v>734.1533722806162</x:v>
      </x:c>
      <x:c r="D55" s="54" t="n">
        <x:f>DEGREES(ASIN(MIN(1,C55/(Inputs!$C$11*1000))))</x:f>
        <x:v>10.575926535246593</x:v>
      </x:c>
      <x:c r="E55" s="54" t="n">
        <x:f>Model_Data!I53</x:f>
        <x:v>6.060014519595078</x:v>
      </x:c>
      <x:c r="F55" s="53" t="n">
        <x:f>Subsurface_Live_Data!F53</x:f>
        <x:v>1170.0355124387293</x:v>
      </x:c>
      <x:c r="G55" s="53" t="n">
        <x:f>Subsurface_Live_Data!I53</x:f>
        <x:v>4948.70234968401</x:v>
      </x:c>
      <x:c r="H55" s="53" t="n">
        <x:f>Subsurface_Live_Data!K53</x:f>
        <x:v>14576.85763200879</x:v>
      </x:c>
      <x:c r="I55" s="54" t="n">
        <x:f>Subsurface_Live_Data!M53/COS(RADIANS(D55))</x:f>
        <x:v>14.134136310312165</x:v>
      </x:c>
      <x:c r="J55" s="54" t="n">
        <x:f>Subsurface_Live_Data!N53/COS(RADIANS(D55))</x:f>
        <x:v>59.78077829775164</x:v>
      </x:c>
      <x:c r="K55" s="54" t="n">
        <x:f>Subsurface_Live_Data!O53/COS(RADIANS(D55))</x:f>
        <x:v>176.08977723880463</x:v>
      </x:c>
      <x:c r="L55" s="53" t="n">
        <x:f>Inputs!$C$21*K55/(2*Inputs!$C$12*1000000)</x:f>
        <x:v>14828.76043457688</x:v>
      </x:c>
      <x:c r="M55" s="53" t="n">
        <x:f>L55*COS(RADIANS(D55))</x:f>
        <x:v>14576.857632008789</x:v>
      </x:c>
      <x:c r="N55" s="54" t="n">
        <x:f>L55-H55</x:f>
        <x:v>251.9028025680891</x:v>
      </x:c>
      <x:c r="O55" s="55" t="n">
        <x:f>M55-H55</x:f>
        <x:v>-1.8189894035458565e-12</x:v>
      </x:c>
      <x:c r="P55" s="54" t="n">
        <x:f>N55-O55</x:f>
        <x:v>251.90280256809092</x:v>
      </x:c>
      <x:c r="Q55" s="53" t="n">
        <x:f>Inputs!$C$21*J55/(2*Inputs!$C$12*1000000)</x:f>
        <x:v>5034.220917706747</x:v>
      </x:c>
      <x:c r="R55" s="53" t="n">
        <x:f>Q55*COS(RADIANS(D55))</x:f>
        <x:v>4948.70234968401</x:v>
      </x:c>
      <x:c r="S55" s="53" t="n">
        <x:f>Inputs!$C$21*I55/(2*Inputs!$C$12*1000000)*COS(RADIANS(D55))</x:f>
        <x:v>1170.035512438729</x:v>
      </x:c>
    </x:row>
    <x:row r="56">
      <x:c r="A56" s="53" t="n">
        <x:f>Subsurface_Live_Data!A54</x:f>
        <x:v>-34</x:v>
      </x:c>
      <x:c r="B56" s="54" t="n">
        <x:f>Model_Data!P54</x:f>
        <x:v>289.4530911666152</x:v>
      </x:c>
      <x:c r="C56" s="54" t="n">
        <x:f>ABS(B56)*Inputs!$C$13/2</x:f>
        <x:v>723.632727916538</x:v>
      </x:c>
      <x:c r="D56" s="54" t="n">
        <x:f>DEGREES(ASIN(MIN(1,C56/(Inputs!$C$11*1000))))</x:f>
        <x:v>10.42266329696708</x:v>
      </x:c>
      <x:c r="E56" s="54" t="n">
        <x:f>Model_Data!I54</x:f>
        <x:v>6.003558889809033</x:v>
      </x:c>
      <x:c r="F56" s="53" t="n">
        <x:f>Subsurface_Live_Data!F54</x:f>
        <x:v>1160.1397690104457</x:v>
      </x:c>
      <x:c r="G56" s="53" t="n">
        <x:f>Subsurface_Live_Data!I54</x:f>
        <x:v>4921.90539811054</x:v>
      </x:c>
      <x:c r="H56" s="53" t="n">
        <x:f>Subsurface_Live_Data!K54</x:f>
        <x:v>14577.628747923229</x:v>
      </x:c>
      <x:c r="I56" s="54" t="n">
        <x:f>Subsurface_Live_Data!M54/COS(RADIANS(D56))</x:f>
        <x:v>14.007648968370562</x:v>
      </x:c>
      <x:c r="J56" s="54" t="n">
        <x:f>Subsurface_Live_Data!N54/COS(RADIANS(D56))</x:f>
        <x:v>59.42760080629547</x:v>
      </x:c>
      <x:c r="K56" s="54" t="n">
        <x:f>Subsurface_Live_Data!O54/COS(RADIANS(D56))</x:f>
        <x:v>176.01181490943037</x:v>
      </x:c>
      <x:c r="L56" s="53" t="n">
        <x:f>Inputs!$C$21*K56/(2*Inputs!$C$12*1000000)</x:f>
        <x:v>14822.195120432354</x:v>
      </x:c>
      <x:c r="M56" s="53" t="n">
        <x:f>L56*COS(RADIANS(D56))</x:f>
        <x:v>14577.62874792323</x:v>
      </x:c>
      <x:c r="N56" s="54" t="n">
        <x:f>L56-H56</x:f>
        <x:v>244.56637250912536</x:v>
      </x:c>
      <x:c r="O56" s="55" t="n">
        <x:f>M56-H56</x:f>
        <x:v>1.8189894035458565e-12</x:v>
      </x:c>
      <x:c r="P56" s="54" t="n">
        <x:f>N56-O56</x:f>
        <x:v>244.56637250912354</x:v>
      </x:c>
      <x:c r="Q56" s="53" t="n">
        <x:f>Inputs!$C$21*J56/(2*Inputs!$C$12*1000000)</x:f>
        <x:v>5004.479359202837</x:v>
      </x:c>
      <x:c r="R56" s="53" t="n">
        <x:f>Q56*COS(RADIANS(D56))</x:f>
        <x:v>4921.90539811054</x:v>
      </x:c>
      <x:c r="S56" s="53" t="n">
        <x:f>Inputs!$C$21*I56/(2*Inputs!$C$12*1000000)*COS(RADIANS(D56))</x:f>
        <x:v>1160.139769010446</x:v>
      </x:c>
    </x:row>
    <x:row r="57">
      <x:c r="A57" s="53" t="n">
        <x:f>Subsurface_Live_Data!A55</x:f>
        <x:v>-33.5</x:v>
      </x:c>
      <x:c r="B57" s="54" t="n">
        <x:f>Model_Data!P55</x:f>
        <x:v>285.24277529395476</x:v>
      </x:c>
      <x:c r="C57" s="54" t="n">
        <x:f>ABS(B57)*Inputs!$C$13/2</x:f>
        <x:v>713.1069382348869</x:v>
      </x:c>
      <x:c r="D57" s="54" t="n">
        <x:f>DEGREES(ASIN(MIN(1,C57/(Inputs!$C$11*1000))))</x:f>
        <x:v>10.269400532129147</x:v>
      </x:c>
      <x:c r="E57" s="54" t="n">
        <x:f>Model_Data!I55</x:f>
        <x:v>5.947366354766674</x:v>
      </x:c>
      <x:c r="F57" s="53" t="n">
        <x:f>Subsurface_Live_Data!F55</x:f>
        <x:v>1151.2002362045403</x:v>
      </x:c>
      <x:c r="G57" s="53" t="n">
        <x:f>Subsurface_Live_Data!I55</x:f>
        <x:v>4895.167010716071</x:v>
      </x:c>
      <x:c r="H57" s="53" t="n">
        <x:f>Subsurface_Live_Data!K55</x:f>
        <x:v>14578.092560023488</x:v>
      </x:c>
      <x:c r="I57" s="54" t="n">
        <x:f>Subsurface_Live_Data!M55/COS(RADIANS(D57))</x:f>
        <x:v>13.892925990633813</x:v>
      </x:c>
      <x:c r="J57" s="54" t="n">
        <x:f>Subsurface_Live_Data!N55/COS(RADIANS(D57))</x:f>
        <x:v>59.075902569209624</x:v>
      </x:c>
      <x:c r="K57" s="54" t="n">
        <x:f>Subsurface_Live_Data!O55/COS(RADIANS(D57))</x:f>
        <x:v>175.93147973002212</x:v>
      </x:c>
      <x:c r="L57" s="53" t="n">
        <x:f>Inputs!$C$21*K57/(2*Inputs!$C$12*1000000)</x:f>
        <x:v>14815.429985348457</x:v>
      </x:c>
      <x:c r="M57" s="53" t="n">
        <x:f>L57*COS(RADIANS(D57))</x:f>
        <x:v>14578.09256002349</x:v>
      </x:c>
      <x:c r="N57" s="54" t="n">
        <x:f>L57-H57</x:f>
        <x:v>237.33742532496944</x:v>
      </x:c>
      <x:c r="O57" s="55" t="n">
        <x:f>M57-H57</x:f>
        <x:v>1.8189894035458565e-12</x:v>
      </x:c>
      <x:c r="P57" s="54" t="n">
        <x:f>N57-O57</x:f>
        <x:v>237.33742532496763</x:v>
      </x:c>
      <x:c r="Q57" s="53" t="n">
        <x:f>Inputs!$C$21*J57/(2*Inputs!$C$12*1000000)</x:f>
        <x:v>4974.862370728053</x:v>
      </x:c>
      <x:c r="R57" s="53" t="n">
        <x:f>Q57*COS(RADIANS(D57))</x:f>
        <x:v>4895.167010716071</x:v>
      </x:c>
      <x:c r="S57" s="53" t="n">
        <x:f>Inputs!$C$21*I57/(2*Inputs!$C$12*1000000)*COS(RADIANS(D57))</x:f>
        <x:v>1151.2002362045403</x:v>
      </x:c>
    </x:row>
    <x:row r="58">
      <x:c r="A58" s="53" t="n">
        <x:f>Subsurface_Live_Data!A56</x:f>
        <x:v>-33</x:v>
      </x:c>
      <x:c r="B58" s="54" t="n">
        <x:f>Model_Data!P56</x:f>
        <x:v>281.0304293043373</x:v>
      </x:c>
      <x:c r="C58" s="54" t="n">
        <x:f>ABS(B58)*Inputs!$C$13/2</x:f>
        <x:v>702.5760732608433</x:v>
      </x:c>
      <x:c r="D58" s="54" t="n">
        <x:f>DEGREES(ASIN(MIN(1,C58/(Inputs!$C$11*1000))))</x:f>
        <x:v>10.116138163069536</x:v>
      </x:c>
      <x:c r="E58" s="54" t="n">
        <x:f>Model_Data!I56</x:f>
        <x:v>5.891446051651431</x:v>
      </x:c>
      <x:c r="F58" s="53" t="n">
        <x:f>Subsurface_Live_Data!F56</x:f>
        <x:v>1143.1933519509057</x:v>
      </x:c>
      <x:c r="G58" s="53" t="n">
        <x:f>Subsurface_Live_Data!I56</x:f>
        <x:v>4868.551659330447</x:v>
      </x:c>
      <x:c r="H58" s="53" t="n">
        <x:f>Subsurface_Live_Data!K56</x:f>
        <x:v>14578.466646582594</x:v>
      </x:c>
      <x:c r="I58" s="54" t="n">
        <x:f>Subsurface_Live_Data!M56/COS(RADIANS(D58))</x:f>
        <x:v>13.789663522424188</x:v>
      </x:c>
      <x:c r="J58" s="54" t="n">
        <x:f>Subsurface_Live_Data!N56/COS(RADIANS(D58))</x:f>
        <x:v>58.72645174951119</x:v>
      </x:c>
      <x:c r="K58" s="54" t="n">
        <x:f>Subsurface_Live_Data!O56/COS(RADIANS(D58))</x:f>
        <x:v>175.85139852868124</x:v>
      </x:c>
      <x:c r="L58" s="53" t="n">
        <x:f>Inputs!$C$21*K58/(2*Inputs!$C$12*1000000)</x:f>
        <x:v>14808.686238104194</x:v>
      </x:c>
      <x:c r="M58" s="53" t="n">
        <x:f>L58*COS(RADIANS(D58))</x:f>
        <x:v>14578.466646582592</x:v>
      </x:c>
      <x:c r="N58" s="54" t="n">
        <x:f>L58-H58</x:f>
        <x:v>230.2195915215998</x:v>
      </x:c>
      <x:c r="O58" s="55" t="n">
        <x:f>M58-H58</x:f>
        <x:v>-1.8189894035458565e-12</x:v>
      </x:c>
      <x:c r="P58" s="54" t="n">
        <x:f>N58-O58</x:f>
        <x:v>230.21959152160161</x:v>
      </x:c>
      <x:c r="Q58" s="53" t="n">
        <x:f>Inputs!$C$21*J58/(2*Inputs!$C$12*1000000)</x:f>
        <x:v>4945.434640338303</x:v>
      </x:c>
      <x:c r="R58" s="53" t="n">
        <x:f>Q58*COS(RADIANS(D58))</x:f>
        <x:v>4868.551659330447</x:v>
      </x:c>
      <x:c r="S58" s="53" t="n">
        <x:f>Inputs!$C$21*I58/(2*Inputs!$C$12*1000000)*COS(RADIANS(D58))</x:f>
        <x:v>1143.1933519509057</x:v>
      </x:c>
    </x:row>
    <x:row r="59">
      <x:c r="A59" s="53" t="n">
        <x:f>Subsurface_Live_Data!A57</x:f>
        <x:v>-32.5</x:v>
      </x:c>
      <x:c r="B59" s="54" t="n">
        <x:f>Model_Data!P57</x:f>
        <x:v>276.81608131206303</x:v>
      </x:c>
      <x:c r="C59" s="54" t="n">
        <x:f>ABS(B59)*Inputs!$C$13/2</x:f>
        <x:v>692.0402032801576</x:v>
      </x:c>
      <x:c r="D59" s="54" t="n">
        <x:f>DEGREES(ASIN(MIN(1,C59/(Inputs!$C$11*1000))))</x:f>
        <x:v>9.962876115550957</x:v>
      </x:c>
      <x:c r="E59" s="54" t="n">
        <x:f>Model_Data!I57</x:f>
        <x:v>5.835807408982732</x:v>
      </x:c>
      <x:c r="F59" s="53" t="n">
        <x:f>Subsurface_Live_Data!F57</x:f>
        <x:v>1135.757836125959</x:v>
      </x:c>
      <x:c r="G59" s="53" t="n">
        <x:f>Subsurface_Live_Data!I57</x:f>
        <x:v>4842.125134421267</x:v>
      </x:c>
      <x:c r="H59" s="53" t="n">
        <x:f>Subsurface_Live_Data!K57</x:f>
        <x:v>14580.08569704939</x:v>
      </x:c>
      <x:c r="I59" s="54" t="n">
        <x:f>Subsurface_Live_Data!M57/COS(RADIANS(D59))</x:f>
        <x:v>13.693487023508977</x:v>
      </x:c>
      <x:c r="J59" s="54" t="n">
        <x:f>Subsurface_Live_Data!N57/COS(RADIANS(D59))</x:f>
        <x:v>58.38003101133857</x:v>
      </x:c>
      <x:c r="K59" s="54" t="n">
        <x:f>Subsurface_Live_Data!O57/COS(RADIANS(D59))</x:f>
        <x:v>175.78766172127263</x:v>
      </x:c>
      <x:c r="L59" s="53" t="n">
        <x:f>Inputs!$C$21*K59/(2*Inputs!$C$12*1000000)</x:f>
        <x:v>14803.318874576637</x:v>
      </x:c>
      <x:c r="M59" s="53" t="n">
        <x:f>L59*COS(RADIANS(D59))</x:f>
        <x:v>14580.08569704939</x:v>
      </x:c>
      <x:c r="N59" s="54" t="n">
        <x:f>L59-H59</x:f>
        <x:v>223.23317752724688</x:v>
      </x:c>
      <x:c r="O59" s="55" t="n">
        <x:f>M59-H59</x:f>
        <x:v>0</x:v>
      </x:c>
      <x:c r="P59" s="54" t="n">
        <x:f>N59-O59</x:f>
        <x:v>223.23317752724688</x:v>
      </x:c>
      <x:c r="Q59" s="53" t="n">
        <x:f>Inputs!$C$21*J59/(2*Inputs!$C$12*1000000)</x:f>
        <x:v>4916.262077248713</x:v>
      </x:c>
      <x:c r="R59" s="53" t="n">
        <x:f>Q59*COS(RADIANS(D59))</x:f>
        <x:v>4842.125134421267</x:v>
      </x:c>
      <x:c r="S59" s="53" t="n">
        <x:f>Inputs!$C$21*I59/(2*Inputs!$C$12*1000000)*COS(RADIANS(D59))</x:f>
        <x:v>1135.7578361259589</x:v>
      </x:c>
    </x:row>
    <x:row r="60">
      <x:c r="A60" s="53" t="n">
        <x:f>Subsurface_Live_Data!A58</x:f>
        <x:v>-32</x:v>
      </x:c>
      <x:c r="B60" s="54" t="n">
        <x:f>Model_Data!P58</x:f>
        <x:v>272.599759519926</x:v>
      </x:c>
      <x:c r="C60" s="54" t="n">
        <x:f>ABS(B60)*Inputs!$C$13/2</x:f>
        <x:v>681.499398799815</x:v>
      </x:c>
      <x:c r="D60" s="54" t="n">
        <x:f>DEGREES(ASIN(MIN(1,C60/(Inputs!$C$11*1000))))</x:f>
        <x:v>9.809614318184586</x:v>
      </x:c>
      <x:c r="E60" s="54" t="n">
        <x:f>Model_Data!I58</x:f>
        <x:v>5.780460156082169</x:v>
      </x:c>
      <x:c r="F60" s="53" t="n">
        <x:f>Subsurface_Live_Data!F58</x:f>
        <x:v>1128.3236750252931</x:v>
      </x:c>
      <x:c r="G60" s="53" t="n">
        <x:f>Subsurface_Live_Data!I58</x:f>
        <x:v>4815.954194917552</x:v>
      </x:c>
      <x:c r="H60" s="53" t="n">
        <x:f>Subsurface_Live_Data!K58</x:f>
        <x:v>14584.952070760557</x:v>
      </x:c>
      <x:c r="I60" s="54" t="n">
        <x:f>Subsurface_Live_Data!M58/COS(RADIANS(D60))</x:f>
        <x:v>13.597515134787988</x:v>
      </x:c>
      <x:c r="J60" s="54" t="n">
        <x:f>Subsurface_Live_Data!N58/COS(RADIANS(D60))</x:f>
        <x:v>58.037433321045185</x:v>
      </x:c>
      <x:c r="K60" s="54" t="n">
        <x:f>Subsurface_Live_Data!O58/COS(RADIANS(D60))</x:f>
        <x:v>175.7643758719132</x:v>
      </x:c>
      <x:c r="L60" s="53" t="n">
        <x:f>Inputs!$C$21*K60/(2*Inputs!$C$12*1000000)</x:f>
        <x:v>14801.357941426053</x:v>
      </x:c>
      <x:c r="M60" s="53" t="n">
        <x:f>L60*COS(RADIANS(D60))</x:f>
        <x:v>14584.952070760555</x:v>
      </x:c>
      <x:c r="N60" s="54" t="n">
        <x:f>L60-H60</x:f>
        <x:v>216.40587066549597</x:v>
      </x:c>
      <x:c r="O60" s="55" t="n">
        <x:f>M60-H60</x:f>
        <x:v>-1.8189894035458565e-12</x:v>
      </x:c>
      <x:c r="P60" s="54" t="n">
        <x:f>N60-O60</x:f>
        <x:v>216.4058706654978</x:v>
      </x:c>
      <x:c r="Q60" s="53" t="n">
        <x:f>Inputs!$C$21*J60/(2*Inputs!$C$12*1000000)</x:f>
        <x:v>4887.411458237989</x:v>
      </x:c>
      <x:c r="R60" s="53" t="n">
        <x:f>Q60*COS(RADIANS(D60))</x:f>
        <x:v>4815.954194917552</x:v>
      </x:c>
      <x:c r="S60" s="53" t="n">
        <x:f>Inputs!$C$21*I60/(2*Inputs!$C$12*1000000)*COS(RADIANS(D60))</x:f>
        <x:v>1128.3236750252931</x:v>
      </x:c>
    </x:row>
    <x:row r="61">
      <x:c r="A61" s="53" t="n">
        <x:f>Subsurface_Live_Data!A59</x:f>
        <x:v>-31.5</x:v>
      </x:c>
      <x:c r="B61" s="54" t="n">
        <x:f>Model_Data!P59</x:f>
        <x:v>268.38149222203356</x:v>
      </x:c>
      <x:c r="C61" s="54" t="n">
        <x:f>ABS(B61)*Inputs!$C$13/2</x:f>
        <x:v>670.9537305550839</x:v>
      </x:c>
      <x:c r="D61" s="54" t="n">
        <x:f>DEGREES(ASIN(MIN(1,C61/(Inputs!$C$11*1000))))</x:f>
        <x:v>9.65635270252849</x:v>
      </x:c>
      <x:c r="E61" s="54" t="n">
        <x:f>Model_Data!I59</x:f>
        <x:v>5.725414332711808</x:v>
      </x:c>
      <x:c r="F61" s="53" t="n">
        <x:f>Subsurface_Live_Data!F59</x:f>
        <x:v>1122.5926316922605</x:v>
      </x:c>
      <x:c r="G61" s="53" t="n">
        <x:f>Subsurface_Live_Data!I59</x:f>
        <x:v>4790.106189604217</x:v>
      </x:c>
      <x:c r="H61" s="53" t="n">
        <x:f>Subsurface_Live_Data!K59</x:f>
        <x:v>14587.057234351585</x:v>
      </x:c>
      <x:c r="I61" s="54" t="n">
        <x:f>Subsurface_Live_Data!M59/COS(RADIANS(D61))</x:f>
        <x:v>13.522244223299072</x:v>
      </x:c>
      <x:c r="J61" s="54" t="n">
        <x:f>Subsurface_Live_Data!N59/COS(RADIANS(D61))</x:f>
        <x:v>57.699457419137204</x:v>
      </x:c>
      <x:c r="K61" s="54" t="n">
        <x:f>Subsurface_Live_Data!O59/COS(RADIANS(D61))</x:f>
        <x:v>175.70910840987622</x:v>
      </x:c>
      <x:c r="L61" s="53" t="n">
        <x:f>Inputs!$C$21*K61/(2*Inputs!$C$12*1000000)</x:f>
        <x:v>14796.703793029568</x:v>
      </x:c>
      <x:c r="M61" s="53" t="n">
        <x:f>L61*COS(RADIANS(D61))</x:f>
        <x:v>14587.057234351585</x:v>
      </x:c>
      <x:c r="N61" s="54" t="n">
        <x:f>L61-H61</x:f>
        <x:v>209.6465586779832</x:v>
      </x:c>
      <x:c r="O61" s="55" t="n">
        <x:f>M61-H61</x:f>
        <x:v>0</x:v>
      </x:c>
      <x:c r="P61" s="54" t="n">
        <x:f>N61-O61</x:f>
        <x:v>209.6465586779832</x:v>
      </x:c>
      <x:c r="Q61" s="53" t="n">
        <x:f>Inputs!$C$21*J61/(2*Inputs!$C$12*1000000)</x:f>
        <x:v>4858.950046334123</x:v>
      </x:c>
      <x:c r="R61" s="53" t="n">
        <x:f>Q61*COS(RADIANS(D61))</x:f>
        <x:v>4790.106189604217</x:v>
      </x:c>
      <x:c r="S61" s="53" t="n">
        <x:f>Inputs!$C$21*I61/(2*Inputs!$C$12*1000000)*COS(RADIANS(D61))</x:f>
        <x:v>1122.5926316922605</x:v>
      </x:c>
    </x:row>
    <x:row r="62">
      <x:c r="A62" s="53" t="n">
        <x:f>Subsurface_Live_Data!A60</x:f>
        <x:v>-31</x:v>
      </x:c>
      <x:c r="B62" s="54" t="n">
        <x:f>Model_Data!P60</x:f>
        <x:v>264.16130781663014</x:v>
      </x:c>
      <x:c r="C62" s="54" t="n">
        <x:f>ABS(B62)*Inputs!$C$13/2</x:f>
        <x:v>660.4032695415754</x:v>
      </x:c>
      <x:c r="D62" s="54" t="n">
        <x:f>DEGREES(ASIN(MIN(1,C62/(Inputs!$C$11*1000))))</x:f>
        <x:v>9.503091203549337</x:v>
      </x:c>
      <x:c r="E62" s="54" t="n">
        <x:f>Model_Data!I60</x:f>
        <x:v>5.670680298867937</x:v>
      </x:c>
      <x:c r="F62" s="53" t="n">
        <x:f>Subsurface_Live_Data!F60</x:f>
        <x:v>1116.9125383628448</x:v>
      </x:c>
      <x:c r="G62" s="53" t="n">
        <x:f>Subsurface_Live_Data!I60</x:f>
        <x:v>4764.648654011315</x:v>
      </x:c>
      <x:c r="H62" s="53" t="n">
        <x:f>Subsurface_Live_Data!K60</x:f>
        <x:v>14592.076103026691</x:v>
      </x:c>
      <x:c r="I62" s="54" t="n">
        <x:f>Subsurface_Live_Data!M60/COS(RADIANS(D62))</x:f>
        <x:v>13.447751956628863</x:v>
      </x:c>
      <x:c r="J62" s="54" t="n">
        <x:f>Subsurface_Live_Data!N60/COS(RADIANS(D62))</x:f>
        <x:v>57.36690301064062</x:v>
      </x:c>
      <x:c r="K62" s="54" t="n">
        <x:f>Subsurface_Live_Data!O60/COS(RADIANS(D62))</x:f>
        <x:v>175.69022929350103</x:v>
      </x:c>
      <x:c r="L62" s="53" t="n">
        <x:f>Inputs!$C$21*K62/(2*Inputs!$C$12*1000000)</x:f>
        <x:v>14795.113956877045</x:v>
      </x:c>
      <x:c r="M62" s="53" t="n">
        <x:f>L62*COS(RADIANS(D62))</x:f>
        <x:v>14592.076103026691</x:v>
      </x:c>
      <x:c r="N62" s="54" t="n">
        <x:f>L62-H62</x:f>
        <x:v>203.0378538503537</x:v>
      </x:c>
      <x:c r="O62" s="55" t="n">
        <x:f>M62-H62</x:f>
        <x:v>0</x:v>
      </x:c>
      <x:c r="P62" s="54" t="n">
        <x:f>N62-O62</x:f>
        <x:v>203.0378538503537</x:v>
      </x:c>
      <x:c r="Q62" s="53" t="n">
        <x:f>Inputs!$C$21*J62/(2*Inputs!$C$12*1000000)</x:f>
        <x:v>4830.945185788638</x:v>
      </x:c>
      <x:c r="R62" s="53" t="n">
        <x:f>Q62*COS(RADIANS(D62))</x:f>
        <x:v>4764.648654011315</x:v>
      </x:c>
      <x:c r="S62" s="53" t="n">
        <x:f>Inputs!$C$21*I62/(2*Inputs!$C$12*1000000)*COS(RADIANS(D62))</x:f>
        <x:v>1116.9125383628445</x:v>
      </x:c>
    </x:row>
    <x:row r="63">
      <x:c r="A63" s="53" t="n">
        <x:f>Subsurface_Live_Data!A61</x:f>
        <x:v>-30.5</x:v>
      </x:c>
      <x:c r="B63" s="54" t="n">
        <x:f>Model_Data!P61</x:f>
        <x:v>259.939234788817</x:v>
      </x:c>
      <x:c r="C63" s="54" t="n">
        <x:f>ABS(B63)*Inputs!$C$13/2</x:f>
        <x:v>649.8480869720424</x:v>
      </x:c>
      <x:c r="D63" s="54" t="n">
        <x:f>DEGREES(ASIN(MIN(1,C63/(Inputs!$C$11*1000))))</x:f>
        <x:v>9.349829758990628</x:v>
      </x:c>
      <x:c r="E63" s="54" t="n">
        <x:f>Model_Data!I61</x:f>
        <x:v>5.616268744710343</x:v>
      </x:c>
      <x:c r="F63" s="53" t="n">
        <x:f>Subsurface_Live_Data!F61</x:f>
        <x:v>1111.368486255422</x:v>
      </x:c>
      <x:c r="G63" s="53" t="n">
        <x:f>Subsurface_Live_Data!I61</x:f>
        <x:v>4739.6488873312355</x:v>
      </x:c>
      <x:c r="H63" s="53" t="n">
        <x:f>Subsurface_Live_Data!K61</x:f>
        <x:v>14599.553282966977</x:v>
      </x:c>
      <x:c r="I63" s="54" t="n">
        <x:f>Subsurface_Live_Data!M61/COS(RADIANS(D63))</x:f>
        <x:v>13.37505977672123</x:v>
      </x:c>
      <x:c r="J63" s="54" t="n">
        <x:f>Subsurface_Live_Data!N61/COS(RADIANS(D63))</x:f>
        <x:v>57.04056572840065</x:v>
      </x:c>
      <x:c r="K63" s="54" t="n">
        <x:f>Subsurface_Live_Data!O61/COS(RADIANS(D63))</x:f>
        <x:v>175.70220884257802</x:v>
      </x:c>
      <x:c r="L63" s="53" t="n">
        <x:f>Inputs!$C$21*K63/(2*Inputs!$C$12*1000000)</x:f>
        <x:v>14796.12277105219</x:v>
      </x:c>
      <x:c r="M63" s="53" t="n">
        <x:f>L63*COS(RADIANS(D63))</x:f>
        <x:v>14599.553282966974</x:v>
      </x:c>
      <x:c r="N63" s="54" t="n">
        <x:f>L63-H63</x:f>
        <x:v>196.56948808521338</x:v>
      </x:c>
      <x:c r="O63" s="55" t="n">
        <x:f>M63-H63</x:f>
        <x:v>-3.637978807091713e-12</x:v>
      </x:c>
      <x:c r="P63" s="54" t="n">
        <x:f>N63-O63</x:f>
        <x:v>196.56948808521702</x:v>
      </x:c>
      <x:c r="Q63" s="53" t="n">
        <x:f>Inputs!$C$21*J63/(2*Inputs!$C$12*1000000)</x:f>
        <x:v>4803.463877929155</x:v>
      </x:c>
      <x:c r="R63" s="53" t="n">
        <x:f>Q63*COS(RADIANS(D63))</x:f>
        <x:v>4739.6488873312355</x:v>
      </x:c>
      <x:c r="S63" s="53" t="n">
        <x:f>Inputs!$C$21*I63/(2*Inputs!$C$12*1000000)*COS(RADIANS(D63))</x:f>
        <x:v>1111.3684862554219</x:v>
      </x:c>
    </x:row>
    <x:row r="64">
      <x:c r="A64" s="53" t="n">
        <x:f>Subsurface_Live_Data!A62</x:f>
        <x:v>-30</x:v>
      </x:c>
      <x:c r="B64" s="54" t="n">
        <x:f>Model_Data!P62</x:f>
        <x:v>255.71530170509504</x:v>
      </x:c>
      <x:c r="C64" s="54" t="n">
        <x:f>ABS(B64)*Inputs!$C$13/2</x:f>
        <x:v>639.2882542627376</x:v>
      </x:c>
      <x:c r="D64" s="54" t="n">
        <x:f>DEGREES(ASIN(MIN(1,C64/(Inputs!$C$11*1000))))</x:f>
        <x:v>9.196568309171878</x:v>
      </x:c>
      <x:c r="E64" s="54" t="n">
        <x:f>Model_Data!I62</x:f>
        <x:v>5.562190700603825</x:v>
      </x:c>
      <x:c r="F64" s="53" t="n">
        <x:f>Subsurface_Live_Data!F62</x:f>
        <x:v>1106.9224359335371</x:v>
      </x:c>
      <x:c r="G64" s="53" t="n">
        <x:f>Subsurface_Live_Data!I62</x:f>
        <x:v>4715.173514440928</x:v>
      </x:c>
      <x:c r="H64" s="53" t="n">
        <x:f>Subsurface_Live_Data!K62</x:f>
        <x:v>14605.92076461545</x:v>
      </x:c>
      <x:c r="I64" s="54" t="n">
        <x:f>Subsurface_Live_Data!M62/COS(RADIANS(D64))</x:f>
        <x:v>13.315735683005943</x:v>
      </x:c>
      <x:c r="J64" s="54" t="n">
        <x:f>Subsurface_Live_Data!N62/COS(RADIANS(D64))</x:f>
        <x:v>56.72123193063136</x:v>
      </x:c>
      <x:c r="K64" s="54" t="n">
        <x:f>Subsurface_Live_Data!O62/COS(RADIANS(D64))</x:f>
        <x:v>175.7020853448715</x:v>
      </x:c>
      <x:c r="L64" s="53" t="n">
        <x:f>Inputs!$C$21*K64/(2*Inputs!$C$12*1000000)</x:f>
        <x:v>14796.1123711418</x:v>
      </x:c>
      <x:c r="M64" s="53" t="n">
        <x:f>L64*COS(RADIANS(D64))</x:f>
        <x:v>14605.920764615452</x:v>
      </x:c>
      <x:c r="N64" s="54" t="n">
        <x:f>L64-H64</x:f>
        <x:v>190.19160652635037</x:v>
      </x:c>
      <x:c r="O64" s="55" t="n">
        <x:f>M64-H64</x:f>
        <x:v>1.8189894035458565e-12</x:v>
      </x:c>
      <x:c r="P64" s="54" t="n">
        <x:f>N64-O64</x:f>
        <x:v>190.19160652634855</x:v>
      </x:c>
      <x:c r="Q64" s="53" t="n">
        <x:f>Inputs!$C$21*J64/(2*Inputs!$C$12*1000000)</x:f>
        <x:v>4776.57234305395</x:v>
      </x:c>
      <x:c r="R64" s="53" t="n">
        <x:f>Q64*COS(RADIANS(D64))</x:f>
        <x:v>4715.173514440928</x:v>
      </x:c>
      <x:c r="S64" s="53" t="n">
        <x:f>Inputs!$C$21*I64/(2*Inputs!$C$12*1000000)*COS(RADIANS(D64))</x:f>
        <x:v>1106.9224359335371</x:v>
      </x:c>
    </x:row>
    <x:row r="65">
      <x:c r="A65" s="53" t="n">
        <x:f>Subsurface_Live_Data!A63</x:f>
        <x:v>-29.5</x:v>
      </x:c>
      <x:c r="B65" s="54" t="n">
        <x:f>Model_Data!P63</x:f>
        <x:v>251.4895372385581</x:v>
      </x:c>
      <x:c r="C65" s="54" t="n">
        <x:f>ABS(B65)*Inputs!$C$13/2</x:f>
        <x:v>628.7238430963953</x:v>
      </x:c>
      <x:c r="D65" s="54" t="n">
        <x:f>DEGREES(ASIN(MIN(1,C65/(Inputs!$C$11*1000))))</x:f>
        <x:v>9.043306797899985</x:v>
      </x:c>
      <x:c r="E65" s="54" t="n">
        <x:f>Model_Data!I63</x:f>
        <x:v>5.508457547244826</x:v>
      </x:c>
      <x:c r="F65" s="53" t="n">
        <x:f>Subsurface_Live_Data!F63</x:f>
        <x:v>1102.622100101891</x:v>
      </x:c>
      <x:c r="G65" s="53" t="n">
        <x:f>Subsurface_Live_Data!I63</x:f>
        <x:v>4691.288038569361</x:v>
      </x:c>
      <x:c r="H65" s="53" t="n">
        <x:f>Subsurface_Live_Data!K63</x:f>
        <x:v>14614.27394913712</x:v>
      </x:c>
      <x:c r="I65" s="54" t="n">
        <x:f>Subsurface_Live_Data!M63/COS(RADIANS(D65))</x:f>
        <x:v>13.258310305845587</x:v>
      </x:c>
      <x:c r="J65" s="54" t="n">
        <x:f>Subsurface_Live_Data!N63/COS(RADIANS(D65))</x:f>
        <x:v>56.40967339916971</x:v>
      </x:c>
      <x:c r="K65" s="54" t="n">
        <x:f>Subsurface_Live_Data!O63/COS(RADIANS(D65))</x:f>
        <x:v>175.72709534335502</x:v>
      </x:c>
      <x:c r="L65" s="53" t="n">
        <x:f>Inputs!$C$21*K65/(2*Inputs!$C$12*1000000)</x:f>
        <x:v>14798.218497242908</x:v>
      </x:c>
      <x:c r="M65" s="53" t="n">
        <x:f>L65*COS(RADIANS(D65))</x:f>
        <x:v>14614.273949137118</x:v>
      </x:c>
      <x:c r="N65" s="54" t="n">
        <x:f>L65-H65</x:f>
        <x:v>183.94454810578827</x:v>
      </x:c>
      <x:c r="O65" s="55" t="n">
        <x:f>M65-H65</x:f>
        <x:v>-1.8189894035458565e-12</x:v>
      </x:c>
      <x:c r="P65" s="54" t="n">
        <x:f>N65-O65</x:f>
        <x:v>183.9445481057901</x:v>
      </x:c>
      <x:c r="Q65" s="53" t="n">
        <x:f>Inputs!$C$21*J65/(2*Inputs!$C$12*1000000)</x:f>
        <x:v>4750.335573964691</x:v>
      </x:c>
      <x:c r="R65" s="53" t="n">
        <x:f>Q65*COS(RADIANS(D65))</x:f>
        <x:v>4691.288038569361</x:v>
      </x:c>
      <x:c r="S65" s="53" t="n">
        <x:f>Inputs!$C$21*I65/(2*Inputs!$C$12*1000000)*COS(RADIANS(D65))</x:f>
        <x:v>1102.622100101891</x:v>
      </x:c>
    </x:row>
    <x:row r="66">
      <x:c r="A66" s="53" t="n">
        <x:f>Subsurface_Live_Data!A64</x:f>
        <x:v>-29</x:v>
      </x:c>
      <x:c r="B66" s="54" t="n">
        <x:f>Model_Data!P64</x:f>
        <x:v>247.26197014497302</x:v>
      </x:c>
      <x:c r="C66" s="54" t="n">
        <x:f>ABS(B66)*Inputs!$C$13/2</x:f>
        <x:v>618.1549253624326</x:v>
      </x:c>
      <x:c r="D66" s="54" t="n">
        <x:f>DEGREES(ASIN(MIN(1,C66/(Inputs!$C$11*1000))))</x:f>
        <x:v>8.890045171598464</x:v>
      </x:c>
      <x:c r="E66" s="54" t="n">
        <x:f>Model_Data!I64</x:f>
        <x:v>5.455081025841907</x:v>
      </x:c>
      <x:c r="F66" s="53" t="n">
        <x:f>Subsurface_Live_Data!F64</x:f>
        <x:v>1099.4026390140548</x:v>
      </x:c>
      <x:c r="G66" s="53" t="n">
        <x:f>Subsurface_Live_Data!I64</x:f>
        <x:v>4668.056390519633</x:v>
      </x:c>
      <x:c r="H66" s="53" t="n">
        <x:f>Subsurface_Live_Data!K64</x:f>
        <x:v>14621.073466646072</x:v>
      </x:c>
      <x:c r="I66" s="54" t="n">
        <x:f>Subsurface_Live_Data!M64/COS(RADIANS(D66))</x:f>
        <x:v>13.214019953922598</x:v>
      </x:c>
      <x:c r="J66" s="54" t="n">
        <x:f>Subsurface_Live_Data!N64/COS(RADIANS(D66))</x:f>
        <x:v>56.10664200850054</x:v>
      </x:c>
      <x:c r="K66" s="54" t="n">
        <x:f>Subsurface_Live_Data!O64/COS(RADIANS(D66))</x:f>
        <x:v>175.73466688172968</x:v>
      </x:c>
      <x:c r="L66" s="53" t="n">
        <x:f>Inputs!$C$21*K66/(2*Inputs!$C$12*1000000)</x:f>
        <x:v>14798.856106821611</x:v>
      </x:c>
      <x:c r="M66" s="53" t="n">
        <x:f>L66*COS(RADIANS(D66))</x:f>
        <x:v>14621.073466646072</x:v>
      </x:c>
      <x:c r="N66" s="54" t="n">
        <x:f>L66-H66</x:f>
        <x:v>177.7826401755392</x:v>
      </x:c>
      <x:c r="O66" s="55" t="n">
        <x:f>M66-H66</x:f>
        <x:v>0</x:v>
      </x:c>
      <x:c r="P66" s="54" t="n">
        <x:f>N66-O66</x:f>
        <x:v>177.7826401755392</x:v>
      </x:c>
      <x:c r="Q66" s="53" t="n">
        <x:f>Inputs!$C$21*J66/(2*Inputs!$C$12*1000000)</x:f>
        <x:v>4724.816887037763</x:v>
      </x:c>
      <x:c r="R66" s="53" t="n">
        <x:f>Q66*COS(RADIANS(D66))</x:f>
        <x:v>4668.056390519633</x:v>
      </x:c>
      <x:c r="S66" s="53" t="n">
        <x:f>Inputs!$C$21*I66/(2*Inputs!$C$12*1000000)*COS(RADIANS(D66))</x:f>
        <x:v>1099.402639014055</x:v>
      </x:c>
    </x:row>
    <x:row r="67">
      <x:c r="A67" s="53" t="n">
        <x:f>Subsurface_Live_Data!A65</x:f>
        <x:v>-28.5</x:v>
      </x:c>
      <x:c r="B67" s="54" t="n">
        <x:f>Model_Data!P65</x:f>
        <x:v>243.03262925423041</x:v>
      </x:c>
      <x:c r="C67" s="54" t="n">
        <x:f>ABS(B67)*Inputs!$C$13/2</x:f>
        <x:v>607.581573135576</x:v>
      </x:c>
      <x:c r="D67" s="54" t="n">
        <x:f>DEGREES(ASIN(MIN(1,C67/(Inputs!$C$11*1000))))</x:f>
        <x:v>8.736783378996103</x:v>
      </x:c>
      <x:c r="E67" s="54" t="n">
        <x:f>Model_Data!I65</x:f>
        <x:v>5.402073248314196</x:v>
      </x:c>
      <x:c r="F67" s="53" t="n">
        <x:f>Subsurface_Live_Data!F65</x:f>
        <x:v>1095.4325971248734</x:v>
      </x:c>
      <x:c r="G67" s="53" t="n">
        <x:f>Subsurface_Live_Data!I65</x:f>
        <x:v>4645.540480618124</x:v>
      </x:c>
      <x:c r="H67" s="53" t="n">
        <x:f>Subsurface_Live_Data!K65</x:f>
        <x:v>14632.4426235159</x:v>
      </x:c>
      <x:c r="I67" s="54" t="n">
        <x:f>Subsurface_Live_Data!M65/COS(RADIANS(D67))</x:f>
        <x:v>13.16084345856024</x:v>
      </x:c>
      <x:c r="J67" s="54" t="n">
        <x:f>Subsurface_Live_Data!N65/COS(RADIANS(D67))</x:f>
        <x:v>55.81286443939032</x:v>
      </x:c>
      <x:c r="K67" s="54" t="n">
        <x:f>Subsurface_Live_Data!O65/COS(RADIANS(D67))</x:f>
        <x:v>175.79838986889737</x:v>
      </x:c>
      <x:c r="L67" s="53" t="n">
        <x:f>Inputs!$C$21*K67/(2*Inputs!$C$12*1000000)</x:f>
        <x:v>14804.222306527821</x:v>
      </x:c>
      <x:c r="M67" s="53" t="n">
        <x:f>L67*COS(RADIANS(D67))</x:f>
        <x:v>14632.442623515903</x:v>
      </x:c>
      <x:c r="N67" s="54" t="n">
        <x:f>L67-H67</x:f>
        <x:v>171.7796830119205</x:v>
      </x:c>
      <x:c r="O67" s="55" t="n">
        <x:f>M67-H67</x:f>
        <x:v>1.8189894035458565e-12</x:v>
      </x:c>
      <x:c r="P67" s="54" t="n">
        <x:f>N67-O67</x:f>
        <x:v>171.77968301191868</x:v>
      </x:c>
      <x:c r="Q67" s="53" t="n">
        <x:f>Inputs!$C$21*J67/(2*Inputs!$C$12*1000000)</x:f>
        <x:v>4700.077477052139</x:v>
      </x:c>
      <x:c r="R67" s="53" t="n">
        <x:f>Q67*COS(RADIANS(D67))</x:f>
        <x:v>4645.540480618124</x:v>
      </x:c>
      <x:c r="S67" s="53" t="n">
        <x:f>Inputs!$C$21*I67/(2*Inputs!$C$12*1000000)*COS(RADIANS(D67))</x:f>
        <x:v>1095.4325971248736</x:v>
      </x:c>
    </x:row>
    <x:row r="68">
      <x:c r="A68" s="53" t="n">
        <x:f>Subsurface_Live_Data!A66</x:f>
        <x:v>-28</x:v>
      </x:c>
      <x:c r="B68" s="54" t="n">
        <x:f>Model_Data!P66</x:f>
        <x:v>238.80154350054</x:v>
      </x:c>
      <x:c r="C68" s="54" t="n">
        <x:f>ABS(B68)*Inputs!$C$13/2</x:f>
        <x:v>597.00385875135</x:v>
      </x:c>
      <x:c r="D68" s="54" t="n">
        <x:f>DEGREES(ASIN(MIN(1,C68/(Inputs!$C$11*1000))))</x:f>
        <x:v>8.58352137221981</x:v>
      </x:c>
      <x:c r="E68" s="54" t="n">
        <x:f>Model_Data!I66</x:f>
        <x:v>5.349446707466922</x:v>
      </x:c>
      <x:c r="F68" s="53" t="n">
        <x:f>Subsurface_Live_Data!F66</x:f>
        <x:v>1092.7002069781608</x:v>
      </x:c>
      <x:c r="G68" s="53" t="n">
        <x:f>Subsurface_Live_Data!I66</x:f>
        <x:v>4623.799759710701</x:v>
      </x:c>
      <x:c r="H68" s="53" t="n">
        <x:f>Subsurface_Live_Data!K66</x:f>
        <x:v>14641.123866777607</x:v>
      </x:c>
      <x:c r="I68" s="54" t="n">
        <x:f>Subsurface_Live_Data!M66/COS(RADIANS(D68))</x:f>
        <x:v>13.122668236034134</x:v>
      </x:c>
      <x:c r="J68" s="54" t="n">
        <x:f>Subsurface_Live_Data!N66/COS(RADIANS(D68))</x:f>
        <x:v>55.52903701220823</x:v>
      </x:c>
      <x:c r="K68" s="54" t="n">
        <x:f>Subsurface_Live_Data!O66/COS(RADIANS(D68))</x:f>
        <x:v>175.8310375338327</x:v>
      </x:c>
      <x:c r="L68" s="53" t="n">
        <x:f>Inputs!$C$21*K68/(2*Inputs!$C$12*1000000)</x:f>
        <x:v>14806.971610943248</x:v>
      </x:c>
      <x:c r="M68" s="53" t="n">
        <x:f>L68*COS(RADIANS(D68))</x:f>
        <x:v>14641.123866777609</x:v>
      </x:c>
      <x:c r="N68" s="54" t="n">
        <x:f>L68-H68</x:f>
        <x:v>165.84774416564142</x:v>
      </x:c>
      <x:c r="O68" s="55" t="n">
        <x:f>M68-H68</x:f>
        <x:v>1.8189894035458565e-12</x:v>
      </x:c>
      <x:c r="P68" s="54" t="n">
        <x:f>N68-O68</x:f>
        <x:v>165.8477441656396</x:v>
      </x:c>
      <x:c r="Q68" s="53" t="n">
        <x:f>Inputs!$C$21*J68/(2*Inputs!$C$12*1000000)</x:f>
        <x:v>4676.175982096314</x:v>
      </x:c>
      <x:c r="R68" s="53" t="n">
        <x:f>Q68*COS(RADIANS(D68))</x:f>
        <x:v>4623.799759710701</x:v>
      </x:c>
      <x:c r="S68" s="53" t="n">
        <x:f>Inputs!$C$21*I68/(2*Inputs!$C$12*1000000)*COS(RADIANS(D68))</x:f>
        <x:v>1092.7002069781608</x:v>
      </x:c>
    </x:row>
    <x:row r="69">
      <x:c r="A69" s="53" t="n">
        <x:f>Subsurface_Live_Data!A67</x:f>
        <x:v>-27.5</x:v>
      </x:c>
      <x:c r="B69" s="54" t="n">
        <x:f>Model_Data!P67</x:f>
        <x:v>234.56874188968868</x:v>
      </x:c>
      <x:c r="C69" s="54" t="n">
        <x:f>ABS(B69)*Inputs!$C$13/2</x:f>
        <x:v>586.4218547242217</x:v>
      </x:c>
      <x:c r="D69" s="54" t="n">
        <x:f>DEGREES(ASIN(MIN(1,C69/(Inputs!$C$11*1000))))</x:f>
        <x:v>8.430259105606691</x:v>
      </x:c>
      <x:c r="E69" s="54" t="n">
        <x:f>Model_Data!I67</x:f>
        <x:v>5.297214287097746</x:v>
      </x:c>
      <x:c r="F69" s="53" t="n">
        <x:f>Subsurface_Live_Data!F67</x:f>
        <x:v>1089.349444497371</x:v>
      </x:c>
      <x:c r="G69" s="53" t="n">
        <x:f>Subsurface_Live_Data!I67</x:f>
        <x:v>4602.890795551278</x:v>
      </x:c>
      <x:c r="H69" s="53" t="n">
        <x:f>Subsurface_Live_Data!K67</x:f>
        <x:v>14653.311244711229</x:v>
      </x:c>
      <x:c r="I69" s="54" t="n">
        <x:f>Subsurface_Live_Data!M67/COS(RADIANS(D69))</x:f>
        <x:v>13.077194370692409</x:v>
      </x:c>
      <x:c r="J69" s="54" t="n">
        <x:f>Subsurface_Live_Data!N67/COS(RADIANS(D69))</x:f>
        <x:v>55.2558207144157</x:v>
      </x:c>
      <x:c r="K69" s="54" t="n">
        <x:f>Subsurface_Live_Data!O67/COS(RADIANS(D69))</x:f>
        <x:v>175.90700604777692</x:v>
      </x:c>
      <x:c r="L69" s="53" t="n">
        <x:f>Inputs!$C$21*K69/(2*Inputs!$C$12*1000000)</x:f>
        <x:v>14813.369023169638</x:v>
      </x:c>
      <x:c r="M69" s="53" t="n">
        <x:f>L69*COS(RADIANS(D69))</x:f>
        <x:v>14653.311244711233</x:v>
      </x:c>
      <x:c r="N69" s="54" t="n">
        <x:f>L69-H69</x:f>
        <x:v>160.0577784584093</x:v>
      </x:c>
      <x:c r="O69" s="55" t="n">
        <x:f>M69-H69</x:f>
        <x:v>3.637978807091713e-12</x:v>
      </x:c>
      <x:c r="P69" s="54" t="n">
        <x:f>N69-O69</x:f>
        <x:v>160.05777845840566</x:v>
      </x:c>
      <x:c r="Q69" s="53" t="n">
        <x:f>Inputs!$C$21*J69/(2*Inputs!$C$12*1000000)</x:f>
        <x:v>4653.168064826404</x:v>
      </x:c>
      <x:c r="R69" s="53" t="n">
        <x:f>Q69*COS(RADIANS(D69))</x:f>
        <x:v>4602.890795551278</x:v>
      </x:c>
      <x:c r="S69" s="53" t="n">
        <x:f>Inputs!$C$21*I69/(2*Inputs!$C$12*1000000)*COS(RADIANS(D69))</x:f>
        <x:v>1089.349444497371</x:v>
      </x:c>
    </x:row>
    <x:row r="70">
      <x:c r="A70" s="53" t="n">
        <x:f>Subsurface_Live_Data!A68</x:f>
        <x:v>-27</x:v>
      </x:c>
      <x:c r="B70" s="54" t="n">
        <x:f>Model_Data!P68</x:f>
        <x:v>230.3342535144111</x:v>
      </x:c>
      <x:c r="C70" s="54" t="n">
        <x:f>ABS(B70)*Inputs!$C$13/2</x:f>
        <x:v>575.8356337860278</x:v>
      </x:c>
      <x:c r="D70" s="54" t="n">
        <x:f>DEGREES(ASIN(MIN(1,C70/(Inputs!$C$11*1000))))</x:f>
        <x:v>8.276996536260333</x:v>
      </x:c>
      <x:c r="E70" s="54" t="n">
        <x:f>Model_Data!I68</x:f>
        <x:v>5.2453892719816</x:v>
      </x:c>
      <x:c r="F70" s="53" t="n">
        <x:f>Subsurface_Live_Data!F68</x:f>
        <x:v>1086.429301032078</x:v>
      </x:c>
      <x:c r="G70" s="53" t="n">
        <x:f>Subsurface_Live_Data!I68</x:f>
        <x:v>4582.86687082678</x:v>
      </x:c>
      <x:c r="H70" s="53" t="n">
        <x:f>Subsurface_Live_Data!K68</x:f>
        <x:v>14665.036556690677</x:v>
      </x:c>
      <x:c r="I70" s="54" t="n">
        <x:f>Subsurface_Live_Data!M68/COS(RADIANS(D70))</x:f>
        <x:v>13.037017445618392</x:v>
      </x:c>
      <x:c r="J70" s="54" t="n">
        <x:f>Subsurface_Live_Data!N68/COS(RADIANS(D70))</x:f>
        <x:v>54.99383649645437</x:v>
      </x:c>
      <x:c r="K70" s="54" t="n">
        <x:f>Subsurface_Live_Data!O68/COS(RADIANS(D70))</x:f>
        <x:v>175.97862764616545</x:v>
      </x:c>
      <x:c r="L70" s="53" t="n">
        <x:f>Inputs!$C$21*K70/(2*Inputs!$C$12*1000000)</x:f>
        <x:v>14819.400375705252</x:v>
      </x:c>
      <x:c r="M70" s="53" t="n">
        <x:f>L70*COS(RADIANS(D70))</x:f>
        <x:v>14665.036556690678</x:v>
      </x:c>
      <x:c r="N70" s="54" t="n">
        <x:f>L70-H70</x:f>
        <x:v>154.3638190145757</x:v>
      </x:c>
      <x:c r="O70" s="55" t="n">
        <x:f>M70-H70</x:f>
        <x:v>1.8189894035458565e-12</x:v>
      </x:c>
      <x:c r="P70" s="54" t="n">
        <x:f>N70-O70</x:f>
        <x:v>154.3638190145739</x:v>
      </x:c>
      <x:c r="Q70" s="53" t="n">
        <x:f>Inputs!$C$21*J70/(2*Inputs!$C$12*1000000)</x:f>
        <x:v>4631.10601632645</x:v>
      </x:c>
      <x:c r="R70" s="53" t="n">
        <x:f>Q70*COS(RADIANS(D70))</x:f>
        <x:v>4582.86687082678</x:v>
      </x:c>
      <x:c r="S70" s="53" t="n">
        <x:f>Inputs!$C$21*I70/(2*Inputs!$C$12*1000000)*COS(RADIANS(D70))</x:f>
        <x:v>1086.429301032078</x:v>
      </x:c>
    </x:row>
    <x:row r="71">
      <x:c r="A71" s="53" t="n">
        <x:f>Subsurface_Live_Data!A69</x:f>
        <x:v>-26.5</x:v>
      </x:c>
      <x:c r="B71" s="54" t="n">
        <x:f>Model_Data!P69</x:f>
        <x:v>226.0981075584823</x:v>
      </x:c>
      <x:c r="C71" s="54" t="n">
        <x:f>ABS(B71)*Inputs!$C$13/2</x:f>
        <x:v>565.2452688962057</x:v>
      </x:c>
      <x:c r="D71" s="54" t="n">
        <x:f>DEGREES(ASIN(MIN(1,C71/(Inputs!$C$11*1000))))</x:f>
        <x:v>8.123733624198083</x:v>
      </x:c>
      <x:c r="E71" s="54" t="n">
        <x:f>Model_Data!I69</x:f>
        <x:v>5.1939853576754125</x:v>
      </x:c>
      <x:c r="F71" s="53" t="n">
        <x:f>Subsurface_Live_Data!F69</x:f>
        <x:v>1083.8477594852473</x:v>
      </x:c>
      <x:c r="G71" s="53" t="n">
        <x:f>Subsurface_Live_Data!I69</x:f>
        <x:v>4563.7776088342625</x:v>
      </x:c>
      <x:c r="H71" s="53" t="n">
        <x:f>Subsurface_Live_Data!K69</x:f>
        <x:v>14676.338809952047</x:v>
      </x:c>
      <x:c r="I71" s="54" t="n">
        <x:f>Subsurface_Live_Data!M69/COS(RADIANS(D71))</x:f>
        <x:v>13.001026628587125</x:v>
      </x:c>
      <x:c r="J71" s="54" t="n">
        <x:f>Subsurface_Live_Data!N69/COS(RADIANS(D71))</x:f>
        <x:v>54.74366090638355</x:v>
      </x:c>
      <x:c r="K71" s="54" t="n">
        <x:f>Subsurface_Live_Data!O69/COS(RADIANS(D71))</x:f>
        <x:v>176.04637737035466</x:v>
      </x:c>
      <x:c r="L71" s="53" t="n">
        <x:f>Inputs!$C$21*K71/(2*Inputs!$C$12*1000000)</x:f>
        <x:v>14825.105672430956</x:v>
      </x:c>
      <x:c r="M71" s="53" t="n">
        <x:f>L71*COS(RADIANS(D71))</x:f>
        <x:v>14676.338809952047</x:v>
      </x:c>
      <x:c r="N71" s="54" t="n">
        <x:f>L71-H71</x:f>
        <x:v>148.7668624789094</x:v>
      </x:c>
      <x:c r="O71" s="55" t="n">
        <x:f>M71-H71</x:f>
        <x:v>0</x:v>
      </x:c>
      <x:c r="P71" s="54" t="n">
        <x:f>N71-O71</x:f>
        <x:v>148.7668624789094</x:v>
      </x:c>
      <x:c r="Q71" s="53" t="n">
        <x:f>Inputs!$C$21*J71/(2*Inputs!$C$12*1000000)</x:f>
        <x:v>4610.038388495291</x:v>
      </x:c>
      <x:c r="R71" s="53" t="n">
        <x:f>Q71*COS(RADIANS(D71))</x:f>
        <x:v>4563.777608834263</x:v>
      </x:c>
      <x:c r="S71" s="53" t="n">
        <x:f>Inputs!$C$21*I71/(2*Inputs!$C$12*1000000)*COS(RADIANS(D71))</x:f>
        <x:v>1083.8477594852473</x:v>
      </x:c>
    </x:row>
    <x:row r="72">
      <x:c r="A72" s="53" t="n">
        <x:f>Subsurface_Live_Data!A70</x:f>
        <x:v>-26</x:v>
      </x:c>
      <x:c r="B72" s="54" t="n">
        <x:f>Model_Data!P70</x:f>
        <x:v>221.86033326770485</x:v>
      </x:c>
      <x:c r="C72" s="54" t="n">
        <x:f>ABS(B72)*Inputs!$C$13/2</x:f>
        <x:v>554.6508331692621</x:v>
      </x:c>
      <x:c r="D72" s="54" t="n">
        <x:f>DEGREES(ASIN(MIN(1,C72/(Inputs!$C$11*1000))))</x:f>
        <x:v>7.970470331301228</x:v>
      </x:c>
      <x:c r="E72" s="54" t="n">
        <x:f>Model_Data!I70</x:f>
        <x:v>5.143016660077165</x:v>
      </x:c>
      <x:c r="F72" s="53" t="n">
        <x:f>Subsurface_Live_Data!F70</x:f>
        <x:v>1080.3782090598897</x:v>
      </x:c>
      <x:c r="G72" s="53" t="n">
        <x:f>Subsurface_Live_Data!I70</x:f>
        <x:v>4545.668632472401</x:v>
      </x:c>
      <x:c r="H72" s="53" t="n">
        <x:f>Subsurface_Live_Data!K70</x:f>
        <x:v>14691.249740602572</x:v>
      </x:c>
      <x:c r="I72" s="54" t="n">
        <x:f>Subsurface_Live_Data!M70/COS(RADIANS(D72))</x:f>
        <x:v>12.954508402767793</x:v>
      </x:c>
      <x:c r="J72" s="54" t="n">
        <x:f>Subsurface_Live_Data!N70/COS(RADIANS(D72))</x:f>
        <x:v>54.5058221294589</x:v>
      </x:c>
      <x:c r="K72" s="54" t="n">
        <x:f>Subsurface_Live_Data!O70/COS(RADIANS(D72))</x:f>
        <x:v>176.15860502907097</x:v>
      </x:c>
      <x:c r="L72" s="53" t="n">
        <x:f>Inputs!$C$21*K72/(2*Inputs!$C$12*1000000)</x:f>
        <x:v>14834.556516718076</x:v>
      </x:c>
      <x:c r="M72" s="53" t="n">
        <x:f>L72*COS(RADIANS(D72))</x:f>
        <x:v>14691.249740602574</x:v>
      </x:c>
      <x:c r="N72" s="54" t="n">
        <x:f>L72-H72</x:f>
        <x:v>143.30677611550345</x:v>
      </x:c>
      <x:c r="O72" s="55" t="n">
        <x:f>M72-H72</x:f>
        <x:v>1.8189894035458565e-12</x:v>
      </x:c>
      <x:c r="P72" s="54" t="n">
        <x:f>N72-O72</x:f>
        <x:v>143.30677611550163</x:v>
      </x:c>
      <x:c r="Q72" s="53" t="n">
        <x:f>Inputs!$C$21*J72/(2*Inputs!$C$12*1000000)</x:f>
        <x:v>4590.009660534067</x:v>
      </x:c>
      <x:c r="R72" s="53" t="n">
        <x:f>Q72*COS(RADIANS(D72))</x:f>
        <x:v>4545.668632472402</x:v>
      </x:c>
      <x:c r="S72" s="53" t="n">
        <x:f>Inputs!$C$21*I72/(2*Inputs!$C$12*1000000)*COS(RADIANS(D72))</x:f>
        <x:v>1080.37820905989</x:v>
      </x:c>
    </x:row>
    <x:row r="73">
      <x:c r="A73" s="53" t="n">
        <x:f>Subsurface_Live_Data!A71</x:f>
        <x:v>-25.5</x:v>
      </x:c>
      <x:c r="B73" s="54" t="n">
        <x:f>Model_Data!P71</x:f>
        <x:v>217.6209599799222</x:v>
      </x:c>
      <x:c r="C73" s="54" t="n">
        <x:f>ABS(B73)*Inputs!$C$13/2</x:f>
        <x:v>544.0523999498055</x:v>
      </x:c>
      <x:c r="D73" s="54" t="n">
        <x:f>DEGREES(ASIN(MIN(1,C73/(Inputs!$C$11*1000))))</x:f>
        <x:v>7.817206622401356</x:v>
      </x:c>
      <x:c r="E73" s="54" t="n">
        <x:f>Model_Data!I71</x:f>
        <x:v>5.092497724666333</x:v>
      </x:c>
      <x:c r="F73" s="53" t="n">
        <x:f>Subsurface_Live_Data!F71</x:f>
        <x:v>1077.506206100406</x:v>
      </x:c>
      <x:c r="G73" s="53" t="n">
        <x:f>Subsurface_Live_Data!I71</x:f>
        <x:v>4528.581261736598</x:v>
      </x:c>
      <x:c r="H73" s="53" t="n">
        <x:f>Subsurface_Live_Data!K71</x:f>
        <x:v>14704.33755909024</x:v>
      </x:c>
      <x:c r="I73" s="54" t="n">
        <x:f>Subsurface_Live_Data!M71/COS(RADIANS(D73))</x:f>
        <x:v>12.915280021164572</x:v>
      </x:c>
      <x:c r="J73" s="54" t="n">
        <x:f>Subsurface_Live_Data!N71/COS(RADIANS(D73))</x:f>
        <x:v>54.280796493599794</x:v>
      </x:c>
      <x:c r="K73" s="54" t="n">
        <x:f>Subsurface_Live_Data!O71/COS(RADIANS(D73))</x:f>
        <x:v>176.25015617189067</x:v>
      </x:c>
      <x:c r="L73" s="53" t="n">
        <x:f>Inputs!$C$21*K73/(2*Inputs!$C$12*1000000)</x:f>
        <x:v>14842.26616338623</x:v>
      </x:c>
      <x:c r="M73" s="53" t="n">
        <x:f>L73*COS(RADIANS(D73))</x:f>
        <x:v>14704.33755909024</x:v>
      </x:c>
      <x:c r="N73" s="54" t="n">
        <x:f>L73-H73</x:f>
        <x:v>137.92860429599023</x:v>
      </x:c>
      <x:c r="O73" s="55" t="n">
        <x:f>M73-H73</x:f>
        <x:v>0</x:v>
      </x:c>
      <x:c r="P73" s="54" t="n">
        <x:f>N73-O73</x:f>
        <x:v>137.92860429599023</x:v>
      </x:c>
      <x:c r="Q73" s="53" t="n">
        <x:f>Inputs!$C$21*J73/(2*Inputs!$C$12*1000000)</x:f>
        <x:v>4571.059944666871</x:v>
      </x:c>
      <x:c r="R73" s="53" t="n">
        <x:f>Q73*COS(RADIANS(D73))</x:f>
        <x:v>4528.581261736597</x:v>
      </x:c>
      <x:c r="S73" s="53" t="n">
        <x:f>Inputs!$C$21*I73/(2*Inputs!$C$12*1000000)*COS(RADIANS(D73))</x:f>
        <x:v>1077.5062061004062</x:v>
      </x:c>
    </x:row>
    <x:row r="74">
      <x:c r="A74" s="53" t="n">
        <x:f>Subsurface_Live_Data!A72</x:f>
        <x:v>-25</x:v>
      </x:c>
      <x:c r="B74" s="54" t="n">
        <x:f>Model_Data!P72</x:f>
        <x:v>213.38001711119432</x:v>
      </x:c>
      <x:c r="C74" s="54" t="n">
        <x:f>ABS(B74)*Inputs!$C$13/2</x:f>
        <x:v>533.4500427779858</x:v>
      </x:c>
      <x:c r="D74" s="54" t="n">
        <x:f>DEGREES(ASIN(MIN(1,C74/(Inputs!$C$11*1000))))</x:f>
        <x:v>7.663942464780593</x:v>
      </x:c>
      <x:c r="E74" s="54" t="n">
        <x:f>Model_Data!I72</x:f>
        <x:v>5.042443535344872</x:v>
      </x:c>
      <x:c r="F74" s="53" t="n">
        <x:f>Subsurface_Live_Data!F72</x:f>
        <x:v>1073.9658997599292</x:v>
      </x:c>
      <x:c r="G74" s="53" t="n">
        <x:f>Subsurface_Live_Data!I72</x:f>
        <x:v>4512.552254322947</x:v>
      </x:c>
      <x:c r="H74" s="53" t="n">
        <x:f>Subsurface_Live_Data!K72</x:f>
        <x:v>14719.836152269878</x:v>
      </x:c>
      <x:c r="I74" s="54" t="n">
        <x:f>Subsurface_Live_Data!M72/COS(RADIANS(D74))</x:f>
        <x:v>12.868165255804481</x:v>
      </x:c>
      <x:c r="J74" s="54" t="n">
        <x:f>Subsurface_Live_Data!N72/COS(RADIANS(D74))</x:f>
        <x:v>54.06900549362054</x:v>
      </x:c>
      <x:c r="K74" s="54" t="n">
        <x:f>Subsurface_Live_Data!O72/COS(RADIANS(D74))</x:f>
        <x:v>176.3717862812177</x:v>
      </x:c>
      <x:c r="L74" s="53" t="n">
        <x:f>Inputs!$C$21*K74/(2*Inputs!$C$12*1000000)</x:f>
        <x:v>14852.508800869926</x:v>
      </x:c>
      <x:c r="M74" s="53" t="n">
        <x:f>L74*COS(RADIANS(D74))</x:f>
        <x:v>14719.836152269874</x:v>
      </x:c>
      <x:c r="N74" s="54" t="n">
        <x:f>L74-H74</x:f>
        <x:v>132.67264860004798</x:v>
      </x:c>
      <x:c r="O74" s="55" t="n">
        <x:f>M74-H74</x:f>
        <x:v>-3.637978807091713e-12</x:v>
      </x:c>
      <x:c r="P74" s="54" t="n">
        <x:f>N74-O74</x:f>
        <x:v>132.67264860005162</x:v>
      </x:c>
      <x:c r="Q74" s="53" t="n">
        <x:f>Inputs!$C$21*J74/(2*Inputs!$C$12*1000000)</x:f>
        <x:v>4553.224735547192</x:v>
      </x:c>
      <x:c r="R74" s="53" t="n">
        <x:f>Q74*COS(RADIANS(D74))</x:f>
        <x:v>4512.552254322947</x:v>
      </x:c>
      <x:c r="S74" s="53" t="n">
        <x:f>Inputs!$C$21*I74/(2*Inputs!$C$12*1000000)*COS(RADIANS(D74))</x:f>
        <x:v>1073.9658997599292</x:v>
      </x:c>
    </x:row>
    <x:row r="75">
      <x:c r="A75" s="53" t="n">
        <x:f>Subsurface_Live_Data!A73</x:f>
        <x:v>-24.5</x:v>
      </x:c>
      <x:c r="B75" s="54" t="n">
        <x:f>Model_Data!P73</x:f>
        <x:v>209.13753414824896</x:v>
      </x:c>
      <x:c r="C75" s="54" t="n">
        <x:f>ABS(B75)*Inputs!$C$13/2</x:f>
        <x:v>522.8438353706224</x:v>
      </x:c>
      <x:c r="D75" s="54" t="n">
        <x:f>DEGREES(ASIN(MIN(1,C75/(Inputs!$C$11*1000))))</x:f>
        <x:v>7.510677827899895</x:v>
      </x:c>
      <x:c r="E75" s="54" t="n">
        <x:f>Model_Data!I73</x:f>
        <x:v>4.99286952278949</x:v>
      </x:c>
      <x:c r="F75" s="53" t="n">
        <x:f>Subsurface_Live_Data!F73</x:f>
        <x:v>1071.277136928097</x:v>
      </x:c>
      <x:c r="G75" s="53" t="n">
        <x:f>Subsurface_Live_Data!I73</x:f>
        <x:v>4497.613593262742</x:v>
      </x:c>
      <x:c r="H75" s="53" t="n">
        <x:f>Subsurface_Live_Data!K73</x:f>
        <x:v>14732.271053468106</x:v>
      </x:c>
      <x:c r="I75" s="54" t="n">
        <x:f>Subsurface_Live_Data!M73/COS(RADIANS(D75))</x:f>
        <x:v>12.831375911832325</x:v>
      </x:c>
      <x:c r="J75" s="54" t="n">
        <x:f>Subsurface_Live_Data!N73/COS(RADIANS(D75))</x:f>
        <x:v>53.87081337963311</x:v>
      </x:c>
      <x:c r="K75" s="54" t="n">
        <x:f>Subsurface_Live_Data!O73/COS(RADIANS(D75))</x:f>
        <x:v>176.4578944194747</x:v>
      </x:c>
      <x:c r="L75" s="53" t="n">
        <x:f>Inputs!$C$21*K75/(2*Inputs!$C$12*1000000)</x:f>
        <x:v>14859.760084696294</x:v>
      </x:c>
      <x:c r="M75" s="53" t="n">
        <x:f>L75*COS(RADIANS(D75))</x:f>
        <x:v>14732.271053468106</x:v>
      </x:c>
      <x:c r="N75" s="54" t="n">
        <x:f>L75-H75</x:f>
        <x:v>127.48903122818774</x:v>
      </x:c>
      <x:c r="O75" s="55" t="n">
        <x:f>M75-H75</x:f>
        <x:v>0</x:v>
      </x:c>
      <x:c r="P75" s="54" t="n">
        <x:f>N75-O75</x:f>
        <x:v>127.48903122818774</x:v>
      </x:c>
      <x:c r="Q75" s="53" t="n">
        <x:f>Inputs!$C$21*J75/(2*Inputs!$C$12*1000000)</x:f>
        <x:v>4536.534707174016</x:v>
      </x:c>
      <x:c r="R75" s="53" t="n">
        <x:f>Q75*COS(RADIANS(D75))</x:f>
        <x:v>4497.613593262742</x:v>
      </x:c>
      <x:c r="S75" s="53" t="n">
        <x:f>Inputs!$C$21*I75/(2*Inputs!$C$12*1000000)*COS(RADIANS(D75))</x:f>
        <x:v>1071.277136928097</x:v>
      </x:c>
    </x:row>
    <x:row r="76">
      <x:c r="A76" s="53" t="n">
        <x:f>Subsurface_Live_Data!A74</x:f>
        <x:v>-24</x:v>
      </x:c>
      <x:c r="B76" s="54" t="n">
        <x:f>Model_Data!P74</x:f>
        <x:v>204.89354065312</x:v>
      </x:c>
      <x:c r="C76" s="54" t="n">
        <x:f>ABS(B76)*Inputs!$C$13/2</x:f>
        <x:v>512.2338516328</x:v>
      </x:c>
      <x:c r="D76" s="54" t="n">
        <x:f>DEGREES(ASIN(MIN(1,C76/(Inputs!$C$11*1000))))</x:f>
        <x:v>7.3574126835682065</x:v>
      </x:c>
      <x:c r="E76" s="54" t="n">
        <x:f>Model_Data!I74</x:f>
        <x:v>4.943791572217107</x:v>
      </x:c>
      <x:c r="F76" s="53" t="n">
        <x:f>Subsurface_Live_Data!F74</x:f>
        <x:v>1067.3370569913695</x:v>
      </x:c>
      <x:c r="G76" s="53" t="n">
        <x:f>Subsurface_Live_Data!I74</x:f>
        <x:v>4483.792324740323</x:v>
      </x:c>
      <x:c r="H76" s="53" t="n">
        <x:f>Subsurface_Live_Data!K74</x:f>
        <x:v>14748.893722340972</x:v>
      </x:c>
      <x:c r="I76" s="54" t="n">
        <x:f>Subsurface_Live_Data!M74/COS(RADIANS(D76))</x:f>
        <x:v>12.779721675834471</x:v>
      </x:c>
      <x:c r="J76" s="54" t="n">
        <x:f>Subsurface_Live_Data!N74/COS(RADIANS(D76))</x:f>
        <x:v>53.68652534556146</x:v>
      </x:c>
      <x:c r="K76" s="54" t="n">
        <x:f>Subsurface_Live_Data!O74/COS(RADIANS(D76))</x:f>
        <x:v>176.59534592501646</x:v>
      </x:c>
      <x:c r="L76" s="53" t="n">
        <x:f>Inputs!$C$21*K76/(2*Inputs!$C$12*1000000)</x:f>
        <x:v>14871.335063545217</x:v>
      </x:c>
      <x:c r="M76" s="53" t="n">
        <x:f>L76*COS(RADIANS(D76))</x:f>
        <x:v>14748.893722340974</x:v>
      </x:c>
      <x:c r="N76" s="54" t="n">
        <x:f>L76-H76</x:f>
        <x:v>122.44134120424496</x:v>
      </x:c>
      <x:c r="O76" s="55" t="n">
        <x:f>M76-H76</x:f>
        <x:v>1.8189894035458565e-12</x:v>
      </x:c>
      <x:c r="P76" s="54" t="n">
        <x:f>N76-O76</x:f>
        <x:v>122.44134120424314</x:v>
      </x:c>
      <x:c r="Q76" s="53" t="n">
        <x:f>Inputs!$C$21*J76/(2*Inputs!$C$12*1000000)</x:f>
        <x:v>4521.015560344149</x:v>
      </x:c>
      <x:c r="R76" s="53" t="n">
        <x:f>Q76*COS(RADIANS(D76))</x:f>
        <x:v>4483.792324740322</x:v>
      </x:c>
      <x:c r="S76" s="53" t="n">
        <x:f>Inputs!$C$21*I76/(2*Inputs!$C$12*1000000)*COS(RADIANS(D76))</x:f>
        <x:v>1067.3370569913693</x:v>
      </x:c>
    </x:row>
    <x:row r="77">
      <x:c r="A77" s="53" t="n">
        <x:f>Subsurface_Live_Data!A75</x:f>
        <x:v>-23.5</x:v>
      </x:c>
      <x:c r="B77" s="54" t="n">
        <x:f>Model_Data!P75</x:f>
        <x:v>200.64806626696736</x:v>
      </x:c>
      <x:c r="C77" s="54" t="n">
        <x:f>ABS(B77)*Inputs!$C$13/2</x:f>
        <x:v>501.6201656674184</x:v>
      </x:c>
      <x:c r="D77" s="54" t="n">
        <x:f>DEGREES(ASIN(MIN(1,C77/(Inputs!$C$11*1000))))</x:f>
        <x:v>7.204147006081979</x:v>
      </x:c>
      <x:c r="E77" s="54" t="n">
        <x:f>Model_Data!I75</x:f>
        <x:v>4.8952260304560395</x:v>
      </x:c>
      <x:c r="F77" s="53" t="n">
        <x:f>Subsurface_Live_Data!F75</x:f>
        <x:v>1063.6264391684263</x:v>
      </x:c>
      <x:c r="G77" s="53" t="n">
        <x:f>Subsurface_Live_Data!I75</x:f>
        <x:v>4471.110448409133</x:v>
      </x:c>
      <x:c r="H77" s="53" t="n">
        <x:f>Subsurface_Live_Data!K75</x:f>
        <x:v>14764.46311292151</x:v>
      </x:c>
      <x:c r="I77" s="54" t="n">
        <x:f>Subsurface_Live_Data!M75/COS(RADIANS(D77))</x:f>
        <x:v>12.730941026980346</x:v>
      </x:c>
      <x:c r="J77" s="54" t="n">
        <x:f>Subsurface_Live_Data!N75/COS(RADIANS(D77))</x:f>
        <x:v>53.516386343606825</x:v>
      </x:c>
      <x:c r="K77" s="54" t="n">
        <x:f>Subsurface_Live_Data!O75/COS(RADIANS(D77))</x:f>
        <x:v>176.7213584240979</x:v>
      </x:c>
      <x:c r="L77" s="53" t="n">
        <x:f>Inputs!$C$21*K77/(2*Inputs!$C$12*1000000)</x:f>
        <x:v>14881.94674805037</x:v>
      </x:c>
      <x:c r="M77" s="53" t="n">
        <x:f>L77*COS(RADIANS(D77))</x:f>
        <x:v>14764.463112921512</x:v>
      </x:c>
      <x:c r="N77" s="54" t="n">
        <x:f>L77-H77</x:f>
        <x:v>117.48363512885953</x:v>
      </x:c>
      <x:c r="O77" s="55" t="n">
        <x:f>M77-H77</x:f>
        <x:v>1.8189894035458565e-12</x:v>
      </x:c>
      <x:c r="P77" s="54" t="n">
        <x:f>N77-O77</x:f>
        <x:v>117.48363512885771</x:v>
      </x:c>
      <x:c r="Q77" s="53" t="n">
        <x:f>Inputs!$C$21*J77/(2*Inputs!$C$12*1000000)</x:f>
        <x:v>4506.68792281672</x:v>
      </x:c>
      <x:c r="R77" s="53" t="n">
        <x:f>Q77*COS(RADIANS(D77))</x:f>
        <x:v>4471.110448409133</x:v>
      </x:c>
      <x:c r="S77" s="53" t="n">
        <x:f>Inputs!$C$21*I77/(2*Inputs!$C$12*1000000)*COS(RADIANS(D77))</x:f>
        <x:v>1063.6264391684265</x:v>
      </x:c>
    </x:row>
    <x:row r="78">
      <x:c r="A78" s="53" t="n">
        <x:f>Subsurface_Live_Data!A76</x:f>
        <x:v>-23</x:v>
      </x:c>
      <x:c r="B78" s="54" t="n">
        <x:f>Model_Data!P76</x:f>
        <x:v>196.40114070170966</x:v>
      </x:c>
      <x:c r="C78" s="54" t="n">
        <x:f>ABS(B78)*Inputs!$C$13/2</x:f>
        <x:v>491.00285175427416</x:v>
      </x:c>
      <x:c r="D78" s="54" t="n">
        <x:f>DEGREES(ASIN(MIN(1,C78/(Inputs!$C$11*1000))))</x:f>
        <x:v>7.050880771924909</x:v>
      </x:c>
      <x:c r="E78" s="54" t="n">
        <x:f>Model_Data!I76</x:f>
        <x:v>4.847189712205752</x:v>
      </x:c>
      <x:c r="F78" s="53" t="n">
        <x:f>Subsurface_Live_Data!F76</x:f>
        <x:v>1059.6253530699855</x:v>
      </x:c>
      <x:c r="G78" s="53" t="n">
        <x:f>Subsurface_Live_Data!I76</x:f>
        <x:v>4459.584861632389</x:v>
      </x:c>
      <x:c r="H78" s="53" t="n">
        <x:f>Subsurface_Live_Data!K76</x:f>
        <x:v>14780.793521743944</x:v>
      </x:c>
      <x:c r="I78" s="54" t="n">
        <x:f>Subsurface_Live_Data!M76/COS(RADIANS(D78))</x:f>
        <x:v>12.67880884633698</x:v>
      </x:c>
      <x:c r="J78" s="54" t="n">
        <x:f>Subsurface_Live_Data!N76/COS(RADIANS(D78))</x:f>
        <x:v>53.360580539941786</x:v>
      </x:c>
      <x:c r="K78" s="54" t="n">
        <x:f>Subsurface_Live_Data!O76/COS(RADIANS(D78))</x:f>
        <x:v>176.85765550665337</x:v>
      </x:c>
      <x:c r="L78" s="53" t="n">
        <x:f>Inputs!$C$21*K78/(2*Inputs!$C$12*1000000)</x:f>
        <x:v>14893.424511364283</x:v>
      </x:c>
      <x:c r="M78" s="53" t="n">
        <x:f>L78*COS(RADIANS(D78))</x:f>
        <x:v>14780.793521743943</x:v>
      </x:c>
      <x:c r="N78" s="54" t="n">
        <x:f>L78-H78</x:f>
        <x:v>112.63098962033837</x:v>
      </x:c>
      <x:c r="O78" s="55" t="n">
        <x:f>M78-H78</x:f>
        <x:v>-1.8189894035458565e-12</x:v>
      </x:c>
      <x:c r="P78" s="54" t="n">
        <x:f>N78-O78</x:f>
        <x:v>112.63098962034019</x:v>
      </x:c>
      <x:c r="Q78" s="53" t="n">
        <x:f>Inputs!$C$21*J78/(2*Inputs!$C$12*1000000)</x:f>
        <x:v>4493.567303476437</x:v>
      </x:c>
      <x:c r="R78" s="53" t="n">
        <x:f>Q78*COS(RADIANS(D78))</x:f>
        <x:v>4459.584861632389</x:v>
      </x:c>
      <x:c r="S78" s="53" t="n">
        <x:f>Inputs!$C$21*I78/(2*Inputs!$C$12*1000000)*COS(RADIANS(D78))</x:f>
        <x:v>1059.6253530699853</x:v>
      </x:c>
    </x:row>
    <x:row r="79">
      <x:c r="A79" s="53" t="n">
        <x:f>Subsurface_Live_Data!A77</x:f>
        <x:v>-22.5</x:v>
      </x:c>
      <x:c r="B79" s="54" t="n">
        <x:f>Model_Data!P77</x:f>
        <x:v>192.15279373456724</x:v>
      </x:c>
      <x:c r="C79" s="54" t="n">
        <x:f>ABS(B79)*Inputs!$C$13/2</x:f>
        <x:v>480.3819843364181</x:v>
      </x:c>
      <x:c r="D79" s="54" t="n">
        <x:f>DEGREES(ASIN(MIN(1,C79/(Inputs!$C$11*1000))))</x:f>
        <x:v>6.897613959573505</x:v>
      </x:c>
      <x:c r="E79" s="54" t="n">
        <x:f>Model_Data!I77</x:f>
        <x:v>4.799699905357918</x:v>
      </x:c>
      <x:c r="F79" s="53" t="n">
        <x:f>Subsurface_Live_Data!F77</x:f>
        <x:v>1055.4003997163388</x:v>
      </x:c>
      <x:c r="G79" s="53" t="n">
        <x:f>Subsurface_Live_Data!I77</x:f>
        <x:v>4449.227358155205</x:v>
      </x:c>
      <x:c r="H79" s="53" t="n">
        <x:f>Subsurface_Live_Data!K77</x:f>
        <x:v>14797.700652613988</x:v>
      </x:c>
      <x:c r="I79" s="54" t="n">
        <x:f>Subsurface_Live_Data!M77/COS(RADIANS(D79))</x:f>
        <x:v>12.62412405295725</x:v>
      </x:c>
      <x:c r="J79" s="54" t="n">
        <x:f>Subsurface_Live_Data!N77/COS(RADIANS(D79))</x:f>
        <x:v>53.219231416113544</x:v>
      </x:c>
      <x:c r="K79" s="54" t="n">
        <x:f>Subsurface_Live_Data!O77/COS(RADIANS(D79))</x:f>
        <x:v>177.0020257594502</x:v>
      </x:c>
      <x:c r="L79" s="53" t="n">
        <x:f>Inputs!$C$21*K79/(2*Inputs!$C$12*1000000)</x:f>
        <x:v>14905.582127360925</x:v>
      </x:c>
      <x:c r="M79" s="53" t="n">
        <x:f>L79*COS(RADIANS(D79))</x:f>
        <x:v>14797.700652613988</x:v>
      </x:c>
      <x:c r="N79" s="54" t="n">
        <x:f>L79-H79</x:f>
        <x:v>107.88147474693687</x:v>
      </x:c>
      <x:c r="O79" s="55" t="n">
        <x:f>M79-H79</x:f>
        <x:v>0</x:v>
      </x:c>
      <x:c r="P79" s="54" t="n">
        <x:f>N79-O79</x:f>
        <x:v>107.88147474693687</x:v>
      </x:c>
      <x:c r="Q79" s="53" t="n">
        <x:f>Inputs!$C$21*J79/(2*Inputs!$C$12*1000000)</x:f>
        <x:v>4481.664100872893</x:v>
      </x:c>
      <x:c r="R79" s="53" t="n">
        <x:f>Q79*COS(RADIANS(D79))</x:f>
        <x:v>4449.227358155205</x:v>
      </x:c>
      <x:c r="S79" s="53" t="n">
        <x:f>Inputs!$C$21*I79/(2*Inputs!$C$12*1000000)*COS(RADIANS(D79))</x:f>
        <x:v>1055.4003997163388</x:v>
      </x:c>
    </x:row>
    <x:row r="80">
      <x:c r="A80" s="53" t="n">
        <x:f>Subsurface_Live_Data!A78</x:f>
        <x:v>-22</x:v>
      </x:c>
      <x:c r="B80" s="54" t="n">
        <x:f>Model_Data!P78</x:f>
        <x:v>187.90305521988557</x:v>
      </x:c>
      <x:c r="C80" s="54" t="n">
        <x:f>ABS(B80)*Inputs!$C$13/2</x:f>
        <x:v>469.75763804971393</x:v>
      </x:c>
      <x:c r="D80" s="54" t="n">
        <x:f>DEGREES(ASIN(MIN(1,C80/(Inputs!$C$11*1000))))</x:f>
        <x:v>6.744346549926389</x:v>
      </x:c>
      <x:c r="E80" s="54" t="n">
        <x:f>Model_Data!I78</x:f>
        <x:v>4.752774375241167</x:v>
      </x:c>
      <x:c r="F80" s="53" t="n">
        <x:f>Subsurface_Live_Data!F78</x:f>
        <x:v>1051.833816935632</x:v>
      </x:c>
      <x:c r="G80" s="53" t="n">
        <x:f>Subsurface_Live_Data!I78</x:f>
        <x:v>4440.044680785027</x:v>
      </x:c>
      <x:c r="H80" s="53" t="n">
        <x:f>Subsurface_Live_Data!K78</x:f>
        <x:v>14812.199905041163</x:v>
      </x:c>
      <x:c r="I80" s="54" t="n">
        <x:f>Subsurface_Live_Data!M78/COS(RADIANS(D80))</x:f>
        <x:v>12.577437480223765</x:v>
      </x:c>
      <x:c r="J80" s="54" t="n">
        <x:f>Subsurface_Live_Data!N78/COS(RADIANS(D80))</x:f>
        <x:v>53.092402509617365</x:v>
      </x:c>
      <x:c r="K80" s="54" t="n">
        <x:f>Subsurface_Live_Data!O78/COS(RADIANS(D80))</x:f>
        <x:v>177.1187760372534</x:v>
      </x:c>
      <x:c r="L80" s="53" t="n">
        <x:f>Inputs!$C$21*K80/(2*Inputs!$C$12*1000000)</x:f>
        <x:v>14915.41382757295</x:v>
      </x:c>
      <x:c r="M80" s="53" t="n">
        <x:f>L80*COS(RADIANS(D80))</x:f>
        <x:v>14812.199905041163</x:v>
      </x:c>
      <x:c r="N80" s="54" t="n">
        <x:f>L80-H80</x:f>
        <x:v>103.21392253178601</x:v>
      </x:c>
      <x:c r="O80" s="55" t="n">
        <x:f>M80-H80</x:f>
        <x:v>0</x:v>
      </x:c>
      <x:c r="P80" s="54" t="n">
        <x:f>N80-O80</x:f>
        <x:v>103.21392253178601</x:v>
      </x:c>
      <x:c r="Q80" s="53" t="n">
        <x:f>Inputs!$C$21*J80/(2*Inputs!$C$12*1000000)</x:f>
        <x:v>4470.98366558527</x:v>
      </x:c>
      <x:c r="R80" s="53" t="n">
        <x:f>Q80*COS(RADIANS(D80))</x:f>
        <x:v>4440.044680785028</x:v>
      </x:c>
      <x:c r="S80" s="53" t="n">
        <x:f>Inputs!$C$21*I80/(2*Inputs!$C$12*1000000)*COS(RADIANS(D80))</x:f>
        <x:v>1051.833816935632</x:v>
      </x:c>
    </x:row>
    <x:row r="81">
      <x:c r="A81" s="53" t="n">
        <x:f>Subsurface_Live_Data!A79</x:f>
        <x:v>-21.5</x:v>
      </x:c>
      <x:c r="B81" s="54" t="n">
        <x:f>Model_Data!P79</x:f>
        <x:v>183.65195507121825</x:v>
      </x:c>
      <x:c r="C81" s="54" t="n">
        <x:f>ABS(B81)*Inputs!$C$13/2</x:f>
        <x:v>459.12988767804563</x:v>
      </x:c>
      <x:c r="D81" s="54" t="n">
        <x:f>DEGREES(ASIN(MIN(1,C81/(Inputs!$C$11*1000))))</x:f>
        <x:v>6.591078525660939</x:v>
      </x:c>
      <x:c r="E81" s="54" t="n">
        <x:f>Model_Data!I79</x:f>
        <x:v>4.7064313676414065</x:v>
      </x:c>
      <x:c r="F81" s="53" t="n">
        <x:f>Subsurface_Live_Data!F79</x:f>
        <x:v>1047.5006423149634</x:v>
      </x:c>
      <x:c r="G81" s="53" t="n">
        <x:f>Subsurface_Live_Data!I79</x:f>
        <x:v>4432.038626737618</x:v>
      </x:c>
      <x:c r="H81" s="53" t="n">
        <x:f>Subsurface_Live_Data!K79</x:f>
        <x:v>14829.43520052092</x:v>
      </x:c>
      <x:c r="I81" s="54" t="n">
        <x:f>Subsurface_Live_Data!M79/COS(RADIANS(D81))</x:f>
        <x:v>12.521706639237477</x:v>
      </x:c>
      <x:c r="J81" s="54" t="n">
        <x:f>Subsurface_Live_Data!N79/COS(RADIANS(D81))</x:f>
        <x:v>52.98009877600684</x:v>
      </x:c>
      <x:c r="K81" s="54" t="n">
        <x:f>Subsurface_Live_Data!O79/COS(RADIANS(D81))</x:f>
        <x:v>177.269425626444</x:v>
      </x:c>
      <x:c r="L81" s="53" t="n">
        <x:f>Inputs!$C$21*K81/(2*Inputs!$C$12*1000000)</x:f>
        <x:v>14928.100235056134</x:v>
      </x:c>
      <x:c r="M81" s="53" t="n">
        <x:f>L81*COS(RADIANS(D81))</x:f>
        <x:v>14829.43520052092</x:v>
      </x:c>
      <x:c r="N81" s="54" t="n">
        <x:f>L81-H81</x:f>
        <x:v>98.66503453521364</x:v>
      </x:c>
      <x:c r="O81" s="55" t="n">
        <x:f>M81-H81</x:f>
        <x:v>0</x:v>
      </x:c>
      <x:c r="P81" s="54" t="n">
        <x:f>N81-O81</x:f>
        <x:v>98.66503453521364</x:v>
      </x:c>
      <x:c r="Q81" s="53" t="n">
        <x:f>Inputs!$C$21*J81/(2*Inputs!$C$12*1000000)</x:f>
        <x:v>4461.526414927495</x:v>
      </x:c>
      <x:c r="R81" s="53" t="n">
        <x:f>Q81*COS(RADIANS(D81))</x:f>
        <x:v>4432.038626737618</x:v>
      </x:c>
      <x:c r="S81" s="53" t="n">
        <x:f>Inputs!$C$21*I81/(2*Inputs!$C$12*1000000)*COS(RADIANS(D81))</x:f>
        <x:v>1047.5006423149634</x:v>
      </x:c>
    </x:row>
    <x:row r="82">
      <x:c r="A82" s="53" t="n">
        <x:f>Subsurface_Live_Data!A80</x:f>
        <x:v>-21</x:v>
      </x:c>
      <x:c r="B82" s="54" t="n">
        <x:f>Model_Data!P80</x:f>
        <x:v>179.3995232830639</x:v>
      </x:c>
      <x:c r="C82" s="54" t="n">
        <x:f>ABS(B82)*Inputs!$C$13/2</x:f>
        <x:v>448.49880820765975</x:v>
      </x:c>
      <x:c r="D82" s="54" t="n">
        <x:f>DEGREES(ASIN(MIN(1,C82/(Inputs!$C$11*1000))))</x:f>
        <x:v>6.437809872020355</x:v>
      </x:c>
      <x:c r="E82" s="54" t="n">
        <x:f>Model_Data!I80</x:f>
        <x:v>4.660689610438978</x:v>
      </x:c>
      <x:c r="F82" s="53" t="n">
        <x:f>Subsurface_Live_Data!F80</x:f>
        <x:v>1041.8121991926196</x:v>
      </x:c>
      <x:c r="G82" s="53" t="n">
        <x:f>Subsurface_Live_Data!I80</x:f>
        <x:v>4425.206203416996</x:v>
      </x:c>
      <x:c r="H82" s="53" t="n">
        <x:f>Subsurface_Live_Data!K80</x:f>
        <x:v>14851.674432510064</x:v>
      </x:c>
      <x:c r="I82" s="54" t="n">
        <x:f>Subsurface_Live_Data!M80/COS(RADIANS(D82))</x:f>
        <x:v>12.4499040177038</x:v>
      </x:c>
      <x:c r="J82" s="54" t="n">
        <x:f>Subsurface_Live_Data!N80/COS(RADIANS(D82))</x:f>
        <x:v>52.88226854493078</x:v>
      </x:c>
      <x:c r="K82" s="54" t="n">
        <x:f>Subsurface_Live_Data!O80/COS(RADIANS(D82))</x:f>
        <x:v>177.48104824480896</x:v>
      </x:c>
      <x:c r="L82" s="53" t="n">
        <x:f>Inputs!$C$21*K82/(2*Inputs!$C$12*1000000)</x:f>
        <x:v>14945.9212645303</x:v>
      </x:c>
      <x:c r="M82" s="53" t="n">
        <x:f>L82*COS(RADIANS(D82))</x:f>
        <x:v>14851.674432510064</x:v>
      </x:c>
      <x:c r="N82" s="54" t="n">
        <x:f>L82-H82</x:f>
        <x:v>94.24683202023516</x:v>
      </x:c>
      <x:c r="O82" s="55" t="n">
        <x:f>M82-H82</x:f>
        <x:v>0</x:v>
      </x:c>
      <x:c r="P82" s="54" t="n">
        <x:f>N82-O82</x:f>
        <x:v>94.24683202023516</x:v>
      </x:c>
      <x:c r="Q82" s="53" t="n">
        <x:f>Inputs!$C$21*J82/(2*Inputs!$C$12*1000000)</x:f>
        <x:v>4453.287997668787</x:v>
      </x:c>
      <x:c r="R82" s="53" t="n">
        <x:f>Q82*COS(RADIANS(D82))</x:f>
        <x:v>4425.206203416996</x:v>
      </x:c>
      <x:c r="S82" s="53" t="n">
        <x:f>Inputs!$C$21*I82/(2*Inputs!$C$12*1000000)*COS(RADIANS(D82))</x:f>
        <x:v>1041.8121991926196</x:v>
      </x:c>
    </x:row>
    <x:row r="83">
      <x:c r="A83" s="53" t="n">
        <x:f>Subsurface_Live_Data!A81</x:f>
        <x:v>-20.5</x:v>
      </x:c>
      <x:c r="B83" s="54" t="n">
        <x:f>Model_Data!P81</x:f>
        <x:v>175.14578990121663</x:v>
      </x:c>
      <x:c r="C83" s="54" t="n">
        <x:f>ABS(B83)*Inputs!$C$13/2</x:f>
        <x:v>437.8644747530416</x:v>
      </x:c>
      <x:c r="D83" s="54" t="n">
        <x:f>DEGREES(ASIN(MIN(1,C83/(Inputs!$C$11*1000))))</x:f>
        <x:v>6.284540575748266</x:v>
      </x:c>
      <x:c r="E83" s="54" t="n">
        <x:f>Model_Data!I81</x:f>
        <x:v>4.61556831369344</x:v>
      </x:c>
      <x:c r="F83" s="53" t="n">
        <x:f>Subsurface_Live_Data!F81</x:f>
        <x:v>1037.6607893939624</x:v>
      </x:c>
      <x:c r="G83" s="53" t="n">
        <x:f>Subsurface_Live_Data!I81</x:f>
        <x:v>4419.5398315595</x:v>
      </x:c>
      <x:c r="H83" s="53" t="n">
        <x:f>Subsurface_Live_Data!K81</x:f>
        <x:v>14869.049486702861</x:v>
      </x:c>
      <x:c r="I83" s="54" t="n">
        <x:f>Subsurface_Live_Data!M81/COS(RADIANS(D83))</x:f>
        <x:v>12.396596214614236</x:v>
      </x:c>
      <x:c r="J83" s="54" t="n">
        <x:f>Subsurface_Live_Data!N81/COS(RADIANS(D83))</x:f>
        <x:v>52.79880603202265</x:v>
      </x:c>
      <x:c r="K83" s="54" t="n">
        <x:f>Subsurface_Live_Data!O81/COS(RADIANS(D83))</x:f>
        <x:v>177.6357018264382</x:v>
      </x:c>
      <x:c r="L83" s="53" t="n">
        <x:f>Inputs!$C$21*K83/(2*Inputs!$C$12*1000000)</x:f>
        <x:v>14958.944853680618</x:v>
      </x:c>
      <x:c r="M83" s="53" t="n">
        <x:f>L83*COS(RADIANS(D83))</x:f>
        <x:v>14869.049486702861</x:v>
      </x:c>
      <x:c r="N83" s="54" t="n">
        <x:f>L83-H83</x:f>
        <x:v>89.89536697775657</x:v>
      </x:c>
      <x:c r="O83" s="55" t="n">
        <x:f>M83-H83</x:f>
        <x:v>0</x:v>
      </x:c>
      <x:c r="P83" s="54" t="n">
        <x:f>N83-O83</x:f>
        <x:v>89.89536697775657</x:v>
      </x:c>
      <x:c r="Q83" s="53" t="n">
        <x:f>Inputs!$C$21*J83/(2*Inputs!$C$12*1000000)</x:f>
        <x:v>4446.2595055632855</x:v>
      </x:c>
      <x:c r="R83" s="53" t="n">
        <x:f>Q83*COS(RADIANS(D83))</x:f>
        <x:v>4419.5398315595</x:v>
      </x:c>
      <x:c r="S83" s="53" t="n">
        <x:f>Inputs!$C$21*I83/(2*Inputs!$C$12*1000000)*COS(RADIANS(D83))</x:f>
        <x:v>1037.6607893939627</x:v>
      </x:c>
    </x:row>
    <x:row r="84">
      <x:c r="A84" s="53" t="n">
        <x:f>Subsurface_Live_Data!A82</x:f>
        <x:v>-20</x:v>
      </x:c>
      <x:c r="B84" s="54" t="n">
        <x:f>Model_Data!P82</x:f>
        <x:v>170.89078503895507</x:v>
      </x:c>
      <x:c r="C84" s="54" t="n">
        <x:f>ABS(B84)*Inputs!$C$13/2</x:f>
        <x:v>427.2269625973877</x:v>
      </x:c>
      <x:c r="D84" s="54" t="n">
        <x:f>DEGREES(ASIN(MIN(1,C84/(Inputs!$C$11*1000))))</x:f>
        <x:v>6.131270625676377</x:v>
      </x:c>
      <x:c r="E84" s="54" t="n">
        <x:f>Model_Data!I82</x:f>
        <x:v>4.571087167996556</x:v>
      </x:c>
      <x:c r="F84" s="53" t="n">
        <x:f>Subsurface_Live_Data!F82</x:f>
        <x:v>1032.3098306448765</x:v>
      </x:c>
      <x:c r="G84" s="53" t="n">
        <x:f>Subsurface_Live_Data!I82</x:f>
        <x:v>4415.027591902696</x:v>
      </x:c>
      <x:c r="H84" s="53" t="n">
        <x:f>Subsurface_Live_Data!K82</x:f>
        <x:v>14891.436062206292</x:v>
      </x:c>
      <x:c r="I84" s="54" t="n">
        <x:f>Subsurface_Live_Data!M82/COS(RADIANS(D84))</x:f>
        <x:v>12.329082026921176</x:v>
      </x:c>
      <x:c r="J84" s="54" t="n">
        <x:f>Subsurface_Live_Data!N82/COS(RADIANS(D84))</x:f>
        <x:v>52.72955436032666</x:v>
      </x:c>
      <x:c r="K84" s="54" t="n">
        <x:f>Subsurface_Live_Data!O82/COS(RADIANS(D84))</x:f>
        <x:v>177.85138846822883</x:v>
      </x:c>
      <x:c r="L84" s="53" t="n">
        <x:f>Inputs!$C$21*K84/(2*Inputs!$C$12*1000000)</x:f>
        <x:v>14977.108120113253</x:v>
      </x:c>
      <x:c r="M84" s="53" t="n">
        <x:f>L84*COS(RADIANS(D84))</x:f>
        <x:v>14891.43606220629</x:v>
      </x:c>
      <x:c r="N84" s="54" t="n">
        <x:f>L84-H84</x:f>
        <x:v>85.67205790696062</x:v>
      </x:c>
      <x:c r="O84" s="55" t="n">
        <x:f>M84-H84</x:f>
        <x:v>-1.8189894035458565e-12</x:v>
      </x:c>
      <x:c r="P84" s="54" t="n">
        <x:f>N84-O84</x:f>
        <x:v>85.67205790696244</x:v>
      </x:c>
      <x:c r="Q84" s="53" t="n">
        <x:f>Inputs!$C$21*J84/(2*Inputs!$C$12*1000000)</x:f>
        <x:v>4440.4277277884685</x:v>
      </x:c>
      <x:c r="R84" s="53" t="n">
        <x:f>Q84*COS(RADIANS(D84))</x:f>
        <x:v>4415.027591902696</x:v>
      </x:c>
      <x:c r="S84" s="53" t="n">
        <x:f>Inputs!$C$21*I84/(2*Inputs!$C$12*1000000)*COS(RADIANS(D84))</x:f>
        <x:v>1032.3098306448765</x:v>
      </x:c>
    </x:row>
    <x:row r="85">
      <x:c r="A85" s="53" t="n">
        <x:f>Subsurface_Live_Data!A83</x:f>
        <x:v>-19.5</x:v>
      </x:c>
      <x:c r="B85" s="54" t="n">
        <x:f>Model_Data!P83</x:f>
        <x:v>166.6345388791342</x:v>
      </x:c>
      <x:c r="C85" s="54" t="n">
        <x:f>ABS(B85)*Inputs!$C$13/2</x:f>
        <x:v>416.5863471978355</x:v>
      </x:c>
      <x:c r="D85" s="54" t="n">
        <x:f>DEGREES(ASIN(MIN(1,C85/(Inputs!$C$11*1000))))</x:f>
        <x:v>5.978000012803713</x:v>
      </x:c>
      <x:c r="E85" s="54" t="n">
        <x:f>Model_Data!I83</x:f>
        <x:v>4.527266340904271</x:v>
      </x:c>
      <x:c r="F85" s="53" t="n">
        <x:f>Subsurface_Live_Data!F83</x:f>
        <x:v>1028.323386141019</x:v>
      </x:c>
      <x:c r="G85" s="53" t="n">
        <x:f>Subsurface_Live_Data!I83</x:f>
        <x:v>4411.653510855628</x:v>
      </x:c>
      <x:c r="H85" s="53" t="n">
        <x:f>Subsurface_Live_Data!K83</x:f>
        <x:v>14910.194563445193</x:v>
      </x:c>
      <x:c r="I85" s="54" t="n">
        <x:f>Subsurface_Live_Data!M83/COS(RADIANS(D85))</x:f>
        <x:v>12.277986858586486</x:v>
      </x:c>
      <x:c r="J85" s="54" t="n">
        <x:f>Subsurface_Live_Data!N83/COS(RADIANS(D85))</x:f>
        <x:v>52.67430903637376</x:v>
      </x:c>
      <x:c r="K85" s="54" t="n">
        <x:f>Subsurface_Live_Data!O83/COS(RADIANS(D85))</x:f>
        <x:v>178.02490478792132</x:v>
      </x:c>
      <x:c r="L85" s="53" t="n">
        <x:f>Inputs!$C$21*K85/(2*Inputs!$C$12*1000000)</x:f>
        <x:v>14991.720166176096</x:v>
      </x:c>
      <x:c r="M85" s="53" t="n">
        <x:f>L85*COS(RADIANS(D85))</x:f>
        <x:v>14910.194563445193</x:v>
      </x:c>
      <x:c r="N85" s="54" t="n">
        <x:f>L85-H85</x:f>
        <x:v>81.52560273090239</x:v>
      </x:c>
      <x:c r="O85" s="55" t="n">
        <x:f>M85-H85</x:f>
        <x:v>0</x:v>
      </x:c>
      <x:c r="P85" s="54" t="n">
        <x:f>N85-O85</x:f>
        <x:v>81.52560273090239</x:v>
      </x:c>
      <x:c r="Q85" s="53" t="n">
        <x:f>Inputs!$C$21*J85/(2*Inputs!$C$12*1000000)</x:f>
        <x:v>4435.775443670253</x:v>
      </x:c>
      <x:c r="R85" s="53" t="n">
        <x:f>Q85*COS(RADIANS(D85))</x:f>
        <x:v>4411.653510855628</x:v>
      </x:c>
      <x:c r="S85" s="53" t="n">
        <x:f>Inputs!$C$21*I85/(2*Inputs!$C$12*1000000)*COS(RADIANS(D85))</x:f>
        <x:v>1028.323386141019</x:v>
      </x:c>
    </x:row>
    <x:row r="86">
      <x:c r="A86" s="53" t="n">
        <x:f>Subsurface_Live_Data!A84</x:f>
        <x:v>-19</x:v>
      </x:c>
      <x:c r="B86" s="54" t="n">
        <x:f>Model_Data!P84</x:f>
        <x:v>162.37708165526783</x:v>
      </x:c>
      <x:c r="C86" s="54" t="n">
        <x:f>ABS(B86)*Inputs!$C$13/2</x:f>
        <x:v>405.9427041381696</x:v>
      </x:c>
      <x:c r="D86" s="54" t="n">
        <x:f>DEGREES(ASIN(MIN(1,C86/(Inputs!$C$11*1000))))</x:f>
        <x:v>5.824728729619701</x:v>
      </x:c>
      <x:c r="E86" s="54" t="n">
        <x:f>Model_Data!I84</x:f>
        <x:v>4.484126471249511</x:v>
      </x:c>
      <x:c r="F86" s="53" t="n">
        <x:f>Subsurface_Live_Data!F84</x:f>
        <x:v>1023.8458104268644</x:v>
      </x:c>
      <x:c r="G86" s="53" t="n">
        <x:f>Subsurface_Live_Data!I84</x:f>
        <x:v>4409.397880062132</x:v>
      </x:c>
      <x:c r="H86" s="53" t="n">
        <x:f>Subsurface_Live_Data!K84</x:f>
        <x:v>14932.184635308318</x:v>
      </x:c>
      <x:c r="I86" s="54" t="n">
        <x:f>Subsurface_Live_Data!M84/COS(RADIANS(D86))</x:f>
        <x:v>12.22114573839893</x:v>
      </x:c>
      <x:c r="J86" s="54" t="n">
        <x:f>Subsurface_Live_Data!N84/COS(RADIANS(D86))</x:f>
        <x:v>52.63282181948814</x:v>
      </x:c>
      <x:c r="K86" s="54" t="n">
        <x:f>Subsurface_Live_Data!O84/COS(RADIANS(D86))</x:f>
        <x:v>178.23817098465312</x:v>
      </x:c>
      <x:c r="L86" s="53" t="n">
        <x:f>Inputs!$C$21*K86/(2*Inputs!$C$12*1000000)</x:f>
        <x:v>15009.67960362737</x:v>
      </x:c>
      <x:c r="M86" s="53" t="n">
        <x:f>L86*COS(RADIANS(D86))</x:f>
        <x:v>14932.184635308317</x:v>
      </x:c>
      <x:c r="N86" s="54" t="n">
        <x:f>L86-H86</x:f>
        <x:v>77.49496831905162</x:v>
      </x:c>
      <x:c r="O86" s="55" t="n">
        <x:f>M86-H86</x:f>
        <x:v>-1.8189894035458565e-12</x:v>
      </x:c>
      <x:c r="P86" s="54" t="n">
        <x:f>N86-O86</x:f>
        <x:v>77.49496831905344</x:v>
      </x:c>
      <x:c r="Q86" s="53" t="n">
        <x:f>Inputs!$C$21*J86/(2*Inputs!$C$12*1000000)</x:f>
        <x:v>4432.28174852258</x:v>
      </x:c>
      <x:c r="R86" s="53" t="n">
        <x:f>Q86*COS(RADIANS(D86))</x:f>
        <x:v>4409.397880062132</x:v>
      </x:c>
      <x:c r="S86" s="53" t="n">
        <x:f>Inputs!$C$21*I86/(2*Inputs!$C$12*1000000)*COS(RADIANS(D86))</x:f>
        <x:v>1023.8458104268644</x:v>
      </x:c>
    </x:row>
    <x:row r="87">
      <x:c r="A87" s="53" t="n">
        <x:f>Subsurface_Live_Data!A85</x:f>
        <x:v>-18.5</x:v>
      </x:c>
      <x:c r="B87" s="54" t="n">
        <x:f>Model_Data!P85</x:f>
        <x:v>158.1184436692638</x:v>
      </x:c>
      <x:c r="C87" s="54" t="n">
        <x:f>ABS(B87)*Inputs!$C$13/2</x:f>
        <x:v>395.2961091731595</x:v>
      </x:c>
      <x:c r="D87" s="54" t="n">
        <x:f>DEGREES(ASIN(MIN(1,C87/(Inputs!$C$11*1000))))</x:f>
        <x:v>5.671456770747564</x:v>
      </x:c>
      <x:c r="E87" s="54" t="n">
        <x:f>Model_Data!I85</x:f>
        <x:v>4.441688661129496</x:v>
      </x:c>
      <x:c r="F87" s="53" t="n">
        <x:f>Subsurface_Live_Data!F85</x:f>
        <x:v>1019.2115825935768</x:v>
      </x:c>
      <x:c r="G87" s="53" t="n">
        <x:f>Subsurface_Live_Data!I85</x:f>
        <x:v>4408.237604274964</x:v>
      </x:c>
      <x:c r="H87" s="53" t="n">
        <x:f>Subsurface_Live_Data!K85</x:f>
        <x:v>14956.623219107312</x:v>
      </x:c>
      <x:c r="I87" s="54" t="n">
        <x:f>Subsurface_Live_Data!M85/COS(RADIANS(D87))</x:f>
        <x:v>12.162553674554806</x:v>
      </x:c>
      <x:c r="J87" s="54" t="n">
        <x:f>Subsurface_Live_Data!N85/COS(RADIANS(D87))</x:f>
        <x:v>52.60480491768995</x:v>
      </x:c>
      <x:c r="K87" s="54" t="n">
        <x:f>Subsurface_Live_Data!O85/COS(RADIANS(D87))</x:f>
        <x:v>178.4818145704144</x:v>
      </x:c>
      <x:c r="L87" s="53" t="n">
        <x:f>Inputs!$C$21*K87/(2*Inputs!$C$12*1000000)</x:f>
        <x:v>15030.197162462007</x:v>
      </x:c>
      <x:c r="M87" s="53" t="n">
        <x:f>L87*COS(RADIANS(D87))</x:f>
        <x:v>14956.62321910731</x:v>
      </x:c>
      <x:c r="N87" s="54" t="n">
        <x:f>L87-H87</x:f>
        <x:v>73.57394335469507</x:v>
      </x:c>
      <x:c r="O87" s="55" t="n">
        <x:f>M87-H87</x:f>
        <x:v>-1.8189894035458565e-12</x:v>
      </x:c>
      <x:c r="P87" s="54" t="n">
        <x:f>N87-O87</x:f>
        <x:v>73.5739433546969</x:v>
      </x:c>
      <x:c r="Q87" s="53" t="n">
        <x:f>Inputs!$C$21*J87/(2*Inputs!$C$12*1000000)</x:f>
        <x:v>4429.9224069901</x:v>
      </x:c>
      <x:c r="R87" s="53" t="n">
        <x:f>Q87*COS(RADIANS(D87))</x:f>
        <x:v>4408.237604274964</x:v>
      </x:c>
      <x:c r="S87" s="53" t="n">
        <x:f>Inputs!$C$21*I87/(2*Inputs!$C$12*1000000)*COS(RADIANS(D87))</x:f>
        <x:v>1019.2115825935766</x:v>
      </x:c>
    </x:row>
    <x:row r="88">
      <x:c r="A88" s="53" t="n">
        <x:f>Subsurface_Live_Data!A86</x:f>
        <x:v>-18</x:v>
      </x:c>
      <x:c r="B88" s="54" t="n">
        <x:f>Model_Data!P86</x:f>
        <x:v>153.85865527787246</x:v>
      </x:c>
      <x:c r="C88" s="54" t="n">
        <x:f>ABS(B88)*Inputs!$C$13/2</x:f>
        <x:v>384.64663819468115</x:v>
      </x:c>
      <x:c r="D88" s="54" t="n">
        <x:f>DEGREES(ASIN(MIN(1,C88/(Inputs!$C$11*1000))))</x:f>
        <x:v>5.51818413246129</x:v>
      </x:c>
      <x:c r="E88" s="54" t="n">
        <x:f>Model_Data!I86</x:f>
        <x:v>4.3999744653546005</x:v>
      </x:c>
      <x:c r="F88" s="53" t="n">
        <x:f>Subsurface_Live_Data!F86</x:f>
        <x:v>1016.3313604829789</x:v>
      </x:c>
      <x:c r="G88" s="53" t="n">
        <x:f>Subsurface_Live_Data!I86</x:f>
        <x:v>4408.14657160396</x:v>
      </x:c>
      <x:c r="H88" s="53" t="n">
        <x:f>Subsurface_Live_Data!K86</x:f>
        <x:v>14977.225154246555</x:v>
      </x:c>
      <x:c r="I88" s="54" t="n">
        <x:f>Subsurface_Live_Data!M86/COS(RADIANS(D88))</x:f>
        <x:v>12.125005320113582</x:v>
      </x:c>
      <x:c r="J88" s="54" t="n">
        <x:f>Subsurface_Live_Data!N86/COS(RADIANS(D88))</x:f>
        <x:v>52.58993543910584</x:v>
      </x:c>
      <x:c r="K88" s="54" t="n">
        <x:f>Subsurface_Live_Data!O86/COS(RADIANS(D88))</x:f>
        <x:v>178.68083357132596</x:v>
      </x:c>
      <x:c r="L88" s="53" t="n">
        <x:f>Inputs!$C$21*K88/(2*Inputs!$C$12*1000000)</x:f>
        <x:v>15046.956824111441</x:v>
      </x:c>
      <x:c r="M88" s="53" t="n">
        <x:f>L88*COS(RADIANS(D88))</x:f>
        <x:v>14977.225154246556</x:v>
      </x:c>
      <x:c r="N88" s="54" t="n">
        <x:f>L88-H88</x:f>
        <x:v>69.7316698648865</x:v>
      </x:c>
      <x:c r="O88" s="55" t="n">
        <x:f>M88-H88</x:f>
        <x:v>1.8189894035458565e-12</x:v>
      </x:c>
      <x:c r="P88" s="54" t="n">
        <x:f>N88-O88</x:f>
        <x:v>69.73166986488468</x:v>
      </x:c>
      <x:c r="Q88" s="53" t="n">
        <x:f>Inputs!$C$21*J88/(2*Inputs!$C$12*1000000)</x:f>
        <x:v>4428.670227907542</x:v>
      </x:c>
      <x:c r="R88" s="53" t="n">
        <x:f>Q88*COS(RADIANS(D88))</x:f>
        <x:v>4408.14657160396</x:v>
      </x:c>
      <x:c r="S88" s="53" t="n">
        <x:f>Inputs!$C$21*I88/(2*Inputs!$C$12*1000000)*COS(RADIANS(D88))</x:f>
        <x:v>1016.3313604829789</x:v>
      </x:c>
    </x:row>
    <x:row r="89">
      <x:c r="A89" s="53" t="n">
        <x:f>Subsurface_Live_Data!A87</x:f>
        <x:v>-17.5</x:v>
      </x:c>
      <x:c r="B89" s="54" t="n">
        <x:f>Model_Data!P87</x:f>
        <x:v>149.59774689641563</x:v>
      </x:c>
      <x:c r="C89" s="54" t="n">
        <x:f>ABS(B89)*Inputs!$C$13/2</x:f>
        <x:v>373.9943672410391</x:v>
      </x:c>
      <x:c r="D89" s="54" t="n">
        <x:f>DEGREES(ASIN(MIN(1,C89/(Inputs!$C$11*1000))))</x:f>
        <x:v>5.364910812825088</x:v>
      </x:c>
      <x:c r="E89" s="54" t="n">
        <x:f>Model_Data!I87</x:f>
        <x:v>4.359005878140658</x:v>
      </x:c>
      <x:c r="F89" s="53" t="n">
        <x:f>Subsurface_Live_Data!F87</x:f>
        <x:v>1013.2052820771048</x:v>
      </x:c>
      <x:c r="G89" s="53" t="n">
        <x:f>Subsurface_Live_Data!I87</x:f>
        <x:v>4409.096039971746</x:v>
      </x:c>
      <x:c r="H89" s="53" t="n">
        <x:f>Subsurface_Live_Data!K87</x:f>
        <x:v>15001.397890806353</x:v>
      </x:c>
      <x:c r="I89" s="54" t="n">
        <x:f>Subsurface_Live_Data!M87/COS(RADIANS(D89))</x:f>
        <x:v>12.084630742471493</x:v>
      </x:c>
      <x:c r="J89" s="54" t="n">
        <x:f>Subsurface_Live_Data!N87/COS(RADIANS(D89))</x:f>
        <x:v>52.587860025681444</x:v>
      </x:c>
      <x:c r="K89" s="54" t="n">
        <x:f>Subsurface_Live_Data!O87/COS(RADIANS(D89))</x:f>
        <x:v>178.9236172946536</x:v>
      </x:c>
      <x:c r="L89" s="53" t="n">
        <x:f>Inputs!$C$21*K89/(2*Inputs!$C$12*1000000)</x:f>
        <x:v>15067.401972757169</x:v>
      </x:c>
      <x:c r="M89" s="53" t="n">
        <x:f>L89*COS(RADIANS(D89))</x:f>
        <x:v>15001.397890806355</x:v>
      </x:c>
      <x:c r="N89" s="54" t="n">
        <x:f>L89-H89</x:f>
        <x:v>66.00408195081582</x:v>
      </x:c>
      <x:c r="O89" s="55" t="n">
        <x:f>M89-H89</x:f>
        <x:v>1.8189894035458565e-12</x:v>
      </x:c>
      <x:c r="P89" s="54" t="n">
        <x:f>N89-O89</x:f>
        <x:v>66.004081950814</x:v>
      </x:c>
      <x:c r="Q89" s="53" t="n">
        <x:f>Inputs!$C$21*J89/(2*Inputs!$C$12*1000000)</x:f>
        <x:v>4428.49545451095</x:v>
      </x:c>
      <x:c r="R89" s="53" t="n">
        <x:f>Q89*COS(RADIANS(D89))</x:f>
        <x:v>4409.096039971746</x:v>
      </x:c>
      <x:c r="S89" s="53" t="n">
        <x:f>Inputs!$C$21*I89/(2*Inputs!$C$12*1000000)*COS(RADIANS(D89))</x:f>
        <x:v>1013.2052820771049</x:v>
      </x:c>
    </x:row>
    <x:row r="90">
      <x:c r="A90" s="53" t="n">
        <x:f>Subsurface_Live_Data!A88</x:f>
        <x:v>-17</x:v>
      </x:c>
      <x:c r="B90" s="54" t="n">
        <x:f>Model_Data!P88</x:f>
        <x:v>145.33574898605366</x:v>
      </x:c>
      <x:c r="C90" s="54" t="n">
        <x:f>ABS(B90)*Inputs!$C$13/2</x:f>
        <x:v>363.33937246513415</x:v>
      </x:c>
      <x:c r="D90" s="54" t="n">
        <x:f>DEGREES(ASIN(MIN(1,C90/(Inputs!$C$11*1000))))</x:f>
        <x:v>5.2116368112408855</x:v>
      </x:c>
      <x:c r="E90" s="54" t="n">
        <x:f>Model_Data!I88</x:f>
        <x:v>4.3188053168235525</x:v>
      </x:c>
      <x:c r="F90" s="53" t="n">
        <x:f>Subsurface_Live_Data!F88</x:f>
        <x:v>1009.979232008099</x:v>
      </x:c>
      <x:c r="G90" s="53" t="n">
        <x:f>Subsurface_Live_Data!I88</x:f>
        <x:v>4411.055033508008</x:v>
      </x:c>
      <x:c r="H90" s="53" t="n">
        <x:f>Subsurface_Live_Data!K88</x:f>
        <x:v>15029.035468184995</x:v>
      </x:c>
      <x:c r="I90" s="54" t="n">
        <x:f>Subsurface_Live_Data!M88/COS(RADIANS(D90))</x:f>
        <x:v>12.043170812447785</x:v>
      </x:c>
      <x:c r="J90" s="54" t="n">
        <x:f>Subsurface_Live_Data!N88/COS(RADIANS(D90))</x:f>
        <x:v>52.59819959468091</x:v>
      </x:c>
      <x:c r="K90" s="54" t="n">
        <x:f>Subsurface_Live_Data!O88/COS(RADIANS(D90))</x:f>
        <x:v>179.20887435459332</x:v>
      </x:c>
      <x:c r="L90" s="53" t="n">
        <x:f>Inputs!$C$21*K90/(2*Inputs!$C$12*1000000)</x:f>
        <x:v>15091.423859038397</x:v>
      </x:c>
      <x:c r="M90" s="53" t="n">
        <x:f>L90*COS(RADIANS(D90))</x:f>
        <x:v>15029.035468184993</x:v>
      </x:c>
      <x:c r="N90" s="54" t="n">
        <x:f>L90-H90</x:f>
        <x:v>62.3883908534026</x:v>
      </x:c>
      <x:c r="O90" s="55" t="n">
        <x:f>M90-H90</x:f>
        <x:v>-1.8189894035458565e-12</x:v>
      </x:c>
      <x:c r="P90" s="54" t="n">
        <x:f>N90-O90</x:f>
        <x:v>62.38839085340442</x:v>
      </x:c>
      <x:c r="Q90" s="53" t="n">
        <x:f>Inputs!$C$21*J90/(2*Inputs!$C$12*1000000)</x:f>
        <x:v>4429.366163725841</x:v>
      </x:c>
      <x:c r="R90" s="53" t="n">
        <x:f>Q90*COS(RADIANS(D90))</x:f>
        <x:v>4411.055033508008</x:v>
      </x:c>
      <x:c r="S90" s="53" t="n">
        <x:f>Inputs!$C$21*I90/(2*Inputs!$C$12*1000000)*COS(RADIANS(D90))</x:f>
        <x:v>1009.979232008099</x:v>
      </x:c>
    </x:row>
    <x:row r="91">
      <x:c r="A91" s="53" t="n">
        <x:f>Subsurface_Live_Data!A89</x:f>
        <x:v>-16.5</x:v>
      </x:c>
      <x:c r="B91" s="54" t="n">
        <x:f>Model_Data!P89</x:f>
        <x:v>141.07269207324862</x:v>
      </x:c>
      <x:c r="C91" s="54" t="n">
        <x:f>ABS(B91)*Inputs!$C$13/2</x:f>
        <x:v>352.68173018312154</x:v>
      </x:c>
      <x:c r="D91" s="54" t="n">
        <x:f>DEGREES(ASIN(MIN(1,C91/(Inputs!$C$11*1000))))</x:f>
        <x:v>5.058362129154109</x:v>
      </x:c>
      <x:c r="E91" s="54" t="n">
        <x:f>Model_Data!I89</x:f>
        <x:v>4.2793956023743185</x:v>
      </x:c>
      <x:c r="F91" s="53" t="n">
        <x:f>Subsurface_Live_Data!F89</x:f>
        <x:v>1008.4630768777304</x:v>
      </x:c>
      <x:c r="G91" s="53" t="n">
        <x:f>Subsurface_Live_Data!I89</x:f>
        <x:v>4413.9907426368945</x:v>
      </x:c>
      <x:c r="H91" s="53" t="n">
        <x:f>Subsurface_Live_Data!K89</x:f>
        <x:v>15054.19542273615</x:v>
      </x:c>
      <x:c r="I91" s="54" t="n">
        <x:f>Subsurface_Live_Data!M89/COS(RADIANS(D91))</x:f>
        <x:v>12.022201450585912</x:v>
      </x:c>
      <x:c r="J91" s="54" t="n">
        <x:f>Subsurface_Live_Data!N89/COS(RADIANS(D91))</x:f>
        <x:v>52.62055411418495</x:v>
      </x:c>
      <x:c r="K91" s="54" t="n">
        <x:f>Subsurface_Live_Data!O89/COS(RADIANS(D91))</x:f>
        <x:v>179.46573771343492</x:v>
      </x:c>
      <x:c r="L91" s="53" t="n">
        <x:f>Inputs!$C$21*K91/(2*Inputs!$C$12*1000000)</x:f>
        <x:v>15113.054673003919</x:v>
      </x:c>
      <x:c r="M91" s="53" t="n">
        <x:f>L91*COS(RADIANS(D91))</x:f>
        <x:v>15054.195422736148</x:v>
      </x:c>
      <x:c r="N91" s="54" t="n">
        <x:f>L91-H91</x:f>
        <x:v>58.85925026776931</x:v>
      </x:c>
      <x:c r="O91" s="55" t="n">
        <x:f>M91-H91</x:f>
        <x:v>-1.8189894035458565e-12</x:v>
      </x:c>
      <x:c r="P91" s="54" t="n">
        <x:f>N91-O91</x:f>
        <x:v>58.85925026777113</x:v>
      </x:c>
      <x:c r="Q91" s="53" t="n">
        <x:f>Inputs!$C$21*J91/(2*Inputs!$C$12*1000000)</x:f>
        <x:v>4431.248668318404</x:v>
      </x:c>
      <x:c r="R91" s="53" t="n">
        <x:f>Q91*COS(RADIANS(D91))</x:f>
        <x:v>4413.990742636895</x:v>
      </x:c>
      <x:c r="S91" s="53" t="n">
        <x:f>Inputs!$C$21*I91/(2*Inputs!$C$12*1000000)*COS(RADIANS(D91))</x:f>
        <x:v>1008.4630768777304</x:v>
      </x:c>
    </x:row>
    <x:row r="92">
      <x:c r="A92" s="53" t="n">
        <x:f>Subsurface_Live_Data!A90</x:f>
        <x:v>-16</x:v>
      </x:c>
      <x:c r="B92" s="54" t="n">
        <x:f>Model_Data!P90</x:f>
        <x:v>136.80860673657662</x:v>
      </x:c>
      <x:c r="C92" s="54" t="n">
        <x:f>ABS(B92)*Inputs!$C$13/2</x:f>
        <x:v>342.02151684144155</x:v>
      </x:c>
      <x:c r="D92" s="54" t="n">
        <x:f>DEGREES(ASIN(MIN(1,C92/(Inputs!$C$11*1000))))</x:f>
        <x:v>4.905086769585109</x:v>
      </x:c>
      <x:c r="E92" s="54" t="n">
        <x:f>Model_Data!I90</x:f>
        <x:v>4.240799936495226</x:v>
      </x:c>
      <x:c r="F92" s="53" t="n">
        <x:f>Subsurface_Live_Data!F90</x:f>
        <x:v>1008.7289279861761</x:v>
      </x:c>
      <x:c r="G92" s="53" t="n">
        <x:f>Subsurface_Live_Data!I90</x:f>
        <x:v>4417.868921757957</x:v>
      </x:c>
      <x:c r="H92" s="53" t="n">
        <x:f>Subsurface_Live_Data!K90</x:f>
        <x:v>15076.99559977411</x:v>
      </x:c>
      <x:c r="I92" s="54" t="n">
        <x:f>Subsurface_Live_Data!M90/COS(RADIANS(D92))</x:f>
        <x:v>12.0225669171568</x:v>
      </x:c>
      <x:c r="J92" s="54" t="n">
        <x:f>Subsurface_Live_Data!N90/COS(RADIANS(D92))</x:f>
        <x:v>52.654507340340984</x:v>
      </x:c>
      <x:c r="K92" s="54" t="n">
        <x:f>Subsurface_Live_Data!O90/COS(RADIANS(D92))</x:f>
        <x:v>179.6956382224888</x:v>
      </x:c>
      <x:c r="L92" s="53" t="n">
        <x:f>Inputs!$C$21*K92/(2*Inputs!$C$12*1000000)</x:f>
        <x:v>15132.414908595132</x:v>
      </x:c>
      <x:c r="M92" s="53" t="n">
        <x:f>L92*COS(RADIANS(D92))</x:f>
        <x:v>15076.99559977411</x:v>
      </x:c>
      <x:c r="N92" s="54" t="n">
        <x:f>L92-H92</x:f>
        <x:v>55.41930882102133</x:v>
      </x:c>
      <x:c r="O92" s="55" t="n">
        <x:f>M92-H92</x:f>
        <x:v>0</x:v>
      </x:c>
      <x:c r="P92" s="54" t="n">
        <x:f>N92-O92</x:f>
        <x:v>55.41930882102133</x:v>
      </x:c>
      <x:c r="Q92" s="53" t="n">
        <x:f>Inputs!$C$21*J92/(2*Inputs!$C$12*1000000)</x:f>
        <x:v>4434.107915825805</x:v>
      </x:c>
      <x:c r="R92" s="53" t="n">
        <x:f>Q92*COS(RADIANS(D92))</x:f>
        <x:v>4417.868921757958</x:v>
      </x:c>
      <x:c r="S92" s="53" t="n">
        <x:f>Inputs!$C$21*I92/(2*Inputs!$C$12*1000000)*COS(RADIANS(D92))</x:f>
        <x:v>1008.7289279861761</x:v>
      </x:c>
    </x:row>
    <x:row r="93">
      <x:c r="A93" s="53" t="n">
        <x:f>Subsurface_Live_Data!A91</x:f>
        <x:v>-15.5</x:v>
      </x:c>
      <x:c r="B93" s="54" t="n">
        <x:f>Model_Data!P91</x:f>
        <x:v>132.5435235945406</x:v>
      </x:c>
      <x:c r="C93" s="54" t="n">
        <x:f>ABS(B93)*Inputs!$C$13/2</x:f>
        <x:v>331.3588089863515</x:v>
      </x:c>
      <x:c r="D93" s="54" t="n">
        <x:f>DEGREES(ASIN(MIN(1,C93/(Inputs!$C$11*1000))))</x:f>
        <x:v>4.751810736697388</x:v>
      </x:c>
      <x:c r="E93" s="54" t="n">
        <x:f>Model_Data!I91</x:f>
        <x:v>4.203041875082947</x:v>
      </x:c>
      <x:c r="F93" s="53" t="n">
        <x:f>Subsurface_Live_Data!F91</x:f>
        <x:v>1008.6978894988346</x:v>
      </x:c>
      <x:c r="G93" s="53" t="n">
        <x:f>Subsurface_Live_Data!I91</x:f>
        <x:v>4422.654278682052</x:v>
      </x:c>
      <x:c r="H93" s="53" t="n">
        <x:f>Subsurface_Live_Data!K91</x:f>
        <x:v>15105.051448537502</x:v>
      </x:c>
      <x:c r="I93" s="54" t="n">
        <x:f>Subsurface_Live_Data!M91/COS(RADIANS(D93))</x:f>
        <x:v>12.019480535676317</x:v>
      </x:c>
      <x:c r="J93" s="54" t="n">
        <x:f>Subsurface_Live_Data!N91/COS(RADIANS(D93))</x:f>
        <x:v>52.699631447683245</x:v>
      </x:c>
      <x:c r="K93" s="54" t="n">
        <x:f>Subsurface_Live_Data!O91/COS(RADIANS(D93))</x:f>
        <x:v>179.9893444471172</x:v>
      </x:c>
      <x:c r="L93" s="53" t="n">
        <x:f>Inputs!$C$21*K93/(2*Inputs!$C$12*1000000)</x:f>
        <x:v>15157.148310564584</x:v>
      </x:c>
      <x:c r="M93" s="53" t="n">
        <x:f>L93*COS(RADIANS(D93))</x:f>
        <x:v>15105.051448537504</x:v>
      </x:c>
      <x:c r="N93" s="54" t="n">
        <x:f>L93-H93</x:f>
        <x:v>52.09686202708144</x:v>
      </x:c>
      <x:c r="O93" s="55" t="n">
        <x:f>M93-H93</x:f>
        <x:v>1.8189894035458565e-12</x:v>
      </x:c>
      <x:c r="P93" s="54" t="n">
        <x:f>N93-O93</x:f>
        <x:v>52.096862027079624</x:v>
      </x:c>
      <x:c r="Q93" s="53" t="n">
        <x:f>Inputs!$C$21*J93/(2*Inputs!$C$12*1000000)</x:f>
        <x:v>4437.9078784817575</x:v>
      </x:c>
      <x:c r="R93" s="53" t="n">
        <x:f>Q93*COS(RADIANS(D93))</x:f>
        <x:v>4422.654278682051</x:v>
      </x:c>
      <x:c r="S93" s="53" t="n">
        <x:f>Inputs!$C$21*I93/(2*Inputs!$C$12*1000000)*COS(RADIANS(D93))</x:f>
        <x:v>1008.6978894988346</x:v>
      </x:c>
    </x:row>
    <x:row r="94">
      <x:c r="A94" s="53" t="n">
        <x:f>Subsurface_Live_Data!A92</x:f>
        <x:v>-15</x:v>
      </x:c>
      <x:c r="B94" s="54" t="n">
        <x:f>Model_Data!P92</x:f>
        <x:v>128.2774733243059</x:v>
      </x:c>
      <x:c r="C94" s="54" t="n">
        <x:f>ABS(B94)*Inputs!$C$13/2</x:f>
        <x:v>320.69368331076475</x:v>
      </x:c>
      <x:c r="D94" s="54" t="n">
        <x:f>DEGREES(ASIN(MIN(1,C94/(Inputs!$C$11*1000))))</x:f>
        <x:v>4.598534036477488</x:v>
      </x:c>
      <x:c r="E94" s="54" t="n">
        <x:f>Model_Data!I92</x:f>
        <x:v>4.1661452978543005</x:v>
      </x:c>
      <x:c r="F94" s="53" t="n">
        <x:f>Subsurface_Live_Data!F92</x:f>
        <x:v>1010.6196695489465</x:v>
      </x:c>
      <x:c r="G94" s="53" t="n">
        <x:f>Subsurface_Live_Data!I92</x:f>
        <x:v>4428.310850350436</x:v>
      </x:c>
      <x:c r="H94" s="53" t="n">
        <x:f>Subsurface_Live_Data!K92</x:f>
        <x:v>15130.78865834882</x:v>
      </x:c>
      <x:c r="I94" s="54" t="n">
        <x:f>Subsurface_Live_Data!M92/COS(RADIANS(D94))</x:f>
        <x:v>12.039745893305687</x:v>
      </x:c>
      <x:c r="J94" s="54" t="n">
        <x:f>Subsurface_Live_Data!N92/COS(RADIANS(D94))</x:f>
        <x:v>52.755491488289785</x:v>
      </x:c>
      <x:c r="K94" s="54" t="n">
        <x:f>Subsurface_Live_Data!O92/COS(RADIANS(D94))</x:f>
        <x:v>180.25658524253424</x:v>
      </x:c>
      <x:c r="L94" s="53" t="n">
        <x:f>Inputs!$C$21*K94/(2*Inputs!$C$12*1000000)</x:f>
        <x:v>15179.653022625243</x:v>
      </x:c>
      <x:c r="M94" s="53" t="n">
        <x:f>L94*COS(RADIANS(D94))</x:f>
        <x:v>15130.788658348818</x:v>
      </x:c>
      <x:c r="N94" s="54" t="n">
        <x:f>L94-H94</x:f>
        <x:v>48.86436427642366</x:v>
      </x:c>
      <x:c r="O94" s="55" t="n">
        <x:f>M94-H94</x:f>
        <x:v>-1.8189894035458565e-12</x:v>
      </x:c>
      <x:c r="P94" s="54" t="n">
        <x:f>N94-O94</x:f>
        <x:v>48.864364276425476</x:v>
      </x:c>
      <x:c r="Q94" s="53" t="n">
        <x:f>Inputs!$C$21*J94/(2*Inputs!$C$12*1000000)</x:f>
        <x:v>4442.611928728223</x:v>
      </x:c>
      <x:c r="R94" s="53" t="n">
        <x:f>Q94*COS(RADIANS(D94))</x:f>
        <x:v>4428.310850350436</x:v>
      </x:c>
      <x:c r="S94" s="53" t="n">
        <x:f>Inputs!$C$21*I94/(2*Inputs!$C$12*1000000)*COS(RADIANS(D94))</x:f>
        <x:v>1010.6196695489464</x:v>
      </x:c>
    </x:row>
    <x:row r="95">
      <x:c r="A95" s="53" t="n">
        <x:f>Subsurface_Live_Data!A93</x:f>
        <x:v>-14.5</x:v>
      </x:c>
      <x:c r="B95" s="54" t="n">
        <x:f>Model_Data!P93</x:f>
        <x:v>124.0104866564252</x:v>
      </x:c>
      <x:c r="C95" s="54" t="n">
        <x:f>ABS(B95)*Inputs!$C$13/2</x:f>
        <x:v>310.026216641063</x:v>
      </x:c>
      <x:c r="D95" s="54" t="n">
        <x:f>DEGREES(ASIN(MIN(1,C95/(Inputs!$C$11*1000))))</x:f>
        <x:v>4.445256676551721</x:v>
      </x:c>
      <x:c r="E95" s="54" t="n">
        <x:f>Model_Data!I93</x:f>
        <x:v>4.130134373943814</x:v>
      </x:c>
      <x:c r="F95" s="53" t="n">
        <x:f>Subsurface_Live_Data!F93</x:f>
        <x:v>1013.683909927708</x:v>
      </x:c>
      <x:c r="G95" s="53" t="n">
        <x:f>Subsurface_Live_Data!I93</x:f>
        <x:v>4434.802359825959</x:v>
      </x:c>
      <x:c r="H95" s="53" t="n">
        <x:f>Subsurface_Live_Data!K93</x:f>
        <x:v>15157.295315059795</x:v>
      </x:c>
      <x:c r="I95" s="54" t="n">
        <x:f>Subsurface_Live_Data!M93/COS(RADIANS(D95))</x:f>
        <x:v>12.073696181271494</x:v>
      </x:c>
      <x:c r="J95" s="54" t="n">
        <x:f>Subsurface_Live_Data!N93/COS(RADIANS(D95))</x:f>
        <x:v>52.82164962087942</x:v>
      </x:c>
      <x:c r="K95" s="54" t="n">
        <x:f>Subsurface_Live_Data!O93/COS(RADIANS(D95))</x:f>
        <x:v>180.53416530690805</x:v>
      </x:c>
      <x:c r="L95" s="53" t="n">
        <x:f>Inputs!$C$21*K95/(2*Inputs!$C$12*1000000)</x:f>
        <x:v>15203.028418633789</x:v>
      </x:c>
      <x:c r="M95" s="53" t="n">
        <x:f>L95*COS(RADIANS(D95))</x:f>
        <x:v>15157.295315059795</x:v>
      </x:c>
      <x:c r="N95" s="54" t="n">
        <x:f>L95-H95</x:f>
        <x:v>45.7331035739935</x:v>
      </x:c>
      <x:c r="O95" s="55" t="n">
        <x:f>M95-H95</x:f>
        <x:v>0</x:v>
      </x:c>
      <x:c r="P95" s="54" t="n">
        <x:f>N95-O95</x:f>
        <x:v>45.7331035739935</x:v>
      </x:c>
      <x:c r="Q95" s="53" t="n">
        <x:f>Inputs!$C$21*J95/(2*Inputs!$C$12*1000000)</x:f>
        <x:v>4448.18319535343</x:v>
      </x:c>
      <x:c r="R95" s="53" t="n">
        <x:f>Q95*COS(RADIANS(D95))</x:f>
        <x:v>4434.80235982596</x:v>
      </x:c>
      <x:c r="S95" s="53" t="n">
        <x:f>Inputs!$C$21*I95/(2*Inputs!$C$12*1000000)*COS(RADIANS(D95))</x:f>
        <x:v>1013.6839099277081</x:v>
      </x:c>
    </x:row>
    <x:row r="96">
      <x:c r="A96" s="53" t="n">
        <x:f>Subsurface_Live_Data!A94</x:f>
        <x:v>-14</x:v>
      </x:c>
      <x:c r="B96" s="54" t="n">
        <x:f>Model_Data!P94</x:f>
        <x:v>119.7425943531016</x:v>
      </x:c>
      <x:c r="C96" s="54" t="n">
        <x:f>ABS(B96)*Inputs!$C$13/2</x:f>
        <x:v>299.356485882754</x:v>
      </x:c>
      <x:c r="D96" s="54" t="n">
        <x:f>DEGREES(ASIN(MIN(1,C96/(Inputs!$C$11*1000))))</x:f>
        <x:v>4.291978665412178</x:v>
      </x:c>
      <x:c r="E96" s="54" t="n">
        <x:f>Model_Data!I94</x:f>
        <x:v>4.095033523300829</x:v>
      </x:c>
      <x:c r="F96" s="53" t="n">
        <x:f>Subsurface_Live_Data!F94</x:f>
        <x:v>1017.5473342998755</x:v>
      </x:c>
      <x:c r="G96" s="53" t="n">
        <x:f>Subsurface_Live_Data!I94</x:f>
        <x:v>4442.0925500861795</x:v>
      </x:c>
      <x:c r="H96" s="53" t="n">
        <x:f>Subsurface_Live_Data!K94</x:f>
        <x:v>15185.969392963387</x:v>
      </x:c>
      <x:c r="I96" s="54" t="n">
        <x:f>Subsurface_Live_Data!M94/COS(RADIANS(D96))</x:f>
        <x:v>12.117235634643306</x:v>
      </x:c>
      <x:c r="J96" s="54" t="n">
        <x:f>Subsurface_Live_Data!N94/COS(RADIANS(D96))</x:f>
        <x:v>52.89766905764907</x:v>
      </x:c>
      <x:c r="K96" s="54" t="n">
        <x:f>Subsurface_Live_Data!O94/COS(RADIANS(D96))</x:f>
        <x:v>180.83873179386603</x:v>
      </x:c>
      <x:c r="L96" s="53" t="n">
        <x:f>Inputs!$C$21*K96/(2*Inputs!$C$12*1000000)</x:f>
        <x:v>15228.676378114002</x:v>
      </x:c>
      <x:c r="M96" s="53" t="n">
        <x:f>L96*COS(RADIANS(D96))</x:f>
        <x:v>15185.969392963387</x:v>
      </x:c>
      <x:c r="N96" s="54" t="n">
        <x:f>L96-H96</x:f>
        <x:v>42.706985150614855</x:v>
      </x:c>
      <x:c r="O96" s="55" t="n">
        <x:f>M96-H96</x:f>
        <x:v>0</x:v>
      </x:c>
      <x:c r="P96" s="54" t="n">
        <x:f>N96-O96</x:f>
        <x:v>42.706985150614855</x:v>
      </x:c>
      <x:c r="Q96" s="53" t="n">
        <x:f>Inputs!$C$21*J96/(2*Inputs!$C$12*1000000)</x:f>
        <x:v>4454.584895860437</x:v>
      </x:c>
      <x:c r="R96" s="53" t="n">
        <x:f>Q96*COS(RADIANS(D96))</x:f>
        <x:v>4442.09255008618</x:v>
      </x:c>
      <x:c r="S96" s="53" t="n">
        <x:f>Inputs!$C$21*I96/(2*Inputs!$C$12*1000000)*COS(RADIANS(D96))</x:f>
        <x:v>1017.5473342998755</x:v>
      </x:c>
    </x:row>
    <x:row r="97">
      <x:c r="A97" s="53" t="n">
        <x:f>Subsurface_Live_Data!A95</x:f>
        <x:v>-13.5</x:v>
      </x:c>
      <x:c r="B97" s="54" t="n">
        <x:f>Model_Data!P95</x:f>
        <x:v>115.4738272234681</x:v>
      </x:c>
      <x:c r="C97" s="54" t="n">
        <x:f>ABS(B97)*Inputs!$C$13/2</x:f>
        <x:v>288.68456805867027</x:v>
      </x:c>
      <x:c r="D97" s="54" t="n">
        <x:f>DEGREES(ASIN(MIN(1,C97/(Inputs!$C$11*1000))))</x:f>
        <x:v>4.138700012972839</x:v>
      </x:c>
      <x:c r="E97" s="54" t="n">
        <x:f>Model_Data!I95</x:f>
        <x:v>4.060867373737527</x:v>
      </x:c>
      <x:c r="F97" s="53" t="n">
        <x:f>Subsurface_Live_Data!F95</x:f>
        <x:v>1022.8685537598412</x:v>
      </x:c>
      <x:c r="G97" s="53" t="n">
        <x:f>Subsurface_Live_Data!I95</x:f>
        <x:v>4450.145490754214</x:v>
      </x:c>
      <x:c r="H97" s="53" t="n">
        <x:f>Subsurface_Live_Data!K95</x:f>
        <x:v>15214.640299238325</x:v>
      </x:c>
      <x:c r="I97" s="54" t="n">
        <x:f>Subsurface_Live_Data!M95/COS(RADIANS(D97))</x:f>
        <x:v>12.178200706409621</x:v>
      </x:c>
      <x:c r="J97" s="54" t="n">
        <x:f>Subsurface_Live_Data!N95/COS(RADIANS(D97))</x:f>
        <x:v>52.98311768400783</x:v>
      </x:c>
      <x:c r="K97" s="54" t="n">
        <x:f>Subsurface_Live_Data!O95/COS(RADIANS(D97))</x:f>
        <x:v>181.14443205715742</x:v>
      </x:c>
      <x:c r="L97" s="53" t="n">
        <x:f>Inputs!$C$21*K97/(2*Inputs!$C$12*1000000)</x:f>
        <x:v>15254.41981444641</x:v>
      </x:c>
      <x:c r="M97" s="53" t="n">
        <x:f>L97*COS(RADIANS(D97))</x:f>
        <x:v>15214.640299238323</x:v>
      </x:c>
      <x:c r="N97" s="54" t="n">
        <x:f>L97-H97</x:f>
        <x:v>39.779515208085286</x:v>
      </x:c>
      <x:c r="O97" s="55" t="n">
        <x:f>M97-H97</x:f>
        <x:v>-1.8189894035458565e-12</x:v>
      </x:c>
      <x:c r="P97" s="54" t="n">
        <x:f>N97-O97</x:f>
        <x:v>39.779515208087105</x:v>
      </x:c>
      <x:c r="Q97" s="53" t="n">
        <x:f>Inputs!$C$21*J97/(2*Inputs!$C$12*1000000)</x:f>
        <x:v>4461.78064128988</x:v>
      </x:c>
      <x:c r="R97" s="53" t="n">
        <x:f>Q97*COS(RADIANS(D97))</x:f>
        <x:v>4450.145490754213</x:v>
      </x:c>
      <x:c r="S97" s="53" t="n">
        <x:f>Inputs!$C$21*I97/(2*Inputs!$C$12*1000000)*COS(RADIANS(D97))</x:f>
        <x:v>1022.8685537598413</x:v>
      </x:c>
    </x:row>
    <x:row r="98">
      <x:c r="A98" s="53" t="n">
        <x:f>Subsurface_Live_Data!A96</x:f>
        <x:v>-13</x:v>
      </x:c>
      <x:c r="B98" s="54" t="n">
        <x:f>Model_Data!P96</x:f>
        <x:v>111.20421613486542</x:v>
      </x:c>
      <x:c r="C98" s="54" t="n">
        <x:f>ABS(B98)*Inputs!$C$13/2</x:f>
        <x:v>278.01054033716355</x:v>
      </x:c>
      <x:c r="D98" s="54" t="n">
        <x:f>DEGREES(ASIN(MIN(1,C98/(Inputs!$C$11*1000))))</x:f>
        <x:v>3.9854207309815037</x:v>
      </x:c>
      <x:c r="E98" s="54" t="n">
        <x:f>Model_Data!I96</x:f>
        <x:v>4.027660713508556</x:v>
      </x:c>
      <x:c r="F98" s="53" t="n">
        <x:f>Subsurface_Live_Data!F96</x:f>
        <x:v>1030.2442188006125</x:v>
      </x:c>
      <x:c r="G98" s="53" t="n">
        <x:f>Subsurface_Live_Data!I96</x:f>
        <x:v>4458.92585455797</x:v>
      </x:c>
      <x:c r="H98" s="53" t="n">
        <x:f>Subsurface_Live_Data!K96</x:f>
        <x:v>15241.286697126148</x:v>
      </x:c>
      <x:c r="I98" s="54" t="n">
        <x:f>Subsurface_Live_Data!M96/COS(RADIANS(D98))</x:f>
        <x:v>12.263684747805852</x:v>
      </x:c>
      <x:c r="J98" s="54" t="n">
        <x:f>Subsurface_Live_Data!N96/COS(RADIANS(D98))</x:f>
        <x:v>53.07757131391654</x:v>
      </x:c>
      <x:c r="K98" s="54" t="n">
        <x:f>Subsurface_Live_Data!O96/COS(RADIANS(D98))</x:f>
        <x:v>181.42721094041536</x:v>
      </x:c>
      <x:c r="L98" s="53" t="n">
        <x:f>Inputs!$C$21*K98/(2*Inputs!$C$12*1000000)</x:f>
        <x:v>15278.233010087532</x:v>
      </x:c>
      <x:c r="M98" s="53" t="n">
        <x:f>L98*COS(RADIANS(D98))</x:f>
        <x:v>15241.286697126146</x:v>
      </x:c>
      <x:c r="N98" s="54" t="n">
        <x:f>L98-H98</x:f>
        <x:v>36.94631296138323</x:v>
      </x:c>
      <x:c r="O98" s="55" t="n">
        <x:f>M98-H98</x:f>
        <x:v>-1.8189894035458565e-12</x:v>
      </x:c>
      <x:c r="P98" s="54" t="n">
        <x:f>N98-O98</x:f>
        <x:v>36.94631296138505</x:v>
      </x:c>
      <x:c r="Q98" s="53" t="n">
        <x:f>Inputs!$C$21*J98/(2*Inputs!$C$12*1000000)</x:f>
        <x:v>4469.7347103565535</x:v>
      </x:c>
      <x:c r="R98" s="53" t="n">
        <x:f>Q98*COS(RADIANS(D98))</x:f>
        <x:v>4458.92585455797</x:v>
      </x:c>
      <x:c r="S98" s="53" t="n">
        <x:f>Inputs!$C$21*I98/(2*Inputs!$C$12*1000000)*COS(RADIANS(D98))</x:f>
        <x:v>1030.2442188006125</x:v>
      </x:c>
    </x:row>
    <x:row r="99">
      <x:c r="A99" s="53" t="n">
        <x:f>Subsurface_Live_Data!A97</x:f>
        <x:v>-12.5</x:v>
      </x:c>
      <x:c r="B99" s="54" t="n">
        <x:f>Model_Data!P97</x:f>
        <x:v>106.9337919834652</x:v>
      </x:c>
      <x:c r="C99" s="54" t="n">
        <x:f>ABS(B99)*Inputs!$C$13/2</x:f>
        <x:v>267.334479958663</x:v>
      </x:c>
      <x:c r="D99" s="54" t="n">
        <x:f>DEGREES(ASIN(MIN(1,C99/(Inputs!$C$11*1000))))</x:f>
        <x:v>3.8321408319723322</x:v>
      </x:c>
      <x:c r="E99" s="54" t="n">
        <x:f>Model_Data!I97</x:f>
        <x:v>3.9954384393380815</x:v>
      </x:c>
      <x:c r="F99" s="53" t="n">
        <x:f>Subsurface_Live_Data!F97</x:f>
        <x:v>1039.1080488222817</x:v>
      </x:c>
      <x:c r="G99" s="53" t="n">
        <x:f>Subsurface_Live_Data!I97</x:f>
        <x:v>4468.399160995559</x:v>
      </x:c>
      <x:c r="H99" s="53" t="n">
        <x:f>Subsurface_Live_Data!K97</x:f>
        <x:v>15267.885369240817</x:v>
      </x:c>
      <x:c r="I99" s="54" t="n">
        <x:f>Subsurface_Live_Data!M97/COS(RADIANS(D99))</x:f>
        <x:v>12.366936056791001</x:v>
      </x:c>
      <x:c r="J99" s="54" t="n">
        <x:f>Subsurface_Live_Data!N97/COS(RADIANS(D99))</x:f>
        <x:v>53.18061655174591</x:v>
      </x:c>
      <x:c r="K99" s="54" t="n">
        <x:f>Subsurface_Live_Data!O97/COS(RADIANS(D99))</x:f>
        <x:v>181.7106145004073</x:v>
      </x:c>
      <x:c r="L99" s="53" t="n">
        <x:f>Inputs!$C$21*K99/(2*Inputs!$C$12*1000000)</x:f>
        <x:v>15302.098810608863</x:v>
      </x:c>
      <x:c r="M99" s="53" t="n">
        <x:f>L99*COS(RADIANS(D99))</x:f>
        <x:v>15267.88536924082</x:v>
      </x:c>
      <x:c r="N99" s="54" t="n">
        <x:f>L99-H99</x:f>
        <x:v>34.213441368045096</x:v>
      </x:c>
      <x:c r="O99" s="55" t="n">
        <x:f>M99-H99</x:f>
        <x:v>1.8189894035458565e-12</x:v>
      </x:c>
      <x:c r="P99" s="54" t="n">
        <x:f>N99-O99</x:f>
        <x:v>34.21344136804328</x:v>
      </x:c>
      <x:c r="Q99" s="53" t="n">
        <x:f>Inputs!$C$21*J99/(2*Inputs!$C$12*1000000)</x:f>
        <x:v>4478.412290450391</x:v>
      </x:c>
      <x:c r="R99" s="53" t="n">
        <x:f>Q99*COS(RADIANS(D99))</x:f>
        <x:v>4468.399160995559</x:v>
      </x:c>
      <x:c r="S99" s="53" t="n">
        <x:f>Inputs!$C$21*I99/(2*Inputs!$C$12*1000000)*COS(RADIANS(D99))</x:f>
        <x:v>1039.108048822282</x:v>
      </x:c>
    </x:row>
    <x:row r="100">
      <x:c r="A100" s="53" t="n">
        <x:f>Subsurface_Live_Data!A98</x:f>
        <x:v>-12</x:v>
      </x:c>
      <x:c r="B100" s="54" t="n">
        <x:f>Model_Data!P98</x:f>
        <x:v>102.66258570945865</x:v>
      </x:c>
      <x:c r="C100" s="54" t="n">
        <x:f>ABS(B100)*Inputs!$C$13/2</x:f>
        <x:v>256.65646427364663</x:v>
      </x:c>
      <x:c r="D100" s="54" t="n">
        <x:f>DEGREES(ASIN(MIN(1,C100/(Inputs!$C$11*1000))))</x:f>
        <x:v>3.678860329818849</x:v>
      </x:c>
      <x:c r="E100" s="54" t="n">
        <x:f>Model_Data!I98</x:f>
        <x:v>3.964225499851384</x:v>
      </x:c>
      <x:c r="F100" s="53" t="n">
        <x:f>Subsurface_Live_Data!F98</x:f>
        <x:v>1048.3006086212238</x:v>
      </x:c>
      <x:c r="G100" s="53" t="n">
        <x:f>Subsurface_Live_Data!I98</x:f>
        <x:v>4478.531985387254</x:v>
      </x:c>
      <x:c r="H100" s="53" t="n">
        <x:f>Subsurface_Live_Data!K98</x:f>
        <x:v>15298.413678377061</x:v>
      </x:c>
      <x:c r="I100" s="54" t="n">
        <x:f>Subsurface_Live_Data!M98/COS(RADIANS(D100))</x:f>
        <x:v>12.474150540515739</x:v>
      </x:c>
      <x:c r="J100" s="54" t="n">
        <x:f>Subsurface_Live_Data!N98/COS(RADIANS(D100))</x:f>
        <x:v>53.29185324018173</x:v>
      </x:c>
      <x:c r="K100" s="54" t="n">
        <x:f>Subsurface_Live_Data!O98/COS(RADIANS(D100))</x:f>
        <x:v>182.0419769727652</x:v>
      </x:c>
      <x:c r="L100" s="53" t="n">
        <x:f>Inputs!$C$21*K100/(2*Inputs!$C$12*1000000)</x:f>
        <x:v>15330.003296585584</x:v>
      </x:c>
      <x:c r="M100" s="53" t="n">
        <x:f>L100*COS(RADIANS(D100))</x:f>
        <x:v>15298.41367837706</x:v>
      </x:c>
      <x:c r="N100" s="54" t="n">
        <x:f>L100-H100</x:f>
        <x:v>31.58961820852346</x:v>
      </x:c>
      <x:c r="O100" s="55" t="n">
        <x:f>M100-H100</x:f>
        <x:v>-1.8189894035458565e-12</x:v>
      </x:c>
      <x:c r="P100" s="54" t="n">
        <x:f>N100-O100</x:f>
        <x:v>31.58961820852528</x:v>
      </x:c>
      <x:c r="Q100" s="53" t="n">
        <x:f>Inputs!$C$21*J100/(2*Inputs!$C$12*1000000)</x:f>
        <x:v>4487.779683777906</x:v>
      </x:c>
      <x:c r="R100" s="53" t="n">
        <x:f>Q100*COS(RADIANS(D100))</x:f>
        <x:v>4478.531985387254</x:v>
      </x:c>
      <x:c r="S100" s="53" t="n">
        <x:f>Inputs!$C$21*I100/(2*Inputs!$C$12*1000000)*COS(RADIANS(D100))</x:f>
        <x:v>1048.3006086212238</x:v>
      </x:c>
    </x:row>
    <x:row r="101">
      <x:c r="A101" s="53" t="n">
        <x:f>Subsurface_Live_Data!A99</x:f>
        <x:v>-11.5</x:v>
      </x:c>
      <x:c r="B101" s="54" t="n">
        <x:f>Model_Data!P99</x:f>
        <x:v>98.39062828850729</x:v>
      </x:c>
      <x:c r="C101" s="54" t="n">
        <x:f>ABS(B101)*Inputs!$C$13/2</x:f>
        <x:v>245.97657072126822</x:v>
      </x:c>
      <x:c r="D101" s="54" t="n">
        <x:f>DEGREES(ASIN(MIN(1,C101/(Inputs!$C$11*1000))))</x:f>
        <x:v>3.525579239434834</x:v>
      </x:c>
      <x:c r="E101" s="54" t="n">
        <x:f>Model_Data!I99</x:f>
        <x:v>3.934046834415676</x:v>
      </x:c>
      <x:c r="F101" s="53" t="n">
        <x:f>Subsurface_Live_Data!F99</x:f>
        <x:v>1060.1360035426478</x:v>
      </x:c>
      <x:c r="G101" s="53" t="n">
        <x:f>Subsurface_Live_Data!I99</x:f>
        <x:v>4489.292132196133</x:v>
      </x:c>
      <x:c r="H101" s="53" t="n">
        <x:f>Subsurface_Live_Data!K99</x:f>
        <x:v>15324.614103451211</x:v>
      </x:c>
      <x:c r="I101" s="54" t="n">
        <x:f>Subsurface_Live_Data!M99/COS(RADIANS(D101))</x:f>
        <x:v>12.612860262663517</x:v>
      </x:c>
      <x:c r="J101" s="54" t="n">
        <x:f>Subsurface_Live_Data!N99/COS(RADIANS(D101))</x:f>
        <x:v>53.41089648162932</x:v>
      </x:c>
      <x:c r="K101" s="54" t="n">
        <x:f>Subsurface_Live_Data!O99/COS(RADIANS(D101))</x:f>
        <x:v>182.32303744063623</x:v>
      </x:c>
      <x:c r="L101" s="53" t="n">
        <x:f>Inputs!$C$21*K101/(2*Inputs!$C$12*1000000)</x:f>
        <x:v>15353.671782122012</x:v>
      </x:c>
      <x:c r="M101" s="53" t="n">
        <x:f>L101*COS(RADIANS(D101))</x:f>
        <x:v>15324.614103451207</x:v>
      </x:c>
      <x:c r="N101" s="54" t="n">
        <x:f>L101-H101</x:f>
        <x:v>29.05767867080067</x:v>
      </x:c>
      <x:c r="O101" s="55" t="n">
        <x:f>M101-H101</x:f>
        <x:v>-3.637978807091713e-12</x:v>
      </x:c>
      <x:c r="P101" s="54" t="n">
        <x:f>N101-O101</x:f>
        <x:v>29.057678670804307</x:v>
      </x:c>
      <x:c r="Q101" s="53" t="n">
        <x:f>Inputs!$C$21*J101/(2*Inputs!$C$12*1000000)</x:f>
        <x:v>4497.804477587418</x:v>
      </x:c>
      <x:c r="R101" s="53" t="n">
        <x:f>Q101*COS(RADIANS(D101))</x:f>
        <x:v>4489.292132196134</x:v>
      </x:c>
      <x:c r="S101" s="53" t="n">
        <x:f>Inputs!$C$21*I101/(2*Inputs!$C$12*1000000)*COS(RADIANS(D101))</x:f>
        <x:v>1060.1360035426478</x:v>
      </x:c>
    </x:row>
    <x:row r="102">
      <x:c r="A102" s="53" t="n">
        <x:f>Subsurface_Live_Data!A100</x:f>
        <x:v>-11</x:v>
      </x:c>
      <x:c r="B102" s="54" t="n">
        <x:f>Model_Data!P100</x:f>
        <x:v>94.1179507391098</x:v>
      </x:c>
      <x:c r="C102" s="54" t="n">
        <x:f>ABS(B102)*Inputs!$C$13/2</x:f>
        <x:v>235.2948768477745</x:v>
      </x:c>
      <x:c r="D102" s="54" t="n">
        <x:f>DEGREES(ASIN(MIN(1,C102/(Inputs!$C$11*1000))))</x:f>
        <x:v>3.372297577046574</x:v>
      </x:c>
      <x:c r="E102" s="54" t="n">
        <x:f>Model_Data!I100</x:f>
        <x:v>3.904927307448456</x:v>
      </x:c>
      <x:c r="F102" s="53" t="n">
        <x:f>Subsurface_Live_Data!F100</x:f>
        <x:v>1072.5966479376732</x:v>
      </x:c>
      <x:c r="G102" s="53" t="n">
        <x:f>Subsurface_Live_Data!I100</x:f>
        <x:v>4500.648772184944</x:v>
      </x:c>
      <x:c r="H102" s="53" t="n">
        <x:f>Subsurface_Live_Data!K100</x:f>
        <x:v>15353.311864414836</x:v>
      </x:c>
      <x:c r="I102" s="54" t="n">
        <x:f>Subsurface_Live_Data!M100/COS(RADIANS(D102))</x:f>
        <x:v>12.759052157680015</x:v>
      </x:c>
      <x:c r="J102" s="54" t="n">
        <x:f>Subsurface_Live_Data!N100/COS(RADIANS(D102))</x:f>
        <x:v>53.537378228915586</x:v>
      </x:c>
      <x:c r="K102" s="54" t="n">
        <x:f>Subsurface_Live_Data!O100/COS(RADIANS(D102))</x:f>
        <x:v>182.63501685172088</x:v>
      </x:c>
      <x:c r="L102" s="53" t="n">
        <x:f>Inputs!$C$21*K102/(2*Inputs!$C$12*1000000)</x:f>
        <x:v>15379.943994058658</x:v>
      </x:c>
      <x:c r="M102" s="53" t="n">
        <x:f>L102*COS(RADIANS(D102))</x:f>
        <x:v>15353.311864414836</x:v>
      </x:c>
      <x:c r="N102" s="54" t="n">
        <x:f>L102-H102</x:f>
        <x:v>26.632129643821827</x:v>
      </x:c>
      <x:c r="O102" s="55" t="n">
        <x:f>M102-H102</x:f>
        <x:v>0</x:v>
      </x:c>
      <x:c r="P102" s="54" t="n">
        <x:f>N102-O102</x:f>
        <x:v>26.632129643821827</x:v>
      </x:c>
      <x:c r="Q102" s="53" t="n">
        <x:f>Inputs!$C$21*J102/(2*Inputs!$C$12*1000000)</x:f>
        <x:v>4508.455678124239</x:v>
      </x:c>
      <x:c r="R102" s="53" t="n">
        <x:f>Q102*COS(RADIANS(D102))</x:f>
        <x:v>4500.648772184944</x:v>
      </x:c>
      <x:c r="S102" s="53" t="n">
        <x:f>Inputs!$C$21*I102/(2*Inputs!$C$12*1000000)*COS(RADIANS(D102))</x:f>
        <x:v>1072.5966479376734</x:v>
      </x:c>
    </x:row>
    <x:row r="103">
      <x:c r="A103" s="53" t="n">
        <x:f>Subsurface_Live_Data!A101</x:f>
        <x:v>-10.5</x:v>
      </x:c>
      <x:c r="B103" s="54" t="n">
        <x:f>Model_Data!P101</x:f>
        <x:v>89.8445841135981</x:v>
      </x:c>
      <x:c r="C103" s="54" t="n">
        <x:f>ABS(B103)*Inputs!$C$13/2</x:f>
        <x:v>224.61146028399526</x:v>
      </x:c>
      <x:c r="D103" s="54" t="n">
        <x:f>DEGREES(ASIN(MIN(1,C103/(Inputs!$C$11*1000))))</x:f>
        <x:v>3.219015359877823</x:v>
      </x:c>
      <x:c r="E103" s="54" t="n">
        <x:f>Model_Data!I101</x:f>
        <x:v>3.8768916383114713</x:v>
      </x:c>
      <x:c r="F103" s="53" t="n">
        <x:f>Subsurface_Live_Data!F101</x:f>
        <x:v>1086.4551303799874</x:v>
      </x:c>
      <x:c r="G103" s="53" t="n">
        <x:f>Subsurface_Live_Data!I101</x:f>
        <x:v>4512.572543631352</x:v>
      </x:c>
      <x:c r="H103" s="53" t="n">
        <x:f>Subsurface_Live_Data!K101</x:f>
        <x:v>15381.489084576646</x:v>
      </x:c>
      <x:c r="I103" s="54" t="n">
        <x:f>Subsurface_Live_Data!M101/COS(RADIANS(D103))</x:f>
        <x:v>12.921914657453856</x:v>
      </x:c>
      <x:c r="J103" s="54" t="n">
        <x:f>Subsurface_Live_Data!N101/COS(RADIANS(D103))</x:f>
        <x:v>53.670948448629936</x:v>
      </x:c>
      <x:c r="K103" s="54" t="n">
        <x:f>Subsurface_Live_Data!O101/COS(RADIANS(D103))</x:f>
        <x:v>182.9420136162842</x:v>
      </x:c>
      <x:c r="L103" s="53" t="n">
        <x:f>Inputs!$C$21*K103/(2*Inputs!$C$12*1000000)</x:f>
        <x:v>15405.796610532392</x:v>
      </x:c>
      <x:c r="M103" s="53" t="n">
        <x:f>L103*COS(RADIANS(D103))</x:f>
        <x:v>15381.489084576648</x:v>
      </x:c>
      <x:c r="N103" s="54" t="n">
        <x:f>L103-H103</x:f>
        <x:v>24.307525955746314</x:v>
      </x:c>
      <x:c r="O103" s="55" t="n">
        <x:f>M103-H103</x:f>
        <x:v>1.8189894035458565e-12</x:v>
      </x:c>
      <x:c r="P103" s="54" t="n">
        <x:f>N103-O103</x:f>
        <x:v>24.307525955744495</x:v>
      </x:c>
      <x:c r="Q103" s="53" t="n">
        <x:f>Inputs!$C$21*J103/(2*Inputs!$C$12*1000000)</x:f>
        <x:v>4519.703808597206</x:v>
      </x:c>
      <x:c r="R103" s="53" t="n">
        <x:f>Q103*COS(RADIANS(D103))</x:f>
        <x:v>4512.572543631352</x:v>
      </x:c>
      <x:c r="S103" s="53" t="n">
        <x:f>Inputs!$C$21*I103/(2*Inputs!$C$12*1000000)*COS(RADIANS(D103))</x:f>
        <x:v>1086.4551303799872</x:v>
      </x:c>
    </x:row>
    <x:row r="104">
      <x:c r="A104" s="53" t="n">
        <x:f>Subsurface_Live_Data!A102</x:f>
        <x:v>-10</x:v>
      </x:c>
      <x:c r="B104" s="54" t="n">
        <x:f>Model_Data!P102</x:f>
        <x:v>85.5705594970459</x:v>
      </x:c>
      <x:c r="C104" s="54" t="n">
        <x:f>ABS(B104)*Inputs!$C$13/2</x:f>
        <x:v>213.92639874261477</x:v>
      </x:c>
      <x:c r="D104" s="54" t="n">
        <x:f>DEGREES(ASIN(MIN(1,C104/(Inputs!$C$11*1000))))</x:f>
        <x:v>3.0657326061189285</x:v>
      </x:c>
      <x:c r="E104" s="54" t="n">
        <x:f>Model_Data!I102</x:f>
        <x:v>3.8499643269735215</x:v>
      </x:c>
      <x:c r="F104" s="53" t="n">
        <x:f>Subsurface_Live_Data!F102</x:f>
        <x:v>1101.2108186217388</x:v>
      </x:c>
      <x:c r="G104" s="53" t="n">
        <x:f>Subsurface_Live_Data!I102</x:f>
        <x:v>4525.035618434776</x:v>
      </x:c>
      <x:c r="H104" s="53" t="n">
        <x:f>Subsurface_Live_Data!K102</x:f>
        <x:v>15410.508745213148</x:v>
      </x:c>
      <x:c r="I104" s="54" t="n">
        <x:f>Subsurface_Live_Data!M102/COS(RADIANS(D104))</x:f>
        <x:v>13.09549010133495</x:v>
      </x:c>
      <x:c r="J104" s="54" t="n">
        <x:f>Subsurface_Live_Data!N102/COS(RADIANS(D104))</x:f>
        <x:v>53.81127586774589</x:v>
      </x:c>
      <x:c r="K104" s="54" t="n">
        <x:f>Subsurface_Live_Data!O102/COS(RADIANS(D104))</x:f>
        <x:v>183.26024528350976</x:v>
      </x:c>
      <x:c r="L104" s="53" t="n">
        <x:f>Inputs!$C$21*K104/(2*Inputs!$C$12*1000000)</x:f>
        <x:v>15432.595333490532</x:v>
      </x:c>
      <x:c r="M104" s="53" t="n">
        <x:f>L104*COS(RADIANS(D104))</x:f>
        <x:v>15410.508745213147</x:v>
      </x:c>
      <x:c r="N104" s="54" t="n">
        <x:f>L104-H104</x:f>
        <x:v>22.08658827738327</x:v>
      </x:c>
      <x:c r="O104" s="55" t="n">
        <x:f>M104-H104</x:f>
        <x:v>-1.8189894035458565e-12</x:v>
      </x:c>
      <x:c r="P104" s="54" t="n">
        <x:f>N104-O104</x:f>
        <x:v>22.08658827738509</x:v>
      </x:c>
      <x:c r="Q104" s="53" t="n">
        <x:f>Inputs!$C$21*J104/(2*Inputs!$C$12*1000000)</x:f>
        <x:v>4531.520972052704</x:v>
      </x:c>
      <x:c r="R104" s="53" t="n">
        <x:f>Q104*COS(RADIANS(D104))</x:f>
        <x:v>4525.035618434777</x:v>
      </x:c>
      <x:c r="S104" s="53" t="n">
        <x:f>Inputs!$C$21*I104/(2*Inputs!$C$12*1000000)*COS(RADIANS(D104))</x:f>
        <x:v>1101.210818621739</x:v>
      </x:c>
    </x:row>
    <x:row r="105">
      <x:c r="A105" s="53" t="n">
        <x:f>Subsurface_Live_Data!A103</x:f>
        <x:v>-9.5</x:v>
      </x:c>
      <x:c r="B105" s="54" t="n">
        <x:f>Model_Data!P103</x:f>
        <x:v>81.2959080145447</x:v>
      </x:c>
      <x:c r="C105" s="54" t="n">
        <x:f>ABS(B105)*Inputs!$C$13/2</x:f>
        <x:v>203.23977003636173</x:v>
      </x:c>
      <x:c r="D105" s="54" t="n">
        <x:f>DEGREES(ASIN(MIN(1,C105/(Inputs!$C$11*1000))))</x:f>
        <x:v>2.912449335196128</x:v>
      </x:c>
      <x:c r="E105" s="54" t="n">
        <x:f>Model_Data!I103</x:f>
        <x:v>3.8241695756954894</x:v>
      </x:c>
      <x:c r="F105" s="53" t="n">
        <x:f>Subsurface_Live_Data!F103</x:f>
        <x:v>1116.89783097047</x:v>
      </x:c>
      <x:c r="G105" s="53" t="n">
        <x:f>Subsurface_Live_Data!I103</x:f>
        <x:v>4538.011734504316</x:v>
      </x:c>
      <x:c r="H105" s="53" t="n">
        <x:f>Subsurface_Live_Data!K103</x:f>
        <x:v>15439.79021897657</x:v>
      </x:c>
      <x:c r="I105" s="54" t="n">
        <x:f>Subsurface_Live_Data!M103/COS(RADIANS(D105))</x:f>
        <x:v>13.280183185618876</x:v>
      </x:c>
      <x:c r="J105" s="54" t="n">
        <x:f>Subsurface_Live_Data!N103/COS(RADIANS(D105))</x:f>
        <x:v>53.95804832062455</x:v>
      </x:c>
      <x:c r="K105" s="54" t="n">
        <x:f>Subsurface_Live_Data!O103/COS(RADIANS(D105))</x:f>
        <x:v>183.58281014600394</x:v>
      </x:c>
      <x:c r="L105" s="53" t="n">
        <x:f>Inputs!$C$21*K105/(2*Inputs!$C$12*1000000)</x:f>
        <x:v>15459.758960735353</x:v>
      </x:c>
      <x:c r="M105" s="53" t="n">
        <x:f>L105*COS(RADIANS(D105))</x:f>
        <x:v>15439.790218976568</x:v>
      </x:c>
      <x:c r="N105" s="54" t="n">
        <x:f>L105-H105</x:f>
        <x:v>19.968741758782926</x:v>
      </x:c>
      <x:c r="O105" s="55" t="n">
        <x:f>M105-H105</x:f>
        <x:v>-1.8189894035458565e-12</x:v>
      </x:c>
      <x:c r="P105" s="54" t="n">
        <x:f>N105-O105</x:f>
        <x:v>19.968741758784745</x:v>
      </x:c>
      <x:c r="Q105" s="53" t="n">
        <x:f>Inputs!$C$21*J105/(2*Inputs!$C$12*1000000)</x:f>
        <x:v>4543.8808805962935</x:v>
      </x:c>
      <x:c r="R105" s="53" t="n">
        <x:f>Q105*COS(RADIANS(D105))</x:f>
        <x:v>4538.011734504316</x:v>
      </x:c>
      <x:c r="S105" s="53" t="n">
        <x:f>Inputs!$C$21*I105/(2*Inputs!$C$12*1000000)*COS(RADIANS(D105))</x:f>
        <x:v>1116.8978309704698</x:v>
      </x:c>
    </x:row>
    <x:row r="106">
      <x:c r="A106" s="53" t="n">
        <x:f>Subsurface_Live_Data!A104</x:f>
        <x:v>-9</x:v>
      </x:c>
      <x:c r="B106" s="54" t="n">
        <x:f>Model_Data!P104</x:f>
        <x:v>77.0206608074659</x:v>
      </x:c>
      <x:c r="C106" s="54" t="n">
        <x:f>ABS(B106)*Inputs!$C$13/2</x:f>
        <x:v>192.55165201866475</x:v>
      </x:c>
      <x:c r="D106" s="54" t="n">
        <x:f>DEGREES(ASIN(MIN(1,C106/(Inputs!$C$11*1000))))</x:f>
        <x:v>2.7591655669288317</x:v>
      </x:c>
      <x:c r="E106" s="54" t="n">
        <x:f>Model_Data!I104</x:f>
        <x:v>3.79953120706518</x:v>
      </x:c>
      <x:c r="F106" s="53" t="n">
        <x:f>Subsurface_Live_Data!F104</x:f>
        <x:v>1133.9117338896806</x:v>
      </x:c>
      <x:c r="G106" s="53" t="n">
        <x:f>Subsurface_Live_Data!I104</x:f>
        <x:v>4551.476196309719</x:v>
      </x:c>
      <x:c r="H106" s="53" t="n">
        <x:f>Subsurface_Live_Data!K104</x:f>
        <x:v>15467.420577548042</x:v>
      </x:c>
      <x:c r="I106" s="54" t="n">
        <x:f>Subsurface_Live_Data!M104/COS(RADIANS(D106))</x:f>
        <x:v>13.480695987868666</x:v>
      </x:c>
      <x:c r="J106" s="54" t="n">
        <x:f>Subsurface_Live_Data!N104/COS(RADIANS(D106))</x:f>
        <x:v>54.11097271918843</x:v>
      </x:c>
      <x:c r="K106" s="54" t="n">
        <x:f>Subsurface_Live_Data!O104/COS(RADIANS(D106))</x:f>
        <x:v>183.8869713493197</x:v>
      </x:c>
      <x:c r="L106" s="53" t="n">
        <x:f>Inputs!$C$21*K106/(2*Inputs!$C$12*1000000)</x:f>
        <x:v>15485.372790727002</x:v>
      </x:c>
      <x:c r="M106" s="53" t="n">
        <x:f>L106*COS(RADIANS(D106))</x:f>
        <x:v>15467.420577548042</x:v>
      </x:c>
      <x:c r="N106" s="54" t="n">
        <x:f>L106-H106</x:f>
        <x:v>17.952213178959937</x:v>
      </x:c>
      <x:c r="O106" s="55" t="n">
        <x:f>M106-H106</x:f>
        <x:v>0</x:v>
      </x:c>
      <x:c r="P106" s="54" t="n">
        <x:f>N106-O106</x:f>
        <x:v>17.952213178959937</x:v>
      </x:c>
      <x:c r="Q106" s="53" t="n">
        <x:f>Inputs!$C$21*J106/(2*Inputs!$C$12*1000000)</x:f>
        <x:v>4556.758852881023</x:v>
      </x:c>
      <x:c r="R106" s="53" t="n">
        <x:f>Q106*COS(RADIANS(D106))</x:f>
        <x:v>4551.476196309719</x:v>
      </x:c>
      <x:c r="S106" s="53" t="n">
        <x:f>Inputs!$C$21*I106/(2*Inputs!$C$12*1000000)*COS(RADIANS(D106))</x:f>
        <x:v>1133.9117338896808</x:v>
      </x:c>
    </x:row>
    <x:row r="107">
      <x:c r="A107" s="53" t="n">
        <x:f>Subsurface_Live_Data!A105</x:f>
        <x:v>-8.5</x:v>
      </x:c>
      <x:c r="B107" s="54" t="n">
        <x:f>Model_Data!P105</x:f>
        <x:v>72.74484905628924</x:v>
      </x:c>
      <x:c r="C107" s="54" t="n">
        <x:f>ABS(B107)*Inputs!$C$13/2</x:f>
        <x:v>181.8621226407231</x:v>
      </x:c>
      <x:c r="D107" s="54" t="n">
        <x:f>DEGREES(ASIN(MIN(1,C107/(Inputs!$C$11*1000))))</x:f>
        <x:v>2.605881322356941</x:v>
      </x:c>
      <x:c r="E107" s="54" t="n">
        <x:f>Model_Data!I105</x:f>
        <x:v>3.776072578786574</x:v>
      </x:c>
      <x:c r="F107" s="53" t="n">
        <x:f>Subsurface_Live_Data!F105</x:f>
        <x:v>1150.4579025882579</x:v>
      </x:c>
      <x:c r="G107" s="53" t="n">
        <x:f>Subsurface_Live_Data!I105</x:f>
        <x:v>4565.405845898684</x:v>
      </x:c>
      <x:c r="H107" s="53" t="n">
        <x:f>Subsurface_Live_Data!K105</x:f>
        <x:v>15499.09132522038</x:v>
      </x:c>
      <x:c r="I107" s="54" t="n">
        <x:f>Subsurface_Live_Data!M105/COS(RADIANS(D107))</x:f>
        <x:v>13.675693520581447</x:v>
      </x:c>
      <x:c r="J107" s="54" t="n">
        <x:f>Subsurface_Live_Data!N105/COS(RADIANS(D107))</x:f>
        <x:v>54.269774674168545</x:v>
      </x:c>
      <x:c r="K107" s="54" t="n">
        <x:f>Subsurface_Live_Data!O105/COS(RADIANS(D107))</x:f>
        <x:v>184.2403988310696</x:v>
      </x:c>
      <x:c r="L107" s="53" t="n">
        <x:f>Inputs!$C$21*K107/(2*Inputs!$C$12*1000000)</x:f>
        <x:v>15515.135401254685</x:v>
      </x:c>
      <x:c r="M107" s="53" t="n">
        <x:f>L107*COS(RADIANS(D107))</x:f>
        <x:v>15499.091325220377</x:v>
      </x:c>
      <x:c r="N107" s="54" t="n">
        <x:f>L107-H107</x:f>
        <x:v>16.044076034304453</x:v>
      </x:c>
      <x:c r="O107" s="55" t="n">
        <x:f>M107-H107</x:f>
        <x:v>-3.637978807091713e-12</x:v>
      </x:c>
      <x:c r="P107" s="54" t="n">
        <x:f>N107-O107</x:f>
        <x:v>16.04407603430809</x:v>
      </x:c>
      <x:c r="Q107" s="53" t="n">
        <x:f>Inputs!$C$21*J107/(2*Inputs!$C$12*1000000)</x:f>
        <x:v>4570.131782212117</x:v>
      </x:c>
      <x:c r="R107" s="53" t="n">
        <x:f>Q107*COS(RADIANS(D107))</x:f>
        <x:v>4565.405845898685</x:v>
      </x:c>
      <x:c r="S107" s="53" t="n">
        <x:f>Inputs!$C$21*I107/(2*Inputs!$C$12*1000000)*COS(RADIANS(D107))</x:f>
        <x:v>1150.4579025882579</x:v>
      </x:c>
    </x:row>
    <x:row r="108">
      <x:c r="A108" s="53" t="n">
        <x:f>Subsurface_Live_Data!A106</x:f>
        <x:v>-8</x:v>
      </x:c>
      <x:c r="B108" s="54" t="n">
        <x:f>Model_Data!P106</x:f>
        <x:v>68.46850397168964</x:v>
      </x:c>
      <x:c r="C108" s="54" t="n">
        <x:f>ABS(B108)*Inputs!$C$13/2</x:f>
        <x:v>171.1712599292241</x:v>
      </x:c>
      <x:c r="D108" s="54" t="n">
        <x:f>DEGREES(ASIN(MIN(1,C108/(Inputs!$C$11*1000))))</x:f>
        <x:v>2.45259662342992</x:v>
      </x:c>
      <x:c r="E108" s="54" t="n">
        <x:f>Model_Data!I106</x:f>
        <x:v>3.75381649570681</x:v>
      </x:c>
      <x:c r="F108" s="53" t="n">
        <x:f>Subsurface_Live_Data!F106</x:f>
        <x:v>1168.9695627914543</x:v>
      </x:c>
      <x:c r="G108" s="53" t="n">
        <x:f>Subsurface_Live_Data!I106</x:f>
        <x:v>4579.779007029312</x:v>
      </x:c>
      <x:c r="H108" s="53" t="n">
        <x:f>Subsurface_Live_Data!K106</x:f>
        <x:v>15525.64240190194</x:v>
      </x:c>
      <x:c r="I108" s="54" t="n">
        <x:f>Subsurface_Live_Data!M106/COS(RADIANS(D108))</x:f>
        <x:v>13.894102816837567</x:v>
      </x:c>
      <x:c r="J108" s="54" t="n">
        <x:f>Subsurface_Live_Data!N106/COS(RADIANS(D108))</x:f>
        <x:v>54.43419779905043</x:v>
      </x:c>
      <x:c r="K108" s="54" t="n">
        <x:f>Subsurface_Live_Data!O106/COS(RADIANS(D108))</x:f>
        <x:v>184.5342074727418</x:v>
      </x:c>
      <x:c r="L108" s="53" t="n">
        <x:f>Inputs!$C$21*K108/(2*Inputs!$C$12*1000000)</x:f>
        <x:v>15539.877427903153</x:v>
      </x:c>
      <x:c r="M108" s="53" t="n">
        <x:f>L108*COS(RADIANS(D108))</x:f>
        <x:v>15525.642401901936</x:v>
      </x:c>
      <x:c r="N108" s="54" t="n">
        <x:f>L108-H108</x:f>
        <x:v>14.235026001213555</x:v>
      </x:c>
      <x:c r="O108" s="55" t="n">
        <x:f>M108-H108</x:f>
        <x:v>-3.637978807091713e-12</x:v>
      </x:c>
      <x:c r="P108" s="54" t="n">
        <x:f>N108-O108</x:f>
        <x:v>14.235026001217193</x:v>
      </x:c>
      <x:c r="Q108" s="53" t="n">
        <x:f>Inputs!$C$21*J108/(2*Inputs!$C$12*1000000)</x:f>
        <x:v>4583.978077931325</x:v>
      </x:c>
      <x:c r="R108" s="53" t="n">
        <x:f>Q108*COS(RADIANS(D108))</x:f>
        <x:v>4579.779007029312</x:v>
      </x:c>
      <x:c r="S108" s="53" t="n">
        <x:f>Inputs!$C$21*I108/(2*Inputs!$C$12*1000000)*COS(RADIANS(D108))</x:f>
        <x:v>1168.9695627914543</x:v>
      </x:c>
    </x:row>
    <x:row r="109">
      <x:c r="A109" s="53" t="n">
        <x:f>Subsurface_Live_Data!A107</x:f>
        <x:v>-7.5</x:v>
      </x:c>
      <x:c r="B109" s="54" t="n">
        <x:f>Model_Data!P107</x:f>
        <x:v>64.19165678507852</x:v>
      </x:c>
      <x:c r="C109" s="54" t="n">
        <x:f>ABS(B109)*Inputs!$C$13/2</x:f>
        <x:v>160.4791419626963</x:v>
      </x:c>
      <x:c r="D109" s="54" t="n">
        <x:f>DEGREES(ASIN(MIN(1,C109/(Inputs!$C$11*1000))))</x:f>
        <x:v>2.2993114926766522</x:v>
      </x:c>
      <x:c r="E109" s="54" t="n">
        <x:f>Model_Data!I107</x:f>
        <x:v>3.7327851196426796</x:v>
      </x:c>
      <x:c r="F109" s="53" t="n">
        <x:f>Subsurface_Live_Data!F107</x:f>
        <x:v>1187.0441427572598</x:v>
      </x:c>
      <x:c r="G109" s="53" t="n">
        <x:f>Subsurface_Live_Data!I107</x:f>
        <x:v>4594.57540533313</x:v>
      </x:c>
      <x:c r="H109" s="53" t="n">
        <x:f>Subsurface_Live_Data!K107</x:f>
        <x:v>15554.79313941637</x:v>
      </x:c>
      <x:c r="I109" s="54" t="n">
        <x:f>Subsurface_Live_Data!M107/COS(RADIANS(D109))</x:f>
        <x:v>14.107367035142154</x:v>
      </x:c>
      <x:c r="J109" s="54" t="n">
        <x:f>Subsurface_Live_Data!N107/COS(RADIANS(D109))</x:f>
        <x:v>54.604002731620476</x:v>
      </x:c>
      <x:c r="K109" s="54" t="n">
        <x:f>Subsurface_Live_Data!O107/COS(RADIANS(D109))</x:f>
        <x:v>184.8601648998076</x:v>
      </x:c>
      <x:c r="L109" s="53" t="n">
        <x:f>Inputs!$C$21*K109/(2*Inputs!$C$12*1000000)</x:f>
        <x:v>15567.326747640067</x:v>
      </x:c>
      <x:c r="M109" s="53" t="n">
        <x:f>L109*COS(RADIANS(D109))</x:f>
        <x:v>15554.793139416368</x:v>
      </x:c>
      <x:c r="N109" s="54" t="n">
        <x:f>L109-H109</x:f>
        <x:v>12.533608223697229</x:v>
      </x:c>
      <x:c r="O109" s="55" t="n">
        <x:f>M109-H109</x:f>
        <x:v>-1.8189894035458565e-12</x:v>
      </x:c>
      <x:c r="P109" s="54" t="n">
        <x:f>N109-O109</x:f>
        <x:v>12.533608223699048</x:v>
      </x:c>
      <x:c r="Q109" s="53" t="n">
        <x:f>Inputs!$C$21*J109/(2*Inputs!$C$12*1000000)</x:f>
        <x:v>4598.277583020004</x:v>
      </x:c>
      <x:c r="R109" s="53" t="n">
        <x:f>Q109*COS(RADIANS(D109))</x:f>
        <x:v>4594.57540533313</x:v>
      </x:c>
      <x:c r="S109" s="53" t="n">
        <x:f>Inputs!$C$21*I109/(2*Inputs!$C$12*1000000)*COS(RADIANS(D109))</x:f>
        <x:v>1187.04414275726</x:v>
      </x:c>
    </x:row>
    <x:row r="110">
      <x:c r="A110" s="53" t="n">
        <x:f>Subsurface_Live_Data!A108</x:f>
        <x:v>-7</x:v>
      </x:c>
      <x:c r="B110" s="54" t="n">
        <x:f>Model_Data!P108</x:f>
        <x:v>59.914338766157016</x:v>
      </x:c>
      <x:c r="C110" s="54" t="n">
        <x:f>ABS(B110)*Inputs!$C$13/2</x:f>
        <x:v>149.78584691539254</x:v>
      </x:c>
      <x:c r="D110" s="54" t="n">
        <x:f>DEGREES(ASIN(MIN(1,C110/(Inputs!$C$11*1000))))</x:f>
        <x:v>2.1460259538435804</x:v>
      </x:c>
      <x:c r="E110" s="54" t="n">
        <x:f>Model_Data!I108</x:f>
        <x:v>3.7129998776451707</x:v>
      </x:c>
      <x:c r="F110" s="53" t="n">
        <x:f>Subsurface_Live_Data!F108</x:f>
        <x:v>1204.4298221034699</x:v>
      </x:c>
      <x:c r="G110" s="53" t="n">
        <x:f>Subsurface_Live_Data!I108</x:f>
        <x:v>4609.776067611265</x:v>
      </x:c>
      <x:c r="H110" s="53" t="n">
        <x:f>Subsurface_Live_Data!K108</x:f>
        <x:v>15586.69843418237</x:v>
      </x:c>
      <x:c r="I110" s="54" t="n">
        <x:f>Subsurface_Live_Data!M108/COS(RADIANS(D110))</x:f>
        <x:v>14.312500043049775</x:v>
      </x:c>
      <x:c r="J110" s="54" t="n">
        <x:f>Subsurface_Live_Data!N108/COS(RADIANS(D110))</x:f>
        <x:v>54.77896591011848</x:v>
      </x:c>
      <x:c r="K110" s="54" t="n">
        <x:f>Subsurface_Live_Data!O108/COS(RADIANS(D110))</x:f>
        <x:v>185.22010823398088</x:v>
      </x:c>
      <x:c r="L110" s="53" t="n">
        <x:f>Inputs!$C$21*K110/(2*Inputs!$C$12*1000000)</x:f>
        <x:v>15597.6380669919</x:v>
      </x:c>
      <x:c r="M110" s="53" t="n">
        <x:f>L110*COS(RADIANS(D110))</x:f>
        <x:v>15586.69843418237</x:v>
      </x:c>
      <x:c r="N110" s="54" t="n">
        <x:f>L110-H110</x:f>
        <x:v>10.93963280952994</x:v>
      </x:c>
      <x:c r="O110" s="55" t="n">
        <x:f>M110-H110</x:f>
        <x:v>0</x:v>
      </x:c>
      <x:c r="P110" s="54" t="n">
        <x:f>N110-O110</x:f>
        <x:v>10.93963280952994</x:v>
      </x:c>
      <x:c r="Q110" s="53" t="n">
        <x:f>Inputs!$C$21*J110/(2*Inputs!$C$12*1000000)</x:f>
        <x:v>4613.0114710372545</x:v>
      </x:c>
      <x:c r="R110" s="53" t="n">
        <x:f>Q110*COS(RADIANS(D110))</x:f>
        <x:v>4609.776067611265</x:v>
      </x:c>
      <x:c r="S110" s="53" t="n">
        <x:f>Inputs!$C$21*I110/(2*Inputs!$C$12*1000000)*COS(RADIANS(D110))</x:f>
        <x:v>1204.4298221034699</x:v>
      </x:c>
    </x:row>
    <x:row r="111">
      <x:c r="A111" s="53" t="n">
        <x:f>Subsurface_Live_Data!A109</x:f>
        <x:v>-6.5</x:v>
      </x:c>
      <x:c r="B111" s="54" t="n">
        <x:f>Model_Data!P109</x:f>
        <x:v>55.63658118935564</x:v>
      </x:c>
      <x:c r="C111" s="54" t="n">
        <x:f>ABS(B111)*Inputs!$C$13/2</x:f>
        <x:v>139.0914529733891</x:v>
      </x:c>
      <x:c r="D111" s="54" t="n">
        <x:f>DEGREES(ASIN(MIN(1,C111/(Inputs!$C$11*1000))))</x:f>
        <x:v>1.9927400307010537</x:v>
      </x:c>
      <x:c r="E111" s="54" t="n">
        <x:f>Model_Data!I109</x:f>
        <x:v>3.694481369413298</x:v>
      </x:c>
      <x:c r="F111" s="53" t="n">
        <x:f>Subsurface_Live_Data!F109</x:f>
        <x:v>1223.407958447489</x:v>
      </x:c>
      <x:c r="G111" s="53" t="n">
        <x:f>Subsurface_Live_Data!I109</x:f>
        <x:v>4625.363203475164</x:v>
      </x:c>
      <x:c r="H111" s="53" t="n">
        <x:f>Subsurface_Live_Data!K109</x:f>
        <x:v>15612.620101689698</x:v>
      </x:c>
      <x:c r="I111" s="54" t="n">
        <x:f>Subsurface_Live_Data!M109/COS(RADIANS(D111))</x:f>
        <x:v>14.536616033921515</x:v>
      </x:c>
      <x:c r="J111" s="54" t="n">
        <x:f>Subsurface_Live_Data!N109/COS(RADIANS(D111))</x:f>
        <x:v>54.95887814206465</x:v>
      </x:c>
      <x:c r="K111" s="54" t="n">
        <x:f>Subsurface_Live_Data!O109/COS(RADIANS(D111))</x:f>
        <x:v>185.51020706923833</x:v>
      </x:c>
      <x:c r="L111" s="53" t="n">
        <x:f>Inputs!$C$21*K111/(2*Inputs!$C$12*1000000)</x:f>
        <x:v>15622.067685779757</x:v>
      </x:c>
      <x:c r="M111" s="53" t="n">
        <x:f>L111*COS(RADIANS(D111))</x:f>
        <x:v>15612.620101689698</x:v>
      </x:c>
      <x:c r="N111" s="54" t="n">
        <x:f>L111-H111</x:f>
        <x:v>9.447584090059536</x:v>
      </x:c>
      <x:c r="O111" s="55" t="n">
        <x:f>M111-H111</x:f>
        <x:v>0</x:v>
      </x:c>
      <x:c r="P111" s="54" t="n">
        <x:f>N111-O111</x:f>
        <x:v>9.447584090059536</x:v>
      </x:c>
      <x:c r="Q111" s="53" t="n">
        <x:f>Inputs!$C$21*J111/(2*Inputs!$C$12*1000000)</x:f>
        <x:v>4628.162125598886</x:v>
      </x:c>
      <x:c r="R111" s="53" t="n">
        <x:f>Q111*COS(RADIANS(D111))</x:f>
        <x:v>4625.363203475163</x:v>
      </x:c>
      <x:c r="S111" s="53" t="n">
        <x:f>Inputs!$C$21*I111/(2*Inputs!$C$12*1000000)*COS(RADIANS(D111))</x:f>
        <x:v>1223.4079584474891</x:v>
      </x:c>
    </x:row>
    <x:row r="112">
      <x:c r="A112" s="53" t="n">
        <x:f>Subsurface_Live_Data!A110</x:f>
        <x:v>-6</x:v>
      </x:c>
      <x:c r="B112" s="54" t="n">
        <x:f>Model_Data!P110</x:f>
        <x:v>51.35841535866348</x:v>
      </x:c>
      <x:c r="C112" s="54" t="n">
        <x:f>ABS(B112)*Inputs!$C$13/2</x:f>
        <x:v>128.3960383966587</x:v>
      </x:c>
      <x:c r="D112" s="54" t="n">
        <x:f>DEGREES(ASIN(MIN(1,C112/(Inputs!$C$11*1000))))</x:f>
        <x:v>1.839453747942456</x:v>
      </x:c>
      <x:c r="E112" s="54" t="n">
        <x:f>Model_Data!I110</x:f>
        <x:v>3.6772492746351846</x:v>
      </x:c>
      <x:c r="F112" s="53" t="n">
        <x:f>Subsurface_Live_Data!F110</x:f>
        <x:v>1241.3297195139314</x:v>
      </x:c>
      <x:c r="G112" s="53" t="n">
        <x:f>Subsurface_Live_Data!I110</x:f>
        <x:v>4641.320072576792</x:v>
      </x:c>
      <x:c r="H112" s="53" t="n">
        <x:f>Subsurface_Live_Data!K110</x:f>
        <x:v>15641.05910048063</x:v>
      </x:c>
      <x:c r="I112" s="54" t="n">
        <x:f>Subsurface_Live_Data!M110/COS(RADIANS(D112))</x:f>
        <x:v>14.74824353853922</x:v>
      </x:c>
      <x:c r="J112" s="54" t="n">
        <x:f>Subsurface_Live_Data!N110/COS(RADIANS(D112))</x:f>
        <x:v>55.14354300441353</x:v>
      </x:c>
      <x:c r="K112" s="54" t="n">
        <x:f>Subsurface_Live_Data!O110/COS(RADIANS(D112))</x:f>
        <x:v>185.83148795059896</x:v>
      </x:c>
      <x:c r="L112" s="53" t="n">
        <x:f>Inputs!$C$21*K112/(2*Inputs!$C$12*1000000)</x:f>
        <x:v>15649.123187221192</x:v>
      </x:c>
      <x:c r="M112" s="53" t="n">
        <x:f>L112*COS(RADIANS(D112))</x:f>
        <x:v>15641.05910048063</x:v>
      </x:c>
      <x:c r="N112" s="54" t="n">
        <x:f>L112-H112</x:f>
        <x:v>8.064086740561834</x:v>
      </x:c>
      <x:c r="O112" s="55" t="n">
        <x:f>M112-H112</x:f>
        <x:v>0</x:v>
      </x:c>
      <x:c r="P112" s="54" t="n">
        <x:f>N112-O112</x:f>
        <x:v>8.064086740561834</x:v>
      </x:c>
      <x:c r="Q112" s="53" t="n">
        <x:f>Inputs!$C$21*J112/(2*Inputs!$C$12*1000000)</x:f>
        <x:v>4643.713005652202</x:v>
      </x:c>
      <x:c r="R112" s="53" t="n">
        <x:f>Q112*COS(RADIANS(D112))</x:f>
        <x:v>4641.320072576793</x:v>
      </x:c>
      <x:c r="S112" s="53" t="n">
        <x:f>Inputs!$C$21*I112/(2*Inputs!$C$12*1000000)*COS(RADIANS(D112))</x:f>
        <x:v>1241.3297195139314</x:v>
      </x:c>
    </x:row>
    <x:row r="113">
      <x:c r="A113" s="53" t="n">
        <x:f>Subsurface_Live_Data!A111</x:f>
        <x:v>-5.5</x:v>
      </x:c>
      <x:c r="B113" s="54" t="n">
        <x:f>Model_Data!P111</x:f>
        <x:v>47.07987260953814</x:v>
      </x:c>
      <x:c r="C113" s="54" t="n">
        <x:f>ABS(B113)*Inputs!$C$13/2</x:f>
        <x:v>117.69968152384536</x:v>
      </x:c>
      <x:c r="D113" s="54" t="n">
        <x:f>DEGREES(ASIN(MIN(1,C113/(Inputs!$C$11*1000))))</x:f>
        <x:v>1.6861671312617983</x:v>
      </x:c>
      <x:c r="E113" s="54" t="n">
        <x:f>Model_Data!I111</x:f>
        <x:v>3.6613222610928524</x:v>
      </x:c>
      <x:c r="F113" s="53" t="n">
        <x:f>Subsurface_Live_Data!F111</x:f>
        <x:v>1258.7251117027918</x:v>
      </x:c>
      <x:c r="G113" s="53" t="n">
        <x:f>Subsurface_Live_Data!I111</x:f>
        <x:v>4657.630840636252</x:v>
      </x:c>
      <x:c r="H113" s="53" t="n">
        <x:f>Subsurface_Live_Data!K111</x:f>
        <x:v>15669.38478023053</x:v>
      </x:c>
      <x:c r="I113" s="54" t="n">
        <x:f>Subsurface_Live_Data!M111/COS(RADIANS(D113))</x:f>
        <x:v>14.953686953281215</x:v>
      </x:c>
      <x:c r="J113" s="54" t="n">
        <x:f>Subsurface_Live_Data!N111/COS(RADIANS(D113))</x:f>
        <x:v>55.33277511290956</x:v>
      </x:c>
      <x:c r="K113" s="54" t="n">
        <x:f>Subsurface_Live_Data!O111/COS(RADIANS(D113))</x:f>
        <x:v>186.15269734080167</x:v>
      </x:c>
      <x:c r="L113" s="53" t="n">
        <x:f>Inputs!$C$21*K113/(2*Inputs!$C$12*1000000)</x:f>
        <x:v>15676.172668294663</x:v>
      </x:c>
      <x:c r="M113" s="53" t="n">
        <x:f>L113*COS(RADIANS(D113))</x:f>
        <x:v>15669.384780230534</x:v>
      </x:c>
      <x:c r="N113" s="54" t="n">
        <x:f>L113-H113</x:f>
        <x:v>6.787888064132858</x:v>
      </x:c>
      <x:c r="O113" s="55" t="n">
        <x:f>M113-H113</x:f>
        <x:v>3.637978807091713e-12</x:v>
      </x:c>
      <x:c r="P113" s="54" t="n">
        <x:f>N113-O113</x:f>
        <x:v>6.78788806412922</x:v>
      </x:c>
      <x:c r="Q113" s="53" t="n">
        <x:f>Inputs!$C$21*J113/(2*Inputs!$C$12*1000000)</x:f>
        <x:v>4659.648499736063</x:v>
      </x:c>
      <x:c r="R113" s="53" t="n">
        <x:f>Q113*COS(RADIANS(D113))</x:f>
        <x:v>4657.630840636252</x:v>
      </x:c>
      <x:c r="S113" s="53" t="n">
        <x:f>Inputs!$C$21*I113/(2*Inputs!$C$12*1000000)*COS(RADIANS(D113))</x:f>
        <x:v>1258.7251117027918</x:v>
      </x:c>
    </x:row>
    <x:row r="114">
      <x:c r="A114" s="53" t="n">
        <x:f>Subsurface_Live_Data!A112</x:f>
        <x:v>-5</x:v>
      </x:c>
      <x:c r="B114" s="54" t="n">
        <x:f>Model_Data!P112</x:f>
        <x:v>42.80098427389021</x:v>
      </x:c>
      <x:c r="C114" s="54" t="n">
        <x:f>ABS(B114)*Inputs!$C$13/2</x:f>
        <x:v>107.00246068472552</x:v>
      </x:c>
      <x:c r="D114" s="54" t="n">
        <x:f>DEGREES(ASIN(MIN(1,C114/(Inputs!$C$11*1000))))</x:f>
        <x:v>1.5328802061086082</x:v>
      </x:c>
      <x:c r="E114" s="54" t="n">
        <x:f>Model_Data!I112</x:f>
        <x:v>3.646717894415093</x:v>
      </x:c>
      <x:c r="F114" s="53" t="n">
        <x:f>Subsurface_Live_Data!F112</x:f>
        <x:v>1275.477720117875</x:v>
      </x:c>
      <x:c r="G114" s="53" t="n">
        <x:f>Subsurface_Live_Data!I112</x:f>
        <x:v>4674.280427373219</x:v>
      </x:c>
      <x:c r="H114" s="53" t="n">
        <x:f>Subsurface_Live_Data!K112</x:f>
        <x:v>15697.234366267416</x:v>
      </x:c>
      <x:c r="I114" s="54" t="n">
        <x:f>Subsurface_Live_Data!M112/COS(RADIANS(D114))</x:f>
        <x:v>15.15156931790971</x:v>
      </x:c>
      <x:c r="J114" s="54" t="n">
        <x:f>Subsurface_Live_Data!N112/COS(RADIANS(D114))</x:f>
        <x:v>55.5263982973758</x:v>
      </x:c>
      <x:c r="K114" s="54" t="n">
        <x:f>Subsurface_Live_Data!O112/COS(RADIANS(D114))</x:f>
        <x:v>186.46953282570482</x:v>
      </x:c>
      <x:c r="L114" s="53" t="n">
        <x:f>Inputs!$C$21*K114/(2*Inputs!$C$12*1000000)</x:f>
        <x:v>15702.853816834195</x:v>
      </x:c>
      <x:c r="M114" s="53" t="n">
        <x:f>L114*COS(RADIANS(D114))</x:f>
        <x:v>15697.234366267416</x:v>
      </x:c>
      <x:c r="N114" s="54" t="n">
        <x:f>L114-H114</x:f>
        <x:v>5.619450566779051</x:v>
      </x:c>
      <x:c r="O114" s="55" t="n">
        <x:f>M114-H114</x:f>
        <x:v>0</x:v>
      </x:c>
      <x:c r="P114" s="54" t="n">
        <x:f>N114-O114</x:f>
        <x:v>5.619450566779051</x:v>
      </x:c>
      <x:c r="Q114" s="53" t="n">
        <x:f>Inputs!$C$21*J114/(2*Inputs!$C$12*1000000)</x:f>
        <x:v>4675.953772319468</x:v>
      </x:c>
      <x:c r="R114" s="53" t="n">
        <x:f>Q114*COS(RADIANS(D114))</x:f>
        <x:v>4674.280427373219</x:v>
      </x:c>
      <x:c r="S114" s="53" t="n">
        <x:f>Inputs!$C$21*I114/(2*Inputs!$C$12*1000000)*COS(RADIANS(D114))</x:f>
        <x:v>1275.477720117875</x:v>
      </x:c>
    </x:row>
    <x:row r="115">
      <x:c r="A115" s="53" t="n">
        <x:f>Subsurface_Live_Data!A113</x:f>
        <x:v>-4.5</x:v>
      </x:c>
      <x:c r="B115" s="54" t="n">
        <x:f>Model_Data!P113</x:f>
        <x:v>38.521781712279335</x:v>
      </x:c>
      <x:c r="C115" s="54" t="n">
        <x:f>ABS(B115)*Inputs!$C$13/2</x:f>
        <x:v>96.30445428069834</x:v>
      </x:c>
      <x:c r="D115" s="54" t="n">
        <x:f>DEGREES(ASIN(MIN(1,C115/(Inputs!$C$11*1000))))</x:f>
        <x:v>1.3795929988509728</x:v>
      </x:c>
      <x:c r="E115" s="54" t="n">
        <x:f>Model_Data!I113</x:f>
        <x:v>3.6334525503982564</x:v>
      </x:c>
      <x:c r="F115" s="53" t="n">
        <x:f>Subsurface_Live_Data!F113</x:f>
        <x:v>1291.6962207555848</x:v>
      </x:c>
      <x:c r="G115" s="53" t="n">
        <x:f>Subsurface_Live_Data!I113</x:f>
        <x:v>4691.25434928991</x:v>
      </x:c>
      <x:c r="H115" s="53" t="n">
        <x:f>Subsurface_Live_Data!K113</x:f>
        <x:v>15723.473778049667</x:v>
      </x:c>
      <x:c r="I115" s="54" t="n">
        <x:f>Subsurface_Live_Data!M113/COS(RADIANS(D115))</x:f>
        <x:v>15.343187483684254</x:v>
      </x:c>
      <x:c r="J115" s="54" t="n">
        <x:f>Subsurface_Live_Data!N113/COS(RADIANS(D115))</x:f>
        <x:v>55.724243717845575</x:v>
      </x:c>
      <x:c r="K115" s="54" t="n">
        <x:f>Subsurface_Live_Data!O113/COS(RADIANS(D115))</x:f>
        <x:v>186.76853132719532</x:v>
      </x:c>
      <x:c r="L115" s="53" t="n">
        <x:f>Inputs!$C$21*K115/(2*Inputs!$C$12*1000000)</x:f>
        <x:v>15728.032888660082</x:v>
      </x:c>
      <x:c r="M115" s="53" t="n">
        <x:f>L115*COS(RADIANS(D115))</x:f>
        <x:v>15723.47377804967</x:v>
      </x:c>
      <x:c r="N115" s="54" t="n">
        <x:f>L115-H115</x:f>
        <x:v>4.559110610414791</x:v>
      </x:c>
      <x:c r="O115" s="55" t="n">
        <x:f>M115-H115</x:f>
        <x:v>3.637978807091713e-12</x:v>
      </x:c>
      <x:c r="P115" s="54" t="n">
        <x:f>N115-O115</x:f>
        <x:v>4.559110610411153</x:v>
      </x:c>
      <x:c r="Q115" s="53" t="n">
        <x:f>Inputs!$C$21*J115/(2*Inputs!$C$12*1000000)</x:f>
        <x:v>4692.614605158422</x:v>
      </x:c>
      <x:c r="R115" s="53" t="n">
        <x:f>Q115*COS(RADIANS(D115))</x:f>
        <x:v>4691.254349289909</x:v>
      </x:c>
      <x:c r="S115" s="53" t="n">
        <x:f>Inputs!$C$21*I115/(2*Inputs!$C$12*1000000)*COS(RADIANS(D115))</x:f>
        <x:v>1291.6962207555846</x:v>
      </x:c>
    </x:row>
    <x:row r="116">
      <x:c r="A116" s="53" t="n">
        <x:f>Subsurface_Live_Data!A114</x:f>
        <x:v>-4</x:v>
      </x:c>
      <x:c r="B116" s="54" t="n">
        <x:f>Model_Data!P114</x:f>
        <x:v>34.24229631555136</x:v>
      </x:c>
      <x:c r="C116" s="54" t="n">
        <x:f>ABS(B116)*Inputs!$C$13/2</x:f>
        <x:v>85.60574078887839</x:v>
      </x:c>
      <x:c r="D116" s="54" t="n">
        <x:f>DEGREES(ASIN(MIN(1,C116/(Inputs!$C$11*1000))))</x:f>
        <x:v>1.2263055368435687</x:v>
      </x:c>
      <x:c r="E116" s="54" t="n">
        <x:f>Model_Data!I114</x:f>
        <x:v>3.62154133083556</x:v>
      </x:c>
      <x:c r="F116" s="53" t="n">
        <x:f>Subsurface_Live_Data!F114</x:f>
        <x:v>1307.1204466457586</x:v>
      </x:c>
      <x:c r="G116" s="53" t="n">
        <x:f>Subsurface_Live_Data!I114</x:f>
        <x:v>4708.538560045645</x:v>
      </x:c>
      <x:c r="H116" s="53" t="n">
        <x:f>Subsurface_Live_Data!K114</x:f>
        <x:v>15748.287353885475</x:v>
      </x:c>
      <x:c r="I116" s="54" t="n">
        <x:f>Subsurface_Live_Data!M114/COS(RADIANS(D116))</x:f>
        <x:v>15.525456691116618</x:v>
      </x:c>
      <x:c r="J116" s="54" t="n">
        <x:f>Subsurface_Live_Data!N114/COS(RADIANS(D116))</x:f>
        <x:v>55.92614795371847</x:v>
      </x:c>
      <x:c r="K116" s="54" t="n">
        <x:f>Subsurface_Live_Data!O114/COS(RADIANS(D116))</x:f>
        <x:v>187.0518925011277</x:v>
      </x:c>
      <x:c r="L116" s="53" t="n">
        <x:f>Inputs!$C$21*K116/(2*Inputs!$C$12*1000000)</x:f>
        <x:v>15751.895119793493</x:v>
      </x:c>
      <x:c r="M116" s="53" t="n">
        <x:f>L116*COS(RADIANS(D116))</x:f>
        <x:v>15748.287353885475</x:v>
      </x:c>
      <x:c r="N116" s="54" t="n">
        <x:f>L116-H116</x:f>
        <x:v>3.6077659080183366</x:v>
      </x:c>
      <x:c r="O116" s="55" t="n">
        <x:f>M116-H116</x:f>
        <x:v>0</x:v>
      </x:c>
      <x:c r="P116" s="54" t="n">
        <x:f>N116-O116</x:f>
        <x:v>3.6077659080183366</x:v>
      </x:c>
      <x:c r="Q116" s="53" t="n">
        <x:f>Inputs!$C$21*J116/(2*Inputs!$C$12*1000000)</x:f>
        <x:v>4709.61723638116</x:v>
      </x:c>
      <x:c r="R116" s="53" t="n">
        <x:f>Q116*COS(RADIANS(D116))</x:f>
        <x:v>4708.538560045645</x:v>
      </x:c>
      <x:c r="S116" s="53" t="n">
        <x:f>Inputs!$C$21*I116/(2*Inputs!$C$12*1000000)*COS(RADIANS(D116))</x:f>
        <x:v>1307.1204466457586</x:v>
      </x:c>
    </x:row>
    <x:row r="117">
      <x:c r="A117" s="53" t="n">
        <x:f>Subsurface_Live_Data!A115</x:f>
        <x:v>-3.5</x:v>
      </x:c>
      <x:c r="B117" s="54" t="n">
        <x:f>Model_Data!P115</x:f>
        <x:v>29.962559468549443</x:v>
      </x:c>
      <x:c r="C117" s="54" t="n">
        <x:f>ABS(B117)*Inputs!$C$13/2</x:f>
        <x:v>74.90639867137361</x:v>
      </x:c>
      <x:c r="D117" s="54" t="n">
        <x:f>DEGREES(ASIN(MIN(1,C117/(Inputs!$C$11*1000))))</x:f>
        <x:v>1.0730178471374086</x:v>
      </x:c>
      <x:c r="E117" s="54" t="n">
        <x:f>Model_Data!I115</x:f>
        <x:v>3.6109979838002473</x:v>
      </x:c>
      <x:c r="F117" s="53" t="n">
        <x:f>Subsurface_Live_Data!F115</x:f>
        <x:v>1320.3805424871002</x:v>
      </x:c>
      <x:c r="G117" s="53" t="n">
        <x:f>Subsurface_Live_Data!I115</x:f>
        <x:v>4726.1192909153915</x:v>
      </x:c>
      <x:c r="H117" s="53" t="n">
        <x:f>Subsurface_Live_Data!K115</x:f>
        <x:v>15775.781421619797</x:v>
      </x:c>
      <x:c r="I117" s="54" t="n">
        <x:f>Subsurface_Live_Data!M115/COS(RADIANS(D117))</x:f>
        <x:v>15.682112844785214</x:v>
      </x:c>
      <x:c r="J117" s="54" t="n">
        <x:f>Subsurface_Live_Data!N115/COS(RADIANS(D117))</x:f>
        <x:v>56.13195109528475</x:v>
      </x:c>
      <x:c r="K117" s="54" t="n">
        <x:f>Subsurface_Live_Data!O115/COS(RADIANS(D117))</x:f>
        <x:v>187.36839608564952</x:v>
      </x:c>
      <x:c r="L117" s="53" t="n">
        <x:f>Inputs!$C$21*K117/(2*Inputs!$C$12*1000000)</x:f>
        <x:v>15778.548318549001</x:v>
      </x:c>
      <x:c r="M117" s="53" t="n">
        <x:f>L117*COS(RADIANS(D117))</x:f>
        <x:v>15775.781421619797</x:v>
      </x:c>
      <x:c r="N117" s="54" t="n">
        <x:f>L117-H117</x:f>
        <x:v>2.7668969292044494</x:v>
      </x:c>
      <x:c r="O117" s="55" t="n">
        <x:f>M117-H117</x:f>
        <x:v>0</x:v>
      </x:c>
      <x:c r="P117" s="54" t="n">
        <x:f>N117-O117</x:f>
        <x:v>2.7668969292044494</x:v>
      </x:c>
      <x:c r="Q117" s="53" t="n">
        <x:f>Inputs!$C$21*J117/(2*Inputs!$C$12*1000000)</x:f>
        <x:v>4726.948199772811</x:v>
      </x:c>
      <x:c r="R117" s="53" t="n">
        <x:f>Q117*COS(RADIANS(D117))</x:f>
        <x:v>4726.1192909153915</x:v>
      </x:c>
      <x:c r="S117" s="53" t="n">
        <x:f>Inputs!$C$21*I117/(2*Inputs!$C$12*1000000)*COS(RADIANS(D117))</x:f>
        <x:v>1320.3805424871</x:v>
      </x:c>
    </x:row>
    <x:row r="118">
      <x:c r="A118" s="53" t="n">
        <x:f>Subsurface_Live_Data!A116</x:f>
        <x:v>-3</x:v>
      </x:c>
      <x:c r="B118" s="54" t="n">
        <x:f>Model_Data!P116</x:f>
        <x:v>25.68260257039583</x:v>
      </x:c>
      <x:c r="C118" s="54" t="n">
        <x:f>ABS(B118)*Inputs!$C$13/2</x:f>
        <x:v>64.20650642598957</x:v>
      </x:c>
      <x:c r="D118" s="54" t="n">
        <x:f>DEGREES(ASIN(MIN(1,C118/(Inputs!$C$11*1000))))</x:f>
        <x:v>0.9197299572161001</x:v>
      </x:c>
      <x:c r="E118" s="54" t="n">
        <x:f>Model_Data!I116</x:f>
        <x:v>3.601834829314978</x:v>
      </x:c>
      <x:c r="F118" s="53" t="n">
        <x:f>Subsurface_Live_Data!F116</x:f>
        <x:v>1333.7060672736254</x:v>
      </x:c>
      <x:c r="G118" s="53" t="n">
        <x:f>Subsurface_Live_Data!I116</x:f>
        <x:v>4743.982893546545</x:v>
      </x:c>
      <x:c r="H118" s="53" t="n">
        <x:f>Subsurface_Live_Data!K116</x:f>
        <x:v>15797.512523197016</x:v>
      </x:c>
      <x:c r="I118" s="54" t="n">
        <x:f>Subsurface_Live_Data!M116/COS(RADIANS(D118))</x:f>
        <x:v>15.839642600990453</x:v>
      </x:c>
      <x:c r="J118" s="54" t="n">
        <x:f>Subsurface_Live_Data!N116/COS(RADIANS(D118))</x:f>
        <x:v>56.34149486370548</x:v>
      </x:c>
      <x:c r="K118" s="54" t="n">
        <x:f>Subsurface_Live_Data!O116/COS(RADIANS(D118))</x:f>
        <x:v>187.61776563229404</x:v>
      </x:c>
      <x:c r="L118" s="53" t="n">
        <x:f>Inputs!$C$21*K118/(2*Inputs!$C$12*1000000)</x:f>
        <x:v>15799.548068363301</x:v>
      </x:c>
      <x:c r="M118" s="53" t="n">
        <x:f>L118*COS(RADIANS(D118))</x:f>
        <x:v>15797.512523197016</x:v>
      </x:c>
      <x:c r="N118" s="54" t="n">
        <x:f>L118-H118</x:f>
        <x:v>2.035545166285374</x:v>
      </x:c>
      <x:c r="O118" s="55" t="n">
        <x:f>M118-H118</x:f>
        <x:v>0</x:v>
      </x:c>
      <x:c r="P118" s="54" t="n">
        <x:f>N118-O118</x:f>
        <x:v>2.035545166285374</x:v>
      </x:c>
      <x:c r="Q118" s="53" t="n">
        <x:f>Inputs!$C$21*J118/(2*Inputs!$C$12*1000000)</x:f>
        <x:v>4744.59416645636</x:v>
      </x:c>
      <x:c r="R118" s="53" t="n">
        <x:f>Q118*COS(RADIANS(D118))</x:f>
        <x:v>4743.982893546545</x:v>
      </x:c>
      <x:c r="S118" s="53" t="n">
        <x:f>Inputs!$C$21*I118/(2*Inputs!$C$12*1000000)*COS(RADIANS(D118))</x:f>
        <x:v>1333.7060672736254</x:v>
      </x:c>
    </x:row>
    <x:row r="119">
      <x:c r="A119" s="53" t="n">
        <x:f>Subsurface_Live_Data!A117</x:f>
        <x:v>-2.5</x:v>
      </x:c>
      <x:c r="B119" s="54" t="n">
        <x:f>Model_Data!P117</x:f>
        <x:v>21.402457042222522</x:v>
      </x:c>
      <x:c r="C119" s="54" t="n">
        <x:f>ABS(B119)*Inputs!$C$13/2</x:f>
        <x:v>53.506142605556306</x:v>
      </x:c>
      <x:c r="D119" s="54" t="n">
        <x:f>DEGREES(ASIN(MIN(1,C119/(Inputs!$C$11*1000))))</x:f>
        <x:v>0.7664418952824079</x:v>
      </x:c>
      <x:c r="E119" s="54" t="n">
        <x:f>Model_Data!I117</x:f>
        <x:v>3.594062691308639</x:v>
      </x:c>
      <x:c r="F119" s="53" t="n">
        <x:f>Subsurface_Live_Data!F117</x:f>
        <x:v>1344.9196633073186</x:v>
      </x:c>
      <x:c r="G119" s="53" t="n">
        <x:f>Subsurface_Live_Data!I117</x:f>
        <x:v>4762.1156869290735</x:v>
      </x:c>
      <x:c r="H119" s="53" t="n">
        <x:f>Subsurface_Live_Data!K117</x:f>
        <x:v>15820.518953735607</x:v>
      </x:c>
      <x:c r="I119" s="54" t="n">
        <x:f>Subsurface_Live_Data!M117/COS(RADIANS(D119))</x:f>
        <x:v>15.972191047173116</x:v>
      </x:c>
      <x:c r="J119" s="54" t="n">
        <x:f>Subsurface_Live_Data!N117/COS(RADIANS(D119))</x:f>
        <x:v>56.554620781829485</x:v>
      </x:c>
      <x:c r="K119" s="54" t="n">
        <x:f>Subsurface_Live_Data!O117/COS(RADIANS(D119))</x:f>
        <x:v>187.88360233584325</x:v>
      </x:c>
      <x:c r="L119" s="53" t="n">
        <x:f>Inputs!$C$21*K119/(2*Inputs!$C$12*1000000)</x:f>
        <x:v>15821.934539931739</x:v>
      </x:c>
      <x:c r="M119" s="53" t="n">
        <x:f>L119*COS(RADIANS(D119))</x:f>
        <x:v>15820.518953735607</x:v>
      </x:c>
      <x:c r="N119" s="54" t="n">
        <x:f>L119-H119</x:f>
        <x:v>1.4155861961316987</x:v>
      </x:c>
      <x:c r="O119" s="55" t="n">
        <x:f>M119-H119</x:f>
        <x:v>0</x:v>
      </x:c>
      <x:c r="P119" s="54" t="n">
        <x:f>N119-O119</x:f>
        <x:v>1.4155861961316987</x:v>
      </x:c>
      <x:c r="Q119" s="53" t="n">
        <x:f>Inputs!$C$21*J119/(2*Inputs!$C$12*1000000)</x:f>
        <x:v>4762.541790854647</x:v>
      </x:c>
      <x:c r="R119" s="53" t="n">
        <x:f>Q119*COS(RADIANS(D119))</x:f>
        <x:v>4762.1156869290735</x:v>
      </x:c>
      <x:c r="S119" s="53" t="n">
        <x:f>Inputs!$C$21*I119/(2*Inputs!$C$12*1000000)*COS(RADIANS(D119))</x:f>
        <x:v>1344.9196633073186</x:v>
      </x:c>
    </x:row>
    <x:row r="120">
      <x:c r="A120" s="53" t="n">
        <x:f>Subsurface_Live_Data!A118</x:f>
        <x:v>-2</x:v>
      </x:c>
      <x:c r="B120" s="54" t="n">
        <x:f>Model_Data!P118</x:f>
        <x:v>17.12215430170545</x:v>
      </x:c>
      <x:c r="C120" s="54" t="n">
        <x:f>ABS(B120)*Inputs!$C$13/2</x:f>
        <x:v>42.805385754263625</x:v>
      </x:c>
      <x:c r="D120" s="54" t="n">
        <x:f>DEGREES(ASIN(MIN(1,C120/(Inputs!$C$11*1000))))</x:f>
        <x:v>0.613153689355976</x:v>
      </x:c>
      <x:c r="E120" s="54" t="n">
        <x:f>Model_Data!I118</x:f>
        <x:v>3.5876908367118427</x:v>
      </x:c>
      <x:c r="F120" s="53" t="n">
        <x:f>Subsurface_Live_Data!F118</x:f>
        <x:v>1355.0272017032964</x:v>
      </x:c>
      <x:c r="G120" s="53" t="n">
        <x:f>Subsurface_Live_Data!I118</x:f>
        <x:v>4780.50381018409</x:v>
      </x:c>
      <x:c r="H120" s="53" t="n">
        <x:f>Subsurface_Live_Data!K118</x:f>
        <x:v>15840.763766829245</x:v>
      </x:c>
      <x:c r="I120" s="54" t="n">
        <x:f>Subsurface_Live_Data!M118/COS(RADIANS(D120))</x:f>
        <x:v>16.091709269303767</x:v>
      </x:c>
      <x:c r="J120" s="54" t="n">
        <x:f>Subsurface_Live_Data!N118/COS(RADIANS(D120))</x:f>
        <x:v>56.77116841461424</x:v>
      </x:c>
      <x:c r="K120" s="54" t="n">
        <x:f>Subsurface_Live_Data!O118/COS(RADIANS(D120))</x:f>
        <x:v>188.11796901133556</x:v>
      </x:c>
      <x:c r="L120" s="53" t="n">
        <x:f>Inputs!$C$21*K120/(2*Inputs!$C$12*1000000)</x:f>
        <x:v>15841.67087749329</x:v>
      </x:c>
      <x:c r="M120" s="53" t="n">
        <x:f>L120*COS(RADIANS(D120))</x:f>
        <x:v>15840.763766829245</x:v>
      </x:c>
      <x:c r="N120" s="54" t="n">
        <x:f>L120-H120</x:f>
        <x:v>0.9071106640458311</x:v>
      </x:c>
      <x:c r="O120" s="55" t="n">
        <x:f>M120-H120</x:f>
        <x:v>0</x:v>
      </x:c>
      <x:c r="P120" s="54" t="n">
        <x:f>N120-O120</x:f>
        <x:v>0.9071106640458311</x:v>
      </x:c>
      <x:c r="Q120" s="53" t="n">
        <x:f>Inputs!$C$21*J120/(2*Inputs!$C$12*1000000)</x:f>
        <x:v>4780.77756251381</x:v>
      </x:c>
      <x:c r="R120" s="53" t="n">
        <x:f>Q120*COS(RADIANS(D120))</x:f>
        <x:v>4780.503810184089</x:v>
      </x:c>
      <x:c r="S120" s="53" t="n">
        <x:f>Inputs!$C$21*I120/(2*Inputs!$C$12*1000000)*COS(RADIANS(D120))</x:f>
        <x:v>1355.0272017032962</x:v>
      </x:c>
    </x:row>
    <x:row r="121">
      <x:c r="A121" s="53" t="n">
        <x:f>Subsurface_Live_Data!A119</x:f>
        <x:v>-1.5</x:v>
      </x:c>
      <x:c r="B121" s="54" t="n">
        <x:f>Model_Data!P119</x:f>
        <x:v>12.841725789530756</x:v>
      </x:c>
      <x:c r="C121" s="54" t="n">
        <x:f>ABS(B121)*Inputs!$C$13/2</x:f>
        <x:v>32.10431447382689</x:v>
      </x:c>
      <x:c r="D121" s="54" t="n">
        <x:f>DEGREES(ASIN(MIN(1,C121/(Inputs!$C$11*1000))))</x:f>
        <x:v>0.4598653682310064</x:v>
      </x:c>
      <x:c r="E121" s="54" t="n">
        <x:f>Model_Data!I119</x:f>
        <x:v>3.582726922473895</x:v>
      </x:c>
      <x:c r="F121" s="53" t="n">
        <x:f>Subsurface_Live_Data!F119</x:f>
        <x:v>1362.551476601776</x:v>
      </x:c>
      <x:c r="G121" s="53" t="n">
        <x:f>Subsurface_Live_Data!I119</x:f>
        <x:v>4799.133082464253</x:v>
      </x:c>
      <x:c r="H121" s="53" t="n">
        <x:f>Subsurface_Live_Data!K119</x:f>
        <x:v>15862.974345451357</x:v>
      </x:c>
      <x:c r="I121" s="54" t="n">
        <x:f>Subsurface_Live_Data!M119/COS(RADIANS(D121))</x:f>
        <x:v>16.180658886881083</x:v>
      </x:c>
      <x:c r="J121" s="54" t="n">
        <x:f>Subsurface_Live_Data!N119/COS(RADIANS(D121))</x:f>
        <x:v>56.99097369426975</x:v>
      </x:c>
      <x:c r="K121" s="54" t="n">
        <x:f>Subsurface_Live_Data!O119/COS(RADIANS(D121))</x:f>
        <x:v>188.37701270211195</x:v>
      </x:c>
      <x:c r="L121" s="53" t="n">
        <x:f>Inputs!$C$21*K121/(2*Inputs!$C$12*1000000)</x:f>
        <x:v>15863.48530018634</x:v>
      </x:c>
      <x:c r="M121" s="53" t="n">
        <x:f>L121*COS(RADIANS(D121))</x:f>
        <x:v>15862.97434545136</x:v>
      </x:c>
      <x:c r="N121" s="54" t="n">
        <x:f>L121-H121</x:f>
        <x:v>0.5109547349820787</x:v>
      </x:c>
      <x:c r="O121" s="55" t="n">
        <x:f>M121-H121</x:f>
        <x:v>1.8189894035458565e-12</x:v>
      </x:c>
      <x:c r="P121" s="54" t="n">
        <x:f>N121-O121</x:f>
        <x:v>0.5109547349802597</x:v>
      </x:c>
      <x:c r="Q121" s="53" t="n">
        <x:f>Inputs!$C$21*J121/(2*Inputs!$C$12*1000000)</x:f>
        <x:v>4799.287665061367</x:v>
      </x:c>
      <x:c r="R121" s="53" t="n">
        <x:f>Q121*COS(RADIANS(D121))</x:f>
        <x:v>4799.133082464253</x:v>
      </x:c>
      <x:c r="S121" s="53" t="n">
        <x:f>Inputs!$C$21*I121/(2*Inputs!$C$12*1000000)*COS(RADIANS(D121))</x:f>
        <x:v>1362.551476601776</x:v>
      </x:c>
    </x:row>
    <x:row r="122">
      <x:c r="A122" s="53" t="n">
        <x:f>Subsurface_Live_Data!A120</x:f>
        <x:v>-1</x:v>
      </x:c>
      <x:c r="B122" s="54" t="n">
        <x:f>Model_Data!P120</x:f>
        <x:v>8.561202941109514</x:v>
      </x:c>
      <x:c r="C122" s="54" t="n">
        <x:f>ABS(B122)*Inputs!$C$13/2</x:f>
        <x:v>21.403007352773784</x:v>
      </x:c>
      <x:c r="D122" s="54" t="n">
        <x:f>DEGREES(ASIN(MIN(1,C122/(Inputs!$C$11*1000))))</x:f>
        <x:v>0.3065769604731413</x:v>
      </x:c>
      <x:c r="E122" s="54" t="n">
        <x:f>Model_Data!I120</x:f>
        <x:v>3.5791769511981175</x:v>
      </x:c>
      <x:c r="F122" s="53" t="n">
        <x:f>Subsurface_Live_Data!F120</x:f>
        <x:v>1368.7861969163891</x:v>
      </x:c>
      <x:c r="G122" s="53" t="n">
        <x:f>Subsurface_Live_Data!I120</x:f>
        <x:v>4817.988870955649</x:v>
      </x:c>
      <x:c r="H122" s="53" t="n">
        <x:f>Subsurface_Live_Data!K120</x:f>
        <x:v>15882.259787427232</x:v>
      </x:c>
      <x:c r="I122" s="54" t="n">
        <x:f>Subsurface_Live_Data!M120/COS(RADIANS(D122))</x:f>
        <x:v>16.254406970803725</x:v>
      </x:c>
      <x:c r="J122" s="54" t="n">
        <x:f>Subsurface_Live_Data!N120/COS(RADIANS(D122))</x:f>
        <x:v>57.21386734154798</x:v>
      </x:c>
      <x:c r="K122" s="54" t="n">
        <x:f>Subsurface_Live_Data!O120/COS(RADIANS(D122))</x:f>
        <x:v>188.60265743653034</x:v>
      </x:c>
      <x:c r="L122" s="53" t="n">
        <x:f>Inputs!$C$21*K122/(2*Inputs!$C$12*1000000)</x:f>
        <x:v>15882.487151188036</x:v>
      </x:c>
      <x:c r="M122" s="53" t="n">
        <x:f>L122*COS(RADIANS(D122))</x:f>
        <x:v>15882.259787427232</x:v>
      </x:c>
      <x:c r="N122" s="54" t="n">
        <x:f>L122-H122</x:f>
        <x:v>0.22736376080320042</x:v>
      </x:c>
      <x:c r="O122" s="55" t="n">
        <x:f>M122-H122</x:f>
        <x:v>0</x:v>
      </x:c>
      <x:c r="P122" s="54" t="n">
        <x:f>N122-O122</x:f>
        <x:v>0.22736376080320042</x:v>
      </x:c>
      <x:c r="Q122" s="53" t="n">
        <x:f>Inputs!$C$21*J122/(2*Inputs!$C$12*1000000)</x:f>
        <x:v>4818.057843260841</x:v>
      </x:c>
      <x:c r="R122" s="53" t="n">
        <x:f>Q122*COS(RADIANS(D122))</x:f>
        <x:v>4817.988870955648</x:v>
      </x:c>
      <x:c r="S122" s="53" t="n">
        <x:f>Inputs!$C$21*I122/(2*Inputs!$C$12*1000000)*COS(RADIANS(D122))</x:f>
        <x:v>1368.7861969163894</x:v>
      </x:c>
    </x:row>
    <x:row r="123">
      <x:c r="A123" s="53" t="n">
        <x:f>Subsurface_Live_Data!A121</x:f>
        <x:v>-0.5</x:v>
      </x:c>
      <x:c r="B123" s="54" t="n">
        <x:f>Model_Data!P121</x:f>
        <x:v>4.280617193035141</x:v>
      </x:c>
      <x:c r="C123" s="54" t="n">
        <x:f>ABS(B123)*Inputs!$C$13/2</x:f>
        <x:v>10.701542982587853</x:v>
      </x:c>
      <x:c r="D123" s="54" t="n">
        <x:f>DEGREES(ASIN(MIN(1,C123/(Inputs!$C$11*1000))))</x:f>
        <x:v>0.1532884946606284</x:v>
      </x:c>
      <x:c r="E123" s="54" t="n">
        <x:f>Model_Data!I121</x:f>
        <x:v>3.5770452359901275</x:v>
      </x:c>
      <x:c r="F123" s="53" t="n">
        <x:f>Subsurface_Live_Data!F121</x:f>
        <x:v>1374.0063177418228</x:v>
      </x:c>
      <x:c r="G123" s="53" t="n">
        <x:f>Subsurface_Live_Data!I121</x:f>
        <x:v>4837.0559676836865</x:v>
      </x:c>
      <x:c r="H123" s="53" t="n">
        <x:f>Subsurface_Live_Data!K121</x:f>
        <x:v>15897.379848026414</x:v>
      </x:c>
      <x:c r="I123" s="54" t="n">
        <x:f>Subsurface_Live_Data!M121/COS(RADIANS(D123))</x:f>
        <x:v>16.316220993919153</x:v>
      </x:c>
      <x:c r="J123" s="54" t="n">
        <x:f>Subsurface_Live_Data!N121/COS(RADIANS(D123))</x:f>
        <x:v>57.43967339130685</x:v>
      </x:c>
      <x:c r="K123" s="54" t="n">
        <x:f>Subsurface_Live_Data!O121/COS(RADIANS(D123))</x:f>
        <x:v>188.780182067121</x:v>
      </x:c>
      <x:c r="L123" s="53" t="n">
        <x:f>Inputs!$C$21*K123/(2*Inputs!$C$12*1000000)</x:f>
        <x:v>15897.436742581382</x:v>
      </x:c>
      <x:c r="M123" s="53" t="n">
        <x:f>L123*COS(RADIANS(D123))</x:f>
        <x:v>15897.379848026412</x:v>
      </x:c>
      <x:c r="N123" s="54" t="n">
        <x:f>L123-H123</x:f>
        <x:v>0.056894554967584554</x:v>
      </x:c>
      <x:c r="O123" s="55" t="n">
        <x:f>M123-H123</x:f>
        <x:v>-1.8189894035458565e-12</x:v>
      </x:c>
      <x:c r="P123" s="54" t="n">
        <x:f>N123-O123</x:f>
        <x:v>0.056894554969403544</x:v>
      </x:c>
      <x:c r="Q123" s="53" t="n">
        <x:f>Inputs!$C$21*J123/(2*Inputs!$C$12*1000000)</x:f>
        <x:v>4837.073278847493</x:v>
      </x:c>
      <x:c r="R123" s="53" t="n">
        <x:f>Q123*COS(RADIANS(D123))</x:f>
        <x:v>4837.055967683687</x:v>
      </x:c>
      <x:c r="S123" s="53" t="n">
        <x:f>Inputs!$C$21*I123/(2*Inputs!$C$12*1000000)*COS(RADIANS(D123))</x:f>
        <x:v>1374.006317741823</x:v>
      </x:c>
    </x:row>
    <x:row r="124">
      <x:c r="A124" s="53" t="n">
        <x:f>Subsurface_Live_Data!A122</x:f>
        <x:v>0</x:v>
      </x:c>
      <x:c r="B124" s="54" t="n">
        <x:f>Model_Data!P122</x:f>
        <x:v>0</x:v>
      </x:c>
      <x:c r="C124" s="54" t="n">
        <x:f>ABS(B124)*Inputs!$C$13/2</x:f>
        <x:v>0</x:v>
      </x:c>
      <x:c r="D124" s="54" t="n">
        <x:f>DEGREES(ASIN(MIN(1,C124/(Inputs!$C$11*1000))))</x:f>
        <x:v>0</x:v>
      </x:c>
      <x:c r="E124" s="54" t="n">
        <x:f>Model_Data!I122</x:f>
        <x:v>3.5763343749973515</x:v>
      </x:c>
      <x:c r="F124" s="53" t="n">
        <x:f>Subsurface_Live_Data!F122</x:f>
        <x:v>1376.1534460093067</x:v>
      </x:c>
      <x:c r="G124" s="53" t="n">
        <x:f>Subsurface_Live_Data!I122</x:f>
        <x:v>4856.318475563433</x:v>
      </x:c>
      <x:c r="H124" s="53" t="n">
        <x:f>Subsurface_Live_Data!K122</x:f>
        <x:v>15915.349780721906</x:v>
      </x:c>
      <x:c r="I124" s="54" t="n">
        <x:f>Subsurface_Live_Data!M122/COS(RADIANS(D124))</x:f>
        <x:v>16.34165949496012</x:v>
      </x:c>
      <x:c r="J124" s="54" t="n">
        <x:f>Subsurface_Live_Data!N122/COS(RADIANS(D124))</x:f>
        <x:v>57.66820782731573</x:v>
      </x:c>
      <x:c r="K124" s="54" t="n">
        <x:f>Subsurface_Live_Data!O122/COS(RADIANS(D124))</x:f>
        <x:v>188.99289727752253</x:v>
      </x:c>
      <x:c r="L124" s="53" t="n">
        <x:f>Inputs!$C$21*K124/(2*Inputs!$C$12*1000000)</x:f>
        <x:v>15915.349780721906</x:v>
      </x:c>
      <x:c r="M124" s="53" t="n">
        <x:f>L124*COS(RADIANS(D124))</x:f>
        <x:v>15915.349780721906</x:v>
      </x:c>
      <x:c r="N124" s="54" t="n">
        <x:f>L124-H124</x:f>
        <x:v>0</x:v>
      </x:c>
      <x:c r="O124" s="55" t="n">
        <x:f>M124-H124</x:f>
        <x:v>0</x:v>
      </x:c>
      <x:c r="P124" s="54" t="n">
        <x:f>N124-O124</x:f>
        <x:v>0</x:v>
      </x:c>
      <x:c r="Q124" s="53" t="n">
        <x:f>Inputs!$C$21*J124/(2*Inputs!$C$12*1000000)</x:f>
        <x:v>4856.318475563434</x:v>
      </x:c>
      <x:c r="R124" s="53" t="n">
        <x:f>Q124*COS(RADIANS(D124))</x:f>
        <x:v>4856.318475563434</x:v>
      </x:c>
      <x:c r="S124" s="53" t="n">
        <x:f>Inputs!$C$21*I124/(2*Inputs!$C$12*1000000)*COS(RADIANS(D124))</x:f>
        <x:v>1376.153446009307</x:v>
      </x:c>
    </x:row>
    <x:row r="125">
      <x:c r="A125" s="53" t="n">
        <x:f>Subsurface_Live_Data!A123</x:f>
        <x:v>0.5</x:v>
      </x:c>
      <x:c r="B125" s="54" t="n">
        <x:f>Model_Data!P123</x:f>
        <x:v>-4.280617193035141</x:v>
      </x:c>
      <x:c r="C125" s="54" t="n">
        <x:f>ABS(B125)*Inputs!$C$13/2</x:f>
        <x:v>10.701542982587853</x:v>
      </x:c>
      <x:c r="D125" s="54" t="n">
        <x:f>DEGREES(ASIN(MIN(1,C125/(Inputs!$C$11*1000))))</x:f>
        <x:v>0.1532884946606284</x:v>
      </x:c>
      <x:c r="E125" s="54" t="n">
        <x:f>Model_Data!I123</x:f>
        <x:v>3.5770452359901275</x:v>
      </x:c>
      <x:c r="F125" s="53" t="n">
        <x:f>Subsurface_Live_Data!F123</x:f>
        <x:v>1376.133881324049</x:v>
      </x:c>
      <x:c r="G125" s="53" t="n">
        <x:f>Subsurface_Live_Data!I123</x:f>
        <x:v>4875.759703905036</x:v>
      </x:c>
      <x:c r="H125" s="53" t="n">
        <x:f>Subsurface_Live_Data!K123</x:f>
        <x:v>15932.899548678191</x:v>
      </x:c>
      <x:c r="I125" s="54" t="n">
        <x:f>Subsurface_Live_Data!M123/COS(RADIANS(D125))</x:f>
        <x:v>16.341485650375223</x:v>
      </x:c>
      <x:c r="J125" s="54" t="n">
        <x:f>Subsurface_Live_Data!N123/COS(RADIANS(D125))</x:f>
        <x:v>57.89927732858405</x:v>
      </x:c>
      <x:c r="K125" s="54" t="n">
        <x:f>Subsurface_Live_Data!O123/COS(RADIANS(D125))</x:f>
        <x:v>189.20197582308037</x:v>
      </x:c>
      <x:c r="L125" s="53" t="n">
        <x:f>Inputs!$C$21*K125/(2*Inputs!$C$12*1000000)</x:f>
        <x:v>15932.956570353326</x:v>
      </x:c>
      <x:c r="M125" s="53" t="n">
        <x:f>L125*COS(RADIANS(D125))</x:f>
        <x:v>15932.899548678191</x:v>
      </x:c>
      <x:c r="N125" s="54" t="n">
        <x:f>L125-H125</x:f>
        <x:v>0.057021675134819816</x:v>
      </x:c>
      <x:c r="O125" s="55" t="n">
        <x:f>M125-H125</x:f>
        <x:v>0</x:v>
      </x:c>
      <x:c r="P125" s="54" t="n">
        <x:f>N125-O125</x:f>
        <x:v>0.057021675134819816</x:v>
      </x:c>
      <x:c r="Q125" s="53" t="n">
        <x:f>Inputs!$C$21*J125/(2*Inputs!$C$12*1000000)</x:f>
        <x:v>4875.777153584237</x:v>
      </x:c>
      <x:c r="R125" s="53" t="n">
        <x:f>Q125*COS(RADIANS(D125))</x:f>
        <x:v>4875.759703905035</x:v>
      </x:c>
      <x:c r="S125" s="53" t="n">
        <x:f>Inputs!$C$21*I125/(2*Inputs!$C$12*1000000)*COS(RADIANS(D125))</x:f>
        <x:v>1376.1338813240493</x:v>
      </x:c>
    </x:row>
    <x:row r="126">
      <x:c r="A126" s="53" t="n">
        <x:f>Subsurface_Live_Data!A124</x:f>
        <x:v>1</x:v>
      </x:c>
      <x:c r="B126" s="54" t="n">
        <x:f>Model_Data!P124</x:f>
        <x:v>-8.561202941109514</x:v>
      </x:c>
      <x:c r="C126" s="54" t="n">
        <x:f>ABS(B126)*Inputs!$C$13/2</x:f>
        <x:v>21.403007352773784</x:v>
      </x:c>
      <x:c r="D126" s="54" t="n">
        <x:f>DEGREES(ASIN(MIN(1,C126/(Inputs!$C$11*1000))))</x:f>
        <x:v>0.3065769604731413</x:v>
      </x:c>
      <x:c r="E126" s="54" t="n">
        <x:f>Model_Data!I124</x:f>
        <x:v>3.5791769511981175</x:v>
      </x:c>
      <x:c r="F126" s="53" t="n">
        <x:f>Subsurface_Live_Data!F124</x:f>
        <x:v>1374.6138282324848</x:v>
      </x:c>
      <x:c r="G126" s="53" t="n">
        <x:f>Subsurface_Live_Data!I124</x:f>
        <x:v>4895.362073394291</x:v>
      </x:c>
      <x:c r="H126" s="53" t="n">
        <x:f>Subsurface_Live_Data!K124</x:f>
        <x:v>15947.69149082374</x:v>
      </x:c>
      <x:c r="I126" s="54" t="n">
        <x:f>Subsurface_Live_Data!M124/COS(RADIANS(D126))</x:f>
        <x:v>16.323610394465515</x:v>
      </x:c>
      <x:c r="J126" s="54" t="n">
        <x:f>Subsurface_Live_Data!N124/COS(RADIANS(D126))</x:f>
        <x:v>58.13267812726844</x:v>
      </x:c>
      <x:c r="K126" s="54" t="n">
        <x:f>Subsurface_Live_Data!O124/COS(RADIANS(D126))</x:f>
        <x:v>189.37966230273642</x:v>
      </x:c>
      <x:c r="L126" s="53" t="n">
        <x:f>Inputs!$C$21*K126/(2*Inputs!$C$12*1000000)</x:f>
        <x:v>15947.919791277329</x:v>
      </x:c>
      <x:c r="M126" s="53" t="n">
        <x:f>L126*COS(RADIANS(D126))</x:f>
        <x:v>15947.691490823741</x:v>
      </x:c>
      <x:c r="N126" s="54" t="n">
        <x:f>L126-H126</x:f>
        <x:v>0.22830045358932693</x:v>
      </x:c>
      <x:c r="O126" s="55" t="n">
        <x:f>M126-H126</x:f>
        <x:v>1.8189894035458565e-12</x:v>
      </x:c>
      <x:c r="P126" s="54" t="n">
        <x:f>N126-O126</x:f>
        <x:v>0.22830045358750795</x:v>
      </x:c>
      <x:c r="Q126" s="53" t="n">
        <x:f>Inputs!$C$21*J126/(2*Inputs!$C$12*1000000)</x:f>
        <x:v>4895.432153341754</x:v>
      </x:c>
      <x:c r="R126" s="53" t="n">
        <x:f>Q126*COS(RADIANS(D126))</x:f>
        <x:v>4895.362073394291</x:v>
      </x:c>
      <x:c r="S126" s="53" t="n">
        <x:f>Inputs!$C$21*I126/(2*Inputs!$C$12*1000000)*COS(RADIANS(D126))</x:f>
        <x:v>1374.6138282324848</x:v>
      </x:c>
    </x:row>
    <x:row r="127">
      <x:c r="A127" s="53" t="n">
        <x:f>Subsurface_Live_Data!A125</x:f>
        <x:v>1.5</x:v>
      </x:c>
      <x:c r="B127" s="54" t="n">
        <x:f>Model_Data!P125</x:f>
        <x:v>-12.841725789530756</x:v>
      </x:c>
      <x:c r="C127" s="54" t="n">
        <x:f>ABS(B127)*Inputs!$C$13/2</x:f>
        <x:v>32.10431447382689</x:v>
      </x:c>
      <x:c r="D127" s="54" t="n">
        <x:f>DEGREES(ASIN(MIN(1,C127/(Inputs!$C$11*1000))))</x:f>
        <x:v>0.4598653682310064</x:v>
      </x:c>
      <x:c r="E127" s="54" t="n">
        <x:f>Model_Data!I125</x:f>
        <x:v>3.582726922473895</x:v>
      </x:c>
      <x:c r="F127" s="53" t="n">
        <x:f>Subsurface_Live_Data!F125</x:f>
        <x:v>1371.3030922152293</x:v>
      </x:c>
      <x:c r="G127" s="53" t="n">
        <x:f>Subsurface_Live_Data!I125</x:f>
        <x:v>4915.107030422499</x:v>
      </x:c>
      <x:c r="H127" s="53" t="n">
        <x:f>Subsurface_Live_Data!K125</x:f>
        <x:v>15960.826835798127</x:v>
      </x:c>
      <x:c r="I127" s="54" t="n">
        <x:f>Subsurface_Live_Data!M125/COS(RADIANS(D127))</x:f>
        <x:v>16.284586635213614</x:v>
      </x:c>
      <x:c r="J127" s="54" t="n">
        <x:f>Subsurface_Live_Data!N125/COS(RADIANS(D127))</x:f>
        <x:v>58.36819497647583</x:v>
      </x:c>
      <x:c r="K127" s="54" t="n">
        <x:f>Subsurface_Live_Data!O125/COS(RADIANS(D127))</x:f>
        <x:v>189.5390368859481</x:v>
      </x:c>
      <x:c r="L127" s="53" t="n">
        <x:f>Inputs!$C$21*K127/(2*Inputs!$C$12*1000000)</x:f>
        <x:v>15961.340942413215</x:v>
      </x:c>
      <x:c r="M127" s="53" t="n">
        <x:f>L127*COS(RADIANS(D127))</x:f>
        <x:v>15960.826835798129</x:v>
      </x:c>
      <x:c r="N127" s="54" t="n">
        <x:f>L127-H127</x:f>
        <x:v>0.514106615088167</x:v>
      </x:c>
      <x:c r="O127" s="55" t="n">
        <x:f>M127-H127</x:f>
        <x:v>1.8189894035458565e-12</x:v>
      </x:c>
      <x:c r="P127" s="54" t="n">
        <x:f>N127-O127</x:f>
        <x:v>0.514106615086348</x:v>
      </x:c>
      <x:c r="Q127" s="53" t="n">
        <x:f>Inputs!$C$21*J127/(2*Inputs!$C$12*1000000)</x:f>
        <x:v>4915.265348601387</x:v>
      </x:c>
      <x:c r="R127" s="53" t="n">
        <x:f>Q127*COS(RADIANS(D127))</x:f>
        <x:v>4915.107030422499</x:v>
      </x:c>
      <x:c r="S127" s="53" t="n">
        <x:f>Inputs!$C$21*I127/(2*Inputs!$C$12*1000000)*COS(RADIANS(D127))</x:f>
        <x:v>1371.303092215229</x:v>
      </x:c>
    </x:row>
    <x:row r="128">
      <x:c r="A128" s="53" t="n">
        <x:f>Subsurface_Live_Data!A126</x:f>
        <x:v>2</x:v>
      </x:c>
      <x:c r="B128" s="54" t="n">
        <x:f>Model_Data!P126</x:f>
        <x:v>-17.12215430170545</x:v>
      </x:c>
      <x:c r="C128" s="54" t="n">
        <x:f>ABS(B128)*Inputs!$C$13/2</x:f>
        <x:v>42.805385754263625</x:v>
      </x:c>
      <x:c r="D128" s="54" t="n">
        <x:f>DEGREES(ASIN(MIN(1,C128/(Inputs!$C$11*1000))))</x:f>
        <x:v>0.613153689355976</x:v>
      </x:c>
      <x:c r="E128" s="54" t="n">
        <x:f>Model_Data!I126</x:f>
        <x:v>3.5876908367118427</x:v>
      </x:c>
      <x:c r="F128" s="53" t="n">
        <x:f>Subsurface_Live_Data!F126</x:f>
        <x:v>1366.016806901526</x:v>
      </x:c>
      <x:c r="G128" s="53" t="n">
        <x:f>Subsurface_Live_Data!I126</x:f>
        <x:v>4934.974970543156</x:v>
      </x:c>
      <x:c r="H128" s="53" t="n">
        <x:f>Subsurface_Live_Data!K126</x:f>
        <x:v>15973.127659706997</x:v>
      </x:c>
      <x:c r="I128" s="54" t="n">
        <x:f>Subsurface_Live_Data!M126/COS(RADIANS(D128))</x:f>
        <x:v>16.222217004950735</x:v>
      </x:c>
      <x:c r="J128" s="54" t="n">
        <x:f>Subsurface_Live_Data!N126/COS(RADIANS(D128))</x:f>
        <x:v>58.605600225182705</x:v>
      </x:c>
      <x:c r="K128" s="54" t="n">
        <x:f>Subsurface_Live_Data!O126/COS(RADIANS(D128))</x:f>
        <x:v>189.68986460078546</x:v>
      </x:c>
      <x:c r="L128" s="53" t="n">
        <x:f>Inputs!$C$21*K128/(2*Inputs!$C$12*1000000)</x:f>
        <x:v>15974.042350100184</x:v>
      </x:c>
      <x:c r="M128" s="53" t="n">
        <x:f>L128*COS(RADIANS(D128))</x:f>
        <x:v>15973.127659706995</x:v>
      </x:c>
      <x:c r="N128" s="54" t="n">
        <x:f>L128-H128</x:f>
        <x:v>0.9146903931869019</x:v>
      </x:c>
      <x:c r="O128" s="55" t="n">
        <x:f>M128-H128</x:f>
        <x:v>-1.8189894035458565e-12</x:v>
      </x:c>
      <x:c r="P128" s="54" t="n">
        <x:f>N128-O128</x:f>
        <x:v>0.9146903931887209</x:v>
      </x:c>
      <x:c r="Q128" s="53" t="n">
        <x:f>Inputs!$C$21*J128/(2*Inputs!$C$12*1000000)</x:f>
        <x:v>4935.257568559797</x:v>
      </x:c>
      <x:c r="R128" s="53" t="n">
        <x:f>Q128*COS(RADIANS(D128))</x:f>
        <x:v>4934.974970543156</x:v>
      </x:c>
      <x:c r="S128" s="53" t="n">
        <x:f>Inputs!$C$21*I128/(2*Inputs!$C$12*1000000)*COS(RADIANS(D128))</x:f>
        <x:v>1366.0168069015263</x:v>
      </x:c>
    </x:row>
    <x:row r="129">
      <x:c r="A129" s="53" t="n">
        <x:f>Subsurface_Live_Data!A127</x:f>
        <x:v>2.5</x:v>
      </x:c>
      <x:c r="B129" s="54" t="n">
        <x:f>Model_Data!P127</x:f>
        <x:v>-21.402457042222522</x:v>
      </x:c>
      <x:c r="C129" s="54" t="n">
        <x:f>ABS(B129)*Inputs!$C$13/2</x:f>
        <x:v>53.506142605556306</x:v>
      </x:c>
      <x:c r="D129" s="54" t="n">
        <x:f>DEGREES(ASIN(MIN(1,C129/(Inputs!$C$11*1000))))</x:f>
        <x:v>0.7664418952824079</x:v>
      </x:c>
      <x:c r="E129" s="54" t="n">
        <x:f>Model_Data!I127</x:f>
        <x:v>3.594062691308639</x:v>
      </x:c>
      <x:c r="F129" s="53" t="n">
        <x:f>Subsurface_Live_Data!F127</x:f>
        <x:v>1358.8064762795648</x:v>
      </x:c>
      <x:c r="G129" s="53" t="n">
        <x:f>Subsurface_Live_Data!I127</x:f>
        <x:v>4954.945170789036</x:v>
      </x:c>
      <x:c r="H129" s="53" t="n">
        <x:f>Subsurface_Live_Data!K127</x:f>
        <x:v>15984.674832252715</x:v>
      </x:c>
      <x:c r="I129" s="54" t="n">
        <x:f>Subsurface_Live_Data!M127/COS(RADIANS(D129))</x:f>
        <x:v>16.137110064925924</x:v>
      </x:c>
      <x:c r="J129" s="54" t="n">
        <x:f>Subsurface_Live_Data!N127/COS(RADIANS(D129))</x:f>
        <x:v>58.84465299696213</x:v>
      </x:c>
      <x:c r="K129" s="54" t="n">
        <x:f>Subsurface_Live_Data!O127/COS(RADIANS(D129))</x:f>
        <x:v>189.8331084102389</x:v>
      </x:c>
      <x:c r="L129" s="53" t="n">
        <x:f>Inputs!$C$21*K129/(2*Inputs!$C$12*1000000)</x:f>
        <x:v>15986.105106765728</x:v>
      </x:c>
      <x:c r="M129" s="53" t="n">
        <x:f>L129*COS(RADIANS(D129))</x:f>
        <x:v>15984.674832252713</x:v>
      </x:c>
      <x:c r="N129" s="54" t="n">
        <x:f>L129-H129</x:f>
        <x:v>1.4302745130135008</x:v>
      </x:c>
      <x:c r="O129" s="55" t="n">
        <x:f>M129-H129</x:f>
        <x:v>-1.8189894035458565e-12</x:v>
      </x:c>
      <x:c r="P129" s="54" t="n">
        <x:f>N129-O129</x:f>
        <x:v>1.4302745130153198</x:v>
      </x:c>
      <x:c r="Q129" s="53" t="n">
        <x:f>Inputs!$C$21*J129/(2*Inputs!$C$12*1000000)</x:f>
        <x:v>4955.388528684366</x:v>
      </x:c>
      <x:c r="R129" s="53" t="n">
        <x:f>Q129*COS(RADIANS(D129))</x:f>
        <x:v>4954.945170789036</x:v>
      </x:c>
      <x:c r="S129" s="53" t="n">
        <x:f>Inputs!$C$21*I129/(2*Inputs!$C$12*1000000)*COS(RADIANS(D129))</x:f>
        <x:v>1358.806476279565</x:v>
      </x:c>
    </x:row>
    <x:row r="130">
      <x:c r="A130" s="53" t="n">
        <x:f>Subsurface_Live_Data!A128</x:f>
        <x:v>3</x:v>
      </x:c>
      <x:c r="B130" s="54" t="n">
        <x:f>Model_Data!P128</x:f>
        <x:v>-25.68260257039583</x:v>
      </x:c>
      <x:c r="C130" s="54" t="n">
        <x:f>ABS(B130)*Inputs!$C$13/2</x:f>
        <x:v>64.20650642598957</x:v>
      </x:c>
      <x:c r="D130" s="54" t="n">
        <x:f>DEGREES(ASIN(MIN(1,C130/(Inputs!$C$11*1000))))</x:f>
        <x:v>0.9197299572161001</x:v>
      </x:c>
      <x:c r="E130" s="54" t="n">
        <x:f>Model_Data!I128</x:f>
        <x:v>3.601834829314978</x:v>
      </x:c>
      <x:c r="F130" s="53" t="n">
        <x:f>Subsurface_Live_Data!F128</x:f>
        <x:v>1348.7496298570459</x:v>
      </x:c>
      <x:c r="G130" s="53" t="n">
        <x:f>Subsurface_Live_Data!I128</x:f>
        <x:v>4974.995730593702</x:v>
      </x:c>
      <x:c r="H130" s="53" t="n">
        <x:f>Subsurface_Live_Data!K128</x:f>
        <x:v>15999.039471084727</x:v>
      </x:c>
      <x:c r="I130" s="54" t="n">
        <x:f>Subsurface_Live_Data!M128/COS(RADIANS(D130))</x:f>
        <x:v>16.01830614659021</x:v>
      </x:c>
      <x:c r="J130" s="54" t="n">
        <x:f>Subsurface_Live_Data!N128/COS(RADIANS(D130))</x:f>
        <x:v>59.08509846936945</x:v>
      </x:c>
      <x:c r="K130" s="54" t="n">
        <x:f>Subsurface_Live_Data!O128/COS(RADIANS(D130))</x:f>
        <x:v>190.01118267322803</x:v>
      </x:c>
      <x:c r="L130" s="53" t="n">
        <x:f>Inputs!$C$21*K130/(2*Inputs!$C$12*1000000)</x:f>
        <x:v>16001.100983453382</x:v>
      </x:c>
      <x:c r="M130" s="53" t="n">
        <x:f>L130*COS(RADIANS(D130))</x:f>
        <x:v>15999.039471084727</x:v>
      </x:c>
      <x:c r="N130" s="54" t="n">
        <x:f>L130-H130</x:f>
        <x:v>2.061512368654803</x:v>
      </x:c>
      <x:c r="O130" s="55" t="n">
        <x:f>M130-H130</x:f>
        <x:v>0</x:v>
      </x:c>
      <x:c r="P130" s="54" t="n">
        <x:f>N130-O130</x:f>
        <x:v>2.061512368654803</x:v>
      </x:c>
      <x:c r="Q130" s="53" t="n">
        <x:f>Inputs!$C$21*J130/(2*Inputs!$C$12*1000000)</x:f>
        <x:v>4975.636770029299</x:v>
      </x:c>
      <x:c r="R130" s="53" t="n">
        <x:f>Q130*COS(RADIANS(D130))</x:f>
        <x:v>4974.995730593703</x:v>
      </x:c>
      <x:c r="S130" s="53" t="n">
        <x:f>Inputs!$C$21*I130/(2*Inputs!$C$12*1000000)*COS(RADIANS(D130))</x:f>
        <x:v>1348.7496298570459</x:v>
      </x:c>
    </x:row>
    <x:row r="131">
      <x:c r="A131" s="53" t="n">
        <x:f>Subsurface_Live_Data!A129</x:f>
        <x:v>3.5</x:v>
      </x:c>
      <x:c r="B131" s="54" t="n">
        <x:f>Model_Data!P129</x:f>
        <x:v>-29.962559468549443</x:v>
      </x:c>
      <x:c r="C131" s="54" t="n">
        <x:f>ABS(B131)*Inputs!$C$13/2</x:f>
        <x:v>74.90639867137361</x:v>
      </x:c>
      <x:c r="D131" s="54" t="n">
        <x:f>DEGREES(ASIN(MIN(1,C131/(Inputs!$C$11*1000))))</x:f>
        <x:v>1.0730178471374086</x:v>
      </x:c>
      <x:c r="E131" s="54" t="n">
        <x:f>Model_Data!I129</x:f>
        <x:v>3.6109979838002473</x:v>
      </x:c>
      <x:c r="F131" s="53" t="n">
        <x:f>Subsurface_Live_Data!F129</x:f>
        <x:v>1338.6555162950103</x:v>
      </x:c>
      <x:c r="G131" s="53" t="n">
        <x:f>Subsurface_Live_Data!I129</x:f>
        <x:v>4995.103521127066</x:v>
      </x:c>
      <x:c r="H131" s="53" t="n">
        <x:f>Subsurface_Live_Data!K129</x:f>
        <x:v>16006.80700146983</x:v>
      </x:c>
      <x:c r="I131" s="54" t="n">
        <x:f>Subsurface_Live_Data!M129/COS(RADIANS(D131))</x:f>
        <x:v>15.899164060150229</x:v>
      </x:c>
      <x:c r="J131" s="54" t="n">
        <x:f>Subsurface_Live_Data!N129/COS(RADIANS(D131))</x:f>
        <x:v>59.32666725166009</x:v>
      </x:c>
      <x:c r="K131" s="54" t="n">
        <x:f>Subsurface_Live_Data!O129/COS(RADIANS(D131))</x:f>
        <x:v>190.11227869877547</x:v>
      </x:c>
      <x:c r="L131" s="53" t="n">
        <x:f>Inputs!$C$21*K131/(2*Inputs!$C$12*1000000)</x:f>
        <x:v>16009.61441772105</x:v>
      </x:c>
      <x:c r="M131" s="53" t="n">
        <x:f>L131*COS(RADIANS(D131))</x:f>
        <x:v>16006.80700146983</x:v>
      </x:c>
      <x:c r="N131" s="54" t="n">
        <x:f>L131-H131</x:f>
        <x:v>2.8074162512202747</x:v>
      </x:c>
      <x:c r="O131" s="55" t="n">
        <x:f>M131-H131</x:f>
        <x:v>0</x:v>
      </x:c>
      <x:c r="P131" s="54" t="n">
        <x:f>N131-O131</x:f>
        <x:v>2.8074162512202747</x:v>
      </x:c>
      <x:c r="Q131" s="53" t="n">
        <x:f>Inputs!$C$21*J131/(2*Inputs!$C$12*1000000)</x:f>
        <x:v>4995.979606832383</x:v>
      </x:c>
      <x:c r="R131" s="53" t="n">
        <x:f>Q131*COS(RADIANS(D131))</x:f>
        <x:v>4995.103521127067</x:v>
      </x:c>
      <x:c r="S131" s="53" t="n">
        <x:f>Inputs!$C$21*I131/(2*Inputs!$C$12*1000000)*COS(RADIANS(D131))</x:f>
        <x:v>1338.6555162950103</x:v>
      </x:c>
    </x:row>
    <x:row r="132">
      <x:c r="A132" s="53" t="n">
        <x:f>Subsurface_Live_Data!A130</x:f>
        <x:v>4</x:v>
      </x:c>
      <x:c r="B132" s="54" t="n">
        <x:f>Model_Data!P130</x:f>
        <x:v>-34.24229631555136</x:v>
      </x:c>
      <x:c r="C132" s="54" t="n">
        <x:f>ABS(B132)*Inputs!$C$13/2</x:f>
        <x:v>85.60574078887839</x:v>
      </x:c>
      <x:c r="D132" s="54" t="n">
        <x:f>DEGREES(ASIN(MIN(1,C132/(Inputs!$C$11*1000))))</x:f>
        <x:v>1.2263055368435687</x:v>
      </x:c>
      <x:c r="E132" s="54" t="n">
        <x:f>Model_Data!I130</x:f>
        <x:v>3.62154133083556</x:v>
      </x:c>
      <x:c r="F132" s="53" t="n">
        <x:f>Subsurface_Live_Data!F130</x:f>
        <x:v>1326.0176749484222</x:v>
      </x:c>
      <x:c r="G132" s="53" t="n">
        <x:f>Subsurface_Live_Data!I130</x:f>
        <x:v>5015.244142973658</x:v>
      </x:c>
      <x:c r="H132" s="53" t="n">
        <x:f>Subsurface_Live_Data!K130</x:f>
        <x:v>16017.235991847305</x:v>
      </x:c>
      <x:c r="I132" s="54" t="n">
        <x:f>Subsurface_Live_Data!M130/COS(RADIANS(D132))</x:f>
        <x:v>15.7499104515547</x:v>
      </x:c>
      <x:c r="J132" s="54" t="n">
        <x:f>Subsurface_Live_Data!N130/COS(RADIANS(D132))</x:f>
        <x:v>59.56907485987452</x:v>
      </x:c>
      <x:c r="K132" s="54" t="n">
        <x:f>Subsurface_Live_Data!O130/COS(RADIANS(D132))</x:f>
        <x:v>190.24635743473516</x:v>
      </x:c>
      <x:c r="L132" s="53" t="n">
        <x:f>Inputs!$C$21*K132/(2*Inputs!$C$12*1000000)</x:f>
        <x:v>16020.905371040964</x:v>
      </x:c>
      <x:c r="M132" s="53" t="n">
        <x:f>L132*COS(RADIANS(D132))</x:f>
        <x:v>16017.235991847307</x:v>
      </x:c>
      <x:c r="N132" s="54" t="n">
        <x:f>L132-H132</x:f>
        <x:v>3.6693791936595517</x:v>
      </x:c>
      <x:c r="O132" s="55" t="n">
        <x:f>M132-H132</x:f>
        <x:v>1.8189894035458565e-12</x:v>
      </x:c>
      <x:c r="P132" s="54" t="n">
        <x:f>N132-O132</x:f>
        <x:v>3.6693791936577327</x:v>
      </x:c>
      <x:c r="Q132" s="53" t="n">
        <x:f>Inputs!$C$21*J132/(2*Inputs!$C$12*1000000)</x:f>
        <x:v>5016.393082311176</x:v>
      </x:c>
      <x:c r="R132" s="53" t="n">
        <x:f>Q132*COS(RADIANS(D132))</x:f>
        <x:v>5015.244142973658</x:v>
      </x:c>
      <x:c r="S132" s="53" t="n">
        <x:f>Inputs!$C$21*I132/(2*Inputs!$C$12*1000000)*COS(RADIANS(D132))</x:f>
        <x:v>1326.0176749484222</x:v>
      </x:c>
    </x:row>
    <x:row r="133">
      <x:c r="A133" s="53" t="n">
        <x:f>Subsurface_Live_Data!A131</x:f>
        <x:v>4.5</x:v>
      </x:c>
      <x:c r="B133" s="54" t="n">
        <x:f>Model_Data!P131</x:f>
        <x:v>-38.521781712279335</x:v>
      </x:c>
      <x:c r="C133" s="54" t="n">
        <x:f>ABS(B133)*Inputs!$C$13/2</x:f>
        <x:v>96.30445428069834</x:v>
      </x:c>
      <x:c r="D133" s="54" t="n">
        <x:f>DEGREES(ASIN(MIN(1,C133/(Inputs!$C$11*1000))))</x:f>
        <x:v>1.3795929988509728</x:v>
      </x:c>
      <x:c r="E133" s="54" t="n">
        <x:f>Model_Data!I131</x:f>
        <x:v>3.6334525503982564</x:v>
      </x:c>
      <x:c r="F133" s="53" t="n">
        <x:f>Subsurface_Live_Data!F131</x:f>
        <x:v>1312.4196434665566</x:v>
      </x:c>
      <x:c r="G133" s="53" t="n">
        <x:f>Subsurface_Live_Data!I131</x:f>
        <x:v>5035.391892252217</x:v>
      </x:c>
      <x:c r="H133" s="53" t="n">
        <x:f>Subsurface_Live_Data!K131</x:f>
        <x:v>16025.329990466256</x:v>
      </x:c>
      <x:c r="I133" s="54" t="n">
        <x:f>Subsurface_Live_Data!M131/COS(RADIANS(D133))</x:f>
        <x:v>15.589347033312793</x:v>
      </x:c>
      <x:c r="J133" s="54" t="n">
        <x:f>Subsurface_Live_Data!N131/COS(RADIANS(D133))</x:f>
        <x:v>59.812021290467456</x:v>
      </x:c>
      <x:c r="K133" s="54" t="n">
        <x:f>Subsurface_Live_Data!O131/COS(RADIANS(D133))</x:f>
        <x:v>190.35407751507014</x:v>
      </x:c>
      <x:c r="L133" s="53" t="n">
        <x:f>Inputs!$C$21*K133/(2*Inputs!$C$12*1000000)</x:f>
        <x:v>16029.97662600152</x:v>
      </x:c>
      <x:c r="M133" s="53" t="n">
        <x:f>L133*COS(RADIANS(D133))</x:f>
        <x:v>16025.329990466256</x:v>
      </x:c>
      <x:c r="N133" s="54" t="n">
        <x:f>L133-H133</x:f>
        <x:v>4.646635535264068</x:v>
      </x:c>
      <x:c r="O133" s="55" t="n">
        <x:f>M133-H133</x:f>
        <x:v>0</x:v>
      </x:c>
      <x:c r="P133" s="54" t="n">
        <x:f>N133-O133</x:f>
        <x:v>4.646635535264068</x:v>
      </x:c>
      <x:c r="Q133" s="53" t="n">
        <x:f>Inputs!$C$21*J133/(2*Inputs!$C$12*1000000)</x:f>
        <x:v>5036.851932757744</x:v>
      </x:c>
      <x:c r="R133" s="53" t="n">
        <x:f>Q133*COS(RADIANS(D133))</x:f>
        <x:v>5035.391892252217</x:v>
      </x:c>
      <x:c r="S133" s="53" t="n">
        <x:f>Inputs!$C$21*I133/(2*Inputs!$C$12*1000000)*COS(RADIANS(D133))</x:f>
        <x:v>1312.4196434665566</x:v>
      </x:c>
    </x:row>
    <x:row r="134">
      <x:c r="A134" s="53" t="n">
        <x:f>Subsurface_Live_Data!A132</x:f>
        <x:v>5</x:v>
      </x:c>
      <x:c r="B134" s="54" t="n">
        <x:f>Model_Data!P132</x:f>
        <x:v>-42.80098427389021</x:v>
      </x:c>
      <x:c r="C134" s="54" t="n">
        <x:f>ABS(B134)*Inputs!$C$13/2</x:f>
        <x:v>107.00246068472552</x:v>
      </x:c>
      <x:c r="D134" s="54" t="n">
        <x:f>DEGREES(ASIN(MIN(1,C134/(Inputs!$C$11*1000))))</x:f>
        <x:v>1.5328802061086082</x:v>
      </x:c>
      <x:c r="E134" s="54" t="n">
        <x:f>Model_Data!I132</x:f>
        <x:v>3.646717894415093</x:v>
      </x:c>
      <x:c r="F134" s="53" t="n">
        <x:f>Subsurface_Live_Data!F132</x:f>
        <x:v>1296.6359029784055</x:v>
      </x:c>
      <x:c r="G134" s="53" t="n">
        <x:f>Subsurface_Live_Data!I132</x:f>
        <x:v>5055.519735490639</x:v>
      </x:c>
      <x:c r="H134" s="53" t="n">
        <x:f>Subsurface_Live_Data!K132</x:f>
        <x:v>16035.975154282105</x:v>
      </x:c>
      <x:c r="I134" s="54" t="n">
        <x:f>Subsurface_Live_Data!M132/COS(RADIANS(D134))</x:f>
        <x:v>15.402910183528835</x:v>
      </x:c>
      <x:c r="J134" s="54" t="n">
        <x:f>Subsurface_Live_Data!N132/COS(RADIANS(D134))</x:f>
        <x:v>60.05519069613225</x:v>
      </x:c>
      <x:c r="K134" s="54" t="n">
        <x:f>Subsurface_Live_Data!O132/COS(RADIANS(D134))</x:f>
        <x:v>190.4934796571192</x:v>
      </x:c>
      <x:c r="L134" s="53" t="n">
        <x:f>Inputs!$C$21*K134/(2*Inputs!$C$12*1000000)</x:f>
        <x:v>16041.715870612574</x:v>
      </x:c>
      <x:c r="M134" s="53" t="n">
        <x:f>L134*COS(RADIANS(D134))</x:f>
        <x:v>16035.975154282109</x:v>
      </x:c>
      <x:c r="N134" s="54" t="n">
        <x:f>L134-H134</x:f>
        <x:v>5.740716330468786</x:v>
      </x:c>
      <x:c r="O134" s="55" t="n">
        <x:f>M134-H134</x:f>
        <x:v>3.637978807091713e-12</x:v>
      </x:c>
      <x:c r="P134" s="54" t="n">
        <x:f>N134-O134</x:f>
        <x:v>5.740716330465148</x:v>
      </x:c>
      <x:c r="Q134" s="53" t="n">
        <x:f>Inputs!$C$21*J134/(2*Inputs!$C$12*1000000)</x:f>
        <x:v>5057.329560239386</x:v>
      </x:c>
      <x:c r="R134" s="53" t="n">
        <x:f>Q134*COS(RADIANS(D134))</x:f>
        <x:v>5055.519735490639</x:v>
      </x:c>
      <x:c r="S134" s="53" t="n">
        <x:f>Inputs!$C$21*I134/(2*Inputs!$C$12*1000000)*COS(RADIANS(D134))</x:f>
        <x:v>1296.6359029784053</x:v>
      </x:c>
    </x:row>
    <x:row r="135">
      <x:c r="A135" s="53" t="n">
        <x:f>Subsurface_Live_Data!A133</x:f>
        <x:v>5.5</x:v>
      </x:c>
      <x:c r="B135" s="54" t="n">
        <x:f>Model_Data!P133</x:f>
        <x:v>-47.07987260953814</x:v>
      </x:c>
      <x:c r="C135" s="54" t="n">
        <x:f>ABS(B135)*Inputs!$C$13/2</x:f>
        <x:v>117.69968152384536</x:v>
      </x:c>
      <x:c r="D135" s="54" t="n">
        <x:f>DEGREES(ASIN(MIN(1,C135/(Inputs!$C$11*1000))))</x:f>
        <x:v>1.6861671312617983</x:v>
      </x:c>
      <x:c r="E135" s="54" t="n">
        <x:f>Model_Data!I133</x:f>
        <x:v>3.6613222610928524</x:v>
      </x:c>
      <x:c r="F135" s="53" t="n">
        <x:f>Subsurface_Live_Data!F133</x:f>
        <x:v>1280.3466130240581</x:v>
      </x:c>
      <x:c r="G135" s="53" t="n">
        <x:f>Subsurface_Live_Data!I133</x:f>
        <x:v>5075.599293824479</x:v>
      </x:c>
      <x:c r="H135" s="53" t="n">
        <x:f>Subsurface_Live_Data!K133</x:f>
        <x:v>16043.928899152814</x:v>
      </x:c>
      <x:c r="I135" s="54" t="n">
        <x:f>Subsurface_Live_Data!M133/COS(RADIANS(D135))</x:f>
        <x:v>15.210550949408844</x:v>
      </x:c>
      <x:c r="J135" s="54" t="n">
        <x:f>Subsurface_Live_Data!N133/COS(RADIANS(D135))</x:f>
        <x:v>60.298251170560256</x:v>
      </x:c>
      <x:c r="K135" s="54" t="n">
        <x:f>Subsurface_Live_Data!O133/COS(RADIANS(D135))</x:f>
        <x:v>190.60229118181084</x:v>
      </x:c>
      <x:c r="L135" s="53" t="n">
        <x:f>Inputs!$C$21*K135/(2*Inputs!$C$12*1000000)</x:f>
        <x:v>16050.879037591798</x:v>
      </x:c>
      <x:c r="M135" s="53" t="n">
        <x:f>L135*COS(RADIANS(D135))</x:f>
        <x:v>16043.928899152816</x:v>
      </x:c>
      <x:c r="N135" s="54" t="n">
        <x:f>L135-H135</x:f>
        <x:v>6.9501384389841405</x:v>
      </x:c>
      <x:c r="O135" s="55" t="n">
        <x:f>M135-H135</x:f>
        <x:v>1.8189894035458565e-12</x:v>
      </x:c>
      <x:c r="P135" s="54" t="n">
        <x:f>N135-O135</x:f>
        <x:v>6.9501384389823215</x:v>
      </x:c>
      <x:c r="Q135" s="53" t="n">
        <x:f>Inputs!$C$21*J135/(2*Inputs!$C$12*1000000)</x:f>
        <x:v>5077.798014472932</x:v>
      </x:c>
      <x:c r="R135" s="53" t="n">
        <x:f>Q135*COS(RADIANS(D135))</x:f>
        <x:v>5075.599293824479</x:v>
      </x:c>
      <x:c r="S135" s="53" t="n">
        <x:f>Inputs!$C$21*I135/(2*Inputs!$C$12*1000000)*COS(RADIANS(D135))</x:f>
        <x:v>1280.3466130240581</x:v>
      </x:c>
    </x:row>
    <x:row r="136">
      <x:c r="A136" s="53" t="n">
        <x:f>Subsurface_Live_Data!A134</x:f>
        <x:v>6</x:v>
      </x:c>
      <x:c r="B136" s="54" t="n">
        <x:f>Model_Data!P134</x:f>
        <x:v>-51.35841535866348</x:v>
      </x:c>
      <x:c r="C136" s="54" t="n">
        <x:f>ABS(B136)*Inputs!$C$13/2</x:f>
        <x:v>128.3960383966587</x:v>
      </x:c>
      <x:c r="D136" s="54" t="n">
        <x:f>DEGREES(ASIN(MIN(1,C136/(Inputs!$C$11*1000))))</x:f>
        <x:v>1.839453747942456</x:v>
      </x:c>
      <x:c r="E136" s="54" t="n">
        <x:f>Model_Data!I134</x:f>
        <x:v>3.6772492746351846</x:v>
      </x:c>
      <x:c r="F136" s="53" t="n">
        <x:f>Subsurface_Live_Data!F134</x:f>
        <x:v>1263.463693042112</x:v>
      </x:c>
      <x:c r="G136" s="53" t="n">
        <x:f>Subsurface_Live_Data!I134</x:f>
        <x:v>5095.600837370856</x:v>
      </x:c>
      <x:c r="H136" s="53" t="n">
        <x:f>Subsurface_Live_Data!K134</x:f>
        <x:v>16050.16829622489</x:v>
      </x:c>
      <x:c r="I136" s="54" t="n">
        <x:f>Subsurface_Live_Data!M134/COS(RADIANS(D136))</x:f>
        <x:v>15.01121736969587</x:v>
      </x:c>
      <x:c r="J136" s="54" t="n">
        <x:f>Subsurface_Live_Data!N134/COS(RADIANS(D136))</x:f>
        <x:v>60.54085465234554</x:v>
      </x:c>
      <x:c r="K136" s="54" t="n">
        <x:f>Subsurface_Live_Data!O134/COS(RADIANS(D136))</x:f>
        <x:v>190.69211599957117</x:v>
      </x:c>
      <x:c r="L136" s="53" t="n">
        <x:f>Inputs!$C$21*K136/(2*Inputs!$C$12*1000000)</x:f>
        <x:v>16058.443308070946</x:v>
      </x:c>
      <x:c r="M136" s="53" t="n">
        <x:f>L136*COS(RADIANS(D136))</x:f>
        <x:v>16050.168296224887</x:v>
      </x:c>
      <x:c r="N136" s="54" t="n">
        <x:f>L136-H136</x:f>
        <x:v>8.27501184605535</x:v>
      </x:c>
      <x:c r="O136" s="55" t="n">
        <x:f>M136-H136</x:f>
        <x:v>-3.637978807091713e-12</x:v>
      </x:c>
      <x:c r="P136" s="54" t="n">
        <x:f>N136-O136</x:f>
        <x:v>8.275011846058987</x:v>
      </x:c>
      <x:c r="Q136" s="53" t="n">
        <x:f>Inputs!$C$21*J136/(2*Inputs!$C$12*1000000)</x:f>
        <x:v>5098.227984732417</x:v>
      </x:c>
      <x:c r="R136" s="53" t="n">
        <x:f>Q136*COS(RADIANS(D136))</x:f>
        <x:v>5095.600837370856</x:v>
      </x:c>
      <x:c r="S136" s="53" t="n">
        <x:f>Inputs!$C$21*I136/(2*Inputs!$C$12*1000000)*COS(RADIANS(D136))</x:f>
        <x:v>1263.463693042112</x:v>
      </x:c>
    </x:row>
    <x:row r="137">
      <x:c r="A137" s="53" t="n">
        <x:f>Subsurface_Live_Data!A135</x:f>
        <x:v>6.5</x:v>
      </x:c>
      <x:c r="B137" s="54" t="n">
        <x:f>Model_Data!P135</x:f>
        <x:v>-55.63658118935564</x:v>
      </x:c>
      <x:c r="C137" s="54" t="n">
        <x:f>ABS(B137)*Inputs!$C$13/2</x:f>
        <x:v>139.0914529733891</x:v>
      </x:c>
      <x:c r="D137" s="54" t="n">
        <x:f>DEGREES(ASIN(MIN(1,C137/(Inputs!$C$11*1000))))</x:f>
        <x:v>1.9927400307010537</x:v>
      </x:c>
      <x:c r="E137" s="54" t="n">
        <x:f>Model_Data!I135</x:f>
        <x:v>3.694481369413298</x:v>
      </x:c>
      <x:c r="F137" s="53" t="n">
        <x:f>Subsurface_Live_Data!F135</x:f>
        <x:v>1245.9109802235196</x:v>
      </x:c>
      <x:c r="G137" s="53" t="n">
        <x:f>Subsurface_Live_Data!I135</x:f>
        <x:v>5115.493290931494</x:v>
      </x:c>
      <x:c r="H137" s="53" t="n">
        <x:f>Subsurface_Live_Data!K135</x:f>
        <x:v>16055.648842831959</x:v>
      </x:c>
      <x:c r="I137" s="54" t="n">
        <x:f>Subsurface_Live_Data!M135/COS(RADIANS(D137))</x:f>
        <x:v>14.803998459303351</x:v>
      </x:c>
      <x:c r="J137" s="54" t="n">
        <x:f>Subsurface_Live_Data!N135/COS(RADIANS(D137))</x:f>
        <x:v>60.78263696170361</x:v>
      </x:c>
      <x:c r="K137" s="54" t="n">
        <x:f>Subsurface_Live_Data!O135/COS(RADIANS(D137))</x:f>
        <x:v>190.7743045091056</x:v>
      </x:c>
      <x:c r="L137" s="53" t="n">
        <x:f>Inputs!$C$21*K137/(2*Inputs!$C$12*1000000)</x:f>
        <x:v>16065.364514613835</x:v>
      </x:c>
      <x:c r="M137" s="53" t="n">
        <x:f>L137*COS(RADIANS(D137))</x:f>
        <x:v>16055.648842831959</x:v>
      </x:c>
      <x:c r="N137" s="54" t="n">
        <x:f>L137-H137</x:f>
        <x:v>9.715671781876154</x:v>
      </x:c>
      <x:c r="O137" s="55" t="n">
        <x:f>M137-H137</x:f>
        <x:v>0</x:v>
      </x:c>
      <x:c r="P137" s="54" t="n">
        <x:f>N137-O137</x:f>
        <x:v>9.715671781876154</x:v>
      </x:c>
      <x:c r="Q137" s="53" t="n">
        <x:f>Inputs!$C$21*J137/(2*Inputs!$C$12*1000000)</x:f>
        <x:v>5118.588802941229</x:v>
      </x:c>
      <x:c r="R137" s="53" t="n">
        <x:f>Q137*COS(RADIANS(D137))</x:f>
        <x:v>5115.493290931494</x:v>
      </x:c>
      <x:c r="S137" s="53" t="n">
        <x:f>Inputs!$C$21*I137/(2*Inputs!$C$12*1000000)*COS(RADIANS(D137))</x:f>
        <x:v>1245.9109802235196</x:v>
      </x:c>
    </x:row>
    <x:row r="138">
      <x:c r="A138" s="53" t="n">
        <x:f>Subsurface_Live_Data!A136</x:f>
        <x:v>7</x:v>
      </x:c>
      <x:c r="B138" s="54" t="n">
        <x:f>Model_Data!P136</x:f>
        <x:v>-59.914338766157016</x:v>
      </x:c>
      <x:c r="C138" s="54" t="n">
        <x:f>ABS(B138)*Inputs!$C$13/2</x:f>
        <x:v>149.78584691539254</x:v>
      </x:c>
      <x:c r="D138" s="54" t="n">
        <x:f>DEGREES(ASIN(MIN(1,C138/(Inputs!$C$11*1000))))</x:f>
        <x:v>2.1460259538435804</x:v>
      </x:c>
      <x:c r="E138" s="54" t="n">
        <x:f>Model_Data!I136</x:f>
        <x:v>3.7129998776451707</x:v>
      </x:c>
      <x:c r="F138" s="53" t="n">
        <x:f>Subsurface_Live_Data!F136</x:f>
        <x:v>1228.797663151835</x:v>
      </x:c>
      <x:c r="G138" s="53" t="n">
        <x:f>Subsurface_Live_Data!I136</x:f>
        <x:v>5135.244252485441</x:v>
      </x:c>
      <x:c r="H138" s="53" t="n">
        <x:f>Subsurface_Live_Data!K136</x:f>
        <x:v>16057.186598182136</x:v>
      </x:c>
      <x:c r="I138" s="54" t="n">
        <x:f>Subsurface_Live_Data!M136/COS(RADIANS(D138))</x:f>
        <x:v>14.602068367956127</x:v>
      </x:c>
      <x:c r="J138" s="54" t="n">
        <x:f>Subsurface_Live_Data!N136/COS(RADIANS(D138))</x:f>
        <x:v>61.02321798741954</x:v>
      </x:c>
      <x:c r="K138" s="54" t="n">
        <x:f>Subsurface_Live_Data!O136/COS(RADIANS(D138))</x:f>
        <x:v>190.81102083338888</x:v>
      </x:c>
      <x:c r="L138" s="53" t="n">
        <x:f>Inputs!$C$21*K138/(2*Inputs!$C$12*1000000)</x:f>
        <x:v>16068.456446385073</x:v>
      </x:c>
      <x:c r="M138" s="53" t="n">
        <x:f>L138*COS(RADIANS(D138))</x:f>
        <x:v>16057.186598182134</x:v>
      </x:c>
      <x:c r="N138" s="54" t="n">
        <x:f>L138-H138</x:f>
        <x:v>11.269848202937283</x:v>
      </x:c>
      <x:c r="O138" s="55" t="n">
        <x:f>M138-H138</x:f>
        <x:v>-1.8189894035458565e-12</x:v>
      </x:c>
      <x:c r="P138" s="54" t="n">
        <x:f>N138-O138</x:f>
        <x:v>11.269848202939102</x:v>
      </x:c>
      <x:c r="Q138" s="53" t="n">
        <x:f>Inputs!$C$21*J138/(2*Inputs!$C$12*1000000)</x:f>
        <x:v>5138.848459415258</x:v>
      </x:c>
      <x:c r="R138" s="53" t="n">
        <x:f>Q138*COS(RADIANS(D138))</x:f>
        <x:v>5135.244252485441</x:v>
      </x:c>
      <x:c r="S138" s="53" t="n">
        <x:f>Inputs!$C$21*I138/(2*Inputs!$C$12*1000000)*COS(RADIANS(D138))</x:f>
        <x:v>1228.7976631518354</x:v>
      </x:c>
    </x:row>
    <x:row r="139">
      <x:c r="A139" s="53" t="n">
        <x:f>Subsurface_Live_Data!A137</x:f>
        <x:v>7.5</x:v>
      </x:c>
      <x:c r="B139" s="54" t="n">
        <x:f>Model_Data!P137</x:f>
        <x:v>-64.19165678507852</x:v>
      </x:c>
      <x:c r="C139" s="54" t="n">
        <x:f>ABS(B139)*Inputs!$C$13/2</x:f>
        <x:v>160.4791419626963</x:v>
      </x:c>
      <x:c r="D139" s="54" t="n">
        <x:f>DEGREES(ASIN(MIN(1,C139/(Inputs!$C$11*1000))))</x:f>
        <x:v>2.2993114926766522</x:v>
      </x:c>
      <x:c r="E139" s="54" t="n">
        <x:f>Model_Data!I137</x:f>
        <x:v>3.7327851196426796</x:v>
      </x:c>
      <x:c r="F139" s="53" t="n">
        <x:f>Subsurface_Live_Data!F137</x:f>
        <x:v>1209.9183671428161</x:v>
      </x:c>
      <x:c r="G139" s="53" t="n">
        <x:f>Subsurface_Live_Data!I137</x:f>
        <x:v>5154.820026228476</x:v>
      </x:c>
      <x:c r="H139" s="53" t="n">
        <x:f>Subsurface_Live_Data!K137</x:f>
        <x:v>16063.197058525908</x:v>
      </x:c>
      <x:c r="I139" s="54" t="n">
        <x:f>Subsurface_Live_Data!M137/COS(RADIANS(D139))</x:f>
        <x:v>14.379214616396958</x:v>
      </x:c>
      <x:c r="J139" s="54" t="n">
        <x:f>Subsurface_Live_Data!N137/COS(RADIANS(D139))</x:f>
        <x:v>61.262202045149245</x:v>
      </x:c>
      <x:c r="K139" s="54" t="n">
        <x:f>Subsurface_Live_Data!O137/COS(RADIANS(D139))</x:f>
        <x:v>190.90226597308643</x:v>
      </x:c>
      <x:c r="L139" s="53" t="n">
        <x:f>Inputs!$C$21*K139/(2*Inputs!$C$12*1000000)</x:f>
        <x:v>16076.140324112735</x:v>
      </x:c>
      <x:c r="M139" s="53" t="n">
        <x:f>L139*COS(RADIANS(D139))</x:f>
        <x:v>16063.197058525906</x:v>
      </x:c>
      <x:c r="N139" s="54" t="n">
        <x:f>L139-H139</x:f>
        <x:v>12.943265586827692</x:v>
      </x:c>
      <x:c r="O139" s="55" t="n">
        <x:f>M139-H139</x:f>
        <x:v>-1.8189894035458565e-12</x:v>
      </x:c>
      <x:c r="P139" s="54" t="n">
        <x:f>N139-O139</x:f>
        <x:v>12.943265586829511</x:v>
      </x:c>
      <x:c r="Q139" s="53" t="n">
        <x:f>Inputs!$C$21*J139/(2*Inputs!$C$12*1000000)</x:f>
        <x:v>5158.973633035932</x:v>
      </x:c>
      <x:c r="R139" s="53" t="n">
        <x:f>Q139*COS(RADIANS(D139))</x:f>
        <x:v>5154.820026228477</x:v>
      </x:c>
      <x:c r="S139" s="53" t="n">
        <x:f>Inputs!$C$21*I139/(2*Inputs!$C$12*1000000)*COS(RADIANS(D139))</x:f>
        <x:v>1209.9183671428164</x:v>
      </x:c>
    </x:row>
    <x:row r="140">
      <x:c r="A140" s="53" t="n">
        <x:f>Subsurface_Live_Data!A138</x:f>
        <x:v>8</x:v>
      </x:c>
      <x:c r="B140" s="54" t="n">
        <x:f>Model_Data!P138</x:f>
        <x:v>-68.46850397168964</x:v>
      </x:c>
      <x:c r="C140" s="54" t="n">
        <x:f>ABS(B140)*Inputs!$C$13/2</x:f>
        <x:v>171.1712599292241</x:v>
      </x:c>
      <x:c r="D140" s="54" t="n">
        <x:f>DEGREES(ASIN(MIN(1,C140/(Inputs!$C$11*1000))))</x:f>
        <x:v>2.45259662342992</x:v>
      </x:c>
      <x:c r="E140" s="54" t="n">
        <x:f>Model_Data!I138</x:f>
        <x:v>3.75381649570681</x:v>
      </x:c>
      <x:c r="F140" s="53" t="n">
        <x:f>Subsurface_Live_Data!F138</x:f>
        <x:v>1192.0925543866397</x:v>
      </x:c>
      <x:c r="G140" s="53" t="n">
        <x:f>Subsurface_Live_Data!I138</x:f>
        <x:v>5174.185672185306</x:v>
      </x:c>
      <x:c r="H140" s="53" t="n">
        <x:f>Subsurface_Live_Data!K138</x:f>
        <x:v>16064.496639991332</x:v>
      </x:c>
      <x:c r="I140" s="54" t="n">
        <x:f>Subsurface_Live_Data!M138/COS(RADIANS(D140))</x:f>
        <x:v>14.168937365899039</x:v>
      </x:c>
      <x:c r="J140" s="54" t="n">
        <x:f>Subsurface_Live_Data!N138/COS(RADIANS(D140))</x:f>
        <x:v>61.49917843119739</x:v>
      </x:c>
      <x:c r="K140" s="54" t="n">
        <x:f>Subsurface_Live_Data!O138/COS(RADIANS(D140))</x:f>
        <x:v>190.938904759662</x:v>
      </x:c>
      <x:c r="L140" s="53" t="n">
        <x:f>Inputs!$C$21*K140/(2*Inputs!$C$12*1000000)</x:f>
        <x:v>16079.225726327799</x:v>
      </x:c>
      <x:c r="M140" s="53" t="n">
        <x:f>L140*COS(RADIANS(D140))</x:f>
        <x:v>16064.496639991332</x:v>
      </x:c>
      <x:c r="N140" s="54" t="n">
        <x:f>L140-H140</x:f>
        <x:v>14.729086336466935</x:v>
      </x:c>
      <x:c r="O140" s="55" t="n">
        <x:f>M140-H140</x:f>
        <x:v>0</x:v>
      </x:c>
      <x:c r="P140" s="54" t="n">
        <x:f>N140-O140</x:f>
        <x:v>14.729086336466935</x:v>
      </x:c>
      <x:c r="Q140" s="53" t="n">
        <x:f>Inputs!$C$21*J140/(2*Inputs!$C$12*1000000)</x:f>
        <x:v>5178.929737884621</x:v>
      </x:c>
      <x:c r="R140" s="53" t="n">
        <x:f>Q140*COS(RADIANS(D140))</x:f>
        <x:v>5174.185672185307</x:v>
      </x:c>
      <x:c r="S140" s="53" t="n">
        <x:f>Inputs!$C$21*I140/(2*Inputs!$C$12*1000000)*COS(RADIANS(D140))</x:f>
        <x:v>1192.0925543866394</x:v>
      </x:c>
    </x:row>
    <x:row r="141">
      <x:c r="A141" s="53" t="n">
        <x:f>Subsurface_Live_Data!A139</x:f>
        <x:v>8.5</x:v>
      </x:c>
      <x:c r="B141" s="54" t="n">
        <x:f>Model_Data!P139</x:f>
        <x:v>-72.74484905628924</x:v>
      </x:c>
      <x:c r="C141" s="54" t="n">
        <x:f>ABS(B141)*Inputs!$C$13/2</x:f>
        <x:v>181.8621226407231</x:v>
      </x:c>
      <x:c r="D141" s="54" t="n">
        <x:f>DEGREES(ASIN(MIN(1,C141/(Inputs!$C$11*1000))))</x:f>
        <x:v>2.605881322356941</x:v>
      </x:c>
      <x:c r="E141" s="54" t="n">
        <x:f>Model_Data!I139</x:f>
        <x:v>3.776072578786574</x:v>
      </x:c>
      <x:c r="F141" s="53" t="n">
        <x:f>Subsurface_Live_Data!F139</x:f>
        <x:v>1174.0683715077432</x:v>
      </x:c>
      <x:c r="G141" s="53" t="n">
        <x:f>Subsurface_Live_Data!I139</x:f>
        <x:v>5193.305074644272</x:v>
      </x:c>
      <x:c r="H141" s="53" t="n">
        <x:f>Subsurface_Live_Data!K139</x:f>
        <x:v>16066.128989193123</x:v>
      </x:c>
      <x:c r="I141" s="54" t="n">
        <x:f>Subsurface_Live_Data!M139/COS(RADIANS(D141))</x:f>
        <x:v>13.956355278037911</x:v>
      </x:c>
      <x:c r="J141" s="54" t="n">
        <x:f>Subsurface_Live_Data!N139/COS(RADIANS(D141))</x:f>
        <x:v>61.73372219872856</x:v>
      </x:c>
      <x:c r="K141" s="54" t="n">
        <x:f>Subsurface_Live_Data!O139/COS(RADIANS(D141))</x:f>
        <x:v>190.98087433188684</x:v>
      </x:c>
      <x:c r="L141" s="53" t="n">
        <x:f>Inputs!$C$21*K141/(2*Inputs!$C$12*1000000)</x:f>
        <x:v>16082.760041276815</x:v>
      </x:c>
      <x:c r="M141" s="53" t="n">
        <x:f>L141*COS(RADIANS(D141))</x:f>
        <x:v>16066.128989193125</x:v>
      </x:c>
      <x:c r="N141" s="54" t="n">
        <x:f>L141-H141</x:f>
        <x:v>16.63105208369234</x:v>
      </x:c>
      <x:c r="O141" s="55" t="n">
        <x:f>M141-H141</x:f>
        <x:v>1.8189894035458565e-12</x:v>
      </x:c>
      <x:c r="P141" s="54" t="n">
        <x:f>N141-O141</x:f>
        <x:v>16.63105208369052</x:v>
      </x:c>
      <x:c r="Q141" s="53" t="n">
        <x:f>Inputs!$C$21*J141/(2*Inputs!$C$12*1000000)</x:f>
        <x:v>5198.680988608427</x:v>
      </x:c>
      <x:c r="R141" s="53" t="n">
        <x:f>Q141*COS(RADIANS(D141))</x:f>
        <x:v>5193.305074644272</x:v>
      </x:c>
      <x:c r="S141" s="53" t="n">
        <x:f>Inputs!$C$21*I141/(2*Inputs!$C$12*1000000)*COS(RADIANS(D141))</x:f>
        <x:v>1174.0683715077432</x:v>
      </x:c>
    </x:row>
    <x:row r="142">
      <x:c r="A142" s="53" t="n">
        <x:f>Subsurface_Live_Data!A140</x:f>
        <x:v>9</x:v>
      </x:c>
      <x:c r="B142" s="54" t="n">
        <x:f>Model_Data!P140</x:f>
        <x:v>-77.0206608074659</x:v>
      </x:c>
      <x:c r="C142" s="54" t="n">
        <x:f>ABS(B142)*Inputs!$C$13/2</x:f>
        <x:v>192.55165201866475</x:v>
      </x:c>
      <x:c r="D142" s="54" t="n">
        <x:f>DEGREES(ASIN(MIN(1,C142/(Inputs!$C$11*1000))))</x:f>
        <x:v>2.7591655669288317</x:v>
      </x:c>
      <x:c r="E142" s="54" t="n">
        <x:f>Model_Data!I140</x:f>
        <x:v>3.79953120706518</x:v>
      </x:c>
      <x:c r="F142" s="53" t="n">
        <x:f>Subsurface_Live_Data!F140</x:f>
        <x:v>1157.2501029632047</x:v>
      </x:c>
      <x:c r="G142" s="53" t="n">
        <x:f>Subsurface_Live_Data!I140</x:f>
        <x:v>5212.141031823048</x:v>
      </x:c>
      <x:c r="H142" s="53" t="n">
        <x:f>Subsurface_Live_Data!K140</x:f>
        <x:v>16063.809243256452</x:v>
      </x:c>
      <x:c r="I142" s="54" t="n">
        <x:f>Subsurface_Live_Data!M140/COS(RADIANS(D142))</x:f>
        <x:v>13.758158023871779</x:v>
      </x:c>
      <x:c r="J142" s="54" t="n">
        <x:f>Subsurface_Live_Data!N140/COS(RADIANS(D142))</x:f>
        <x:v>61.96539518545858</x:v>
      </x:c>
      <x:c r="K142" s="54" t="n">
        <x:f>Subsurface_Live_Data!O140/COS(RADIANS(D142))</x:f>
        <x:v>190.97723600814533</x:v>
      </x:c>
      <x:c r="L142" s="53" t="n">
        <x:f>Inputs!$C$21*K142/(2*Inputs!$C$12*1000000)</x:f>
        <x:v>16082.45365306966</x:v>
      </x:c>
      <x:c r="M142" s="53" t="n">
        <x:f>L142*COS(RADIANS(D142))</x:f>
        <x:v>16063.80924325645</x:v>
      </x:c>
      <x:c r="N142" s="54" t="n">
        <x:f>L142-H142</x:f>
        <x:v>18.644409813208767</x:v>
      </x:c>
      <x:c r="O142" s="55" t="n">
        <x:f>M142-H142</x:f>
        <x:v>-1.8189894035458565e-12</x:v>
      </x:c>
      <x:c r="P142" s="54" t="n">
        <x:f>N142-O142</x:f>
        <x:v>18.644409813210586</x:v>
      </x:c>
      <x:c r="Q142" s="53" t="n">
        <x:f>Inputs!$C$21*J142/(2*Inputs!$C$12*1000000)</x:f>
        <x:v>5218.190486963481</x:v>
      </x:c>
      <x:c r="R142" s="53" t="n">
        <x:f>Q142*COS(RADIANS(D142))</x:f>
        <x:v>5212.141031823048</x:v>
      </x:c>
      <x:c r="S142" s="53" t="n">
        <x:f>Inputs!$C$21*I142/(2*Inputs!$C$12*1000000)*COS(RADIANS(D142))</x:f>
        <x:v>1157.2501029632047</x:v>
      </x:c>
    </x:row>
    <x:row r="143">
      <x:c r="A143" s="53" t="n">
        <x:f>Subsurface_Live_Data!A141</x:f>
        <x:v>9.5</x:v>
      </x:c>
      <x:c r="B143" s="54" t="n">
        <x:f>Model_Data!P141</x:f>
        <x:v>-81.2959080145447</x:v>
      </x:c>
      <x:c r="C143" s="54" t="n">
        <x:f>ABS(B143)*Inputs!$C$13/2</x:f>
        <x:v>203.23977003636173</x:v>
      </x:c>
      <x:c r="D143" s="54" t="n">
        <x:f>DEGREES(ASIN(MIN(1,C143/(Inputs!$C$11*1000))))</x:f>
        <x:v>2.912449335196128</x:v>
      </x:c>
      <x:c r="E143" s="54" t="n">
        <x:f>Model_Data!I141</x:f>
        <x:v>3.8241695756954894</x:v>
      </x:c>
      <x:c r="F143" s="53" t="n">
        <x:f>Subsurface_Live_Data!F141</x:f>
        <x:v>1140.8522774257192</x:v>
      </x:c>
      <x:c r="G143" s="53" t="n">
        <x:f>Subsurface_Live_Data!I141</x:f>
        <x:v>5230.6553692487305</x:v>
      </x:c>
      <x:c r="H143" s="53" t="n">
        <x:f>Subsurface_Live_Data!K141</x:f>
        <x:v>16060.87573901286</x:v>
      </x:c>
      <x:c r="I143" s="54" t="n">
        <x:f>Subsurface_Live_Data!M141/COS(RADIANS(D143))</x:f>
        <x:v>13.56500730132102</x:v>
      </x:c>
      <x:c r="J143" s="54" t="n">
        <x:f>Subsurface_Live_Data!N141/COS(RADIANS(D143))</x:f>
        <x:v>62.193747322534335</x:v>
      </x:c>
      <x:c r="K143" s="54" t="n">
        <x:f>Subsurface_Live_Data!O141/COS(RADIANS(D143))</x:f>
        <x:v>190.96766599521848</x:v>
      </x:c>
      <x:c r="L143" s="53" t="n">
        <x:f>Inputs!$C$21*K143/(2*Inputs!$C$12*1000000)</x:f>
        <x:v>16081.64774922179</x:v>
      </x:c>
      <x:c r="M143" s="53" t="n">
        <x:f>L143*COS(RADIANS(D143))</x:f>
        <x:v>16060.875739012861</x:v>
      </x:c>
      <x:c r="N143" s="54" t="n">
        <x:f>L143-H143</x:f>
        <x:v>20.772010208929714</x:v>
      </x:c>
      <x:c r="O143" s="55" t="n">
        <x:f>M143-H143</x:f>
        <x:v>1.8189894035458565e-12</x:v>
      </x:c>
      <x:c r="P143" s="54" t="n">
        <x:f>N143-O143</x:f>
        <x:v>20.772010208927895</x:v>
      </x:c>
      <x:c r="Q143" s="53" t="n">
        <x:f>Inputs!$C$21*J143/(2*Inputs!$C$12*1000000)</x:f>
        <x:v>5237.420332037496</x:v>
      </x:c>
      <x:c r="R143" s="53" t="n">
        <x:f>Q143*COS(RADIANS(D143))</x:f>
        <x:v>5230.6553692487305</x:v>
      </x:c>
      <x:c r="S143" s="53" t="n">
        <x:f>Inputs!$C$21*I143/(2*Inputs!$C$12*1000000)*COS(RADIANS(D143))</x:f>
        <x:v>1140.8522774257192</x:v>
      </x:c>
    </x:row>
    <x:row r="144">
      <x:c r="A144" s="53" t="n">
        <x:f>Subsurface_Live_Data!A142</x:f>
        <x:v>10</x:v>
      </x:c>
      <x:c r="B144" s="54" t="n">
        <x:f>Model_Data!P142</x:f>
        <x:v>-85.5705594970459</x:v>
      </x:c>
      <x:c r="C144" s="54" t="n">
        <x:f>ABS(B144)*Inputs!$C$13/2</x:f>
        <x:v>213.92639874261477</x:v>
      </x:c>
      <x:c r="D144" s="54" t="n">
        <x:f>DEGREES(ASIN(MIN(1,C144/(Inputs!$C$11*1000))))</x:f>
        <x:v>3.0657326061189285</x:v>
      </x:c>
      <x:c r="E144" s="54" t="n">
        <x:f>Model_Data!I142</x:f>
        <x:v>3.8499643269735215</x:v>
      </x:c>
      <x:c r="F144" s="53" t="n">
        <x:f>Subsurface_Live_Data!F142</x:f>
        <x:v>1124.3650898453727</x:v>
      </x:c>
      <x:c r="G144" s="53" t="n">
        <x:f>Subsurface_Live_Data!I142</x:f>
        <x:v>5248.80907930769</x:v>
      </x:c>
      <x:c r="H144" s="53" t="n">
        <x:f>Subsurface_Live_Data!K142</x:f>
        <x:v>16059.65300237692</x:v>
      </x:c>
      <x:c r="I144" s="54" t="n">
        <x:f>Subsurface_Live_Data!M142/COS(RADIANS(D144))</x:f>
        <x:v>13.370838403844566</x:v>
      </x:c>
      <x:c r="J144" s="54" t="n">
        <x:f>Subsurface_Live_Data!N142/COS(RADIANS(D144))</x:f>
        <x:v>62.418318254355334</x:v>
      </x:c>
      <x:c r="K144" s="54" t="n">
        <x:f>Subsurface_Live_Data!O142/COS(RADIANS(D144))</x:f>
        <x:v>190.97980456341784</x:v>
      </x:c>
      <x:c r="L144" s="53" t="n">
        <x:f>Inputs!$C$21*K144/(2*Inputs!$C$12*1000000)</x:f>
        <x:v>16082.669954614228</x:v>
      </x:c>
      <x:c r="M144" s="53" t="n">
        <x:f>L144*COS(RADIANS(D144))</x:f>
        <x:v>16059.653002376921</x:v>
      </x:c>
      <x:c r="N144" s="54" t="n">
        <x:f>L144-H144</x:f>
        <x:v>23.016952237308942</x:v>
      </x:c>
      <x:c r="O144" s="55" t="n">
        <x:f>M144-H144</x:f>
        <x:v>1.8189894035458565e-12</x:v>
      </x:c>
      <x:c r="P144" s="54" t="n">
        <x:f>N144-O144</x:f>
        <x:v>23.016952237307123</x:v>
      </x:c>
      <x:c r="Q144" s="53" t="n">
        <x:f>Inputs!$C$21*J144/(2*Inputs!$C$12*1000000)</x:f>
        <x:v>5256.33175665715</x:v>
      </x:c>
      <x:c r="R144" s="53" t="n">
        <x:f>Q144*COS(RADIANS(D144))</x:f>
        <x:v>5248.809079307691</x:v>
      </x:c>
      <x:c r="S144" s="53" t="n">
        <x:f>Inputs!$C$21*I144/(2*Inputs!$C$12*1000000)*COS(RADIANS(D144))</x:f>
        <x:v>1124.3650898453727</x:v>
      </x:c>
    </x:row>
    <x:row r="145">
      <x:c r="A145" s="53" t="n">
        <x:f>Subsurface_Live_Data!A143</x:f>
        <x:v>10.5</x:v>
      </x:c>
      <x:c r="B145" s="54" t="n">
        <x:f>Model_Data!P143</x:f>
        <x:v>-89.8445841135981</x:v>
      </x:c>
      <x:c r="C145" s="54" t="n">
        <x:f>ABS(B145)*Inputs!$C$13/2</x:f>
        <x:v>224.61146028399526</x:v>
      </x:c>
      <x:c r="D145" s="54" t="n">
        <x:f>DEGREES(ASIN(MIN(1,C145/(Inputs!$C$11*1000))))</x:f>
        <x:v>3.219015359877823</x:v>
      </x:c>
      <x:c r="E145" s="54" t="n">
        <x:f>Model_Data!I143</x:f>
        <x:v>3.8768916383114713</x:v>
      </x:c>
      <x:c r="F145" s="53" t="n">
        <x:f>Subsurface_Live_Data!F143</x:f>
        <x:v>1109.0822191427314</x:v>
      </x:c>
      <x:c r="G145" s="53" t="n">
        <x:f>Subsurface_Live_Data!I143</x:f>
        <x:v>5266.562489272529</x:v>
      </x:c>
      <x:c r="H145" s="53" t="n">
        <x:f>Subsurface_Live_Data!K143</x:f>
        <x:v>16056.097371463005</x:v>
      </x:c>
      <x:c r="I145" s="54" t="n">
        <x:f>Subsurface_Live_Data!M143/COS(RADIANS(D145))</x:f>
        <x:v>13.191033281650101</x:v>
      </x:c>
      <x:c r="J145" s="54" t="n">
        <x:f>Subsurface_Live_Data!N143/COS(RADIANS(D145))</x:f>
        <x:v>62.63863929725793</x:v>
      </x:c>
      <x:c r="K145" s="54" t="n">
        <x:f>Subsurface_Live_Data!O143/COS(RADIANS(D145))</x:f>
        <x:v>190.96556697491013</x:v>
      </x:c>
      <x:c r="L145" s="53" t="n">
        <x:f>Inputs!$C$21*K145/(2*Inputs!$C$12*1000000)</x:f>
        <x:v>16081.470987857285</x:v>
      </x:c>
      <x:c r="M145" s="53" t="n">
        <x:f>L145*COS(RADIANS(D145))</x:f>
        <x:v>16056.097371463009</x:v>
      </x:c>
      <x:c r="N145" s="54" t="n">
        <x:f>L145-H145</x:f>
        <x:v>25.373616394279452</x:v>
      </x:c>
      <x:c r="O145" s="55" t="n">
        <x:f>M145-H145</x:f>
        <x:v>3.637978807091713e-12</x:v>
      </x:c>
      <x:c r="P145" s="54" t="n">
        <x:f>N145-O145</x:f>
        <x:v>25.373616394275814</x:v>
      </x:c>
      <x:c r="Q145" s="53" t="n">
        <x:f>Inputs!$C$21*J145/(2*Inputs!$C$12*1000000)</x:f>
        <x:v>5274.885292331558</x:v>
      </x:c>
      <x:c r="R145" s="53" t="n">
        <x:f>Q145*COS(RADIANS(D145))</x:f>
        <x:v>5266.562489272528</x:v>
      </x:c>
      <x:c r="S145" s="53" t="n">
        <x:f>Inputs!$C$21*I145/(2*Inputs!$C$12*1000000)*COS(RADIANS(D145))</x:f>
        <x:v>1109.0822191427314</x:v>
      </x:c>
    </x:row>
    <x:row r="146">
      <x:c r="A146" s="53" t="n">
        <x:f>Subsurface_Live_Data!A144</x:f>
        <x:v>11</x:v>
      </x:c>
      <x:c r="B146" s="54" t="n">
        <x:f>Model_Data!P144</x:f>
        <x:v>-94.1179507391098</x:v>
      </x:c>
      <x:c r="C146" s="54" t="n">
        <x:f>ABS(B146)*Inputs!$C$13/2</x:f>
        <x:v>235.2948768477745</x:v>
      </x:c>
      <x:c r="D146" s="54" t="n">
        <x:f>DEGREES(ASIN(MIN(1,C146/(Inputs!$C$11*1000))))</x:f>
        <x:v>3.372297577046574</x:v>
      </x:c>
      <x:c r="E146" s="54" t="n">
        <x:f>Model_Data!I144</x:f>
        <x:v>3.904927307448456</x:v>
      </x:c>
      <x:c r="F146" s="53" t="n">
        <x:f>Subsurface_Live_Data!F144</x:f>
        <x:v>1095.739304862709</x:v>
      </x:c>
      <x:c r="G146" s="53" t="n">
        <x:f>Subsurface_Live_Data!I144</x:f>
        <x:v>5283.87545983024</x:v>
      </x:c>
      <x:c r="H146" s="53" t="n">
        <x:f>Subsurface_Live_Data!K144</x:f>
        <x:v>16048.05644574271</x:v>
      </x:c>
      <x:c r="I146" s="54" t="n">
        <x:f>Subsurface_Live_Data!M144/COS(RADIANS(D146))</x:f>
        <x:v>13.034345174250197</x:v>
      </x:c>
      <x:c r="J146" s="54" t="n">
        <x:f>Subsurface_Live_Data!N144/COS(RADIANS(D146))</x:f>
        <x:v>62.85423576167749</x:v>
      </x:c>
      <x:c r="K146" s="54" t="n">
        <x:f>Subsurface_Live_Data!O144/COS(RADIANS(D146))</x:f>
        <x:v>190.89933724324143</x:v>
      </x:c>
      <x:c r="L146" s="53" t="n">
        <x:f>Inputs!$C$21*K146/(2*Inputs!$C$12*1000000)</x:f>
        <x:v>16075.893691775924</x:v>
      </x:c>
      <x:c r="M146" s="53" t="n">
        <x:f>L146*COS(RADIANS(D146))</x:f>
        <x:v>16048.05644574271</x:v>
      </x:c>
      <x:c r="N146" s="54" t="n">
        <x:f>L146-H146</x:f>
        <x:v>27.837246033213887</x:v>
      </x:c>
      <x:c r="O146" s="55" t="n">
        <x:f>M146-H146</x:f>
        <x:v>0</x:v>
      </x:c>
      <x:c r="P146" s="54" t="n">
        <x:f>N146-O146</x:f>
        <x:v>27.837246033213887</x:v>
      </x:c>
      <x:c r="Q146" s="53" t="n">
        <x:f>Inputs!$C$21*J146/(2*Inputs!$C$12*1000000)</x:f>
        <x:v>5293.040964804718</x:v>
      </x:c>
      <x:c r="R146" s="53" t="n">
        <x:f>Q146*COS(RADIANS(D146))</x:f>
        <x:v>5283.87545983024</x:v>
      </x:c>
      <x:c r="S146" s="53" t="n">
        <x:f>Inputs!$C$21*I146/(2*Inputs!$C$12*1000000)*COS(RADIANS(D146))</x:f>
        <x:v>1095.7393048627093</x:v>
      </x:c>
    </x:row>
    <x:row r="147">
      <x:c r="A147" s="53" t="n">
        <x:f>Subsurface_Live_Data!A145</x:f>
        <x:v>11.5</x:v>
      </x:c>
      <x:c r="B147" s="54" t="n">
        <x:f>Model_Data!P145</x:f>
        <x:v>-98.39062828850729</x:v>
      </x:c>
      <x:c r="C147" s="54" t="n">
        <x:f>ABS(B147)*Inputs!$C$13/2</x:f>
        <x:v>245.97657072126822</x:v>
      </x:c>
      <x:c r="D147" s="54" t="n">
        <x:f>DEGREES(ASIN(MIN(1,C147/(Inputs!$C$11*1000))))</x:f>
        <x:v>3.525579239434834</x:v>
      </x:c>
      <x:c r="E147" s="54" t="n">
        <x:f>Model_Data!I145</x:f>
        <x:v>3.934046834415676</x:v>
      </x:c>
      <x:c r="F147" s="53" t="n">
        <x:f>Subsurface_Live_Data!F145</x:f>
        <x:v>1082.80388950115</x:v>
      </x:c>
      <x:c r="G147" s="53" t="n">
        <x:f>Subsurface_Live_Data!I145</x:f>
        <x:v>5300.707615705744</x:v>
      </x:c>
      <x:c r="H147" s="53" t="n">
        <x:f>Subsurface_Live_Data!K145</x:f>
        <x:v>16041.249630235392</x:v>
      </x:c>
      <x:c r="I147" s="54" t="n">
        <x:f>Subsurface_Live_Data!M145/COS(RADIANS(D147))</x:f>
        <x:v>12.882549130025033</x:v>
      </x:c>
      <x:c r="J147" s="54" t="n">
        <x:f>Subsurface_Live_Data!N145/COS(RADIANS(D147))</x:f>
        <x:v>63.064629657626064</x:v>
      </x:c>
      <x:c r="K147" s="54" t="n">
        <x:f>Subsurface_Live_Data!O145/COS(RADIANS(D147))</x:f>
        <x:v>190.84913572272853</x:v>
      </x:c>
      <x:c r="L147" s="53" t="n">
        <x:f>Inputs!$C$21*K147/(2*Inputs!$C$12*1000000)</x:f>
        <x:v>16071.6661532282</x:v>
      </x:c>
      <x:c r="M147" s="53" t="n">
        <x:f>L147*COS(RADIANS(D147))</x:f>
        <x:v>16041.249630235392</x:v>
      </x:c>
      <x:c r="N147" s="54" t="n">
        <x:f>L147-H147</x:f>
        <x:v>30.416522992807586</x:v>
      </x:c>
      <x:c r="O147" s="55" t="n">
        <x:f>M147-H147</x:f>
        <x:v>0</x:v>
      </x:c>
      <x:c r="P147" s="54" t="n">
        <x:f>N147-O147</x:f>
        <x:v>30.416522992807586</x:v>
      </x:c>
      <x:c r="Q147" s="53" t="n">
        <x:f>Inputs!$C$21*J147/(2*Inputs!$C$12*1000000)</x:f>
        <x:v>5310.758521887476</x:v>
      </x:c>
      <x:c r="R147" s="53" t="n">
        <x:f>Q147*COS(RADIANS(D147))</x:f>
        <x:v>5300.707615705742</x:v>
      </x:c>
      <x:c r="S147" s="53" t="n">
        <x:f>Inputs!$C$21*I147/(2*Inputs!$C$12*1000000)*COS(RADIANS(D147))</x:f>
        <x:v>1082.80388950115</x:v>
      </x:c>
    </x:row>
    <x:row r="148">
      <x:c r="A148" s="53" t="n">
        <x:f>Subsurface_Live_Data!A146</x:f>
        <x:v>12</x:v>
      </x:c>
      <x:c r="B148" s="54" t="n">
        <x:f>Model_Data!P146</x:f>
        <x:v>-102.66258570945865</x:v>
      </x:c>
      <x:c r="C148" s="54" t="n">
        <x:f>ABS(B148)*Inputs!$C$13/2</x:f>
        <x:v>256.65646427364663</x:v>
      </x:c>
      <x:c r="D148" s="54" t="n">
        <x:f>DEGREES(ASIN(MIN(1,C148/(Inputs!$C$11*1000))))</x:f>
        <x:v>3.678860329818849</x:v>
      </x:c>
      <x:c r="E148" s="54" t="n">
        <x:f>Model_Data!I146</x:f>
        <x:v>3.964225499851384</x:v>
      </x:c>
      <x:c r="F148" s="53" t="n">
        <x:f>Subsurface_Live_Data!F146</x:f>
        <x:v>1071.0085467117644</x:v>
      </x:c>
      <x:c r="G148" s="53" t="n">
        <x:f>Subsurface_Live_Data!I146</x:f>
        <x:v>5317.018609391271</x:v>
      </x:c>
      <x:c r="H148" s="53" t="n">
        <x:f>Subsurface_Live_Data!K146</x:f>
        <x:v>16033.398823391757</x:v>
      </x:c>
      <x:c r="I148" s="54" t="n">
        <x:f>Subsurface_Live_Data!M146/COS(RADIANS(D148))</x:f>
        <x:v>12.744361428381842</x:v>
      </x:c>
      <x:c r="J148" s="54" t="n">
        <x:f>Subsurface_Live_Data!N146/COS(RADIANS(D148))</x:f>
        <x:v>63.269342796151406</x:v>
      </x:c>
      <x:c r="K148" s="54" t="n">
        <x:f>Subsurface_Live_Data!O146/COS(RADIANS(D148))</x:f>
        <x:v>190.78786080470798</x:v>
      </x:c>
      <x:c r="L148" s="53" t="n">
        <x:f>Inputs!$C$21*K148/(2*Inputs!$C$12*1000000)</x:f>
        <x:v>16066.506108765523</x:v>
      </x:c>
      <x:c r="M148" s="53" t="n">
        <x:f>L148*COS(RADIANS(D148))</x:f>
        <x:v>16033.398823391757</x:v>
      </x:c>
      <x:c r="N148" s="54" t="n">
        <x:f>L148-H148</x:f>
        <x:v>33.10728537376599</x:v>
      </x:c>
      <x:c r="O148" s="55" t="n">
        <x:f>M148-H148</x:f>
        <x:v>0</x:v>
      </x:c>
      <x:c r="P148" s="54" t="n">
        <x:f>N148-O148</x:f>
        <x:v>33.10728537376599</x:v>
      </x:c>
      <x:c r="Q148" s="53" t="n">
        <x:f>Inputs!$C$21*J148/(2*Inputs!$C$12*1000000)</x:f>
        <x:v>5327.997694635625</x:v>
      </x:c>
      <x:c r="R148" s="53" t="n">
        <x:f>Q148*COS(RADIANS(D148))</x:f>
        <x:v>5317.018609391271</x:v>
      </x:c>
      <x:c r="S148" s="53" t="n">
        <x:f>Inputs!$C$21*I148/(2*Inputs!$C$12*1000000)*COS(RADIANS(D148))</x:f>
        <x:v>1071.0085467117647</x:v>
      </x:c>
    </x:row>
    <x:row r="149">
      <x:c r="A149" s="53" t="n">
        <x:f>Subsurface_Live_Data!A147</x:f>
        <x:v>12.5</x:v>
      </x:c>
      <x:c r="B149" s="54" t="n">
        <x:f>Model_Data!P147</x:f>
        <x:v>-106.9337919834652</x:v>
      </x:c>
      <x:c r="C149" s="54" t="n">
        <x:f>ABS(B149)*Inputs!$C$13/2</x:f>
        <x:v>267.334479958663</x:v>
      </x:c>
      <x:c r="D149" s="54" t="n">
        <x:f>DEGREES(ASIN(MIN(1,C149/(Inputs!$C$11*1000))))</x:f>
        <x:v>3.8321408319723322</x:v>
      </x:c>
      <x:c r="E149" s="54" t="n">
        <x:f>Model_Data!I147</x:f>
        <x:v>3.9954384393380815</x:v>
      </x:c>
      <x:c r="F149" s="53" t="n">
        <x:f>Subsurface_Live_Data!F147</x:f>
        <x:v>1061.3695000412065</x:v>
      </x:c>
      <x:c r="G149" s="53" t="n">
        <x:f>Subsurface_Live_Data!I147</x:f>
        <x:v>5332.768418252719</x:v>
      </x:c>
      <x:c r="H149" s="53" t="n">
        <x:f>Subsurface_Live_Data!K147</x:f>
        <x:v>16021.161227495551</x:v>
      </x:c>
      <x:c r="I149" s="54" t="n">
        <x:f>Subsurface_Live_Data!M147/COS(RADIANS(D149))</x:f>
        <x:v>12.631880538808867</x:v>
      </x:c>
      <x:c r="J149" s="54" t="n">
        <x:f>Subsurface_Live_Data!N147/COS(RADIANS(D149))</x:f>
        <x:v>63.46790029097856</x:v>
      </x:c>
      <x:c r="K149" s="54" t="n">
        <x:f>Subsurface_Live_Data!O147/COS(RADIANS(D149))</x:f>
        <x:v>190.6757210480075</x:v>
      </x:c>
      <x:c r="L149" s="53" t="n">
        <x:f>Inputs!$C$21*K149/(2*Inputs!$C$12*1000000)</x:f>
        <x:v>16057.062666827107</x:v>
      </x:c>
      <x:c r="M149" s="53" t="n">
        <x:f>L149*COS(RADIANS(D149))</x:f>
        <x:v>16021.161227495555</x:v>
      </x:c>
      <x:c r="N149" s="54" t="n">
        <x:f>L149-H149</x:f>
        <x:v>35.90143933155559</x:v>
      </x:c>
      <x:c r="O149" s="55" t="n">
        <x:f>M149-H149</x:f>
        <x:v>3.637978807091713e-12</x:v>
      </x:c>
      <x:c r="P149" s="54" t="n">
        <x:f>N149-O149</x:f>
        <x:v>35.901439331551956</x:v>
      </x:c>
      <x:c r="Q149" s="53" t="n">
        <x:f>Inputs!$C$21*J149/(2*Inputs!$C$12*1000000)</x:f>
        <x:v>5344.718492227916</x:v>
      </x:c>
      <x:c r="R149" s="53" t="n">
        <x:f>Q149*COS(RADIANS(D149))</x:f>
        <x:v>5332.768418252719</x:v>
      </x:c>
      <x:c r="S149" s="53" t="n">
        <x:f>Inputs!$C$21*I149/(2*Inputs!$C$12*1000000)*COS(RADIANS(D149))</x:f>
        <x:v>1061.3695000412065</x:v>
      </x:c>
    </x:row>
    <x:row r="150">
      <x:c r="A150" s="53" t="n">
        <x:f>Subsurface_Live_Data!A148</x:f>
        <x:v>13</x:v>
      </x:c>
      <x:c r="B150" s="54" t="n">
        <x:f>Model_Data!P148</x:f>
        <x:v>-111.20421613486542</x:v>
      </x:c>
      <x:c r="C150" s="54" t="n">
        <x:f>ABS(B150)*Inputs!$C$13/2</x:f>
        <x:v>278.01054033716355</x:v>
      </x:c>
      <x:c r="D150" s="54" t="n">
        <x:f>DEGREES(ASIN(MIN(1,C150/(Inputs!$C$11*1000))))</x:f>
        <x:v>3.9854207309815037</x:v>
      </x:c>
      <x:c r="E150" s="54" t="n">
        <x:f>Model_Data!I148</x:f>
        <x:v>4.027660713508556</x:v>
      </x:c>
      <x:c r="F150" s="53" t="n">
        <x:f>Subsurface_Live_Data!F148</x:f>
        <x:v>1052.3428192874937</x:v>
      </x:c>
      <x:c r="G150" s="53" t="n">
        <x:f>Subsurface_Live_Data!I148</x:f>
        <x:v>5347.917674393985</x:v>
      </x:c>
      <x:c r="H150" s="53" t="n">
        <x:f>Subsurface_Live_Data!K148</x:f>
        <x:v>16010.081996804991</x:v>
      </x:c>
      <x:c r="I150" s="54" t="n">
        <x:f>Subsurface_Live_Data!M148/COS(RADIANS(D150))</x:f>
        <x:v>12.52673914286407</x:v>
      </x:c>
      <x:c r="J150" s="54" t="n">
        <x:f>Subsurface_Live_Data!N148/COS(RADIANS(D150))</x:f>
        <x:v>63.65983445395081</x:v>
      </x:c>
      <x:c r="K150" s="54" t="n">
        <x:f>Subsurface_Live_Data!O148/COS(RADIANS(D150))</x:f>
        <x:v>190.57869465544408</x:v>
      </x:c>
      <x:c r="L150" s="53" t="n">
        <x:f>Inputs!$C$21*K150/(2*Inputs!$C$12*1000000)</x:f>
        <x:v>16048.891941906473</x:v>
      </x:c>
      <x:c r="M150" s="53" t="n">
        <x:f>L150*COS(RADIANS(D150))</x:f>
        <x:v>16010.081996804993</x:v>
      </x:c>
      <x:c r="N150" s="54" t="n">
        <x:f>L150-H150</x:f>
        <x:v>38.8099451014823</x:v>
      </x:c>
      <x:c r="O150" s="55" t="n">
        <x:f>M150-H150</x:f>
        <x:v>1.8189894035458565e-12</x:v>
      </x:c>
      <x:c r="P150" s="54" t="n">
        <x:f>N150-O150</x:f>
        <x:v>38.80994510148048</x:v>
      </x:c>
      <x:c r="Q150" s="53" t="n">
        <x:f>Inputs!$C$21*J150/(2*Inputs!$C$12*1000000)</x:f>
        <x:v>5360.881530006462</x:v>
      </x:c>
      <x:c r="R150" s="53" t="n">
        <x:f>Q150*COS(RADIANS(D150))</x:f>
        <x:v>5347.917674393987</x:v>
      </x:c>
      <x:c r="S150" s="53" t="n">
        <x:f>Inputs!$C$21*I150/(2*Inputs!$C$12*1000000)*COS(RADIANS(D150))</x:f>
        <x:v>1052.342819287494</x:v>
      </x:c>
    </x:row>
    <x:row r="151">
      <x:c r="A151" s="53" t="n">
        <x:f>Subsurface_Live_Data!A149</x:f>
        <x:v>13.5</x:v>
      </x:c>
      <x:c r="B151" s="54" t="n">
        <x:f>Model_Data!P149</x:f>
        <x:v>-115.4738272234681</x:v>
      </x:c>
      <x:c r="C151" s="54" t="n">
        <x:f>ABS(B151)*Inputs!$C$13/2</x:f>
        <x:v>288.68456805867027</x:v>
      </x:c>
      <x:c r="D151" s="54" t="n">
        <x:f>DEGREES(ASIN(MIN(1,C151/(Inputs!$C$11*1000))))</x:f>
        <x:v>4.138700012972839</x:v>
      </x:c>
      <x:c r="E151" s="54" t="n">
        <x:f>Model_Data!I149</x:f>
        <x:v>4.060867373737527</x:v>
      </x:c>
      <x:c r="F151" s="53" t="n">
        <x:f>Subsurface_Live_Data!F149</x:f>
        <x:v>1044.0170368416855</x:v>
      </x:c>
      <x:c r="G151" s="53" t="n">
        <x:f>Subsurface_Live_Data!I149</x:f>
        <x:v>5362.428025631009</x:v>
      </x:c>
      <x:c r="H151" s="53" t="n">
        <x:f>Subsurface_Live_Data!K149</x:f>
        <x:v>15999.920769914777</x:v>
      </x:c>
      <x:c r="I151" s="54" t="n">
        <x:f>Subsurface_Live_Data!M149/COS(RADIANS(D151))</x:f>
        <x:v>12.429993051242306</x:v>
      </x:c>
      <x:c r="J151" s="54" t="n">
        <x:f>Subsurface_Live_Data!N149/COS(RADIANS(D151))</x:f>
        <x:v>63.84468906563255</x:v>
      </x:c>
      <x:c r="K151" s="54" t="n">
        <x:f>Subsurface_Live_Data!O149/COS(RADIANS(D151))</x:f>
        <x:v>190.4939258387084</x:v>
      </x:c>
      <x:c r="L151" s="53" t="n">
        <x:f>Inputs!$C$21*K151/(2*Inputs!$C$12*1000000)</x:f>
        <x:v>16041.753444173062</x:v>
      </x:c>
      <x:c r="M151" s="53" t="n">
        <x:f>L151*COS(RADIANS(D151))</x:f>
        <x:v>15999.920769914777</x:v>
      </x:c>
      <x:c r="N151" s="54" t="n">
        <x:f>L151-H151</x:f>
        <x:v>41.8326742582849</x:v>
      </x:c>
      <x:c r="O151" s="55" t="n">
        <x:f>M151-H151</x:f>
        <x:v>0</x:v>
      </x:c>
      <x:c r="P151" s="54" t="n">
        <x:f>N151-O151</x:f>
        <x:v>41.8326742582849</x:v>
      </x:c>
      <x:c r="Q151" s="53" t="n">
        <x:f>Inputs!$C$21*J151/(2*Inputs!$C$12*1000000)</x:f>
        <x:v>5376.448389110029</x:v>
      </x:c>
      <x:c r="R151" s="53" t="n">
        <x:f>Q151*COS(RADIANS(D151))</x:f>
        <x:v>5362.428025631009</x:v>
      </x:c>
      <x:c r="S151" s="53" t="n">
        <x:f>Inputs!$C$21*I151/(2*Inputs!$C$12*1000000)*COS(RADIANS(D151))</x:f>
        <x:v>1044.0170368416855</x:v>
      </x:c>
    </x:row>
    <x:row r="152">
      <x:c r="A152" s="53" t="n">
        <x:f>Subsurface_Live_Data!A150</x:f>
        <x:v>14</x:v>
      </x:c>
      <x:c r="B152" s="54" t="n">
        <x:f>Model_Data!P150</x:f>
        <x:v>-119.7425943531016</x:v>
      </x:c>
      <x:c r="C152" s="54" t="n">
        <x:f>ABS(B152)*Inputs!$C$13/2</x:f>
        <x:v>299.356485882754</x:v>
      </x:c>
      <x:c r="D152" s="54" t="n">
        <x:f>DEGREES(ASIN(MIN(1,C152/(Inputs!$C$11*1000))))</x:f>
        <x:v>4.291978665412178</x:v>
      </x:c>
      <x:c r="E152" s="54" t="n">
        <x:f>Model_Data!I150</x:f>
        <x:v>4.095033523300829</x:v>
      </x:c>
      <x:c r="F152" s="53" t="n">
        <x:f>Subsurface_Live_Data!F150</x:f>
        <x:v>1037.9208816428925</x:v>
      </x:c>
      <x:c r="G152" s="53" t="n">
        <x:f>Subsurface_Live_Data!I150</x:f>
        <x:v>5376.262524778427</x:v>
      </x:c>
      <x:c r="H152" s="53" t="n">
        <x:f>Subsurface_Live_Data!K150</x:f>
        <x:v>15985.326614254289</x:v>
      </x:c>
      <x:c r="I152" s="54" t="n">
        <x:f>Subsurface_Live_Data!M150/COS(RADIANS(D152))</x:f>
        <x:v>12.359849482222945</x:v>
      </x:c>
      <x:c r="J152" s="54" t="n">
        <x:f>Subsurface_Live_Data!N150/COS(RADIANS(D152))</x:f>
        <x:v>64.02202398895373</x:v>
      </x:c>
      <x:c r="K152" s="54" t="n">
        <x:f>Subsurface_Live_Data!O150/COS(RADIANS(D152))</x:f>
        <x:v>190.35769909900867</x:v>
      </x:c>
      <x:c r="L152" s="53" t="n">
        <x:f>Inputs!$C$21*K152/(2*Inputs!$C$12*1000000)</x:f>
        <x:v>16030.281604527021</x:v>
      </x:c>
      <x:c r="M152" s="53" t="n">
        <x:f>L152*COS(RADIANS(D152))</x:f>
        <x:v>15985.326614254287</x:v>
      </x:c>
      <x:c r="N152" s="54" t="n">
        <x:f>L152-H152</x:f>
        <x:v>44.954990272732175</x:v>
      </x:c>
      <x:c r="O152" s="55" t="n">
        <x:f>M152-H152</x:f>
        <x:v>-1.8189894035458565e-12</x:v>
      </x:c>
      <x:c r="P152" s="54" t="n">
        <x:f>N152-O152</x:f>
        <x:v>44.954990272733994</x:v>
      </x:c>
      <x:c r="Q152" s="53" t="n">
        <x:f>Inputs!$C$21*J152/(2*Inputs!$C$12*1000000)</x:f>
        <x:v>5391.382004995338</x:v>
      </x:c>
      <x:c r="R152" s="53" t="n">
        <x:f>Q152*COS(RADIANS(D152))</x:f>
        <x:v>5376.262524778427</x:v>
      </x:c>
      <x:c r="S152" s="53" t="n">
        <x:f>Inputs!$C$21*I152/(2*Inputs!$C$12*1000000)*COS(RADIANS(D152))</x:f>
        <x:v>1037.9208816428925</x:v>
      </x:c>
    </x:row>
    <x:row r="153">
      <x:c r="A153" s="53" t="n">
        <x:f>Subsurface_Live_Data!A151</x:f>
        <x:v>14.5</x:v>
      </x:c>
      <x:c r="B153" s="54" t="n">
        <x:f>Model_Data!P151</x:f>
        <x:v>-124.0104866564252</x:v>
      </x:c>
      <x:c r="C153" s="54" t="n">
        <x:f>ABS(B153)*Inputs!$C$13/2</x:f>
        <x:v>310.026216641063</x:v>
      </x:c>
      <x:c r="D153" s="54" t="n">
        <x:f>DEGREES(ASIN(MIN(1,C153/(Inputs!$C$11*1000))))</x:f>
        <x:v>4.445256676551721</x:v>
      </x:c>
      <x:c r="E153" s="54" t="n">
        <x:f>Model_Data!I151</x:f>
        <x:v>4.130134373943814</x:v>
      </x:c>
      <x:c r="F153" s="53" t="n">
        <x:f>Subsurface_Live_Data!F151</x:f>
        <x:v>1033.0524298344537</x:v>
      </x:c>
      <x:c r="G153" s="53" t="n">
        <x:f>Subsurface_Live_Data!I151</x:f>
        <x:v>5389.386043210486</x:v>
      </x:c>
      <x:c r="H153" s="53" t="n">
        <x:f>Subsurface_Live_Data!K151</x:f>
        <x:v>15969.73928107725</x:v>
      </x:c>
      <x:c r="I153" s="54" t="n">
        <x:f>Subsurface_Live_Data!M151/COS(RADIANS(D153))</x:f>
        <x:v>12.30438902599824</x:v>
      </x:c>
      <x:c r="J153" s="54" t="n">
        <x:f>Subsurface_Live_Data!N151/COS(RADIANS(D153))</x:f>
        <x:v>64.19142007881811</x:v>
      </x:c>
      <x:c r="K153" s="54" t="n">
        <x:f>Subsurface_Live_Data!O151/COS(RADIANS(D153))</x:f>
        <x:v>190.21095065777897</x:v>
      </x:c>
      <x:c r="L153" s="53" t="n">
        <x:f>Inputs!$C$21*K153/(2*Inputs!$C$12*1000000)</x:f>
        <x:v>16017.923718037155</x:v>
      </x:c>
      <x:c r="M153" s="53" t="n">
        <x:f>L153*COS(RADIANS(D153))</x:f>
        <x:v>15969.739281077247</x:v>
      </x:c>
      <x:c r="N153" s="54" t="n">
        <x:f>L153-H153</x:f>
        <x:v>48.184436959903906</x:v>
      </x:c>
      <x:c r="O153" s="55" t="n">
        <x:f>M153-H153</x:f>
        <x:v>-3.637978807091713e-12</x:v>
      </x:c>
      <x:c r="P153" s="54" t="n">
        <x:f>N153-O153</x:f>
        <x:v>48.18443695990754</x:v>
      </x:c>
      <x:c r="Q153" s="53" t="n">
        <x:f>Inputs!$C$21*J153/(2*Inputs!$C$12*1000000)</x:f>
        <x:v>5405.647080881863</x:v>
      </x:c>
      <x:c r="R153" s="53" t="n">
        <x:f>Q153*COS(RADIANS(D153))</x:f>
        <x:v>5389.386043210486</x:v>
      </x:c>
      <x:c r="S153" s="53" t="n">
        <x:f>Inputs!$C$21*I153/(2*Inputs!$C$12*1000000)*COS(RADIANS(D153))</x:f>
        <x:v>1033.0524298344535</x:v>
      </x:c>
    </x:row>
    <x:row r="154">
      <x:c r="A154" s="53" t="n">
        <x:f>Subsurface_Live_Data!A152</x:f>
        <x:v>15</x:v>
      </x:c>
      <x:c r="B154" s="54" t="n">
        <x:f>Model_Data!P152</x:f>
        <x:v>-128.2774733243059</x:v>
      </x:c>
      <x:c r="C154" s="54" t="n">
        <x:f>ABS(B154)*Inputs!$C$13/2</x:f>
        <x:v>320.69368331076475</x:v>
      </x:c>
      <x:c r="D154" s="54" t="n">
        <x:f>DEGREES(ASIN(MIN(1,C154/(Inputs!$C$11*1000))))</x:f>
        <x:v>4.598534036477488</x:v>
      </x:c>
      <x:c r="E154" s="54" t="n">
        <x:f>Model_Data!I152</x:f>
        <x:v>4.1661452978543005</x:v>
      </x:c>
      <x:c r="F154" s="53" t="n">
        <x:f>Subsurface_Live_Data!F152</x:f>
        <x:v>1028.6247259678748</x:v>
      </x:c>
      <x:c r="G154" s="53" t="n">
        <x:f>Subsurface_Live_Data!I152</x:f>
        <x:v>5401.765703359558</x:v>
      </x:c>
      <x:c r="H154" s="53" t="n">
        <x:f>Subsurface_Live_Data!K152</x:f>
        <x:v>15955.784004300433</x:v>
      </x:c>
      <x:c r="I154" s="54" t="n">
        <x:f>Subsurface_Live_Data!M152/COS(RADIANS(D154))</x:f>
        <x:v>12.254244295236932</x:v>
      </x:c>
      <x:c r="J154" s="54" t="n">
        <x:f>Subsurface_Live_Data!N152/COS(RADIANS(D154))</x:f>
        <x:v>64.35248432543288</x:v>
      </x:c>
      <x:c r="K154" s="54" t="n">
        <x:f>Subsurface_Live_Data!O152/COS(RADIANS(D154))</x:f>
        <x:v>190.08494563141366</x:v>
      </x:c>
      <x:c r="L154" s="53" t="n">
        <x:f>Inputs!$C$21*K154/(2*Inputs!$C$12*1000000)</x:f>
        <x:v>16007.312662819624</x:v>
      </x:c>
      <x:c r="M154" s="53" t="n">
        <x:f>L154*COS(RADIANS(D154))</x:f>
        <x:v>15955.784004300434</x:v>
      </x:c>
      <x:c r="N154" s="54" t="n">
        <x:f>L154-H154</x:f>
        <x:v>51.528658519191595</x:v>
      </x:c>
      <x:c r="O154" s="55" t="n">
        <x:f>M154-H154</x:f>
        <x:v>1.8189894035458565e-12</x:v>
      </x:c>
      <x:c r="P154" s="54" t="n">
        <x:f>N154-O154</x:f>
        <x:v>51.528658519189776</x:v>
      </x:c>
      <x:c r="Q154" s="53" t="n">
        <x:f>Inputs!$C$21*J154/(2*Inputs!$C$12*1000000)</x:f>
        <x:v>5419.210520878651</x:v>
      </x:c>
      <x:c r="R154" s="53" t="n">
        <x:f>Q154*COS(RADIANS(D154))</x:f>
        <x:v>5401.765703359557</x:v>
      </x:c>
      <x:c r="S154" s="53" t="n">
        <x:f>Inputs!$C$21*I154/(2*Inputs!$C$12*1000000)*COS(RADIANS(D154))</x:f>
        <x:v>1028.624725967875</x:v>
      </x:c>
    </x:row>
    <x:row r="155">
      <x:c r="A155" s="53" t="n">
        <x:f>Subsurface_Live_Data!A153</x:f>
        <x:v>15.5</x:v>
      </x:c>
      <x:c r="B155" s="54" t="n">
        <x:f>Model_Data!P153</x:f>
        <x:v>-132.5435235945406</x:v>
      </x:c>
      <x:c r="C155" s="54" t="n">
        <x:f>ABS(B155)*Inputs!$C$13/2</x:f>
        <x:v>331.3588089863515</x:v>
      </x:c>
      <x:c r="D155" s="54" t="n">
        <x:f>DEGREES(ASIN(MIN(1,C155/(Inputs!$C$11*1000))))</x:f>
        <x:v>4.751810736697388</x:v>
      </x:c>
      <x:c r="E155" s="54" t="n">
        <x:f>Model_Data!I153</x:f>
        <x:v>4.203041875082947</x:v>
      </x:c>
      <x:c r="F155" s="53" t="n">
        <x:f>Subsurface_Live_Data!F153</x:f>
        <x:v>1025.8453011969823</x:v>
      </x:c>
      <x:c r="G155" s="53" t="n">
        <x:f>Subsurface_Live_Data!I153</x:f>
        <x:v>5413.371323502418</x:v>
      </x:c>
      <x:c r="H155" s="53" t="n">
        <x:f>Subsurface_Live_Data!K153</x:f>
        <x:v>15939.048750669783</x:v>
      </x:c>
      <x:c r="I155" s="54" t="n">
        <x:f>Subsurface_Live_Data!M153/COS(RADIANS(D155))</x:f>
        <x:v>12.223806313779725</x:v>
      </x:c>
      <x:c r="J155" s="54" t="n">
        <x:f>Subsurface_Live_Data!N153/COS(RADIANS(D155))</x:f>
        <x:v>64.50485515296683</x:v>
      </x:c>
      <x:c r="K155" s="54" t="n">
        <x:f>Subsurface_Live_Data!O153/COS(RADIANS(D155))</x:f>
        <x:v>189.92712110367984</x:v>
      </x:c>
      <x:c r="L155" s="53" t="n">
        <x:f>Inputs!$C$21*K155/(2*Inputs!$C$12*1000000)</x:f>
        <x:v>15994.022043970745</x:v>
      </x:c>
      <x:c r="M155" s="53" t="n">
        <x:f>L155*COS(RADIANS(D155))</x:f>
        <x:v>15939.048750669785</x:v>
      </x:c>
      <x:c r="N155" s="54" t="n">
        <x:f>L155-H155</x:f>
        <x:v>54.973293300961814</x:v>
      </x:c>
      <x:c r="O155" s="55" t="n">
        <x:f>M155-H155</x:f>
        <x:v>1.8189894035458565e-12</x:v>
      </x:c>
      <x:c r="P155" s="54" t="n">
        <x:f>N155-O155</x:f>
        <x:v>54.973293300959995</x:v>
      </x:c>
      <x:c r="Q155" s="53" t="n">
        <x:f>Inputs!$C$21*J155/(2*Inputs!$C$12*1000000)</x:f>
        <x:v>5432.0418761915425</x:v>
      </x:c>
      <x:c r="R155" s="53" t="n">
        <x:f>Q155*COS(RADIANS(D155))</x:f>
        <x:v>5413.371323502418</x:v>
      </x:c>
      <x:c r="S155" s="53" t="n">
        <x:f>Inputs!$C$21*I155/(2*Inputs!$C$12*1000000)*COS(RADIANS(D155))</x:f>
        <x:v>1025.8453011969823</x:v>
      </x:c>
    </x:row>
    <x:row r="156">
      <x:c r="A156" s="53" t="n">
        <x:f>Subsurface_Live_Data!A154</x:f>
        <x:v>16</x:v>
      </x:c>
      <x:c r="B156" s="54" t="n">
        <x:f>Model_Data!P154</x:f>
        <x:v>-136.80860673657662</x:v>
      </x:c>
      <x:c r="C156" s="54" t="n">
        <x:f>ABS(B156)*Inputs!$C$13/2</x:f>
        <x:v>342.02151684144155</x:v>
      </x:c>
      <x:c r="D156" s="54" t="n">
        <x:f>DEGREES(ASIN(MIN(1,C156/(Inputs!$C$11*1000))))</x:f>
        <x:v>4.905086769585109</x:v>
      </x:c>
      <x:c r="E156" s="54" t="n">
        <x:f>Model_Data!I154</x:f>
        <x:v>4.240799936495226</x:v>
      </x:c>
      <x:c r="F156" s="53" t="n">
        <x:f>Subsurface_Live_Data!F154</x:f>
        <x:v>1024.4748592454584</x:v>
      </x:c>
      <x:c r="G156" s="53" t="n">
        <x:f>Subsurface_Live_Data!I154</x:f>
        <x:v>5424.1758669053825</x:v>
      </x:c>
      <x:c r="H156" s="53" t="n">
        <x:f>Subsurface_Live_Data!K154</x:f>
        <x:v>15920.135353699008</x:v>
      </x:c>
      <x:c r="I156" s="54" t="n">
        <x:f>Subsurface_Live_Data!M154/COS(RADIANS(D156))</x:f>
        <x:v>12.210235285720001</x:v>
      </x:c>
      <x:c r="J156" s="54" t="n">
        <x:f>Subsurface_Live_Data!N154/COS(RADIANS(D156))</x:f>
        <x:v>64.64820778014868</x:v>
      </x:c>
      <x:c r="K156" s="54" t="n">
        <x:f>Subsurface_Live_Data!O154/COS(RADIANS(D156))</x:f>
        <x:v>189.7446254487341</x:v>
      </x:c>
      <x:c r="L156" s="53" t="n">
        <x:f>Inputs!$C$21*K156/(2*Inputs!$C$12*1000000)</x:f>
        <x:v>15978.653835832962</x:v>
      </x:c>
      <x:c r="M156" s="53" t="n">
        <x:f>L156*COS(RADIANS(D156))</x:f>
        <x:v>15920.135353699006</x:v>
      </x:c>
      <x:c r="N156" s="54" t="n">
        <x:f>L156-H156</x:f>
        <x:v>58.51848213395351</x:v>
      </x:c>
      <x:c r="O156" s="55" t="n">
        <x:f>M156-H156</x:f>
        <x:v>-1.8189894035458565e-12</x:v>
      </x:c>
      <x:c r="P156" s="54" t="n">
        <x:f>N156-O156</x:f>
        <x:v>58.51848213395533</x:v>
      </x:c>
      <x:c r="Q156" s="53" t="n">
        <x:f>Inputs!$C$21*J156/(2*Inputs!$C$12*1000000)</x:f>
        <x:v>5444.113796546488</x:v>
      </x:c>
      <x:c r="R156" s="53" t="n">
        <x:f>Q156*COS(RADIANS(D156))</x:f>
        <x:v>5424.175866905382</x:v>
      </x:c>
      <x:c r="S156" s="53" t="n">
        <x:f>Inputs!$C$21*I156/(2*Inputs!$C$12*1000000)*COS(RADIANS(D156))</x:f>
        <x:v>1024.4748592454584</x:v>
      </x:c>
    </x:row>
    <x:row r="157">
      <x:c r="A157" s="53" t="n">
        <x:f>Subsurface_Live_Data!A155</x:f>
        <x:v>16.5</x:v>
      </x:c>
      <x:c r="B157" s="54" t="n">
        <x:f>Model_Data!P155</x:f>
        <x:v>-141.07269207324862</x:v>
      </x:c>
      <x:c r="C157" s="54" t="n">
        <x:f>ABS(B157)*Inputs!$C$13/2</x:f>
        <x:v>352.68173018312154</x:v>
      </x:c>
      <x:c r="D157" s="54" t="n">
        <x:f>DEGREES(ASIN(MIN(1,C157/(Inputs!$C$11*1000))))</x:f>
        <x:v>5.058362129154109</x:v>
      </x:c>
      <x:c r="E157" s="54" t="n">
        <x:f>Model_Data!I155</x:f>
        <x:v>4.2793956023743185</x:v>
      </x:c>
      <x:c r="F157" s="53" t="n">
        <x:f>Subsurface_Live_Data!F155</x:f>
        <x:v>1024.13532837942</x:v>
      </x:c>
      <x:c r="G157" s="53" t="n">
        <x:f>Subsurface_Live_Data!I155</x:f>
        <x:v>5434.155886208084</x:v>
      </x:c>
      <x:c r="H157" s="53" t="n">
        <x:f>Subsurface_Live_Data!K155</x:f>
        <x:v>15900.088700233617</x:v>
      </x:c>
      <x:c r="I157" s="54" t="n">
        <x:f>Subsurface_Live_Data!M155/COS(RADIANS(D157))</x:f>
        <x:v>12.209035226712754</x:v>
      </x:c>
      <x:c r="J157" s="54" t="n">
        <x:f>Subsurface_Live_Data!N155/COS(RADIANS(D157))</x:f>
        <x:v>64.78225953512198</x:v>
      </x:c>
      <x:c r="K157" s="54" t="n">
        <x:f>Subsurface_Live_Data!O155/COS(RADIANS(D157))</x:f>
        <x:v>189.54989411037153</x:v>
      </x:c>
      <x:c r="L157" s="53" t="n">
        <x:f>Inputs!$C$21*K157/(2*Inputs!$C$12*1000000)</x:f>
        <x:v>15962.255244097754</x:v>
      </x:c>
      <x:c r="M157" s="53" t="n">
        <x:f>L157*COS(RADIANS(D157))</x:f>
        <x:v>15900.088700233617</x:v>
      </x:c>
      <x:c r="N157" s="54" t="n">
        <x:f>L157-H157</x:f>
        <x:v>62.166543864137566</x:v>
      </x:c>
      <x:c r="O157" s="55" t="n">
        <x:f>M157-H157</x:f>
        <x:v>0</x:v>
      </x:c>
      <x:c r="P157" s="54" t="n">
        <x:f>N157-O157</x:f>
        <x:v>62.166543864137566</x:v>
      </x:c>
      <x:c r="Q157" s="53" t="n">
        <x:f>Inputs!$C$21*J157/(2*Inputs!$C$12*1000000)</x:f>
        <x:v>5455.402477760718</x:v>
      </x:c>
      <x:c r="R157" s="53" t="n">
        <x:f>Q157*COS(RADIANS(D157))</x:f>
        <x:v>5434.155886208085</x:v>
      </x:c>
      <x:c r="S157" s="53" t="n">
        <x:f>Inputs!$C$21*I157/(2*Inputs!$C$12*1000000)*COS(RADIANS(D157))</x:f>
        <x:v>1024.1353283794201</x:v>
      </x:c>
    </x:row>
    <x:row r="158">
      <x:c r="A158" s="53" t="n">
        <x:f>Subsurface_Live_Data!A156</x:f>
        <x:v>17</x:v>
      </x:c>
      <x:c r="B158" s="54" t="n">
        <x:f>Model_Data!P156</x:f>
        <x:v>-145.33574898605366</x:v>
      </x:c>
      <x:c r="C158" s="54" t="n">
        <x:f>ABS(B158)*Inputs!$C$13/2</x:f>
        <x:v>363.33937246513415</x:v>
      </x:c>
      <x:c r="D158" s="54" t="n">
        <x:f>DEGREES(ASIN(MIN(1,C158/(Inputs!$C$11*1000))))</x:f>
        <x:v>5.2116368112408855</x:v>
      </x:c>
      <x:c r="E158" s="54" t="n">
        <x:f>Model_Data!I156</x:f>
        <x:v>4.3188053168235525</x:v>
      </x:c>
      <x:c r="F158" s="53" t="n">
        <x:f>Subsurface_Live_Data!F156</x:f>
        <x:v>1024.3112296619902</x:v>
      </x:c>
      <x:c r="G158" s="53" t="n">
        <x:f>Subsurface_Live_Data!I156</x:f>
        <x:v>5443.291952879227</x:v>
      </x:c>
      <x:c r="H158" s="53" t="n">
        <x:f>Subsurface_Live_Data!K156</x:f>
        <x:v>15880.399991454993</x:v>
      </x:c>
      <x:c r="I158" s="54" t="n">
        <x:f>Subsurface_Live_Data!M156/COS(RADIANS(D158))</x:f>
        <x:v>12.214068084747371</x:v>
      </x:c>
      <x:c r="J158" s="54" t="n">
        <x:f>Subsurface_Live_Data!N156/COS(RADIANS(D158))</x:f>
        <x:v>64.90677500388577</x:v>
      </x:c>
      <x:c r="K158" s="54" t="n">
        <x:f>Subsurface_Live_Data!O156/COS(RADIANS(D158))</x:f>
        <x:v>189.36069535492513</x:v>
      </x:c>
      <x:c r="L158" s="53" t="n">
        <x:f>Inputs!$C$21*K158/(2*Inputs!$C$12*1000000)</x:f>
        <x:v>15946.322558719714</x:v>
      </x:c>
      <x:c r="M158" s="53" t="n">
        <x:f>L158*COS(RADIANS(D158))</x:f>
        <x:v>15880.399991454995</x:v>
      </x:c>
      <x:c r="N158" s="54" t="n">
        <x:f>L158-H158</x:f>
        <x:v>65.92256726472078</x:v>
      </x:c>
      <x:c r="O158" s="55" t="n">
        <x:f>M158-H158</x:f>
        <x:v>1.8189894035458565e-12</x:v>
      </x:c>
      <x:c r="P158" s="54" t="n">
        <x:f>N158-O158</x:f>
        <x:v>65.92256726471896</x:v>
      </x:c>
      <x:c r="Q158" s="53" t="n">
        <x:f>Inputs!$C$21*J158/(2*Inputs!$C$12*1000000)</x:f>
        <x:v>5465.888095299965</x:v>
      </x:c>
      <x:c r="R158" s="53" t="n">
        <x:f>Q158*COS(RADIANS(D158))</x:f>
        <x:v>5443.291952879228</x:v>
      </x:c>
      <x:c r="S158" s="53" t="n">
        <x:f>Inputs!$C$21*I158/(2*Inputs!$C$12*1000000)*COS(RADIANS(D158))</x:f>
        <x:v>1024.3112296619902</x:v>
      </x:c>
    </x:row>
    <x:row r="159">
      <x:c r="A159" s="53" t="n">
        <x:f>Subsurface_Live_Data!A157</x:f>
        <x:v>17.5</x:v>
      </x:c>
      <x:c r="B159" s="54" t="n">
        <x:f>Model_Data!P157</x:f>
        <x:v>-149.59774689641563</x:v>
      </x:c>
      <x:c r="C159" s="54" t="n">
        <x:f>ABS(B159)*Inputs!$C$13/2</x:f>
        <x:v>373.9943672410391</x:v>
      </x:c>
      <x:c r="D159" s="54" t="n">
        <x:f>DEGREES(ASIN(MIN(1,C159/(Inputs!$C$11*1000))))</x:f>
        <x:v>5.364910812825088</x:v>
      </x:c>
      <x:c r="E159" s="54" t="n">
        <x:f>Model_Data!I157</x:f>
        <x:v>4.359005878140658</x:v>
      </x:c>
      <x:c r="F159" s="53" t="n">
        <x:f>Subsurface_Live_Data!F157</x:f>
        <x:v>1025.783127769473</x:v>
      </x:c>
      <x:c r="G159" s="53" t="n">
        <x:f>Subsurface_Live_Data!I157</x:f>
        <x:v>5451.56906073414</x:v>
      </x:c>
      <x:c r="H159" s="53" t="n">
        <x:f>Subsurface_Live_Data!K157</x:f>
        <x:v>15857.998232165117</x:v>
      </x:c>
      <x:c r="I159" s="54" t="n">
        <x:f>Subsurface_Live_Data!M157/COS(RADIANS(D159))</x:f>
        <x:v>12.234648338527103</x:v>
      </x:c>
      <x:c r="J159" s="54" t="n">
        <x:f>Subsurface_Live_Data!N157/COS(RADIANS(D159))</x:f>
        <x:v>65.02157088146798</x:v>
      </x:c>
      <x:c r="K159" s="54" t="n">
        <x:f>Subsurface_Live_Data!O157/COS(RADIANS(D159))</x:f>
        <x:v>189.1404006082723</x:v>
      </x:c>
      <x:c r="L159" s="53" t="n">
        <x:f>Inputs!$C$21*K159/(2*Inputs!$C$12*1000000)</x:f>
        <x:v>15927.771237488385</x:v>
      </x:c>
      <x:c r="M159" s="53" t="n">
        <x:f>L159*COS(RADIANS(D159))</x:f>
        <x:v>15857.998232165119</x:v>
      </x:c>
      <x:c r="N159" s="54" t="n">
        <x:f>L159-H159</x:f>
        <x:v>69.77300532326808</x:v>
      </x:c>
      <x:c r="O159" s="55" t="n">
        <x:f>M159-H159</x:f>
        <x:v>1.8189894035458565e-12</x:v>
      </x:c>
      <x:c r="P159" s="54" t="n">
        <x:f>N159-O159</x:f>
        <x:v>69.77300532326626</x:v>
      </x:c>
      <x:c r="Q159" s="53" t="n">
        <x:f>Inputs!$C$21*J159/(2*Inputs!$C$12*1000000)</x:f>
        <x:v>5475.555212802391</x:v>
      </x:c>
      <x:c r="R159" s="53" t="n">
        <x:f>Q159*COS(RADIANS(D159))</x:f>
        <x:v>5451.56906073414</x:v>
      </x:c>
      <x:c r="S159" s="53" t="n">
        <x:f>Inputs!$C$21*I159/(2*Inputs!$C$12*1000000)*COS(RADIANS(D159))</x:f>
        <x:v>1025.783127769473</x:v>
      </x:c>
    </x:row>
    <x:row r="160">
      <x:c r="A160" s="53" t="n">
        <x:f>Subsurface_Live_Data!A158</x:f>
        <x:v>18</x:v>
      </x:c>
      <x:c r="B160" s="54" t="n">
        <x:f>Model_Data!P158</x:f>
        <x:v>-153.85865527787246</x:v>
      </x:c>
      <x:c r="C160" s="54" t="n">
        <x:f>ABS(B160)*Inputs!$C$13/2</x:f>
        <x:v>384.64663819468115</x:v>
      </x:c>
      <x:c r="D160" s="54" t="n">
        <x:f>DEGREES(ASIN(MIN(1,C160/(Inputs!$C$11*1000))))</x:f>
        <x:v>5.51818413246129</x:v>
      </x:c>
      <x:c r="E160" s="54" t="n">
        <x:f>Model_Data!I158</x:f>
        <x:v>4.3999744653546005</x:v>
      </x:c>
      <x:c r="F160" s="53" t="n">
        <x:f>Subsurface_Live_Data!F158</x:f>
        <x:v>1027.7208984886186</x:v>
      </x:c>
      <x:c r="G160" s="53" t="n">
        <x:f>Subsurface_Live_Data!I158</x:f>
        <x:v>5458.976991919846</x:v>
      </x:c>
      <x:c r="H160" s="53" t="n">
        <x:f>Subsurface_Live_Data!K158</x:f>
        <x:v>15835.432705922185</x:v>
      </x:c>
      <x:c r="I160" s="54" t="n">
        <x:f>Subsurface_Live_Data!M158/COS(RADIANS(D160))</x:f>
        <x:v>12.260884438166565</x:v>
      </x:c>
      <x:c r="J160" s="54" t="n">
        <x:f>Subsurface_Live_Data!N158/COS(RADIANS(D160))</x:f>
        <x:v>65.1265203879481</x:v>
      </x:c>
      <x:c r="K160" s="54" t="n">
        <x:f>Subsurface_Live_Data!O158/COS(RADIANS(D160))</x:f>
        <x:v>188.91939506261326</x:v>
      </x:c>
      <x:c r="L160" s="53" t="n">
        <x:f>Inputs!$C$21*K160/(2*Inputs!$C$12*1000000)</x:f>
        <x:v>15909.160058902778</x:v>
      </x:c>
      <x:c r="M160" s="53" t="n">
        <x:f>L160*COS(RADIANS(D160))</x:f>
        <x:v>15835.432705922185</x:v>
      </x:c>
      <x:c r="N160" s="54" t="n">
        <x:f>L160-H160</x:f>
        <x:v>73.72735298059342</x:v>
      </x:c>
      <x:c r="O160" s="55" t="n">
        <x:f>M160-H160</x:f>
        <x:v>0</x:v>
      </x:c>
      <x:c r="P160" s="54" t="n">
        <x:f>N160-O160</x:f>
        <x:v>73.72735298059342</x:v>
      </x:c>
      <x:c r="Q160" s="53" t="n">
        <x:f>Inputs!$C$21*J160/(2*Inputs!$C$12*1000000)</x:f>
        <x:v>5484.393153957887</x:v>
      </x:c>
      <x:c r="R160" s="53" t="n">
        <x:f>Q160*COS(RADIANS(D160))</x:f>
        <x:v>5458.976991919846</x:v>
      </x:c>
      <x:c r="S160" s="53" t="n">
        <x:f>Inputs!$C$21*I160/(2*Inputs!$C$12*1000000)*COS(RADIANS(D160))</x:f>
        <x:v>1027.7208984886186</x:v>
      </x:c>
    </x:row>
    <x:row r="161">
      <x:c r="A161" s="53" t="n">
        <x:f>Subsurface_Live_Data!A159</x:f>
        <x:v>18.5</x:v>
      </x:c>
      <x:c r="B161" s="54" t="n">
        <x:f>Model_Data!P159</x:f>
        <x:v>-158.1184436692638</x:v>
      </x:c>
      <x:c r="C161" s="54" t="n">
        <x:f>ABS(B161)*Inputs!$C$13/2</x:f>
        <x:v>395.2961091731595</x:v>
      </x:c>
      <x:c r="D161" s="54" t="n">
        <x:f>DEGREES(ASIN(MIN(1,C161/(Inputs!$C$11*1000))))</x:f>
        <x:v>5.671456770747564</x:v>
      </x:c>
      <x:c r="E161" s="54" t="n">
        <x:f>Model_Data!I159</x:f>
        <x:v>4.441688661129496</x:v>
      </x:c>
      <x:c r="F161" s="53" t="n">
        <x:f>Subsurface_Live_Data!F159</x:f>
        <x:v>1029.8819065267044</x:v>
      </x:c>
      <x:c r="G161" s="53" t="n">
        <x:f>Subsurface_Live_Data!I159</x:f>
        <x:v>5465.510633501357</x:v>
      </x:c>
      <x:c r="H161" s="53" t="n">
        <x:f>Subsurface_Live_Data!K159</x:f>
        <x:v>15813.188429767826</x:v>
      </x:c>
      <x:c r="I161" s="54" t="n">
        <x:f>Subsurface_Live_Data!M159/COS(RADIANS(D161))</x:f>
        <x:v>12.28988581027417</x:v>
      </x:c>
      <x:c r="J161" s="54" t="n">
        <x:f>Subsurface_Live_Data!N159/COS(RADIANS(D161))</x:f>
        <x:v>65.22155710755679</x:v>
      </x:c>
      <x:c r="K161" s="54" t="n">
        <x:f>Subsurface_Live_Data!O159/COS(RADIANS(D161))</x:f>
        <x:v>188.7034609177844</x:v>
      </x:c>
      <x:c r="L161" s="53" t="n">
        <x:f>Inputs!$C$21*K161/(2*Inputs!$C$12*1000000)</x:f>
        <x:v>15890.975949901553</x:v>
      </x:c>
      <x:c r="M161" s="53" t="n">
        <x:f>L161*COS(RADIANS(D161))</x:f>
        <x:v>15813.188429767826</x:v>
      </x:c>
      <x:c r="N161" s="54" t="n">
        <x:f>L161-H161</x:f>
        <x:v>77.7875201337265</x:v>
      </x:c>
      <x:c r="O161" s="55" t="n">
        <x:f>M161-H161</x:f>
        <x:v>0</x:v>
      </x:c>
      <x:c r="P161" s="54" t="n">
        <x:f>N161-O161</x:f>
        <x:v>77.7875201337265</x:v>
      </x:c>
      <x:c r="Q161" s="53" t="n">
        <x:f>Inputs!$C$21*J161/(2*Inputs!$C$12*1000000)</x:f>
        <x:v>5492.396325803882</x:v>
      </x:c>
      <x:c r="R161" s="53" t="n">
        <x:f>Q161*COS(RADIANS(D161))</x:f>
        <x:v>5465.510633501357</x:v>
      </x:c>
      <x:c r="S161" s="53" t="n">
        <x:f>Inputs!$C$21*I161/(2*Inputs!$C$12*1000000)*COS(RADIANS(D161))</x:f>
        <x:v>1029.8819065267046</x:v>
      </x:c>
    </x:row>
    <x:row r="162">
      <x:c r="A162" s="53" t="n">
        <x:f>Subsurface_Live_Data!A160</x:f>
        <x:v>19</x:v>
      </x:c>
      <x:c r="B162" s="54" t="n">
        <x:f>Model_Data!P160</x:f>
        <x:v>-162.37708165526783</x:v>
      </x:c>
      <x:c r="C162" s="54" t="n">
        <x:f>ABS(B162)*Inputs!$C$13/2</x:f>
        <x:v>405.9427041381696</x:v>
      </x:c>
      <x:c r="D162" s="54" t="n">
        <x:f>DEGREES(ASIN(MIN(1,C162/(Inputs!$C$11*1000))))</x:f>
        <x:v>5.824728729619701</x:v>
      </x:c>
      <x:c r="E162" s="54" t="n">
        <x:f>Model_Data!I160</x:f>
        <x:v>4.484126471249511</x:v>
      </x:c>
      <x:c r="F162" s="53" t="n">
        <x:f>Subsurface_Live_Data!F160</x:f>
        <x:v>1033.2205903331887</x:v>
      </x:c>
      <x:c r="G162" s="53" t="n">
        <x:f>Subsurface_Live_Data!I160</x:f>
        <x:v>5471.170232868209</x:v>
      </x:c>
      <x:c r="H162" s="53" t="n">
        <x:f>Subsurface_Live_Data!K160</x:f>
        <x:v>15787.561669406818</x:v>
      </x:c>
      <x:c r="I162" s="54" t="n">
        <x:f>Subsurface_Live_Data!M160/COS(RADIANS(D162))</x:f>
        <x:v>12.333047892350056</x:v>
      </x:c>
      <x:c r="J162" s="54" t="n">
        <x:f>Subsurface_Live_Data!N160/COS(RADIANS(D162))</x:f>
        <x:v>65.30667810966115</x:v>
      </x:c>
      <x:c r="K162" s="54" t="n">
        <x:f>Subsurface_Live_Data!O160/COS(RADIANS(D162))</x:f>
        <x:v>188.4483874923896</x:v>
      </x:c>
      <x:c r="L162" s="53" t="n">
        <x:f>Inputs!$C$21*K162/(2*Inputs!$C$12*1000000)</x:f>
        <x:v>15869.49586867414</x:v>
      </x:c>
      <x:c r="M162" s="53" t="n">
        <x:f>L162*COS(RADIANS(D162))</x:f>
        <x:v>15787.561669406818</x:v>
      </x:c>
      <x:c r="N162" s="54" t="n">
        <x:f>L162-H162</x:f>
        <x:v>81.93419926732167</x:v>
      </x:c>
      <x:c r="O162" s="55" t="n">
        <x:f>M162-H162</x:f>
        <x:v>0</x:v>
      </x:c>
      <x:c r="P162" s="54" t="n">
        <x:f>N162-O162</x:f>
        <x:v>81.93419926732167</x:v>
      </x:c>
      <x:c r="Q162" s="53" t="n">
        <x:f>Inputs!$C$21*J162/(2*Inputs!$C$12*1000000)</x:f>
        <x:v>5499.5644815477835</x:v>
      </x:c>
      <x:c r="R162" s="53" t="n">
        <x:f>Q162*COS(RADIANS(D162))</x:f>
        <x:v>5471.170232868209</x:v>
      </x:c>
      <x:c r="S162" s="53" t="n">
        <x:f>Inputs!$C$21*I162/(2*Inputs!$C$12*1000000)*COS(RADIANS(D162))</x:f>
        <x:v>1033.2205903331887</x:v>
      </x:c>
    </x:row>
    <x:row r="163">
      <x:c r="A163" s="53" t="n">
        <x:f>Subsurface_Live_Data!A161</x:f>
        <x:v>19.5</x:v>
      </x:c>
      <x:c r="B163" s="54" t="n">
        <x:f>Model_Data!P161</x:f>
        <x:v>-166.6345388791342</x:v>
      </x:c>
      <x:c r="C163" s="54" t="n">
        <x:f>ABS(B163)*Inputs!$C$13/2</x:f>
        <x:v>416.5863471978355</x:v>
      </x:c>
      <x:c r="D163" s="54" t="n">
        <x:f>DEGREES(ASIN(MIN(1,C163/(Inputs!$C$11*1000))))</x:f>
        <x:v>5.978000012803713</x:v>
      </x:c>
      <x:c r="E163" s="54" t="n">
        <x:f>Model_Data!I161</x:f>
        <x:v>4.527266340904271</x:v>
      </x:c>
      <x:c r="F163" s="53" t="n">
        <x:f>Subsurface_Live_Data!F161</x:f>
        <x:v>1036.5586578182408</x:v>
      </x:c>
      <x:c r="G163" s="53" t="n">
        <x:f>Subsurface_Live_Data!I161</x:f>
        <x:v>5475.961580658604</x:v>
      </x:c>
      <x:c r="H163" s="53" t="n">
        <x:f>Subsurface_Live_Data!K161</x:f>
        <x:v>15762.323121828636</x:v>
      </x:c>
      <x:c r="I163" s="54" t="n">
        <x:f>Subsurface_Live_Data!M161/COS(RADIANS(D163))</x:f>
        <x:v>12.376314445795469</x:v>
      </x:c>
      <x:c r="J163" s="54" t="n">
        <x:f>Subsurface_Live_Data!N161/COS(RADIANS(D163))</x:f>
        <x:v>65.3819462161203</x:v>
      </x:c>
      <x:c r="K163" s="54" t="n">
        <x:f>Subsurface_Live_Data!O161/COS(RADIANS(D163))</x:f>
        <x:v>188.199158707129</x:v>
      </x:c>
      <x:c r="L163" s="53" t="n">
        <x:f>Inputs!$C$21*K163/(2*Inputs!$C$12*1000000)</x:f>
        <x:v>15848.507972568063</x:v>
      </x:c>
      <x:c r="M163" s="53" t="n">
        <x:f>L163*COS(RADIANS(D163))</x:f>
        <x:v>15762.323121828638</x:v>
      </x:c>
      <x:c r="N163" s="54" t="n">
        <x:f>L163-H163</x:f>
        <x:v>86.18485073942611</x:v>
      </x:c>
      <x:c r="O163" s="55" t="n">
        <x:f>M163-H163</x:f>
        <x:v>1.8189894035458565e-12</x:v>
      </x:c>
      <x:c r="P163" s="54" t="n">
        <x:f>N163-O163</x:f>
        <x:v>86.18485073942429</x:v>
      </x:c>
      <x:c r="Q163" s="53" t="n">
        <x:f>Inputs!$C$21*J163/(2*Inputs!$C$12*1000000)</x:f>
        <x:v>5505.902911504074</x:v>
      </x:c>
      <x:c r="R163" s="53" t="n">
        <x:f>Q163*COS(RADIANS(D163))</x:f>
        <x:v>5475.961580658603</x:v>
      </x:c>
      <x:c r="S163" s="53" t="n">
        <x:f>Inputs!$C$21*I163/(2*Inputs!$C$12*1000000)*COS(RADIANS(D163))</x:f>
        <x:v>1036.5586578182406</x:v>
      </x:c>
    </x:row>
    <x:row r="164">
      <x:c r="A164" s="53" t="n">
        <x:f>Subsurface_Live_Data!A162</x:f>
        <x:v>20</x:v>
      </x:c>
      <x:c r="B164" s="54" t="n">
        <x:f>Model_Data!P162</x:f>
        <x:v>-170.89078503895507</x:v>
      </x:c>
      <x:c r="C164" s="54" t="n">
        <x:f>ABS(B164)*Inputs!$C$13/2</x:f>
        <x:v>427.2269625973877</x:v>
      </x:c>
      <x:c r="D164" s="54" t="n">
        <x:f>DEGREES(ASIN(MIN(1,C164/(Inputs!$C$11*1000))))</x:f>
        <x:v>6.131270625676377</x:v>
      </x:c>
      <x:c r="E164" s="54" t="n">
        <x:f>Model_Data!I162</x:f>
        <x:v>4.571087167996556</x:v>
      </x:c>
      <x:c r="F164" s="53" t="n">
        <x:f>Subsurface_Live_Data!F162</x:f>
        <x:v>1039.9080920443078</x:v>
      </x:c>
      <x:c r="G164" s="53" t="n">
        <x:f>Subsurface_Live_Data!I162</x:f>
        <x:v>5479.896110793198</x:v>
      </x:c>
      <x:c r="H164" s="53" t="n">
        <x:f>Subsurface_Live_Data!K162</x:f>
        <x:v>15737.095893870204</x:v>
      </x:c>
      <x:c r="I164" s="54" t="n">
        <x:f>Subsurface_Live_Data!M162/COS(RADIANS(D164))</x:f>
        <x:v>12.419829577002199</x:v>
      </x:c>
      <x:c r="J164" s="54" t="n">
        <x:f>Subsurface_Live_Data!N162/COS(RADIANS(D164))</x:f>
        <x:v>65.4474912892868</x:v>
      </x:c>
      <x:c r="K164" s="54" t="n">
        <x:f>Subsurface_Live_Data!O162/COS(RADIANS(D164))</x:f>
        <x:v>187.95127236155915</x:v>
      </x:c>
      <x:c r="L164" s="53" t="n">
        <x:f>Inputs!$C$21*K164/(2*Inputs!$C$12*1000000)</x:f>
        <x:v>15827.633125140248</x:v>
      </x:c>
      <x:c r="M164" s="53" t="n">
        <x:f>L164*COS(RADIANS(D164))</x:f>
        <x:v>15737.095893870202</x:v>
      </x:c>
      <x:c r="N164" s="54" t="n">
        <x:f>L164-H164</x:f>
        <x:v>90.53723127004378</x:v>
      </x:c>
      <x:c r="O164" s="55" t="n">
        <x:f>M164-H164</x:f>
        <x:v>-1.8189894035458565e-12</x:v>
      </x:c>
      <x:c r="P164" s="54" t="n">
        <x:f>N164-O164</x:f>
        <x:v>90.5372312700456</x:v>
      </x:c>
      <x:c r="Q164" s="53" t="n">
        <x:f>Inputs!$C$21*J164/(2*Inputs!$C$12*1000000)</x:f>
        <x:v>5511.422551558673</x:v>
      </x:c>
      <x:c r="R164" s="53" t="n">
        <x:f>Q164*COS(RADIANS(D164))</x:f>
        <x:v>5479.896110793198</x:v>
      </x:c>
      <x:c r="S164" s="53" t="n">
        <x:f>Inputs!$C$21*I164/(2*Inputs!$C$12*1000000)*COS(RADIANS(D164))</x:f>
        <x:v>1039.9080920443078</x:v>
      </x:c>
    </x:row>
    <x:row r="165">
      <x:c r="A165" s="53" t="n">
        <x:f>Subsurface_Live_Data!A163</x:f>
        <x:v>20.5</x:v>
      </x:c>
      <x:c r="B165" s="54" t="n">
        <x:f>Model_Data!P163</x:f>
        <x:v>-175.14578990121663</x:v>
      </x:c>
      <x:c r="C165" s="54" t="n">
        <x:f>ABS(B165)*Inputs!$C$13/2</x:f>
        <x:v>437.8644747530416</x:v>
      </x:c>
      <x:c r="D165" s="54" t="n">
        <x:f>DEGREES(ASIN(MIN(1,C165/(Inputs!$C$11*1000))))</x:f>
        <x:v>6.284540575748266</x:v>
      </x:c>
      <x:c r="E165" s="54" t="n">
        <x:f>Model_Data!I163</x:f>
        <x:v>4.61556831369344</x:v>
      </x:c>
      <x:c r="F165" s="53" t="n">
        <x:f>Subsurface_Live_Data!F163</x:f>
        <x:v>1043.383211494585</x:v>
      </x:c>
      <x:c r="G165" s="53" t="n">
        <x:f>Subsurface_Live_Data!I163</x:f>
        <x:v>5482.990908529776</x:v>
      </x:c>
      <x:c r="H165" s="53" t="n">
        <x:f>Subsurface_Live_Data!K163</x:f>
        <x:v>15711.171253853849</x:v>
      </x:c>
      <x:c r="I165" s="54" t="n">
        <x:f>Subsurface_Live_Data!M163/COS(RADIANS(D165))</x:f>
        <x:v>12.464960131682387</x:v>
      </x:c>
      <x:c r="J165" s="54" t="n">
        <x:f>Subsurface_Live_Data!N163/COS(RADIANS(D165))</x:f>
        <x:v>65.50351043055416</x:v>
      </x:c>
      <x:c r="K165" s="54" t="n">
        <x:f>Subsurface_Live_Data!O163/COS(RADIANS(D165))</x:f>
        <x:v>187.69625689184187</x:v>
      </x:c>
      <x:c r="L165" s="53" t="n">
        <x:f>Inputs!$C$21*K165/(2*Inputs!$C$12*1000000)</x:f>
        <x:v>15806.157924439527</x:v>
      </x:c>
      <x:c r="M165" s="53" t="n">
        <x:f>L165*COS(RADIANS(D165))</x:f>
        <x:v>15711.17125385385</x:v>
      </x:c>
      <x:c r="N165" s="54" t="n">
        <x:f>L165-H165</x:f>
        <x:v>94.98667058567844</x:v>
      </x:c>
      <x:c r="O165" s="55" t="n">
        <x:f>M165-H165</x:f>
        <x:v>1.8189894035458565e-12</x:v>
      </x:c>
      <x:c r="P165" s="54" t="n">
        <x:f>N165-O165</x:f>
        <x:v>94.98667058567662</x:v>
      </x:c>
      <x:c r="Q165" s="53" t="n">
        <x:f>Inputs!$C$21*J165/(2*Inputs!$C$12*1000000)</x:f>
        <x:v>5516.1399998888955</x:v>
      </x:c>
      <x:c r="R165" s="53" t="n">
        <x:f>Q165*COS(RADIANS(D165))</x:f>
        <x:v>5482.990908529776</x:v>
      </x:c>
      <x:c r="S165" s="53" t="n">
        <x:f>Inputs!$C$21*I165/(2*Inputs!$C$12*1000000)*COS(RADIANS(D165))</x:f>
        <x:v>1043.383211494585</x:v>
      </x:c>
    </x:row>
    <x:row r="166">
      <x:c r="A166" s="53" t="n">
        <x:f>Subsurface_Live_Data!A164</x:f>
        <x:v>21</x:v>
      </x:c>
      <x:c r="B166" s="54" t="n">
        <x:f>Model_Data!P164</x:f>
        <x:v>-179.3995232830639</x:v>
      </x:c>
      <x:c r="C166" s="54" t="n">
        <x:f>ABS(B166)*Inputs!$C$13/2</x:f>
        <x:v>448.49880820765975</x:v>
      </x:c>
      <x:c r="D166" s="54" t="n">
        <x:f>DEGREES(ASIN(MIN(1,C166/(Inputs!$C$11*1000))))</x:f>
        <x:v>6.437809872020355</x:v>
      </x:c>
      <x:c r="E166" s="54" t="n">
        <x:f>Model_Data!I164</x:f>
        <x:v>4.660689610438978</x:v>
      </x:c>
      <x:c r="F166" s="53" t="n">
        <x:f>Subsurface_Live_Data!F164</x:f>
        <x:v>1046.7456226138206</x:v>
      </x:c>
      <x:c r="G166" s="53" t="n">
        <x:f>Subsurface_Live_Data!I164</x:f>
        <x:v>5485.268619186063</x:v>
      </x:c>
      <x:c r="H166" s="53" t="n">
        <x:f>Subsurface_Live_Data!K164</x:f>
        <x:v>15685.108568743879</x:v>
      </x:c>
      <x:c r="I166" s="54" t="n">
        <x:f>Subsurface_Live_Data!M164/COS(RADIANS(D166))</x:f>
        <x:v>12.50885960309649</x:v>
      </x:c>
      <x:c r="J166" s="54" t="n">
        <x:f>Subsurface_Live_Data!N164/COS(RADIANS(D166))</x:f>
        <x:v>65.5502669992856</x:v>
      </x:c>
      <x:c r="K166" s="54" t="n">
        <x:f>Subsurface_Live_Data!O164/COS(RADIANS(D166))</x:f>
        <x:v>187.44078475896205</x:v>
      </x:c>
      <x:c r="L166" s="53" t="n">
        <x:f>Inputs!$C$21*K166/(2*Inputs!$C$12*1000000)</x:f>
        <x:v>15784.644267510723</x:v>
      </x:c>
      <x:c r="M166" s="53" t="n">
        <x:f>L166*COS(RADIANS(D166))</x:f>
        <x:v>15685.108568743879</x:v>
      </x:c>
      <x:c r="N166" s="54" t="n">
        <x:f>L166-H166</x:f>
        <x:v>99.53569876684378</x:v>
      </x:c>
      <x:c r="O166" s="55" t="n">
        <x:f>M166-H166</x:f>
        <x:v>0</x:v>
      </x:c>
      <x:c r="P166" s="54" t="n">
        <x:f>N166-O166</x:f>
        <x:v>99.53569876684378</x:v>
      </x:c>
      <x:c r="Q166" s="53" t="n">
        <x:f>Inputs!$C$21*J166/(2*Inputs!$C$12*1000000)</x:f>
        <x:v>5520.0774343461</x:v>
      </x:c>
      <x:c r="R166" s="53" t="n">
        <x:f>Q166*COS(RADIANS(D166))</x:f>
        <x:v>5485.268619186062</x:v>
      </x:c>
      <x:c r="S166" s="53" t="n">
        <x:f>Inputs!$C$21*I166/(2*Inputs!$C$12*1000000)*COS(RADIANS(D166))</x:f>
        <x:v>1046.7456226138208</x:v>
      </x:c>
    </x:row>
    <x:row r="167">
      <x:c r="A167" s="53" t="n">
        <x:f>Subsurface_Live_Data!A165</x:f>
        <x:v>21.5</x:v>
      </x:c>
      <x:c r="B167" s="54" t="n">
        <x:f>Model_Data!P165</x:f>
        <x:v>-183.65195507121825</x:v>
      </x:c>
      <x:c r="C167" s="54" t="n">
        <x:f>ABS(B167)*Inputs!$C$13/2</x:f>
        <x:v>459.12988767804563</x:v>
      </x:c>
      <x:c r="D167" s="54" t="n">
        <x:f>DEGREES(ASIN(MIN(1,C167/(Inputs!$C$11*1000))))</x:f>
        <x:v>6.591078525660939</x:v>
      </x:c>
      <x:c r="E167" s="54" t="n">
        <x:f>Model_Data!I165</x:f>
        <x:v>4.7064313676414065</x:v>
      </x:c>
      <x:c r="F167" s="53" t="n">
        <x:f>Subsurface_Live_Data!F165</x:f>
        <x:v>1050.1811724741335</x:v>
      </x:c>
      <x:c r="G167" s="53" t="n">
        <x:f>Subsurface_Live_Data!I165</x:f>
        <x:v>5486.757252304532</x:v>
      </x:c>
      <x:c r="H167" s="53" t="n">
        <x:f>Subsurface_Live_Data!K165</x:f>
        <x:v>15658.02240777977</x:v>
      </x:c>
      <x:c r="I167" s="54" t="n">
        <x:f>Subsurface_Live_Data!M165/COS(RADIANS(D167))</x:f>
        <x:v>12.553749399819063</x:v>
      </x:c>
      <x:c r="J167" s="54" t="n">
        <x:f>Subsurface_Live_Data!N165/COS(RADIANS(D167))</x:f>
        <x:v>65.58808838745148</x:v>
      </x:c>
      <x:c r="K167" s="54" t="n">
        <x:f>Subsurface_Live_Data!O165/COS(RADIANS(D167))</x:f>
        <x:v>187.17426531359783</x:v>
      </x:c>
      <x:c r="L167" s="53" t="n">
        <x:f>Inputs!$C$21*K167/(2*Inputs!$C$12*1000000)</x:f>
        <x:v>15762.20030132237</x:v>
      </x:c>
      <x:c r="M167" s="53" t="n">
        <x:f>L167*COS(RADIANS(D167))</x:f>
        <x:v>15658.02240777977</x:v>
      </x:c>
      <x:c r="N167" s="54" t="n">
        <x:f>L167-H167</x:f>
        <x:v>104.17789354259912</x:v>
      </x:c>
      <x:c r="O167" s="55" t="n">
        <x:f>M167-H167</x:f>
        <x:v>0</x:v>
      </x:c>
      <x:c r="P167" s="54" t="n">
        <x:f>N167-O167</x:f>
        <x:v>104.17789354259912</x:v>
      </x:c>
      <x:c r="Q167" s="53" t="n">
        <x:f>Inputs!$C$21*J167/(2*Inputs!$C$12*1000000)</x:f>
        <x:v>5523.26242505487</x:v>
      </x:c>
      <x:c r="R167" s="53" t="n">
        <x:f>Q167*COS(RADIANS(D167))</x:f>
        <x:v>5486.757252304532</x:v>
      </x:c>
      <x:c r="S167" s="53" t="n">
        <x:f>Inputs!$C$21*I167/(2*Inputs!$C$12*1000000)*COS(RADIANS(D167))</x:f>
        <x:v>1050.1811724741337</x:v>
      </x:c>
    </x:row>
    <x:row r="168">
      <x:c r="A168" s="53" t="n">
        <x:f>Subsurface_Live_Data!A166</x:f>
        <x:v>22</x:v>
      </x:c>
      <x:c r="B168" s="54" t="n">
        <x:f>Model_Data!P166</x:f>
        <x:v>-187.90305521988557</x:v>
      </x:c>
      <x:c r="C168" s="54" t="n">
        <x:f>ABS(B168)*Inputs!$C$13/2</x:f>
        <x:v>469.75763804971393</x:v>
      </x:c>
      <x:c r="D168" s="54" t="n">
        <x:f>DEGREES(ASIN(MIN(1,C168/(Inputs!$C$11*1000))))</x:f>
        <x:v>6.744346549926389</x:v>
      </x:c>
      <x:c r="E168" s="54" t="n">
        <x:f>Model_Data!I166</x:f>
        <x:v>4.752774375241167</x:v>
      </x:c>
      <x:c r="F168" s="53" t="n">
        <x:f>Subsurface_Live_Data!F166</x:f>
        <x:v>1053.5165251391245</x:v>
      </x:c>
      <x:c r="G168" s="53" t="n">
        <x:f>Subsurface_Live_Data!I166</x:f>
        <x:v>5487.489878506643</x:v>
      </x:c>
      <x:c r="H168" s="53" t="n">
        <x:f>Subsurface_Live_Data!K166</x:f>
        <x:v>15630.330005252259</x:v>
      </x:c>
      <x:c r="I168" s="54" t="n">
        <x:f>Subsurface_Live_Data!M166/COS(RADIANS(D168))</x:f>
        <x:v>12.59755867892086</x:v>
      </x:c>
      <x:c r="J168" s="54" t="n">
        <x:f>Subsurface_Live_Data!N166/COS(RADIANS(D168))</x:f>
        <x:v>65.61736251393187</x:v>
      </x:c>
      <x:c r="K168" s="54" t="n">
        <x:f>Subsurface_Live_Data!O166/COS(RADIANS(D168))</x:f>
        <x:v>186.90167141522545</x:v>
      </x:c>
      <x:c r="L168" s="53" t="n">
        <x:f>Inputs!$C$21*K168/(2*Inputs!$C$12*1000000)</x:f>
        <x:v>15739.24479715696</x:v>
      </x:c>
      <x:c r="M168" s="53" t="n">
        <x:f>L168*COS(RADIANS(D168))</x:f>
        <x:v>15630.33000525226</x:v>
      </x:c>
      <x:c r="N168" s="54" t="n">
        <x:f>L168-H168</x:f>
        <x:v>108.9147919047009</x:v>
      </x:c>
      <x:c r="O168" s="55" t="n">
        <x:f>M168-H168</x:f>
        <x:v>1.8189894035458565e-12</x:v>
      </x:c>
      <x:c r="P168" s="54" t="n">
        <x:f>N168-O168</x:f>
        <x:v>108.91479190469909</x:v>
      </x:c>
      <x:c r="Q168" s="53" t="n">
        <x:f>Inputs!$C$21*J168/(2*Inputs!$C$12*1000000)</x:f>
        <x:v>5525.727639193454</x:v>
      </x:c>
      <x:c r="R168" s="53" t="n">
        <x:f>Q168*COS(RADIANS(D168))</x:f>
        <x:v>5487.489878506644</x:v>
      </x:c>
      <x:c r="S168" s="53" t="n">
        <x:f>Inputs!$C$21*I168/(2*Inputs!$C$12*1000000)*COS(RADIANS(D168))</x:f>
        <x:v>1053.5165251391245</x:v>
      </x:c>
    </x:row>
    <x:row r="169">
      <x:c r="A169" s="53" t="n">
        <x:f>Subsurface_Live_Data!A167</x:f>
        <x:v>22.5</x:v>
      </x:c>
      <x:c r="B169" s="54" t="n">
        <x:f>Model_Data!P167</x:f>
        <x:v>-192.15279373456724</x:v>
      </x:c>
      <x:c r="C169" s="54" t="n">
        <x:f>ABS(B169)*Inputs!$C$13/2</x:f>
        <x:v>480.3819843364181</x:v>
      </x:c>
      <x:c r="D169" s="54" t="n">
        <x:f>DEGREES(ASIN(MIN(1,C169/(Inputs!$C$11*1000))))</x:f>
        <x:v>6.897613959573505</x:v>
      </x:c>
      <x:c r="E169" s="54" t="n">
        <x:f>Model_Data!I167</x:f>
        <x:v>4.799699905357918</x:v>
      </x:c>
      <x:c r="F169" s="53" t="n">
        <x:f>Subsurface_Live_Data!F167</x:f>
        <x:v>1056.3115127442757</x:v>
      </x:c>
      <x:c r="G169" s="53" t="n">
        <x:f>Subsurface_Live_Data!I167</x:f>
        <x:v>5487.504219042654</x:v>
      </x:c>
      <x:c r="H169" s="53" t="n">
        <x:f>Subsurface_Live_Data!K167</x:f>
        <x:v>15603.432448110258</x:v>
      </x:c>
      <x:c r="I169" s="54" t="n">
        <x:f>Subsurface_Live_Data!M167/COS(RADIANS(D169))</x:f>
        <x:v>12.635022290151428</x:v>
      </x:c>
      <x:c r="J169" s="54" t="n">
        <x:f>Subsurface_Live_Data!N167/COS(RADIANS(D169))</x:f>
        <x:v>65.6385330353673</x:v>
      </x:c>
      <x:c r="K169" s="54" t="n">
        <x:f>Subsurface_Live_Data!O167/COS(RADIANS(D169))</x:f>
        <x:v>186.63975011741968</x:v>
      </x:c>
      <x:c r="L169" s="53" t="n">
        <x:f>Inputs!$C$21*K169/(2*Inputs!$C$12*1000000)</x:f>
        <x:v>15717.188047249167</x:v>
      </x:c>
      <x:c r="M169" s="53" t="n">
        <x:f>L169*COS(RADIANS(D169))</x:f>
        <x:v>15603.432448110258</x:v>
      </x:c>
      <x:c r="N169" s="54" t="n">
        <x:f>L169-H169</x:f>
        <x:v>113.75559913890902</x:v>
      </x:c>
      <x:c r="O169" s="55" t="n">
        <x:f>M169-H169</x:f>
        <x:v>0</x:v>
      </x:c>
      <x:c r="P169" s="54" t="n">
        <x:f>N169-O169</x:f>
        <x:v>113.75559913890902</x:v>
      </x:c>
      <x:c r="Q169" s="53" t="n">
        <x:f>Inputs!$C$21*J169/(2*Inputs!$C$12*1000000)</x:f>
        <x:v>5527.510437692968</x:v>
      </x:c>
      <x:c r="R169" s="53" t="n">
        <x:f>Q169*COS(RADIANS(D169))</x:f>
        <x:v>5487.504219042655</x:v>
      </x:c>
      <x:c r="S169" s="53" t="n">
        <x:f>Inputs!$C$21*I169/(2*Inputs!$C$12*1000000)*COS(RADIANS(D169))</x:f>
        <x:v>1056.3115127442757</x:v>
      </x:c>
    </x:row>
    <x:row r="170">
      <x:c r="A170" s="53" t="n">
        <x:f>Subsurface_Live_Data!A168</x:f>
        <x:v>23</x:v>
      </x:c>
      <x:c r="B170" s="54" t="n">
        <x:f>Model_Data!P168</x:f>
        <x:v>-196.40114070170966</x:v>
      </x:c>
      <x:c r="C170" s="54" t="n">
        <x:f>ABS(B170)*Inputs!$C$13/2</x:f>
        <x:v>491.00285175427416</x:v>
      </x:c>
      <x:c r="D170" s="54" t="n">
        <x:f>DEGREES(ASIN(MIN(1,C170/(Inputs!$C$11*1000))))</x:f>
        <x:v>7.050880771924909</x:v>
      </x:c>
      <x:c r="E170" s="54" t="n">
        <x:f>Model_Data!I168</x:f>
        <x:v>4.847189712205752</x:v>
      </x:c>
      <x:c r="F170" s="53" t="n">
        <x:f>Subsurface_Live_Data!F168</x:f>
        <x:v>1058.9196093320866</x:v>
      </x:c>
      <x:c r="G170" s="53" t="n">
        <x:f>Subsurface_Live_Data!I168</x:f>
        <x:v>5486.842131008926</x:v>
      </x:c>
      <x:c r="H170" s="53" t="n">
        <x:f>Subsurface_Live_Data!K168</x:f>
        <x:v>15576.006285577792</x:v>
      </x:c>
      <x:c r="I170" s="54" t="n">
        <x:f>Subsurface_Live_Data!M168/COS(RADIANS(D170))</x:f>
        <x:v>12.670364361763827</x:v>
      </x:c>
      <x:c r="J170" s="54" t="n">
        <x:f>Subsurface_Live_Data!N168/COS(RADIANS(D170))</x:f>
        <x:v>65.65209330594011</x:v>
      </x:c>
      <x:c r="K170" s="54" t="n">
        <x:f>Subsurface_Live_Data!O168/COS(RADIANS(D170))</x:f>
        <x:v>186.37267003099043</x:v>
      </x:c>
      <x:c r="L170" s="53" t="n">
        <x:f>Inputs!$C$21*K170/(2*Inputs!$C$12*1000000)</x:f>
        <x:v>15694.696868711673</x:v>
      </x:c>
      <x:c r="M170" s="53" t="n">
        <x:f>L170*COS(RADIANS(D170))</x:f>
        <x:v>15576.006285577794</x:v>
      </x:c>
      <x:c r="N170" s="54" t="n">
        <x:f>L170-H170</x:f>
        <x:v>118.69058313388086</x:v>
      </x:c>
      <x:c r="O170" s="55" t="n">
        <x:f>M170-H170</x:f>
        <x:v>1.8189894035458565e-12</x:v>
      </x:c>
      <x:c r="P170" s="54" t="n">
        <x:f>N170-O170</x:f>
        <x:v>118.69058313387904</x:v>
      </x:c>
      <x:c r="Q170" s="53" t="n">
        <x:f>Inputs!$C$21*J170/(2*Inputs!$C$12*1000000)</x:f>
        <x:v>5528.65236658234</x:v>
      </x:c>
      <x:c r="R170" s="53" t="n">
        <x:f>Q170*COS(RADIANS(D170))</x:f>
        <x:v>5486.842131008925</x:v>
      </x:c>
      <x:c r="S170" s="53" t="n">
        <x:f>Inputs!$C$21*I170/(2*Inputs!$C$12*1000000)*COS(RADIANS(D170))</x:f>
        <x:v>1058.9196093320863</x:v>
      </x:c>
    </x:row>
    <x:row r="171">
      <x:c r="A171" s="53" t="n">
        <x:f>Subsurface_Live_Data!A169</x:f>
        <x:v>23.5</x:v>
      </x:c>
      <x:c r="B171" s="54" t="n">
        <x:f>Model_Data!P169</x:f>
        <x:v>-200.64806626696736</x:v>
      </x:c>
      <x:c r="C171" s="54" t="n">
        <x:f>ABS(B171)*Inputs!$C$13/2</x:f>
        <x:v>501.6201656674184</x:v>
      </x:c>
      <x:c r="D171" s="54" t="n">
        <x:f>DEGREES(ASIN(MIN(1,C171/(Inputs!$C$11*1000))))</x:f>
        <x:v>7.204147006081979</x:v>
      </x:c>
      <x:c r="E171" s="54" t="n">
        <x:f>Model_Data!I169</x:f>
        <x:v>4.8952260304560395</x:v>
      </x:c>
      <x:c r="F171" s="53" t="n">
        <x:f>Subsurface_Live_Data!F169</x:f>
        <x:v>1061.1809491853053</x:v>
      </x:c>
      <x:c r="G171" s="53" t="n">
        <x:f>Subsurface_Live_Data!I169</x:f>
        <x:v>5485.548994285324</x:v>
      </x:c>
      <x:c r="H171" s="53" t="n">
        <x:f>Subsurface_Live_Data!K169</x:f>
        <x:v>15548.580022641641</x:v>
      </x:c>
      <x:c r="I171" s="54" t="n">
        <x:f>Subsurface_Live_Data!M169/COS(RADIANS(D171))</x:f>
        <x:v>12.701670046483164</x:v>
      </x:c>
      <x:c r="J171" s="54" t="n">
        <x:f>Subsurface_Live_Data!N169/COS(RADIANS(D171))</x:f>
        <x:v>65.65857915440478</x:v>
      </x:c>
      <x:c r="K171" s="54" t="n">
        <x:f>Subsurface_Live_Data!O169/COS(RADIANS(D171))</x:f>
        <x:v>186.1067457821911</x:v>
      </x:c>
      <x:c r="L171" s="53" t="n">
        <x:f>Inputs!$C$21*K171/(2*Inputs!$C$12*1000000)</x:f>
        <x:v>15672.303024838258</x:v>
      </x:c>
      <x:c r="M171" s="53" t="n">
        <x:f>L171*COS(RADIANS(D171))</x:f>
        <x:v>15548.58002264164</x:v>
      </x:c>
      <x:c r="N171" s="54" t="n">
        <x:f>L171-H171</x:f>
        <x:v>123.72300219661702</x:v>
      </x:c>
      <x:c r="O171" s="55" t="n">
        <x:f>M171-H171</x:f>
        <x:v>-1.8189894035458565e-12</x:v>
      </x:c>
      <x:c r="P171" s="54" t="n">
        <x:f>N171-O171</x:f>
        <x:v>123.72300219661884</x:v>
      </x:c>
      <x:c r="Q171" s="53" t="n">
        <x:f>Inputs!$C$21*J171/(2*Inputs!$C$12*1000000)</x:f>
        <x:v>5529.198548732182</x:v>
      </x:c>
      <x:c r="R171" s="53" t="n">
        <x:f>Q171*COS(RADIANS(D171))</x:f>
        <x:v>5485.548994285324</x:v>
      </x:c>
      <x:c r="S171" s="53" t="n">
        <x:f>Inputs!$C$21*I171/(2*Inputs!$C$12*1000000)*COS(RADIANS(D171))</x:f>
        <x:v>1061.180949185305</x:v>
      </x:c>
    </x:row>
    <x:row r="172">
      <x:c r="A172" s="53" t="n">
        <x:f>Subsurface_Live_Data!A170</x:f>
        <x:v>24</x:v>
      </x:c>
      <x:c r="B172" s="54" t="n">
        <x:f>Model_Data!P170</x:f>
        <x:v>-204.89354065312</x:v>
      </x:c>
      <x:c r="C172" s="54" t="n">
        <x:f>ABS(B172)*Inputs!$C$13/2</x:f>
        <x:v>512.2338516328</x:v>
      </x:c>
      <x:c r="D172" s="54" t="n">
        <x:f>DEGREES(ASIN(MIN(1,C172/(Inputs!$C$11*1000))))</x:f>
        <x:v>7.3574126835682065</x:v>
      </x:c>
      <x:c r="E172" s="54" t="n">
        <x:f>Model_Data!I170</x:f>
        <x:v>4.943791572217107</x:v>
      </x:c>
      <x:c r="F172" s="53" t="n">
        <x:f>Subsurface_Live_Data!F170</x:f>
        <x:v>1063.8686550645732</x:v>
      </x:c>
      <x:c r="G172" s="53" t="n">
        <x:f>Subsurface_Live_Data!I170</x:f>
        <x:v>5483.67300933723</x:v>
      </x:c>
      <x:c r="H172" s="53" t="n">
        <x:f>Subsurface_Live_Data!K170</x:f>
        <x:v>15518.47278025502</x:v>
      </x:c>
      <x:c r="I172" s="54" t="n">
        <x:f>Subsurface_Live_Data!M170/COS(RADIANS(D172))</x:f>
        <x:v>12.738192890720114</x:v>
      </x:c>
      <x:c r="J172" s="54" t="n">
        <x:f>Subsurface_Live_Data!N170/COS(RADIANS(D172))</x:f>
        <x:v>65.65856058456156</x:v>
      </x:c>
      <x:c r="K172" s="54" t="n">
        <x:f>Subsurface_Live_Data!O170/COS(RADIANS(D172))</x:f>
        <x:v>185.80987296056747</x:v>
      </x:c>
      <x:c r="L172" s="53" t="n">
        <x:f>Inputs!$C$21*K172/(2*Inputs!$C$12*1000000)</x:f>
        <x:v>15647.30295941468</x:v>
      </x:c>
      <x:c r="M172" s="53" t="n">
        <x:f>L172*COS(RADIANS(D172))</x:f>
        <x:v>15518.47278025502</x:v>
      </x:c>
      <x:c r="N172" s="54" t="n">
        <x:f>L172-H172</x:f>
        <x:v>128.83017915965866</x:v>
      </x:c>
      <x:c r="O172" s="55" t="n">
        <x:f>M172-H172</x:f>
        <x:v>0</x:v>
      </x:c>
      <x:c r="P172" s="54" t="n">
        <x:f>N172-O172</x:f>
        <x:v>128.83017915965866</x:v>
      </x:c>
      <x:c r="Q172" s="53" t="n">
        <x:f>Inputs!$C$21*J172/(2*Inputs!$C$12*1000000)</x:f>
        <x:v>5529.196984940345</x:v>
      </x:c>
      <x:c r="R172" s="53" t="n">
        <x:f>Q172*COS(RADIANS(D172))</x:f>
        <x:v>5483.673009337232</x:v>
      </x:c>
      <x:c r="S172" s="53" t="n">
        <x:f>Inputs!$C$21*I172/(2*Inputs!$C$12*1000000)*COS(RADIANS(D172))</x:f>
        <x:v>1063.8686550645732</x:v>
      </x:c>
    </x:row>
    <x:row r="173">
      <x:c r="A173" s="53" t="n">
        <x:f>Subsurface_Live_Data!A171</x:f>
        <x:v>24.5</x:v>
      </x:c>
      <x:c r="B173" s="54" t="n">
        <x:f>Model_Data!P171</x:f>
        <x:v>-209.13753414824896</x:v>
      </x:c>
      <x:c r="C173" s="54" t="n">
        <x:f>ABS(B173)*Inputs!$C$13/2</x:f>
        <x:v>522.8438353706224</x:v>
      </x:c>
      <x:c r="D173" s="54" t="n">
        <x:f>DEGREES(ASIN(MIN(1,C173/(Inputs!$C$11*1000))))</x:f>
        <x:v>7.510677827899895</x:v>
      </x:c>
      <x:c r="E173" s="54" t="n">
        <x:f>Model_Data!I171</x:f>
        <x:v>4.99286952278949</x:v>
      </x:c>
      <x:c r="F173" s="53" t="n">
        <x:f>Subsurface_Live_Data!F171</x:f>
        <x:v>1064.8780556364588</x:v>
      </x:c>
      <x:c r="G173" s="53" t="n">
        <x:f>Subsurface_Live_Data!I171</x:f>
        <x:v>5481.264418019424</x:v>
      </x:c>
      <x:c r="H173" s="53" t="n">
        <x:f>Subsurface_Live_Data!K171</x:f>
        <x:v>15493.131581035035</x:v>
      </x:c>
      <x:c r="I173" s="54" t="n">
        <x:f>Subsurface_Live_Data!M171/COS(RADIANS(D173))</x:f>
        <x:v>12.754729995744887</x:v>
      </x:c>
      <x:c r="J173" s="54" t="n">
        <x:f>Subsurface_Live_Data!N171/COS(RADIANS(D173))</x:f>
        <x:v>65.65263254048021</x:v>
      </x:c>
      <x:c r="K173" s="54" t="n">
        <x:f>Subsurface_Live_Data!O171/COS(RADIANS(D173))</x:f>
        <x:v>185.57121076792362</x:v>
      </x:c>
      <x:c r="L173" s="53" t="n">
        <x:f>Inputs!$C$21*K173/(2*Inputs!$C$12*1000000)</x:f>
        <x:v>15627.204890492103</x:v>
      </x:c>
      <x:c r="M173" s="53" t="n">
        <x:f>L173*COS(RADIANS(D173))</x:f>
        <x:v>15493.131581035037</x:v>
      </x:c>
      <x:c r="N173" s="54" t="n">
        <x:f>L173-H173</x:f>
        <x:v>134.0733094570678</x:v>
      </x:c>
      <x:c r="O173" s="55" t="n">
        <x:f>M173-H173</x:f>
        <x:v>1.8189894035458565e-12</x:v>
      </x:c>
      <x:c r="P173" s="54" t="n">
        <x:f>N173-O173</x:f>
        <x:v>134.073309457066</x:v>
      </x:c>
      <x:c r="Q173" s="53" t="n">
        <x:f>Inputs!$C$21*J173/(2*Inputs!$C$12*1000000)</x:f>
        <x:v>5528.697776258805</x:v>
      </x:c>
      <x:c r="R173" s="53" t="n">
        <x:f>Q173*COS(RADIANS(D173))</x:f>
        <x:v>5481.264418019423</x:v>
      </x:c>
      <x:c r="S173" s="53" t="n">
        <x:f>Inputs!$C$21*I173/(2*Inputs!$C$12*1000000)*COS(RADIANS(D173))</x:f>
        <x:v>1064.878055636459</x:v>
      </x:c>
    </x:row>
    <x:row r="174">
      <x:c r="A174" s="53" t="n">
        <x:f>Subsurface_Live_Data!A172</x:f>
        <x:v>25</x:v>
      </x:c>
      <x:c r="B174" s="54" t="n">
        <x:f>Model_Data!P172</x:f>
        <x:v>-213.38001711119432</x:v>
      </x:c>
      <x:c r="C174" s="54" t="n">
        <x:f>ABS(B174)*Inputs!$C$13/2</x:f>
        <x:v>533.4500427779858</x:v>
      </x:c>
      <x:c r="D174" s="54" t="n">
        <x:f>DEGREES(ASIN(MIN(1,C174/(Inputs!$C$11*1000))))</x:f>
        <x:v>7.663942464780593</x:v>
      </x:c>
      <x:c r="E174" s="54" t="n">
        <x:f>Model_Data!I172</x:f>
        <x:v>5.042443535344872</x:v>
      </x:c>
      <x:c r="F174" s="53" t="n">
        <x:f>Subsurface_Live_Data!F172</x:f>
        <x:v>1066.8372999779428</x:v>
      </x:c>
      <x:c r="G174" s="53" t="n">
        <x:f>Subsurface_Live_Data!I172</x:f>
        <x:v>5478.374662298559</x:v>
      </x:c>
      <x:c r="H174" s="53" t="n">
        <x:f>Subsurface_Live_Data!K172</x:f>
        <x:v>15463.492493885004</x:v>
      </x:c>
      <x:c r="I174" s="54" t="n">
        <x:f>Subsurface_Live_Data!M172/COS(RADIANS(D174))</x:f>
        <x:v>12.78275099818457</x:v>
      </x:c>
      <x:c r="J174" s="54" t="n">
        <x:f>Subsurface_Live_Data!N172/COS(RADIANS(D174))</x:f>
        <x:v>65.64140491185849</x:v>
      </x:c>
      <x:c r="K174" s="54" t="n">
        <x:f>Subsurface_Live_Data!O172/COS(RADIANS(D174))</x:f>
        <x:v>185.28221136973272</x:v>
      </x:c>
      <x:c r="L174" s="53" t="n">
        <x:f>Inputs!$C$21*K174/(2*Inputs!$C$12*1000000)</x:f>
        <x:v>15602.867856799921</x:v>
      </x:c>
      <x:c r="M174" s="53" t="n">
        <x:f>L174*COS(RADIANS(D174))</x:f>
        <x:v>15463.492493885004</x:v>
      </x:c>
      <x:c r="N174" s="54" t="n">
        <x:f>L174-H174</x:f>
        <x:v>139.3753629149178</x:v>
      </x:c>
      <x:c r="O174" s="55" t="n">
        <x:f>M174-H174</x:f>
        <x:v>0</x:v>
      </x:c>
      <x:c r="P174" s="54" t="n">
        <x:f>N174-O174</x:f>
        <x:v>139.3753629149178</x:v>
      </x:c>
      <x:c r="Q174" s="53" t="n">
        <x:f>Inputs!$C$21*J174/(2*Inputs!$C$12*1000000)</x:f>
        <x:v>5527.752282331273</x:v>
      </x:c>
      <x:c r="R174" s="53" t="n">
        <x:f>Q174*COS(RADIANS(D174))</x:f>
        <x:v>5478.374662298561</x:v>
      </x:c>
      <x:c r="S174" s="53" t="n">
        <x:f>Inputs!$C$21*I174/(2*Inputs!$C$12*1000000)*COS(RADIANS(D174))</x:f>
        <x:v>1066.8372999779426</x:v>
      </x:c>
    </x:row>
    <x:row r="175">
      <x:c r="A175" s="53" t="n">
        <x:f>Subsurface_Live_Data!A173</x:f>
        <x:v>25.5</x:v>
      </x:c>
      <x:c r="B175" s="54" t="n">
        <x:f>Model_Data!P173</x:f>
        <x:v>-217.6209599799222</x:v>
      </x:c>
      <x:c r="C175" s="54" t="n">
        <x:f>ABS(B175)*Inputs!$C$13/2</x:f>
        <x:v>544.0523999498055</x:v>
      </x:c>
      <x:c r="D175" s="54" t="n">
        <x:f>DEGREES(ASIN(MIN(1,C175/(Inputs!$C$11*1000))))</x:f>
        <x:v>7.817206622401356</x:v>
      </x:c>
      <x:c r="E175" s="54" t="n">
        <x:f>Model_Data!I173</x:f>
        <x:v>5.092497724666333</x:v>
      </x:c>
      <x:c r="F175" s="53" t="n">
        <x:f>Subsurface_Live_Data!F173</x:f>
        <x:v>1067.3336673059068</x:v>
      </x:c>
      <x:c r="G175" s="53" t="n">
        <x:f>Subsurface_Live_Data!I173</x:f>
        <x:v>5475.055498265701</x:v>
      </x:c>
      <x:c r="H175" s="53" t="n">
        <x:f>Subsurface_Live_Data!K173</x:f>
        <x:v>15438.185629581796</x:v>
      </x:c>
      <x:c r="I175" s="54" t="n">
        <x:f>Subsurface_Live_Data!M173/COS(RADIANS(D175))</x:f>
        <x:v>12.793349227343349</x:v>
      </x:c>
      <x:c r="J175" s="54" t="n">
        <x:f>Subsurface_Live_Data!N173/COS(RADIANS(D175))</x:f>
        <x:v>65.62549198433949</x:v>
      </x:c>
      <x:c r="K175" s="54" t="n">
        <x:f>Subsurface_Live_Data!O173/COS(RADIANS(D175))</x:f>
        <x:v>185.04625708502695</x:v>
      </x:c>
      <x:c r="L175" s="53" t="n">
        <x:f>Inputs!$C$21*K175/(2*Inputs!$C$12*1000000)</x:f>
        <x:v>15582.99782450004</x:v>
      </x:c>
      <x:c r="M175" s="53" t="n">
        <x:f>L175*COS(RADIANS(D175))</x:f>
        <x:v>15438.185629581796</x:v>
      </x:c>
      <x:c r="N175" s="54" t="n">
        <x:f>L175-H175</x:f>
        <x:v>144.81219491824413</x:v>
      </x:c>
      <x:c r="O175" s="55" t="n">
        <x:f>M175-H175</x:f>
        <x:v>0</x:v>
      </x:c>
      <x:c r="P175" s="54" t="n">
        <x:f>N175-O175</x:f>
        <x:v>144.81219491824413</x:v>
      </x:c>
      <x:c r="Q175" s="53" t="n">
        <x:f>Inputs!$C$21*J175/(2*Inputs!$C$12*1000000)</x:f>
        <x:v>5526.41223299001</x:v>
      </x:c>
      <x:c r="R175" s="53" t="n">
        <x:f>Q175*COS(RADIANS(D175))</x:f>
        <x:v>5475.055498265702</x:v>
      </x:c>
      <x:c r="S175" s="53" t="n">
        <x:f>Inputs!$C$21*I175/(2*Inputs!$C$12*1000000)*COS(RADIANS(D175))</x:f>
        <x:v>1067.3336673059068</x:v>
      </x:c>
    </x:row>
    <x:row r="176">
      <x:c r="A176" s="53" t="n">
        <x:f>Subsurface_Live_Data!A174</x:f>
        <x:v>26</x:v>
      </x:c>
      <x:c r="B176" s="54" t="n">
        <x:f>Model_Data!P174</x:f>
        <x:v>-221.86033326770485</x:v>
      </x:c>
      <x:c r="C176" s="54" t="n">
        <x:f>ABS(B176)*Inputs!$C$13/2</x:f>
        <x:v>554.6508331692621</x:v>
      </x:c>
      <x:c r="D176" s="54" t="n">
        <x:f>DEGREES(ASIN(MIN(1,C176/(Inputs!$C$11*1000))))</x:f>
        <x:v>7.970470331301228</x:v>
      </x:c>
      <x:c r="E176" s="54" t="n">
        <x:f>Model_Data!I174</x:f>
        <x:v>5.143016660077165</x:v>
      </x:c>
      <x:c r="F176" s="53" t="n">
        <x:f>Subsurface_Live_Data!F174</x:f>
        <x:v>1068.7380663557071</x:v>
      </x:c>
      <x:c r="G176" s="53" t="n">
        <x:f>Subsurface_Live_Data!I174</x:f>
        <x:v>5471.358084835286</x:v>
      </x:c>
      <x:c r="H176" s="53" t="n">
        <x:f>Subsurface_Live_Data!K174</x:f>
        <x:v>15409.145316242713</x:v>
      </x:c>
      <x:c r="I176" s="54" t="n">
        <x:f>Subsurface_Live_Data!M174/COS(RADIANS(D176))</x:f>
        <x:v>12.814934756052013</x:v>
      </x:c>
      <x:c r="J176" s="54" t="n">
        <x:f>Subsurface_Live_Data!N174/COS(RADIANS(D176))</x:f>
        <x:v>65.60550156433332</x:v>
      </x:c>
      <x:c r="K176" s="54" t="n">
        <x:f>Subsurface_Live_Data!O174/COS(RADIANS(D176))</x:f>
        <x:v>184.76668707751637</x:v>
      </x:c>
      <x:c r="L176" s="53" t="n">
        <x:f>Inputs!$C$21*K176/(2*Inputs!$C$12*1000000)</x:f>
        <x:v>15559.454852664458</x:v>
      </x:c>
      <x:c r="M176" s="53" t="n">
        <x:f>L176*COS(RADIANS(D176))</x:f>
        <x:v>15409.145316242715</x:v>
      </x:c>
      <x:c r="N176" s="54" t="n">
        <x:f>L176-H176</x:f>
        <x:v>150.30953642174427</x:v>
      </x:c>
      <x:c r="O176" s="55" t="n">
        <x:f>M176-H176</x:f>
        <x:v>1.8189894035458565e-12</x:v>
      </x:c>
      <x:c r="P176" s="54" t="n">
        <x:f>N176-O176</x:f>
        <x:v>150.30953642174245</x:v>
      </x:c>
      <x:c r="Q176" s="53" t="n">
        <x:f>Inputs!$C$21*J176/(2*Inputs!$C$12*1000000)</x:f>
        <x:v>5524.7288124422275</x:v>
      </x:c>
      <x:c r="R176" s="53" t="n">
        <x:f>Q176*COS(RADIANS(D176))</x:f>
        <x:v>5471.358084835288</x:v>
      </x:c>
      <x:c r="S176" s="53" t="n">
        <x:f>Inputs!$C$21*I176/(2*Inputs!$C$12*1000000)*COS(RADIANS(D176))</x:f>
        <x:v>1068.738066355707</x:v>
      </x:c>
    </x:row>
    <x:row r="177">
      <x:c r="A177" s="53" t="n">
        <x:f>Subsurface_Live_Data!A175</x:f>
        <x:v>26.5</x:v>
      </x:c>
      <x:c r="B177" s="54" t="n">
        <x:f>Model_Data!P175</x:f>
        <x:v>-226.0981075584823</x:v>
      </x:c>
      <x:c r="C177" s="54" t="n">
        <x:f>ABS(B177)*Inputs!$C$13/2</x:f>
        <x:v>565.2452688962057</x:v>
      </x:c>
      <x:c r="D177" s="54" t="n">
        <x:f>DEGREES(ASIN(MIN(1,C177/(Inputs!$C$11*1000))))</x:f>
        <x:v>8.123733624198083</x:v>
      </x:c>
      <x:c r="E177" s="54" t="n">
        <x:f>Model_Data!I175</x:f>
        <x:v>5.1939853576754125</x:v>
      </x:c>
      <x:c r="F177" s="53" t="n">
        <x:f>Subsurface_Live_Data!F175</x:f>
        <x:v>1070.0349227200634</x:v>
      </x:c>
      <x:c r="G177" s="53" t="n">
        <x:f>Subsurface_Live_Data!I175</x:f>
        <x:v>5467.332068028932</x:v>
      </x:c>
      <x:c r="H177" s="53" t="n">
        <x:f>Subsurface_Live_Data!K175</x:f>
        <x:v>15380.200342679758</x:v>
      </x:c>
      <x:c r="I177" s="54" t="n">
        <x:f>Subsurface_Live_Data!M175/COS(RADIANS(D177))</x:f>
        <x:v>12.83533817554666</x:v>
      </x:c>
      <x:c r="J177" s="54" t="n">
        <x:f>Subsurface_Live_Data!N175/COS(RADIANS(D177))</x:f>
        <x:v>65.58202402663171</x:v>
      </x:c>
      <x:c r="K177" s="54" t="n">
        <x:f>Subsurface_Live_Data!O175/COS(RADIANS(D177))</x:f>
        <x:v>184.4893735843037</x:v>
      </x:c>
      <x:c r="L177" s="53" t="n">
        <x:f>Inputs!$C$21*K177/(2*Inputs!$C$12*1000000)</x:f>
        <x:v>15536.101904977158</x:v>
      </x:c>
      <x:c r="M177" s="53" t="n">
        <x:f>L177*COS(RADIANS(D177))</x:f>
        <x:v>15380.200342679758</x:v>
      </x:c>
      <x:c r="N177" s="54" t="n">
        <x:f>L177-H177</x:f>
        <x:v>155.90156229740023</x:v>
      </x:c>
      <x:c r="O177" s="55" t="n">
        <x:f>M177-H177</x:f>
        <x:v>0</x:v>
      </x:c>
      <x:c r="P177" s="54" t="n">
        <x:f>N177-O177</x:f>
        <x:v>155.90156229740023</x:v>
      </x:c>
      <x:c r="Q177" s="53" t="n">
        <x:f>Inputs!$C$21*J177/(2*Inputs!$C$12*1000000)</x:f>
        <x:v>5522.7517369547695</x:v>
      </x:c>
      <x:c r="R177" s="53" t="n">
        <x:f>Q177*COS(RADIANS(D177))</x:f>
        <x:v>5467.332068028931</x:v>
      </x:c>
      <x:c r="S177" s="53" t="n">
        <x:f>Inputs!$C$21*I177/(2*Inputs!$C$12*1000000)*COS(RADIANS(D177))</x:f>
        <x:v>1070.0349227200632</x:v>
      </x:c>
    </x:row>
    <x:row r="178">
      <x:c r="A178" s="53" t="n">
        <x:f>Subsurface_Live_Data!A176</x:f>
        <x:v>27</x:v>
      </x:c>
      <x:c r="B178" s="54" t="n">
        <x:f>Model_Data!P176</x:f>
        <x:v>-230.3342535144111</x:v>
      </x:c>
      <x:c r="C178" s="54" t="n">
        <x:f>ABS(B178)*Inputs!$C$13/2</x:f>
        <x:v>575.8356337860278</x:v>
      </x:c>
      <x:c r="D178" s="54" t="n">
        <x:f>DEGREES(ASIN(MIN(1,C178/(Inputs!$C$11*1000))))</x:f>
        <x:v>8.276996536260333</x:v>
      </x:c>
      <x:c r="E178" s="54" t="n">
        <x:f>Model_Data!I176</x:f>
        <x:v>5.2453892719816</x:v>
      </x:c>
      <x:c r="F178" s="53" t="n">
        <x:f>Subsurface_Live_Data!F176</x:f>
        <x:v>1070.008330851856</x:v>
      </x:c>
      <x:c r="G178" s="53" t="n">
        <x:f>Subsurface_Live_Data!I176</x:f>
        <x:v>5463.024682645259</x:v>
      </x:c>
      <x:c r="H178" s="53" t="n">
        <x:f>Subsurface_Live_Data!K176</x:f>
        <x:v>15355.916304404951</x:v>
      </x:c>
      <x:c r="I178" s="54" t="n">
        <x:f>Subsurface_Live_Data!M176/COS(RADIANS(D178))</x:f>
        <x:v>12.839967831335933</x:v>
      </x:c>
      <x:c r="J178" s="54" t="n">
        <x:f>Subsurface_Live_Data!N176/COS(RADIANS(D178))</x:f>
        <x:v>65.55562154466159</x:v>
      </x:c>
      <x:c r="K178" s="54" t="n">
        <x:f>Subsurface_Live_Data!O176/COS(RADIANS(D178))</x:f>
        <x:v>184.26909929969963</x:v>
      </x:c>
      <x:c r="L178" s="53" t="n">
        <x:f>Inputs!$C$21*K178/(2*Inputs!$C$12*1000000)</x:f>
        <x:v>15517.552306882873</x:v>
      </x:c>
      <x:c r="M178" s="53" t="n">
        <x:f>L178*COS(RADIANS(D178))</x:f>
        <x:v>15355.91630440495</x:v>
      </x:c>
      <x:c r="N178" s="54" t="n">
        <x:f>L178-H178</x:f>
        <x:v>161.63600247792237</x:v>
      </x:c>
      <x:c r="O178" s="55" t="n">
        <x:f>M178-H178</x:f>
        <x:v>-1.8189894035458565e-12</x:v>
      </x:c>
      <x:c r="P178" s="54" t="n">
        <x:f>N178-O178</x:f>
        <x:v>161.6360024779242</x:v>
      </x:c>
      <x:c r="Q178" s="53" t="n">
        <x:f>Inputs!$C$21*J178/(2*Inputs!$C$12*1000000)</x:f>
        <x:v>5520.52834791906</x:v>
      </x:c>
      <x:c r="R178" s="53" t="n">
        <x:f>Q178*COS(RADIANS(D178))</x:f>
        <x:v>5463.024682645259</x:v>
      </x:c>
      <x:c r="S178" s="53" t="n">
        <x:f>Inputs!$C$21*I178/(2*Inputs!$C$12*1000000)*COS(RADIANS(D178))</x:f>
        <x:v>1070.0083308518558</x:v>
      </x:c>
    </x:row>
    <x:row r="179">
      <x:c r="A179" s="53" t="n">
        <x:f>Subsurface_Live_Data!A177</x:f>
        <x:v>27.5</x:v>
      </x:c>
      <x:c r="B179" s="54" t="n">
        <x:f>Model_Data!P177</x:f>
        <x:v>-234.56874188968868</x:v>
      </x:c>
      <x:c r="C179" s="54" t="n">
        <x:f>ABS(B179)*Inputs!$C$13/2</x:f>
        <x:v>586.4218547242217</x:v>
      </x:c>
      <x:c r="D179" s="54" t="n">
        <x:f>DEGREES(ASIN(MIN(1,C179/(Inputs!$C$11*1000))))</x:f>
        <x:v>8.430259105606691</x:v>
      </x:c>
      <x:c r="E179" s="54" t="n">
        <x:f>Model_Data!I177</x:f>
        <x:v>5.297214287097746</x:v>
      </x:c>
      <x:c r="F179" s="53" t="n">
        <x:f>Subsurface_Live_Data!F177</x:f>
        <x:v>1071.1987313570523</x:v>
      </x:c>
      <x:c r="G179" s="53" t="n">
        <x:f>Subsurface_Live_Data!I177</x:f>
        <x:v>5458.4798933641805</x:v>
      </x:c>
      <x:c r="H179" s="53" t="n">
        <x:f>Subsurface_Live_Data!K177</x:f>
        <x:v>15327.740262481037</x:v>
      </x:c>
      <x:c r="I179" s="54" t="n">
        <x:f>Subsurface_Live_Data!M177/COS(RADIANS(D179))</x:f>
        <x:v>12.859302485860038</x:v>
      </x:c>
      <x:c r="J179" s="54" t="n">
        <x:f>Subsurface_Live_Data!N177/COS(RADIANS(D179))</x:f>
        <x:v>65.52681776688786</x:v>
      </x:c>
      <x:c r="K179" s="54" t="n">
        <x:f>Subsurface_Live_Data!O177/COS(RADIANS(D179))</x:f>
        <x:v>184.00325046150618</x:v>
      </x:c>
      <x:c r="L179" s="53" t="n">
        <x:f>Inputs!$C$21*K179/(2*Inputs!$C$12*1000000)</x:f>
        <x:v>15495.164813439487</x:v>
      </x:c>
      <x:c r="M179" s="53" t="n">
        <x:f>L179*COS(RADIANS(D179))</x:f>
        <x:v>15327.740262481038</x:v>
      </x:c>
      <x:c r="N179" s="54" t="n">
        <x:f>L179-H179</x:f>
        <x:v>167.4245509584507</x:v>
      </x:c>
      <x:c r="O179" s="55" t="n">
        <x:f>M179-H179</x:f>
        <x:v>1.8189894035458565e-12</x:v>
      </x:c>
      <x:c r="P179" s="54" t="n">
        <x:f>N179-O179</x:f>
        <x:v>167.4245509584489</x:v>
      </x:c>
      <x:c r="Q179" s="53" t="n">
        <x:f>Inputs!$C$21*J179/(2*Inputs!$C$12*1000000)</x:f>
        <x:v>5518.102742486905</x:v>
      </x:c>
      <x:c r="R179" s="53" t="n">
        <x:f>Q179*COS(RADIANS(D179))</x:f>
        <x:v>5458.4798933641805</x:v>
      </x:c>
      <x:c r="S179" s="53" t="n">
        <x:f>Inputs!$C$21*I179/(2*Inputs!$C$12*1000000)*COS(RADIANS(D179))</x:f>
        <x:v>1071.1987313570523</x:v>
      </x:c>
    </x:row>
    <x:row r="180">
      <x:c r="A180" s="53" t="n">
        <x:f>Subsurface_Live_Data!A178</x:f>
        <x:v>28</x:v>
      </x:c>
      <x:c r="B180" s="54" t="n">
        <x:f>Model_Data!P178</x:f>
        <x:v>-238.80154350054</x:v>
      </x:c>
      <x:c r="C180" s="54" t="n">
        <x:f>ABS(B180)*Inputs!$C$13/2</x:f>
        <x:v>597.00385875135</x:v>
      </x:c>
      <x:c r="D180" s="54" t="n">
        <x:f>DEGREES(ASIN(MIN(1,C180/(Inputs!$C$11*1000))))</x:f>
        <x:v>8.58352137221981</x:v>
      </x:c>
      <x:c r="E180" s="54" t="n">
        <x:f>Model_Data!I178</x:f>
        <x:v>5.349446707466922</x:v>
      </x:c>
      <x:c r="F180" s="53" t="n">
        <x:f>Subsurface_Live_Data!F178</x:f>
        <x:v>1071.9464167372869</x:v>
      </x:c>
      <x:c r="G180" s="53" t="n">
        <x:f>Subsurface_Live_Data!I178</x:f>
        <x:v>5453.737596893806</x:v>
      </x:c>
      <x:c r="H180" s="53" t="n">
        <x:f>Subsurface_Live_Data!K178</x:f>
        <x:v>15301.840793373181</x:v>
      </x:c>
      <x:c r="I180" s="54" t="n">
        <x:f>Subsurface_Live_Data!M178/COS(RADIANS(D180))</x:f>
        <x:v>12.873427774440009</x:v>
      </x:c>
      <x:c r="J180" s="54" t="n">
        <x:f>Subsurface_Live_Data!N178/COS(RADIANS(D180))</x:f>
        <x:v>65.49608819819126</x:v>
      </x:c>
      <x:c r="K180" s="54" t="n">
        <x:f>Subsurface_Live_Data!O178/COS(RADIANS(D180))</x:f>
        <x:v>183.76584798804095</x:v>
      </x:c>
      <x:c r="L180" s="53" t="n">
        <x:f>Inputs!$C$21*K180/(2*Inputs!$C$12*1000000)</x:f>
        <x:v>15475.172827187962</x:v>
      </x:c>
      <x:c r="M180" s="53" t="n">
        <x:f>L180*COS(RADIANS(D180))</x:f>
        <x:v>15301.84079337318</x:v>
      </x:c>
      <x:c r="N180" s="54" t="n">
        <x:f>L180-H180</x:f>
        <x:v>173.33203381478052</x:v>
      </x:c>
      <x:c r="O180" s="55" t="n">
        <x:f>M180-H180</x:f>
        <x:v>-1.8189894035458565e-12</x:v>
      </x:c>
      <x:c r="P180" s="54" t="n">
        <x:f>N180-O180</x:f>
        <x:v>173.33203381478233</x:v>
      </x:c>
      <x:c r="Q180" s="53" t="n">
        <x:f>Inputs!$C$21*J180/(2*Inputs!$C$12*1000000)</x:f>
        <x:v>5515.514963573188</x:v>
      </x:c>
      <x:c r="R180" s="53" t="n">
        <x:f>Q180*COS(RADIANS(D180))</x:f>
        <x:v>5453.737596893806</x:v>
      </x:c>
      <x:c r="S180" s="53" t="n">
        <x:f>Inputs!$C$21*I180/(2*Inputs!$C$12*1000000)*COS(RADIANS(D180))</x:f>
        <x:v>1071.9464167372867</x:v>
      </x:c>
    </x:row>
    <x:row r="181">
      <x:c r="A181" s="53" t="n">
        <x:f>Subsurface_Live_Data!A179</x:f>
        <x:v>28.5</x:v>
      </x:c>
      <x:c r="B181" s="54" t="n">
        <x:f>Model_Data!P179</x:f>
        <x:v>-243.03262925423041</x:v>
      </x:c>
      <x:c r="C181" s="54" t="n">
        <x:f>ABS(B181)*Inputs!$C$13/2</x:f>
        <x:v>607.581573135576</x:v>
      </x:c>
      <x:c r="D181" s="54" t="n">
        <x:f>DEGREES(ASIN(MIN(1,C181/(Inputs!$C$11*1000))))</x:f>
        <x:v>8.736783378996103</x:v>
      </x:c>
      <x:c r="E181" s="54" t="n">
        <x:f>Model_Data!I179</x:f>
        <x:v>5.402073248314196</x:v>
      </x:c>
      <x:c r="F181" s="53" t="n">
        <x:f>Subsurface_Live_Data!F179</x:f>
        <x:v>1073.8961015846771</x:v>
      </x:c>
      <x:c r="G181" s="53" t="n">
        <x:f>Subsurface_Live_Data!I179</x:f>
        <x:v>5448.8329056340945</x:v>
      </x:c>
      <x:c r="H181" s="53" t="n">
        <x:f>Subsurface_Live_Data!K179</x:f>
        <x:v>15272.833757183122</x:v>
      </x:c>
      <x:c r="I181" s="54" t="n">
        <x:f>Subsurface_Live_Data!M179/COS(RADIANS(D181))</x:f>
        <x:v>12.902097783842844</x:v>
      </x:c>
      <x:c r="J181" s="54" t="n">
        <x:f>Subsurface_Live_Data!N179/COS(RADIANS(D181))</x:f>
        <x:v>65.46385153328386</x:v>
      </x:c>
      <x:c r="K181" s="54" t="n">
        <x:f>Subsurface_Live_Data!O179/COS(RADIANS(D181))</x:f>
        <x:v>183.49223382110858</x:v>
      </x:c>
      <x:c r="L181" s="53" t="n">
        <x:f>Inputs!$C$21*K181/(2*Inputs!$C$12*1000000)</x:f>
        <x:v>15452.131404814852</x:v>
      </x:c>
      <x:c r="M181" s="53" t="n">
        <x:f>L181*COS(RADIANS(D181))</x:f>
        <x:v>15272.833757183123</x:v>
      </x:c>
      <x:c r="N181" s="54" t="n">
        <x:f>L181-H181</x:f>
        <x:v>179.2976476317308</x:v>
      </x:c>
      <x:c r="O181" s="55" t="n">
        <x:f>M181-H181</x:f>
        <x:v>1.8189894035458565e-12</x:v>
      </x:c>
      <x:c r="P181" s="54" t="n">
        <x:f>N181-O181</x:f>
        <x:v>179.29764763172898</x:v>
      </x:c>
      <x:c r="Q181" s="53" t="n">
        <x:f>Inputs!$C$21*J181/(2*Inputs!$C$12*1000000)</x:f>
        <x:v>5512.800270030965</x:v>
      </x:c>
      <x:c r="R181" s="53" t="n">
        <x:f>Q181*COS(RADIANS(D181))</x:f>
        <x:v>5448.8329056340945</x:v>
      </x:c>
      <x:c r="S181" s="53" t="n">
        <x:f>Inputs!$C$21*I181/(2*Inputs!$C$12*1000000)*COS(RADIANS(D181))</x:f>
        <x:v>1073.8961015846771</x:v>
      </x:c>
    </x:row>
    <x:row r="182">
      <x:c r="A182" s="53" t="n">
        <x:f>Subsurface_Live_Data!A180</x:f>
        <x:v>29</x:v>
      </x:c>
      <x:c r="B182" s="54" t="n">
        <x:f>Model_Data!P180</x:f>
        <x:v>-247.26197014497302</x:v>
      </x:c>
      <x:c r="C182" s="54" t="n">
        <x:f>ABS(B182)*Inputs!$C$13/2</x:f>
        <x:v>618.1549253624326</x:v>
      </x:c>
      <x:c r="D182" s="54" t="n">
        <x:f>DEGREES(ASIN(MIN(1,C182/(Inputs!$C$11*1000))))</x:f>
        <x:v>8.890045171598464</x:v>
      </x:c>
      <x:c r="E182" s="54" t="n">
        <x:f>Model_Data!I180</x:f>
        <x:v>5.455081025841907</x:v>
      </x:c>
      <x:c r="F182" s="53" t="n">
        <x:f>Subsurface_Live_Data!F180</x:f>
        <x:v>1075.2262426635273</x:v>
      </x:c>
      <x:c r="G182" s="53" t="n">
        <x:f>Subsurface_Live_Data!I180</x:f>
        <x:v>5443.795531524469</x:v>
      </x:c>
      <x:c r="H182" s="53" t="n">
        <x:f>Subsurface_Live_Data!K180</x:f>
        <x:v>15247.471049891155</x:v>
      </x:c>
      <x:c r="I182" s="54" t="n">
        <x:f>Subsurface_Live_Data!M180/COS(RADIANS(D182))</x:f>
        <x:v>12.923437257053406</x:v>
      </x:c>
      <x:c r="J182" s="54" t="n">
        <x:f>Subsurface_Live_Data!N180/COS(RADIANS(D182))</x:f>
        <x:v>65.4304621673001</x:v>
      </x:c>
      <x:c r="K182" s="54" t="n">
        <x:f>Subsurface_Live_Data!O180/COS(RADIANS(D182))</x:f>
        <x:v>183.26351015566658</x:v>
      </x:c>
      <x:c r="L182" s="53" t="n">
        <x:f>Inputs!$C$21*K182/(2*Inputs!$C$12*1000000)</x:f>
        <x:v>15432.870272830125</x:v>
      </x:c>
      <x:c r="M182" s="53" t="n">
        <x:f>L182*COS(RADIANS(D182))</x:f>
        <x:v>15247.471049891155</x:v>
      </x:c>
      <x:c r="N182" s="54" t="n">
        <x:f>L182-H182</x:f>
        <x:v>185.39922293896961</x:v>
      </x:c>
      <x:c r="O182" s="55" t="n">
        <x:f>M182-H182</x:f>
        <x:v>0</x:v>
      </x:c>
      <x:c r="P182" s="54" t="n">
        <x:f>N182-O182</x:f>
        <x:v>185.39922293896961</x:v>
      </x:c>
      <x:c r="Q182" s="53" t="n">
        <x:f>Inputs!$C$21*J182/(2*Inputs!$C$12*1000000)</x:f>
        <x:v>5509.98850595812</x:v>
      </x:c>
      <x:c r="R182" s="53" t="n">
        <x:f>Q182*COS(RADIANS(D182))</x:f>
        <x:v>5443.79553152447</x:v>
      </x:c>
      <x:c r="S182" s="53" t="n">
        <x:f>Inputs!$C$21*I182/(2*Inputs!$C$12*1000000)*COS(RADIANS(D182))</x:f>
        <x:v>1075.2262426635275</x:v>
      </x:c>
    </x:row>
    <x:row r="183">
      <x:c r="A183" s="53" t="n">
        <x:f>Subsurface_Live_Data!A181</x:f>
        <x:v>29.5</x:v>
      </x:c>
      <x:c r="B183" s="54" t="n">
        <x:f>Model_Data!P181</x:f>
        <x:v>-251.4895372385581</x:v>
      </x:c>
      <x:c r="C183" s="54" t="n">
        <x:f>ABS(B183)*Inputs!$C$13/2</x:f>
        <x:v>628.7238430963953</x:v>
      </x:c>
      <x:c r="D183" s="54" t="n">
        <x:f>DEGREES(ASIN(MIN(1,C183/(Inputs!$C$11*1000))))</x:f>
        <x:v>9.043306797899985</x:v>
      </x:c>
      <x:c r="E183" s="54" t="n">
        <x:f>Model_Data!I181</x:f>
        <x:v>5.508457547244826</x:v>
      </x:c>
      <x:c r="F183" s="53" t="n">
        <x:f>Subsurface_Live_Data!F181</x:f>
        <x:v>1077.2619790009558</x:v>
      </x:c>
      <x:c r="G183" s="53" t="n">
        <x:f>Subsurface_Live_Data!I181</x:f>
        <x:v>5438.649286310954</x:v>
      </x:c>
      <x:c r="H183" s="53" t="n">
        <x:f>Subsurface_Live_Data!K181</x:f>
        <x:v>15221.486466946375</x:v>
      </x:c>
      <x:c r="I183" s="54" t="n">
        <x:f>Subsurface_Live_Data!M181/COS(RADIANS(D183))</x:f>
        <x:v>12.953371419785755</x:v>
      </x:c>
      <x:c r="J183" s="54" t="n">
        <x:f>Subsurface_Live_Data!N181/COS(RADIANS(D183))</x:f>
        <x:v>65.39620408108361</x:v>
      </x:c>
      <x:c r="K183" s="54" t="n">
        <x:f>Subsurface_Live_Data!O181/COS(RADIANS(D183))</x:f>
        <x:v>183.02842912032625</x:v>
      </x:c>
      <x:c r="L183" s="53" t="n">
        <x:f>Inputs!$C$21*K183/(2*Inputs!$C$12*1000000)</x:f>
        <x:v>15413.07377805095</x:v>
      </x:c>
      <x:c r="M183" s="53" t="n">
        <x:f>L183*COS(RADIANS(D183))</x:f>
        <x:v>15221.486466946373</x:v>
      </x:c>
      <x:c r="N183" s="54" t="n">
        <x:f>L183-H183</x:f>
        <x:v>191.58731110457484</x:v>
      </x:c>
      <x:c r="O183" s="55" t="n">
        <x:f>M183-H183</x:f>
        <x:v>-1.8189894035458565e-12</x:v>
      </x:c>
      <x:c r="P183" s="54" t="n">
        <x:f>N183-O183</x:f>
        <x:v>191.58731110457666</x:v>
      </x:c>
      <x:c r="Q183" s="53" t="n">
        <x:f>Inputs!$C$21*J183/(2*Inputs!$C$12*1000000)</x:f>
        <x:v>5507.103585769014</x:v>
      </x:c>
      <x:c r="R183" s="53" t="n">
        <x:f>Q183*COS(RADIANS(D183))</x:f>
        <x:v>5438.649286310955</x:v>
      </x:c>
      <x:c r="S183" s="53" t="n">
        <x:f>Inputs!$C$21*I183/(2*Inputs!$C$12*1000000)*COS(RADIANS(D183))</x:f>
        <x:v>1077.2619790009558</x:v>
      </x:c>
    </x:row>
    <x:row r="184">
      <x:c r="A184" s="53" t="n">
        <x:f>Subsurface_Live_Data!A182</x:f>
        <x:v>30</x:v>
      </x:c>
      <x:c r="B184" s="54" t="n">
        <x:f>Model_Data!P182</x:f>
        <x:v>-255.71530170509504</x:v>
      </x:c>
      <x:c r="C184" s="54" t="n">
        <x:f>ABS(B184)*Inputs!$C$13/2</x:f>
        <x:v>639.2882542627376</x:v>
      </x:c>
      <x:c r="D184" s="54" t="n">
        <x:f>DEGREES(ASIN(MIN(1,C184/(Inputs!$C$11*1000))))</x:f>
        <x:v>9.196568309171878</x:v>
      </x:c>
      <x:c r="E184" s="54" t="n">
        <x:f>Model_Data!I182</x:f>
        <x:v>5.562190700603825</x:v>
      </x:c>
      <x:c r="F184" s="53" t="n">
        <x:f>Subsurface_Live_Data!F182</x:f>
        <x:v>1080.4645540968556</x:v>
      </x:c>
      <x:c r="G184" s="53" t="n">
        <x:f>Subsurface_Live_Data!I182</x:f>
        <x:v>5433.411711485315</x:v>
      </x:c>
      <x:c r="H184" s="53" t="n">
        <x:f>Subsurface_Live_Data!K182</x:f>
        <x:v>15193.623838416177</x:v>
      </x:c>
      <x:c r="I184" s="54" t="n">
        <x:f>Subsurface_Live_Data!M182/COS(RADIANS(D184))</x:f>
        <x:v>12.997460300890003</x:v>
      </x:c>
      <x:c r="J184" s="54" t="n">
        <x:f>Subsurface_Live_Data!N182/COS(RADIANS(D184))</x:f>
        <x:v>65.36128626399213</x:v>
      </x:c>
      <x:c r="K184" s="54" t="n">
        <x:f>Subsurface_Live_Data!O182/COS(RADIANS(D184))</x:f>
        <x:v>182.77186596976298</x:v>
      </x:c>
      <x:c r="L184" s="53" t="n">
        <x:f>Inputs!$C$21*K184/(2*Inputs!$C$12*1000000)</x:f>
        <x:v>15391.468245034213</x:v>
      </x:c>
      <x:c r="M184" s="53" t="n">
        <x:f>L184*COS(RADIANS(D184))</x:f>
        <x:v>15193.623838416177</x:v>
      </x:c>
      <x:c r="N184" s="54" t="n">
        <x:f>L184-H184</x:f>
        <x:v>197.84440661803637</x:v>
      </x:c>
      <x:c r="O184" s="55" t="n">
        <x:f>M184-H184</x:f>
        <x:v>0</x:v>
      </x:c>
      <x:c r="P184" s="54" t="n">
        <x:f>N184-O184</x:f>
        <x:v>197.84440661803637</x:v>
      </x:c>
      <x:c r="Q184" s="53" t="n">
        <x:f>Inputs!$C$21*J184/(2*Inputs!$C$12*1000000)</x:f>
        <x:v>5504.16310874265</x:v>
      </x:c>
      <x:c r="R184" s="53" t="n">
        <x:f>Q184*COS(RADIANS(D184))</x:f>
        <x:v>5433.411711485315</x:v>
      </x:c>
      <x:c r="S184" s="53" t="n">
        <x:f>Inputs!$C$21*I184/(2*Inputs!$C$12*1000000)*COS(RADIANS(D184))</x:f>
        <x:v>1080.4645540968556</x:v>
      </x:c>
    </x:row>
    <x:row r="185">
      <x:c r="A185" s="53" t="n">
        <x:f>Subsurface_Live_Data!A183</x:f>
        <x:v>30.5</x:v>
      </x:c>
      <x:c r="B185" s="54" t="n">
        <x:f>Model_Data!P183</x:f>
        <x:v>-259.939234788817</x:v>
      </x:c>
      <x:c r="C185" s="54" t="n">
        <x:f>ABS(B185)*Inputs!$C$13/2</x:f>
        <x:v>649.8480869720424</x:v>
      </x:c>
      <x:c r="D185" s="54" t="n">
        <x:f>DEGREES(ASIN(MIN(1,C185/(Inputs!$C$11*1000))))</x:f>
        <x:v>9.349829758990628</x:v>
      </x:c>
      <x:c r="E185" s="54" t="n">
        <x:f>Model_Data!I183</x:f>
        <x:v>5.616268744710343</x:v>
      </x:c>
      <x:c r="F185" s="53" t="n">
        <x:f>Subsurface_Live_Data!F183</x:f>
        <x:v>1083.7751111983594</x:v>
      </x:c>
      <x:c r="G185" s="53" t="n">
        <x:f>Subsurface_Live_Data!I183</x:f>
        <x:v>5428.09384771076</x:v>
      </x:c>
      <x:c r="H185" s="53" t="n">
        <x:f>Subsurface_Live_Data!K183</x:f>
        <x:v>15167.924996429276</x:v>
      </x:c>
      <x:c r="I185" s="54" t="n">
        <x:f>Subsurface_Live_Data!M183/COS(RADIANS(D185))</x:f>
        <x:v>13.042979962155675</x:v>
      </x:c>
      <x:c r="J185" s="54" t="n">
        <x:f>Subsurface_Live_Data!N183/COS(RADIANS(D185))</x:f>
        <x:v>65.32583979540563</x:v>
      </x:c>
      <x:c r="K185" s="54" t="n">
        <x:f>Subsurface_Live_Data!O183/COS(RADIANS(D185))</x:f>
        <x:v>182.5424294687445</x:v>
      </x:c>
      <x:c r="L185" s="53" t="n">
        <x:f>Inputs!$C$21*K185/(2*Inputs!$C$12*1000000)</x:f>
        <x:v>15372.147084192851</x:v>
      </x:c>
      <x:c r="M185" s="53" t="n">
        <x:f>L185*COS(RADIANS(D185))</x:f>
        <x:v>15167.924996429278</x:v>
      </x:c>
      <x:c r="N185" s="54" t="n">
        <x:f>L185-H185</x:f>
        <x:v>204.22208776357547</x:v>
      </x:c>
      <x:c r="O185" s="55" t="n">
        <x:f>M185-H185</x:f>
        <x:v>1.8189894035458565e-12</x:v>
      </x:c>
      <x:c r="P185" s="54" t="n">
        <x:f>N185-O185</x:f>
        <x:v>204.22208776357365</x:v>
      </x:c>
      <x:c r="Q185" s="53" t="n">
        <x:f>Inputs!$C$21*J185/(2*Inputs!$C$12*1000000)</x:f>
        <x:v>5501.178113252492</x:v>
      </x:c>
      <x:c r="R185" s="53" t="n">
        <x:f>Q185*COS(RADIANS(D185))</x:f>
        <x:v>5428.09384771076</x:v>
      </x:c>
      <x:c r="S185" s="53" t="n">
        <x:f>Inputs!$C$21*I185/(2*Inputs!$C$12*1000000)*COS(RADIANS(D185))</x:f>
        <x:v>1083.7751111983591</x:v>
      </x:c>
    </x:row>
    <x:row r="186">
      <x:c r="A186" s="53" t="n">
        <x:f>Subsurface_Live_Data!A184</x:f>
        <x:v>31</x:v>
      </x:c>
      <x:c r="B186" s="54" t="n">
        <x:f>Model_Data!P184</x:f>
        <x:v>-264.16130781663014</x:v>
      </x:c>
      <x:c r="C186" s="54" t="n">
        <x:f>ABS(B186)*Inputs!$C$13/2</x:f>
        <x:v>660.4032695415754</x:v>
      </x:c>
      <x:c r="D186" s="54" t="n">
        <x:f>DEGREES(ASIN(MIN(1,C186/(Inputs!$C$11*1000))))</x:f>
        <x:v>9.503091203549337</x:v>
      </x:c>
      <x:c r="E186" s="54" t="n">
        <x:f>Model_Data!I184</x:f>
        <x:v>5.670680298867937</x:v>
      </x:c>
      <x:c r="F186" s="53" t="n">
        <x:f>Subsurface_Live_Data!F184</x:f>
        <x:v>1088.5185563240677</x:v>
      </x:c>
      <x:c r="G186" s="53" t="n">
        <x:f>Subsurface_Live_Data!I184</x:f>
        <x:v>5422.700149771261</x:v>
      </x:c>
      <x:c r="H186" s="53" t="n">
        <x:f>Subsurface_Live_Data!K184</x:f>
        <x:v>15140.057820585285</x:v>
      </x:c>
      <x:c r="I186" s="54" t="n">
        <x:f>Subsurface_Live_Data!M184/COS(RADIANS(D186))</x:f>
        <x:v>13.105885235284562</x:v>
      </x:c>
      <x:c r="J186" s="54" t="n">
        <x:f>Subsurface_Live_Data!N184/COS(RADIANS(D186))</x:f>
        <x:v>65.28991666275664</x:v>
      </x:c>
      <x:c r="K186" s="54" t="n">
        <x:f>Subsurface_Live_Data!O184/COS(RADIANS(D186))</x:f>
        <x:v>182.28799049805963</x:v>
      </x:c>
      <x:c r="L186" s="53" t="n">
        <x:f>Inputs!$C$21*K186/(2*Inputs!$C$12*1000000)</x:f>
        <x:v>15350.720431262342</x:v>
      </x:c>
      <x:c r="M186" s="53" t="n">
        <x:f>L186*COS(RADIANS(D186))</x:f>
        <x:v>15140.057820585285</x:v>
      </x:c>
      <x:c r="N186" s="54" t="n">
        <x:f>L186-H186</x:f>
        <x:v>210.66261067705636</x:v>
      </x:c>
      <x:c r="O186" s="55" t="n">
        <x:f>M186-H186</x:f>
        <x:v>0</x:v>
      </x:c>
      <x:c r="P186" s="54" t="n">
        <x:f>N186-O186</x:f>
        <x:v>210.66261067705636</x:v>
      </x:c>
      <x:c r="Q186" s="53" t="n">
        <x:f>Inputs!$C$21*J186/(2*Inputs!$C$12*1000000)</x:f>
        <x:v>5498.1529772311715</x:v>
      </x:c>
      <x:c r="R186" s="53" t="n">
        <x:f>Q186*COS(RADIANS(D186))</x:f>
        <x:v>5422.700149771262</x:v>
      </x:c>
      <x:c r="S186" s="53" t="n">
        <x:f>Inputs!$C$21*I186/(2*Inputs!$C$12*1000000)*COS(RADIANS(D186))</x:f>
        <x:v>1088.5185563240677</x:v>
      </x:c>
    </x:row>
    <x:row r="187">
      <x:c r="A187" s="53" t="n">
        <x:f>Subsurface_Live_Data!A185</x:f>
        <x:v>31.5</x:v>
      </x:c>
      <x:c r="B187" s="54" t="n">
        <x:f>Model_Data!P185</x:f>
        <x:v>-268.38149222203356</x:v>
      </x:c>
      <x:c r="C187" s="54" t="n">
        <x:f>ABS(B187)*Inputs!$C$13/2</x:f>
        <x:v>670.9537305550839</x:v>
      </x:c>
      <x:c r="D187" s="54" t="n">
        <x:f>DEGREES(ASIN(MIN(1,C187/(Inputs!$C$11*1000))))</x:f>
        <x:v>9.65635270252849</x:v>
      </x:c>
      <x:c r="E187" s="54" t="n">
        <x:f>Model_Data!I185</x:f>
        <x:v>5.725414332711808</x:v>
      </x:c>
      <x:c r="F187" s="53" t="n">
        <x:f>Subsurface_Live_Data!F185</x:f>
        <x:v>1093.13537673915</x:v>
      </x:c>
      <x:c r="G187" s="53" t="n">
        <x:f>Subsurface_Live_Data!I185</x:f>
        <x:v>5417.228549094605</x:v>
      </x:c>
      <x:c r="H187" s="53" t="n">
        <x:f>Subsurface_Live_Data!K185</x:f>
        <x:v>15115.746926095402</x:v>
      </x:c>
      <x:c r="I187" s="54" t="n">
        <x:f>Subsurface_Live_Data!M185/COS(RADIANS(D187))</x:f>
        <x:v>13.167415423983433</x:v>
      </x:c>
      <x:c r="J187" s="54" t="n">
        <x:f>Subsurface_Live_Data!N185/COS(RADIANS(D187))</x:f>
        <x:v>65.2534903457004</x:v>
      </x:c>
      <x:c r="K187" s="54" t="n">
        <x:f>Subsurface_Live_Data!O185/COS(RADIANS(D187))</x:f>
        <x:v>182.07746584272672</x:v>
      </x:c>
      <x:c r="L187" s="53" t="n">
        <x:f>Inputs!$C$21*K187/(2*Inputs!$C$12*1000000)</x:f>
        <x:v>15332.991862753395</x:v>
      </x:c>
      <x:c r="M187" s="53" t="n">
        <x:f>L187*COS(RADIANS(D187))</x:f>
        <x:v>15115.746926095404</x:v>
      </x:c>
      <x:c r="N187" s="54" t="n">
        <x:f>L187-H187</x:f>
        <x:v>217.2449366579931</x:v>
      </x:c>
      <x:c r="O187" s="55" t="n">
        <x:f>M187-H187</x:f>
        <x:v>1.8189894035458565e-12</x:v>
      </x:c>
      <x:c r="P187" s="54" t="n">
        <x:f>N187-O187</x:f>
        <x:v>217.24493665799127</x:v>
      </x:c>
      <x:c r="Q187" s="53" t="n">
        <x:f>Inputs!$C$21*J187/(2*Inputs!$C$12*1000000)</x:f>
        <x:v>5495.085467364267</x:v>
      </x:c>
      <x:c r="R187" s="53" t="n">
        <x:f>Q187*COS(RADIANS(D187))</x:f>
        <x:v>5417.228549094604</x:v>
      </x:c>
      <x:c r="S187" s="53" t="n">
        <x:f>Inputs!$C$21*I187/(2*Inputs!$C$12*1000000)*COS(RADIANS(D187))</x:f>
        <x:v>1093.13537673915</x:v>
      </x:c>
    </x:row>
    <x:row r="188">
      <x:c r="A188" s="53" t="n">
        <x:f>Subsurface_Live_Data!A186</x:f>
        <x:v>32</x:v>
      </x:c>
      <x:c r="B188" s="54" t="n">
        <x:f>Model_Data!P186</x:f>
        <x:v>-272.599759519926</x:v>
      </x:c>
      <x:c r="C188" s="54" t="n">
        <x:f>ABS(B188)*Inputs!$C$13/2</x:f>
        <x:v>681.499398799815</x:v>
      </x:c>
      <x:c r="D188" s="54" t="n">
        <x:f>DEGREES(ASIN(MIN(1,C188/(Inputs!$C$11*1000))))</x:f>
        <x:v>9.809614318184586</x:v>
      </x:c>
      <x:c r="E188" s="54" t="n">
        <x:f>Model_Data!I186</x:f>
        <x:v>5.780460156082169</x:v>
      </x:c>
      <x:c r="F188" s="53" t="n">
        <x:f>Subsurface_Live_Data!F186</x:f>
        <x:v>1099.737748011357</x:v>
      </x:c>
      <x:c r="G188" s="53" t="n">
        <x:f>Subsurface_Live_Data!I186</x:f>
        <x:v>5411.670661841409</x:v>
      </x:c>
      <x:c r="H188" s="53" t="n">
        <x:f>Subsurface_Live_Data!K186</x:f>
        <x:v>15087.819991779359</x:v>
      </x:c>
      <x:c r="I188" s="54" t="n">
        <x:f>Subsurface_Live_Data!M186/COS(RADIANS(D188))</x:f>
        <x:v>13.253023936191779</x:v>
      </x:c>
      <x:c r="J188" s="54" t="n">
        <x:f>Subsurface_Live_Data!N186/COS(RADIANS(D188))</x:f>
        <x:v>65.21645814728397</x:v>
      </x:c>
      <x:c r="K188" s="54" t="n">
        <x:f>Subsurface_Live_Data!O186/COS(RADIANS(D188))</x:f>
        <x:v>181.82447575123132</x:v>
      </x:c>
      <x:c r="L188" s="53" t="n">
        <x:f>Inputs!$C$21*K188/(2*Inputs!$C$12*1000000)</x:f>
        <x:v>15311.687221916582</x:v>
      </x:c>
      <x:c r="M188" s="53" t="n">
        <x:f>L188*COS(RADIANS(D188))</x:f>
        <x:v>15087.819991779359</x:v>
      </x:c>
      <x:c r="N188" s="54" t="n">
        <x:f>L188-H188</x:f>
        <x:v>223.86723013722258</x:v>
      </x:c>
      <x:c r="O188" s="55" t="n">
        <x:f>M188-H188</x:f>
        <x:v>0</x:v>
      </x:c>
      <x:c r="P188" s="54" t="n">
        <x:f>N188-O188</x:f>
        <x:v>223.86723013722258</x:v>
      </x:c>
      <x:c r="Q188" s="53" t="n">
        <x:f>Inputs!$C$21*J188/(2*Inputs!$C$12*1000000)</x:f>
        <x:v>5491.966935401233</x:v>
      </x:c>
      <x:c r="R188" s="53" t="n">
        <x:f>Q188*COS(RADIANS(D188))</x:f>
        <x:v>5411.670661841408</x:v>
      </x:c>
      <x:c r="S188" s="53" t="n">
        <x:f>Inputs!$C$21*I188/(2*Inputs!$C$12*1000000)*COS(RADIANS(D188))</x:f>
        <x:v>1099.737748011357</x:v>
      </x:c>
    </x:row>
    <x:row r="189">
      <x:c r="A189" s="53" t="n">
        <x:f>Subsurface_Live_Data!A187</x:f>
        <x:v>32.5</x:v>
      </x:c>
      <x:c r="B189" s="54" t="n">
        <x:f>Model_Data!P187</x:f>
        <x:v>-276.81608131206303</x:v>
      </x:c>
      <x:c r="C189" s="54" t="n">
        <x:f>ABS(B189)*Inputs!$C$13/2</x:f>
        <x:v>692.0402032801576</x:v>
      </x:c>
      <x:c r="D189" s="54" t="n">
        <x:f>DEGREES(ASIN(MIN(1,C189/(Inputs!$C$11*1000))))</x:f>
        <x:v>9.962876115550957</x:v>
      </x:c>
      <x:c r="E189" s="54" t="n">
        <x:f>Model_Data!I187</x:f>
        <x:v>5.835807408982732</x:v>
      </x:c>
      <x:c r="F189" s="53" t="n">
        <x:f>Subsurface_Live_Data!F187</x:f>
        <x:v>1107.1934400968587</x:v>
      </x:c>
      <x:c r="G189" s="53" t="n">
        <x:f>Subsurface_Live_Data!I187</x:f>
        <x:v>5406.012136565577</x:v>
      </x:c>
      <x:c r="H189" s="53" t="n">
        <x:f>Subsurface_Live_Data!K187</x:f>
        <x:v>15060.407592662797</x:v>
      </x:c>
      <x:c r="I189" s="54" t="n">
        <x:f>Subsurface_Live_Data!M187/COS(RADIANS(D189))</x:f>
        <x:v>13.349094782559932</x:v>
      </x:c>
      <x:c r="J189" s="54" t="n">
        <x:f>Subsurface_Live_Data!N187/COS(RADIANS(D189))</x:f>
        <x:v>65.17864520618014</x:v>
      </x:c>
      <x:c r="K189" s="54" t="n">
        <x:f>Subsurface_Live_Data!O187/COS(RADIANS(D189))</x:f>
        <x:v>181.57875682577517</x:v>
      </x:c>
      <x:c r="L189" s="53" t="n">
        <x:f>Inputs!$C$21*K189/(2*Inputs!$C$12*1000000)</x:f>
        <x:v>15290.994895894219</x:v>
      </x:c>
      <x:c r="M189" s="53" t="n">
        <x:f>L189*COS(RADIANS(D189))</x:f>
        <x:v>15060.4075926628</x:v>
      </x:c>
      <x:c r="N189" s="54" t="n">
        <x:f>L189-H189</x:f>
        <x:v>230.58730323142117</x:v>
      </x:c>
      <x:c r="O189" s="55" t="n">
        <x:f>M189-H189</x:f>
        <x:v>1.8189894035458565e-12</x:v>
      </x:c>
      <x:c r="P189" s="54" t="n">
        <x:f>N189-O189</x:f>
        <x:v>230.58730323141936</x:v>
      </x:c>
      <x:c r="Q189" s="53" t="n">
        <x:f>Inputs!$C$21*J189/(2*Inputs!$C$12*1000000)</x:f>
        <x:v>5488.782656031085</x:v>
      </x:c>
      <x:c r="R189" s="53" t="n">
        <x:f>Q189*COS(RADIANS(D189))</x:f>
        <x:v>5406.012136565577</x:v>
      </x:c>
      <x:c r="S189" s="53" t="n">
        <x:f>Inputs!$C$21*I189/(2*Inputs!$C$12*1000000)*COS(RADIANS(D189))</x:f>
        <x:v>1107.1934400968587</x:v>
      </x:c>
    </x:row>
    <x:row r="190">
      <x:c r="A190" s="53" t="n">
        <x:f>Subsurface_Live_Data!A188</x:f>
        <x:v>33</x:v>
      </x:c>
      <x:c r="B190" s="54" t="n">
        <x:f>Model_Data!P188</x:f>
        <x:v>-281.0304293043373</x:v>
      </x:c>
      <x:c r="C190" s="54" t="n">
        <x:f>ABS(B190)*Inputs!$C$13/2</x:f>
        <x:v>702.5760732608433</x:v>
      </x:c>
      <x:c r="D190" s="54" t="n">
        <x:f>DEGREES(ASIN(MIN(1,C190/(Inputs!$C$11*1000))))</x:f>
        <x:v>10.116138163069536</x:v>
      </x:c>
      <x:c r="E190" s="54" t="n">
        <x:f>Model_Data!I188</x:f>
        <x:v>5.891446051651431</x:v>
      </x:c>
      <x:c r="F190" s="53" t="n">
        <x:f>Subsurface_Live_Data!F188</x:f>
        <x:v>1115.2403691033303</x:v>
      </x:c>
      <x:c r="G190" s="53" t="n">
        <x:f>Subsurface_Live_Data!I188</x:f>
        <x:v>5400.233131674641</x:v>
      </x:c>
      <x:c r="H190" s="53" t="n">
        <x:f>Subsurface_Live_Data!K188</x:f>
        <x:v>15034.536710550718</x:v>
      </x:c>
      <x:c r="I190" s="54" t="n">
        <x:f>Subsurface_Live_Data!M188/COS(RADIANS(D190))</x:f>
        <x:v>13.452483265682535</x:v>
      </x:c>
      <x:c r="J190" s="54" t="n">
        <x:f>Subsurface_Live_Data!N188/COS(RADIANS(D190))</x:f>
        <x:v>65.13981007793538</x:v>
      </x:c>
      <x:c r="K190" s="54" t="n">
        <x:f>Subsurface_Live_Data!O188/COS(RADIANS(D190))</x:f>
        <x:v>181.35270127334678</x:v>
      </x:c>
      <x:c r="L190" s="53" t="n">
        <x:f>Inputs!$C$21*K190/(2*Inputs!$C$12*1000000)</x:f>
        <x:v>15271.958449347292</x:v>
      </x:c>
      <x:c r="M190" s="53" t="n">
        <x:f>L190*COS(RADIANS(D190))</x:f>
        <x:v>15034.536710550718</x:v>
      </x:c>
      <x:c r="N190" s="54" t="n">
        <x:f>L190-H190</x:f>
        <x:v>237.42173879657457</x:v>
      </x:c>
      <x:c r="O190" s="55" t="n">
        <x:f>M190-H190</x:f>
        <x:v>0</x:v>
      </x:c>
      <x:c r="P190" s="54" t="n">
        <x:f>N190-O190</x:f>
        <x:v>237.42173879657457</x:v>
      </x:c>
      <x:c r="Q190" s="53" t="n">
        <x:f>Inputs!$C$21*J190/(2*Inputs!$C$12*1000000)</x:f>
        <x:v>5485.5122968869155</x:v>
      </x:c>
      <x:c r="R190" s="53" t="n">
        <x:f>Q190*COS(RADIANS(D190))</x:f>
        <x:v>5400.233131674641</x:v>
      </x:c>
      <x:c r="S190" s="53" t="n">
        <x:f>Inputs!$C$21*I190/(2*Inputs!$C$12*1000000)*COS(RADIANS(D190))</x:f>
        <x:v>1115.2403691033303</x:v>
      </x:c>
    </x:row>
    <x:row r="191">
      <x:c r="A191" s="53" t="n">
        <x:f>Subsurface_Live_Data!A189</x:f>
        <x:v>33.5</x:v>
      </x:c>
      <x:c r="B191" s="54" t="n">
        <x:f>Model_Data!P189</x:f>
        <x:v>-285.24277529395476</x:v>
      </x:c>
      <x:c r="C191" s="54" t="n">
        <x:f>ABS(B191)*Inputs!$C$13/2</x:f>
        <x:v>713.1069382348869</x:v>
      </x:c>
      <x:c r="D191" s="54" t="n">
        <x:f>DEGREES(ASIN(MIN(1,C191/(Inputs!$C$11*1000))))</x:f>
        <x:v>10.269400532129147</x:v>
      </x:c>
      <x:c r="E191" s="54" t="n">
        <x:f>Model_Data!I189</x:f>
        <x:v>5.947366354766674</x:v>
      </x:c>
      <x:c r="F191" s="53" t="n">
        <x:f>Subsurface_Live_Data!F189</x:f>
        <x:v>1124.2608065053928</x:v>
      </x:c>
      <x:c r="G191" s="53" t="n">
        <x:f>Subsurface_Live_Data!I189</x:f>
        <x:v>5394.308909481113</x:v>
      </x:c>
      <x:c r="H191" s="53" t="n">
        <x:f>Subsurface_Live_Data!K189</x:f>
        <x:v>15008.916500694751</x:v>
      </x:c>
      <x:c r="I191" s="54" t="n">
        <x:f>Subsurface_Live_Data!M189/COS(RADIANS(D191))</x:f>
        <x:v>13.567815300703725</x:v>
      </x:c>
      <x:c r="J191" s="54" t="n">
        <x:f>Subsurface_Live_Data!N189/COS(RADIANS(D191))</x:f>
        <x:v>65.09965173141453</x:v>
      </x:c>
      <x:c r="K191" s="54" t="n">
        <x:f>Subsurface_Live_Data!O189/COS(RADIANS(D191))</x:f>
        <x:v>181.13075343975717</x:v>
      </x:c>
      <x:c r="L191" s="53" t="n">
        <x:f>Inputs!$C$21*K191/(2*Inputs!$C$12*1000000)</x:f>
        <x:v>15253.267919409202</x:v>
      </x:c>
      <x:c r="M191" s="53" t="n">
        <x:f>L191*COS(RADIANS(D191))</x:f>
        <x:v>15008.91650069475</x:v>
      </x:c>
      <x:c r="N191" s="54" t="n">
        <x:f>L191-H191</x:f>
        <x:v>244.35141871445012</x:v>
      </x:c>
      <x:c r="O191" s="55" t="n">
        <x:f>M191-H191</x:f>
        <x:v>-1.8189894035458565e-12</x:v>
      </x:c>
      <x:c r="P191" s="54" t="n">
        <x:f>N191-O191</x:f>
        <x:v>244.35141871445194</x:v>
      </x:c>
      <x:c r="Q191" s="53" t="n">
        <x:f>Inputs!$C$21*J191/(2*Inputs!$C$12*1000000)</x:f>
        <x:v>5482.130507726043</x:v>
      </x:c>
      <x:c r="R191" s="53" t="n">
        <x:f>Q191*COS(RADIANS(D191))</x:f>
        <x:v>5394.308909481113</x:v>
      </x:c>
      <x:c r="S191" s="53" t="n">
        <x:f>Inputs!$C$21*I191/(2*Inputs!$C$12*1000000)*COS(RADIANS(D191))</x:f>
        <x:v>1124.2608065053926</x:v>
      </x:c>
    </x:row>
    <x:row r="192">
      <x:c r="A192" s="53" t="n">
        <x:f>Subsurface_Live_Data!A190</x:f>
        <x:v>34</x:v>
      </x:c>
      <x:c r="B192" s="54" t="n">
        <x:f>Model_Data!P190</x:f>
        <x:v>-289.4530911666152</x:v>
      </x:c>
      <x:c r="C192" s="54" t="n">
        <x:f>ABS(B192)*Inputs!$C$13/2</x:f>
        <x:v>723.632727916538</x:v>
      </x:c>
      <x:c r="D192" s="54" t="n">
        <x:f>DEGREES(ASIN(MIN(1,C192/(Inputs!$C$11*1000))))</x:f>
        <x:v>10.42266329696708</x:v>
      </x:c>
      <x:c r="E192" s="54" t="n">
        <x:f>Model_Data!I190</x:f>
        <x:v>6.003558889809033</x:v>
      </x:c>
      <x:c r="F192" s="53" t="n">
        <x:f>Subsurface_Live_Data!F190</x:f>
        <x:v>1134.8334055598466</x:v>
      </x:c>
      <x:c r="G192" s="53" t="n">
        <x:f>Subsurface_Live_Data!I190</x:f>
        <x:v>5388.210530653798</x:v>
      </x:c>
      <x:c r="H192" s="53" t="n">
        <x:f>Subsurface_Live_Data!K190</x:f>
        <x:v>14981.50285514281</x:v>
      </x:c>
      <x:c r="I192" s="54" t="n">
        <x:f>Subsurface_Live_Data!M190/COS(RADIANS(D192))</x:f>
        <x:v>13.70209728800333</x:v>
      </x:c>
      <x:c r="J192" s="54" t="n">
        <x:f>Subsurface_Live_Data!N190/COS(RADIANS(D192))</x:f>
        <x:v>65.05781777091764</x:v>
      </x:c>
      <x:c r="K192" s="54" t="n">
        <x:f>Subsurface_Live_Data!O190/COS(RADIANS(D192))</x:f>
        <x:v>180.88823314149514</x:v>
      </x:c>
      <x:c r="L192" s="53" t="n">
        <x:f>Inputs!$C$21*K192/(2*Inputs!$C$12*1000000)</x:f>
        <x:v>15232.844954147722</x:v>
      </x:c>
      <x:c r="M192" s="53" t="n">
        <x:f>L192*COS(RADIANS(D192))</x:f>
        <x:v>14981.502855142811</x:v>
      </x:c>
      <x:c r="N192" s="54" t="n">
        <x:f>L192-H192</x:f>
        <x:v>251.3420990049126</x:v>
      </x:c>
      <x:c r="O192" s="55" t="n">
        <x:f>M192-H192</x:f>
        <x:v>1.8189894035458565e-12</x:v>
      </x:c>
      <x:c r="P192" s="54" t="n">
        <x:f>N192-O192</x:f>
        <x:v>251.34209900491078</x:v>
      </x:c>
      <x:c r="Q192" s="53" t="n">
        <x:f>Inputs!$C$21*J192/(2*Inputs!$C$12*1000000)</x:f>
        <x:v>5478.607612825697</x:v>
      </x:c>
      <x:c r="R192" s="53" t="n">
        <x:f>Q192*COS(RADIANS(D192))</x:f>
        <x:v>5388.210530653798</x:v>
      </x:c>
      <x:c r="S192" s="53" t="n">
        <x:f>Inputs!$C$21*I192/(2*Inputs!$C$12*1000000)*COS(RADIANS(D192))</x:f>
        <x:v>1134.8334055598466</x:v>
      </x:c>
    </x:row>
    <x:row r="193">
      <x:c r="A193" s="53" t="n">
        <x:f>Subsurface_Live_Data!A191</x:f>
        <x:v>34.5</x:v>
      </x:c>
      <x:c r="B193" s="54" t="n">
        <x:f>Model_Data!P191</x:f>
        <x:v>-293.66134891224647</x:v>
      </x:c>
      <x:c r="C193" s="54" t="n">
        <x:f>ABS(B193)*Inputs!$C$13/2</x:f>
        <x:v>734.1533722806162</x:v>
      </x:c>
      <x:c r="D193" s="54" t="n">
        <x:f>DEGREES(ASIN(MIN(1,C193/(Inputs!$C$11*1000))))</x:f>
        <x:v>10.575926535246593</x:v>
      </x:c>
      <x:c r="E193" s="54" t="n">
        <x:f>Model_Data!I191</x:f>
        <x:v>6.060014519595078</x:v>
      </x:c>
      <x:c r="F193" s="53" t="n">
        <x:f>Subsurface_Live_Data!F191</x:f>
        <x:v>1145.7911386545015</x:v>
      </x:c>
      <x:c r="G193" s="53" t="n">
        <x:f>Subsurface_Live_Data!I191</x:f>
        <x:v>5381.905630447441</x:v>
      </x:c>
      <x:c r="H193" s="53" t="n">
        <x:f>Subsurface_Live_Data!K191</x:f>
        <x:v>14956.29351283138</x:v>
      </x:c>
      <x:c r="I193" s="54" t="n">
        <x:f>Subsurface_Live_Data!M191/COS(RADIANS(D193))</x:f>
        <x:v>13.841262051213661</x:v>
      </x:c>
      <x:c r="J193" s="54" t="n">
        <x:f>Subsurface_Live_Data!N191/COS(RADIANS(D193))</x:f>
        <x:v>65.01391366440609</x:v>
      </x:c>
      <x:c r="K193" s="54" t="n">
        <x:f>Subsurface_Live_Data!O191/COS(RADIANS(D193))</x:f>
        <x:v>180.67339748242583</x:v>
      </x:c>
      <x:c r="L193" s="53" t="n">
        <x:f>Inputs!$C$21*K193/(2*Inputs!$C$12*1000000)</x:f>
        <x:v>15214.753350131306</x:v>
      </x:c>
      <x:c r="M193" s="53" t="n">
        <x:f>L193*COS(RADIANS(D193))</x:f>
        <x:v>14956.29351283138</x:v>
      </x:c>
      <x:c r="N193" s="54" t="n">
        <x:f>L193-H193</x:f>
        <x:v>258.4598372999262</x:v>
      </x:c>
      <x:c r="O193" s="55" t="n">
        <x:f>M193-H193</x:f>
        <x:v>0</x:v>
      </x:c>
      <x:c r="P193" s="54" t="n">
        <x:f>N193-O193</x:f>
        <x:v>258.4598372999262</x:v>
      </x:c>
      <x:c r="Q193" s="53" t="n">
        <x:f>Inputs!$C$21*J193/(2*Inputs!$C$12*1000000)</x:f>
        <x:v>5474.910388104519</x:v>
      </x:c>
      <x:c r="R193" s="53" t="n">
        <x:f>Q193*COS(RADIANS(D193))</x:f>
        <x:v>5381.905630447442</x:v>
      </x:c>
      <x:c r="S193" s="53" t="n">
        <x:f>Inputs!$C$21*I193/(2*Inputs!$C$12*1000000)*COS(RADIANS(D193))</x:f>
        <x:v>1145.7911386545015</x:v>
      </x:c>
    </x:row>
    <x:row r="194">
      <x:c r="A194" s="53" t="n">
        <x:f>Subsurface_Live_Data!A192</x:f>
        <x:v>35</x:v>
      </x:c>
      <x:c r="B194" s="54" t="n">
        <x:f>Model_Data!P192</x:f>
        <x:v>-297.8675206210937</x:v>
      </x:c>
      <x:c r="C194" s="54" t="n">
        <x:f>ABS(B194)*Inputs!$C$13/2</x:f>
        <x:v>744.6688015527343</x:v>
      </x:c>
      <x:c r="D194" s="54" t="n">
        <x:f>DEGREES(ASIN(MIN(1,C194/(Inputs!$C$11*1000))))</x:f>
        <x:v>10.729190327920428</x:v>
      </x:c>
      <x:c r="E194" s="54" t="n">
        <x:f>Model_Data!I192</x:f>
        <x:v>6.116724388997361</x:v>
      </x:c>
      <x:c r="F194" s="53" t="n">
        <x:f>Subsurface_Live_Data!F192</x:f>
        <x:v>1157.0435151381953</x:v>
      </x:c>
      <x:c r="G194" s="53" t="n">
        <x:f>Subsurface_Live_Data!I192</x:f>
        <x:v>5375.359256283574</x:v>
      </x:c>
      <x:c r="H194" s="53" t="n">
        <x:f>Subsurface_Live_Data!K192</x:f>
        <x:v>14933.449478009088</x:v>
      </x:c>
      <x:c r="I194" s="54" t="n">
        <x:f>Subsurface_Live_Data!M192/COS(RADIANS(D194))</x:f>
        <x:v>13.98422611797426</x:v>
      </x:c>
      <x:c r="J194" s="54" t="n">
        <x:f>Subsurface_Live_Data!N192/COS(RADIANS(D194))</x:f>
        <x:v>64.96751273545425</x:v>
      </x:c>
      <x:c r="K194" s="54" t="n">
        <x:f>Subsurface_Live_Data!O192/COS(RADIANS(D194))</x:f>
        <x:v>180.4882283937965</x:v>
      </x:c>
      <x:c r="L194" s="53" t="n">
        <x:f>Inputs!$C$21*K194/(2*Inputs!$C$12*1000000)</x:f>
        <x:v>15199.160008494844</x:v>
      </x:c>
      <x:c r="M194" s="53" t="n">
        <x:f>L194*COS(RADIANS(D194))</x:f>
        <x:v>14933.449478009086</x:v>
      </x:c>
      <x:c r="N194" s="54" t="n">
        <x:f>L194-H194</x:f>
        <x:v>265.71053048575595</x:v>
      </x:c>
      <x:c r="O194" s="55" t="n">
        <x:f>M194-H194</x:f>
        <x:v>-1.8189894035458565e-12</x:v>
      </x:c>
      <x:c r="P194" s="54" t="n">
        <x:f>N194-O194</x:f>
        <x:v>265.7105304857578</x:v>
      </x:c>
      <x:c r="Q194" s="53" t="n">
        <x:f>Inputs!$C$21*J194/(2*Inputs!$C$12*1000000)</x:f>
        <x:v>5471.002902558464</x:v>
      </x:c>
      <x:c r="R194" s="53" t="n">
        <x:f>Q194*COS(RADIANS(D194))</x:f>
        <x:v>5375.359256283574</x:v>
      </x:c>
      <x:c r="S194" s="53" t="n">
        <x:f>Inputs!$C$21*I194/(2*Inputs!$C$12*1000000)*COS(RADIANS(D194))</x:f>
        <x:v>1157.0435151381953</x:v>
      </x:c>
    </x:row>
    <x:row r="195">
      <x:c r="A195" s="53" t="n">
        <x:f>Subsurface_Live_Data!A193</x:f>
        <x:v>35.5</x:v>
      </x:c>
      <x:c r="B195" s="54" t="n">
        <x:f>Model_Data!P193</x:f>
        <x:v>-302.0715784808999</x:v>
      </x:c>
      <x:c r="C195" s="54" t="n">
        <x:f>ABS(B195)*Inputs!$C$13/2</x:f>
        <x:v>755.1789462022498</x:v>
      </x:c>
      <x:c r="D195" s="54" t="n">
        <x:f>DEGREES(ASIN(MIN(1,C195/(Inputs!$C$11*1000))))</x:f>
        <x:v>10.882454759134086</x:v>
      </x:c>
      <x:c r="E195" s="54" t="n">
        <x:f>Model_Data!I193</x:f>
        <x:v>6.173679915861962</x:v>
      </x:c>
      <x:c r="F195" s="53" t="n">
        <x:f>Subsurface_Live_Data!F193</x:f>
        <x:v>1169.3133953839156</x:v>
      </x:c>
      <x:c r="G195" s="53" t="n">
        <x:f>Subsurface_Live_Data!I193</x:f>
        <x:v>5368.534745122956</x:v>
      </x:c>
      <x:c r="H195" s="53" t="n">
        <x:f>Subsurface_Live_Data!K193</x:f>
        <x:v>14910.216672625642</x:v>
      </x:c>
      <x:c r="I195" s="54" t="n">
        <x:f>Subsurface_Live_Data!M193/COS(RADIANS(D195))</x:f>
        <x:v>14.139739330397585</x:v>
      </x:c>
      <x:c r="J195" s="54" t="n">
        <x:f>Subsurface_Live_Data!N193/COS(RADIANS(D195))</x:f>
        <x:v>64.91816666249508</x:v>
      </x:c>
      <x:c r="K195" s="54" t="n">
        <x:f>Subsurface_Live_Data!O193/COS(RADIANS(D195))</x:f>
        <x:v>180.2994628668004</x:v>
      </x:c>
      <x:c r="L195" s="53" t="n">
        <x:f>Inputs!$C$21*K195/(2*Inputs!$C$12*1000000)</x:f>
        <x:v>15183.263805875793</x:v>
      </x:c>
      <x:c r="M195" s="53" t="n">
        <x:f>L195*COS(RADIANS(D195))</x:f>
        <x:v>14910.216672625642</x:v>
      </x:c>
      <x:c r="N195" s="54" t="n">
        <x:f>L195-H195</x:f>
        <x:v>273.0471332501511</x:v>
      </x:c>
      <x:c r="O195" s="55" t="n">
        <x:f>M195-H195</x:f>
        <x:v>0</x:v>
      </x:c>
      <x:c r="P195" s="54" t="n">
        <x:f>N195-O195</x:f>
        <x:v>273.0471332501511</x:v>
      </x:c>
      <x:c r="Q195" s="53" t="n">
        <x:f>Inputs!$C$21*J195/(2*Inputs!$C$12*1000000)</x:f>
        <x:v>5466.847402416589</x:v>
      </x:c>
      <x:c r="R195" s="53" t="n">
        <x:f>Q195*COS(RADIANS(D195))</x:f>
        <x:v>5368.534745122956</x:v>
      </x:c>
      <x:c r="S195" s="53" t="n">
        <x:f>Inputs!$C$21*I195/(2*Inputs!$C$12*1000000)*COS(RADIANS(D195))</x:f>
        <x:v>1169.3133953839156</x:v>
      </x:c>
    </x:row>
    <x:row r="196">
      <x:c r="A196" s="53" t="n">
        <x:f>Subsurface_Live_Data!A194</x:f>
        <x:v>36</x:v>
      </x:c>
      <x:c r="B196" s="54" t="n">
        <x:f>Model_Data!P194</x:f>
        <x:v>-306.2734947710851</x:v>
      </x:c>
      <x:c r="C196" s="54" t="n">
        <x:f>ABS(B196)*Inputs!$C$13/2</x:f>
        <x:v>765.6837369277127</x:v>
      </x:c>
      <x:c r="D196" s="54" t="n">
        <x:f>DEGREES(ASIN(MIN(1,C196/(Inputs!$C$11*1000))))</x:f>
        <x:v>11.035719916019675</x:v>
      </x:c>
      <x:c r="E196" s="54" t="n">
        <x:f>Model_Data!I194</x:f>
        <x:v>6.23087278213282</x:v>
      </x:c>
      <x:c r="F196" s="53" t="n">
        <x:f>Subsurface_Live_Data!F194</x:f>
        <x:v>1182.5553698382591</x:v>
      </x:c>
      <x:c r="G196" s="53" t="n">
        <x:f>Subsurface_Live_Data!I194</x:f>
        <x:v>5361.3946186316325</x:v>
      </x:c>
      <x:c r="H196" s="53" t="n">
        <x:f>Subsurface_Live_Data!K194</x:f>
        <x:v>14886.46343791321</x:v>
      </x:c>
      <x:c r="I196" s="54" t="n">
        <x:f>Subsurface_Live_Data!M194/COS(RADIANS(D196))</x:f>
        <x:v>14.30727482811626</x:v>
      </x:c>
      <x:c r="J196" s="54" t="n">
        <x:f>Subsurface_Live_Data!N194/COS(RADIANS(D196))</x:f>
        <x:v>64.86541622252977</x:v>
      </x:c>
      <x:c r="K196" s="54" t="n">
        <x:f>Subsurface_Live_Data!O194/COS(RADIANS(D196))</x:f>
        <x:v>180.10549785424348</x:v>
      </x:c>
      <x:c r="L196" s="53" t="n">
        <x:f>Inputs!$C$21*K196/(2*Inputs!$C$12*1000000)</x:f>
        <x:v>15166.929747482409</x:v>
      </x:c>
      <x:c r="M196" s="53" t="n">
        <x:f>L196*COS(RADIANS(D196))</x:f>
        <x:v>14886.46343791321</x:v>
      </x:c>
      <x:c r="N196" s="54" t="n">
        <x:f>L196-H196</x:f>
        <x:v>280.46630956919944</x:v>
      </x:c>
      <x:c r="O196" s="55" t="n">
        <x:f>M196-H196</x:f>
        <x:v>0</x:v>
      </x:c>
      <x:c r="P196" s="54" t="n">
        <x:f>N196-O196</x:f>
        <x:v>280.46630956919944</x:v>
      </x:c>
      <x:c r="Q196" s="53" t="n">
        <x:f>Inputs!$C$21*J196/(2*Inputs!$C$12*1000000)</x:f>
        <x:v>5462.405215883505</x:v>
      </x:c>
      <x:c r="R196" s="53" t="n">
        <x:f>Q196*COS(RADIANS(D196))</x:f>
        <x:v>5361.394618631632</x:v>
      </x:c>
      <x:c r="S196" s="53" t="n">
        <x:f>Inputs!$C$21*I196/(2*Inputs!$C$12*1000000)*COS(RADIANS(D196))</x:f>
        <x:v>1182.5553698382591</x:v>
      </x:c>
    </x:row>
    <x:row r="197">
      <x:c r="A197" s="53" t="n">
        <x:f>Subsurface_Live_Data!A195</x:f>
        <x:v>36.5</x:v>
      </x:c>
      <x:c r="B197" s="54" t="n">
        <x:f>Model_Data!P195</x:f>
        <x:v>-310.4732418857566</x:v>
      </x:c>
      <x:c r="C197" s="54" t="n">
        <x:f>ABS(B197)*Inputs!$C$13/2</x:f>
        <x:v>776.1831047143914</x:v>
      </x:c>
      <x:c r="D197" s="54" t="n">
        <x:f>DEGREES(ASIN(MIN(1,C197/(Inputs!$C$11*1000))))</x:f>
        <x:v>11.188985889541847</x:v>
      </x:c>
      <x:c r="E197" s="54" t="n">
        <x:f>Model_Data!I195</x:f>
        <x:v>6.288294925190011</x:v>
      </x:c>
      <x:c r="F197" s="53" t="n">
        <x:f>Subsurface_Live_Data!F195</x:f>
        <x:v>1196.8486467414461</x:v>
      </x:c>
      <x:c r="G197" s="53" t="n">
        <x:f>Subsurface_Live_Data!I195</x:f>
        <x:v>5353.901474392038</x:v>
      </x:c>
      <x:c r="H197" s="53" t="n">
        <x:f>Subsurface_Live_Data!K195</x:f>
        <x:v>14861.558563029474</x:v>
      </x:c>
      <x:c r="I197" s="54" t="n">
        <x:f>Subsurface_Live_Data!M195/COS(RADIANS(D197))</x:f>
        <x:v>14.487813674590363</x:v>
      </x:c>
      <x:c r="J197" s="54" t="n">
        <x:f>Subsurface_Live_Data!N195/COS(RADIANS(D197))</x:f>
        <x:v>64.80880201877609</x:v>
      </x:c>
      <x:c r="K197" s="54" t="n">
        <x:f>Subsurface_Live_Data!O195/COS(RADIANS(D197))</x:f>
        <x:v>179.8986797214447</x:v>
      </x:c>
      <x:c r="L197" s="53" t="n">
        <x:f>Inputs!$C$21*K197/(2*Inputs!$C$12*1000000)</x:f>
        <x:v>15149.513310294005</x:v>
      </x:c>
      <x:c r="M197" s="53" t="n">
        <x:f>L197*COS(RADIANS(D197))</x:f>
        <x:v>14861.558563029474</x:v>
      </x:c>
      <x:c r="N197" s="54" t="n">
        <x:f>L197-H197</x:f>
        <x:v>287.95474726453176</x:v>
      </x:c>
      <x:c r="O197" s="55" t="n">
        <x:f>M197-H197</x:f>
        <x:v>0</x:v>
      </x:c>
      <x:c r="P197" s="54" t="n">
        <x:f>N197-O197</x:f>
        <x:v>287.95474726453176</x:v>
      </x:c>
      <x:c r="Q197" s="53" t="n">
        <x:f>Inputs!$C$21*J197/(2*Inputs!$C$12*1000000)</x:f>
        <x:v>5457.637656529283</x:v>
      </x:c>
      <x:c r="R197" s="53" t="n">
        <x:f>Q197*COS(RADIANS(D197))</x:f>
        <x:v>5353.901474392038</x:v>
      </x:c>
      <x:c r="S197" s="53" t="n">
        <x:f>Inputs!$C$21*I197/(2*Inputs!$C$12*1000000)*COS(RADIANS(D197))</x:f>
        <x:v>1196.8486467414461</x:v>
      </x:c>
    </x:row>
    <x:row r="198">
      <x:c r="A198" s="53" t="n">
        <x:f>Subsurface_Live_Data!A196</x:f>
        <x:v>37</x:v>
      </x:c>
      <x:c r="B198" s="54" t="n">
        <x:f>Model_Data!P196</x:f>
        <x:v>-314.6707923143367</x:v>
      </x:c>
      <x:c r="C198" s="54" t="n">
        <x:f>ABS(B198)*Inputs!$C$13/2</x:f>
        <x:v>786.6769807858418</x:v>
      </x:c>
      <x:c r="D198" s="54" t="n">
        <x:f>DEGREES(ASIN(MIN(1,C198/(Inputs!$C$11*1000))))</x:f>
        <x:v>11.342252773798828</x:v>
      </x:c>
      <x:c r="E198" s="54" t="n">
        <x:f>Model_Data!I196</x:f>
        <x:v>6.345938529407371</x:v>
      </x:c>
      <x:c r="F198" s="53" t="n">
        <x:f>Subsurface_Live_Data!F196</x:f>
        <x:v>1210.7586744571292</x:v>
      </x:c>
      <x:c r="G198" s="53" t="n">
        <x:f>Subsurface_Live_Data!I196</x:f>
        <x:v>5346.0188523157785</x:v>
      </x:c>
      <x:c r="H198" s="53" t="n">
        <x:f>Subsurface_Live_Data!K196</x:f>
        <x:v>14840.110005912007</x:v>
      </x:c>
      <x:c r="I198" s="54" t="n">
        <x:f>Subsurface_Live_Data!M196/COS(RADIANS(D198))</x:f>
        <x:v>14.664005758843306</x:v>
      </x:c>
      <x:c r="J198" s="54" t="n">
        <x:f>Subsurface_Live_Data!N196/COS(RADIANS(D198))</x:f>
        <x:v>64.74787494080371</x:v>
      </x:c>
      <x:c r="K198" s="54" t="n">
        <x:f>Subsurface_Live_Data!O196/COS(RADIANS(D198))</x:f>
        <x:v>179.73479206013917</x:v>
      </x:c>
      <x:c r="L198" s="53" t="n">
        <x:f>Inputs!$C$21*K198/(2*Inputs!$C$12*1000000)</x:f>
        <x:v>15135.71210669326</x:v>
      </x:c>
      <x:c r="M198" s="53" t="n">
        <x:f>L198*COS(RADIANS(D198))</x:f>
        <x:v>14840.110005912007</x:v>
      </x:c>
      <x:c r="N198" s="54" t="n">
        <x:f>L198-H198</x:f>
        <x:v>295.6021007812524</x:v>
      </x:c>
      <x:c r="O198" s="55" t="n">
        <x:f>M198-H198</x:f>
        <x:v>0</x:v>
      </x:c>
      <x:c r="P198" s="54" t="n">
        <x:f>N198-O198</x:f>
        <x:v>295.6021007812524</x:v>
      </x:c>
      <x:c r="Q198" s="53" t="n">
        <x:f>Inputs!$C$21*J198/(2*Inputs!$C$12*1000000)</x:f>
        <x:v>5452.506904151727</x:v>
      </x:c>
      <x:c r="R198" s="53" t="n">
        <x:f>Q198*COS(RADIANS(D198))</x:f>
        <x:v>5346.018852315779</x:v>
      </x:c>
      <x:c r="S198" s="53" t="n">
        <x:f>Inputs!$C$21*I198/(2*Inputs!$C$12*1000000)*COS(RADIANS(D198))</x:f>
        <x:v>1210.7586744571292</x:v>
      </x:c>
    </x:row>
    <x:row r="199">
      <x:c r="A199" s="53" t="n">
        <x:f>Subsurface_Live_Data!A197</x:f>
        <x:v>37.5</x:v>
      </x:c>
      <x:c r="B199" s="54" t="n">
        <x:f>Model_Data!P197</x:f>
        <x:v>-318.8661186490208</x:v>
      </x:c>
      <x:c r="C199" s="54" t="n">
        <x:f>ABS(B199)*Inputs!$C$13/2</x:f>
        <x:v>797.165296622552</x:v>
      </x:c>
      <x:c r="D199" s="54" t="n">
        <x:f>DEGREES(ASIN(MIN(1,C199/(Inputs!$C$11*1000))))</x:f>
        <x:v>11.495520666302072</x:v>
      </x:c>
      <x:c r="E199" s="54" t="n">
        <x:f>Model_Data!I197</x:f>
        <x:v>6.403796017933305</x:v>
      </x:c>
      <x:c r="F199" s="53" t="n">
        <x:f>Subsurface_Live_Data!F197</x:f>
        <x:v>1224.9453996711716</x:v>
      </x:c>
      <x:c r="G199" s="53" t="n">
        <x:f>Subsurface_Live_Data!I197</x:f>
        <x:v>5337.7120569194685</x:v>
      </x:c>
      <x:c r="H199" s="53" t="n">
        <x:f>Subsurface_Live_Data!K197</x:f>
        <x:v>14819.341583785392</x:v>
      </x:c>
      <x:c r="I199" s="54" t="n">
        <x:f>Subsurface_Live_Data!M197/COS(RADIANS(D199))</x:f>
        <x:v>14.843845075798058</x:v>
      </x:c>
      <x:c r="J199" s="54" t="n">
        <x:f>Subsurface_Live_Data!N197/COS(RADIANS(D199))</x:f>
        <x:v>64.68220612396384</x:v>
      </x:c>
      <x:c r="K199" s="54" t="n">
        <x:f>Subsurface_Live_Data!O197/COS(RADIANS(D199))</x:f>
        <x:v>179.58025774380909</x:v>
      </x:c>
      <x:c r="L199" s="53" t="n">
        <x:f>Inputs!$C$21*K199/(2*Inputs!$C$12*1000000)</x:f>
        <x:v>15122.698561036534</x:v>
      </x:c>
      <x:c r="M199" s="53" t="n">
        <x:f>L199*COS(RADIANS(D199))</x:f>
        <x:v>14819.341583785394</x:v>
      </x:c>
      <x:c r="N199" s="54" t="n">
        <x:f>L199-H199</x:f>
        <x:v>303.35697725114187</x:v>
      </x:c>
      <x:c r="O199" s="55" t="n">
        <x:f>M199-H199</x:f>
        <x:v>1.8189894035458565e-12</x:v>
      </x:c>
      <x:c r="P199" s="54" t="n">
        <x:f>N199-O199</x:f>
        <x:v>303.35697725114005</x:v>
      </x:c>
      <x:c r="Q199" s="53" t="n">
        <x:f>Inputs!$C$21*J199/(2*Inputs!$C$12*1000000)</x:f>
        <x:v>5446.976843473531</x:v>
      </x:c>
      <x:c r="R199" s="53" t="n">
        <x:f>Q199*COS(RADIANS(D199))</x:f>
        <x:v>5337.712056919468</x:v>
      </x:c>
      <x:c r="S199" s="53" t="n">
        <x:f>Inputs!$C$21*I199/(2*Inputs!$C$12*1000000)*COS(RADIANS(D199))</x:f>
        <x:v>1224.9453996711716</x:v>
      </x:c>
    </x:row>
    <x:row r="200">
      <x:c r="A200" s="53" t="n">
        <x:f>Subsurface_Live_Data!A198</x:f>
        <x:v>38</x:v>
      </x:c>
      <x:c r="B200" s="54" t="n">
        <x:f>Model_Data!P198</x:f>
        <x:v>-323.0591935966004</x:v>
      </x:c>
      <x:c r="C200" s="54" t="n">
        <x:f>ABS(B200)*Inputs!$C$13/2</x:f>
        <x:v>807.647983991501</x:v>
      </x:c>
      <x:c r="D200" s="54" t="n">
        <x:f>DEGREES(ASIN(MIN(1,C200/(Inputs!$C$11*1000))))</x:f>
        <x:v>11.648789668416747</x:v>
      </x:c>
      <x:c r="E200" s="54" t="n">
        <x:f>Model_Data!I198</x:f>
        <x:v>6.4618600446971834</x:v>
      </x:c>
      <x:c r="F200" s="53" t="n">
        <x:f>Subsurface_Live_Data!F198</x:f>
        <x:v>1239.1700058995218</x:v>
      </x:c>
      <x:c r="G200" s="53" t="n">
        <x:f>Subsurface_Live_Data!I198</x:f>
        <x:v>5328.948918152922</x:v>
      </x:c>
      <x:c r="H200" s="53" t="n">
        <x:f>Subsurface_Live_Data!K198</x:f>
        <x:v>14799.576086730554</x:v>
      </x:c>
      <x:c r="I200" s="54" t="n">
        <x:f>Subsurface_Live_Data!M198/COS(RADIANS(D200))</x:f>
        <x:v>15.024445802952963</x:v>
      </x:c>
      <x:c r="J200" s="54" t="n">
        <x:f>Subsurface_Live_Data!N198/COS(RADIANS(D200))</x:f>
        <x:v>64.6113961977106</x:v>
      </x:c>
      <x:c r="K200" s="54" t="n">
        <x:f>Subsurface_Live_Data!O198/COS(RADIANS(D200))</x:f>
        <x:v>179.43900172144066</x:v>
      </x:c>
      <x:c r="L200" s="53" t="n">
        <x:f>Inputs!$C$21*K200/(2*Inputs!$C$12*1000000)</x:f>
        <x:v>15110.803198633968</x:v>
      </x:c>
      <x:c r="M200" s="53" t="n">
        <x:f>L200*COS(RADIANS(D200))</x:f>
        <x:v>14799.576086730556</x:v>
      </x:c>
      <x:c r="N200" s="54" t="n">
        <x:f>L200-H200</x:f>
        <x:v>311.22711190341397</x:v>
      </x:c>
      <x:c r="O200" s="55" t="n">
        <x:f>M200-H200</x:f>
        <x:v>1.8189894035458565e-12</x:v>
      </x:c>
      <x:c r="P200" s="54" t="n">
        <x:f>N200-O200</x:f>
        <x:v>311.22711190341215</x:v>
      </x:c>
      <x:c r="Q200" s="53" t="n">
        <x:f>Inputs!$C$21*J200/(2*Inputs!$C$12*1000000)</x:f>
        <x:v>5441.013842956044</x:v>
      </x:c>
      <x:c r="R200" s="53" t="n">
        <x:f>Q200*COS(RADIANS(D200))</x:f>
        <x:v>5328.948918152922</x:v>
      </x:c>
      <x:c r="S200" s="53" t="n">
        <x:f>Inputs!$C$21*I200/(2*Inputs!$C$12*1000000)*COS(RADIANS(D200))</x:f>
        <x:v>1239.1700058995216</x:v>
      </x:c>
    </x:row>
    <x:row r="201">
      <x:c r="A201" s="53" t="n">
        <x:f>Subsurface_Live_Data!A199</x:f>
        <x:v>38.5</x:v>
      </x:c>
      <x:c r="B201" s="54" t="n">
        <x:f>Model_Data!P199</x:f>
        <x:v>-327.2499899624563</x:v>
      </x:c>
      <x:c r="C201" s="54" t="n">
        <x:f>ABS(B201)*Inputs!$C$13/2</x:f>
        <x:v>818.1249749061408</x:v>
      </x:c>
      <x:c r="D201" s="54" t="n">
        <x:f>DEGREES(ASIN(MIN(1,C201/(Inputs!$C$11*1000))))</x:f>
        <x:v>11.802059884785933</x:v>
      </x:c>
      <x:c r="E201" s="54" t="n">
        <x:f>Model_Data!I199</x:f>
        <x:v>6.520123486642501</x:v>
      </x:c>
      <x:c r="F201" s="53" t="n">
        <x:f>Subsurface_Live_Data!F199</x:f>
        <x:v>1254.4244957169299</x:v>
      </x:c>
      <x:c r="G201" s="53" t="n">
        <x:f>Subsurface_Live_Data!I199</x:f>
        <x:v>5319.7004759269485</x:v>
      </x:c>
      <x:c r="H201" s="53" t="n">
        <x:f>Subsurface_Live_Data!K199</x:f>
        <x:v>14776.789430047362</x:v>
      </x:c>
      <x:c r="I201" s="54" t="n">
        <x:f>Subsurface_Live_Data!M199/COS(RADIANS(D201))</x:f>
        <x:v>15.217847342883855</x:v>
      </x:c>
      <x:c r="J201" s="54" t="n">
        <x:f>Subsurface_Live_Data!N199/COS(RADIANS(D201))</x:f>
        <x:v>64.53508364108895</x:v>
      </x:c>
      <x:c r="K201" s="54" t="n">
        <x:f>Subsurface_Live_Data!O199/COS(RADIANS(D201))</x:f>
        <x:v>179.2622246553644</x:v>
      </x:c>
      <x:c r="L201" s="53" t="n">
        <x:f>Inputs!$C$21*K201/(2*Inputs!$C$12*1000000)</x:f>
        <x:v>15095.916560668511</x:v>
      </x:c>
      <x:c r="M201" s="53" t="n">
        <x:f>L201*COS(RADIANS(D201))</x:f>
        <x:v>14776.789430047362</x:v>
      </x:c>
      <x:c r="N201" s="54" t="n">
        <x:f>L201-H201</x:f>
        <x:v>319.12713062114926</x:v>
      </x:c>
      <x:c r="O201" s="55" t="n">
        <x:f>M201-H201</x:f>
        <x:v>0</x:v>
      </x:c>
      <x:c r="P201" s="54" t="n">
        <x:f>N201-O201</x:f>
        <x:v>319.12713062114926</x:v>
      </x:c>
      <x:c r="Q201" s="53" t="n">
        <x:f>Inputs!$C$21*J201/(2*Inputs!$C$12*1000000)</x:f>
        <x:v>5434.587458426306</x:v>
      </x:c>
      <x:c r="R201" s="53" t="n">
        <x:f>Q201*COS(RADIANS(D201))</x:f>
        <x:v>5319.700475926949</x:v>
      </x:c>
      <x:c r="S201" s="53" t="n">
        <x:f>Inputs!$C$21*I201/(2*Inputs!$C$12*1000000)*COS(RADIANS(D201))</x:f>
        <x:v>1254.42449571693</x:v>
      </x:c>
    </x:row>
    <x:row r="202">
      <x:c r="A202" s="53" t="n">
        <x:f>Subsurface_Live_Data!A200</x:f>
        <x:v>39</x:v>
      </x:c>
      <x:c r="B202" s="54" t="n">
        <x:f>Model_Data!P200</x:f>
        <x:v>-331.4384806597445</x:v>
      </x:c>
      <x:c r="C202" s="54" t="n">
        <x:f>ABS(B202)*Inputs!$C$13/2</x:f>
        <x:v>828.5962016493613</x:v>
      </x:c>
      <x:c r="D202" s="54" t="n">
        <x:f>DEGREES(ASIN(MIN(1,C202/(Inputs!$C$11*1000))))</x:f>
        <x:v>11.955331423675466</x:v>
      </x:c>
      <x:c r="E202" s="54" t="n">
        <x:f>Model_Data!I200</x:f>
        <x:v>6.57857943618696</x:v>
      </x:c>
      <x:c r="F202" s="53" t="n">
        <x:f>Subsurface_Live_Data!F200</x:f>
        <x:v>1267.9679471791112</x:v>
      </x:c>
      <x:c r="G202" s="53" t="n">
        <x:f>Subsurface_Live_Data!I200</x:f>
        <x:v>5309.941576271012</x:v>
      </x:c>
      <x:c r="H202" s="53" t="n">
        <x:f>Subsurface_Live_Data!K200</x:f>
        <x:v>14759.992307171664</x:v>
      </x:c>
      <x:c r="I202" s="54" t="n">
        <x:f>Subsurface_Live_Data!M200/COS(RADIANS(D202))</x:f>
        <x:v>15.39080537637669</x:v>
      </x:c>
      <x:c r="J202" s="54" t="n">
        <x:f>Subsurface_Live_Data!N200/COS(RADIANS(D202))</x:f>
        <x:v>64.4529520971982</x:v>
      </x:c>
      <x:c r="K202" s="54" t="n">
        <x:f>Subsurface_Live_Data!O200/COS(RADIANS(D202))</x:f>
        <x:v>179.1592362108873</x:v>
      </x:c>
      <x:c r="L202" s="53" t="n">
        <x:f>Inputs!$C$21*K202/(2*Inputs!$C$12*1000000)</x:f>
        <x:v>15087.243763220367</x:v>
      </x:c>
      <x:c r="M202" s="53" t="n">
        <x:f>L202*COS(RADIANS(D202))</x:f>
        <x:v>14759.992307171664</x:v>
      </x:c>
      <x:c r="N202" s="54" t="n">
        <x:f>L202-H202</x:f>
        <x:v>327.2514560487034</x:v>
      </x:c>
      <x:c r="O202" s="55" t="n">
        <x:f>M202-H202</x:f>
        <x:v>0</x:v>
      </x:c>
      <x:c r="P202" s="54" t="n">
        <x:f>N202-O202</x:f>
        <x:v>327.2514560487034</x:v>
      </x:c>
      <x:c r="Q202" s="53" t="n">
        <x:f>Inputs!$C$21*J202/(2*Inputs!$C$12*1000000)</x:f>
        <x:v>5427.671049038007</x:v>
      </x:c>
      <x:c r="R202" s="53" t="n">
        <x:f>Q202*COS(RADIANS(D202))</x:f>
        <x:v>5309.941576271011</x:v>
      </x:c>
      <x:c r="S202" s="53" t="n">
        <x:f>Inputs!$C$21*I202/(2*Inputs!$C$12*1000000)*COS(RADIANS(D202))</x:f>
        <x:v>1267.9679471791112</x:v>
      </x:c>
    </x:row>
    <x:row r="203">
      <x:c r="A203" s="53" t="n">
        <x:f>Subsurface_Live_Data!A201</x:f>
        <x:v>39.5</x:v>
      </x:c>
      <x:c r="B203" s="54" t="n">
        <x:f>Model_Data!P201</x:f>
        <x:v>-335.62463871039654</x:v>
      </x:c>
      <x:c r="C203" s="54" t="n">
        <x:f>ABS(B203)*Inputs!$C$13/2</x:f>
        <x:v>839.0615967759913</x:v>
      </x:c>
      <x:c r="D203" s="54" t="n">
        <x:f>DEGREES(ASIN(MIN(1,C203/(Inputs!$C$11*1000))))</x:f>
        <x:v>12.10860439702048</x:v>
      </x:c>
      <x:c r="E203" s="54" t="n">
        <x:f>Model_Data!I201</x:f>
        <x:v>6.637221193908625</x:v>
      </x:c>
      <x:c r="F203" s="53" t="n">
        <x:f>Subsurface_Live_Data!F201</x:f>
        <x:v>1281.2877515942916</x:v>
      </x:c>
      <x:c r="G203" s="53" t="n">
        <x:f>Subsurface_Live_Data!I201</x:f>
        <x:v>5299.6513700473615</x:v>
      </x:c>
      <x:c r="H203" s="53" t="n">
        <x:f>Subsurface_Live_Data!K201</x:f>
        <x:v>14743.375119644172</x:v>
      </x:c>
      <x:c r="I203" s="54" t="n">
        <x:f>Subsurface_Live_Data!M201/COS(RADIANS(D203))</x:f>
        <x:v>15.561353529924274</x:v>
      </x:c>
      <x:c r="J203" s="54" t="n">
        <x:f>Subsurface_Live_Data!N201/COS(RADIANS(D203))</x:f>
        <x:v>64.36473653325599</x:v>
      </x:c>
      <x:c r="K203" s="54" t="n">
        <x:f>Subsurface_Live_Data!O201/COS(RADIANS(D203))</x:f>
        <x:v>179.05960013712715</x:v>
      </x:c>
      <x:c r="L203" s="53" t="n">
        <x:f>Inputs!$C$21*K203/(2*Inputs!$C$12*1000000)</x:f>
        <x:v>15078.853273484967</x:v>
      </x:c>
      <x:c r="M203" s="53" t="n">
        <x:f>L203*COS(RADIANS(D203))</x:f>
        <x:v>14743.375119644172</x:v>
      </x:c>
      <x:c r="N203" s="54" t="n">
        <x:f>L203-H203</x:f>
        <x:v>335.47815384079513</x:v>
      </x:c>
      <x:c r="O203" s="55" t="n">
        <x:f>M203-H203</x:f>
        <x:v>0</x:v>
      </x:c>
      <x:c r="P203" s="54" t="n">
        <x:f>N203-O203</x:f>
        <x:v>335.47815384079513</x:v>
      </x:c>
      <x:c r="Q203" s="53" t="n">
        <x:f>Inputs!$C$21*J203/(2*Inputs!$C$12*1000000)</x:f>
        <x:v>5420.242296018881</x:v>
      </x:c>
      <x:c r="R203" s="53" t="n">
        <x:f>Q203*COS(RADIANS(D203))</x:f>
        <x:v>5299.651370047362</x:v>
      </x:c>
      <x:c r="S203" s="53" t="n">
        <x:f>Inputs!$C$21*I203/(2*Inputs!$C$12*1000000)*COS(RADIANS(D203))</x:f>
        <x:v>1281.2877515942916</x:v>
      </x:c>
    </x:row>
    <x:row r="204">
      <x:c r="A204" s="53" t="n">
        <x:f>Subsurface_Live_Data!A202</x:f>
        <x:v>40</x:v>
      </x:c>
      <x:c r="B204" s="54" t="n">
        <x:f>Model_Data!P202</x:f>
        <x:v>-339.80843724993974</x:v>
      </x:c>
      <x:c r="C204" s="54" t="n">
        <x:f>ABS(B204)*Inputs!$C$13/2</x:f>
        <x:v>849.5210931248494</x:v>
      </x:c>
      <x:c r="D204" s="54" t="n">
        <x:f>DEGREES(ASIN(MIN(1,C204/(Inputs!$C$11*1000))))</x:f>
        <x:v>12.261878920612524</x:v>
      </x:c>
      <x:c r="E204" s="54" t="n">
        <x:f>Model_Data!I202</x:f>
        <x:v>6.696042261456512</x:v>
      </x:c>
      <x:c r="F204" s="53" t="n">
        <x:f>Subsurface_Live_Data!F202</x:f>
        <x:v>1294.4210192104342</x:v>
      </x:c>
      <x:c r="G204" s="53" t="n">
        <x:f>Subsurface_Live_Data!I202</x:f>
        <x:v>5288.8137082440735</x:v>
      </x:c>
      <x:c r="H204" s="53" t="n">
        <x:f>Subsurface_Live_Data!K202</x:f>
        <x:v>14726.192868523865</x:v>
      </x:c>
      <x:c r="I204" s="54" t="n">
        <x:f>Subsurface_Live_Data!M202/COS(RADIANS(D204))</x:f>
        <x:v>15.729942259681852</x:v>
      </x:c>
      <x:c r="J204" s="54" t="n">
        <x:f>Subsurface_Live_Data!N202/COS(RADIANS(D204))</x:f>
        <x:v>64.27022817015032</x:v>
      </x:c>
      <x:c r="K204" s="54" t="n">
        <x:f>Subsurface_Live_Data!O202/COS(RADIANS(D204))</x:f>
        <x:v>178.95426610741782</x:v>
      </x:c>
      <x:c r="L204" s="53" t="n">
        <x:f>Inputs!$C$21*K204/(2*Inputs!$C$12*1000000)</x:f>
        <x:v>15069.982951103617</x:v>
      </x:c>
      <x:c r="M204" s="53" t="n">
        <x:f>L204*COS(RADIANS(D204))</x:f>
        <x:v>14726.192868523862</x:v>
      </x:c>
      <x:c r="N204" s="54" t="n">
        <x:f>L204-H204</x:f>
        <x:v>343.79008257975147</x:v>
      </x:c>
      <x:c r="O204" s="55" t="n">
        <x:f>M204-H204</x:f>
        <x:v>-3.637978807091713e-12</x:v>
      </x:c>
      <x:c r="P204" s="54" t="n">
        <x:f>N204-O204</x:f>
        <x:v>343.7900825797551</x:v>
      </x:c>
      <x:c r="Q204" s="53" t="n">
        <x:f>Inputs!$C$21*J204/(2*Inputs!$C$12*1000000)</x:f>
        <x:v>5412.283617795001</x:v>
      </x:c>
      <x:c r="R204" s="53" t="n">
        <x:f>Q204*COS(RADIANS(D204))</x:f>
        <x:v>5288.813708244073</x:v>
      </x:c>
      <x:c r="S204" s="53" t="n">
        <x:f>Inputs!$C$21*I204/(2*Inputs!$C$12*1000000)*COS(RADIANS(D204))</x:f>
        <x:v>1294.4210192104342</x:v>
      </x:c>
    </x:row>
    <x:row r="205">
      <x:c r="A205" s="53" t="n">
        <x:f>Subsurface_Live_Data!A203</x:f>
        <x:v>40.5</x:v>
      </x:c>
      <x:c r="B205" s="54" t="n">
        <x:f>Model_Data!P203</x:f>
        <x:v>-343.98984952458704</x:v>
      </x:c>
      <x:c r="C205" s="54" t="n">
        <x:f>ABS(B205)*Inputs!$C$13/2</x:f>
        <x:v>859.9746238114676</x:v>
      </x:c>
      <x:c r="D205" s="54" t="n">
        <x:f>DEGREES(ASIN(MIN(1,C205/(Inputs!$C$11*1000))))</x:f>
        <x:v>12.41515511400424</x:v>
      </x:c>
      <x:c r="E205" s="54" t="n">
        <x:f>Model_Data!I203</x:f>
        <x:v>6.755036334683316</x:v>
      </x:c>
      <x:c r="F205" s="53" t="n">
        <x:f>Subsurface_Live_Data!F203</x:f>
        <x:v>1306.3970112850207</x:v>
      </x:c>
      <x:c r="G205" s="53" t="n">
        <x:f>Subsurface_Live_Data!I203</x:f>
        <x:v>5277.417430953986</x:v>
      </x:c>
      <x:c r="H205" s="53" t="n">
        <x:f>Subsurface_Live_Data!K203</x:f>
        <x:v>14711.226828791258</x:v>
      </x:c>
      <x:c r="I205" s="54" t="n">
        <x:f>Subsurface_Live_Data!M203/COS(RADIANS(D205))</x:f>
        <x:v>15.884768312894074</x:v>
      </x:c>
      <x:c r="J205" s="54" t="n">
        <x:f>Subsurface_Live_Data!N203/COS(RADIANS(D205))</x:f>
        <x:v>64.1692781420817</x:v>
      </x:c>
      <x:c r="K205" s="54" t="n">
        <x:f>Subsurface_Live_Data!O203/COS(RADIANS(D205))</x:f>
        <x:v>178.87703948734531</x:v>
      </x:c>
      <x:c r="L205" s="53" t="n">
        <x:f>Inputs!$C$21*K205/(2*Inputs!$C$12*1000000)</x:f>
        <x:v>15063.479592043344</x:v>
      </x:c>
      <x:c r="M205" s="53" t="n">
        <x:f>L205*COS(RADIANS(D205))</x:f>
        <x:v>14711.226828791256</x:v>
      </x:c>
      <x:c r="N205" s="54" t="n">
        <x:f>L205-H205</x:f>
        <x:v>352.2527632520869</x:v>
      </x:c>
      <x:c r="O205" s="55" t="n">
        <x:f>M205-H205</x:f>
        <x:v>-1.8189894035458565e-12</x:v>
      </x:c>
      <x:c r="P205" s="54" t="n">
        <x:f>N205-O205</x:f>
        <x:v>352.2527632520887</x:v>
      </x:c>
      <x:c r="Q205" s="53" t="n">
        <x:f>Inputs!$C$21*J205/(2*Inputs!$C$12*1000000)</x:f>
        <x:v>5403.782478174254</x:v>
      </x:c>
      <x:c r="R205" s="53" t="n">
        <x:f>Q205*COS(RADIANS(D205))</x:f>
        <x:v>5277.417430953986</x:v>
      </x:c>
      <x:c r="S205" s="53" t="n">
        <x:f>Inputs!$C$21*I205/(2*Inputs!$C$12*1000000)*COS(RADIANS(D205))</x:f>
        <x:v>1306.3970112850207</x:v>
      </x:c>
    </x:row>
    <x:row r="206">
      <x:c r="A206" s="53" t="n">
        <x:f>Subsurface_Live_Data!A204</x:f>
        <x:v>41</x:v>
      </x:c>
      <x:c r="B206" s="54" t="n">
        <x:f>Model_Data!P204</x:f>
        <x:v>-348.16884888314235</x:v>
      </x:c>
      <x:c r="C206" s="54" t="n">
        <x:f>ABS(B206)*Inputs!$C$13/2</x:f>
        <x:v>870.4221222078559</x:v>
      </x:c>
      <x:c r="D206" s="54" t="n">
        <x:f>DEGREES(ASIN(MIN(1,C206/(Inputs!$C$11*1000))))</x:f>
        <x:v>12.56843310022389</x:v>
      </x:c>
      <x:c r="E206" s="54" t="n">
        <x:f>Model_Data!I204</x:f>
        <x:v>6.814197296997338</x:v>
      </x:c>
      <x:c r="F206" s="53" t="n">
        <x:f>Subsurface_Live_Data!F204</x:f>
        <x:v>1316.6410283585333</x:v>
      </x:c>
      <x:c r="G206" s="53" t="n">
        <x:f>Subsurface_Live_Data!I204</x:f>
        <x:v>5265.456550116174</x:v>
      </x:c>
      <x:c r="H206" s="53" t="n">
        <x:f>Subsurface_Live_Data!K204</x:f>
        <x:v>14699.881320538967</x:v>
      </x:c>
      <x:c r="I206" s="54" t="n">
        <x:f>Subsurface_Live_Data!M204/COS(RADIANS(D206))</x:f>
        <x:v>16.018818743117354</x:v>
      </x:c>
      <x:c r="J206" s="54" t="n">
        <x:f>Subsurface_Live_Data!N204/COS(RADIANS(D206))</x:f>
        <x:v>64.06179988271087</x:v>
      </x:c>
      <x:c r="K206" s="54" t="n">
        <x:f>Subsurface_Live_Data!O204/COS(RADIANS(D206))</x:f>
        <x:v>178.84505293946253</x:v>
      </x:c>
      <x:c r="L206" s="53" t="n">
        <x:f>Inputs!$C$21*K206/(2*Inputs!$C$12*1000000)</x:f>
        <x:v>15060.785961197078</x:v>
      </x:c>
      <x:c r="M206" s="53" t="n">
        <x:f>L206*COS(RADIANS(D206))</x:f>
        <x:v>14699.881320538965</x:v>
      </x:c>
      <x:c r="N206" s="54" t="n">
        <x:f>L206-H206</x:f>
        <x:v>360.904640658111</x:v>
      </x:c>
      <x:c r="O206" s="55" t="n">
        <x:f>M206-H206</x:f>
        <x:v>-1.8189894035458565e-12</x:v>
      </x:c>
      <x:c r="P206" s="54" t="n">
        <x:f>N206-O206</x:f>
        <x:v>360.90464065811284</x:v>
      </x:c>
      <x:c r="Q206" s="53" t="n">
        <x:f>Inputs!$C$21*J206/(2*Inputs!$C$12*1000000)</x:f>
        <x:v>5394.7315872870795</x:v>
      </x:c>
      <x:c r="R206" s="53" t="n">
        <x:f>Q206*COS(RADIANS(D206))</x:f>
        <x:v>5265.456550116173</x:v>
      </x:c>
      <x:c r="S206" s="53" t="n">
        <x:f>Inputs!$C$21*I206/(2*Inputs!$C$12*1000000)*COS(RADIANS(D206))</x:f>
        <x:v>1316.6410283585333</x:v>
      </x:c>
    </x:row>
    <x:row r="207">
      <x:c r="A207" s="53" t="n">
        <x:f>Subsurface_Live_Data!A205</x:f>
        <x:v>41.5</x:v>
      </x:c>
      <x:c r="B207" s="54" t="n">
        <x:f>Model_Data!P205</x:f>
        <x:v>-352.3454087967366</x:v>
      </x:c>
      <x:c r="C207" s="54" t="n">
        <x:f>ABS(B207)*Inputs!$C$13/2</x:f>
        <x:v>880.8635219918415</x:v>
      </x:c>
      <x:c r="D207" s="54" t="n">
        <x:f>DEGREES(ASIN(MIN(1,C207/(Inputs!$C$11*1000))))</x:f>
        <x:v>12.721713006510996</x:v>
      </x:c>
      <x:c r="E207" s="54" t="n">
        <x:f>Model_Data!I205</x:f>
        <x:v>6.873519212930159</x:v>
      </x:c>
      <x:c r="F207" s="53" t="n">
        <x:f>Subsurface_Live_Data!F205</x:f>
        <x:v>1326.4572478837015</x:v>
      </x:c>
      <x:c r="G207" s="53" t="n">
        <x:f>Subsurface_Live_Data!I205</x:f>
        <x:v>5252.93032885912</x:v>
      </x:c>
      <x:c r="H207" s="53" t="n">
        <x:f>Subsurface_Live_Data!K205</x:f>
        <x:v>14687.004164423177</x:v>
      </x:c>
      <x:c r="I207" s="54" t="n">
        <x:f>Subsurface_Live_Data!M205/COS(RADIANS(D207))</x:f>
        <x:v>16.14793611325895</x:v>
      </x:c>
      <x:c r="J207" s="54" t="n">
        <x:f>Subsurface_Live_Data!N205/COS(RADIANS(D207))</x:f>
        <x:v>63.94777026786952</x:v>
      </x:c>
      <x:c r="K207" s="54" t="n">
        <x:f>Subsurface_Live_Data!O205/COS(RADIANS(D207))</x:f>
        <x:v>178.79566440656765</x:v>
      </x:c>
      <x:c r="L207" s="53" t="n">
        <x:f>Inputs!$C$21*K207/(2*Inputs!$C$12*1000000)</x:f>
        <x:v>15056.626885446074</x:v>
      </x:c>
      <x:c r="M207" s="53" t="n">
        <x:f>L207*COS(RADIANS(D207))</x:f>
        <x:v>14687.004164423175</x:v>
      </x:c>
      <x:c r="N207" s="54" t="n">
        <x:f>L207-H207</x:f>
        <x:v>369.62272102289717</x:v>
      </x:c>
      <x:c r="O207" s="55" t="n">
        <x:f>M207-H207</x:f>
        <x:v>-1.8189894035458565e-12</x:v>
      </x:c>
      <x:c r="P207" s="54" t="n">
        <x:f>N207-O207</x:f>
        <x:v>369.622721022899</x:v>
      </x:c>
      <x:c r="Q207" s="53" t="n">
        <x:f>Inputs!$C$21*J207/(2*Inputs!$C$12*1000000)</x:f>
        <x:v>5385.128997815708</x:v>
      </x:c>
      <x:c r="R207" s="53" t="n">
        <x:f>Q207*COS(RADIANS(D207))</x:f>
        <x:v>5252.930328859119</x:v>
      </x:c>
      <x:c r="S207" s="53" t="n">
        <x:f>Inputs!$C$21*I207/(2*Inputs!$C$12*1000000)*COS(RADIANS(D207))</x:f>
        <x:v>1326.4572478837015</x:v>
      </x:c>
    </x:row>
    <x:row r="208">
      <x:c r="A208" s="53" t="n">
        <x:f>Subsurface_Live_Data!A206</x:f>
        <x:v>42</x:v>
      </x:c>
      <x:c r="B208" s="54" t="n">
        <x:f>Model_Data!P206</x:f>
        <x:v>-356.5195028526432</x:v>
      </x:c>
      <x:c r="C208" s="54" t="n">
        <x:f>ABS(B208)*Inputs!$C$13/2</x:f>
        <x:v>891.298757131608</x:v>
      </x:c>
      <x:c r="D208" s="54" t="n">
        <x:f>DEGREES(ASIN(MIN(1,C208/(Inputs!$C$11*1000))))</x:f>
        <x:v>12.874994964102818</x:v>
      </x:c>
      <x:c r="E208" s="54" t="n">
        <x:f>Model_Data!I206</x:f>
        <x:v>6.932996321916247</x:v>
      </x:c>
      <x:c r="F208" s="53" t="n">
        <x:f>Subsurface_Live_Data!F206</x:f>
        <x:v>1335.384475214123</x:v>
      </x:c>
      <x:c r="G208" s="53" t="n">
        <x:f>Subsurface_Live_Data!I206</x:f>
        <x:v>5239.843262761747</x:v>
      </x:c>
      <x:c r="H208" s="53" t="n">
        <x:f>Subsurface_Live_Data!K206</x:f>
        <x:v>14673.651759639273</x:v>
      </x:c>
      <x:c r="I208" s="54" t="n">
        <x:f>Subsurface_Live_Data!M206/COS(RADIANS(D208))</x:f>
        <x:v>16.266496380723265</x:v>
      </x:c>
      <x:c r="J208" s="54" t="n">
        <x:f>Subsurface_Live_Data!N206/COS(RADIANS(D208))</x:f>
        <x:v>63.82722957416759</x:v>
      </x:c>
      <x:c r="K208" s="54" t="n">
        <x:f>Subsurface_Live_Data!O206/COS(RADIANS(D208))</x:f>
        <x:v>178.74170897628048</x:v>
      </x:c>
      <x:c r="L208" s="53" t="n">
        <x:f>Inputs!$C$21*K208/(2*Inputs!$C$12*1000000)</x:f>
        <x:v>15052.083225033648</x:v>
      </x:c>
      <x:c r="M208" s="53" t="n">
        <x:f>L208*COS(RADIANS(D208))</x:f>
        <x:v>14673.651759639273</x:v>
      </x:c>
      <x:c r="N208" s="54" t="n">
        <x:f>L208-H208</x:f>
        <x:v>378.43146539437475</x:v>
      </x:c>
      <x:c r="O208" s="55" t="n">
        <x:f>M208-H208</x:f>
        <x:v>0</x:v>
      </x:c>
      <x:c r="P208" s="54" t="n">
        <x:f>N208-O208</x:f>
        <x:v>378.43146539437475</x:v>
      </x:c>
      <x:c r="Q208" s="53" t="n">
        <x:f>Inputs!$C$21*J208/(2*Inputs!$C$12*1000000)</x:f>
        <x:v>5374.978101508425</x:v>
      </x:c>
      <x:c r="R208" s="53" t="n">
        <x:f>Q208*COS(RADIANS(D208))</x:f>
        <x:v>5239.843262761747</x:v>
      </x:c>
      <x:c r="S208" s="53" t="n">
        <x:f>Inputs!$C$21*I208/(2*Inputs!$C$12*1000000)*COS(RADIANS(D208))</x:f>
        <x:v>1335.3844752141229</x:v>
      </x:c>
    </x:row>
    <x:row r="209">
      <x:c r="A209" s="53" t="n">
        <x:f>Subsurface_Live_Data!A207</x:f>
        <x:v>42.5</x:v>
      </x:c>
      <x:c r="B209" s="54" t="n">
        <x:f>Model_Data!P207</x:f>
        <x:v>-360.6911047401809</x:v>
      </x:c>
      <x:c r="C209" s="54" t="n">
        <x:f>ABS(B209)*Inputs!$C$13/2</x:f>
        <x:v>901.7277618504522</x:v>
      </x:c>
      <x:c r="D209" s="54" t="n">
        <x:f>DEGREES(ASIN(MIN(1,C209/(Inputs!$C$11*1000))))</x:f>
        <x:v>13.028279107729707</x:v>
      </x:c>
      <x:c r="E209" s="54" t="n">
        <x:f>Model_Data!I207</x:f>
        <x:v>6.992623032280269</x:v>
      </x:c>
      <x:c r="F209" s="53" t="n">
        <x:f>Subsurface_Live_Data!F207</x:f>
        <x:v>1342.3748108491102</x:v>
      </x:c>
      <x:c r="G209" s="53" t="n">
        <x:f>Subsurface_Live_Data!I207</x:f>
        <x:v>5226.204970478212</x:v>
      </x:c>
      <x:c r="H209" s="53" t="n">
        <x:f>Subsurface_Live_Data!K207</x:f>
        <x:v>14662.973588793413</x:v>
      </x:c>
      <x:c r="I209" s="54" t="n">
        <x:f>Subsurface_Live_Data!M207/COS(RADIANS(D209))</x:f>
        <x:v>16.361710314607976</x:v>
      </x:c>
      <x:c r="J209" s="54" t="n">
        <x:f>Subsurface_Live_Data!N207/COS(RADIANS(D209))</x:f>
        <x:v>63.700280339468144</x:v>
      </x:c>
      <x:c r="K209" s="54" t="n">
        <x:f>Subsurface_Live_Data!O207/COS(RADIANS(D209))</x:f>
        <x:v>178.7215644033362</x:v>
      </x:c>
      <x:c r="L209" s="53" t="n">
        <x:f>Inputs!$C$21*K209/(2*Inputs!$C$12*1000000)</x:f>
        <x:v>15050.386823056591</x:v>
      </x:c>
      <x:c r="M209" s="53" t="n">
        <x:f>L209*COS(RADIANS(D209))</x:f>
        <x:v>14662.973588793413</x:v>
      </x:c>
      <x:c r="N209" s="54" t="n">
        <x:f>L209-H209</x:f>
        <x:v>387.4132342631783</x:v>
      </x:c>
      <x:c r="O209" s="55" t="n">
        <x:f>M209-H209</x:f>
        <x:v>0</x:v>
      </x:c>
      <x:c r="P209" s="54" t="n">
        <x:f>N209-O209</x:f>
        <x:v>387.4132342631783</x:v>
      </x:c>
      <x:c r="Q209" s="53" t="n">
        <x:f>Inputs!$C$21*J209/(2*Inputs!$C$12*1000000)</x:f>
        <x:v>5364.287533218603</x:v>
      </x:c>
      <x:c r="R209" s="53" t="n">
        <x:f>Q209*COS(RADIANS(D209))</x:f>
        <x:v>5226.204970478212</x:v>
      </x:c>
      <x:c r="S209" s="53" t="n">
        <x:f>Inputs!$C$21*I209/(2*Inputs!$C$12*1000000)*COS(RADIANS(D209))</x:f>
        <x:v>1342.3748108491102</x:v>
      </x:c>
    </x:row>
    <x:row r="210">
      <x:c r="A210" s="53" t="n">
        <x:f>Subsurface_Live_Data!A208</x:f>
        <x:v>43</x:v>
      </x:c>
      <x:c r="B210" s="54" t="n">
        <x:f>Model_Data!P208</x:f>
        <x:v>-364.8601882793628</x:v>
      </x:c>
      <x:c r="C210" s="54" t="n">
        <x:f>ABS(B210)*Inputs!$C$13/2</x:f>
        <x:v>912.1504706984069</x:v>
      </x:c>
      <x:c r="D210" s="54" t="n">
        <x:f>DEGREES(ASIN(MIN(1,C210/(Inputs!$C$11*1000))))</x:f>
        <x:v>13.181565576681125</x:v>
      </x:c>
      <x:c r="E210" s="54" t="n">
        <x:f>Model_Data!I208</x:f>
        <x:v>7.05239391542762</x:v>
      </x:c>
      <x:c r="F210" s="53" t="n">
        <x:f>Subsurface_Live_Data!F208</x:f>
        <x:v>1347.779232252546</x:v>
      </x:c>
      <x:c r="G210" s="53" t="n">
        <x:f>Subsurface_Live_Data!I208</x:f>
        <x:v>5212.0300029107175</x:v>
      </x:c>
      <x:c r="H210" s="53" t="n">
        <x:f>Subsurface_Live_Data!K208</x:f>
        <x:v>14653.271975733256</x:v>
      </x:c>
      <x:c r="I210" s="54" t="n">
        <x:f>Subsurface_Live_Data!M208/COS(RADIANS(D210))</x:f>
        <x:v>16.437817373251736</x:v>
      </x:c>
      <x:c r="J210" s="54" t="n">
        <x:f>Subsurface_Live_Data!N208/COS(RADIANS(D210))</x:f>
        <x:v>63.56708523291853</x:v>
      </x:c>
      <x:c r="K210" s="54" t="n">
        <x:f>Subsurface_Live_Data!O208/COS(RADIANS(D210))</x:f>
        <x:v>178.71458685049484</x:v>
      </x:c>
      <x:c r="L210" s="53" t="n">
        <x:f>Inputs!$C$21*K210/(2*Inputs!$C$12*1000000)</x:f>
        <x:v>15049.799233810205</x:v>
      </x:c>
      <x:c r="M210" s="53" t="n">
        <x:f>L210*COS(RADIANS(D210))</x:f>
        <x:v>14653.271975733258</x:v>
      </x:c>
      <x:c r="N210" s="54" t="n">
        <x:f>L210-H210</x:f>
        <x:v>396.5272580769488</x:v>
      </x:c>
      <x:c r="O210" s="55" t="n">
        <x:f>M210-H210</x:f>
        <x:v>1.8189894035458565e-12</x:v>
      </x:c>
      <x:c r="P210" s="54" t="n">
        <x:f>N210-O210</x:f>
        <x:v>396.52725807694696</x:v>
      </x:c>
      <x:c r="Q210" s="53" t="n">
        <x:f>Inputs!$C$21*J210/(2*Inputs!$C$12*1000000)</x:f>
        <x:v>5353.07099153712</x:v>
      </x:c>
      <x:c r="R210" s="53" t="n">
        <x:f>Q210*COS(RADIANS(D210))</x:f>
        <x:v>5212.0300029107175</x:v>
      </x:c>
      <x:c r="S210" s="53" t="n">
        <x:f>Inputs!$C$21*I210/(2*Inputs!$C$12*1000000)*COS(RADIANS(D210))</x:f>
        <x:v>1347.7792322525463</x:v>
      </x:c>
    </x:row>
    <x:row r="211">
      <x:c r="A211" s="53" t="n">
        <x:f>Subsurface_Live_Data!A209</x:f>
        <x:v>43.5</x:v>
      </x:c>
      <x:c r="B211" s="54" t="n">
        <x:f>Model_Data!P209</x:f>
        <x:v>-369.0267273985228</x:v>
      </x:c>
      <x:c r="C211" s="54" t="n">
        <x:f>ABS(B211)*Inputs!$C$13/2</x:f>
        <x:v>922.566818496307</x:v>
      </x:c>
      <x:c r="D211" s="54" t="n">
        <x:f>DEGREES(ASIN(MIN(1,C211/(Inputs!$C$11*1000))))</x:f>
        <x:v>13.334854513998332</x:v>
      </x:c>
      <x:c r="E211" s="54" t="n">
        <x:f>Model_Data!I209</x:f>
        <x:v>7.1123037002334435</x:v>
      </x:c>
      <x:c r="F211" s="53" t="n">
        <x:f>Subsurface_Live_Data!F209</x:f>
        <x:v>1351.1527382591607</x:v>
      </x:c>
      <x:c r="G211" s="53" t="n">
        <x:f>Subsurface_Live_Data!I209</x:f>
        <x:v>5197.337581435408</x:v>
      </x:c>
      <x:c r="H211" s="53" t="n">
        <x:f>Subsurface_Live_Data!K209</x:f>
        <x:v>14645.692657462254</x:v>
      </x:c>
      <x:c r="I211" s="54" t="n">
        <x:f>Subsurface_Live_Data!M209/COS(RADIANS(D211))</x:f>
        <x:v>16.489352646456073</x:v>
      </x:c>
      <x:c r="J211" s="54" t="n">
        <x:f>Subsurface_Live_Data!N209/COS(RADIANS(D211))</x:f>
        <x:v>63.42786405731247</x:v>
      </x:c>
      <x:c r="K211" s="54" t="n">
        <x:f>Subsurface_Live_Data!O209/COS(RADIANS(D211))</x:f>
        <x:v>178.73478263579293</x:v>
      </x:c>
      <x:c r="L211" s="53" t="n">
        <x:f>Inputs!$C$21*K211/(2*Inputs!$C$12*1000000)</x:f>
        <x:v>15051.49994844946</x:v>
      </x:c>
      <x:c r="M211" s="53" t="n">
        <x:f>L211*COS(RADIANS(D211))</x:f>
        <x:v>14645.692657462254</x:v>
      </x:c>
      <x:c r="N211" s="54" t="n">
        <x:f>L211-H211</x:f>
        <x:v>405.8072909872062</x:v>
      </x:c>
      <x:c r="O211" s="55" t="n">
        <x:f>M211-H211</x:f>
        <x:v>0</x:v>
      </x:c>
      <x:c r="P211" s="54" t="n">
        <x:f>N211-O211</x:f>
        <x:v>405.8072909872062</x:v>
      </x:c>
      <x:c r="Q211" s="53" t="n">
        <x:f>Inputs!$C$21*J211/(2*Inputs!$C$12*1000000)</x:f>
        <x:v>5341.346986357179</x:v>
      </x:c>
      <x:c r="R211" s="53" t="n">
        <x:f>Q211*COS(RADIANS(D211))</x:f>
        <x:v>5197.337581435408</x:v>
      </x:c>
      <x:c r="S211" s="53" t="n">
        <x:f>Inputs!$C$21*I211/(2*Inputs!$C$12*1000000)*COS(RADIANS(D211))</x:f>
        <x:v>1351.1527382591607</x:v>
      </x:c>
    </x:row>
    <x:row r="212">
      <x:c r="A212" s="53" t="n">
        <x:f>Subsurface_Live_Data!A210</x:f>
        <x:v>44</x:v>
      </x:c>
      <x:c r="B212" s="54" t="n">
        <x:f>Model_Data!P210</x:f>
        <x:v>-373.1906961457753</x:v>
      </x:c>
      <x:c r="C212" s="54" t="n">
        <x:f>ABS(B212)*Inputs!$C$13/2</x:f>
        <x:v>932.9767403644382</x:v>
      </x:c>
      <x:c r="D212" s="54" t="n">
        <x:f>DEGREES(ASIN(MIN(1,C212/(Inputs!$C$11*1000))))</x:f>
        <x:v>13.488146066910405</x:v>
      </x:c>
      <x:c r="E212" s="54" t="n">
        <x:f>Model_Data!I210</x:f>
        <x:v>7.172347267625263</x:v>
      </x:c>
      <x:c r="F212" s="53" t="n">
        <x:f>Subsurface_Live_Data!F210</x:f>
        <x:v>1352.990153932563</x:v>
      </x:c>
      <x:c r="G212" s="53" t="n">
        <x:f>Subsurface_Live_Data!I210</x:f>
        <x:v>5182.151276581459</x:v>
      </x:c>
      <x:c r="H212" s="53" t="n">
        <x:f>Subsurface_Live_Data!K210</x:f>
        <x:v>14638.157168949723</x:v>
      </x:c>
      <x:c r="I212" s="54" t="n">
        <x:f>Subsurface_Live_Data!M210/COS(RADIANS(D212))</x:f>
        <x:v>16.522313328795914</x:v>
      </x:c>
      <x:c r="J212" s="54" t="n">
        <x:f>Subsurface_Live_Data!N210/COS(RADIANS(D212))</x:f>
        <x:v>63.2828900195871</x:v>
      </x:c>
      <x:c r="K212" s="54" t="n">
        <x:f>Subsurface_Live_Data!O210/COS(RADIANS(D212))</x:f>
        <x:v>178.7568213993095</x:v>
      </x:c>
      <x:c r="L212" s="53" t="n">
        <x:f>Inputs!$C$21*K212/(2*Inputs!$C$12*1000000)</x:f>
        <x:v>15053.355862799437</x:v>
      </x:c>
      <x:c r="M212" s="53" t="n">
        <x:f>L212*COS(RADIANS(D212))</x:f>
        <x:v>14638.157168949721</x:v>
      </x:c>
      <x:c r="N212" s="54" t="n">
        <x:f>L212-H212</x:f>
        <x:v>415.1986938497139</x:v>
      </x:c>
      <x:c r="O212" s="55" t="n">
        <x:f>M212-H212</x:f>
        <x:v>-1.8189894035458565e-12</x:v>
      </x:c>
      <x:c r="P212" s="54" t="n">
        <x:f>N212-O212</x:f>
        <x:v>415.1986938497157</x:v>
      </x:c>
      <x:c r="Q212" s="53" t="n">
        <x:f>Inputs!$C$21*J212/(2*Inputs!$C$12*1000000)</x:f>
        <x:v>5329.138524807777</x:v>
      </x:c>
      <x:c r="R212" s="53" t="n">
        <x:f>Q212*COS(RADIANS(D212))</x:f>
        <x:v>5182.15127658146</x:v>
      </x:c>
      <x:c r="S212" s="53" t="n">
        <x:f>Inputs!$C$21*I212/(2*Inputs!$C$12*1000000)*COS(RADIANS(D212))</x:f>
        <x:v>1352.990153932563</x:v>
      </x:c>
    </x:row>
    <x:row r="213">
      <x:c r="A213" s="53" t="n">
        <x:f>Subsurface_Live_Data!A211</x:f>
        <x:v>44.5</x:v>
      </x:c>
      <x:c r="B213" s="54" t="n">
        <x:f>Model_Data!P211</x:f>
        <x:v>-377.3520686901975</x:v>
      </x:c>
      <x:c r="C213" s="54" t="n">
        <x:f>ABS(B213)*Inputs!$C$13/2</x:f>
        <x:v>943.3801717254937</x:v>
      </x:c>
      <x:c r="D213" s="54" t="n">
        <x:f>DEGREES(ASIN(MIN(1,C213/(Inputs!$C$11*1000))))</x:f>
        <x:v>13.641440386893608</x:v>
      </x:c>
      <x:c r="E213" s="54" t="n">
        <x:f>Model_Data!I211</x:f>
        <x:v>7.232519645354166</x:v>
      </x:c>
      <x:c r="F213" s="53" t="n">
        <x:f>Subsurface_Live_Data!F211</x:f>
        <x:v>1352.46576286895</x:v>
      </x:c>
      <x:c r="G213" s="53" t="n">
        <x:f>Subsurface_Live_Data!I211</x:f>
        <x:v>5166.498639040892</x:v>
      </x:c>
      <x:c r="H213" s="53" t="n">
        <x:f>Subsurface_Live_Data!K211</x:f>
        <x:v>14633.280812812143</x:v>
      </x:c>
      <x:c r="I213" s="54" t="n">
        <x:f>Subsurface_Live_Data!M211/COS(RADIANS(D213))</x:f>
        <x:v>16.52657457357976</x:v>
      </x:c>
      <x:c r="J213" s="54" t="n">
        <x:f>Subsurface_Live_Data!N211/COS(RADIANS(D213))</x:f>
        <x:v>63.13248541041344</x:v>
      </x:c>
      <x:c r="K213" s="54" t="n">
        <x:f>Subsurface_Live_Data!O211/COS(RADIANS(D213))</x:f>
        <x:v>178.81266443009187</x:v>
      </x:c>
      <x:c r="L213" s="53" t="n">
        <x:f>Inputs!$C$21*K213/(2*Inputs!$C$12*1000000)</x:f>
        <x:v>15058.058480625397</x:v>
      </x:c>
      <x:c r="M213" s="53" t="n">
        <x:f>L213*COS(RADIANS(D213))</x:f>
        <x:v>14633.280812812143</x:v>
      </x:c>
      <x:c r="N213" s="54" t="n">
        <x:f>L213-H213</x:f>
        <x:v>424.7776678132541</x:v>
      </x:c>
      <x:c r="O213" s="55" t="n">
        <x:f>M213-H213</x:f>
        <x:v>0</x:v>
      </x:c>
      <x:c r="P213" s="54" t="n">
        <x:f>N213-O213</x:f>
        <x:v>424.7776678132541</x:v>
      </x:c>
      <x:c r="Q213" s="53" t="n">
        <x:f>Inputs!$C$21*J213/(2*Inputs!$C$12*1000000)</x:f>
        <x:v>5316.472747426119</x:v>
      </x:c>
      <x:c r="R213" s="53" t="n">
        <x:f>Q213*COS(RADIANS(D213))</x:f>
        <x:v>5166.498639040893</x:v>
      </x:c>
      <x:c r="S213" s="53" t="n">
        <x:f>Inputs!$C$21*I213/(2*Inputs!$C$12*1000000)*COS(RADIANS(D213))</x:f>
        <x:v>1352.46576286895</x:v>
      </x:c>
    </x:row>
    <x:row r="214">
      <x:c r="A214" s="53" t="n">
        <x:f>Subsurface_Live_Data!A212</x:f>
        <x:v>45</x:v>
      </x:c>
      <x:c r="B214" s="54" t="n">
        <x:f>Model_Data!P212</x:f>
        <x:v>-381.5108193193737</x:v>
      </x:c>
      <x:c r="C214" s="54" t="n">
        <x:f>ABS(B214)*Inputs!$C$13/2</x:f>
        <x:v>953.7770482984342</x:v>
      </x:c>
      <x:c r="D214" s="54" t="n">
        <x:f>DEGREES(ASIN(MIN(1,C214/(Inputs!$C$11*1000))))</x:f>
        <x:v>13.79473762959732</x:v>
      </x:c>
      <x:c r="E214" s="54" t="n">
        <x:f>Model_Data!I212</x:f>
        <x:v>7.292816002949435</x:v>
      </x:c>
      <x:c r="F214" s="53" t="n">
        <x:f>Subsurface_Live_Data!F212</x:f>
        <x:v>1350.708383641247</x:v>
      </x:c>
      <x:c r="G214" s="53" t="n">
        <x:f>Subsurface_Live_Data!I212</x:f>
        <x:v>5150.410794969204</x:v>
      </x:c>
      <x:c r="H214" s="53" t="n">
        <x:f>Subsurface_Live_Data!K212</x:f>
        <x:v>14626.915429680796</x:v>
      </x:c>
      <x:c r="I214" s="54" t="n">
        <x:f>Subsurface_Live_Data!M212/COS(RADIANS(D214))</x:f>
        <x:v>16.515883490316753</x:v>
      </x:c>
      <x:c r="J214" s="54" t="n">
        <x:f>Subsurface_Live_Data!N212/COS(RADIANS(D214))</x:f>
        <x:v>62.97701683591109</x:v>
      </x:c>
      <x:c r="K214" s="54" t="n">
        <x:f>Subsurface_Live_Data!O212/COS(RADIANS(D214))</x:f>
        <x:v>178.85165590523792</x:v>
      </x:c>
      <x:c r="L214" s="53" t="n">
        <x:f>Inputs!$C$21*K214/(2*Inputs!$C$12*1000000)</x:f>
        <x:v>15061.342005955476</x:v>
      </x:c>
      <x:c r="M214" s="53" t="n">
        <x:f>L214*COS(RADIANS(D214))</x:f>
        <x:v>14626.915429680794</x:v>
      </x:c>
      <x:c r="N214" s="54" t="n">
        <x:f>L214-H214</x:f>
        <x:v>434.42657627468</x:v>
      </x:c>
      <x:c r="O214" s="55" t="n">
        <x:f>M214-H214</x:f>
        <x:v>-1.8189894035458565e-12</x:v>
      </x:c>
      <x:c r="P214" s="54" t="n">
        <x:f>N214-O214</x:f>
        <x:v>434.4265762746818</x:v>
      </x:c>
      <x:c r="Q214" s="53" t="n">
        <x:f>Inputs!$C$21*J214/(2*Inputs!$C$12*1000000)</x:f>
        <x:v>5303.380526613811</x:v>
      </x:c>
      <x:c r="R214" s="53" t="n">
        <x:f>Q214*COS(RADIANS(D214))</x:f>
        <x:v>5150.410794969203</x:v>
      </x:c>
      <x:c r="S214" s="53" t="n">
        <x:f>Inputs!$C$21*I214/(2*Inputs!$C$12*1000000)*COS(RADIANS(D214))</x:f>
        <x:v>1350.708383641247</x:v>
      </x:c>
    </x:row>
    <x:row r="215">
      <x:c r="A215" s="53" t="n">
        <x:f>Subsurface_Live_Data!A213</x:f>
        <x:v>45.5</x:v>
      </x:c>
      <x:c r="B215" s="54" t="n">
        <x:f>Model_Data!P213</x:f>
        <x:v>-385.6669224382131</x:v>
      </x:c>
      <x:c r="C215" s="54" t="n">
        <x:f>ABS(B215)*Inputs!$C$13/2</x:f>
        <x:v>964.1673060955327</x:v>
      </x:c>
      <x:c r="D215" s="54" t="n">
        <x:f>DEGREES(ASIN(MIN(1,C215/(Inputs!$C$11*1000))))</x:f>
        <x:v>13.948037954817071</x:v>
      </x:c>
      <x:c r="E215" s="54" t="n">
        <x:f>Model_Data!I213</x:f>
        <x:v>7.353231646851434</x:v>
      </x:c>
      <x:c r="F215" s="53" t="n">
        <x:f>Subsurface_Live_Data!F213</x:f>
        <x:v>1347.7303681384114</x:v>
      </x:c>
      <x:c r="G215" s="53" t="n">
        <x:f>Subsurface_Live_Data!I213</x:f>
        <x:v>5133.922017260061</x:v>
      </x:c>
      <x:c r="H215" s="53" t="n">
        <x:f>Subsurface_Live_Data!K213</x:f>
        <x:v>14618.90219150512</x:v>
      </x:c>
      <x:c r="I215" s="54" t="n">
        <x:f>Subsurface_Live_Data!M213/COS(RADIANS(D215))</x:f>
        <x:v>16.490361597124842</x:v>
      </x:c>
      <x:c r="J215" s="54" t="n">
        <x:f>Subsurface_Live_Data!N213/COS(RADIANS(D215))</x:f>
        <x:v>62.81689014175603</x:v>
      </x:c>
      <x:c r="K215" s="54" t="n">
        <x:f>Subsurface_Live_Data!O213/COS(RADIANS(D215))</x:f>
        <x:v>178.8718196087738</x:v>
      </x:c>
      <x:c r="L215" s="53" t="n">
        <x:f>Inputs!$C$21*K215/(2*Inputs!$C$12*1000000)</x:f>
        <x:v>15063.040018945756</x:v>
      </x:c>
      <x:c r="M215" s="53" t="n">
        <x:f>L215*COS(RADIANS(D215))</x:f>
        <x:v>14618.90219150512</x:v>
      </x:c>
      <x:c r="N215" s="54" t="n">
        <x:f>L215-H215</x:f>
        <x:v>444.1378274406361</x:v>
      </x:c>
      <x:c r="O215" s="55" t="n">
        <x:f>M215-H215</x:f>
        <x:v>0</x:v>
      </x:c>
      <x:c r="P215" s="54" t="n">
        <x:f>N215-O215</x:f>
        <x:v>444.1378274406361</x:v>
      </x:c>
      <x:c r="Q215" s="53" t="n">
        <x:f>Inputs!$C$21*J215/(2*Inputs!$C$12*1000000)</x:f>
        <x:v>5289.896039189047</x:v>
      </x:c>
      <x:c r="R215" s="53" t="n">
        <x:f>Q215*COS(RADIANS(D215))</x:f>
        <x:v>5133.92201726006</x:v>
      </x:c>
      <x:c r="S215" s="53" t="n">
        <x:f>Inputs!$C$21*I215/(2*Inputs!$C$12*1000000)*COS(RADIANS(D215))</x:f>
        <x:v>1347.7303681384114</x:v>
      </x:c>
    </x:row>
    <x:row r="216">
      <x:c r="A216" s="53" t="n">
        <x:f>Subsurface_Live_Data!A214</x:f>
        <x:v>46</x:v>
      </x:c>
      <x:c r="B216" s="54" t="n">
        <x:f>Model_Data!P214</x:f>
        <x:v>-389.8203525829558</x:v>
      </x:c>
      <x:c r="C216" s="54" t="n">
        <x:f>ABS(B216)*Inputs!$C$13/2</x:f>
        <x:v>974.5508814573896</x:v>
      </x:c>
      <x:c r="D216" s="54" t="n">
        <x:f>DEGREES(ASIN(MIN(1,C216/(Inputs!$C$11*1000))))</x:f>
        <x:v>14.10134152702874</x:v>
      </x:c>
      <x:c r="E216" s="54" t="n">
        <x:f>Model_Data!I214</x:f>
        <x:v>7.413762015717533</x:v>
      </x:c>
      <x:c r="F216" s="53" t="n">
        <x:f>Subsurface_Live_Data!F214</x:f>
        <x:v>1341.8359279664187</x:v>
      </x:c>
      <x:c r="G216" s="53" t="n">
        <x:f>Subsurface_Live_Data!I214</x:f>
        <x:v>5117.069283886007</x:v>
      </x:c>
      <x:c r="H216" s="53" t="n">
        <x:f>Subsurface_Live_Data!K214</x:f>
        <x:v>14615.145412726702</x:v>
      </x:c>
      <x:c r="I216" s="54" t="n">
        <x:f>Subsurface_Live_Data!M214/COS(RADIANS(D216))</x:f>
        <x:v>16.429215907554493</x:v>
      </x:c>
      <x:c r="J216" s="54" t="n">
        <x:f>Subsurface_Live_Data!N214/COS(RADIANS(D216))</x:f>
        <x:v>62.652545163466826</x:v>
      </x:c>
      <x:c r="K216" s="54" t="n">
        <x:f>Subsurface_Live_Data!O214/COS(RADIANS(D216))</x:f>
        <x:v>178.9454094211739</x:v>
      </x:c>
      <x:c r="L216" s="53" t="n">
        <x:f>Inputs!$C$21*K216/(2*Inputs!$C$12*1000000)</x:f>
        <x:v>15069.237117469125</x:v>
      </x:c>
      <x:c r="M216" s="53" t="n">
        <x:f>L216*COS(RADIANS(D216))</x:f>
        <x:v>14615.145412726702</x:v>
      </x:c>
      <x:c r="N216" s="54" t="n">
        <x:f>L216-H216</x:f>
        <x:v>454.09170474242273</x:v>
      </x:c>
      <x:c r="O216" s="55" t="n">
        <x:f>M216-H216</x:f>
        <x:v>0</x:v>
      </x:c>
      <x:c r="P216" s="54" t="n">
        <x:f>N216-O216</x:f>
        <x:v>454.09170474242273</x:v>
      </x:c>
      <x:c r="Q216" s="53" t="n">
        <x:f>Inputs!$C$21*J216/(2*Inputs!$C$12*1000000)</x:f>
        <x:v>5276.056324301047</x:v>
      </x:c>
      <x:c r="R216" s="53" t="n">
        <x:f>Q216*COS(RADIANS(D216))</x:f>
        <x:v>5117.069283886007</x:v>
      </x:c>
      <x:c r="S216" s="53" t="n">
        <x:f>Inputs!$C$21*I216/(2*Inputs!$C$12*1000000)*COS(RADIANS(D216))</x:f>
        <x:v>1341.8359279664187</x:v>
      </x:c>
    </x:row>
    <x:row r="217">
      <x:c r="A217" s="53" t="n">
        <x:f>Subsurface_Live_Data!A215</x:f>
        <x:v>46.5</x:v>
      </x:c>
      <x:c r="B217" s="54" t="n">
        <x:f>Model_Data!P215</x:f>
        <x:v>-393.9710844109868</x:v>
      </x:c>
      <x:c r="C217" s="54" t="n">
        <x:f>ABS(B217)*Inputs!$C$13/2</x:f>
        <x:v>984.927711027467</x:v>
      </x:c>
      <x:c r="D217" s="54" t="n">
        <x:f>DEGREES(ASIN(MIN(1,C217/(Inputs!$C$11*1000))))</x:f>
        <x:v>14.254648515031473</x:v>
      </x:c>
      <x:c r="E217" s="54" t="n">
        <x:f>Model_Data!I215</x:f>
        <x:v>7.4744026758958535</x:v>
      </x:c>
      <x:c r="F217" s="53" t="n">
        <x:f>Subsurface_Live_Data!F215</x:f>
        <x:v>1334.0328418641786</x:v>
      </x:c>
      <x:c r="G217" s="53" t="n">
        <x:f>Subsurface_Live_Data!I215</x:f>
        <x:v>5099.891833543499</x:v>
      </x:c>
      <x:c r="H217" s="53" t="n">
        <x:f>Subsurface_Live_Data!K215</x:f>
        <x:v>14612.173134210097</x:v>
      </x:c>
      <x:c r="I217" s="54" t="n">
        <x:f>Subsurface_Live_Data!M215/COS(RADIANS(D217))</x:f>
        <x:v>16.344720965705502</x:v>
      </x:c>
      <x:c r="J217" s="54" t="n">
        <x:f>Subsurface_Live_Data!N215/COS(RADIANS(D217))</x:f>
        <x:v>62.48445042632273</x:v>
      </x:c>
      <x:c r="K217" s="54" t="n">
        <x:f>Subsurface_Live_Data!O215/COS(RADIANS(D217))</x:f>
        <x:v>179.02999467951523</x:v>
      </x:c>
      <x:c r="L217" s="53" t="n">
        <x:f>Inputs!$C$21*K217/(2*Inputs!$C$12*1000000)</x:f>
        <x:v>15076.360157499661</x:v>
      </x:c>
      <x:c r="M217" s="53" t="n">
        <x:f>L217*COS(RADIANS(D217))</x:f>
        <x:v>14612.1731342101</x:v>
      </x:c>
      <x:c r="N217" s="54" t="n">
        <x:f>L217-H217</x:f>
        <x:v>464.1870232895635</x:v>
      </x:c>
      <x:c r="O217" s="55" t="n">
        <x:f>M217-H217</x:f>
        <x:v>1.8189894035458565e-12</x:v>
      </x:c>
      <x:c r="P217" s="54" t="n">
        <x:f>N217-O217</x:f>
        <x:v>464.1870232895617</x:v>
      </x:c>
      <x:c r="Q217" s="53" t="n">
        <x:f>Inputs!$C$21*J217/(2*Inputs!$C$12*1000000)</x:f>
        <x:v>5261.900837102933</x:v>
      </x:c>
      <x:c r="R217" s="53" t="n">
        <x:f>Q217*COS(RADIANS(D217))</x:f>
        <x:v>5099.891833543499</x:v>
      </x:c>
      <x:c r="S217" s="53" t="n">
        <x:f>Inputs!$C$21*I217/(2*Inputs!$C$12*1000000)*COS(RADIANS(D217))</x:f>
        <x:v>1334.0328418641786</x:v>
      </x:c>
    </x:row>
    <x:row r="218">
      <x:c r="A218" s="53" t="n">
        <x:f>Subsurface_Live_Data!A216</x:f>
        <x:v>47</x:v>
      </x:c>
      <x:c r="B218" s="54" t="n">
        <x:f>Model_Data!P216</x:f>
        <x:v>-398.1190926891031</x:v>
      </x:c>
      <x:c r="C218" s="54" t="n">
        <x:f>ABS(B218)*Inputs!$C$13/2</x:f>
        <x:v>995.2977317227578</x:v>
      </x:c>
      <x:c r="D218" s="54" t="n">
        <x:f>DEGREES(ASIN(MIN(1,C218/(Inputs!$C$11*1000))))</x:f>
        <x:v>14.40795909153249</x:v>
      </x:c>
      <x:c r="E218" s="54" t="n">
        <x:f>Model_Data!I216</x:f>
        <x:v>7.535149317061624</x:v>
      </x:c>
      <x:c r="F218" s="53" t="n">
        <x:f>Subsurface_Live_Data!F216</x:f>
        <x:v>1325.0139855411564</x:v>
      </x:c>
      <x:c r="G218" s="53" t="n">
        <x:f>Subsurface_Live_Data!I216</x:f>
        <x:v>5082.430727780868</x:v>
      </x:c>
      <x:c r="H218" s="53" t="n">
        <x:f>Subsurface_Live_Data!K216</x:f>
        <x:v>14607.701900076461</x:v>
      </x:c>
      <x:c r="I218" s="54" t="n">
        <x:f>Subsurface_Live_Data!M216/COS(RADIANS(D218))</x:f>
        <x:v>16.245322490549615</x:v>
      </x:c>
      <x:c r="J218" s="54" t="n">
        <x:f>Subsurface_Live_Data!N216/COS(RADIANS(D218))</x:f>
        <x:v>62.31309790662915</x:v>
      </x:c>
      <x:c r="K218" s="54" t="n">
        <x:f>Subsurface_Live_Data!O216/COS(RADIANS(D218))</x:f>
        <x:v>179.09760259295427</x:v>
      </x:c>
      <x:c r="L218" s="53" t="n">
        <x:f>Inputs!$C$21*K218/(2*Inputs!$C$12*1000000)</x:f>
        <x:v>15082.053512148575</x:v>
      </x:c>
      <x:c r="M218" s="53" t="n">
        <x:f>L218*COS(RADIANS(D218))</x:f>
        <x:v>14607.701900076461</x:v>
      </x:c>
      <x:c r="N218" s="54" t="n">
        <x:f>L218-H218</x:f>
        <x:v>474.3516120721142</x:v>
      </x:c>
      <x:c r="O218" s="55" t="n">
        <x:f>M218-H218</x:f>
        <x:v>0</x:v>
      </x:c>
      <x:c r="P218" s="54" t="n">
        <x:f>N218-O218</x:f>
        <x:v>474.3516120721142</x:v>
      </x:c>
      <x:c r="Q218" s="53" t="n">
        <x:f>Inputs!$C$21*J218/(2*Inputs!$C$12*1000000)</x:f>
        <x:v>5247.471007590732</x:v>
      </x:c>
      <x:c r="R218" s="53" t="n">
        <x:f>Q218*COS(RADIANS(D218))</x:f>
        <x:v>5082.4307277808675</x:v>
      </x:c>
      <x:c r="S218" s="53" t="n">
        <x:f>Inputs!$C$21*I218/(2*Inputs!$C$12*1000000)*COS(RADIANS(D218))</x:f>
        <x:v>1325.0139855411564</x:v>
      </x:c>
    </x:row>
    <x:row r="219">
      <x:c r="A219" s="53" t="n">
        <x:f>Subsurface_Live_Data!A217</x:f>
        <x:v>47.5</x:v>
      </x:c>
      <x:c r="B219" s="54" t="n">
        <x:f>Model_Data!P217</x:f>
        <x:v>-402.26435232361837</x:v>
      </x:c>
      <x:c r="C219" s="54" t="n">
        <x:f>ABS(B219)*Inputs!$C$13/2</x:f>
        <x:v>1005.6608808090459</x:v>
      </x:c>
      <x:c r="D219" s="54" t="n">
        <x:f>DEGREES(ASIN(MIN(1,C219/(Inputs!$C$11*1000))))</x:f>
        <x:v>14.561273434278492</x:v>
      </x:c>
      <x:c r="E219" s="54" t="n">
        <x:f>Model_Data!I217</x:f>
        <x:v>7.595997748011028</x:v>
      </x:c>
      <x:c r="F219" s="53" t="n">
        <x:f>Subsurface_Live_Data!F217</x:f>
        <x:v>1314.0140033089376</x:v>
      </x:c>
      <x:c r="G219" s="53" t="n">
        <x:f>Subsurface_Live_Data!I217</x:f>
        <x:v>5064.728427579559</x:v>
      </x:c>
      <x:c r="H219" s="53" t="n">
        <x:f>Subsurface_Live_Data!K217</x:f>
        <x:v>14604.637100240314</x:v>
      </x:c>
      <x:c r="I219" s="54" t="n">
        <x:f>Subsurface_Live_Data!M217/COS(RADIANS(D219))</x:f>
        <x:v>16.12159756009219</x:v>
      </x:c>
      <x:c r="J219" s="54" t="n">
        <x:f>Subsurface_Live_Data!N217/COS(RADIANS(D219))</x:f>
        <x:v>62.138997952063</x:v>
      </x:c>
      <x:c r="K219" s="54" t="n">
        <x:f>Subsurface_Live_Data!O217/COS(RADIANS(D219))</x:f>
        <x:v>179.1838452621951</x:v>
      </x:c>
      <x:c r="L219" s="53" t="n">
        <x:f>Inputs!$C$21*K219/(2*Inputs!$C$12*1000000)</x:f>
        <x:v>15089.316125012674</x:v>
      </x:c>
      <x:c r="M219" s="53" t="n">
        <x:f>L219*COS(RADIANS(D219))</x:f>
        <x:v>14604.637100240316</x:v>
      </x:c>
      <x:c r="N219" s="54" t="n">
        <x:f>L219-H219</x:f>
        <x:v>484.6790247723602</x:v>
      </x:c>
      <x:c r="O219" s="55" t="n">
        <x:f>M219-H219</x:f>
        <x:v>1.8189894035458565e-12</x:v>
      </x:c>
      <x:c r="P219" s="54" t="n">
        <x:f>N219-O219</x:f>
        <x:v>484.6790247723584</x:v>
      </x:c>
      <x:c r="Q219" s="53" t="n">
        <x:f>Inputs!$C$21*J219/(2*Inputs!$C$12*1000000)</x:f>
        <x:v>5232.8098128387455</x:v>
      </x:c>
      <x:c r="R219" s="53" t="n">
        <x:f>Q219*COS(RADIANS(D219))</x:f>
        <x:v>5064.728427579559</x:v>
      </x:c>
      <x:c r="S219" s="53" t="n">
        <x:f>Inputs!$C$21*I219/(2*Inputs!$C$12*1000000)*COS(RADIANS(D219))</x:f>
        <x:v>1314.0140033089376</x:v>
      </x:c>
    </x:row>
    <x:row r="220">
      <x:c r="A220" s="53" t="n">
        <x:f>Subsurface_Live_Data!A218</x:f>
        <x:v>48</x:v>
      </x:c>
      <x:c r="B220" s="54" t="n">
        <x:f>Model_Data!P218</x:f>
        <x:v>-406.40683834462834</x:v>
      </x:c>
      <x:c r="C220" s="54" t="n">
        <x:f>ABS(B220)*Inputs!$C$13/2</x:f>
        <x:v>1016.0170958615709</x:v>
      </x:c>
      <x:c r="D220" s="54" t="n">
        <x:f>DEGREES(ASIN(MIN(1,C220/(Inputs!$C$11*1000))))</x:f>
        <x:v>14.71459172549512</x:v>
      </x:c>
      <x:c r="E220" s="54" t="n">
        <x:f>Model_Data!I218</x:f>
        <x:v>7.656943892607386</x:v>
      </x:c>
      <x:c r="F220" s="53" t="n">
        <x:f>Subsurface_Live_Data!F218</x:f>
        <x:v>1302.475605782273</x:v>
      </x:c>
      <x:c r="G220" s="53" t="n">
        <x:f>Subsurface_Live_Data!I218</x:f>
        <x:v>5046.828391059098</x:v>
      </x:c>
      <x:c r="H220" s="53" t="n">
        <x:f>Subsurface_Live_Data!K218</x:f>
        <x:v>14598.23820003855</x:v>
      </x:c>
      <x:c r="I220" s="54" t="n">
        <x:f>Subsurface_Live_Data!M218/COS(RADIANS(D220))</x:f>
        <x:v>15.991205897315036</x:v>
      </x:c>
      <x:c r="J220" s="54" t="n">
        <x:f>Subsurface_Live_Data!N218/COS(RADIANS(D220))</x:f>
        <x:v>61.96267444208252</x:v>
      </x:c>
      <x:c r="K220" s="54" t="n">
        <x:f>Subsurface_Live_Data!O218/COS(RADIANS(D220))</x:f>
        <x:v>179.23056044850748</x:v>
      </x:c>
      <x:c r="L220" s="53" t="n">
        <x:f>Inputs!$C$21*K220/(2*Inputs!$C$12*1000000)</x:f>
        <x:v>15093.250074599899</x:v>
      </x:c>
      <x:c r="M220" s="53" t="n">
        <x:f>L220*COS(RADIANS(D220))</x:f>
        <x:v>14598.238200038551</x:v>
      </x:c>
      <x:c r="N220" s="54" t="n">
        <x:f>L220-H220</x:f>
        <x:v>495.01187456134903</x:v>
      </x:c>
      <x:c r="O220" s="55" t="n">
        <x:f>M220-H220</x:f>
        <x:v>1.8189894035458565e-12</x:v>
      </x:c>
      <x:c r="P220" s="54" t="n">
        <x:f>N220-O220</x:f>
        <x:v>495.0118745613472</x:v>
      </x:c>
      <x:c r="Q220" s="53" t="n">
        <x:f>Inputs!$C$21*J220/(2*Inputs!$C$12*1000000)</x:f>
        <x:v>5217.961369451038</x:v>
      </x:c>
      <x:c r="R220" s="53" t="n">
        <x:f>Q220*COS(RADIANS(D220))</x:f>
        <x:v>5046.828391059098</x:v>
      </x:c>
      <x:c r="S220" s="53" t="n">
        <x:f>Inputs!$C$21*I220/(2*Inputs!$C$12*1000000)*COS(RADIANS(D220))</x:f>
        <x:v>1302.475605782273</x:v>
      </x:c>
    </x:row>
    <x:row r="221">
      <x:c r="A221" s="53" t="n">
        <x:f>Subsurface_Live_Data!A219</x:f>
        <x:v>48.5</x:v>
      </x:c>
      <x:c r="B221" s="54" t="n">
        <x:f>Model_Data!P219</x:f>
        <x:v>-410.54652591110425</x:v>
      </x:c>
      <x:c r="C221" s="54" t="n">
        <x:f>ABS(B221)*Inputs!$C$13/2</x:f>
        <x:v>1026.3663147777606</x:v>
      </x:c>
      <x:c r="D221" s="54" t="n">
        <x:f>DEGREES(ASIN(MIN(1,C221/(Inputs!$C$11*1000))))</x:f>
        <x:v>14.867914152096192</x:v>
      </x:c>
      <x:c r="E221" s="54" t="n">
        <x:f>Model_Data!I219</x:f>
        <x:v>7.717983785874701</x:v>
      </x:c>
      <x:c r="F221" s="53" t="n">
        <x:f>Subsurface_Live_Data!F219</x:f>
        <x:v>1288.2545570116101</x:v>
      </x:c>
      <x:c r="G221" s="53" t="n">
        <x:f>Subsurface_Live_Data!I219</x:f>
        <x:v>5028.774697637856</x:v>
      </x:c>
      <x:c r="H221" s="53" t="n">
        <x:f>Subsurface_Live_Data!K219</x:f>
        <x:v>14596.397177031604</x:v>
      </x:c>
      <x:c r="I221" s="54" t="n">
        <x:f>Subsurface_Live_Data!M219/COS(RADIANS(D221))</x:f>
        <x:v>15.827786073676961</x:v>
      </x:c>
      <x:c r="J221" s="54" t="n">
        <x:f>Subsurface_Live_Data!N219/COS(RADIANS(D221))</x:f>
        <x:v>61.78466025501059</x:v>
      </x:c>
      <x:c r="K221" s="54" t="n">
        <x:f>Subsurface_Live_Data!O219/COS(RADIANS(D221))</x:f>
        <x:v>179.3346281657255</x:v>
      </x:c>
      <x:c r="L221" s="53" t="n">
        <x:f>Inputs!$C$21*K221/(2*Inputs!$C$12*1000000)</x:f>
        <x:v>15102.013759078336</x:v>
      </x:c>
      <x:c r="M221" s="53" t="n">
        <x:f>L221*COS(RADIANS(D221))</x:f>
        <x:v>14596.397177031606</x:v>
      </x:c>
      <x:c r="N221" s="54" t="n">
        <x:f>L221-H221</x:f>
        <x:v>505.6165820467322</x:v>
      </x:c>
      <x:c r="O221" s="55" t="n">
        <x:f>M221-H221</x:f>
        <x:v>1.8189894035458565e-12</x:v>
      </x:c>
      <x:c r="P221" s="54" t="n">
        <x:f>N221-O221</x:f>
        <x:v>505.6165820467304</x:v>
      </x:c>
      <x:c r="Q221" s="53" t="n">
        <x:f>Inputs!$C$21*J221/(2*Inputs!$C$12*1000000)</x:f>
        <x:v>5202.970551838352</x:v>
      </x:c>
      <x:c r="R221" s="53" t="n">
        <x:f>Q221*COS(RADIANS(D221))</x:f>
        <x:v>5028.774697637855</x:v>
      </x:c>
      <x:c r="S221" s="53" t="n">
        <x:f>Inputs!$C$21*I221/(2*Inputs!$C$12*1000000)*COS(RADIANS(D221))</x:f>
        <x:v>1288.2545570116104</x:v>
      </x:c>
    </x:row>
    <x:row r="222">
      <x:c r="A222" s="53" t="n">
        <x:f>Subsurface_Live_Data!A220</x:f>
        <x:v>49</x:v>
      </x:c>
      <x:c r="B222" s="54" t="n">
        <x:f>Model_Data!P220</x:f>
        <x:v>-414.6833903003426</x:v>
      </x:c>
      <x:c r="C222" s="54" t="n">
        <x:f>ABS(B222)*Inputs!$C$13/2</x:f>
        <x:v>1036.7084757508565</x:v>
      </x:c>
      <x:c r="D222" s="54" t="n">
        <x:f>DEGREES(ASIN(MIN(1,C222/(Inputs!$C$11*1000))))</x:f>
        <x:v>15.02124090531434</x:v>
      </x:c>
      <x:c r="E222" s="54" t="n">
        <x:f>Model_Data!I220</x:f>
        <x:v>7.779113570233542</x:v>
      </x:c>
      <x:c r="F222" s="53" t="n">
        <x:f>Subsurface_Live_Data!F220</x:f>
        <x:v>1272.849076147672</x:v>
      </x:c>
      <x:c r="G222" s="53" t="n">
        <x:f>Subsurface_Live_Data!I220</x:f>
        <x:v>5010.61170265356</x:v>
      </x:c>
      <x:c r="H222" s="53" t="n">
        <x:f>Subsurface_Live_Data!K220</x:f>
        <x:v>14594.33019373929</x:v>
      </x:c>
      <x:c r="I222" s="54" t="n">
        <x:f>Subsurface_Live_Data!M220/COS(RADIANS(D222))</x:f>
        <x:v>15.649685032575656</x:v>
      </x:c>
      <x:c r="J222" s="54" t="n">
        <x:f>Subsurface_Live_Data!N220/COS(RADIANS(D222))</x:f>
        <x:v>61.60549309144366</x:v>
      </x:c>
      <x:c r="K222" s="54" t="n">
        <x:f>Subsurface_Live_Data!O220/COS(RADIANS(D222))</x:f>
        <x:v>179.43735441493217</x:v>
      </x:c>
      <x:c r="L222" s="53" t="n">
        <x:f>Inputs!$C$21*K222/(2*Inputs!$C$12*1000000)</x:f>
        <x:v>15110.664476704964</x:v>
      </x:c>
      <x:c r="M222" s="53" t="n">
        <x:f>L222*COS(RADIANS(D222))</x:f>
        <x:v>14594.330193739293</x:v>
      </x:c>
      <x:c r="N222" s="54" t="n">
        <x:f>L222-H222</x:f>
        <x:v>516.334282965674</x:v>
      </x:c>
      <x:c r="O222" s="55" t="n">
        <x:f>M222-H222</x:f>
        <x:v>3.637978807091713e-12</x:v>
      </x:c>
      <x:c r="P222" s="54" t="n">
        <x:f>N222-O222</x:f>
        <x:v>516.3342829656704</x:v>
      </x:c>
      <x:c r="Q222" s="53" t="n">
        <x:f>Inputs!$C$21*J222/(2*Inputs!$C$12*1000000)</x:f>
        <x:v>5187.882640501661</x:v>
      </x:c>
      <x:c r="R222" s="53" t="n">
        <x:f>Q222*COS(RADIANS(D222))</x:f>
        <x:v>5010.611702653559</x:v>
      </x:c>
      <x:c r="S222" s="53" t="n">
        <x:f>Inputs!$C$21*I222/(2*Inputs!$C$12*1000000)*COS(RADIANS(D222))</x:f>
        <x:v>1272.8490761476721</x:v>
      </x:c>
    </x:row>
    <x:row r="223">
      <x:c r="A223" s="53" t="n">
        <x:f>Subsurface_Live_Data!A221</x:f>
        <x:v>49.5</x:v>
      </x:c>
      <x:c r="B223" s="54" t="n">
        <x:f>Model_Data!P221</x:f>
        <x:v>-418.81740692178937</x:v>
      </x:c>
      <x:c r="C223" s="54" t="n">
        <x:f>ABS(B223)*Inputs!$C$13/2</x:f>
        <x:v>1047.0435173044734</x:v>
      </x:c>
      <x:c r="D223" s="54" t="n">
        <x:f>DEGREES(ASIN(MIN(1,C223/(Inputs!$C$11*1000))))</x:f>
        <x:v>15.174572181234904</x:v>
      </x:c>
      <x:c r="E223" s="54" t="n">
        <x:f>Model_Data!I221</x:f>
        <x:v>7.84032949187448</x:v>
      </x:c>
      <x:c r="F223" s="53" t="n">
        <x:f>Subsurface_Live_Data!F221</x:f>
        <x:v>1256.6164862562375</x:v>
      </x:c>
      <x:c r="G223" s="53" t="n">
        <x:f>Subsurface_Live_Data!I221</x:f>
        <x:v>4992.383725171678</x:v>
      </x:c>
      <x:c r="H223" s="53" t="n">
        <x:f>Subsurface_Live_Data!K221</x:f>
        <x:v>14591.31268234764</x:v>
      </x:c>
      <x:c r="I223" s="54" t="n">
        <x:f>Subsurface_Live_Data!M221/COS(RADIANS(D223))</x:f>
        <x:v>15.46126384463356</x:v>
      </x:c>
      <x:c r="J223" s="54" t="n">
        <x:f>Subsurface_Live_Data!N221/COS(RADIANS(D223))</x:f>
        <x:v>61.42571168909071</x:v>
      </x:c>
      <x:c r="K223" s="54" t="n">
        <x:f>Subsurface_Live_Data!O221/COS(RADIANS(D223))</x:f>
        <x:v>179.5298228924576</x:v>
      </x:c>
      <x:c r="L223" s="53" t="n">
        <x:f>Inputs!$C$21*K223/(2*Inputs!$C$12*1000000)</x:f>
        <x:v>15118.451373380485</x:v>
      </x:c>
      <x:c r="M223" s="53" t="n">
        <x:f>L223*COS(RADIANS(D223))</x:f>
        <x:v>14591.31268234764</x:v>
      </x:c>
      <x:c r="N223" s="54" t="n">
        <x:f>L223-H223</x:f>
        <x:v>527.1386910328456</x:v>
      </x:c>
      <x:c r="O223" s="55" t="n">
        <x:f>M223-H223</x:f>
        <x:v>0</x:v>
      </x:c>
      <x:c r="P223" s="54" t="n">
        <x:f>N223-O223</x:f>
        <x:v>527.1386910328456</x:v>
      </x:c>
      <x:c r="Q223" s="53" t="n">
        <x:f>Inputs!$C$21*J223/(2*Inputs!$C$12*1000000)</x:f>
        <x:v>5172.743003278606</x:v>
      </x:c>
      <x:c r="R223" s="53" t="n">
        <x:f>Q223*COS(RADIANS(D223))</x:f>
        <x:v>4992.383725171678</x:v>
      </x:c>
      <x:c r="S223" s="53" t="n">
        <x:f>Inputs!$C$21*I223/(2*Inputs!$C$12*1000000)*COS(RADIANS(D223))</x:f>
        <x:v>1256.6164862562375</x:v>
      </x:c>
    </x:row>
    <x:row r="224">
      <x:c r="A224" s="53" t="n">
        <x:f>Subsurface_Live_Data!A222</x:f>
        <x:v>50</x:v>
      </x:c>
      <x:c r="B224" s="54" t="n">
        <x:f>Model_Data!P222</x:f>
        <x:v>-422.9485513214968</x:v>
      </x:c>
      <x:c r="C224" s="54" t="n">
        <x:f>ABS(B224)*Inputs!$C$13/2</x:f>
        <x:v>1057.371378303742</x:v>
      </x:c>
      <x:c r="D224" s="54" t="n">
        <x:f>DEGREES(ASIN(MIN(1,C224/(Inputs!$C$11*1000))))</x:f>
        <x:v>15.327908180984782</x:v>
      </x:c>
      <x:c r="E224" s="54" t="n">
        <x:f>Model_Data!I222</x:f>
        <x:v>7.901627897264307</x:v>
      </x:c>
      <x:c r="F224" s="53" t="n">
        <x:f>Subsurface_Live_Data!F222</x:f>
        <x:v>1239.0176279041154</x:v>
      </x:c>
      <x:c r="G224" s="53" t="n">
        <x:f>Subsurface_Live_Data!I222</x:f>
        <x:v>4974.134770521343</x:v>
      </x:c>
      <x:c r="H224" s="53" t="n">
        <x:f>Subsurface_Live_Data!K222</x:f>
        <x:v>14589.816141882691</x:v>
      </x:c>
      <x:c r="I224" s="54" t="n">
        <x:f>Subsurface_Live_Data!M222/COS(RADIANS(D224))</x:f>
        <x:v>15.255857414653782</x:v>
      </x:c>
      <x:c r="J224" s="54" t="n">
        <x:f>Subsurface_Live_Data!N222/COS(RADIANS(D224))</x:f>
        <x:v>61.24585244901597</x:v>
      </x:c>
      <x:c r="K224" s="54" t="n">
        <x:f>Subsurface_Live_Data!O222/COS(RADIANS(D224))</x:f>
        <x:v>179.64244394414817</x:v>
      </x:c>
      <x:c r="L224" s="53" t="n">
        <x:f>Inputs!$C$21*K224/(2*Inputs!$C$12*1000000)</x:f>
        <x:v>15127.935345826796</x:v>
      </x:c>
      <x:c r="M224" s="53" t="n">
        <x:f>L224*COS(RADIANS(D224))</x:f>
        <x:v>14589.816141882691</x:v>
      </x:c>
      <x:c r="N224" s="54" t="n">
        <x:f>L224-H224</x:f>
        <x:v>538.1192039441048</x:v>
      </x:c>
      <x:c r="O224" s="55" t="n">
        <x:f>M224-H224</x:f>
        <x:v>0</x:v>
      </x:c>
      <x:c r="P224" s="54" t="n">
        <x:f>N224-O224</x:f>
        <x:v>538.1192039441048</x:v>
      </x:c>
      <x:c r="Q224" s="53" t="n">
        <x:f>Inputs!$C$21*J224/(2*Inputs!$C$12*1000000)</x:f>
        <x:v>5157.596811234781</x:v>
      </x:c>
      <x:c r="R224" s="53" t="n">
        <x:f>Q224*COS(RADIANS(D224))</x:f>
        <x:v>4974.134770521344</x:v>
      </x:c>
      <x:c r="S224" s="53" t="n">
        <x:f>Inputs!$C$21*I224/(2*Inputs!$C$12*1000000)*COS(RADIANS(D224))</x:f>
        <x:v>1239.0176279041157</x:v>
      </x:c>
    </x:row>
    <x:row r="225">
      <x:c r="A225" s="53" t="n">
        <x:f>Subsurface_Live_Data!A223</x:f>
        <x:v>50.5</x:v>
      </x:c>
      <x:c r="B225" s="54" t="n">
        <x:f>Model_Data!P223</x:f>
        <x:v>-427.0767991610228</x:v>
      </x:c>
      <x:c r="C225" s="54" t="n">
        <x:f>ABS(B225)*Inputs!$C$13/2</x:f>
        <x:v>1067.691997902557</x:v>
      </x:c>
      <x:c r="D225" s="54" t="n">
        <x:f>DEGREES(ASIN(MIN(1,C225/(Inputs!$C$11*1000))))</x:f>
        <x:v>15.48124910997298</x:v>
      </x:c>
      <x:c r="E225" s="54" t="n">
        <x:f>Model_Data!I223</x:f>
        <x:v>7.9630052297803156</x:v>
      </x:c>
      <x:c r="F225" s="53" t="n">
        <x:f>Subsurface_Live_Data!F223</x:f>
        <x:v>1221.4097059761266</x:v>
      </x:c>
      <x:c r="G225" s="53" t="n">
        <x:f>Subsurface_Live_Data!I223</x:f>
        <x:v>4955.908288024652</x:v>
      </x:c>
      <x:c r="H225" s="53" t="n">
        <x:f>Subsurface_Live_Data!K223</x:f>
        <x:v>14585.724440359641</x:v>
      </x:c>
      <x:c r="I225" s="54" t="n">
        <x:f>Subsurface_Live_Data!M223/COS(RADIANS(D225))</x:f>
        <x:v>15.050147441359167</x:v>
      </x:c>
      <x:c r="J225" s="54" t="n">
        <x:f>Subsurface_Live_Data!N223/COS(RADIANS(D225))</x:f>
        <x:v>61.066446480394006</x:v>
      </x:c>
      <x:c r="K225" s="54" t="n">
        <x:f>Subsurface_Live_Data!O223/COS(RADIANS(D225))</x:f>
        <x:v>179.7245447554509</x:v>
      </x:c>
      <x:c r="L225" s="53" t="n">
        <x:f>Inputs!$C$21*K225/(2*Inputs!$C$12*1000000)</x:f>
        <x:v>15134.84916718192</x:v>
      </x:c>
      <x:c r="M225" s="53" t="n">
        <x:f>L225*COS(RADIANS(D225))</x:f>
        <x:v>14585.72444035964</x:v>
      </x:c>
      <x:c r="N225" s="54" t="n">
        <x:f>L225-H225</x:f>
        <x:v>549.1247268222778</x:v>
      </x:c>
      <x:c r="O225" s="55" t="n">
        <x:f>M225-H225</x:f>
        <x:v>-1.8189894035458565e-12</x:v>
      </x:c>
      <x:c r="P225" s="54" t="n">
        <x:f>N225-O225</x:f>
        <x:v>549.1247268222796</x:v>
      </x:c>
      <x:c r="Q225" s="53" t="n">
        <x:f>Inputs!$C$21*J225/(2*Inputs!$C$12*1000000)</x:f>
        <x:v>5142.488789798531</x:v>
      </x:c>
      <x:c r="R225" s="53" t="n">
        <x:f>Q225*COS(RADIANS(D225))</x:f>
        <x:v>4955.908288024653</x:v>
      </x:c>
      <x:c r="S225" s="53" t="n">
        <x:f>Inputs!$C$21*I225/(2*Inputs!$C$12*1000000)*COS(RADIANS(D225))</x:f>
        <x:v>1221.4097059761268</x:v>
      </x:c>
    </x:row>
    <x:row r="226">
      <x:c r="A226" s="53" t="n">
        <x:f>Subsurface_Live_Data!A224</x:f>
        <x:v>51</x:v>
      </x:c>
      <x:c r="B226" s="54" t="n">
        <x:f>Model_Data!P224</x:f>
        <x:v>-431.2021262460803</x:v>
      </x:c>
      <x:c r="C226" s="54" t="n">
        <x:f>ABS(B226)*Inputs!$C$13/2</x:f>
        <x:v>1078.0053156152007</x:v>
      </x:c>
      <x:c r="D226" s="54" t="n">
        <x:f>DEGREES(ASIN(MIN(1,C226/(Inputs!$C$11*1000))))</x:f>
        <x:v>15.634595178978294</x:v>
      </x:c>
      <x:c r="E226" s="54" t="n">
        <x:f>Model_Data!I224</x:f>
        <x:v>8.024458026468219</x:v>
      </x:c>
      <x:c r="F226" s="53" t="n">
        <x:f>Subsurface_Live_Data!F224</x:f>
        <x:v>1202.2344218587634</x:v>
      </x:c>
      <x:c r="G226" s="53" t="n">
        <x:f>Subsurface_Live_Data!I224</x:f>
        <x:v>4937.746963445518</x:v>
      </x:c>
      <x:c r="H226" s="53" t="n">
        <x:f>Subsurface_Live_Data!K224</x:f>
        <x:v>14585.165789111039</x:v>
      </x:c>
      <x:c r="I226" s="54" t="n">
        <x:f>Subsurface_Live_Data!M224/COS(RADIANS(D226))</x:f>
        <x:v>14.824913170052282</x:v>
      </x:c>
      <x:c r="J226" s="54" t="n">
        <x:f>Subsurface_Live_Data!N224/COS(RADIANS(D226))</x:f>
        <x:v>60.88801706042714</x:v>
      </x:c>
      <x:c r="K226" s="54" t="n">
        <x:f>Subsurface_Live_Data!O224/COS(RADIANS(D226))</x:f>
        <x:v>179.851626657043</x:v>
      </x:c>
      <x:c r="L226" s="53" t="n">
        <x:f>Inputs!$C$21*K226/(2*Inputs!$C$12*1000000)</x:f>
        <x:v>15145.55090753181</x:v>
      </x:c>
      <x:c r="M226" s="53" t="n">
        <x:f>L226*COS(RADIANS(D226))</x:f>
        <x:v>14585.165789111039</x:v>
      </x:c>
      <x:c r="N226" s="54" t="n">
        <x:f>L226-H226</x:f>
        <x:v>560.3851184207706</x:v>
      </x:c>
      <x:c r="O226" s="55" t="n">
        <x:f>M226-H226</x:f>
        <x:v>0</x:v>
      </x:c>
      <x:c r="P226" s="54" t="n">
        <x:f>N226-O226</x:f>
        <x:v>560.3851184207706</x:v>
      </x:c>
      <x:c r="Q226" s="53" t="n">
        <x:f>Inputs!$C$21*J226/(2*Inputs!$C$12*1000000)</x:f>
        <x:v>5127.463004857131</x:v>
      </x:c>
      <x:c r="R226" s="53" t="n">
        <x:f>Q226*COS(RADIANS(D226))</x:f>
        <x:v>4937.746963445518</x:v>
      </x:c>
      <x:c r="S226" s="53" t="n">
        <x:f>Inputs!$C$21*I226/(2*Inputs!$C$12*1000000)*COS(RADIANS(D226))</x:f>
        <x:v>1202.234421858763</x:v>
      </x:c>
    </x:row>
    <x:row r="227">
      <x:c r="A227" s="53" t="n">
        <x:f>Subsurface_Live_Data!A225</x:f>
        <x:v>51.5</x:v>
      </x:c>
      <x:c r="B227" s="54" t="n">
        <x:f>Model_Data!P225</x:f>
        <x:v>-435.32450851025715</x:v>
      </x:c>
      <x:c r="C227" s="54" t="n">
        <x:f>ABS(B227)*Inputs!$C$13/2</x:f>
        <x:v>1088.3112712756429</x:v>
      </x:c>
      <x:c r="D227" s="54" t="n">
        <x:f>DEGREES(ASIN(MIN(1,C227/(Inputs!$C$11*1000))))</x:f>
        <x:v>15.78794660357033</x:v>
      </x:c>
      <x:c r="E227" s="54" t="n">
        <x:f>Model_Data!I225</x:f>
        <x:v>8.085982914919201</x:v>
      </x:c>
      <x:c r="F227" s="53" t="n">
        <x:f>Subsurface_Live_Data!F225</x:f>
        <x:v>1183.4655440782508</x:v>
      </x:c>
      <x:c r="G227" s="53" t="n">
        <x:f>Subsurface_Live_Data!I225</x:f>
        <x:v>4919.692544890799</x:v>
      </x:c>
      <x:c r="H227" s="53" t="n">
        <x:f>Subsurface_Live_Data!K225</x:f>
        <x:v>14581.93601801468</x:v>
      </x:c>
      <x:c r="I227" s="54" t="n">
        <x:f>Subsurface_Live_Data!M225/COS(RADIANS(D227))</x:f>
        <x:v>14.604463125083893</x:v>
      </x:c>
      <x:c r="J227" s="54" t="n">
        <x:f>Subsurface_Live_Data!N225/COS(RADIANS(D227))</x:f>
        <x:v>60.71107749450213</x:v>
      </x:c>
      <x:c r="K227" s="54" t="n">
        <x:f>Subsurface_Live_Data!O225/COS(RADIANS(D227))</x:f>
        <x:v>179.947230346528</x:v>
      </x:c>
      <x:c r="L227" s="53" t="n">
        <x:f>Inputs!$C$21*K227/(2*Inputs!$C$12*1000000)</x:f>
        <x:v>15153.60182468478</x:v>
      </x:c>
      <x:c r="M227" s="53" t="n">
        <x:f>L227*COS(RADIANS(D227))</x:f>
        <x:v>14581.93601801468</x:v>
      </x:c>
      <x:c r="N227" s="54" t="n">
        <x:f>L227-H227</x:f>
        <x:v>571.6658066701002</x:v>
      </x:c>
      <x:c r="O227" s="55" t="n">
        <x:f>M227-H227</x:f>
        <x:v>0</x:v>
      </x:c>
      <x:c r="P227" s="54" t="n">
        <x:f>N227-O227</x:f>
        <x:v>571.6658066701002</x:v>
      </x:c>
      <x:c r="Q227" s="53" t="n">
        <x:f>Inputs!$C$21*J227/(2*Inputs!$C$12*1000000)</x:f>
        <x:v>5112.562682557661</x:v>
      </x:c>
      <x:c r="R227" s="53" t="n">
        <x:f>Q227*COS(RADIANS(D227))</x:f>
        <x:v>4919.692544890799</x:v>
      </x:c>
      <x:c r="S227" s="53" t="n">
        <x:f>Inputs!$C$21*I227/(2*Inputs!$C$12*1000000)*COS(RADIANS(D227))</x:f>
        <x:v>1183.4655440782508</x:v>
      </x:c>
    </x:row>
    <x:row r="228">
      <x:c r="A228" s="53" t="n">
        <x:f>Subsurface_Live_Data!A226</x:f>
        <x:v>52</x:v>
      </x:c>
      <x:c r="B228" s="54" t="n">
        <x:f>Model_Data!P226</x:f>
        <x:v>-439.4439220161985</x:v>
      </x:c>
      <x:c r="C228" s="54" t="n">
        <x:f>ABS(B228)*Inputs!$C$13/2</x:f>
        <x:v>1098.6098050404962</x:v>
      </x:c>
      <x:c r="D228" s="54" t="n">
        <x:f>DEGREES(ASIN(MIN(1,C228/(Inputs!$C$11*1000))))</x:f>
        <x:v>15.941303604178813</x:v>
      </x:c>
      <x:c r="E228" s="54" t="n">
        <x:f>Model_Data!I226</x:f>
        <x:v>8.147576610261819</x:v>
      </x:c>
      <x:c r="F228" s="53" t="n">
        <x:f>Subsurface_Live_Data!F226</x:f>
        <x:v>1163.81486000083</x:v>
      </x:c>
      <x:c r="G228" s="53" t="n">
        <x:f>Subsurface_Live_Data!I226</x:f>
        <x:v>4901.785700254288</x:v>
      </x:c>
      <x:c r="H228" s="53" t="n">
        <x:f>Subsurface_Live_Data!K226</x:f>
        <x:v>14581.267028886516</x:v>
      </x:c>
      <x:c r="I228" s="54" t="n">
        <x:f>Subsurface_Live_Data!M226/COS(RADIANS(D228))</x:f>
        <x:v>14.372894128587951</x:v>
      </x:c>
      <x:c r="J228" s="54" t="n">
        <x:f>Subsurface_Live_Data!N226/COS(RADIANS(D228))</x:f>
        <x:v>60.53612935542942</x:v>
      </x:c>
      <x:c r="K228" s="54" t="n">
        <x:f>Subsurface_Live_Data!O226/COS(RADIANS(D228))</x:f>
        <x:v>180.07589907101425</x:v>
      </x:c>
      <x:c r="L228" s="53" t="n">
        <x:f>Inputs!$C$21*K228/(2*Inputs!$C$12*1000000)</x:f>
        <x:v>15164.437193555978</x:v>
      </x:c>
      <x:c r="M228" s="53" t="n">
        <x:f>L228*COS(RADIANS(D228))</x:f>
        <x:v>14581.267028886516</x:v>
      </x:c>
      <x:c r="N228" s="54" t="n">
        <x:f>L228-H228</x:f>
        <x:v>583.1701646694619</x:v>
      </x:c>
      <x:c r="O228" s="55" t="n">
        <x:f>M228-H228</x:f>
        <x:v>0</x:v>
      </x:c>
      <x:c r="P228" s="54" t="n">
        <x:f>N228-O228</x:f>
        <x:v>583.1701646694619</x:v>
      </x:c>
      <x:c r="Q228" s="53" t="n">
        <x:f>Inputs!$C$21*J228/(2*Inputs!$C$12*1000000)</x:f>
        <x:v>5097.830061030939</x:v>
      </x:c>
      <x:c r="R228" s="53" t="n">
        <x:f>Q228*COS(RADIANS(D228))</x:f>
        <x:v>4901.785700254289</x:v>
      </x:c>
      <x:c r="S228" s="53" t="n">
        <x:f>Inputs!$C$21*I228/(2*Inputs!$C$12*1000000)*COS(RADIANS(D228))</x:f>
        <x:v>1163.8148600008303</x:v>
      </x:c>
    </x:row>
    <x:row r="229">
      <x:c r="A229" s="53" t="n">
        <x:f>Subsurface_Live_Data!A227</x:f>
        <x:v>52.5</x:v>
      </x:c>
      <x:c r="B229" s="54" t="n">
        <x:f>Model_Data!P227</x:f>
        <x:v>-443.56034297125007</x:v>
      </x:c>
      <x:c r="C229" s="54" t="n">
        <x:f>ABS(B229)*Inputs!$C$13/2</x:f>
        <x:v>1108.9008574281252</x:v>
      </x:c>
      <x:c r="D229" s="54" t="n">
        <x:f>DEGREES(ASIN(MIN(1,C229/(Inputs!$C$11*1000))))</x:f>
        <x:v>16.09466640670267</x:v>
      </x:c>
      <x:c r="E229" s="54" t="n">
        <x:f>Model_Data!I227</x:f>
        <x:v>8.2092359122646</x:v>
      </x:c>
      <x:c r="F229" s="53" t="n">
        <x:f>Subsurface_Live_Data!F227</x:f>
        <x:v>1143.6951084622933</x:v>
      </x:c>
      <x:c r="G229" s="53" t="n">
        <x:f>Subsurface_Live_Data!I227</x:f>
        <x:v>4884.065903802221</x:v>
      </x:c>
      <x:c r="H229" s="53" t="n">
        <x:f>Subsurface_Live_Data!K227</x:f>
        <x:v>14582.445512559116</x:v>
      </x:c>
      <x:c r="I229" s="54" t="n">
        <x:f>Subsurface_Live_Data!M227/COS(RADIANS(D229))</x:f>
        <x:v>14.135276889939652</x:v>
      </x:c>
      <x:c r="J229" s="54" t="n">
        <x:f>Subsurface_Live_Data!N227/COS(RADIANS(D229))</x:f>
        <x:v>60.36366107377986</x:v>
      </x:c>
      <x:c r="K229" s="54" t="n">
        <x:f>Subsurface_Live_Data!O227/COS(RADIANS(D229))</x:f>
        <x:v>180.22889450810038</x:v>
      </x:c>
      <x:c r="L229" s="53" t="n">
        <x:f>Inputs!$C$21*K229/(2*Inputs!$C$12*1000000)</x:f>
        <x:v>15177.321148091605</x:v>
      </x:c>
      <x:c r="M229" s="53" t="n">
        <x:f>L229*COS(RADIANS(D229))</x:f>
        <x:v>14582.445512559116</x:v>
      </x:c>
      <x:c r="N229" s="54" t="n">
        <x:f>L229-H229</x:f>
        <x:v>594.8756355324895</x:v>
      </x:c>
      <x:c r="O229" s="55" t="n">
        <x:f>M229-H229</x:f>
        <x:v>0</x:v>
      </x:c>
      <x:c r="P229" s="54" t="n">
        <x:f>N229-O229</x:f>
        <x:v>594.8756355324895</x:v>
      </x:c>
      <x:c r="Q229" s="53" t="n">
        <x:f>Inputs!$C$21*J229/(2*Inputs!$C$12*1000000)</x:f>
        <x:v>5083.306271681849</x:v>
      </x:c>
      <x:c r="R229" s="53" t="n">
        <x:f>Q229*COS(RADIANS(D229))</x:f>
        <x:v>4884.06590380222</x:v>
      </x:c>
      <x:c r="S229" s="53" t="n">
        <x:f>Inputs!$C$21*I229/(2*Inputs!$C$12*1000000)*COS(RADIANS(D229))</x:f>
        <x:v>1143.6951084622933</x:v>
      </x:c>
    </x:row>
    <x:row r="230">
      <x:c r="A230" s="53" t="n">
        <x:f>Subsurface_Live_Data!A228</x:f>
        <x:v>53</x:v>
      </x:c>
      <x:c r="B230" s="54" t="n">
        <x:f>Model_Data!P228</x:f>
        <x:v>-447.67374769307935</x:v>
      </x:c>
      <x:c r="C230" s="54" t="n">
        <x:f>ABS(B230)*Inputs!$C$13/2</x:f>
        <x:v>1119.1843692326984</x:v>
      </x:c>
      <x:c r="D230" s="54" t="n">
        <x:f>DEGREES(ASIN(MIN(1,C230/(Inputs!$C$11*1000))))</x:f>
        <x:v>16.248035241256673</x:v>
      </x:c>
      <x:c r="E230" s="54" t="n">
        <x:f>Model_Data!I228</x:f>
        <x:v>8.27095770254524</x:v>
      </x:c>
      <x:c r="F230" s="53" t="n">
        <x:f>Subsurface_Live_Data!F228</x:f>
        <x:v>1124.6310718230975</x:v>
      </x:c>
      <x:c r="G230" s="53" t="n">
        <x:f>Subsurface_Live_Data!I228</x:f>
        <x:v>4866.571349150891</x:v>
      </x:c>
      <x:c r="H230" s="53" t="n">
        <x:f>Subsurface_Live_Data!K228</x:f>
        <x:v>14580.862995264828</x:v>
      </x:c>
      <x:c r="I230" s="54" t="n">
        <x:f>Subsurface_Live_Data!M228/COS(RADIANS(D230))</x:f>
        <x:v>13.910452149635265</x:v>
      </x:c>
      <x:c r="J230" s="54" t="n">
        <x:f>Subsurface_Live_Data!N228/COS(RADIANS(D230))</x:f>
        <x:v>60.1941468462272</x:v>
      </x:c>
      <x:c r="K230" s="54" t="n">
        <x:f>Subsurface_Live_Data!O228/COS(RADIANS(D230))</x:f>
        <x:v>180.34927371091092</x:v>
      </x:c>
      <x:c r="L230" s="53" t="n">
        <x:f>Inputs!$C$21*K230/(2*Inputs!$C$12*1000000)</x:f>
        <x:v>15187.458445030554</x:v>
      </x:c>
      <x:c r="M230" s="53" t="n">
        <x:f>L230*COS(RADIANS(D230))</x:f>
        <x:v>14580.86299526483</x:v>
      </x:c>
      <x:c r="N230" s="54" t="n">
        <x:f>L230-H230</x:f>
        <x:v>606.5954497657258</x:v>
      </x:c>
      <x:c r="O230" s="55" t="n">
        <x:f>M230-H230</x:f>
        <x:v>1.8189894035458565e-12</x:v>
      </x:c>
      <x:c r="P230" s="54" t="n">
        <x:f>N230-O230</x:f>
        <x:v>606.595449765724</x:v>
      </x:c>
      <x:c r="Q230" s="53" t="n">
        <x:f>Inputs!$C$21*J230/(2*Inputs!$C$12*1000000)</x:f>
        <x:v>5069.031247259382</x:v>
      </x:c>
      <x:c r="R230" s="53" t="n">
        <x:f>Q230*COS(RADIANS(D230))</x:f>
        <x:v>4866.571349150892</x:v>
      </x:c>
      <x:c r="S230" s="53" t="n">
        <x:f>Inputs!$C$21*I230/(2*Inputs!$C$12*1000000)*COS(RADIANS(D230))</x:f>
        <x:v>1124.6310718230975</x:v>
      </x:c>
    </x:row>
    <x:row r="231">
      <x:c r="A231" s="53" t="n">
        <x:f>Subsurface_Live_Data!A229</x:f>
        <x:v>53.5</x:v>
      </x:c>
      <x:c r="B231" s="54" t="n">
        <x:f>Model_Data!P229</x:f>
        <x:v>-451.7841126563326</x:v>
      </x:c>
      <x:c r="C231" s="54" t="n">
        <x:f>ABS(B231)*Inputs!$C$13/2</x:f>
        <x:v>1129.4602816408315</x:v>
      </x:c>
      <x:c r="D231" s="54" t="n">
        <x:f>DEGREES(ASIN(MIN(1,C231/(Inputs!$C$11*1000))))</x:f>
        <x:v>16.401410343937687</x:v>
      </x:c>
      <x:c r="E231" s="54" t="n">
        <x:f>Model_Data!I229</x:f>
        <x:v>8.33273894188251</x:v>
      </x:c>
      <x:c r="F231" s="53" t="n">
        <x:f>Subsurface_Live_Data!F229</x:f>
        <x:v>1105.0638747666947</x:v>
      </x:c>
      <x:c r="G231" s="53" t="n">
        <x:f>Subsurface_Live_Data!I229</x:f>
        <x:v>4849.338885672342</x:v>
      </x:c>
      <x:c r="H231" s="53" t="n">
        <x:f>Subsurface_Live_Data!K229</x:f>
        <x:v>14582.689740911543</x:v>
      </x:c>
      <x:c r="I231" s="54" t="n">
        <x:f>Subsurface_Live_Data!M229/COS(RADIANS(D231))</x:f>
        <x:v>13.679148123385641</x:v>
      </x:c>
      <x:c r="J231" s="54" t="n">
        <x:f>Subsurface_Live_Data!N229/COS(RADIANS(D231))</x:f>
        <x:v>60.028045828220286</x:v>
      </x:c>
      <x:c r="K231" s="54" t="n">
        <x:f>Subsurface_Live_Data!O229/COS(RADIANS(D231))</x:f>
        <x:v>180.51334186036974</x:v>
      </x:c>
      <x:c r="L231" s="53" t="n">
        <x:f>Inputs!$C$21*K231/(2*Inputs!$C$12*1000000)</x:f>
        <x:v>15201.274847784982</x:v>
      </x:c>
      <x:c r="M231" s="53" t="n">
        <x:f>L231*COS(RADIANS(D231))</x:f>
        <x:v>14582.689740911545</x:v>
      </x:c>
      <x:c r="N231" s="54" t="n">
        <x:f>L231-H231</x:f>
        <x:v>618.5851068734391</x:v>
      </x:c>
      <x:c r="O231" s="55" t="n">
        <x:f>M231-H231</x:f>
        <x:v>1.8189894035458565e-12</x:v>
      </x:c>
      <x:c r="P231" s="54" t="n">
        <x:f>N231-O231</x:f>
        <x:v>618.5851068734373</x:v>
      </x:c>
      <x:c r="Q231" s="53" t="n">
        <x:f>Inputs!$C$21*J231/(2*Inputs!$C$12*1000000)</x:f>
        <x:v>5055.043653870451</x:v>
      </x:c>
      <x:c r="R231" s="53" t="n">
        <x:f>Q231*COS(RADIANS(D231))</x:f>
        <x:v>4849.338885672342</x:v>
      </x:c>
      <x:c r="S231" s="53" t="n">
        <x:f>Inputs!$C$21*I231/(2*Inputs!$C$12*1000000)*COS(RADIANS(D231))</x:f>
        <x:v>1105.0638747666949</x:v>
      </x:c>
    </x:row>
    <x:row r="232">
      <x:c r="A232" s="53" t="n">
        <x:f>Subsurface_Live_Data!A230</x:f>
        <x:v>54</x:v>
      </x:c>
      <x:c r="B232" s="54" t="n">
        <x:f>Model_Data!P230</x:f>
        <x:v>-455.89141447326256</x:v>
      </x:c>
      <x:c r="C232" s="54" t="n">
        <x:f>ABS(B232)*Inputs!$C$13/2</x:f>
        <x:v>1139.7285361831564</x:v>
      </x:c>
      <x:c r="D232" s="54" t="n">
        <x:f>DEGREES(ASIN(MIN(1,C232/(Inputs!$C$11*1000))))</x:f>
        <x:v>16.554791956133073</x:v>
      </x:c>
      <x:c r="E232" s="54" t="n">
        <x:f>Model_Data!I230</x:f>
        <x:v>8.394576667627003</x:v>
      </x:c>
      <x:c r="F232" s="53" t="n">
        <x:f>Subsurface_Live_Data!F230</x:f>
        <x:v>1086.1970090879154</x:v>
      </x:c>
      <x:c r="G232" s="53" t="n">
        <x:f>Subsurface_Live_Data!I230</x:f>
        <x:v>4832.403975269064</x:v>
      </x:c>
      <x:c r="H232" s="53" t="n">
        <x:f>Subsurface_Live_Data!K230</x:f>
        <x:v>14584.402882438928</x:v>
      </x:c>
      <x:c r="I232" s="54" t="n">
        <x:f>Subsurface_Live_Data!M230/COS(RADIANS(D232))</x:f>
        <x:v>13.456253853745864</x:v>
      </x:c>
      <x:c r="J232" s="54" t="n">
        <x:f>Subsurface_Live_Data!N230/COS(RADIANS(D232))</x:f>
        <x:v>59.865801572841605</x:v>
      </x:c>
      <x:c r="K232" s="54" t="n">
        <x:f>Subsurface_Live_Data!O230/COS(RADIANS(D232))</x:f>
        <x:v>180.67756203471254</x:v>
      </x:c>
      <x:c r="L232" s="53" t="n">
        <x:f>Inputs!$C$21*K232/(2*Inputs!$C$12*1000000)</x:f>
        <x:v>15215.104052762346</x:v>
      </x:c>
      <x:c r="M232" s="53" t="n">
        <x:f>L232*COS(RADIANS(D232))</x:f>
        <x:v>14584.402882438926</x:v>
      </x:c>
      <x:c r="N232" s="54" t="n">
        <x:f>L232-H232</x:f>
        <x:v>630.7011703234184</x:v>
      </x:c>
      <x:c r="O232" s="55" t="n">
        <x:f>M232-H232</x:f>
        <x:v>-1.8189894035458565e-12</x:v>
      </x:c>
      <x:c r="P232" s="54" t="n">
        <x:f>N232-O232</x:f>
        <x:v>630.7011703234202</x:v>
      </x:c>
      <x:c r="Q232" s="53" t="n">
        <x:f>Inputs!$C$21*J232/(2*Inputs!$C$12*1000000)</x:f>
        <x:v>5041.380843725407</x:v>
      </x:c>
      <x:c r="R232" s="53" t="n">
        <x:f>Q232*COS(RADIANS(D232))</x:f>
        <x:v>4832.403975269064</x:v>
      </x:c>
      <x:c r="S232" s="53" t="n">
        <x:f>Inputs!$C$21*I232/(2*Inputs!$C$12*1000000)*COS(RADIANS(D232))</x:f>
        <x:v>1086.1970090879156</x:v>
      </x:c>
    </x:row>
    <x:row r="233">
      <x:c r="A233" s="53" t="n">
        <x:f>Subsurface_Live_Data!A231</x:f>
        <x:v>54.5</x:v>
      </x:c>
      <x:c r="B233" s="54" t="n">
        <x:f>Model_Data!P231</x:f>
        <x:v>-459.9956298745383</x:v>
      </x:c>
      <x:c r="C233" s="54" t="n">
        <x:f>ABS(B233)*Inputs!$C$13/2</x:f>
        <x:v>1149.9890746863457</x:v>
      </x:c>
      <x:c r="D233" s="54" t="n">
        <x:f>DEGREES(ASIN(MIN(1,C233/(Inputs!$C$11*1000))))</x:f>
        <x:v>16.70818032383313</x:v>
      </x:c>
      <x:c r="E233" s="54" t="n">
        <x:f>Model_Data!I231</x:f>
        <x:v>8.45646799120709</x:v>
      </x:c>
      <x:c r="F233" s="53" t="n">
        <x:f>Subsurface_Live_Data!F231</x:f>
        <x:v>1067.8935602052718</x:v>
      </x:c>
      <x:c r="G233" s="53" t="n">
        <x:f>Subsurface_Live_Data!I231</x:f>
        <x:v>4815.800666467486</x:v>
      </x:c>
      <x:c r="H233" s="53" t="n">
        <x:f>Subsurface_Live_Data!K231</x:f>
        <x:v>14587.135802631929</x:v>
      </x:c>
      <x:c r="I233" s="54" t="n">
        <x:f>Subsurface_Live_Data!M231/COS(RADIANS(D233))</x:f>
        <x:v>13.24008696369699</x:v>
      </x:c>
      <x:c r="J233" s="54" t="n">
        <x:f>Subsurface_Live_Data!N231/COS(RADIANS(D233))</x:f>
        <x:v>59.70784168002951</x:v>
      </x:c>
      <x:c r="K233" s="54" t="n">
        <x:f>Subsurface_Live_Data!O231/COS(RADIANS(D233))</x:f>
        <x:v>180.8559895622743</x:v>
      </x:c>
      <x:c r="L233" s="53" t="n">
        <x:f>Inputs!$C$21*K233/(2*Inputs!$C$12*1000000)</x:f>
        <x:v>15230.12967834173</x:v>
      </x:c>
      <x:c r="M233" s="53" t="n">
        <x:f>L233*COS(RADIANS(D233))</x:f>
        <x:v>14587.135802631927</x:v>
      </x:c>
      <x:c r="N233" s="54" t="n">
        <x:f>L233-H233</x:f>
        <x:v>642.9938757098007</x:v>
      </x:c>
      <x:c r="O233" s="55" t="n">
        <x:f>M233-H233</x:f>
        <x:v>-1.8189894035458565e-12</x:v>
      </x:c>
      <x:c r="P233" s="54" t="n">
        <x:f>N233-O233</x:f>
        <x:v>642.9938757098025</x:v>
      </x:c>
      <x:c r="Q233" s="53" t="n">
        <x:f>Inputs!$C$21*J233/(2*Inputs!$C$12*1000000)</x:f>
        <x:v>5028.078825598567</x:v>
      </x:c>
      <x:c r="R233" s="53" t="n">
        <x:f>Q233*COS(RADIANS(D233))</x:f>
        <x:v>4815.800666467487</x:v>
      </x:c>
      <x:c r="S233" s="53" t="n">
        <x:f>Inputs!$C$21*I233/(2*Inputs!$C$12*1000000)*COS(RADIANS(D233))</x:f>
        <x:v>1067.8935602052718</x:v>
      </x:c>
    </x:row>
    <x:row r="234">
      <x:c r="A234" s="53" t="n">
        <x:f>Subsurface_Live_Data!A232</x:f>
        <x:v>55</x:v>
      </x:c>
      <x:c r="B234" s="54" t="n">
        <x:f>Model_Data!P232</x:f>
        <x:v>-464.0967357390764</x:v>
      </x:c>
      <x:c r="C234" s="54" t="n">
        <x:f>ABS(B234)*Inputs!$C$13/2</x:f>
        <x:v>1160.241839347691</x:v>
      </x:c>
      <x:c r="D234" s="54" t="n">
        <x:f>DEGREES(ASIN(MIN(1,C234/(Inputs!$C$11*1000))))</x:f>
        <x:v>16.861575698775148</x:v>
      </x:c>
      <x:c r="E234" s="54" t="n">
        <x:f>Model_Data!I232</x:f>
        <x:v>8.518410095726479</x:v>
      </x:c>
      <x:c r="F234" s="53" t="n">
        <x:f>Subsurface_Live_Data!F232</x:f>
        <x:v>1051.219654363295</x:v>
      </x:c>
      <x:c r="G234" s="53" t="n">
        <x:f>Subsurface_Live_Data!I232</x:f>
        <x:v>4799.561582875675</x:v>
      </x:c>
      <x:c r="H234" s="53" t="n">
        <x:f>Subsurface_Live_Data!K232</x:f>
        <x:v>14587.76637498493</x:v>
      </x:c>
      <x:c r="I234" s="54" t="n">
        <x:f>Subsurface_Live_Data!M232/COS(RADIANS(D234))</x:f>
        <x:v>13.043887743010185</x:v>
      </x:c>
      <x:c r="J234" s="54" t="n">
        <x:f>Subsurface_Live_Data!N232/COS(RADIANS(D234))</x:f>
        <x:v>59.55457762118544</x:v>
      </x:c>
      <x:c r="K234" s="54" t="n">
        <x:f>Subsurface_Live_Data!O232/COS(RADIANS(D234))</x:f>
        <x:v>181.00992140582832</x:v>
      </x:c>
      <x:c r="L234" s="53" t="n">
        <x:f>Inputs!$C$21*K234/(2*Inputs!$C$12*1000000)</x:f>
        <x:v>15243.092488943847</x:v>
      </x:c>
      <x:c r="M234" s="53" t="n">
        <x:f>L234*COS(RADIANS(D234))</x:f>
        <x:v>14587.766374984933</x:v>
      </x:c>
      <x:c r="N234" s="54" t="n">
        <x:f>L234-H234</x:f>
        <x:v>655.3261139589158</x:v>
      </x:c>
      <x:c r="O234" s="55" t="n">
        <x:f>M234-H234</x:f>
        <x:v>1.8189894035458565e-12</x:v>
      </x:c>
      <x:c r="P234" s="54" t="n">
        <x:f>N234-O234</x:f>
        <x:v>655.326113958914</x:v>
      </x:c>
      <x:c r="Q234" s="53" t="n">
        <x:f>Inputs!$C$21*J234/(2*Inputs!$C$12*1000000)</x:f>
        <x:v>5015.172250058139</x:v>
      </x:c>
      <x:c r="R234" s="53" t="n">
        <x:f>Q234*COS(RADIANS(D234))</x:f>
        <x:v>4799.561582875675</x:v>
      </x:c>
      <x:c r="S234" s="53" t="n">
        <x:f>Inputs!$C$21*I234/(2*Inputs!$C$12*1000000)*COS(RADIANS(D234))</x:f>
        <x:v>1051.2196543632951</x:v>
      </x:c>
    </x:row>
    <x:row r="235">
      <x:c r="A235" s="53" t="n">
        <x:f>Subsurface_Live_Data!A233</x:f>
        <x:v>55.5</x:v>
      </x:c>
      <x:c r="B235" s="54" t="n">
        <x:f>Model_Data!P233</x:f>
        <x:v>-468.1947090801259</x:v>
      </x:c>
      <x:c r="C235" s="54" t="n">
        <x:f>ABS(B235)*Inputs!$C$13/2</x:f>
        <x:v>1170.4867727003148</x:v>
      </x:c>
      <x:c r="D235" s="54" t="n">
        <x:f>DEGREES(ASIN(MIN(1,C235/(Inputs!$C$11*1000))))</x:f>
        <x:v>17.014978337955196</x:v>
      </x:c>
      <x:c r="E235" s="54" t="n">
        <x:f>Model_Data!I233</x:f>
        <x:v>8.580400233649934</x:v>
      </x:c>
      <x:c r="F235" s="53" t="n">
        <x:f>Subsurface_Live_Data!F233</x:f>
        <x:v>1034.9652799163214</x:v>
      </x:c>
      <x:c r="G235" s="53" t="n">
        <x:f>Subsurface_Live_Data!I233</x:f>
        <x:v>4783.717923215783</x:v>
      </x:c>
      <x:c r="H235" s="53" t="n">
        <x:f>Subsurface_Live_Data!K233</x:f>
        <x:v>14591.085193045687</x:v>
      </x:c>
      <x:c r="I235" s="54" t="n">
        <x:f>Subsurface_Live_Data!M233/COS(RADIANS(D235))</x:f>
        <x:v>12.852673853391067</x:v>
      </x:c>
      <x:c r="J235" s="54" t="n">
        <x:f>Subsurface_Live_Data!N233/COS(RADIANS(D235))</x:f>
        <x:v>59.40640470440204</x:v>
      </x:c>
      <x:c r="K235" s="54" t="n">
        <x:f>Subsurface_Live_Data!O233/COS(RADIANS(D235))</x:f>
        <x:v>181.19879264782907</x:v>
      </x:c>
      <x:c r="L235" s="53" t="n">
        <x:f>Inputs!$C$21*K235/(2*Inputs!$C$12*1000000)</x:f>
        <x:v>15258.997593967697</x:v>
      </x:c>
      <x:c r="M235" s="53" t="n">
        <x:f>L235*COS(RADIANS(D235))</x:f>
        <x:v>14591.085193045687</x:v>
      </x:c>
      <x:c r="N235" s="54" t="n">
        <x:f>L235-H235</x:f>
        <x:v>667.9124009220104</x:v>
      </x:c>
      <x:c r="O235" s="55" t="n">
        <x:f>M235-H235</x:f>
        <x:v>0</x:v>
      </x:c>
      <x:c r="P235" s="54" t="n">
        <x:f>N235-O235</x:f>
        <x:v>667.9124009220104</x:v>
      </x:c>
      <x:c r="Q235" s="53" t="n">
        <x:f>Inputs!$C$21*J235/(2*Inputs!$C$12*1000000)</x:f>
        <x:v>5002.6944065380485</x:v>
      </x:c>
      <x:c r="R235" s="53" t="n">
        <x:f>Q235*COS(RADIANS(D235))</x:f>
        <x:v>4783.717923215784</x:v>
      </x:c>
      <x:c r="S235" s="53" t="n">
        <x:f>Inputs!$C$21*I235/(2*Inputs!$C$12*1000000)*COS(RADIANS(D235))</x:f>
        <x:v>1034.9652799163214</x:v>
      </x:c>
    </x:row>
    <x:row r="236">
      <x:c r="A236" s="53" t="n">
        <x:f>Subsurface_Live_Data!A234</x:f>
        <x:v>56</x:v>
      </x:c>
      <x:c r="B236" s="54" t="n">
        <x:f>Model_Data!P234</x:f>
        <x:v>-472.2895270569097</x:v>
      </x:c>
      <x:c r="C236" s="54" t="n">
        <x:f>ABS(B236)*Inputs!$C$13/2</x:f>
        <x:v>1180.7238176422743</x:v>
      </x:c>
      <x:c r="D236" s="54" t="n">
        <x:f>DEGREES(ASIN(MIN(1,C236/(Inputs!$C$11*1000))))</x:f>
        <x:v>17.168388504096026</x:v>
      </x:c>
      <x:c r="E236" s="54" t="n">
        <x:f>Model_Data!I234</x:f>
        <x:v>8.642435724573849</x:v>
      </x:c>
      <x:c r="F236" s="53" t="n">
        <x:f>Subsurface_Live_Data!F234</x:f>
        <x:v>1020.4049971928703</x:v>
      </x:c>
      <x:c r="G236" s="53" t="n">
        <x:f>Subsurface_Live_Data!I234</x:f>
        <x:v>4768.299470359376</x:v>
      </x:c>
      <x:c r="H236" s="53" t="n">
        <x:f>Subsurface_Live_Data!K234</x:f>
        <x:v>14593.125138126077</x:v>
      </x:c>
      <x:c r="I236" s="54" t="n">
        <x:f>Subsurface_Live_Data!M234/COS(RADIANS(D236))</x:f>
        <x:v>12.682294432608174</x:v>
      </x:c>
      <x:c r="J236" s="54" t="n">
        <x:f>Subsurface_Live_Data!N234/COS(RADIANS(D236))</x:f>
        <x:v>59.26370214993863</x:v>
      </x:c>
      <x:c r="K236" s="54" t="n">
        <x:f>Subsurface_Live_Data!O234/COS(RADIANS(D236))</x:f>
        <x:v>181.3733862561918</x:v>
      </x:c>
      <x:c r="L236" s="53" t="n">
        <x:f>Inputs!$C$21*K236/(2*Inputs!$C$12*1000000)</x:f>
        <x:v>15273.700359979537</x:v>
      </x:c>
      <x:c r="M236" s="53" t="n">
        <x:f>L236*COS(RADIANS(D236))</x:f>
        <x:v>14593.125138126077</x:v>
      </x:c>
      <x:c r="N236" s="54" t="n">
        <x:f>L236-H236</x:f>
        <x:v>680.5752218534599</x:v>
      </x:c>
      <x:c r="O236" s="55" t="n">
        <x:f>M236-H236</x:f>
        <x:v>0</x:v>
      </x:c>
      <x:c r="P236" s="54" t="n">
        <x:f>N236-O236</x:f>
        <x:v>680.5752218534599</x:v>
      </x:c>
      <x:c r="Q236" s="53" t="n">
        <x:f>Inputs!$C$21*J236/(2*Inputs!$C$12*1000000)</x:f>
        <x:v>4990.677229693817</x:v>
      </x:c>
      <x:c r="R236" s="53" t="n">
        <x:f>Q236*COS(RADIANS(D236))</x:f>
        <x:v>4768.299470359377</x:v>
      </x:c>
      <x:c r="S236" s="53" t="n">
        <x:f>Inputs!$C$21*I236/(2*Inputs!$C$12*1000000)*COS(RADIANS(D236))</x:f>
        <x:v>1020.4049971928702</x:v>
      </x:c>
    </x:row>
    <x:row r="237">
      <x:c r="A237" s="53" t="n">
        <x:f>Subsurface_Live_Data!A235</x:f>
        <x:v>56.5</x:v>
      </x:c>
      <x:c r="B237" s="54" t="n">
        <x:f>Model_Data!P235</x:f>
        <x:v>-476.38116695534336</x:v>
      </x:c>
      <x:c r="C237" s="54" t="n">
        <x:f>ABS(B237)*Inputs!$C$13/2</x:f>
        <x:v>1190.9529173883584</x:v>
      </x:c>
      <x:c r="D237" s="54" t="n">
        <x:f>DEGREES(ASIN(MIN(1,C237/(Inputs!$C$11*1000))))</x:f>
        <x:v>17.321806464957866</x:v>
      </x:c>
      <x:c r="E237" s="54" t="n">
        <x:f>Model_Data!I235</x:f>
        <x:v>8.704513953078392</x:v>
      </x:c>
      <x:c r="F237" s="53" t="n">
        <x:f>Subsurface_Live_Data!F235</x:f>
        <x:v>1007.2107050698629</x:v>
      </x:c>
      <x:c r="G237" s="53" t="n">
        <x:f>Subsurface_Live_Data!I235</x:f>
        <x:v>4753.334607048062</x:v>
      </x:c>
      <x:c r="H237" s="53" t="n">
        <x:f>Subsurface_Live_Data!K235</x:f>
        <x:v>14595.45983017993</x:v>
      </x:c>
      <x:c r="I237" s="54" t="n">
        <x:f>Subsurface_Live_Data!M235/COS(RADIANS(D237))</x:f>
        <x:v>12.528716012342981</x:v>
      </x:c>
      <x:c r="J237" s="54" t="n">
        <x:f>Subsurface_Live_Data!N235/COS(RADIANS(D237))</x:f>
        <x:v>59.126833247087376</x:v>
      </x:c>
      <x:c r="K237" s="54" t="n">
        <x:f>Subsurface_Live_Data!O235/COS(RADIANS(D237))</x:f>
        <x:v>181.55324438216752</x:v>
      </x:c>
      <x:c r="L237" s="53" t="n">
        <x:f>Inputs!$C$21*K237/(2*Inputs!$C$12*1000000)</x:f>
        <x:v>15288.846458203565</x:v>
      </x:c>
      <x:c r="M237" s="53" t="n">
        <x:f>L237*COS(RADIANS(D237))</x:f>
        <x:v>14595.45983017993</x:v>
      </x:c>
      <x:c r="N237" s="54" t="n">
        <x:f>L237-H237</x:f>
        <x:v>693.3866280236343</x:v>
      </x:c>
      <x:c r="O237" s="55" t="n">
        <x:f>M237-H237</x:f>
        <x:v>0</x:v>
      </x:c>
      <x:c r="P237" s="54" t="n">
        <x:f>N237-O237</x:f>
        <x:v>693.3866280236343</x:v>
      </x:c>
      <x:c r="Q237" s="53" t="n">
        <x:f>Inputs!$C$21*J237/(2*Inputs!$C$12*1000000)</x:f>
        <x:v>4979.151312612485</x:v>
      </x:c>
      <x:c r="R237" s="53" t="n">
        <x:f>Q237*COS(RADIANS(D237))</x:f>
        <x:v>4753.334607048062</x:v>
      </x:c>
      <x:c r="S237" s="53" t="n">
        <x:f>Inputs!$C$21*I237/(2*Inputs!$C$12*1000000)*COS(RADIANS(D237))</x:f>
        <x:v>1007.210705069863</x:v>
      </x:c>
    </x:row>
    <x:row r="238">
      <x:c r="A238" s="53" t="n">
        <x:f>Subsurface_Live_Data!A236</x:f>
        <x:v>57</x:v>
      </x:c>
      <x:c r="B238" s="54" t="n">
        <x:f>Model_Data!P236</x:f>
        <x:v>-480.4696062107723</x:v>
      </x:c>
      <x:c r="C238" s="54" t="n">
        <x:f>ABS(B238)*Inputs!$C$13/2</x:f>
        <x:v>1201.1740155269308</x:v>
      </x:c>
      <x:c r="D238" s="54" t="n">
        <x:f>DEGREES(ASIN(MIN(1,C238/(Inputs!$C$11*1000))))</x:f>
        <x:v>17.4752324942239</x:v>
      </x:c>
      <x:c r="E238" s="54" t="n">
        <x:f>Model_Data!I236</x:f>
        <x:v>8.766632366658216</x:v>
      </x:c>
      <x:c r="F238" s="53" t="n">
        <x:f>Subsurface_Live_Data!F236</x:f>
        <x:v>995.8379330752531</x:v>
      </x:c>
      <x:c r="G238" s="53" t="n">
        <x:f>Subsurface_Live_Data!I236</x:f>
        <x:v>4738.85033625806</x:v>
      </x:c>
      <x:c r="H238" s="53" t="n">
        <x:f>Subsurface_Live_Data!K236</x:f>
        <x:v>14596.845934459488</x:v>
      </x:c>
      <x:c r="I238" s="54" t="n">
        <x:f>Subsurface_Live_Data!M236/COS(RADIANS(D238))</x:f>
        <x:v>12.397648267704358</x:v>
      </x:c>
      <x:c r="J238" s="54" t="n">
        <x:f>Subsurface_Live_Data!N236/COS(RADIANS(D238))</x:f>
        <x:v>58.99614556837766</x:v>
      </x:c>
      <x:c r="K238" s="54" t="n">
        <x:f>Subsurface_Live_Data!O236/COS(RADIANS(D238))</x:f>
        <x:v>181.72290460402047</x:v>
      </x:c>
      <x:c r="L238" s="53" t="n">
        <x:f>Inputs!$C$21*K238/(2*Inputs!$C$12*1000000)</x:f>
        <x:v>15303.133777005285</x:v>
      </x:c>
      <x:c r="M238" s="53" t="n">
        <x:f>L238*COS(RADIANS(D238))</x:f>
        <x:v>14596.84593445949</x:v>
      </x:c>
      <x:c r="N238" s="54" t="n">
        <x:f>L238-H238</x:f>
        <x:v>706.2878425457966</x:v>
      </x:c>
      <x:c r="O238" s="55" t="n">
        <x:f>M238-H238</x:f>
        <x:v>1.8189894035458565e-12</x:v>
      </x:c>
      <x:c r="P238" s="54" t="n">
        <x:f>N238-O238</x:f>
        <x:v>706.2878425457948</x:v>
      </x:c>
      <x:c r="Q238" s="53" t="n">
        <x:f>Inputs!$C$21*J238/(2*Inputs!$C$12*1000000)</x:f>
        <x:v>4968.145924851052</x:v>
      </x:c>
      <x:c r="R238" s="53" t="n">
        <x:f>Q238*COS(RADIANS(D238))</x:f>
        <x:v>4738.8503362580595</x:v>
      </x:c>
      <x:c r="S238" s="53" t="n">
        <x:f>Inputs!$C$21*I238/(2*Inputs!$C$12*1000000)*COS(RADIANS(D238))</x:f>
        <x:v>995.8379330752527</x:v>
      </x:c>
    </x:row>
    <x:row r="239">
      <x:c r="A239" s="53" t="n">
        <x:f>Subsurface_Live_Data!A237</x:f>
        <x:v>57.5</x:v>
      </x:c>
      <x:c r="B239" s="54" t="n">
        <x:f>Model_Data!P237</x:f>
        <x:v>-484.554822402788</x:v>
      </x:c>
      <x:c r="C239" s="54" t="n">
        <x:f>ABS(B239)*Inputs!$C$13/2</x:f>
        <x:v>1211.38705600697</x:v>
      </x:c>
      <x:c r="D239" s="54" t="n">
        <x:f>DEGREES(ASIN(MIN(1,C239/(Inputs!$C$11*1000))))</x:f>
        <x:v>17.62866687134153</x:v>
      </x:c>
      <x:c r="E239" s="54" t="n">
        <x:f>Model_Data!I237</x:f>
        <x:v>8.828788473728661</x:v>
      </x:c>
      <x:c r="F239" s="53" t="n">
        <x:f>Subsurface_Live_Data!F237</x:f>
        <x:v>984.7556575269786</x:v>
      </x:c>
      <x:c r="G239" s="53" t="n">
        <x:f>Subsurface_Live_Data!I237</x:f>
        <x:v>4724.872304453064</x:v>
      </x:c>
      <x:c r="H239" s="53" t="n">
        <x:f>Subsurface_Live_Data!K237</x:f>
        <x:v>14602.914420845136</x:v>
      </x:c>
      <x:c r="I239" s="54" t="n">
        <x:f>Subsurface_Live_Data!M237/COS(RADIANS(D239))</x:f>
        <x:v>12.27006847842573</x:v>
      </x:c>
      <x:c r="J239" s="54" t="n">
        <x:f>Subsurface_Live_Data!N237/COS(RADIANS(D239))</x:f>
        <x:v>58.87197121877718</x:v>
      </x:c>
      <x:c r="K239" s="54" t="n">
        <x:f>Subsurface_Live_Data!O237/COS(RADIANS(D239))</x:f>
        <x:v>181.9525062474207</x:v>
      </x:c>
      <x:c r="L239" s="53" t="n">
        <x:f>Inputs!$C$21*K239/(2*Inputs!$C$12*1000000)</x:f>
        <x:v>15322.468844711968</x:v>
      </x:c>
      <x:c r="M239" s="53" t="n">
        <x:f>L239*COS(RADIANS(D239))</x:f>
        <x:v>14602.914420845138</x:v>
      </x:c>
      <x:c r="N239" s="54" t="n">
        <x:f>L239-H239</x:f>
        <x:v>719.5544238668317</x:v>
      </x:c>
      <x:c r="O239" s="55" t="n">
        <x:f>M239-H239</x:f>
        <x:v>1.8189894035458565e-12</x:v>
      </x:c>
      <x:c r="P239" s="54" t="n">
        <x:f>N239-O239</x:f>
        <x:v>719.5544238668299</x:v>
      </x:c>
      <x:c r="Q239" s="53" t="n">
        <x:f>Inputs!$C$21*J239/(2*Inputs!$C$12*1000000)</x:f>
        <x:v>4957.689033422042</x:v>
      </x:c>
      <x:c r="R239" s="53" t="n">
        <x:f>Q239*COS(RADIANS(D239))</x:f>
        <x:v>4724.872304453064</x:v>
      </x:c>
      <x:c r="S239" s="53" t="n">
        <x:f>Inputs!$C$21*I239/(2*Inputs!$C$12*1000000)*COS(RADIANS(D239))</x:f>
        <x:v>984.7556575269784</x:v>
      </x:c>
    </x:row>
    <x:row r="240">
      <x:c r="A240" s="53" t="n">
        <x:f>Subsurface_Live_Data!A238</x:f>
        <x:v>58</x:v>
      </x:c>
      <x:c r="B240" s="54" t="n">
        <x:f>Model_Data!P238</x:f>
        <x:v>-488.63679323794713</x:v>
      </x:c>
      <x:c r="C240" s="54" t="n">
        <x:f>ABS(B240)*Inputs!$C$13/2</x:f>
        <x:v>1221.5919830948678</x:v>
      </x:c>
      <x:c r="D240" s="54" t="n">
        <x:f>DEGREES(ASIN(MIN(1,C240/(Inputs!$C$11*1000))))</x:f>
        <x:v>17.78210988090865</x:v>
      </x:c>
      <x:c r="E240" s="54" t="n">
        <x:f>Model_Data!I238</x:f>
        <x:v>8.890979841704603</x:v>
      </x:c>
      <x:c r="F240" s="53" t="n">
        <x:f>Subsurface_Live_Data!F238</x:f>
        <x:v>976.8952337829763</x:v>
      </x:c>
      <x:c r="G240" s="53" t="n">
        <x:f>Subsurface_Live_Data!I238</x:f>
        <x:v>4711.424826253924</x:v>
      </x:c>
      <x:c r="H240" s="53" t="n">
        <x:f>Subsurface_Live_Data!K238</x:f>
        <x:v>14603.596271830193</x:v>
      </x:c>
      <x:c r="I240" s="54" t="n">
        <x:f>Subsurface_Live_Data!M238/COS(RADIANS(D240))</x:f>
        <x:v>12.182538678907449</x:v>
      </x:c>
      <x:c r="J240" s="54" t="n">
        <x:f>Subsurface_Live_Data!N238/COS(RADIANS(D240))</x:f>
        <x:v>58.75462710196249</x:v>
      </x:c>
      <x:c r="K240" s="54" t="n">
        <x:f>Subsurface_Live_Data!O238/COS(RADIANS(D240))</x:f>
        <x:v>182.11663879633952</x:v>
      </x:c>
      <x:c r="L240" s="53" t="n">
        <x:f>Inputs!$C$21*K240/(2*Inputs!$C$12*1000000)</x:f>
        <x:v>15336.290670632803</x:v>
      </x:c>
      <x:c r="M240" s="53" t="n">
        <x:f>L240*COS(RADIANS(D240))</x:f>
        <x:v>14603.59627183019</x:v>
      </x:c>
      <x:c r="N240" s="54" t="n">
        <x:f>L240-H240</x:f>
        <x:v>732.6943988026105</x:v>
      </x:c>
      <x:c r="O240" s="55" t="n">
        <x:f>M240-H240</x:f>
        <x:v>-1.8189894035458565e-12</x:v>
      </x:c>
      <x:c r="P240" s="54" t="n">
        <x:f>N240-O240</x:f>
        <x:v>732.6943988026123</x:v>
      </x:c>
      <x:c r="Q240" s="53" t="n">
        <x:f>Inputs!$C$21*J240/(2*Inputs!$C$12*1000000)</x:f>
        <x:v>4947.807325216503</x:v>
      </x:c>
      <x:c r="R240" s="53" t="n">
        <x:f>Q240*COS(RADIANS(D240))</x:f>
        <x:v>4711.424826253924</x:v>
      </x:c>
      <x:c r="S240" s="53" t="n">
        <x:f>Inputs!$C$21*I240/(2*Inputs!$C$12*1000000)*COS(RADIANS(D240))</x:f>
        <x:v>976.8952337829762</x:v>
      </x:c>
    </x:row>
    <x:row r="241">
      <x:c r="A241" s="53" t="n">
        <x:f>Subsurface_Live_Data!A239</x:f>
        <x:v>58.5</x:v>
      </x:c>
      <x:c r="B241" s="54" t="n">
        <x:f>Model_Data!P239</x:f>
        <x:v>-492.71549658133154</x:v>
      </x:c>
      <x:c r="C241" s="54" t="n">
        <x:f>ABS(B241)*Inputs!$C$13/2</x:f>
        <x:v>1231.7887414533288</x:v>
      </x:c>
      <x:c r="D241" s="54" t="n">
        <x:f>DEGREES(ASIN(MIN(1,C241/(Inputs!$C$11*1000))))</x:f>
        <x:v>17.93556181389558</x:v>
      </x:c>
      <x:c r="E241" s="54" t="n">
        <x:f>Model_Data!I239</x:f>
        <x:v>8.953204095149154</x:v>
      </x:c>
      <x:c r="F241" s="53" t="n">
        <x:f>Subsurface_Live_Data!F239</x:f>
        <x:v>969.8528693334896</x:v>
      </x:c>
      <x:c r="G241" s="53" t="n">
        <x:f>Subsurface_Live_Data!I239</x:f>
        <x:v>4698.530909327688</x:v>
      </x:c>
      <x:c r="H241" s="53" t="n">
        <x:f>Subsurface_Live_Data!K239</x:f>
        <x:v>14607.412196224737</x:v>
      </x:c>
      <x:c r="I241" s="54" t="n">
        <x:f>Subsurface_Live_Data!M239/COS(RADIANS(D241))</x:f>
        <x:v>12.105157003248237</x:v>
      </x:c>
      <x:c r="J241" s="54" t="n">
        <x:f>Subsurface_Live_Data!N239/COS(RADIANS(D241))</x:f>
        <x:v>58.644415189608594</x:v>
      </x:c>
      <x:c r="K241" s="54" t="n">
        <x:f>Subsurface_Live_Data!O239/COS(RADIANS(D241))</x:f>
        <x:v>182.32148776131658</x:v>
      </x:c>
      <x:c r="L241" s="53" t="n">
        <x:f>Inputs!$C$21*K241/(2*Inputs!$C$12*1000000)</x:f>
        <x:v>15353.541281511802</x:v>
      </x:c>
      <x:c r="M241" s="53" t="n">
        <x:f>L241*COS(RADIANS(D241))</x:f>
        <x:v>14607.412196224737</x:v>
      </x:c>
      <x:c r="N241" s="54" t="n">
        <x:f>L241-H241</x:f>
        <x:v>746.1290852870643</x:v>
      </x:c>
      <x:c r="O241" s="55" t="n">
        <x:f>M241-H241</x:f>
        <x:v>0</x:v>
      </x:c>
      <x:c r="P241" s="54" t="n">
        <x:f>N241-O241</x:f>
        <x:v>746.1290852870643</x:v>
      </x:c>
      <x:c r="Q241" s="53" t="n">
        <x:f>Inputs!$C$21*J241/(2*Inputs!$C$12*1000000)</x:f>
        <x:v>4938.5262296812625</x:v>
      </x:c>
      <x:c r="R241" s="53" t="n">
        <x:f>Q241*COS(RADIANS(D241))</x:f>
        <x:v>4698.530909327687</x:v>
      </x:c>
      <x:c r="S241" s="53" t="n">
        <x:f>Inputs!$C$21*I241/(2*Inputs!$C$12*1000000)*COS(RADIANS(D241))</x:f>
        <x:v>969.8528693334896</x:v>
      </x:c>
    </x:row>
    <x:row r="242">
      <x:c r="A242" s="53" t="n">
        <x:f>Subsurface_Live_Data!A240</x:f>
        <x:v>59</x:v>
      </x:c>
      <x:c r="B242" s="54" t="n">
        <x:f>Model_Data!P240</x:f>
        <x:v>-496.7909104278988</x:v>
      </x:c>
      <x:c r="C242" s="54" t="n">
        <x:f>ABS(B242)*Inputs!$C$13/2</x:f>
        <x:v>1241.977276069747</x:v>
      </x:c>
      <x:c r="D242" s="54" t="n">
        <x:f>DEGREES(ASIN(MIN(1,C242/(Inputs!$C$11*1000))))</x:f>
        <x:v>18.089022966605746</x:v>
      </x:c>
      <x:c r="E242" s="54" t="n">
        <x:f>Model_Data!I240</x:f>
        <x:v>9.015458913989574</x:v>
      </x:c>
      <x:c r="F242" s="53" t="n">
        <x:f>Subsurface_Live_Data!F240</x:f>
        <x:v>965.0068291446296</x:v>
      </x:c>
      <x:c r="G242" s="53" t="n">
        <x:f>Subsurface_Live_Data!I240</x:f>
        <x:v>4686.212278555445</x:v>
      </x:c>
      <x:c r="H242" s="53" t="n">
        <x:f>Subsurface_Live_Data!K240</x:f>
        <x:v>14609.562196914056</x:v>
      </x:c>
      <x:c r="I242" s="54" t="n">
        <x:f>Subsurface_Live_Data!M240/COS(RADIANS(D242))</x:f>
        <x:v>12.05516575317599</x:v>
      </x:c>
      <x:c r="J242" s="54" t="n">
        <x:f>Subsurface_Live_Data!N240/COS(RADIANS(D242))</x:f>
        <x:v>58.541622780669016</x:v>
      </x:c>
      <x:c r="K242" s="54" t="n">
        <x:f>Subsurface_Live_Data!O240/COS(RADIANS(D242))</x:f>
        <x:v>182.50719947883076</x:v>
      </x:c>
      <x:c r="L242" s="53" t="n">
        <x:f>Inputs!$C$21*K242/(2*Inputs!$C$12*1000000)</x:f>
        <x:v>15369.180318667133</x:v>
      </x:c>
      <x:c r="M242" s="53" t="n">
        <x:f>L242*COS(RADIANS(D242))</x:f>
        <x:v>14609.562196914056</x:v>
      </x:c>
      <x:c r="N242" s="54" t="n">
        <x:f>L242-H242</x:f>
        <x:v>759.6181217530775</x:v>
      </x:c>
      <x:c r="O242" s="55" t="n">
        <x:f>M242-H242</x:f>
        <x:v>0</x:v>
      </x:c>
      <x:c r="P242" s="54" t="n">
        <x:f>N242-O242</x:f>
        <x:v>759.6181217530775</x:v>
      </x:c>
      <x:c r="Q242" s="53" t="n">
        <x:f>Inputs!$C$21*J242/(2*Inputs!$C$12*1000000)</x:f>
        <x:v>4929.869940653247</x:v>
      </x:c>
      <x:c r="R242" s="53" t="n">
        <x:f>Q242*COS(RADIANS(D242))</x:f>
        <x:v>4686.212278555446</x:v>
      </x:c>
      <x:c r="S242" s="53" t="n">
        <x:f>Inputs!$C$21*I242/(2*Inputs!$C$12*1000000)*COS(RADIANS(D242))</x:f>
        <x:v>965.0068291446296</x:v>
      </x:c>
    </x:row>
    <x:row r="243">
      <x:c r="A243" s="53" t="n">
        <x:f>Subsurface_Live_Data!A241</x:f>
        <x:v>59.5</x:v>
      </x:c>
      <x:c r="B243" s="54" t="n">
        <x:f>Model_Data!P241</x:f>
        <x:v>-500.86301291985365</x:v>
      </x:c>
      <x:c r="C243" s="54" t="n">
        <x:f>ABS(B243)*Inputs!$C$13/2</x:f>
        <x:v>1252.157532299634</x:v>
      </x:c>
      <x:c r="D243" s="54" t="n">
        <x:f>DEGREES(ASIN(MIN(1,C243/(Inputs!$C$11*1000))))</x:f>
        <x:v>18.24249364136679</x:v>
      </x:c>
      <x:c r="E243" s="54" t="n">
        <x:f>Model_Data!I241</x:f>
        <x:v>9.07774203179775</x:v>
      </x:c>
      <x:c r="F243" s="53" t="n">
        <x:f>Subsurface_Live_Data!F241</x:f>
        <x:v>960.678709810334</x:v>
      </x:c>
      <x:c r="G243" s="53" t="n">
        <x:f>Subsurface_Live_Data!I241</x:f>
        <x:v>4674.489398773456</x:v>
      </x:c>
      <x:c r="H243" s="53" t="n">
        <x:f>Subsurface_Live_Data!K241</x:f>
        <x:v>14615.862307364549</x:v>
      </x:c>
      <x:c r="I243" s="54" t="n">
        <x:f>Subsurface_Live_Data!M241/COS(RADIANS(D243))</x:f>
        <x:v>12.011649887683681</x:v>
      </x:c>
      <x:c r="J243" s="54" t="n">
        <x:f>Subsurface_Live_Data!N241/COS(RADIANS(D243))</x:f>
        <x:v>58.446522743114684</x:v>
      </x:c>
      <x:c r="K243" s="54" t="n">
        <x:f>Subsurface_Live_Data!O241/COS(RADIANS(D243))</x:f>
        <x:v>182.74644691284598</x:v>
      </x:c>
      <x:c r="L243" s="53" t="n">
        <x:f>Inputs!$C$21*K243/(2*Inputs!$C$12*1000000)</x:f>
        <x:v>15389.327671564215</x:v>
      </x:c>
      <x:c r="M243" s="53" t="n">
        <x:f>L243*COS(RADIANS(D243))</x:f>
        <x:v>14615.862307364549</x:v>
      </x:c>
      <x:c r="N243" s="54" t="n">
        <x:f>L243-H243</x:f>
        <x:v>773.4653641996665</x:v>
      </x:c>
      <x:c r="O243" s="55" t="n">
        <x:f>M243-H243</x:f>
        <x:v>0</x:v>
      </x:c>
      <x:c r="P243" s="54" t="n">
        <x:f>N243-O243</x:f>
        <x:v>773.4653641996665</x:v>
      </x:c>
      <x:c r="Q243" s="53" t="n">
        <x:f>Inputs!$C$21*J243/(2*Inputs!$C$12*1000000)</x:f>
        <x:v>4921.861436716645</x:v>
      </x:c>
      <x:c r="R243" s="53" t="n">
        <x:f>Q243*COS(RADIANS(D243))</x:f>
        <x:v>4674.489398773457</x:v>
      </x:c>
      <x:c r="S243" s="53" t="n">
        <x:f>Inputs!$C$21*I243/(2*Inputs!$C$12*1000000)*COS(RADIANS(D243))</x:f>
        <x:v>960.6787098103338</x:v>
      </x:c>
    </x:row>
    <x:row r="244">
      <x:c r="A244" s="53" t="n">
        <x:f>Subsurface_Live_Data!A242</x:f>
        <x:v>60</x:v>
      </x:c>
      <x:c r="B244" s="54" t="n">
        <x:f>Model_Data!P242</x:f>
        <x:v>-502.89823360690207</x:v>
      </x:c>
      <x:c r="C244" s="54" t="n">
        <x:f>ABS(B244)*Inputs!$C$13/2</x:f>
        <x:v>1257.2455840172552</x:v>
      </x:c>
      <x:c r="D244" s="54" t="n">
        <x:f>DEGREES(ASIN(MIN(1,C244/(Inputs!$C$11*1000))))</x:f>
        <x:v>18.31924841287496</x:v>
      </x:c>
      <x:c r="E244" s="54" t="n">
        <x:f>Model_Data!I242</x:f>
        <x:v>9.14005123413285</x:v>
      </x:c>
      <x:c r="F244" s="53" t="n">
        <x:f>Subsurface_Live_Data!F242</x:f>
        <x:v>959.4501357167396</x:v>
      </x:c>
      <x:c r="G244" s="53" t="n">
        <x:f>Subsurface_Live_Data!I242</x:f>
        <x:v>4663.381495591821</x:v>
      </x:c>
      <x:c r="H244" s="53" t="n">
        <x:f>Subsurface_Live_Data!K242</x:f>
        <x:v>14617.138727886955</x:v>
      </x:c>
      <x:c r="I244" s="54" t="n">
        <x:f>Subsurface_Live_Data!M242/COS(RADIANS(D244))</x:f>
        <x:v>12.00159869985899</x:v>
      </x:c>
      <x:c r="J244" s="54" t="n">
        <x:f>Subsurface_Live_Data!N242/COS(RADIANS(D244))</x:f>
        <x:v>58.33344663882024</x:v>
      </x:c>
      <x:c r="K244" s="54" t="n">
        <x:f>Subsurface_Live_Data!O242/COS(RADIANS(D244))</x:f>
        <x:v>182.8433043278643</x:v>
      </x:c>
      <x:c r="L244" s="53" t="n">
        <x:f>Inputs!$C$21*K244/(2*Inputs!$C$12*1000000)</x:f>
        <x:v>15397.484166655191</x:v>
      </x:c>
      <x:c r="M244" s="53" t="n">
        <x:f>L244*COS(RADIANS(D244))</x:f>
        <x:v>14617.138727886953</x:v>
      </x:c>
      <x:c r="N244" s="54" t="n">
        <x:f>L244-H244</x:f>
        <x:v>780.3454387682359</x:v>
      </x:c>
      <x:c r="O244" s="55" t="n">
        <x:f>M244-H244</x:f>
        <x:v>-1.8189894035458565e-12</x:v>
      </x:c>
      <x:c r="P244" s="54" t="n">
        <x:f>N244-O244</x:f>
        <x:v>780.3454387682377</x:v>
      </x:c>
      <x:c r="Q244" s="53" t="n">
        <x:f>Inputs!$C$21*J244/(2*Inputs!$C$12*1000000)</x:f>
        <x:v>4912.339143669595</x:v>
      </x:c>
      <x:c r="R244" s="53" t="n">
        <x:f>Q244*COS(RADIANS(D244))</x:f>
        <x:v>4663.381495591821</x:v>
      </x:c>
      <x:c r="S244" s="53" t="n">
        <x:f>Inputs!$C$21*I244/(2*Inputs!$C$12*1000000)*COS(RADIANS(D244))</x:f>
        <x:v>959.4501357167396</x:v>
      </x:c>
    </x:row>
  </x:sheetData>
  <x:mergeCells>
    <x:mergeCell ref="A1:S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3.800000190734863"/>
  <x:cols>
    <x:col min="1" max="1" width="26" style="73" customWidth="1"/>
    <x:col min="2" max="2" width="18" style="73" customWidth="1"/>
    <x:col min="3" max="3" width="12" style="73" customWidth="1"/>
    <x:col min="4" max="4" width="10" style="73" customWidth="1"/>
    <x:col min="5" max="5" width="58" style="73" customWidth="1"/>
    <x:col min="6" max="6" width="12" style="73" customWidth="1"/>
    <x:col min="7" max="7" width="30" style="73" customWidth="1"/>
    <x:col min="8" max="10" width="10" style="73" customWidth="1"/>
    <x:col min="11" max="11" width="11" style="73" customWidth="1"/>
    <x:col min="12" max="12" width="15" style="73" customWidth="1"/>
    <x:col min="13" max="13" width="14" style="73" customWidth="1"/>
    <x:col min="14" max="14" width="72" style="73" customWidth="1"/>
  </x:cols>
  <x:sheetData>
    <x:row r="1" s="73" customFormat="1" ht="21" customHeight="1">
      <x:c r="A1" s="81" t="inlineStr">
        <x:is>
          <x:t xml:space="preserve">Parabolic Motion Radar Model - Editable Inputs</x:t>
        </x:is>
      </x:c>
    </x:row>
    <x:row r="2" s="73" customFormat="1" ht="13.949999809265137" customHeight="1">
      <x:c r="A2" s="106" t="inlineStr">
        <x:is>
          <x:t xml:space="preserve">Change the yellow cells in column C for the custom model. Use the TRUE/FALSE scenario toggles at the right to overlay paper-derived pass cases on the Dashboard charts.</x:t>
        </x:is>
      </x:c>
    </x:row>
    <x:row r="4" s="73" customFormat="1" ht="15.75" customHeight="1">
      <x:c r="A4" s="2" t="inlineStr">
        <x:is>
          <x:t xml:space="preserve">Parameter</x:t>
        </x:is>
      </x:c>
      <x:c r="B4" s="2" t="inlineStr">
        <x:is>
          <x:t xml:space="preserve">Symbol</x:t>
        </x:is>
      </x:c>
      <x:c r="C4" s="2" t="inlineStr">
        <x:is>
          <x:t xml:space="preserve">Value</x:t>
        </x:is>
      </x:c>
      <x:c r="D4" s="2" t="inlineStr">
        <x:is>
          <x:t xml:space="preserve">Unit</x:t>
        </x:is>
      </x:c>
      <x:c r="E4" s="2" t="inlineStr">
        <x:is>
          <x:t xml:space="preserve">Notes</x:t>
        </x:is>
      </x:c>
      <x:c r="F4" s="78" t="inlineStr">
        <x:is>
          <x:t xml:space="preserve">Paper-Derived Pass Scenario Overlays</x:t>
        </x:is>
      </x:c>
      <x:c r="G4" s="79" t="n"/>
      <x:c r="H4" s="79" t="n"/>
      <x:c r="I4" s="79" t="n"/>
      <x:c r="J4" s="79" t="n"/>
      <x:c r="K4" s="79" t="n"/>
      <x:c r="L4" s="79" t="n"/>
      <x:c r="M4" s="79" t="n"/>
      <x:c r="N4" s="80" t="n"/>
    </x:row>
    <x:row r="5">
      <x:c r="A5" s="1" t="inlineStr">
        <x:is>
          <x:t xml:space="preserve">Closest altitude</x:t>
        </x:is>
      </x:c>
      <x:c r="B5" s="1" t="inlineStr">
        <x:is>
          <x:t xml:space="preserve">z0</x:t>
        </x:is>
      </x:c>
      <x:c r="C5" s="3" t="n">
        <x:v>400</x:v>
      </x:c>
      <x:c r="D5" s="1" t="inlineStr">
        <x:is>
          <x:t xml:space="preserve">km</x:t>
        </x:is>
      </x:c>
      <x:c r="E5" s="1" t="inlineStr">
        <x:is>
          <x:t xml:space="preserve">Altitude at closest approach. Change this to test other flyby heights.</x:t>
        </x:is>
      </x:c>
      <x:c r="F5" s="2" t="inlineStr">
        <x:is>
          <x:t xml:space="preserve">Show</x:t>
        </x:is>
      </x:c>
      <x:c r="G5" s="2" t="inlineStr">
        <x:is>
          <x:t xml:space="preserve">Scenario</x:t>
        </x:is>
      </x:c>
      <x:c r="H5" s="2" t="inlineStr">
        <x:is>
          <x:t xml:space="preserve">z0</x:t>
        </x:is>
      </x:c>
      <x:c r="I5" s="2" t="inlineStr">
        <x:is>
          <x:t xml:space="preserve">x_min</x:t>
        </x:is>
      </x:c>
      <x:c r="J5" s="2" t="inlineStr">
        <x:is>
          <x:t xml:space="preserve">x_max</x:t>
        </x:is>
      </x:c>
      <x:c r="K5" s="2" t="inlineStr">
        <x:is>
          <x:t xml:space="preserve">x_edge</x:t>
        </x:is>
      </x:c>
      <x:c r="L5" s="2" t="inlineStr">
        <x:is>
          <x:t xml:space="preserve">Delta_z_edge</x:t>
        </x:is>
      </x:c>
      <x:c r="M5" s="2" t="inlineStr">
        <x:is>
          <x:t xml:space="preserve">Edge altitude</x:t>
        </x:is>
      </x:c>
      <x:c r="N5" s="2" t="inlineStr">
        <x:is>
          <x:t xml:space="preserve">Paper basis / meaning</x:t>
        </x:is>
      </x:c>
    </x:row>
    <x:row r="6" s="73" customFormat="1" ht="26.25" customHeight="1">
      <x:c r="A6" s="1" t="inlineStr">
        <x:is>
          <x:t xml:space="preserve">Side/cross-track offset</x:t>
        </x:is>
      </x:c>
      <x:c r="B6" s="1" t="inlineStr">
        <x:is>
          <x:t xml:space="preserve">y</x:t>
        </x:is>
      </x:c>
      <x:c r="C6" s="3" t="n">
        <x:v>25</x:v>
      </x:c>
      <x:c r="D6" s="1" t="inlineStr">
        <x:is>
          <x:t xml:space="preserve">km</x:t>
        </x:is>
      </x:c>
      <x:c r="E6" s="1" t="inlineStr">
        <x:is>
          <x:t xml:space="preserve">Horizontal offset of the modeled target from nadir.</x:t>
        </x:is>
      </x:c>
      <x:c r="F6" s="6" t="b">
        <x:v>1</x:v>
      </x:c>
      <x:c r="G6" s="1" t="inlineStr">
        <x:is>
          <x:t xml:space="preserve">Current custom inputs</x:t>
        </x:is>
      </x:c>
      <x:c r="H6" s="7" t="n">
        <x:f>C5</x:f>
        <x:v>400</x:v>
      </x:c>
      <x:c r="I6" s="7" t="n">
        <x:f>C7</x:f>
        <x:v>-60</x:v>
      </x:c>
      <x:c r="J6" s="7" t="n">
        <x:f>C8</x:f>
        <x:v>60</x:v>
      </x:c>
      <x:c r="K6" s="7" t="n">
        <x:f>C10</x:f>
        <x:v>60</x:v>
      </x:c>
      <x:c r="L6" s="7" t="n">
        <x:f>C9</x:f>
        <x:v>4</x:v>
      </x:c>
      <x:c r="M6" s="7" t="n">
        <x:f>C5+C9</x:f>
        <x:v>404</x:v>
      </x:c>
      <x:c r="N6" s="1" t="inlineStr">
        <x:is>
          <x:t xml:space="preserve">Your editable custom case from the left table. It remains the main model used by the topography dashboard.</x:t>
        </x:is>
      </x:c>
    </x:row>
    <x:row r="7" s="73" customFormat="1" ht="26.25" customHeight="1">
      <x:c r="A7" s="1" t="inlineStr">
        <x:is>
          <x:t xml:space="preserve">Along-track minimum</x:t>
        </x:is>
      </x:c>
      <x:c r="B7" s="1" t="inlineStr">
        <x:is>
          <x:t xml:space="preserve">x_min</x:t>
        </x:is>
      </x:c>
      <x:c r="C7" s="3" t="n">
        <x:v>-60</x:v>
      </x:c>
      <x:c r="D7" s="1" t="inlineStr">
        <x:is>
          <x:t xml:space="preserve">km</x:t>
        </x:is>
      </x:c>
      <x:c r="E7" s="1" t="inlineStr">
        <x:is>
          <x:t xml:space="preserve">Left/start side of the modeled pass.</x:t>
        </x:is>
      </x:c>
      <x:c r="F7" s="6" t="b">
        <x:v>1</x:v>
      </x:c>
      <x:c r="G7" s="1" t="inlineStr">
        <x:is>
          <x:t xml:space="preserve">Paper low-altitude 800-km pass</x:t>
        </x:is>
      </x:c>
      <x:c r="H7" s="7" t="n">
        <x:v>35</x:v>
      </x:c>
      <x:c r="I7" s="7" t="n">
        <x:v>-400</x:v>
      </x:c>
      <x:c r="J7" s="7" t="n">
        <x:v>400</x:v>
      </x:c>
      <x:c r="K7" s="7" t="n">
        <x:v>400</x:v>
      </x:c>
      <x:c r="L7" s="7" t="n">
        <x:v>365</x:v>
      </x:c>
      <x:c r="M7" s="7" t="n">
        <x:v>400</x:v>
      </x:c>
      <x:c r="N7" s="1" t="inlineStr">
        <x:is>
          <x:t xml:space="preserve">Paper coverage requirement: groundtrack segments at least 800 km long below 400 km for most REASON datasets. This model makes that a parabola.</x:t>
        </x:is>
      </x:c>
    </x:row>
    <x:row r="8" s="73" customFormat="1" ht="26.25" customHeight="1">
      <x:c r="A8" s="1" t="inlineStr">
        <x:is>
          <x:t xml:space="preserve">Along-track maximum</x:t>
        </x:is>
      </x:c>
      <x:c r="B8" s="1" t="inlineStr">
        <x:is>
          <x:t xml:space="preserve">x_max</x:t>
        </x:is>
      </x:c>
      <x:c r="C8" s="3" t="n">
        <x:v>60</x:v>
      </x:c>
      <x:c r="D8" s="1" t="inlineStr">
        <x:is>
          <x:t xml:space="preserve">km</x:t>
        </x:is>
      </x:c>
      <x:c r="E8" s="1" t="inlineStr">
        <x:is>
          <x:t xml:space="preserve">Right/end side of the modeled pass.</x:t>
        </x:is>
      </x:c>
      <x:c r="F8" s="6" t="b">
        <x:v>1</x:v>
      </x:c>
      <x:c r="G8" s="1" t="inlineStr">
        <x:is>
          <x:t xml:space="preserve">Paper ice-ocean 1600-km pass</x:t>
        </x:is>
      </x:c>
      <x:c r="H8" s="7" t="n">
        <x:v>35</x:v>
      </x:c>
      <x:c r="I8" s="7" t="n">
        <x:v>-800</x:v>
      </x:c>
      <x:c r="J8" s="7" t="n">
        <x:v>800</x:v>
      </x:c>
      <x:c r="K8" s="7" t="n">
        <x:v>800</x:v>
      </x:c>
      <x:c r="L8" s="7" t="n">
        <x:v>965</x:v>
      </x:c>
      <x:c r="M8" s="7" t="n">
        <x:v>1000</x:v>
      </x:c>
      <x:c r="N8" s="1" t="inlineStr">
        <x:is>
          <x:t xml:space="preserve">Paper ice-ocean interface requirement: at least 1600 km below 1000 km. This model makes that a parabola.</x:t>
        </x:is>
      </x:c>
    </x:row>
    <x:row r="9" s="73" customFormat="1" ht="26.25" customHeight="1">
      <x:c r="A9" s="1" t="inlineStr">
        <x:is>
          <x:t xml:space="preserve">Altitude rise at edge</x:t>
        </x:is>
      </x:c>
      <x:c r="B9" s="1" t="inlineStr">
        <x:is>
          <x:t xml:space="preserve">Delta_z_edge</x:t>
        </x:is>
      </x:c>
      <x:c r="C9" s="3" t="n">
        <x:v>4</x:v>
      </x:c>
      <x:c r="D9" s="1" t="inlineStr">
        <x:is>
          <x:t xml:space="preserve">km</x:t>
        </x:is>
      </x:c>
      <x:c r="E9" s="1" t="inlineStr">
        <x:is>
          <x:t xml:space="preserve">How much altitude rises at +/- x_edge.</x:t>
        </x:is>
      </x:c>
      <x:c r="F9" s="6" t="b">
        <x:v>1</x:v>
      </x:c>
      <x:c r="G9" s="1" t="inlineStr">
        <x:is>
          <x:t xml:space="preserve">Paper operating 25-to-1000-km pass</x:t>
        </x:is>
      </x:c>
      <x:c r="H9" s="7" t="n">
        <x:v>25</x:v>
      </x:c>
      <x:c r="I9" s="7" t="n">
        <x:v>-800</x:v>
      </x:c>
      <x:c r="J9" s="7" t="n">
        <x:v>800</x:v>
      </x:c>
      <x:c r="K9" s="7" t="n">
        <x:v>800</x:v>
      </x:c>
      <x:c r="L9" s="7" t="n">
        <x:v>975</x:v>
      </x:c>
      <x:c r="M9" s="7" t="n">
        <x:v>1000</x:v>
      </x:c>
      <x:c r="N9" s="1" t="inlineStr">
        <x:is>
          <x:t xml:space="preserve">Paper instrument table lists operational altitudes of 25 km to 1000 km. This shows the lower-bound closest-approach case.</x:t>
        </x:is>
      </x:c>
    </x:row>
    <x:row r="10">
      <x:c r="A10" s="1" t="inlineStr">
        <x:is>
          <x:t xml:space="preserve">Parabola edge location</x:t>
        </x:is>
      </x:c>
      <x:c r="B10" s="1" t="inlineStr">
        <x:is>
          <x:t xml:space="preserve">x_edge</x:t>
        </x:is>
      </x:c>
      <x:c r="C10" s="3" t="n">
        <x:v>60</x:v>
      </x:c>
      <x:c r="D10" s="1" t="inlineStr">
        <x:is>
          <x:t xml:space="preserve">km</x:t>
        </x:is>
      </x:c>
      <x:c r="E10" s="1" t="inlineStr">
        <x:is>
          <x:t xml:space="preserve">Controls curvature together with Delta_z_edge.</x:t>
        </x:is>
      </x:c>
    </x:row>
    <x:row r="11" s="73" customFormat="1" ht="13.949999809265137" customHeight="1">
      <x:c r="A11" s="1" t="inlineStr">
        <x:is>
          <x:t xml:space="preserve">Along-track speed</x:t>
        </x:is>
      </x:c>
      <x:c r="B11" s="1" t="inlineStr">
        <x:is>
          <x:t xml:space="preserve">v</x:t>
        </x:is>
      </x:c>
      <x:c r="C11" s="3" t="n">
        <x:v>4</x:v>
      </x:c>
      <x:c r="D11" s="1" t="inlineStr">
        <x:is>
          <x:t xml:space="preserve">km/s</x:t>
        </x:is>
      </x:c>
      <x:c r="E11" s="1" t="inlineStr">
        <x:is>
          <x:t xml:space="preserve">Used for range rate, Doppler, and pulse spacing.</x:t>
        </x:is>
      </x:c>
      <x:c r="F11" s="5" t="inlineStr">
        <x:is>
          <x:t xml:space="preserve">Scenario note</x:t>
        </x:is>
      </x:c>
      <x:c r="G11" s="83" t="inlineStr">
        <x:is>
          <x:t xml:space="preserve">The paper gives altitude ranges and required groundtrack lengths, not exact parabolic equations. These rows convert those paper values into the same simplified parabola equation so outcomes can be compared on one dashboard.</x:t>
        </x:is>
      </x:c>
      <x:c r="H11" s="79" t="n"/>
      <x:c r="I11" s="79" t="n"/>
      <x:c r="J11" s="79" t="n"/>
      <x:c r="K11" s="79" t="n"/>
      <x:c r="L11" s="79" t="n"/>
      <x:c r="M11" s="79" t="n"/>
      <x:c r="N11" s="80" t="n"/>
    </x:row>
    <x:row r="12">
      <x:c r="A12" s="1" t="inlineStr">
        <x:is>
          <x:t xml:space="preserve">Ice refractive index</x:t>
        </x:is>
      </x:c>
      <x:c r="B12" s="1" t="inlineStr">
        <x:is>
          <x:t xml:space="preserve">n</x:t>
        </x:is>
      </x:c>
      <x:c r="C12" s="3" t="n">
        <x:v>1.78</x:v>
      </x:c>
      <x:c r="D12" s="1" t="n"/>
      <x:c r="E12" s="1" t="inlineStr">
        <x:is>
          <x:t xml:space="preserve">Used to convert extra slant path into apparent depth.</x:t>
        </x:is>
      </x:c>
    </x:row>
    <x:row r="13">
      <x:c r="A13" s="1" t="inlineStr">
        <x:is>
          <x:t xml:space="preserve">VHF wavelength</x:t>
        </x:is>
      </x:c>
      <x:c r="B13" s="1" t="inlineStr">
        <x:is>
          <x:t xml:space="preserve">lambda_vhf</x:t>
        </x:is>
      </x:c>
      <x:c r="C13" s="3" t="n">
        <x:v>5</x:v>
      </x:c>
      <x:c r="D13" s="1" t="inlineStr">
        <x:is>
          <x:t xml:space="preserve">m</x:t>
        </x:is>
      </x:c>
      <x:c r="E13" s="1" t="inlineStr">
        <x:is>
          <x:t xml:space="preserve">REASON-like VHF wavelength.</x:t>
        </x:is>
      </x:c>
    </x:row>
    <x:row r="14">
      <x:c r="A14" s="1" t="inlineStr">
        <x:is>
          <x:t xml:space="preserve">HF wavelength</x:t>
        </x:is>
      </x:c>
      <x:c r="B14" s="1" t="inlineStr">
        <x:is>
          <x:t xml:space="preserve">lambda_hf</x:t>
        </x:is>
      </x:c>
      <x:c r="C14" s="3" t="n">
        <x:v>33.3</x:v>
      </x:c>
      <x:c r="D14" s="1" t="inlineStr">
        <x:is>
          <x:t xml:space="preserve">m</x:t>
        </x:is>
      </x:c>
      <x:c r="E14" s="1" t="inlineStr">
        <x:is>
          <x:t xml:space="preserve">REASON-like HF wavelength.</x:t>
        </x:is>
      </x:c>
    </x:row>
    <x:row r="15">
      <x:c r="A15" s="1" t="inlineStr">
        <x:is>
          <x:t xml:space="preserve">Interferometer baseline</x:t>
        </x:is>
      </x:c>
      <x:c r="B15" s="1" t="inlineStr">
        <x:is>
          <x:t xml:space="preserve">b</x:t>
        </x:is>
      </x:c>
      <x:c r="C15" s="3" t="n">
        <x:v>5</x:v>
      </x:c>
      <x:c r="D15" s="1" t="inlineStr">
        <x:is>
          <x:t xml:space="preserve">m</x:t>
        </x:is>
      </x:c>
      <x:c r="E15" s="1" t="inlineStr">
        <x:is>
          <x:t xml:space="preserve">Used for VHF phase estimate.</x:t>
        </x:is>
      </x:c>
    </x:row>
    <x:row r="16">
      <x:c r="A16" s="1" t="inlineStr">
        <x:is>
          <x:t xml:space="preserve">VHF range resolution</x:t>
        </x:is>
      </x:c>
      <x:c r="B16" s="1" t="inlineStr">
        <x:is>
          <x:t xml:space="preserve">res_vhf</x:t>
        </x:is>
      </x:c>
      <x:c r="C16" s="3" t="n">
        <x:v>30</x:v>
      </x:c>
      <x:c r="D16" s="1" t="inlineStr">
        <x:is>
          <x:t xml:space="preserve">m</x:t>
        </x:is>
      </x:c>
      <x:c r="E16" s="1" t="inlineStr">
        <x:is>
          <x:t xml:space="preserve">Used for VHF apparent-depth uncertainty band.</x:t>
        </x:is>
      </x:c>
    </x:row>
    <x:row r="17">
      <x:c r="A17" s="1" t="inlineStr">
        <x:is>
          <x:t xml:space="preserve">HF range resolution</x:t>
        </x:is>
      </x:c>
      <x:c r="B17" s="1" t="inlineStr">
        <x:is>
          <x:t xml:space="preserve">res_hf</x:t>
        </x:is>
      </x:c>
      <x:c r="C17" s="3" t="n">
        <x:v>300</x:v>
      </x:c>
      <x:c r="D17" s="1" t="inlineStr">
        <x:is>
          <x:t xml:space="preserve">m</x:t>
        </x:is>
      </x:c>
      <x:c r="E17" s="1" t="inlineStr">
        <x:is>
          <x:t xml:space="preserve">Used for HF apparent-depth uncertainty band.</x:t>
        </x:is>
      </x:c>
    </x:row>
    <x:row r="18">
      <x:c r="A18" s="1" t="inlineStr">
        <x:is>
          <x:t xml:space="preserve">PRF choice 1</x:t>
        </x:is>
      </x:c>
      <x:c r="B18" s="1" t="inlineStr">
        <x:is>
          <x:t xml:space="preserve">PRF_1</x:t>
        </x:is>
      </x:c>
      <x:c r="C18" s="3" t="n">
        <x:v>50</x:v>
      </x:c>
      <x:c r="D18" s="1" t="inlineStr">
        <x:is>
          <x:t xml:space="preserve">Hz</x:t>
        </x:is>
      </x:c>
      <x:c r="E18" s="1" t="inlineStr">
        <x:is>
          <x:t xml:space="preserve">Example low PRF.</x:t>
        </x:is>
      </x:c>
    </x:row>
    <x:row r="19">
      <x:c r="A19" s="1" t="inlineStr">
        <x:is>
          <x:t xml:space="preserve">PRF choice 2</x:t>
        </x:is>
      </x:c>
      <x:c r="B19" s="1" t="inlineStr">
        <x:is>
          <x:t xml:space="preserve">PRF_2</x:t>
        </x:is>
      </x:c>
      <x:c r="C19" s="3" t="n">
        <x:v>500</x:v>
      </x:c>
      <x:c r="D19" s="1" t="inlineStr">
        <x:is>
          <x:t xml:space="preserve">Hz</x:t>
        </x:is>
      </x:c>
      <x:c r="E19" s="1" t="inlineStr">
        <x:is>
          <x:t xml:space="preserve">Example medium PRF.</x:t>
        </x:is>
      </x:c>
    </x:row>
    <x:row r="20">
      <x:c r="A20" s="1" t="inlineStr">
        <x:is>
          <x:t xml:space="preserve">PRF choice 3</x:t>
        </x:is>
      </x:c>
      <x:c r="B20" s="1" t="inlineStr">
        <x:is>
          <x:t xml:space="preserve">PRF_3</x:t>
        </x:is>
      </x:c>
      <x:c r="C20" s="3" t="n">
        <x:v>3000</x:v>
      </x:c>
      <x:c r="D20" s="1" t="inlineStr">
        <x:is>
          <x:t xml:space="preserve">Hz</x:t>
        </x:is>
      </x:c>
      <x:c r="E20" s="1" t="inlineStr">
        <x:is>
          <x:t xml:space="preserve">Example high PRF.</x:t>
        </x:is>
      </x:c>
    </x:row>
    <x:row r="21">
      <x:c r="A21" s="1" t="inlineStr">
        <x:is>
          <x:t xml:space="preserve">Speed of light</x:t>
        </x:is>
      </x:c>
      <x:c r="B21" s="1" t="inlineStr">
        <x:is>
          <x:t xml:space="preserve">c</x:t>
        </x:is>
      </x:c>
      <x:c r="C21" s="4" t="n">
        <x:v>299792458</x:v>
      </x:c>
      <x:c r="D21" s="1" t="inlineStr">
        <x:is>
          <x:t xml:space="preserve">m/s</x:t>
        </x:is>
      </x:c>
      <x:c r="E21" s="1" t="inlineStr">
        <x:is>
          <x:t xml:space="preserve">Physical constant used for delay and timing.</x:t>
        </x:is>
      </x:c>
    </x:row>
    <x:row r="23" s="73" customFormat="1" ht="13.949999809265137" customHeight="1">
      <x:c r="A23" s="5" t="inlineStr">
        <x:is>
          <x:t xml:space="preserve">Model note</x:t>
        </x:is>
      </x:c>
      <x:c r="B23" s="83" t="inlineStr">
        <x:is>
          <x:t xml:space="preserve">The parabola is a simplified local path, not a real mission trajectory. Use it to see how geometry changes radar outputs.</x:t>
        </x:is>
      </x:c>
      <x:c r="C23" s="79" t="n"/>
      <x:c r="D23" s="79" t="n"/>
      <x:c r="E23" s="80" t="n"/>
    </x:row>
    <x:row r="25" s="73" customFormat="1" ht="15.75" customHeight="1">
      <x:c r="A25" s="78" t="inlineStr">
        <x:is>
          <x:t xml:space="preserve">Representative Europa Topography Controls</x:t>
        </x:is>
      </x:c>
      <x:c r="B25" s="79" t="n"/>
      <x:c r="C25" s="79" t="n"/>
      <x:c r="D25" s="79" t="n"/>
      <x:c r="E25" s="80" t="n"/>
    </x:row>
    <x:row r="26">
      <x:c r="A26" s="2" t="inlineStr">
        <x:is>
          <x:t xml:space="preserve">Parameter</x:t>
        </x:is>
      </x:c>
      <x:c r="B26" s="2" t="inlineStr">
        <x:is>
          <x:t xml:space="preserve">Symbol</x:t>
        </x:is>
      </x:c>
      <x:c r="C26" s="2" t="inlineStr">
        <x:is>
          <x:t xml:space="preserve">Value</x:t>
        </x:is>
      </x:c>
      <x:c r="D26" s="2" t="inlineStr">
        <x:is>
          <x:t xml:space="preserve">Unit</x:t>
        </x:is>
      </x:c>
      <x:c r="E26" s="2" t="inlineStr">
        <x:is>
          <x:t xml:space="preserve">Notes</x:t>
        </x:is>
      </x:c>
    </x:row>
    <x:row r="27" s="73" customFormat="1" ht="26.25" customHeight="1">
      <x:c r="A27" s="1" t="inlineStr">
        <x:is>
          <x:t xml:space="preserve">Topography enabled</x:t>
        </x:is>
      </x:c>
      <x:c r="B27" s="1" t="inlineStr">
        <x:is>
          <x:t xml:space="preserve">topography_on</x:t>
        </x:is>
      </x:c>
      <x:c r="C27" s="8" t="inlineStr">
        <x:is>
          <x:t xml:space="preserve">TRUE</x:t>
        </x:is>
      </x:c>
      <x:c r="D27" s="1" t="n"/>
      <x:c r="E27" s="1" t="inlineStr">
        <x:is>
          <x:t xml:space="preserve">Dropdown-style toggle. TRUE adds terrain height to the radar geometry; FALSE returns to flat surface.</x:t>
        </x:is>
      </x:c>
    </x:row>
    <x:row r="28">
      <x:c r="A28" s="1" t="inlineStr">
        <x:is>
          <x:t xml:space="preserve">Ridge height</x:t>
        </x:is>
      </x:c>
      <x:c r="B28" s="1" t="inlineStr">
        <x:is>
          <x:t xml:space="preserve">A_ridge</x:t>
        </x:is>
      </x:c>
      <x:c r="C28" s="3" t="n">
        <x:v>350</x:v>
      </x:c>
      <x:c r="D28" s="1" t="inlineStr">
        <x:is>
          <x:t xml:space="preserve">m</x:t>
        </x:is>
      </x:c>
      <x:c r="E28" s="1" t="inlineStr">
        <x:is>
          <x:t xml:space="preserve">Positive height for a representative double-ridge / raised band.</x:t>
        </x:is>
      </x:c>
    </x:row>
    <x:row r="29">
      <x:c r="A29" s="1" t="inlineStr">
        <x:is>
          <x:t xml:space="preserve">Ridge center x</x:t>
        </x:is>
      </x:c>
      <x:c r="B29" s="1" t="inlineStr">
        <x:is>
          <x:t xml:space="preserve">ridge_x0</x:t>
        </x:is>
      </x:c>
      <x:c r="C29" s="3" t="n">
        <x:v>0</x:v>
      </x:c>
      <x:c r="D29" s="1" t="inlineStr">
        <x:is>
          <x:t xml:space="preserve">km</x:t>
        </x:is>
      </x:c>
      <x:c r="E29" s="1" t="inlineStr">
        <x:is>
          <x:t xml:space="preserve">Along-track center of the ridge.</x:t>
        </x:is>
      </x:c>
    </x:row>
    <x:row r="30">
      <x:c r="A30" s="1" t="inlineStr">
        <x:is>
          <x:t xml:space="preserve">Ridge center y</x:t>
        </x:is>
      </x:c>
      <x:c r="B30" s="1" t="inlineStr">
        <x:is>
          <x:t xml:space="preserve">ridge_y0</x:t>
        </x:is>
      </x:c>
      <x:c r="C30" s="3" t="n">
        <x:v>25</x:v>
      </x:c>
      <x:c r="D30" s="1" t="inlineStr">
        <x:is>
          <x:t xml:space="preserve">km</x:t>
        </x:is>
      </x:c>
      <x:c r="E30" s="1" t="inlineStr">
        <x:is>
          <x:t xml:space="preserve">Cross-track center of the ridge.</x:t>
        </x:is>
      </x:c>
    </x:row>
    <x:row r="31">
      <x:c r="A31" s="1" t="inlineStr">
        <x:is>
          <x:t xml:space="preserve">Ridge length sigma</x:t>
        </x:is>
      </x:c>
      <x:c r="B31" s="1" t="inlineStr">
        <x:is>
          <x:t xml:space="preserve">ridge_sigma_x</x:t>
        </x:is>
      </x:c>
      <x:c r="C31" s="3" t="n">
        <x:v>24</x:v>
      </x:c>
      <x:c r="D31" s="1" t="inlineStr">
        <x:is>
          <x:t xml:space="preserve">km</x:t>
        </x:is>
      </x:c>
      <x:c r="E31" s="1" t="inlineStr">
        <x:is>
          <x:t xml:space="preserve">Long direction of the ridge feature.</x:t>
        </x:is>
      </x:c>
    </x:row>
    <x:row r="32">
      <x:c r="A32" s="1" t="inlineStr">
        <x:is>
          <x:t xml:space="preserve">Ridge width sigma</x:t>
        </x:is>
      </x:c>
      <x:c r="B32" s="1" t="inlineStr">
        <x:is>
          <x:t xml:space="preserve">ridge_sigma_y</x:t>
        </x:is>
      </x:c>
      <x:c r="C32" s="3" t="n">
        <x:v>3.5</x:v>
      </x:c>
      <x:c r="D32" s="1" t="inlineStr">
        <x:is>
          <x:t xml:space="preserve">km</x:t>
        </x:is>
      </x:c>
      <x:c r="E32" s="1" t="inlineStr">
        <x:is>
          <x:t xml:space="preserve">Narrow cross-track width of the ridge.</x:t>
        </x:is>
      </x:c>
    </x:row>
    <x:row r="33">
      <x:c r="A33" s="1" t="inlineStr">
        <x:is>
          <x:t xml:space="preserve">Crater/depression depth</x:t>
        </x:is>
      </x:c>
      <x:c r="B33" s="1" t="inlineStr">
        <x:is>
          <x:t xml:space="preserve">D_crater</x:t>
        </x:is>
      </x:c>
      <x:c r="C33" s="3" t="n">
        <x:v>180</x:v>
      </x:c>
      <x:c r="D33" s="1" t="inlineStr">
        <x:is>
          <x:t xml:space="preserve">m</x:t>
        </x:is>
      </x:c>
      <x:c r="E33" s="1" t="inlineStr">
        <x:is>
          <x:t xml:space="preserve">Positive number becomes a negative depression in the surface model.</x:t>
        </x:is>
      </x:c>
    </x:row>
    <x:row r="34">
      <x:c r="A34" s="1" t="inlineStr">
        <x:is>
          <x:t xml:space="preserve">Crater center x</x:t>
        </x:is>
      </x:c>
      <x:c r="B34" s="1" t="inlineStr">
        <x:is>
          <x:t xml:space="preserve">crater_x0</x:t>
        </x:is>
      </x:c>
      <x:c r="C34" s="3" t="n">
        <x:v>-18</x:v>
      </x:c>
      <x:c r="D34" s="1" t="inlineStr">
        <x:is>
          <x:t xml:space="preserve">km</x:t>
        </x:is>
      </x:c>
      <x:c r="E34" s="1" t="inlineStr">
        <x:is>
          <x:t xml:space="preserve">Along-track center of depression.</x:t>
        </x:is>
      </x:c>
    </x:row>
    <x:row r="35">
      <x:c r="A35" s="1" t="inlineStr">
        <x:is>
          <x:t xml:space="preserve">Crater center y</x:t>
        </x:is>
      </x:c>
      <x:c r="B35" s="1" t="inlineStr">
        <x:is>
          <x:t xml:space="preserve">crater_y0</x:t>
        </x:is>
      </x:c>
      <x:c r="C35" s="3" t="n">
        <x:v>8</x:v>
      </x:c>
      <x:c r="D35" s="1" t="inlineStr">
        <x:is>
          <x:t xml:space="preserve">km</x:t>
        </x:is>
      </x:c>
      <x:c r="E35" s="1" t="inlineStr">
        <x:is>
          <x:t xml:space="preserve">Cross-track center of depression.</x:t>
        </x:is>
      </x:c>
    </x:row>
    <x:row r="36">
      <x:c r="A36" s="1" t="inlineStr">
        <x:is>
          <x:t xml:space="preserve">Crater width sigma</x:t>
        </x:is>
      </x:c>
      <x:c r="B36" s="1" t="inlineStr">
        <x:is>
          <x:t xml:space="preserve">crater_sigma</x:t>
        </x:is>
      </x:c>
      <x:c r="C36" s="3" t="n">
        <x:v>8</x:v>
      </x:c>
      <x:c r="D36" s="1" t="inlineStr">
        <x:is>
          <x:t xml:space="preserve">km</x:t>
        </x:is>
      </x:c>
      <x:c r="E36" s="1" t="inlineStr">
        <x:is>
          <x:t xml:space="preserve">Controls how broad the depression is.</x:t>
        </x:is>
      </x:c>
    </x:row>
    <x:row r="37">
      <x:c r="A37" s="1" t="inlineStr">
        <x:is>
          <x:t xml:space="preserve">Chaos amplitude</x:t>
        </x:is>
      </x:c>
      <x:c r="B37" s="1" t="inlineStr">
        <x:is>
          <x:t xml:space="preserve">A_chaos</x:t>
        </x:is>
      </x:c>
      <x:c r="C37" s="3" t="n">
        <x:v>65</x:v>
      </x:c>
      <x:c r="D37" s="1" t="inlineStr">
        <x:is>
          <x:t xml:space="preserve">m</x:t>
        </x:is>
      </x:c>
      <x:c r="E37" s="1" t="inlineStr">
        <x:is>
          <x:t xml:space="preserve">Mixed sinusoidal terrain term for irregular chaos-like height variation.</x:t>
        </x:is>
      </x:c>
    </x:row>
    <x:row r="38">
      <x:c r="A38" s="1" t="inlineStr">
        <x:is>
          <x:t xml:space="preserve">Fine roughness amplitude</x:t>
        </x:is>
      </x:c>
      <x:c r="B38" s="1" t="inlineStr">
        <x:is>
          <x:t xml:space="preserve">A_rough</x:t>
        </x:is>
      </x:c>
      <x:c r="C38" s="3" t="n">
        <x:v>35</x:v>
      </x:c>
      <x:c r="D38" s="1" t="inlineStr">
        <x:is>
          <x:t xml:space="preserve">m</x:t>
        </x:is>
      </x:c>
      <x:c r="E38" s="1" t="inlineStr">
        <x:is>
          <x:t xml:space="preserve">Smaller surface roughness term.</x:t>
        </x:is>
      </x:c>
    </x:row>
    <x:row r="39">
      <x:c r="A39" s="1" t="inlineStr">
        <x:is>
          <x:t xml:space="preserve">Roughness wavelength x</x:t>
        </x:is>
      </x:c>
      <x:c r="B39" s="1" t="inlineStr">
        <x:is>
          <x:t xml:space="preserve">Lx</x:t>
        </x:is>
      </x:c>
      <x:c r="C39" s="3" t="n">
        <x:v>18</x:v>
      </x:c>
      <x:c r="D39" s="1" t="inlineStr">
        <x:is>
          <x:t xml:space="preserve">km</x:t>
        </x:is>
      </x:c>
      <x:c r="E39" s="1" t="inlineStr">
        <x:is>
          <x:t xml:space="preserve">Along-track roughness wavelength.</x:t>
        </x:is>
      </x:c>
    </x:row>
    <x:row r="40">
      <x:c r="A40" s="1" t="inlineStr">
        <x:is>
          <x:t xml:space="preserve">Roughness wavelength y</x:t>
        </x:is>
      </x:c>
      <x:c r="B40" s="1" t="inlineStr">
        <x:is>
          <x:t xml:space="preserve">Ly</x:t>
        </x:is>
      </x:c>
      <x:c r="C40" s="3" t="n">
        <x:v>12</x:v>
      </x:c>
      <x:c r="D40" s="1" t="inlineStr">
        <x:is>
          <x:t xml:space="preserve">km</x:t>
        </x:is>
      </x:c>
      <x:c r="E40" s="1" t="inlineStr">
        <x:is>
          <x:t xml:space="preserve">Cross-track roughness wavelength.</x:t>
        </x:is>
      </x:c>
    </x:row>
    <x:row r="41">
      <x:c r="A41" s="1" t="inlineStr">
        <x:is>
          <x:t xml:space="preserve">Trough depth</x:t>
        </x:is>
      </x:c>
      <x:c r="B41" s="1" t="inlineStr">
        <x:is>
          <x:t xml:space="preserve">D_trough</x:t>
        </x:is>
      </x:c>
      <x:c r="C41" s="3" t="n">
        <x:v>120</x:v>
      </x:c>
      <x:c r="D41" s="1" t="inlineStr">
        <x:is>
          <x:t xml:space="preserve">m</x:t>
        </x:is>
      </x:c>
      <x:c r="E41" s="1" t="inlineStr">
        <x:is>
          <x:t xml:space="preserve">Negative linear feature, like a fracture/trough.</x:t>
        </x:is>
      </x:c>
    </x:row>
    <x:row r="42">
      <x:c r="A42" s="1" t="inlineStr">
        <x:is>
          <x:t xml:space="preserve">Trough center x</x:t>
        </x:is>
      </x:c>
      <x:c r="B42" s="1" t="inlineStr">
        <x:is>
          <x:t xml:space="preserve">trough_x0</x:t>
        </x:is>
      </x:c>
      <x:c r="C42" s="3" t="n">
        <x:v>12</x:v>
      </x:c>
      <x:c r="D42" s="1" t="inlineStr">
        <x:is>
          <x:t xml:space="preserve">km</x:t>
        </x:is>
      </x:c>
      <x:c r="E42" s="1" t="inlineStr">
        <x:is>
          <x:t xml:space="preserve">Along-track center of trough.</x:t>
        </x:is>
      </x:c>
    </x:row>
    <x:row r="43">
      <x:c r="A43" s="1" t="inlineStr">
        <x:is>
          <x:t xml:space="preserve">Trough center y</x:t>
        </x:is>
      </x:c>
      <x:c r="B43" s="1" t="inlineStr">
        <x:is>
          <x:t xml:space="preserve">trough_y0</x:t>
        </x:is>
      </x:c>
      <x:c r="C43" s="3" t="n">
        <x:v>-6</x:v>
      </x:c>
      <x:c r="D43" s="1" t="inlineStr">
        <x:is>
          <x:t xml:space="preserve">km</x:t>
        </x:is>
      </x:c>
      <x:c r="E43" s="1" t="inlineStr">
        <x:is>
          <x:t xml:space="preserve">Cross-track center of trough.</x:t>
        </x:is>
      </x:c>
    </x:row>
    <x:row r="44">
      <x:c r="A44" s="1" t="inlineStr">
        <x:is>
          <x:t xml:space="preserve">Trough width sigma</x:t>
        </x:is>
      </x:c>
      <x:c r="B44" s="1" t="inlineStr">
        <x:is>
          <x:t xml:space="preserve">trough_sigma_y</x:t>
        </x:is>
      </x:c>
      <x:c r="C44" s="3" t="n">
        <x:v>2.5</x:v>
      </x:c>
      <x:c r="D44" s="1" t="inlineStr">
        <x:is>
          <x:t xml:space="preserve">km</x:t>
        </x:is>
      </x:c>
      <x:c r="E44" s="1" t="inlineStr">
        <x:is>
          <x:t xml:space="preserve">Narrow width of trough.</x:t>
        </x:is>
      </x:c>
    </x:row>
    <x:row r="45">
      <x:c r="A45" s="1" t="inlineStr">
        <x:is>
          <x:t xml:space="preserve">Trough length sigma</x:t>
        </x:is>
      </x:c>
      <x:c r="B45" s="1" t="inlineStr">
        <x:is>
          <x:t xml:space="preserve">trough_sigma_x</x:t>
        </x:is>
      </x:c>
      <x:c r="C45" s="3" t="n">
        <x:v>38</x:v>
      </x:c>
      <x:c r="D45" s="1" t="inlineStr">
        <x:is>
          <x:t xml:space="preserve">km</x:t>
        </x:is>
      </x:c>
      <x:c r="E45" s="1" t="inlineStr">
        <x:is>
          <x:t xml:space="preserve">Long direction of trough.</x:t>
        </x:is>
      </x:c>
    </x:row>
    <x:row r="46">
      <x:c r="A46" s="1" t="inlineStr">
        <x:is>
          <x:t xml:space="preserve">Terrain vertical uncertainty</x:t>
        </x:is>
      </x:c>
      <x:c r="B46" s="1" t="inlineStr">
        <x:is>
          <x:t xml:space="preserve">sigma_h</x:t>
        </x:is>
      </x:c>
      <x:c r="C46" s="3" t="n">
        <x:v>75</x:v>
      </x:c>
      <x:c r="D46" s="1" t="inlineStr">
        <x:is>
          <x:t xml:space="preserve">m</x:t>
        </x:is>
      </x:c>
      <x:c r="E46" s="1" t="inlineStr">
        <x:is>
          <x:t xml:space="preserve">Representative uncertainty band for the topographic height model.</x:t>
        </x:is>
      </x:c>
    </x:row>
    <x:row r="47" s="73" customFormat="1" ht="26.25" customHeight="1">
      <x:c r="A47" s="1" t="inlineStr">
        <x:is>
          <x:t xml:space="preserve">Terrain seed</x:t>
        </x:is>
      </x:c>
      <x:c r="B47" s="1" t="inlineStr">
        <x:is>
          <x:t xml:space="preserve">terrain_seed</x:t>
        </x:is>
      </x:c>
      <x:c r="C47" s="4" t="n">
        <x:v>7</x:v>
      </x:c>
      <x:c r="D47" s="1" t="n"/>
      <x:c r="E47" s="1" t="inlineStr">
        <x:is>
          <x:t xml:space="preserve">Change this number to generate a different repeatable random-looking surface. Same seed gives the same graphs.</x:t>
        </x:is>
      </x:c>
    </x:row>
    <x:row r="48">
      <x:c r="A48" s="1" t="inlineStr">
        <x:is>
          <x:t xml:space="preserve">Seeded random amplitude</x:t>
        </x:is>
      </x:c>
      <x:c r="B48" s="1" t="inlineStr">
        <x:is>
          <x:t xml:space="preserve">A_seeded</x:t>
        </x:is>
      </x:c>
      <x:c r="C48" s="3" t="n">
        <x:v>45</x:v>
      </x:c>
      <x:c r="D48" s="1" t="inlineStr">
        <x:is>
          <x:t xml:space="preserve">m</x:t>
        </x:is>
      </x:c>
      <x:c r="E48" s="1" t="inlineStr">
        <x:is>
          <x:t xml:space="preserve">Strength of the generated terrain added on top of the DEM-style surface.</x:t>
        </x:is>
      </x:c>
    </x:row>
    <x:row r="49">
      <x:c r="A49" s="1" t="inlineStr">
        <x:is>
          <x:t xml:space="preserve">Seeded random scale x</x:t>
        </x:is>
      </x:c>
      <x:c r="B49" s="1" t="inlineStr">
        <x:is>
          <x:t xml:space="preserve">L_seed_x</x:t>
        </x:is>
      </x:c>
      <x:c r="C49" s="3" t="n">
        <x:v>12</x:v>
      </x:c>
      <x:c r="D49" s="1" t="inlineStr">
        <x:is>
          <x:t xml:space="preserve">km</x:t>
        </x:is>
      </x:c>
      <x:c r="E49" s="1" t="inlineStr">
        <x:is>
          <x:t xml:space="preserve">Along-track scale for seeded terrain waves.</x:t>
        </x:is>
      </x:c>
    </x:row>
    <x:row r="50">
      <x:c r="A50" s="1" t="inlineStr">
        <x:is>
          <x:t xml:space="preserve">Seeded random scale y</x:t>
        </x:is>
      </x:c>
      <x:c r="B50" s="1" t="inlineStr">
        <x:is>
          <x:t xml:space="preserve">L_seed_y</x:t>
        </x:is>
      </x:c>
      <x:c r="C50" s="3" t="n">
        <x:v>9</x:v>
      </x:c>
      <x:c r="D50" s="1" t="inlineStr">
        <x:is>
          <x:t xml:space="preserve">km</x:t>
        </x:is>
      </x:c>
      <x:c r="E50" s="1" t="inlineStr">
        <x:is>
          <x:t xml:space="preserve">Cross-track scale for seeded terrain waves.</x:t>
        </x:is>
      </x:c>
    </x:row>
    <x:row r="51">
      <x:c r="A51" s="1" t="inlineStr">
        <x:is>
          <x:t xml:space="preserve">Existing DEM-style scale</x:t>
        </x:is>
      </x:c>
      <x:c r="B51" s="1" t="inlineStr">
        <x:is>
          <x:t xml:space="preserve">S_dem</x:t>
        </x:is>
      </x:c>
      <x:c r="C51" s="3" t="n">
        <x:v>1</x:v>
      </x:c>
      <x:c r="D51" s="1" t="n"/>
      <x:c r="E51" s="1" t="inlineStr">
        <x:is>
          <x:t xml:space="preserve">Multiplier for the project synthetic DEM pattern from reason_common.py.</x:t>
        </x:is>
      </x:c>
    </x:row>
    <x:row r="52">
      <x:c r="A52" s="1" t="inlineStr">
        <x:is>
          <x:t xml:space="preserve">Europa radius</x:t>
        </x:is>
      </x:c>
      <x:c r="B52" s="1" t="inlineStr">
        <x:is>
          <x:t xml:space="preserve">R_e</x:t>
        </x:is>
      </x:c>
      <x:c r="C52" s="3" t="n">
        <x:v>1560.8</x:v>
      </x:c>
      <x:c r="D52" s="1" t="inlineStr">
        <x:is>
          <x:t xml:space="preserve">km</x:t>
        </x:is>
      </x:c>
      <x:c r="E52" s="1" t="inlineStr">
        <x:is>
          <x:t xml:space="preserve">Europa mean radius used for spherical slant-range geometry.</x:t>
        </x:is>
      </x:c>
    </x:row>
    <x:row r="54" s="73" customFormat="1" ht="13.949999809265137" customHeight="1">
      <x:c r="A54" s="5" t="inlineStr">
        <x:is>
          <x:t xml:space="preserve">Topography note</x:t>
        </x:is>
      </x:c>
      <x:c r="B54" s="83" t="inlineStr">
        <x:is>
          <x:t xml:space="preserve">This is a detailed representative terrain model, not a real imported Europa DEM. It now combines the local project synthetic DEM shape with a seed-controlled random terrain term so you can test multiple possible surfaces.</x:t>
        </x:is>
      </x:c>
      <x:c r="C54" s="79" t="n"/>
      <x:c r="D54" s="79" t="n"/>
      <x:c r="E54" s="80" t="n"/>
    </x:row>
  </x:sheetData>
  <x:mergeCells>
    <x:mergeCell ref="B23:E23"/>
    <x:mergeCell ref="A25:E25"/>
    <x:mergeCell ref="A2:N2"/>
    <x:mergeCell ref="G11:N11"/>
    <x:mergeCell ref="B54:E54"/>
    <x:mergeCell ref="F4:N4"/>
    <x:mergeCell ref="A1:N1"/>
  </x:mergeCells>
  <x:dataValidations count="1">
    <x:dataValidation type="list" allowBlank="0" showDropDown="0" showInputMessage="0" showErrorMessage="0" sqref="C27 F6:F9">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3.800000190734863"/>
  <x:cols>
    <x:col min="1" max="1" width="22" style="73" customWidth="1"/>
    <x:col min="2" max="2" width="34" style="73" customWidth="1"/>
    <x:col min="3" max="3" width="18" style="73" customWidth="1"/>
    <x:col min="4" max="4" width="12" style="73" customWidth="1"/>
    <x:col min="5" max="5" width="72" style="73" customWidth="1"/>
  </x:cols>
  <x:sheetData>
    <x:row r="1" s="73" customFormat="1" ht="21" customHeight="1">
      <x:c r="A1" s="89" t="inlineStr">
        <x:is>
          <x:t xml:space="preserve">Europa Ice Subsurface Editable Inputs</x:t>
        </x:is>
      </x:c>
    </x:row>
    <x:row r="2" s="73" customFormat="1" ht="96.5999984741211" customHeight="1">
      <x:c r="A2" s="88" t="inlineStr">
        <x:is>
          <x:t xml:space="preserve">Change the yellow values in column C. Subsurface_Live_Data and Subsurface_Dashboard update from these formulas.</x:t>
        </x:is>
      </x:c>
      <x:c r="E2" s="88" t="inlineStr">
        <x:is>
          <x:t xml:space="preserve">All editable values live on this tab. Subsurface_Dashboard is output-only.</x:t>
        </x:is>
      </x:c>
    </x:row>
    <x:row r="3">
      <x:c r="A3" s="23" t="inlineStr">
        <x:is>
          <x:t xml:space="preserve">Section</x:t>
        </x:is>
      </x:c>
      <x:c r="B3" s="23" t="inlineStr">
        <x:is>
          <x:t xml:space="preserve">Parameter</x:t>
        </x:is>
      </x:c>
      <x:c r="C3" s="23" t="inlineStr">
        <x:is>
          <x:t xml:space="preserve">Value</x:t>
        </x:is>
      </x:c>
      <x:c r="D3" s="23" t="inlineStr">
        <x:is>
          <x:t xml:space="preserve">Unit</x:t>
        </x:is>
      </x:c>
      <x:c r="E3" s="23" t="inlineStr">
        <x:is>
          <x:t xml:space="preserve">Notes</x:t>
        </x:is>
      </x:c>
    </x:row>
    <x:row r="4">
      <x:c r="A4" s="25" t="inlineStr">
        <x:is>
          <x:t xml:space="preserve">Surface</x:t>
        </x:is>
      </x:c>
      <x:c r="B4" s="25" t="inlineStr">
        <x:is>
          <x:t xml:space="preserve">Use generated icy topography</x:t>
        </x:is>
      </x:c>
      <x:c r="C4" s="29" t="inlineStr">
        <x:is>
          <x:t xml:space="preserve">TRUE</x:t>
        </x:is>
      </x:c>
      <x:c r="D4" s="25" t="n"/>
      <x:c r="E4" s="25" t="inlineStr">
        <x:is>
          <x:t xml:space="preserve">Surface/topography is modeled as icy terrain, not rock.</x:t>
        </x:is>
      </x:c>
    </x:row>
    <x:row r="5">
      <x:c r="A5" s="25" t="inlineStr">
        <x:is>
          <x:t xml:space="preserve">Shallow ice</x:t>
        </x:is>
      </x:c>
      <x:c r="B5" s="25" t="inlineStr">
        <x:is>
          <x:t xml:space="preserve">Upper ice layer mean depth</x:t>
        </x:is>
      </x:c>
      <x:c r="C5" s="29" t="n">
        <x:v>1150</x:v>
      </x:c>
      <x:c r="D5" s="25" t="inlineStr">
        <x:is>
          <x:t xml:space="preserve">m</x:t>
        </x:is>
      </x:c>
      <x:c r="E5" s="25" t="inlineStr">
        <x:is>
          <x:t xml:space="preserve">Depth below the local icy surface.</x:t>
        </x:is>
      </x:c>
    </x:row>
    <x:row r="6">
      <x:c r="A6" s="25" t="inlineStr">
        <x:is>
          <x:t xml:space="preserve">Shallow ice</x:t>
        </x:is>
      </x:c>
      <x:c r="B6" s="25" t="inlineStr">
        <x:is>
          <x:t xml:space="preserve">Upper ice sine amplitude</x:t>
        </x:is>
      </x:c>
      <x:c r="C6" s="29" t="n">
        <x:v>160</x:v>
      </x:c>
      <x:c r="D6" s="25" t="inlineStr">
        <x:is>
          <x:t xml:space="preserve">m</x:t>
        </x:is>
      </x:c>
      <x:c r="E6" s="25" t="inlineStr">
        <x:is>
          <x:t xml:space="preserve">Smooth undulation in shallow internal ice.</x:t>
        </x:is>
      </x:c>
    </x:row>
    <x:row r="7">
      <x:c r="A7" s="25" t="inlineStr">
        <x:is>
          <x:t xml:space="preserve">Shallow ice</x:t>
        </x:is>
      </x:c>
      <x:c r="B7" s="25" t="inlineStr">
        <x:is>
          <x:t xml:space="preserve">Upper ice phase shift</x:t>
        </x:is>
      </x:c>
      <x:c r="C7" s="29" t="n">
        <x:v>10</x:v>
      </x:c>
      <x:c r="D7" s="25" t="inlineStr">
        <x:is>
          <x:t xml:space="preserve">km</x:t>
        </x:is>
      </x:c>
      <x:c r="E7" s="25" t="inlineStr">
        <x:is>
          <x:t xml:space="preserve">Moves the shallow layer pattern left/right.</x:t>
        </x:is>
      </x:c>
    </x:row>
    <x:row r="8">
      <x:c r="A8" s="25" t="inlineStr">
        <x:is>
          <x:t xml:space="preserve">Shallow ice</x:t>
        </x:is>
      </x:c>
      <x:c r="B8" s="25" t="inlineStr">
        <x:is>
          <x:t xml:space="preserve">Upper ice sine wavelength</x:t>
        </x:is>
      </x:c>
      <x:c r="C8" s="29" t="n">
        <x:v>42</x:v>
      </x:c>
      <x:c r="D8" s="25" t="inlineStr">
        <x:is>
          <x:t xml:space="preserve">km</x:t>
        </x:is>
      </x:c>
      <x:c r="E8" s="25" t="inlineStr">
        <x:is>
          <x:t xml:space="preserve">Longer number means smoother/larger features.</x:t>
        </x:is>
      </x:c>
    </x:row>
    <x:row r="9">
      <x:c r="A9" s="25" t="inlineStr">
        <x:is>
          <x:t xml:space="preserve">Shallow ice</x:t>
        </x:is>
      </x:c>
      <x:c r="B9" s="25" t="inlineStr">
        <x:is>
          <x:t xml:space="preserve">Upper ice cosine amplitude</x:t>
        </x:is>
      </x:c>
      <x:c r="C9" s="29" t="n">
        <x:v>60</x:v>
      </x:c>
      <x:c r="D9" s="25" t="inlineStr">
        <x:is>
          <x:t xml:space="preserve">m</x:t>
        </x:is>
      </x:c>
      <x:c r="E9" s="25" t="inlineStr">
        <x:is>
          <x:t xml:space="preserve">Secondary shallow-layer variation.</x:t>
        </x:is>
      </x:c>
    </x:row>
    <x:row r="10">
      <x:c r="A10" s="25" t="inlineStr">
        <x:is>
          <x:t xml:space="preserve">Shallow ice</x:t>
        </x:is>
      </x:c>
      <x:c r="B10" s="25" t="inlineStr">
        <x:is>
          <x:t xml:space="preserve">Upper ice cosine wavelength</x:t>
        </x:is>
      </x:c>
      <x:c r="C10" s="29" t="n">
        <x:v>23</x:v>
      </x:c>
      <x:c r="D10" s="25" t="inlineStr">
        <x:is>
          <x:t xml:space="preserve">km</x:t>
        </x:is>
      </x:c>
      <x:c r="E10" s="25" t="inlineStr">
        <x:is>
          <x:t xml:space="preserve">Secondary shallow-layer spacing.</x:t>
        </x:is>
      </x:c>
    </x:row>
    <x:row r="11">
      <x:c r="A11" s="25" t="inlineStr">
        <x:is>
          <x:t xml:space="preserve">Shallow ice</x:t>
        </x:is>
      </x:c>
      <x:c r="B11" s="25" t="inlineStr">
        <x:is>
          <x:t xml:space="preserve">Surface coupling factor</x:t>
        </x:is>
      </x:c>
      <x:c r="C11" s="29" t="n">
        <x:v>0.04</x:v>
      </x:c>
      <x:c r="D11" s="25" t="n"/>
      <x:c r="E11" s="25" t="inlineStr">
        <x:is>
          <x:t xml:space="preserve">How much surface relief carries into shallow ice.</x:t>
        </x:is>
      </x:c>
    </x:row>
    <x:row r="12">
      <x:c r="A12" s="25" t="n"/>
      <x:c r="B12" s="25" t="n"/>
      <x:c r="C12" s="25" t="n"/>
      <x:c r="D12" s="25" t="n"/>
      <x:c r="E12" s="25" t="n"/>
    </x:row>
    <x:row r="13">
      <x:c r="A13" s="25" t="inlineStr">
        <x:is>
          <x:t xml:space="preserve">Warm/briny lens</x:t>
        </x:is>
      </x:c>
      <x:c r="B13" s="25" t="inlineStr">
        <x:is>
          <x:t xml:space="preserve">Lens A strength</x:t>
        </x:is>
      </x:c>
      <x:c r="C13" s="29" t="n">
        <x:v>0.95</x:v>
      </x:c>
      <x:c r="D13" s="25" t="inlineStr">
        <x:is>
          <x:t xml:space="preserve">0-1</x:t>
        </x:is>
      </x:c>
      <x:c r="E13" s="25" t="inlineStr">
        <x:is>
          <x:t xml:space="preserve">Local possible warm/briny contrast, not proven.</x:t>
        </x:is>
      </x:c>
    </x:row>
    <x:row r="14">
      <x:c r="A14" s="25" t="inlineStr">
        <x:is>
          <x:t xml:space="preserve">Warm/briny lens</x:t>
        </x:is>
      </x:c>
      <x:c r="B14" s="25" t="inlineStr">
        <x:is>
          <x:t xml:space="preserve">Lens A center</x:t>
        </x:is>
      </x:c>
      <x:c r="C14" s="29" t="n">
        <x:v>-24</x:v>
      </x:c>
      <x:c r="D14" s="25" t="inlineStr">
        <x:is>
          <x:t xml:space="preserve">km</x:t>
        </x:is>
      </x:c>
      <x:c r="E14" s="25" t="inlineStr">
        <x:is>
          <x:t xml:space="preserve">Along-track center of first possible lens.</x:t>
        </x:is>
      </x:c>
    </x:row>
    <x:row r="15">
      <x:c r="A15" s="25" t="inlineStr">
        <x:is>
          <x:t xml:space="preserve">Warm/briny lens</x:t>
        </x:is>
      </x:c>
      <x:c r="B15" s="25" t="inlineStr">
        <x:is>
          <x:t xml:space="preserve">Lens A width</x:t>
        </x:is>
      </x:c>
      <x:c r="C15" s="29" t="n">
        <x:v>10</x:v>
      </x:c>
      <x:c r="D15" s="25" t="inlineStr">
        <x:is>
          <x:t xml:space="preserve">km</x:t>
        </x:is>
      </x:c>
      <x:c r="E15" s="25" t="inlineStr">
        <x:is>
          <x:t xml:space="preserve">Controls how broad lens A is.</x:t>
        </x:is>
      </x:c>
    </x:row>
    <x:row r="16">
      <x:c r="A16" s="25" t="inlineStr">
        <x:is>
          <x:t xml:space="preserve">Warm/briny lens</x:t>
        </x:is>
      </x:c>
      <x:c r="B16" s="25" t="inlineStr">
        <x:is>
          <x:t xml:space="preserve">Lens B strength</x:t>
        </x:is>
      </x:c>
      <x:c r="C16" s="29" t="n">
        <x:v>0.7</x:v>
      </x:c>
      <x:c r="D16" s="25" t="inlineStr">
        <x:is>
          <x:t xml:space="preserve">0-1</x:t>
        </x:is>
      </x:c>
      <x:c r="E16" s="25" t="inlineStr">
        <x:is>
          <x:t xml:space="preserve">Second possible lens.</x:t>
        </x:is>
      </x:c>
    </x:row>
    <x:row r="17">
      <x:c r="A17" s="25" t="inlineStr">
        <x:is>
          <x:t xml:space="preserve">Warm/briny lens</x:t>
        </x:is>
      </x:c>
      <x:c r="B17" s="25" t="inlineStr">
        <x:is>
          <x:t xml:space="preserve">Lens B center</x:t>
        </x:is>
      </x:c>
      <x:c r="C17" s="29" t="n">
        <x:v>30</x:v>
      </x:c>
      <x:c r="D17" s="25" t="inlineStr">
        <x:is>
          <x:t xml:space="preserve">km</x:t>
        </x:is>
      </x:c>
      <x:c r="E17" s="25" t="inlineStr">
        <x:is>
          <x:t xml:space="preserve">Along-track center of second possible lens.</x:t>
        </x:is>
      </x:c>
    </x:row>
    <x:row r="18">
      <x:c r="A18" s="25" t="inlineStr">
        <x:is>
          <x:t xml:space="preserve">Warm/briny lens</x:t>
        </x:is>
      </x:c>
      <x:c r="B18" s="25" t="inlineStr">
        <x:is>
          <x:t xml:space="preserve">Lens B width</x:t>
        </x:is>
      </x:c>
      <x:c r="C18" s="29" t="n">
        <x:v>8</x:v>
      </x:c>
      <x:c r="D18" s="25" t="inlineStr">
        <x:is>
          <x:t xml:space="preserve">km</x:t>
        </x:is>
      </x:c>
      <x:c r="E18" s="25" t="inlineStr">
        <x:is>
          <x:t xml:space="preserve">Controls how broad lens B is.</x:t>
        </x:is>
      </x:c>
    </x:row>
    <x:row r="19">
      <x:c r="A19" s="25" t="inlineStr">
        <x:is>
          <x:t xml:space="preserve">Warm/briny lens</x:t>
        </x:is>
      </x:c>
      <x:c r="B19" s="25" t="inlineStr">
        <x:is>
          <x:t xml:space="preserve">Lens mean depth</x:t>
        </x:is>
      </x:c>
      <x:c r="C19" s="29" t="n">
        <x:v>5100</x:v>
      </x:c>
      <x:c r="D19" s="25" t="inlineStr">
        <x:is>
          <x:t xml:space="preserve">m</x:t>
        </x:is>
      </x:c>
      <x:c r="E19" s="25" t="inlineStr">
        <x:is>
          <x:t xml:space="preserve">Depth below local surface.</x:t>
        </x:is>
      </x:c>
    </x:row>
    <x:row r="20">
      <x:c r="A20" s="25" t="inlineStr">
        <x:is>
          <x:t xml:space="preserve">Warm/briny lens</x:t>
        </x:is>
      </x:c>
      <x:c r="B20" s="25" t="inlineStr">
        <x:is>
          <x:t xml:space="preserve">Lens depth wave amplitude</x:t>
        </x:is>
      </x:c>
      <x:c r="C20" s="29" t="n">
        <x:v>520</x:v>
      </x:c>
      <x:c r="D20" s="25" t="inlineStr">
        <x:is>
          <x:t xml:space="preserve">m</x:t>
        </x:is>
      </x:c>
      <x:c r="E20" s="25" t="inlineStr">
        <x:is>
          <x:t xml:space="preserve">Broad depth variation.</x:t>
        </x:is>
      </x:c>
    </x:row>
    <x:row r="21">
      <x:c r="A21" s="25" t="inlineStr">
        <x:is>
          <x:t xml:space="preserve">Warm/briny lens</x:t>
        </x:is>
      </x:c>
      <x:c r="B21" s="25" t="inlineStr">
        <x:is>
          <x:t xml:space="preserve">Lens depth phase shift</x:t>
        </x:is>
      </x:c>
      <x:c r="C21" s="29" t="n">
        <x:v>6</x:v>
      </x:c>
      <x:c r="D21" s="25" t="inlineStr">
        <x:is>
          <x:t xml:space="preserve">km</x:t>
        </x:is>
      </x:c>
      <x:c r="E21" s="25" t="inlineStr">
        <x:is>
          <x:t xml:space="preserve">Moves lens-depth wave left/right.</x:t>
        </x:is>
      </x:c>
    </x:row>
    <x:row r="22">
      <x:c r="A22" s="25" t="inlineStr">
        <x:is>
          <x:t xml:space="preserve">Warm/briny lens</x:t>
        </x:is>
      </x:c>
      <x:c r="B22" s="25" t="inlineStr">
        <x:is>
          <x:t xml:space="preserve">Lens depth wavelength</x:t>
        </x:is>
      </x:c>
      <x:c r="C22" s="29" t="n">
        <x:v>82</x:v>
      </x:c>
      <x:c r="D22" s="25" t="inlineStr">
        <x:is>
          <x:t xml:space="preserve">km</x:t>
        </x:is>
      </x:c>
      <x:c r="E22" s="25" t="inlineStr">
        <x:is>
          <x:t xml:space="preserve">Lens-depth wave spacing.</x:t>
        </x:is>
      </x:c>
    </x:row>
    <x:row r="23">
      <x:c r="A23" s="25" t="inlineStr">
        <x:is>
          <x:t xml:space="preserve">Warm/briny lens</x:t>
        </x:is>
      </x:c>
      <x:c r="B23" s="25" t="inlineStr">
        <x:is>
          <x:t xml:space="preserve">Lens uplift when strong</x:t>
        </x:is>
      </x:c>
      <x:c r="C23" s="29" t="n">
        <x:v>240</x:v>
      </x:c>
      <x:c r="D23" s="25" t="inlineStr">
        <x:is>
          <x:t xml:space="preserve">m</x:t>
        </x:is>
      </x:c>
      <x:c r="E23" s="25" t="inlineStr">
        <x:is>
          <x:t xml:space="preserve">Strong lens sits slightly shallower.</x:t>
        </x:is>
      </x:c>
    </x:row>
    <x:row r="24">
      <x:c r="A24" s="25" t="n"/>
      <x:c r="B24" s="25" t="n"/>
      <x:c r="C24" s="25" t="n"/>
      <x:c r="D24" s="25" t="n"/>
      <x:c r="E24" s="25" t="n"/>
    </x:row>
    <x:row r="25">
      <x:c r="A25" s="25" t="inlineStr">
        <x:is>
          <x:t xml:space="preserve">Ice-ocean boundary</x:t>
        </x:is>
      </x:c>
      <x:c r="B25" s="25" t="inlineStr">
        <x:is>
          <x:t xml:space="preserve">Nominal ice shell thickness</x:t>
        </x:is>
      </x:c>
      <x:c r="C25" s="29" t="n">
        <x:v>15000</x:v>
      </x:c>
      <x:c r="D25" s="25" t="inlineStr">
        <x:is>
          <x:t xml:space="preserve">m</x:t>
        </x:is>
      </x:c>
      <x:c r="E25" s="25" t="inlineStr">
        <x:is>
          <x:t xml:space="preserve">Possible bottom reflector depth.</x:t>
        </x:is>
      </x:c>
    </x:row>
    <x:row r="26">
      <x:c r="A26" s="25" t="inlineStr">
        <x:is>
          <x:t xml:space="preserve">Ice-ocean boundary</x:t>
        </x:is>
      </x:c>
      <x:c r="B26" s="25" t="inlineStr">
        <x:is>
          <x:t xml:space="preserve">Ocean boundary sine amplitude</x:t>
        </x:is>
      </x:c>
      <x:c r="C26" s="29" t="n">
        <x:v>760</x:v>
      </x:c>
      <x:c r="D26" s="25" t="inlineStr">
        <x:is>
          <x:t xml:space="preserve">m</x:t>
        </x:is>
      </x:c>
      <x:c r="E26" s="25" t="inlineStr">
        <x:is>
          <x:t xml:space="preserve">Broad thickness variation.</x:t>
        </x:is>
      </x:c>
    </x:row>
    <x:row r="27">
      <x:c r="A27" s="25" t="inlineStr">
        <x:is>
          <x:t xml:space="preserve">Ice-ocean boundary</x:t>
        </x:is>
      </x:c>
      <x:c r="B27" s="25" t="inlineStr">
        <x:is>
          <x:t xml:space="preserve">Ocean boundary sine phase</x:t>
        </x:is>
      </x:c>
      <x:c r="C27" s="29" t="n">
        <x:v>26</x:v>
      </x:c>
      <x:c r="D27" s="25" t="inlineStr">
        <x:is>
          <x:t xml:space="preserve">km</x:t>
        </x:is>
      </x:c>
      <x:c r="E27" s="25" t="inlineStr">
        <x:is>
          <x:t xml:space="preserve">Moves basal pattern left/right.</x:t>
        </x:is>
      </x:c>
    </x:row>
    <x:row r="28">
      <x:c r="A28" s="25" t="inlineStr">
        <x:is>
          <x:t xml:space="preserve">Ice-ocean boundary</x:t>
        </x:is>
      </x:c>
      <x:c r="B28" s="25" t="inlineStr">
        <x:is>
          <x:t xml:space="preserve">Ocean boundary sine wavelength</x:t>
        </x:is>
      </x:c>
      <x:c r="C28" s="29" t="n">
        <x:v>135</x:v>
      </x:c>
      <x:c r="D28" s="25" t="inlineStr">
        <x:is>
          <x:t xml:space="preserve">km</x:t>
        </x:is>
      </x:c>
      <x:c r="E28" s="25" t="inlineStr">
        <x:is>
          <x:t xml:space="preserve">Large-scale basal relief.</x:t>
        </x:is>
      </x:c>
    </x:row>
    <x:row r="29">
      <x:c r="A29" s="25" t="inlineStr">
        <x:is>
          <x:t xml:space="preserve">Ice-ocean boundary</x:t>
        </x:is>
      </x:c>
      <x:c r="B29" s="25" t="inlineStr">
        <x:is>
          <x:t xml:space="preserve">Ocean boundary cosine amplitude</x:t>
        </x:is>
      </x:c>
      <x:c r="C29" s="29" t="n">
        <x:v>330</x:v>
      </x:c>
      <x:c r="D29" s="25" t="inlineStr">
        <x:is>
          <x:t xml:space="preserve">m</x:t>
        </x:is>
      </x:c>
      <x:c r="E29" s="25" t="inlineStr">
        <x:is>
          <x:t xml:space="preserve">Secondary basal relief.</x:t>
        </x:is>
      </x:c>
    </x:row>
    <x:row r="30">
      <x:c r="A30" s="25" t="inlineStr">
        <x:is>
          <x:t xml:space="preserve">Ice-ocean boundary</x:t>
        </x:is>
      </x:c>
      <x:c r="B30" s="25" t="inlineStr">
        <x:is>
          <x:t xml:space="preserve">Ocean boundary cosine phase</x:t>
        </x:is>
      </x:c>
      <x:c r="C30" s="29" t="n">
        <x:v>8</x:v>
      </x:c>
      <x:c r="D30" s="25" t="inlineStr">
        <x:is>
          <x:t xml:space="preserve">km</x:t>
        </x:is>
      </x:c>
      <x:c r="E30" s="25" t="inlineStr">
        <x:is>
          <x:t xml:space="preserve">Moves secondary basal pattern.</x:t>
        </x:is>
      </x:c>
    </x:row>
    <x:row r="31">
      <x:c r="A31" s="25" t="inlineStr">
        <x:is>
          <x:t xml:space="preserve">Ice-ocean boundary</x:t>
        </x:is>
      </x:c>
      <x:c r="B31" s="25" t="inlineStr">
        <x:is>
          <x:t xml:space="preserve">Ocean boundary cosine wavelength</x:t>
        </x:is>
      </x:c>
      <x:c r="C31" s="29" t="n">
        <x:v>62</x:v>
      </x:c>
      <x:c r="D31" s="25" t="inlineStr">
        <x:is>
          <x:t xml:space="preserve">km</x:t>
        </x:is>
      </x:c>
      <x:c r="E31" s="25" t="inlineStr">
        <x:is>
          <x:t xml:space="preserve">Secondary basal spacing.</x:t>
        </x:is>
      </x:c>
    </x:row>
    <x:row r="32">
      <x:c r="A32" s="25" t="inlineStr">
        <x:is>
          <x:t xml:space="preserve">Ice-ocean boundary</x:t>
        </x:is>
      </x:c>
      <x:c r="B32" s="25" t="inlineStr">
        <x:is>
          <x:t xml:space="preserve">Surface anti-coupling factor</x:t>
        </x:is>
      </x:c>
      <x:c r="C32" s="29" t="n">
        <x:v>0.14</x:v>
      </x:c>
      <x:c r="D32" s="25" t="n"/>
      <x:c r="E32" s="25" t="inlineStr">
        <x:is>
          <x:t xml:space="preserve">Surface highs slightly reduce thickness.</x:t>
        </x:is>
      </x:c>
    </x:row>
    <x:row r="33">
      <x:c r="A33" s="25" t="n"/>
      <x:c r="B33" s="25" t="n"/>
      <x:c r="C33" s="25" t="n"/>
      <x:c r="D33" s="25" t="n"/>
      <x:c r="E33" s="25" t="n"/>
    </x:row>
    <x:row r="34">
      <x:c r="A34" s="25" t="inlineStr">
        <x:is>
          <x:t xml:space="preserve">Radar</x:t>
        </x:is>
      </x:c>
      <x:c r="B34" s="25" t="inlineStr">
        <x:is>
          <x:t xml:space="preserve">Ice refractive index</x:t>
        </x:is>
      </x:c>
      <x:c r="C34" s="29" t="n">
        <x:f>Inputs!$C$12</x:f>
        <x:v>1.78</x:v>
      </x:c>
      <x:c r="D34" s="25" t="n"/>
      <x:c r="E34" s="25" t="inlineStr">
        <x:is>
          <x:t xml:space="preserve">Uses workbook ice index by default.</x:t>
        </x:is>
      </x:c>
    </x:row>
    <x:row r="35">
      <x:c r="A35" s="25" t="inlineStr">
        <x:is>
          <x:t xml:space="preserve">Radar</x:t>
        </x:is>
      </x:c>
      <x:c r="B35" s="25" t="inlineStr">
        <x:is>
          <x:t xml:space="preserve">Speed of light</x:t>
        </x:is>
      </x:c>
      <x:c r="C35" s="29" t="n">
        <x:v>299792458</x:v>
      </x:c>
      <x:c r="D35" s="25" t="inlineStr">
        <x:is>
          <x:t xml:space="preserve">m/s</x:t>
        </x:is>
      </x:c>
      <x:c r="E35" s="25" t="inlineStr">
        <x:is>
          <x:t xml:space="preserve">Used for two-way delay.</x:t>
        </x:is>
      </x:c>
    </x:row>
    <x:row r="36">
      <x:c r="A36" s="25" t="inlineStr">
        <x:is>
          <x:t xml:space="preserve">Radar</x:t>
        </x:is>
      </x:c>
      <x:c r="B36" s="25" t="inlineStr">
        <x:is>
          <x:t xml:space="preserve">One-way ice attenuation</x:t>
        </x:is>
      </x:c>
      <x:c r="C36" s="29" t="n">
        <x:v>0.9</x:v>
      </x:c>
      <x:c r="D36" s="25" t="inlineStr">
        <x:is>
          <x:t xml:space="preserve">dB/km</x:t>
        </x:is>
      </x:c>
      <x:c r="E36" s="25" t="inlineStr">
        <x:is>
          <x:t xml:space="preserve">Simple signal loss through ice.</x:t>
        </x:is>
      </x:c>
    </x:row>
    <x:row r="37">
      <x:c r="A37" s="25" t="inlineStr">
        <x:is>
          <x:t xml:space="preserve">Radar</x:t>
        </x:is>
      </x:c>
      <x:c r="B37" s="25" t="inlineStr">
        <x:is>
          <x:t xml:space="preserve">Shallow layer base echo</x:t>
        </x:is>
      </x:c>
      <x:c r="C37" s="29" t="n">
        <x:v>-10</x:v>
      </x:c>
      <x:c r="D37" s="25" t="inlineStr">
        <x:is>
          <x:t xml:space="preserve">dB</x:t>
        </x:is>
      </x:c>
      <x:c r="E37" s="25" t="inlineStr">
        <x:is>
          <x:t xml:space="preserve">Relative reflector strength before attenuation.</x:t>
        </x:is>
      </x:c>
    </x:row>
    <x:row r="38">
      <x:c r="A38" s="25" t="inlineStr">
        <x:is>
          <x:t xml:space="preserve">Radar</x:t>
        </x:is>
      </x:c>
      <x:c r="B38" s="25" t="inlineStr">
        <x:is>
          <x:t xml:space="preserve">Lens base echo</x:t>
        </x:is>
      </x:c>
      <x:c r="C38" s="29" t="n">
        <x:v>-24</x:v>
      </x:c>
      <x:c r="D38" s="25" t="inlineStr">
        <x:is>
          <x:t xml:space="preserve">dB</x:t>
        </x:is>
      </x:c>
      <x:c r="E38" s="25" t="inlineStr">
        <x:is>
          <x:t xml:space="preserve">Relative lens strength before lens multiplier and attenuation.</x:t>
        </x:is>
      </x:c>
    </x:row>
    <x:row r="39">
      <x:c r="A39" s="25" t="inlineStr">
        <x:is>
          <x:t xml:space="preserve">Radar</x:t>
        </x:is>
      </x:c>
      <x:c r="B39" s="25" t="inlineStr">
        <x:is>
          <x:t xml:space="preserve">Lens strength echo bonus</x:t>
        </x:is>
      </x:c>
      <x:c r="C39" s="29" t="n">
        <x:v>9</x:v>
      </x:c>
      <x:c r="D39" s="25" t="inlineStr">
        <x:is>
          <x:t xml:space="preserve">dB</x:t>
        </x:is>
      </x:c>
      <x:c r="E39" s="25" t="inlineStr">
        <x:is>
          <x:t xml:space="preserve">A stronger lens creates a stronger reflector.</x:t>
        </x:is>
      </x:c>
    </x:row>
    <x:row r="40">
      <x:c r="A40" s="25" t="inlineStr">
        <x:is>
          <x:t xml:space="preserve">Radar</x:t>
        </x:is>
      </x:c>
      <x:c r="B40" s="25" t="inlineStr">
        <x:is>
          <x:t xml:space="preserve">Ocean boundary base echo</x:t>
        </x:is>
      </x:c>
      <x:c r="C40" s="29" t="n">
        <x:v>-6</x:v>
      </x:c>
      <x:c r="D40" s="25" t="inlineStr">
        <x:is>
          <x:t xml:space="preserve">dB</x:t>
        </x:is>
      </x:c>
      <x:c r="E40" s="25" t="inlineStr">
        <x:is>
          <x:t xml:space="preserve">Large material contrast from ice to possible ocean.</x:t>
        </x:is>
      </x:c>
    </x:row>
    <x:row r="41">
      <x:c r="A41" s="25" t="inlineStr">
        <x:is>
          <x:t xml:space="preserve">Radar</x:t>
        </x:is>
      </x:c>
      <x:c r="B41" s="25" t="inlineStr">
        <x:is>
          <x:t xml:space="preserve">Basal roughness penalty</x:t>
        </x:is>
      </x:c>
      <x:c r="C41" s="29" t="n">
        <x:v>0.004</x:v>
      </x:c>
      <x:c r="D41" s="25" t="inlineStr">
        <x:is>
          <x:t xml:space="preserve">dB/m</x:t>
        </x:is>
      </x:c>
      <x:c r="E41" s="25" t="inlineStr">
        <x:is>
          <x:t xml:space="preserve">Rougher boundary weakens coherent echo.</x:t>
        </x:is>
      </x:c>
    </x:row>
    <x:row r="42">
      <x:c r="A42" s="25" t="inlineStr">
        <x:is>
          <x:t xml:space="preserve">Radar</x:t>
        </x:is>
      </x:c>
      <x:c r="B42" s="25" t="inlineStr">
        <x:is>
          <x:t xml:space="preserve">Lens display threshold</x:t>
        </x:is>
      </x:c>
      <x:c r="C42" s="29" t="n">
        <x:v>0.18</x:v>
      </x:c>
      <x:c r="D42" s="25" t="inlineStr">
        <x:is>
          <x:t xml:space="preserve">0-1</x:t>
        </x:is>
      </x:c>
      <x:c r="E42" s="25" t="inlineStr">
        <x:is>
          <x:t xml:space="preserve">Below this, lens is treated as too weak for chart focus.</x:t>
        </x:is>
      </x:c>
    </x:row>
    <x:row r="43">
      <x:c r="A43" s="25" t="inlineStr">
        <x:is>
          <x:t xml:space="preserve">Radar</x:t>
        </x:is>
      </x:c>
      <x:c r="B43" s="25" t="inlineStr">
        <x:is>
          <x:t xml:space="preserve">Detection threshold</x:t>
        </x:is>
      </x:c>
      <x:c r="C43" s="29" t="n">
        <x:v>-45</x:v>
      </x:c>
      <x:c r="D43" s="25" t="inlineStr">
        <x:is>
          <x:t xml:space="preserve">dB</x:t>
        </x:is>
      </x:c>
      <x:c r="E43" s="25" t="inlineStr">
        <x:is>
          <x:t xml:space="preserve">Simple threshold for treating a return as easier to see.</x:t>
        </x:is>
      </x:c>
    </x:row>
    <x:row r="44">
      <x:c r="A44" s="25" t="inlineStr">
        <x:is>
          <x:t xml:space="preserve">Uncertainty</x:t>
        </x:is>
      </x:c>
      <x:c r="B44" s="25" t="inlineStr">
        <x:is>
          <x:t xml:space="preserve">Boundary uncertainty band</x:t>
        </x:is>
      </x:c>
      <x:c r="C44" s="29" t="n">
        <x:v>1500</x:v>
      </x:c>
      <x:c r="D44" s="25" t="inlineStr">
        <x:is>
          <x:t xml:space="preserve">m</x:t>
        </x:is>
      </x:c>
      <x:c r="E44" s="25" t="inlineStr">
        <x:is>
          <x:t xml:space="preserve">Plus/minus range around the possible ice-ocean boundary.</x:t>
        </x:is>
      </x:c>
    </x:row>
    <x:row r="45">
      <x:c r="A45" s="25" t="inlineStr">
        <x:is>
          <x:t xml:space="preserve">Scenario</x:t>
        </x:is>
      </x:c>
      <x:c r="B45" s="25" t="inlineStr">
        <x:is>
          <x:t xml:space="preserve">Thin shell multiplier</x:t>
        </x:is>
      </x:c>
      <x:c r="C45" s="29" t="n">
        <x:v>0.55</x:v>
      </x:c>
      <x:c r="D45" s="25" t="n"/>
      <x:c r="E45" s="25" t="inlineStr">
        <x:is>
          <x:t xml:space="preserve">Creates a thinner-shell scenario from the live depth.</x:t>
        </x:is>
      </x:c>
    </x:row>
    <x:row r="46">
      <x:c r="A46" s="25" t="inlineStr">
        <x:is>
          <x:t xml:space="preserve">Scenario</x:t>
        </x:is>
      </x:c>
      <x:c r="B46" s="25" t="inlineStr">
        <x:is>
          <x:t xml:space="preserve">Thick shell multiplier</x:t>
        </x:is>
      </x:c>
      <x:c r="C46" s="29" t="n">
        <x:v>1.75</x:v>
      </x:c>
      <x:c r="D46" s="25" t="n"/>
      <x:c r="E46" s="25" t="inlineStr">
        <x:is>
          <x:t xml:space="preserve">Creates a thicker-shell scenario from the live depth.</x:t>
        </x:is>
      </x:c>
    </x:row>
    <x:row r="47">
      <x:c r="A47" s="25" t="inlineStr">
        <x:is>
          <x:t xml:space="preserve">Scenario</x:t>
        </x:is>
      </x:c>
      <x:c r="B47" s="25" t="inlineStr">
        <x:is>
          <x:t xml:space="preserve">No-ocean control echo</x:t>
        </x:is>
      </x:c>
      <x:c r="C47" s="29" t="n">
        <x:v>-60</x:v>
      </x:c>
      <x:c r="D47" s="25" t="inlineStr">
        <x:is>
          <x:t xml:space="preserve">dB</x:t>
        </x:is>
      </x:c>
      <x:c r="E47" s="25" t="inlineStr">
        <x:is>
          <x:t xml:space="preserve">Weak baseline return for a no-bottom-reflector control case.</x:t>
        </x:is>
      </x:c>
    </x:row>
    <x:row r="48">
      <x:c r="A48" s="25" t="inlineStr">
        <x:is>
          <x:t xml:space="preserve">Evidence</x:t>
        </x:is>
      </x:c>
      <x:c r="B48" s="25" t="inlineStr">
        <x:is>
          <x:t xml:space="preserve">Radar support score</x:t>
        </x:is>
      </x:c>
      <x:c r="C48" s="29" t="n">
        <x:v>55</x:v>
      </x:c>
      <x:c r="D48" s="25" t="inlineStr">
        <x:is>
          <x:t xml:space="preserve">%</x:t>
        </x:is>
      </x:c>
      <x:c r="E48" s="25" t="inlineStr">
        <x:is>
          <x:t xml:space="preserve">How strongly radar outputs support the proposed subsurface.</x:t>
        </x:is>
      </x:c>
    </x:row>
    <x:row r="49">
      <x:c r="A49" s="25" t="inlineStr">
        <x:is>
          <x:t xml:space="preserve">Evidence</x:t>
        </x:is>
      </x:c>
      <x:c r="B49" s="25" t="inlineStr">
        <x:is>
          <x:t xml:space="preserve">Thermal support score</x:t>
        </x:is>
      </x:c>
      <x:c r="C49" s="29" t="n">
        <x:v>35</x:v>
      </x:c>
      <x:c r="D49" s="25" t="inlineStr">
        <x:is>
          <x:t xml:space="preserve">%</x:t>
        </x:is>
      </x:c>
      <x:c r="E49" s="25" t="inlineStr">
        <x:is>
          <x:t xml:space="preserve">Proxy for E-THEMIS-style warm-region support.</x:t>
        </x:is>
      </x:c>
    </x:row>
    <x:row r="50">
      <x:c r="A50" s="25" t="inlineStr">
        <x:is>
          <x:t xml:space="preserve">Evidence</x:t>
        </x:is>
      </x:c>
      <x:c r="B50" s="25" t="inlineStr">
        <x:is>
          <x:t xml:space="preserve">Composition support score</x:t>
        </x:is>
      </x:c>
      <x:c r="C50" s="29" t="n">
        <x:v>40</x:v>
      </x:c>
      <x:c r="D50" s="25" t="inlineStr">
        <x:is>
          <x:t xml:space="preserve">%</x:t>
        </x:is>
      </x:c>
      <x:c r="E50" s="25" t="inlineStr">
        <x:is>
          <x:t xml:space="preserve">Proxy for MISE-style salts/ice/organic context.</x:t>
        </x:is>
      </x:c>
    </x:row>
    <x:row r="51">
      <x:c r="A51" s="25" t="inlineStr">
        <x:is>
          <x:t xml:space="preserve">Evidence</x:t>
        </x:is>
      </x:c>
      <x:c r="B51" s="25" t="inlineStr">
        <x:is>
          <x:t xml:space="preserve">Magnetic/plasma support score</x:t>
        </x:is>
      </x:c>
      <x:c r="C51" s="29" t="n">
        <x:v>50</x:v>
      </x:c>
      <x:c r="D51" s="25" t="inlineStr">
        <x:is>
          <x:t xml:space="preserve">%</x:t>
        </x:is>
      </x:c>
      <x:c r="E51" s="25" t="inlineStr">
        <x:is>
          <x:t xml:space="preserve">Proxy for ECM/PIMS-style ocean support.</x:t>
        </x:is>
      </x:c>
    </x:row>
    <x:row r="52">
      <x:c r="A52" s="25" t="inlineStr">
        <x:is>
          <x:t xml:space="preserve">Evidence</x:t>
        </x:is>
      </x:c>
      <x:c r="B52" s="25" t="inlineStr">
        <x:is>
          <x:t xml:space="preserve">Radar evidence weight</x:t>
        </x:is>
      </x:c>
      <x:c r="C52" s="29" t="n">
        <x:v>40</x:v>
      </x:c>
      <x:c r="D52" s="25" t="inlineStr">
        <x:is>
          <x:t xml:space="preserve">%</x:t>
        </x:is>
      </x:c>
      <x:c r="E52" s="25" t="inlineStr">
        <x:is>
          <x:t xml:space="preserve">Radar should carry the most weight here.</x:t>
        </x:is>
      </x:c>
    </x:row>
    <x:row r="53">
      <x:c r="A53" s="25" t="inlineStr">
        <x:is>
          <x:t xml:space="preserve">Evidence</x:t>
        </x:is>
      </x:c>
      <x:c r="B53" s="25" t="inlineStr">
        <x:is>
          <x:t xml:space="preserve">Thermal evidence weight</x:t>
        </x:is>
      </x:c>
      <x:c r="C53" s="29" t="n">
        <x:v>20</x:v>
      </x:c>
      <x:c r="D53" s="25" t="inlineStr">
        <x:is>
          <x:t xml:space="preserve">%</x:t>
        </x:is>
      </x:c>
      <x:c r="E53" s="25" t="inlineStr">
        <x:is>
          <x:t xml:space="preserve">Thermal evidence is supporting context.</x:t>
        </x:is>
      </x:c>
    </x:row>
    <x:row r="54">
      <x:c r="A54" s="25" t="inlineStr">
        <x:is>
          <x:t xml:space="preserve">Evidence</x:t>
        </x:is>
      </x:c>
      <x:c r="B54" s="25" t="inlineStr">
        <x:is>
          <x:t xml:space="preserve">Composition evidence weight</x:t>
        </x:is>
      </x:c>
      <x:c r="C54" s="29" t="n">
        <x:v>20</x:v>
      </x:c>
      <x:c r="D54" s="25" t="inlineStr">
        <x:is>
          <x:t xml:space="preserve">%</x:t>
        </x:is>
      </x:c>
      <x:c r="E54" s="25" t="inlineStr">
        <x:is>
          <x:t xml:space="preserve">Surface composition is supporting context.</x:t>
        </x:is>
      </x:c>
    </x:row>
    <x:row r="55">
      <x:c r="A55" s="25" t="inlineStr">
        <x:is>
          <x:t xml:space="preserve">Evidence</x:t>
        </x:is>
      </x:c>
      <x:c r="B55" s="25" t="inlineStr">
        <x:is>
          <x:t xml:space="preserve">Magnetic/plasma evidence weight</x:t>
        </x:is>
      </x:c>
      <x:c r="C55" s="29" t="n">
        <x:v>20</x:v>
      </x:c>
      <x:c r="D55" s="25" t="inlineStr">
        <x:is>
          <x:t xml:space="preserve">%</x:t>
        </x:is>
      </x:c>
      <x:c r="E55" s="25" t="inlineStr">
        <x:is>
          <x:t xml:space="preserve">Interior/ocean support from non-radar instruments.</x:t>
        </x:is>
      </x:c>
    </x:row>
    <x:row r="56">
      <x:c r="A56" s="25" t="inlineStr">
        <x:is>
          <x:t xml:space="preserve">Radargram</x:t>
        </x:is>
      </x:c>
      <x:c r="B56" s="25" t="inlineStr">
        <x:is>
          <x:t xml:space="preserve">Radargram timing jitter</x:t>
        </x:is>
      </x:c>
      <x:c r="C56" s="29" t="n">
        <x:v>1.5</x:v>
      </x:c>
      <x:c r="D56" s="25" t="inlineStr">
        <x:is>
          <x:t xml:space="preserve">us</x:t>
        </x:is>
      </x:c>
      <x:c r="E56" s="25" t="inlineStr">
        <x:is>
          <x:t xml:space="preserve">Adds deterministic timing wiggle to radargram-style chart.</x:t>
        </x:is>
      </x:c>
    </x:row>
    <x:row r="57">
      <x:c r="A57" s="25" t="inlineStr">
        <x:is>
          <x:t xml:space="preserve">Radargram</x:t>
        </x:is>
      </x:c>
      <x:c r="B57" s="25" t="inlineStr">
        <x:is>
          <x:t xml:space="preserve">Surface clutter band</x:t>
        </x:is>
      </x:c>
      <x:c r="C57" s="29" t="n">
        <x:v>12</x:v>
      </x:c>
      <x:c r="D57" s="25" t="inlineStr">
        <x:is>
          <x:t xml:space="preserve">us</x:t>
        </x:is>
      </x:c>
      <x:c r="E57" s="25" t="inlineStr">
        <x:is>
          <x:t xml:space="preserve">Approximate near-surface clutter window.</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3.800000190734863"/>
  <x:cols>
    <x:col min="1" max="2" width="10" style="73" customWidth="1"/>
    <x:col min="3" max="5" width="12" style="73" customWidth="1"/>
    <x:col min="6" max="6" width="16" style="73" customWidth="1"/>
    <x:col min="7" max="7" width="14" style="73" customWidth="1"/>
    <x:col min="8" max="8" width="16" style="73" customWidth="1"/>
    <x:col min="9" max="11" width="14" style="73" customWidth="1"/>
    <x:col min="12" max="12" width="11" style="73" customWidth="1"/>
    <x:col min="13" max="13" width="10" style="73" customWidth="1"/>
    <x:col min="14" max="14" width="12" style="73" customWidth="1"/>
    <x:col min="15" max="17" width="14" style="73" customWidth="1"/>
    <x:col min="18" max="21" width="13" style="73" customWidth="1"/>
    <x:col min="22" max="23" width="16" style="73" customWidth="1"/>
    <x:col min="24" max="25" width="13" style="73" customWidth="1"/>
    <x:col min="26" max="28" width="15" style="73" customWidth="1"/>
    <x:col min="29" max="30" width="18" style="73" customWidth="1"/>
    <x:col min="31" max="33" width="16" style="73" customWidth="1"/>
    <x:col min="34" max="34" width="14" style="73" customWidth="1"/>
    <x:col min="35" max="36" width="20" style="73" customWidth="1"/>
    <x:col min="37" max="43" width="18" style="73" customWidth="1"/>
    <x:col min="44" max="45" width="16" style="73" customWidth="1"/>
  </x:cols>
  <x:sheetData>
    <x:row r="1" s="73" customFormat="1" ht="26.25" customHeight="1">
      <x:c r="A1" s="2" t="inlineStr">
        <x:is>
          <x:t xml:space="preserve">x_km</x:t>
        </x:is>
      </x:c>
      <x:c r="B1" s="2" t="inlineStr">
        <x:is>
          <x:t xml:space="preserve">z_km</x:t>
        </x:is>
      </x:c>
      <x:c r="C1" s="2" t="inlineStr">
        <x:is>
          <x:t xml:space="preserve">R_nadir_km</x:t>
        </x:is>
      </x:c>
      <x:c r="D1" s="2" t="inlineStr">
        <x:is>
          <x:t xml:space="preserve">R_off_km</x:t>
        </x:is>
      </x:c>
      <x:c r="E1" s="2" t="inlineStr">
        <x:is>
          <x:t xml:space="preserve">Delta_R_m</x:t>
        </x:is>
      </x:c>
      <x:c r="F1" s="2" t="inlineStr">
        <x:is>
          <x:t xml:space="preserve">apparent_depth_m</x:t>
        </x:is>
      </x:c>
      <x:c r="G1" s="2" t="inlineStr">
        <x:is>
          <x:t xml:space="preserve">extra_delay_us</x:t>
        </x:is>
      </x:c>
      <x:c r="H1" s="2" t="inlineStr">
        <x:is>
          <x:t xml:space="preserve">horizontal_offset_km</x:t>
        </x:is>
      </x:c>
      <x:c r="I1" s="2" t="inlineStr">
        <x:is>
          <x:t xml:space="preserve">look_angle_deg</x:t>
        </x:is>
      </x:c>
      <x:c r="J1" s="2" t="inlineStr">
        <x:is>
          <x:t xml:space="preserve">vhf_phase_deg</x:t>
        </x:is>
      </x:c>
      <x:c r="K1" s="2" t="inlineStr">
        <x:is>
          <x:t xml:space="preserve">relative_power</x:t>
        </x:is>
      </x:c>
      <x:c r="L1" s="2" t="inlineStr">
        <x:is>
          <x:t xml:space="preserve">power_dB</x:t>
        </x:is>
      </x:c>
      <x:c r="M1" s="2" t="inlineStr">
        <x:is>
          <x:t xml:space="preserve">dz_dx</x:t>
        </x:is>
      </x:c>
      <x:c r="N1" s="2" t="inlineStr">
        <x:is>
          <x:t xml:space="preserve">dz_dt_km_s</x:t>
        </x:is>
      </x:c>
      <x:c r="O1" s="2" t="inlineStr">
        <x:is>
          <x:t xml:space="preserve">range_rate_m_s</x:t>
        </x:is>
      </x:c>
      <x:c r="P1" s="2" t="inlineStr">
        <x:is>
          <x:t xml:space="preserve">vhf_doppler_hz</x:t>
        </x:is>
      </x:c>
      <x:c r="Q1" s="2" t="inlineStr">
        <x:is>
          <x:t xml:space="preserve">hf_doppler_hz</x:t>
        </x:is>
      </x:c>
      <x:c r="R1" s="2" t="inlineStr">
        <x:is>
          <x:t xml:space="preserve">vhf_band_low_m</x:t>
        </x:is>
      </x:c>
      <x:c r="S1" s="2" t="inlineStr">
        <x:is>
          <x:t xml:space="preserve">vhf_band_high_m</x:t>
        </x:is>
      </x:c>
      <x:c r="T1" s="2" t="inlineStr">
        <x:is>
          <x:t xml:space="preserve">hf_band_low_m</x:t>
        </x:is>
      </x:c>
      <x:c r="U1" s="2" t="inlineStr">
        <x:is>
          <x:t xml:space="preserve">hf_band_high_m</x:t>
        </x:is>
      </x:c>
      <x:c r="V1" s="2" t="inlineStr">
        <x:is>
          <x:t xml:space="preserve">abs_vhf_doppler_hz</x:t>
        </x:is>
      </x:c>
      <x:c r="W1" s="2" t="inlineStr">
        <x:is>
          <x:t xml:space="preserve">abs_hf_doppler_hz</x:t>
        </x:is>
      </x:c>
      <x:c r="X1" s="2" t="inlineStr">
        <x:is>
          <x:t xml:space="preserve">h_nadir_m</x:t>
        </x:is>
      </x:c>
      <x:c r="Y1" s="2" t="inlineStr">
        <x:is>
          <x:t xml:space="preserve">h_target_m</x:t>
        </x:is>
      </x:c>
      <x:c r="Z1" s="2" t="inlineStr">
        <x:is>
          <x:t xml:space="preserve">R_nadir_topo_km</x:t>
        </x:is>
      </x:c>
      <x:c r="AA1" s="2" t="inlineStr">
        <x:is>
          <x:t xml:space="preserve">R_off_topo_km</x:t>
        </x:is>
      </x:c>
      <x:c r="AB1" s="2" t="inlineStr">
        <x:is>
          <x:t xml:space="preserve">Delta_R_topo_m</x:t>
        </x:is>
      </x:c>
      <x:c r="AC1" s="2" t="inlineStr">
        <x:is>
          <x:t xml:space="preserve">apparent_depth_topo_m</x:t>
        </x:is>
      </x:c>
      <x:c r="AD1" s="2" t="inlineStr">
        <x:is>
          <x:t xml:space="preserve">extra_delay_topo_us</x:t>
        </x:is>
      </x:c>
      <x:c r="AE1" s="2" t="inlineStr">
        <x:is>
          <x:t xml:space="preserve">look_angle_topo_deg</x:t>
        </x:is>
      </x:c>
      <x:c r="AF1" s="2" t="inlineStr">
        <x:is>
          <x:t xml:space="preserve">vhf_phase_topo_deg</x:t>
        </x:is>
      </x:c>
      <x:c r="AG1" s="2" t="inlineStr">
        <x:is>
          <x:t xml:space="preserve">relative_power_topo</x:t>
        </x:is>
      </x:c>
      <x:c r="AH1" s="2" t="inlineStr">
        <x:is>
          <x:t xml:space="preserve">power_dB_topo</x:t>
        </x:is>
      </x:c>
      <x:c r="AI1" s="2" t="inlineStr">
        <x:is>
          <x:t xml:space="preserve">depth_change_topo_minus_flat_m</x:t>
        </x:is>
      </x:c>
      <x:c r="AJ1" s="2" t="inlineStr">
        <x:is>
          <x:t xml:space="preserve">delay_change_topo_minus_flat_us</x:t>
        </x:is>
      </x:c>
      <x:c r="AK1" s="2" t="inlineStr">
        <x:is>
          <x:t xml:space="preserve">target_minus_nadir_height_m</x:t>
        </x:is>
      </x:c>
      <x:c r="AL1" s="2" t="inlineStr">
        <x:is>
          <x:t xml:space="preserve">range_rate_topo_m_s</x:t>
        </x:is>
      </x:c>
      <x:c r="AM1" s="2" t="inlineStr">
        <x:is>
          <x:t xml:space="preserve">vhf_doppler_topo_hz</x:t>
        </x:is>
      </x:c>
      <x:c r="AN1" s="2" t="inlineStr">
        <x:is>
          <x:t xml:space="preserve">hf_doppler_topo_hz</x:t>
        </x:is>
      </x:c>
      <x:c r="AO1" s="2" t="inlineStr">
        <x:is>
          <x:t xml:space="preserve">abs_vhf_doppler_topo_hz</x:t>
        </x:is>
      </x:c>
      <x:c r="AP1" s="2" t="inlineStr">
        <x:is>
          <x:t xml:space="preserve">abs_hf_doppler_topo_hz</x:t>
        </x:is>
      </x:c>
      <x:c r="AQ1" s="2" t="inlineStr">
        <x:is>
          <x:t xml:space="preserve">topo_depth_uncertainty_m</x:t>
        </x:is>
      </x:c>
      <x:c r="AR1" s="2" t="inlineStr">
        <x:is>
          <x:t xml:space="preserve">topo_depth_low_m</x:t>
        </x:is>
      </x:c>
      <x:c r="AS1" s="2" t="inlineStr">
        <x:is>
          <x:t xml:space="preserve">topo_depth_high_m</x:t>
        </x:is>
      </x:c>
    </x:row>
    <x:row r="2">
      <x:c r="A2" s="9" t="n">
        <x:f>Inputs!$C$7+0*(Inputs!$C$8-Inputs!$C$7)/240</x:f>
        <x:v>-60</x:v>
      </x:c>
      <x:c r="B2" s="9" t="n">
        <x:f>Inputs!$C$5+Inputs!$C$9*(A2/Inputs!$C$10)^2</x:f>
        <x:v>404</x:v>
      </x:c>
      <x:c r="C2" s="9" t="n">
        <x:f>B2</x:f>
        <x:v>404</x:v>
      </x:c>
      <x:c r="D2" s="9" t="n">
        <x:f>SQRT((Inputs!$C$52+B2)^2+Inputs!$C$52^2-2*(Inputs!$C$52+B2)*Inputs!$C$52*COS(SQRT(A2^2+Inputs!$C$6^2)/Inputs!$C$52))</x:f>
        <x:v>410.5287288387585</x:v>
      </x:c>
      <x:c r="E2" s="9" t="n">
        <x:f>(D2-C2)*1000</x:f>
        <x:v>6528.728838758525</x:v>
      </x:c>
      <x:c r="F2" s="9" t="n">
        <x:f>E2/Inputs!$C$12</x:f>
        <x:v>3667.825190313778</x:v>
      </x:c>
      <x:c r="G2" s="9" t="n">
        <x:f>2*E2/Inputs!$C$21*1000000</x:f>
        <x:v>43.55499055789139</x:v>
      </x:c>
      <x:c r="H2" s="9" t="n">
        <x:f>SQRT(A2^2+Inputs!$C$6^2)</x:f>
        <x:v>65</x:v>
      </x:c>
      <x:c r="I2" s="9" t="n">
        <x:f>DEGREES(ATAN(H2/B2))</x:f>
        <x:v>9.14005123413285</x:v>
      </x:c>
      <x:c r="J2" s="9" t="n">
        <x:f>DEGREES((2*PI()/Inputs!$C$13)*Inputs!$C$15*SIN(RADIANS(I2)))</x:f>
        <x:v>57.185372299425126</x:v>
      </x:c>
      <x:c r="K2" s="9" t="n">
        <x:f>(C2/D2)^4</x:f>
        <x:v>0.9378885685446497</x:v>
      </x:c>
      <x:c r="L2" s="9" t="n">
        <x:f>10*LOG10(K2)</x:f>
        <x:v>-0.27848757506786603</x:v>
      </x:c>
      <x:c r="M2" s="9" t="n">
        <x:f>2*(Inputs!$C$9/(Inputs!$C$10^2))*A2</x:f>
        <x:v>-0.13333333333333333</x:v>
      </x:c>
      <x:c r="N2" s="9" t="n">
        <x:f>M2*Inputs!$C$11</x:f>
        <x:v>-0.5333333333333333</x:v>
      </x:c>
      <x:c r="O2" s="9" t="n">
        <x:f>1000*(D3-D2)/(A3-A2)*Inputs!$C$11</x:f>
        <x:v>-1257.2455840172552</x:v>
      </x:c>
      <x:c r="P2" s="9" t="n">
        <x:f>-2*O2/Inputs!$C$13</x:f>
        <x:v>502.89823360690207</x:v>
      </x:c>
      <x:c r="Q2" s="9" t="n">
        <x:f>-2*O2/Inputs!$C$14</x:f>
        <x:v>75.51024528632163</x:v>
      </x:c>
      <x:c r="R2" s="9" t="n">
        <x:f>F2-Inputs!$C$16/2</x:f>
        <x:v>3652.825190313778</x:v>
      </x:c>
      <x:c r="S2" s="9" t="n">
        <x:f>F2+Inputs!$C$16/2</x:f>
        <x:v>3682.825190313778</x:v>
      </x:c>
      <x:c r="T2" s="9" t="n">
        <x:f>F2-Inputs!$C$17/2</x:f>
        <x:v>3517.825190313778</x:v>
      </x:c>
      <x:c r="U2" s="9" t="n">
        <x:f>F2+Inputs!$C$17/2</x:f>
        <x:v>3817.825190313778</x:v>
      </x:c>
      <x:c r="V2" s="9" t="n">
        <x:f>ABS(P2)</x:f>
        <x:v>502.89823360690207</x:v>
      </x:c>
      <x:c r="W2" s="9" t="n">
        <x:f>ABS(Q2)</x:f>
        <x:v>75.51024528632163</x:v>
      </x:c>
      <x:c r="X2" s="9"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x:f>
        <x:v>2.7642790376402013</x:v>
      </x:c>
      <x:c r="Y2" s="9"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x:f>
        <x:v>119.42638570504096</x:v>
      </x:c>
      <x:c r="Z2" s="9" t="n">
        <x:f>B2-X2/1000</x:f>
        <x:v>403.99723572096235</x:v>
      </x:c>
      <x:c r="AA2" s="9" t="n">
        <x:f>SQRT((Inputs!$C$52+B2)^2+(Inputs!$C$52+Y2/1000)^2-2*(Inputs!$C$52+B2)*(Inputs!$C$52+Y2/1000)*COS(SQRT(A2^2+Inputs!$C$6^2)/Inputs!$C$52))</x:f>
        <x:v>410.41169798793055</x:v>
      </x:c>
      <x:c r="AB2" s="9" t="n">
        <x:f>(AA2-Z2)*1000</x:f>
        <x:v>6414.462266968201</x:v>
      </x:c>
      <x:c r="AC2" s="9" t="n">
        <x:f>AB2/Inputs!$C$12</x:f>
        <x:v>3603.6304870607873</x:v>
      </x:c>
      <x:c r="AD2" s="9" t="n">
        <x:f>2*AB2/Inputs!$C$21*1000000</x:f>
        <x:v>42.79268604527871</x:v>
      </x:c>
      <x:c r="AE2" s="9" t="n">
        <x:f>DEGREES(ATAN(H2/(B2-Y2/1000)))</x:f>
        <x:v>9.142708283534203</x:v>
      </x:c>
      <x:c r="AF2" s="9" t="n">
        <x:f>DEGREES((2*PI()/Inputs!$C$13)*Inputs!$C$15*SIN(RADIANS(AE2)))</x:f>
        <x:v>57.201854998802176</x:v>
      </x:c>
      <x:c r="AG2" s="9" t="n">
        <x:f>(Z2/AA2)^4</x:f>
        <x:v>0.9389331015884215</x:v>
      </x:c>
      <x:c r="AH2" s="9" t="n">
        <x:f>10*LOG10(AG2)</x:f>
        <x:v>-0.27365349848903</x:v>
      </x:c>
      <x:c r="AI2" s="9" t="n">
        <x:f>AC2-F2</x:f>
        <x:v>-64.19470325299062</x:v>
      </x:c>
      <x:c r="AJ2" s="9" t="n">
        <x:f>AD2-G2</x:f>
        <x:v>-0.7623045126126797</x:v>
      </x:c>
      <x:c r="AK2" s="9" t="n">
        <x:f>Y2-X2</x:f>
        <x:v>116.66210666740075</x:v>
      </x:c>
      <x:c r="AL2" s="9" t="n">
        <x:f>1000*(AA3-AA2)/(A3-A2)*Inputs!$C$11</x:f>
        <x:v>-1189.0455786242455</x:v>
      </x:c>
      <x:c r="AM2" s="9" t="n">
        <x:f>-2*AL2/Inputs!$C$13</x:f>
        <x:v>475.6182314496982</x:v>
      </x:c>
      <x:c r="AN2" s="9" t="n">
        <x:f>-2*AL2/Inputs!$C$14</x:f>
        <x:v>71.41414886632106</x:v>
      </x:c>
      <x:c r="AO2" s="9" t="n">
        <x:f>ABS(AM2)</x:f>
        <x:v>475.6182314496982</x:v>
      </x:c>
      <x:c r="AP2" s="9" t="n">
        <x:f>ABS(AN2)</x:f>
        <x:v>71.41414886632106</x:v>
      </x:c>
      <x:c r="AQ2" s="9" t="n">
        <x:f>IF(OR(Inputs!$C$27=TRUE,Inputs!$C$27="TRUE",Inputs!$C$27=1),Inputs!$C$46/Inputs!$C$12,0)</x:f>
        <x:v>42.13483146067416</x:v>
      </x:c>
      <x:c r="AR2" s="9" t="n">
        <x:f>AC2-AQ2</x:f>
        <x:v>3561.495655600113</x:v>
      </x:c>
      <x:c r="AS2" s="9" t="n">
        <x:f>AC2+AQ2</x:f>
        <x:v>3645.7653185214617</x:v>
      </x:c>
    </x:row>
    <x:row r="3">
      <x:c r="A3" s="9" t="n">
        <x:f>Inputs!$C$7+1*(Inputs!$C$8-Inputs!$C$7)/240</x:f>
        <x:v>-59.5</x:v>
      </x:c>
      <x:c r="B3" s="9" t="n">
        <x:f>Inputs!$C$5+Inputs!$C$9*(A3/Inputs!$C$10)^2</x:f>
        <x:v>403.93361111111113</x:v>
      </x:c>
      <x:c r="C3" s="9" t="n">
        <x:f>B3</x:f>
        <x:v>403.93361111111113</x:v>
      </x:c>
      <x:c r="D3" s="9" t="n">
        <x:f>SQRT((Inputs!$C$52+B3)^2+Inputs!$C$52^2-2*(Inputs!$C$52+B3)*Inputs!$C$52*COS(SQRT(A3^2+Inputs!$C$6^2)/Inputs!$C$52))</x:f>
        <x:v>410.37157314075637</x:v>
      </x:c>
      <x:c r="E3" s="9" t="n">
        <x:f>(D3-C3)*1000</x:f>
        <x:v>6437.962029645234</x:v>
      </x:c>
      <x:c r="F3" s="9" t="n">
        <x:f>E3/Inputs!$C$12</x:f>
        <x:v>3616.8326009242887</x:v>
      </x:c>
      <x:c r="G3" s="9" t="n">
        <x:f>2*E3/Inputs!$C$21*1000000</x:f>
        <x:v>42.94945958677342</x:v>
      </x:c>
      <x:c r="H3" s="9" t="n">
        <x:f>SQRT(A3^2+Inputs!$C$6^2)</x:f>
        <x:v>64.53874805107394</x:v>
      </x:c>
      <x:c r="I3" s="9" t="n">
        <x:f>DEGREES(ATAN(H3/B3))</x:f>
        <x:v>9.07774203179775</x:v>
      </x:c>
      <x:c r="J3" s="9" t="n">
        <x:f>DEGREES((2*PI()/Inputs!$C$13)*Inputs!$C$15*SIN(RADIANS(I3)))</x:f>
        <x:v>56.79880917100207</x:v>
      </x:c>
      <x:c r="K3" s="9" t="n">
        <x:f>(C3/D3)^4</x:f>
        <x:v>0.9387088058105011</x:v>
      </x:c>
      <x:c r="L3" s="9" t="n">
        <x:f>10*LOG10(K3)</x:f>
        <x:v>-0.274691080988063</x:v>
      </x:c>
      <x:c r="M3" s="9" t="n">
        <x:f>2*(Inputs!$C$9/(Inputs!$C$10^2))*A3</x:f>
        <x:v>-0.1322222222222222</x:v>
      </x:c>
      <x:c r="N3" s="9" t="n">
        <x:f>M3*Inputs!$C$11</x:f>
        <x:v>-0.5288888888888889</x:v>
      </x:c>
      <x:c r="O3" s="9" t="n">
        <x:f>1000*(D4-D2)/(A4-A2)*Inputs!$C$11</x:f>
        <x:v>-1252.157532299634</x:v>
      </x:c>
      <x:c r="P3" s="9" t="n">
        <x:f>-2*O3/Inputs!$C$13</x:f>
        <x:v>500.86301291985365</x:v>
      </x:c>
      <x:c r="Q3" s="9" t="n">
        <x:f>-2*O3/Inputs!$C$14</x:f>
        <x:v>75.20465659457263</x:v>
      </x:c>
      <x:c r="R3" s="9" t="n">
        <x:f>F3-Inputs!$C$16/2</x:f>
        <x:v>3601.8326009242887</x:v>
      </x:c>
      <x:c r="S3" s="9" t="n">
        <x:f>F3+Inputs!$C$16/2</x:f>
        <x:v>3631.8326009242887</x:v>
      </x:c>
      <x:c r="T3" s="9" t="n">
        <x:f>F3-Inputs!$C$17/2</x:f>
        <x:v>3466.8326009242887</x:v>
      </x:c>
      <x:c r="U3" s="9" t="n">
        <x:f>F3+Inputs!$C$17/2</x:f>
        <x:v>3766.8326009242887</x:v>
      </x:c>
      <x:c r="V3" s="9" t="n">
        <x:f>ABS(P3)</x:f>
        <x:v>500.86301291985365</x:v>
      </x:c>
      <x:c r="W3" s="9" t="n">
        <x:f>ABS(Q3)</x:f>
        <x:v>75.20465659457263</x:v>
      </x:c>
      <x:c r="X3" s="9"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x:f>
        <x:v>19.645117006397193</x:v>
      </x:c>
      <x:c r="Y3" s="9"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x:f>
        <x:v>110.69606493723512</x:v>
      </x:c>
      <x:c r="Z3" s="9" t="n">
        <x:f>B3-X3/1000</x:f>
        <x:v>403.91396599410473</x:v>
      </x:c>
      <x:c r="AA3" s="9" t="n">
        <x:f>SQRT((Inputs!$C$52+B3)^2+(Inputs!$C$52+Y3/1000)^2-2*(Inputs!$C$52+B3)*(Inputs!$C$52+Y3/1000)*COS(SQRT(A3^2+Inputs!$C$6^2)/Inputs!$C$52))</x:f>
        <x:v>410.2630672906025</x:v>
      </x:c>
      <x:c r="AB3" s="9" t="n">
        <x:f>(AA3-Z3)*1000</x:f>
        <x:v>6349.101296497793</x:v>
      </x:c>
      <x:c r="AC3" s="9" t="n">
        <x:f>AB3/Inputs!$C$12</x:f>
        <x:v>3566.910840729097</x:v>
      </x:c>
      <x:c r="AD3" s="9" t="n">
        <x:f>2*AB3/Inputs!$C$21*1000000</x:f>
        <x:v>42.356644585754005</x:v>
      </x:c>
      <x:c r="AE3" s="9" t="n">
        <x:f>DEGREES(ATAN(H3/(B3-Y3/1000)))</x:f>
        <x:v>9.080188974539194</x:v>
      </x:c>
      <x:c r="AF3" s="9" t="n">
        <x:f>DEGREES((2*PI()/Inputs!$C$13)*Inputs!$C$15*SIN(RADIANS(AE3)))</x:f>
        <x:v>56.81399114973656</x:v>
      </x:c>
      <x:c r="AG3" s="9" t="n">
        <x:f>(Z3/AA3)^4</x:f>
        <x:v>0.939519479319425</x:v>
      </x:c>
      <x:c r="AH3" s="9" t="n">
        <x:f>10*LOG10(AG3)</x:f>
        <x:v>-0.270942111214783</x:v>
      </x:c>
      <x:c r="AI3" s="9" t="n">
        <x:f>AC3-F3</x:f>
        <x:v>-49.92176019519184</x:v>
      </x:c>
      <x:c r="AJ3" s="9" t="n">
        <x:f>AD3-G3</x:f>
        <x:v>-0.5928150010194173</x:v>
      </x:c>
      <x:c r="AK3" s="9" t="n">
        <x:f>Y3-X3</x:f>
        <x:v>91.05094793083794</x:v>
      </x:c>
      <x:c r="AL3" s="9" t="n">
        <x:f>1000*(AA4-AA2)/(A4-A2)*Inputs!$C$11</x:f>
        <x:v>-1227.182503017275</x:v>
      </x:c>
      <x:c r="AM3" s="9" t="n">
        <x:f>-2*AL3/Inputs!$C$13</x:f>
        <x:v>490.87300120691</x:v>
      </x:c>
      <x:c r="AN3" s="9" t="n">
        <x:f>-2*AL3/Inputs!$C$14</x:f>
        <x:v>73.70465483587238</x:v>
      </x:c>
      <x:c r="AO3" s="9" t="n">
        <x:f>ABS(AM3)</x:f>
        <x:v>490.87300120691</x:v>
      </x:c>
      <x:c r="AP3" s="9" t="n">
        <x:f>ABS(AN3)</x:f>
        <x:v>73.70465483587238</x:v>
      </x:c>
      <x:c r="AQ3" s="9" t="n">
        <x:f>IF(OR(Inputs!$C$27=TRUE,Inputs!$C$27="TRUE",Inputs!$C$27=1),Inputs!$C$46/Inputs!$C$12,0)</x:f>
        <x:v>42.13483146067416</x:v>
      </x:c>
      <x:c r="AR3" s="9" t="n">
        <x:f>AC3-AQ3</x:f>
        <x:v>3524.7760092684225</x:v>
      </x:c>
      <x:c r="AS3" s="9" t="n">
        <x:f>AC3+AQ3</x:f>
        <x:v>3609.0456721897713</x:v>
      </x:c>
    </x:row>
    <x:row r="4">
      <x:c r="A4" s="9" t="n">
        <x:f>Inputs!$C$7+2*(Inputs!$C$8-Inputs!$C$7)/240</x:f>
        <x:v>-59</x:v>
      </x:c>
      <x:c r="B4" s="9" t="n">
        <x:f>Inputs!$C$5+Inputs!$C$9*(A4/Inputs!$C$10)^2</x:f>
        <x:v>403.8677777777778</x:v>
      </x:c>
      <x:c r="C4" s="9" t="n">
        <x:f>B4</x:f>
        <x:v>403.8677777777778</x:v>
      </x:c>
      <x:c r="D4" s="9" t="n">
        <x:f>SQRT((Inputs!$C$52+B4)^2+Inputs!$C$52^2-2*(Inputs!$C$52+B4)*Inputs!$C$52*COS(SQRT(A4^2+Inputs!$C$6^2)/Inputs!$C$52))</x:f>
        <x:v>410.2156894556836</x:v>
      </x:c>
      <x:c r="E4" s="9" t="n">
        <x:f>(D4-C4)*1000</x:f>
        <x:v>6347.911677905813</x:v>
      </x:c>
      <x:c r="F4" s="9" t="n">
        <x:f>E4/Inputs!$C$12</x:f>
        <x:v>3566.242515677423</x:v>
      </x:c>
      <x:c r="G4" s="9" t="n">
        <x:f>2*E4/Inputs!$C$21*1000000</x:f>
        <x:v>42.348708304768714</x:v>
      </x:c>
      <x:c r="H4" s="9" t="n">
        <x:f>SQRT(A4^2+Inputs!$C$6^2)</x:f>
        <x:v>64.07807737440318</x:v>
      </x:c>
      <x:c r="I4" s="9" t="n">
        <x:f>DEGREES(ATAN(H4/B4))</x:f>
        <x:v>9.015458913989574</x:v>
      </x:c>
      <x:c r="J4" s="9" t="n">
        <x:f>DEGREES((2*PI()/Inputs!$C$13)*Inputs!$C$15*SIN(RADIANS(I4)))</x:f>
        <x:v>56.41234073822082</x:v>
      </x:c>
      <x:c r="K4" s="9" t="n">
        <x:f>(C4/D4)^4</x:f>
        <x:v>0.9395237263655014</x:v>
      </x:c>
      <x:c r="L4" s="9" t="n">
        <x:f>10*LOG10(K4)</x:f>
        <x:v>-0.270922479216224</x:v>
      </x:c>
      <x:c r="M4" s="9" t="n">
        <x:f>2*(Inputs!$C$9/(Inputs!$C$10^2))*A4</x:f>
        <x:v>-0.13111111111111112</x:v>
      </x:c>
      <x:c r="N4" s="9" t="n">
        <x:f>M4*Inputs!$C$11</x:f>
        <x:v>-0.5244444444444445</x:v>
      </x:c>
      <x:c r="O4" s="9" t="n">
        <x:f>1000*(D5-D3)/(A5-A3)*Inputs!$C$11</x:f>
        <x:v>-1241.977276069747</x:v>
      </x:c>
      <x:c r="P4" s="9" t="n">
        <x:f>-2*O4/Inputs!$C$13</x:f>
        <x:v>496.7909104278988</x:v>
      </x:c>
      <x:c r="Q4" s="9" t="n">
        <x:f>-2*O4/Inputs!$C$14</x:f>
        <x:v>74.59322979397881</x:v>
      </x:c>
      <x:c r="R4" s="9" t="n">
        <x:f>F4-Inputs!$C$16/2</x:f>
        <x:v>3551.242515677423</x:v>
      </x:c>
      <x:c r="S4" s="9" t="n">
        <x:f>F4+Inputs!$C$16/2</x:f>
        <x:v>3581.242515677423</x:v>
      </x:c>
      <x:c r="T4" s="9" t="n">
        <x:f>F4-Inputs!$C$17/2</x:f>
        <x:v>3416.242515677423</x:v>
      </x:c>
      <x:c r="U4" s="9" t="n">
        <x:f>F4+Inputs!$C$17/2</x:f>
        <x:v>3716.242515677423</x:v>
      </x:c>
      <x:c r="V4" s="9" t="n">
        <x:f>ABS(P4)</x:f>
        <x:v>496.7909104278988</x:v>
      </x:c>
      <x:c r="W4" s="9" t="n">
        <x:f>ABS(Q4)</x:f>
        <x:v>74.59322979397881</x:v>
      </x:c>
      <x:c r="X4" s="9"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x:f>
        <x:v>7.970448353767724</x:v>
      </x:c>
      <x:c r="Y4" s="9"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x:f>
        <x:v>112.99219424849355</x:v>
      </x:c>
      <x:c r="Z4" s="9" t="n">
        <x:f>B4-X4/1000</x:f>
        <x:v>403.85980732942403</x:v>
      </x:c>
      <x:c r="AA4" s="9" t="n">
        <x:f>SQRT((Inputs!$C$52+B4)^2+(Inputs!$C$52+Y4/1000)^2-2*(Inputs!$C$52+B4)*(Inputs!$C$52+Y4/1000)*COS(SQRT(A4^2+Inputs!$C$6^2)/Inputs!$C$52))</x:f>
        <x:v>410.10490236217623</x:v>
      </x:c>
      <x:c r="AB4" s="9" t="n">
        <x:f>(AA4-Z4)*1000</x:f>
        <x:v>6245.095032752204</x:v>
      </x:c>
      <x:c r="AC4" s="9" t="n">
        <x:f>AB4/Inputs!$C$12</x:f>
        <x:v>3508.4803554787663</x:v>
      </x:c>
      <x:c r="AD4" s="9" t="n">
        <x:f>2*AB4/Inputs!$C$21*1000000</x:f>
        <x:v>41.66278948052925</x:v>
      </x:c>
      <x:c r="AE4" s="9" t="n">
        <x:f>DEGREES(ATAN(H4/(B4-Y4/1000)))</x:f>
        <x:v>9.017940465982647</x:v>
      </x:c>
      <x:c r="AF4" s="9" t="n">
        <x:f>DEGREES((2*PI()/Inputs!$C$13)*Inputs!$C$15*SIN(RADIANS(AE4)))</x:f>
        <x:v>56.42774011364456</x:v>
      </x:c>
      <x:c r="AG4" s="9" t="n">
        <x:f>(Z4/AA4)^4</x:f>
        <x:v>0.9404651169236314</x:v>
      </x:c>
      <x:c r="AH4" s="9" t="n">
        <x:f>10*LOG10(AG4)</x:f>
        <x:v>-0.266573083629729</x:v>
      </x:c>
      <x:c r="AI4" s="9" t="n">
        <x:f>AC4-F4</x:f>
        <x:v>-57.7621601986566</x:v>
      </x:c>
      <x:c r="AJ4" s="9" t="n">
        <x:f>AD4-G4</x:f>
        <x:v>-0.6859188242394652</x:v>
      </x:c>
      <x:c r="AK4" s="9" t="n">
        <x:f>Y4-X4</x:f>
        <x:v>105.02174589472583</x:v>
      </x:c>
      <x:c r="AL4" s="9" t="n">
        <x:f>1000*(AA5-AA3)/(A5-A3)*Inputs!$C$11</x:f>
        <x:v>-1335.150537362324</x:v>
      </x:c>
      <x:c r="AM4" s="9" t="n">
        <x:f>-2*AL4/Inputs!$C$13</x:f>
        <x:v>534.0602149449296</x:v>
      </x:c>
      <x:c r="AN4" s="9" t="n">
        <x:f>-2*AL4/Inputs!$C$14</x:f>
        <x:v>80.18922146320266</x:v>
      </x:c>
      <x:c r="AO4" s="9" t="n">
        <x:f>ABS(AM4)</x:f>
        <x:v>534.0602149449296</x:v>
      </x:c>
      <x:c r="AP4" s="9" t="n">
        <x:f>ABS(AN4)</x:f>
        <x:v>80.18922146320266</x:v>
      </x:c>
      <x:c r="AQ4" s="9" t="n">
        <x:f>IF(OR(Inputs!$C$27=TRUE,Inputs!$C$27="TRUE",Inputs!$C$27=1),Inputs!$C$46/Inputs!$C$12,0)</x:f>
        <x:v>42.13483146067416</x:v>
      </x:c>
      <x:c r="AR4" s="9" t="n">
        <x:f>AC4-AQ4</x:f>
        <x:v>3466.345524018092</x:v>
      </x:c>
      <x:c r="AS4" s="9" t="n">
        <x:f>AC4+AQ4</x:f>
        <x:v>3550.6151869394407</x:v>
      </x:c>
    </x:row>
    <x:row r="5">
      <x:c r="A5" s="9" t="n">
        <x:f>Inputs!$C$7+3*(Inputs!$C$8-Inputs!$C$7)/240</x:f>
        <x:v>-58.5</x:v>
      </x:c>
      <x:c r="B5" s="9" t="n">
        <x:f>Inputs!$C$5+Inputs!$C$9*(A5/Inputs!$C$10)^2</x:f>
        <x:v>403.8025</x:v>
      </x:c>
      <x:c r="C5" s="9" t="n">
        <x:f>B5</x:f>
        <x:v>403.8025</x:v>
      </x:c>
      <x:c r="D5" s="9" t="n">
        <x:f>SQRT((Inputs!$C$52+B5)^2+Inputs!$C$52^2-2*(Inputs!$C$52+B5)*Inputs!$C$52*COS(SQRT(A5^2+Inputs!$C$6^2)/Inputs!$C$52))</x:f>
        <x:v>410.06107882173893</x:v>
      </x:c>
      <x:c r="E5" s="9" t="n">
        <x:f>(D5-C5)*1000</x:f>
        <x:v>6258.578821738922</x:v>
      </x:c>
      <x:c r="F5" s="9" t="n">
        <x:f>E5/Inputs!$C$12</x:f>
        <x:v>3516.055517830855</x:v>
      </x:c>
      <x:c r="G5" s="9" t="n">
        <x:f>2*E5/Inputs!$C$21*1000000</x:f>
        <x:v>41.7527436379932</x:v>
      </x:c>
      <x:c r="H5" s="9" t="n">
        <x:f>SQRT(A5^2+Inputs!$C$6^2)</x:f>
        <x:v>63.61800059731522</x:v>
      </x:c>
      <x:c r="I5" s="9" t="n">
        <x:f>DEGREES(ATAN(H5/B5))</x:f>
        <x:v>8.953204095149154</x:v>
      </x:c>
      <x:c r="J5" s="9" t="n">
        <x:f>DEGREES((2*PI()/Inputs!$C$13)*Inputs!$C$15*SIN(RADIANS(I5)))</x:f>
        <x:v>56.02598128601325</x:v>
      </x:c>
      <x:c r="K5" s="9" t="n">
        <x:f>(C5/D5)^4</x:f>
        <x:v>0.9403332952175725</x:v>
      </x:c>
      <x:c r="L5" s="9" t="n">
        <x:f>10*LOG10(K5)</x:f>
        <x:v>-0.267181861681228</x:v>
      </x:c>
      <x:c r="M5" s="9" t="n">
        <x:f>2*(Inputs!$C$9/(Inputs!$C$10^2))*A5</x:f>
        <x:v>-0.13</x:v>
      </x:c>
      <x:c r="N5" s="9" t="n">
        <x:f>M5*Inputs!$C$11</x:f>
        <x:v>-0.52</x:v>
      </x:c>
      <x:c r="O5" s="9" t="n">
        <x:f>1000*(D6-D4)/(A6-A4)*Inputs!$C$11</x:f>
        <x:v>-1231.7887414533288</x:v>
      </x:c>
      <x:c r="P5" s="9" t="n">
        <x:f>-2*O5/Inputs!$C$13</x:f>
        <x:v>492.71549658133154</x:v>
      </x:c>
      <x:c r="Q5" s="9" t="n">
        <x:f>-2*O5/Inputs!$C$14</x:f>
        <x:v>73.98130579299273</x:v>
      </x:c>
      <x:c r="R5" s="9" t="n">
        <x:f>F5-Inputs!$C$16/2</x:f>
        <x:v>3501.055517830855</x:v>
      </x:c>
      <x:c r="S5" s="9" t="n">
        <x:f>F5+Inputs!$C$16/2</x:f>
        <x:v>3531.055517830855</x:v>
      </x:c>
      <x:c r="T5" s="9" t="n">
        <x:f>F5-Inputs!$C$17/2</x:f>
        <x:v>3366.055517830855</x:v>
      </x:c>
      <x:c r="U5" s="9" t="n">
        <x:f>F5+Inputs!$C$17/2</x:f>
        <x:v>3666.055517830855</x:v>
      </x:c>
      <x:c r="V5" s="9" t="n">
        <x:f>ABS(P5)</x:f>
        <x:v>492.71549658133154</x:v>
      </x:c>
      <x:c r="W5" s="9" t="n">
        <x:f>ABS(Q5)</x:f>
        <x:v>73.98130579299273</x:v>
      </x:c>
      <x:c r="X5" s="9"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x:f>
        <x:v>21.747313566550197</x:v>
      </x:c>
      <x:c r="Y5" s="9"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x:f>
        <x:v>134.3858310571132</x:v>
      </x:c>
      <x:c r="Z5" s="9" t="n">
        <x:f>B5-X5/1000</x:f>
        <x:v>403.78075268643346</x:v>
      </x:c>
      <x:c r="AA5" s="9" t="n">
        <x:f>SQRT((Inputs!$C$52+B5)^2+(Inputs!$C$52+Y5/1000)^2-2*(Inputs!$C$52+B5)*(Inputs!$C$52+Y5/1000)*COS(SQRT(A5^2+Inputs!$C$6^2)/Inputs!$C$52))</x:f>
        <x:v>409.92927965626194</x:v>
      </x:c>
      <x:c r="AB5" s="9" t="n">
        <x:f>(AA5-Z5)*1000</x:f>
        <x:v>6148.526969828481</x:v>
      </x:c>
      <x:c r="AC5" s="9" t="n">
        <x:f>AB5/Inputs!$C$12</x:f>
        <x:v>3454.2286347351014</x:v>
      </x:c>
      <x:c r="AD5" s="9" t="n">
        <x:f>2*AB5/Inputs!$C$21*1000000</x:f>
        <x:v>41.018556709845456</x:v>
      </x:c>
      <x:c r="AE5" s="9" t="n">
        <x:f>DEGREES(ATAN(H5/(B5-Y5/1000)))</x:f>
        <x:v>8.956136413347307</x:v>
      </x:c>
      <x:c r="AF5" s="9" t="n">
        <x:f>DEGREES((2*PI()/Inputs!$C$13)*Inputs!$C$15*SIN(RADIANS(AE5)))</x:f>
        <x:v>56.044181025503505</x:v>
      </x:c>
      <x:c r="AG5" s="9" t="n">
        <x:f>(Z5/AA5)^4</x:f>
        <x:v>0.9413403947256603</x:v>
      </x:c>
      <x:c r="AH5" s="9" t="n">
        <x:f>10*LOG10(AG5)</x:f>
        <x:v>-0.262533045011359</x:v>
      </x:c>
      <x:c r="AI5" s="9" t="n">
        <x:f>AC5-F5</x:f>
        <x:v>-61.8268830957536</x:v>
      </x:c>
      <x:c r="AJ5" s="9" t="n">
        <x:f>AD5-G5</x:f>
        <x:v>-0.7341869281477429</x:v>
      </x:c>
      <x:c r="AK5" s="9" t="n">
        <x:f>Y5-X5</x:f>
        <x:v>112.638517490563</x:v>
      </x:c>
      <x:c r="AL5" s="9" t="n">
        <x:f>1000*(AA6-AA4)/(A6-A4)*Inputs!$C$11</x:f>
        <x:v>-1259.8023655077668</x:v>
      </x:c>
      <x:c r="AM5" s="9" t="n">
        <x:f>-2*AL5/Inputs!$C$13</x:f>
        <x:v>503.9209462031067</x:v>
      </x:c>
      <x:c r="AN5" s="9" t="n">
        <x:f>-2*AL5/Inputs!$C$14</x:f>
        <x:v>75.66380573620222</x:v>
      </x:c>
      <x:c r="AO5" s="9" t="n">
        <x:f>ABS(AM5)</x:f>
        <x:v>503.9209462031067</x:v>
      </x:c>
      <x:c r="AP5" s="9" t="n">
        <x:f>ABS(AN5)</x:f>
        <x:v>75.66380573620222</x:v>
      </x:c>
      <x:c r="AQ5" s="9" t="n">
        <x:f>IF(OR(Inputs!$C$27=TRUE,Inputs!$C$27="TRUE",Inputs!$C$27=1),Inputs!$C$46/Inputs!$C$12,0)</x:f>
        <x:v>42.13483146067416</x:v>
      </x:c>
      <x:c r="AR5" s="9" t="n">
        <x:f>AC5-AQ5</x:f>
        <x:v>3412.093803274427</x:v>
      </x:c>
      <x:c r="AS5" s="9" t="n">
        <x:f>AC5+AQ5</x:f>
        <x:v>3496.363466195776</x:v>
      </x:c>
    </x:row>
    <x:row r="6">
      <x:c r="A6" s="9" t="n">
        <x:f>Inputs!$C$7+4*(Inputs!$C$8-Inputs!$C$7)/240</x:f>
        <x:v>-58</x:v>
      </x:c>
      <x:c r="B6" s="9" t="n">
        <x:f>Inputs!$C$5+Inputs!$C$9*(A6/Inputs!$C$10)^2</x:f>
        <x:v>403.73777777777775</x:v>
      </x:c>
      <x:c r="C6" s="9" t="n">
        <x:f>B6</x:f>
        <x:v>403.73777777777775</x:v>
      </x:c>
      <x:c r="D6" s="9" t="n">
        <x:f>SQRT((Inputs!$C$52+B6)^2+Inputs!$C$52^2-2*(Inputs!$C$52+B6)*Inputs!$C$52*COS(SQRT(A6^2+Inputs!$C$6^2)/Inputs!$C$52))</x:f>
        <x:v>409.9077422703203</x:v>
      </x:c>
      <x:c r="E6" s="9" t="n">
        <x:f>(D6-C6)*1000</x:f>
        <x:v>6169.964492542533</x:v>
      </x:c>
      <x:c r="F6" s="9" t="n">
        <x:f>E6/Inputs!$C$12</x:f>
        <x:v>3466.2721868216477</x:v>
      </x:c>
      <x:c r="G6" s="9" t="n">
        <x:f>2*E6/Inputs!$C$21*1000000</x:f>
        <x:v>41.1615724671935</x:v>
      </x:c>
      <x:c r="H6" s="9" t="n">
        <x:f>SQRT(A6^2+Inputs!$C$6^2)</x:f>
        <x:v>63.15853069855251</x:v>
      </x:c>
      <x:c r="I6" s="9" t="n">
        <x:f>DEGREES(ATAN(H6/B6))</x:f>
        <x:v>8.890979841704603</x:v>
      </x:c>
      <x:c r="J6" s="9" t="n">
        <x:f>DEGREES((2*PI()/Inputs!$C$13)*Inputs!$C$15*SIN(RADIANS(I6)))</x:f>
        <x:v>55.639745430303066</x:v>
      </x:c>
      <x:c r="K6" s="9" t="n">
        <x:f>(C6/D6)^4</x:f>
        <x:v>0.9411374775137034</x:v>
      </x:c>
      <x:c r="L6" s="9" t="n">
        <x:f>10*LOG10(K6)</x:f>
        <x:v>-0.263469319770038</x:v>
      </x:c>
      <x:c r="M6" s="9" t="n">
        <x:f>2*(Inputs!$C$9/(Inputs!$C$10^2))*A6</x:f>
        <x:v>-0.1288888888888889</x:v>
      </x:c>
      <x:c r="N6" s="9" t="n">
        <x:f>M6*Inputs!$C$11</x:f>
        <x:v>-0.5155555555555555</x:v>
      </x:c>
      <x:c r="O6" s="9" t="n">
        <x:f>1000*(D7-D5)/(A7-A5)*Inputs!$C$11</x:f>
        <x:v>-1221.5919830948678</x:v>
      </x:c>
      <x:c r="P6" s="9" t="n">
        <x:f>-2*O6/Inputs!$C$13</x:f>
        <x:v>488.63679323794713</x:v>
      </x:c>
      <x:c r="Q6" s="9" t="n">
        <x:f>-2*O6/Inputs!$C$14</x:f>
        <x:v>73.36888787356564</x:v>
      </x:c>
      <x:c r="R6" s="9" t="n">
        <x:f>F6-Inputs!$C$16/2</x:f>
        <x:v>3451.2721868216477</x:v>
      </x:c>
      <x:c r="S6" s="9" t="n">
        <x:f>F6+Inputs!$C$16/2</x:f>
        <x:v>3481.2721868216477</x:v>
      </x:c>
      <x:c r="T6" s="9" t="n">
        <x:f>F6-Inputs!$C$17/2</x:f>
        <x:v>3316.2721868216477</x:v>
      </x:c>
      <x:c r="U6" s="9" t="n">
        <x:f>F6+Inputs!$C$17/2</x:f>
        <x:v>3616.2721868216477</x:v>
      </x:c>
      <x:c r="V6" s="9" t="n">
        <x:f>ABS(P6)</x:f>
        <x:v>488.63679323794713</x:v>
      </x:c>
      <x:c r="W6" s="9" t="n">
        <x:f>ABS(Q6)</x:f>
        <x:v>73.36888787356564</x:v>
      </x:c>
      <x:c r="X6" s="9"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x:f>
        <x:v>31.86691354901535</x:v>
      </x:c>
      <x:c r="Y6" s="9"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x:f>
        <x:v>120.06952906780961</x:v>
      </x:c>
      <x:c r="Z6" s="9" t="n">
        <x:f>B6-X6/1000</x:f>
        <x:v>403.7059108642287</x:v>
      </x:c>
      <x:c r="AA6" s="9" t="n">
        <x:f>SQRT((Inputs!$C$52+B6)^2+(Inputs!$C$52+Y6/1000)^2-2*(Inputs!$C$52+B6)*(Inputs!$C$52+Y6/1000)*COS(SQRT(A6^2+Inputs!$C$6^2)/Inputs!$C$52))</x:f>
        <x:v>409.7899517707993</x:v>
      </x:c>
      <x:c r="AB6" s="9" t="n">
        <x:f>(AA6-Z6)*1000</x:f>
        <x:v>6084.040906570579</x:v>
      </x:c>
      <x:c r="AC6" s="9" t="n">
        <x:f>AB6/Inputs!$C$12</x:f>
        <x:v>3418.000509309314</x:v>
      </x:c>
      <x:c r="AD6" s="9" t="n">
        <x:f>2*AB6/Inputs!$C$21*1000000</x:f>
        <x:v>40.5883520029752</x:v>
      </x:c>
      <x:c r="AE6" s="9" t="n">
        <x:f>DEGREES(ATAN(H6/(B6-Y6/1000)))</x:f>
        <x:v>8.893582485768457</x:v>
      </x:c>
      <x:c r="AF6" s="9" t="n">
        <x:f>DEGREES((2*PI()/Inputs!$C$13)*Inputs!$C$15*SIN(RADIANS(AE6)))</x:f>
        <x:v>55.65590177488105</x:v>
      </x:c>
      <x:c r="AG6" s="9" t="n">
        <x:f>(Z6/AA6)^4</x:f>
        <x:v>0.9419225892839321</x:v>
      </x:c>
      <x:c r="AH6" s="9" t="n">
        <x:f>10*LOG10(AG6)</x:f>
        <x:v>-0.259847876829825</x:v>
      </x:c>
      <x:c r="AI6" s="9" t="n">
        <x:f>AC6-F6</x:f>
        <x:v>-48.271677512333554</x:v>
      </x:c>
      <x:c r="AJ6" s="9" t="n">
        <x:f>AD6-G6</x:f>
        <x:v>-0.5732204642183021</x:v>
      </x:c>
      <x:c r="AK6" s="9" t="n">
        <x:f>Y6-X6</x:f>
        <x:v>88.20261551879426</x:v>
      </x:c>
      <x:c r="AL6" s="9" t="n">
        <x:f>1000*(AA7-AA5)/(A7-A5)*Inputs!$C$11</x:f>
        <x:v>-1239.6019379007157</x:v>
      </x:c>
      <x:c r="AM6" s="9" t="n">
        <x:f>-2*AL6/Inputs!$C$13</x:f>
        <x:v>495.8407751602863</x:v>
      </x:c>
      <x:c r="AN6" s="9" t="n">
        <x:f>-2*AL6/Inputs!$C$14</x:f>
        <x:v>74.45056684088384</x:v>
      </x:c>
      <x:c r="AO6" s="9" t="n">
        <x:f>ABS(AM6)</x:f>
        <x:v>495.8407751602863</x:v>
      </x:c>
      <x:c r="AP6" s="9" t="n">
        <x:f>ABS(AN6)</x:f>
        <x:v>74.45056684088384</x:v>
      </x:c>
      <x:c r="AQ6" s="9" t="n">
        <x:f>IF(OR(Inputs!$C$27=TRUE,Inputs!$C$27="TRUE",Inputs!$C$27=1),Inputs!$C$46/Inputs!$C$12,0)</x:f>
        <x:v>42.13483146067416</x:v>
      </x:c>
      <x:c r="AR6" s="9" t="n">
        <x:f>AC6-AQ6</x:f>
        <x:v>3375.8656778486397</x:v>
      </x:c>
      <x:c r="AS6" s="9" t="n">
        <x:f>AC6+AQ6</x:f>
        <x:v>3460.1353407699885</x:v>
      </x:c>
    </x:row>
    <x:row r="7">
      <x:c r="A7" s="9" t="n">
        <x:f>Inputs!$C$7+5*(Inputs!$C$8-Inputs!$C$7)/240</x:f>
        <x:v>-57.5</x:v>
      </x:c>
      <x:c r="B7" s="9" t="n">
        <x:f>Inputs!$C$5+Inputs!$C$9*(A7/Inputs!$C$10)^2</x:f>
        <x:v>403.6736111111111</x:v>
      </x:c>
      <x:c r="C7" s="9" t="n">
        <x:f>B7</x:f>
        <x:v>403.6736111111111</x:v>
      </x:c>
      <x:c r="D7" s="9" t="n">
        <x:f>SQRT((Inputs!$C$52+B7)^2+Inputs!$C$52^2-2*(Inputs!$C$52+B7)*Inputs!$C$52*COS(SQRT(A7^2+Inputs!$C$6^2)/Inputs!$C$52))</x:f>
        <x:v>409.7556808259652</x:v>
      </x:c>
      <x:c r="E7" s="9" t="n">
        <x:f>(D7-C7)*1000</x:f>
        <x:v>6082.0697148541285</x:v>
      </x:c>
      <x:c r="F7" s="9" t="n">
        <x:f>E7/Inputs!$C$12</x:f>
        <x:v>3416.8930982326565</x:v>
      </x:c>
      <x:c r="G7" s="9" t="n">
        <x:f>2*E7/Inputs!$C$21*1000000</x:f>
        <x:v>40.575201627348</x:v>
      </x:c>
      <x:c r="H7" s="9" t="n">
        <x:f>SQRT(A7^2+Inputs!$C$6^2)</x:f>
        <x:v>62.69968101992226</x:v>
      </x:c>
      <x:c r="I7" s="9" t="n">
        <x:f>DEGREES(ATAN(H7/B7))</x:f>
        <x:v>8.828788473728661</x:v>
      </x:c>
      <x:c r="J7" s="9" t="n">
        <x:f>DEGREES((2*PI()/Inputs!$C$13)*Inputs!$C$15*SIN(RADIANS(I7)))</x:f>
        <x:v>55.25364812839616</x:v>
      </x:c>
      <x:c r="K7" s="9" t="n">
        <x:f>(C7/D7)^4</x:f>
        <x:v>0.9419362385433314</x:v>
      </x:c>
      <x:c r="L7" s="9" t="n">
        <x:f>10*LOG10(K7)</x:f>
        <x:v>-0.259784944321808</x:v>
      </x:c>
      <x:c r="M7" s="9" t="n">
        <x:f>2*(Inputs!$C$9/(Inputs!$C$10^2))*A7</x:f>
        <x:v>-0.12777777777777777</x:v>
      </x:c>
      <x:c r="N7" s="9" t="n">
        <x:f>M7*Inputs!$C$11</x:f>
        <x:v>-0.5111111111111111</x:v>
      </x:c>
      <x:c r="O7" s="9" t="n">
        <x:f>1000*(D8-D6)/(A8-A6)*Inputs!$C$11</x:f>
        <x:v>-1211.38705600697</x:v>
      </x:c>
      <x:c r="P7" s="9" t="n">
        <x:f>-2*O7/Inputs!$C$13</x:f>
        <x:v>484.554822402788</x:v>
      </x:c>
      <x:c r="Q7" s="9" t="n">
        <x:f>-2*O7/Inputs!$C$14</x:f>
        <x:v>72.75597933975796</x:v>
      </x:c>
      <x:c r="R7" s="9" t="n">
        <x:f>F7-Inputs!$C$16/2</x:f>
        <x:v>3401.8930982326565</x:v>
      </x:c>
      <x:c r="S7" s="9" t="n">
        <x:f>F7+Inputs!$C$16/2</x:f>
        <x:v>3431.8930982326565</x:v>
      </x:c>
      <x:c r="T7" s="9" t="n">
        <x:f>F7-Inputs!$C$17/2</x:f>
        <x:v>3266.8930982326565</x:v>
      </x:c>
      <x:c r="U7" s="9" t="n">
        <x:f>F7+Inputs!$C$17/2</x:f>
        <x:v>3566.8930982326565</x:v>
      </x:c>
      <x:c r="V7" s="9" t="n">
        <x:f>ABS(P7)</x:f>
        <x:v>484.554822402788</x:v>
      </x:c>
      <x:c r="W7" s="9" t="n">
        <x:f>ABS(Q7)</x:f>
        <x:v>72.75597933975796</x:v>
      </x:c>
      <x:c r="X7" s="9"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x:f>
        <x:v>34.58634748797326</x:v>
      </x:c>
      <x:c r="Y7" s="9"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x:f>
        <x:v>138.90151425445745</x:v>
      </x:c>
      <x:c r="Z7" s="9" t="n">
        <x:f>B7-X7/1000</x:f>
        <x:v>403.6390247636231</x:v>
      </x:c>
      <x:c r="AA7" s="9" t="n">
        <x:f>SQRT((Inputs!$C$52+B7)^2+(Inputs!$C$52+Y7/1000)^2-2*(Inputs!$C$52+B7)*(Inputs!$C$52+Y7/1000)*COS(SQRT(A7^2+Inputs!$C$6^2)/Inputs!$C$52))</x:f>
        <x:v>409.61937917178676</x:v>
      </x:c>
      <x:c r="AB7" s="9" t="n">
        <x:f>(AA7-Z7)*1000</x:f>
        <x:v>5980.354408163635</x:v>
      </x:c>
      <x:c r="AC7" s="9" t="n">
        <x:f>AB7/Inputs!$C$12</x:f>
        <x:v>3359.74966750766</x:v>
      </x:c>
      <x:c r="AD7" s="9" t="n">
        <x:f>2*AB7/Inputs!$C$21*1000000</x:f>
        <x:v>39.89663014246766</x:v>
      </x:c>
      <x:c r="AE7" s="9" t="n">
        <x:f>DEGREES(ATAN(H7/(B7-Y7/1000)))</x:f>
        <x:v>8.831779547584913</x:v>
      </x:c>
      <x:c r="AF7" s="9" t="n">
        <x:f>DEGREES((2*PI()/Inputs!$C$13)*Inputs!$C$15*SIN(RADIANS(AE7)))</x:f>
        <x:v>55.27221884786168</x:v>
      </x:c>
      <x:c r="AG7" s="9" t="n">
        <x:f>(Z7/AA7)^4</x:f>
        <x:v>0.9428673840668755</x:v>
      </x:c>
      <x:c r="AH7" s="9" t="n">
        <x:f>10*LOG10(AG7)</x:f>
        <x:v>-0.255493872395034</x:v>
      </x:c>
      <x:c r="AI7" s="9" t="n">
        <x:f>AC7-F7</x:f>
        <x:v>-57.143430724996506</x:v>
      </x:c>
      <x:c r="AJ7" s="9" t="n">
        <x:f>AD7-G7</x:f>
        <x:v>-0.6785714848803437</x:v>
      </x:c>
      <x:c r="AK7" s="9" t="n">
        <x:f>Y7-X7</x:f>
        <x:v>104.3151667664842</x:v>
      </x:c>
      <x:c r="AL7" s="9" t="n">
        <x:f>1000*(AA8-AA6)/(A8-A6)*Inputs!$C$11</x:f>
        <x:v>-1279.9416455063692</x:v>
      </x:c>
      <x:c r="AM7" s="9" t="n">
        <x:f>-2*AL7/Inputs!$C$13</x:f>
        <x:v>511.9766582025477</x:v>
      </x:c>
      <x:c r="AN7" s="9" t="n">
        <x:f>-2*AL7/Inputs!$C$14</x:f>
        <x:v>76.87337210248465</x:v>
      </x:c>
      <x:c r="AO7" s="9" t="n">
        <x:f>ABS(AM7)</x:f>
        <x:v>511.9766582025477</x:v>
      </x:c>
      <x:c r="AP7" s="9" t="n">
        <x:f>ABS(AN7)</x:f>
        <x:v>76.87337210248465</x:v>
      </x:c>
      <x:c r="AQ7" s="9" t="n">
        <x:f>IF(OR(Inputs!$C$27=TRUE,Inputs!$C$27="TRUE",Inputs!$C$27=1),Inputs!$C$46/Inputs!$C$12,0)</x:f>
        <x:v>42.13483146067416</x:v>
      </x:c>
      <x:c r="AR7" s="9" t="n">
        <x:f>AC7-AQ7</x:f>
        <x:v>3317.6148360469856</x:v>
      </x:c>
      <x:c r="AS7" s="9" t="n">
        <x:f>AC7+AQ7</x:f>
        <x:v>3401.8844989683344</x:v>
      </x:c>
    </x:row>
    <x:row r="8">
      <x:c r="A8" s="9" t="n">
        <x:f>Inputs!$C$7+6*(Inputs!$C$8-Inputs!$C$7)/240</x:f>
        <x:v>-57</x:v>
      </x:c>
      <x:c r="B8" s="9" t="n">
        <x:f>Inputs!$C$5+Inputs!$C$9*(A8/Inputs!$C$10)^2</x:f>
        <x:v>403.61</x:v>
      </x:c>
      <x:c r="C8" s="9" t="n">
        <x:f>B8</x:f>
        <x:v>403.61</x:v>
      </x:c>
      <x:c r="D8" s="9" t="n">
        <x:f>SQRT((Inputs!$C$52+B8)^2+Inputs!$C$52^2-2*(Inputs!$C$52+B8)*Inputs!$C$52*COS(SQRT(A8^2+Inputs!$C$6^2)/Inputs!$C$52))</x:f>
        <x:v>409.60489550631854</x:v>
      </x:c>
      <x:c r="E8" s="9" t="n">
        <x:f>(D8-C8)*1000</x:f>
        <x:v>5994.895506318528</x:v>
      </x:c>
      <x:c r="F8" s="9" t="n">
        <x:f>E8/Inputs!$C$12</x:f>
        <x:v>3367.918823774454</x:v>
      </x:c>
      <x:c r="G8" s="9" t="n">
        <x:f>2*E8/Inputs!$C$21*1000000</x:f>
        <x:v>39.99363790745215</x:v>
      </x:c>
      <x:c r="H8" s="9" t="n">
        <x:f>SQRT(A8^2+Inputs!$C$6^2)</x:f>
        <x:v>62.24146527838174</x:v>
      </x:c>
      <x:c r="I8" s="9" t="n">
        <x:f>DEGREES(ATAN(H8/B8))</x:f>
        <x:v>8.766632366658216</x:v>
      </x:c>
      <x:c r="J8" s="9" t="n">
        <x:f>DEGREES((2*PI()/Inputs!$C$13)*Inputs!$C$15*SIN(RADIANS(I8)))</x:f>
        <x:v>54.86770468976069</x:v>
      </x:c>
      <x:c r="K8" s="9" t="n">
        <x:f>(C8/D8)^4</x:f>
        <x:v>0.9427295437414654</x:v>
      </x:c>
      <x:c r="L8" s="9" t="n">
        <x:f>10*LOG10(K8)</x:f>
        <x:v>-0.256128825623194</x:v>
      </x:c>
      <x:c r="M8" s="9" t="n">
        <x:f>2*(Inputs!$C$9/(Inputs!$C$10^2))*A8</x:f>
        <x:v>-0.12666666666666668</x:v>
      </x:c>
      <x:c r="N8" s="9" t="n">
        <x:f>M8*Inputs!$C$11</x:f>
        <x:v>-0.5066666666666667</x:v>
      </x:c>
      <x:c r="O8" s="9" t="n">
        <x:f>1000*(D9-D7)/(A9-A7)*Inputs!$C$11</x:f>
        <x:v>-1201.1740155269308</x:v>
      </x:c>
      <x:c r="P8" s="9" t="n">
        <x:f>-2*O8/Inputs!$C$13</x:f>
        <x:v>480.4696062107723</x:v>
      </x:c>
      <x:c r="Q8" s="9" t="n">
        <x:f>-2*O8/Inputs!$C$14</x:f>
        <x:v>72.14258351513098</x:v>
      </x:c>
      <x:c r="R8" s="9" t="n">
        <x:f>F8-Inputs!$C$16/2</x:f>
        <x:v>3352.918823774454</x:v>
      </x:c>
      <x:c r="S8" s="9" t="n">
        <x:f>F8+Inputs!$C$16/2</x:f>
        <x:v>3382.918823774454</x:v>
      </x:c>
      <x:c r="T8" s="9" t="n">
        <x:f>F8-Inputs!$C$17/2</x:f>
        <x:v>3217.918823774454</x:v>
      </x:c>
      <x:c r="U8" s="9" t="n">
        <x:f>F8+Inputs!$C$17/2</x:f>
        <x:v>3517.918823774454</x:v>
      </x:c>
      <x:c r="V8" s="9" t="n">
        <x:f>ABS(P8)</x:f>
        <x:v>480.4696062107723</x:v>
      </x:c>
      <x:c r="W8" s="9" t="n">
        <x:f>ABS(Q8)</x:f>
        <x:v>72.14258351513098</x:v>
      </x:c>
      <x:c r="X8" s="9"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x:f>
        <x:v>55.44088303799376</x:v>
      </x:c>
      <x:c r="Y8" s="9"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x:f>
        <x:v>137.46604725484156</x:v>
      </x:c>
      <x:c r="Z8" s="9" t="n">
        <x:f>B8-X8/1000</x:f>
        <x:v>403.554559116962</x:v>
      </x:c>
      <x:c r="AA8" s="9" t="n">
        <x:f>SQRT((Inputs!$C$52+B8)^2+(Inputs!$C$52+Y8/1000)^2-2*(Inputs!$C$52+B8)*(Inputs!$C$52+Y8/1000)*COS(SQRT(A8^2+Inputs!$C$6^2)/Inputs!$C$52))</x:f>
        <x:v>409.4699663594227</x:v>
      </x:c>
      <x:c r="AB8" s="9" t="n">
        <x:f>(AA8-Z8)*1000</x:f>
        <x:v>5915.407242460674</x:v>
      </x:c>
      <x:c r="AC8" s="9" t="n">
        <x:f>AB8/Inputs!$C$12</x:f>
        <x:v>3323.2624957644234</x:v>
      </x:c>
      <x:c r="AD8" s="9" t="n">
        <x:f>2*AB8/Inputs!$C$21*1000000</x:f>
        <x:v>39.463349291199805</x:v>
      </x:c>
      <x:c r="AE8" s="9" t="n">
        <x:f>DEGREES(ATAN(H8/(B8-Y8/1000)))</x:f>
        <x:v>8.769572800126648</x:v>
      </x:c>
      <x:c r="AF8" s="9" t="n">
        <x:f>DEGREES((2*PI()/Inputs!$C$13)*Inputs!$C$15*SIN(RADIANS(AE8)))</x:f>
        <x:v>54.885964064778655</x:v>
      </x:c>
      <x:c r="AG8" s="9" t="n">
        <x:f>(Z8/AA8)^4</x:f>
        <x:v>0.943454197571992</x:v>
      </x:c>
      <x:c r="AH8" s="9" t="n">
        <x:f>10*LOG10(AG8)</x:f>
        <x:v>-0.25279178937928404</x:v>
      </x:c>
      <x:c r="AI8" s="9" t="n">
        <x:f>AC8-F8</x:f>
        <x:v>-44.65632801003039</x:v>
      </x:c>
      <x:c r="AJ8" s="9" t="n">
        <x:f>AD8-G8</x:f>
        <x:v>-0.5302886162523421</x:v>
      </x:c>
      <x:c r="AK8" s="9" t="n">
        <x:f>Y8-X8</x:f>
        <x:v>82.0251642168478</x:v>
      </x:c>
      <x:c r="AL8" s="9" t="n">
        <x:f>1000*(AA9-AA7)/(A9-A7)*Inputs!$C$11</x:f>
        <x:v>-1211.4958575868968</x:v>
      </x:c>
      <x:c r="AM8" s="9" t="n">
        <x:f>-2*AL8/Inputs!$C$13</x:f>
        <x:v>484.5983430347587</x:v>
      </x:c>
      <x:c r="AN8" s="9" t="n">
        <x:f>-2*AL8/Inputs!$C$14</x:f>
        <x:v>72.762513969183</x:v>
      </x:c>
      <x:c r="AO8" s="9" t="n">
        <x:f>ABS(AM8)</x:f>
        <x:v>484.5983430347587</x:v>
      </x:c>
      <x:c r="AP8" s="9" t="n">
        <x:f>ABS(AN8)</x:f>
        <x:v>72.762513969183</x:v>
      </x:c>
      <x:c r="AQ8" s="9" t="n">
        <x:f>IF(OR(Inputs!$C$27=TRUE,Inputs!$C$27="TRUE",Inputs!$C$27=1),Inputs!$C$46/Inputs!$C$12,0)</x:f>
        <x:v>42.13483146067416</x:v>
      </x:c>
      <x:c r="AR8" s="9" t="n">
        <x:f>AC8-AQ8</x:f>
        <x:v>3281.127664303749</x:v>
      </x:c>
      <x:c r="AS8" s="9" t="n">
        <x:f>AC8+AQ8</x:f>
        <x:v>3365.397327225098</x:v>
      </x:c>
    </x:row>
    <x:row r="9">
      <x:c r="A9" s="9" t="n">
        <x:f>Inputs!$C$7+7*(Inputs!$C$8-Inputs!$C$7)/240</x:f>
        <x:v>-56.5</x:v>
      </x:c>
      <x:c r="B9" s="9" t="n">
        <x:f>Inputs!$C$5+Inputs!$C$9*(A9/Inputs!$C$10)^2</x:f>
        <x:v>403.5469444444444</x:v>
      </x:c>
      <x:c r="C9" s="9" t="n">
        <x:f>B9</x:f>
        <x:v>403.5469444444444</x:v>
      </x:c>
      <x:c r="D9" s="9" t="n">
        <x:f>SQRT((Inputs!$C$52+B9)^2+Inputs!$C$52^2-2*(Inputs!$C$52+B9)*Inputs!$C$52*COS(SQRT(A9^2+Inputs!$C$6^2)/Inputs!$C$52))</x:f>
        <x:v>409.4553873220835</x:v>
      </x:c>
      <x:c r="E9" s="9" t="n">
        <x:f>(D9-C9)*1000</x:f>
        <x:v>5908.442877639061</x:v>
      </x:c>
      <x:c r="F9" s="9" t="n">
        <x:f>E9/Inputs!$C$12</x:f>
        <x:v>3319.3499312578997</x:v>
      </x:c>
      <x:c r="G9" s="9" t="n">
        <x:f>2*E9/Inputs!$C$21*1000000</x:f>
        <x:v>39.41688805019279</x:v>
      </x:c>
      <x:c r="H9" s="9" t="n">
        <x:f>SQRT(A9^2+Inputs!$C$6^2)</x:f>
        <x:v>61.78389757857625</x:v>
      </x:c>
      <x:c r="I9" s="9" t="n">
        <x:f>DEGREES(ATAN(H9/B9))</x:f>
        <x:v>8.704513953078392</x:v>
      </x:c>
      <x:c r="J9" s="9" t="n">
        <x:f>DEGREES((2*PI()/Inputs!$C$13)*Inputs!$C$15*SIN(RADIANS(I9)))</x:f>
        <x:v>54.48193078721229</x:v>
      </x:c>
      <x:c r="K9" s="9" t="n">
        <x:f>(C9/D9)^4</x:f>
        <x:v>0.943517358691968</x:v>
      </x:c>
      <x:c r="L9" s="9" t="n">
        <x:f>10*LOG10(K9)</x:f>
        <x:v>-0.252501053402946</x:v>
      </x:c>
      <x:c r="M9" s="9" t="n">
        <x:f>2*(Inputs!$C$9/(Inputs!$C$10^2))*A9</x:f>
        <x:v>-0.12555555555555556</x:v>
      </x:c>
      <x:c r="N9" s="9" t="n">
        <x:f>M9*Inputs!$C$11</x:f>
        <x:v>-0.5022222222222222</x:v>
      </x:c>
      <x:c r="O9" s="9" t="n">
        <x:f>1000*(D10-D8)/(A10-A8)*Inputs!$C$11</x:f>
        <x:v>-1190.9529173883584</x:v>
      </x:c>
      <x:c r="P9" s="9" t="n">
        <x:f>-2*O9/Inputs!$C$13</x:f>
        <x:v>476.38116695534336</x:v>
      </x:c>
      <x:c r="Q9" s="9" t="n">
        <x:f>-2*O9/Inputs!$C$14</x:f>
        <x:v>71.52870374704855</x:v>
      </x:c>
      <x:c r="R9" s="9" t="n">
        <x:f>F9-Inputs!$C$16/2</x:f>
        <x:v>3304.3499312578997</x:v>
      </x:c>
      <x:c r="S9" s="9" t="n">
        <x:f>F9+Inputs!$C$16/2</x:f>
        <x:v>3334.3499312578997</x:v>
      </x:c>
      <x:c r="T9" s="9" t="n">
        <x:f>F9-Inputs!$C$17/2</x:f>
        <x:v>3169.3499312578997</x:v>
      </x:c>
      <x:c r="U9" s="9" t="n">
        <x:f>F9+Inputs!$C$17/2</x:f>
        <x:v>3469.3499312578997</x:v>
      </x:c>
      <x:c r="V9" s="9" t="n">
        <x:f>ABS(P9)</x:f>
        <x:v>476.38116695534336</x:v>
      </x:c>
      <x:c r="W9" s="9" t="n">
        <x:f>ABS(Q9)</x:f>
        <x:v>71.52870374704855</x:v>
      </x:c>
      <x:c r="X9" s="9"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x:f>
        <x:v>57.32564727891993</x:v>
      </x:c>
      <x:c r="Y9" s="9"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x:f>
        <x:v>141.4558244940569</x:v>
      </x:c>
      <x:c r="Z9" s="9" t="n">
        <x:f>B9-X9/1000</x:f>
        <x:v>403.4896187971655</x:v>
      </x:c>
      <x:c r="AA9" s="9" t="n">
        <x:f>SQRT((Inputs!$C$52+B9)^2+(Inputs!$C$52+Y9/1000)^2-2*(Inputs!$C$52+B9)*(Inputs!$C$52+Y9/1000)*COS(SQRT(A9^2+Inputs!$C$6^2)/Inputs!$C$52))</x:f>
        <x:v>409.31650520739004</x:v>
      </x:c>
      <x:c r="AB9" s="9" t="n">
        <x:f>(AA9-Z9)*1000</x:f>
        <x:v>5826.886410224517</x:v>
      </x:c>
      <x:c r="AC9" s="9" t="n">
        <x:f>AB9/Inputs!$C$12</x:f>
        <x:v>3273.531691137369</x:v>
      </x:c>
      <x:c r="AD9" s="9" t="n">
        <x:f>2*AB9/Inputs!$C$21*1000000</x:f>
        <x:v>38.87280186497899</x:v>
      </x:c>
      <x:c r="AE9" s="9" t="n">
        <x:f>DEGREES(ATAN(H9/(B9-Y9/1000)))</x:f>
        <x:v>8.70751945434895</x:v>
      </x:c>
      <x:c r="AF9" s="9" t="n">
        <x:f>DEGREES((2*PI()/Inputs!$C$13)*Inputs!$C$15*SIN(RADIANS(AE9)))</x:f>
        <x:v>54.50059732573532</x:v>
      </x:c>
      <x:c r="AG9" s="9" t="n">
        <x:f>(Z9/AA9)^4</x:f>
        <x:v>0.9442618247329704</x:v>
      </x:c>
      <x:c r="AH9" s="9" t="n">
        <x:f>10*LOG10(AG9)</x:f>
        <x:v>-0.24907567915185402</x:v>
      </x:c>
      <x:c r="AI9" s="9" t="n">
        <x:f>AC9-F9</x:f>
        <x:v>-45.818240120530845</x:v>
      </x:c>
      <x:c r="AJ9" s="9" t="n">
        <x:f>AD9-G9</x:f>
        <x:v>-0.5440861852137999</x:v>
      </x:c>
      <x:c r="AK9" s="9" t="n">
        <x:f>Y9-X9</x:f>
        <x:v>84.13017721513698</x:v>
      </x:c>
      <x:c r="AL9" s="9" t="n">
        <x:f>1000*(AA10-AA8)/(A10-A8)*Inputs!$C$11</x:f>
        <x:v>-1307.7070373344668</x:v>
      </x:c>
      <x:c r="AM9" s="9" t="n">
        <x:f>-2*AL9/Inputs!$C$13</x:f>
        <x:v>523.0828149337867</x:v>
      </x:c>
      <x:c r="AN9" s="9" t="n">
        <x:f>-2*AL9/Inputs!$C$14</x:f>
        <x:v>78.54096320327129</x:v>
      </x:c>
      <x:c r="AO9" s="9" t="n">
        <x:f>ABS(AM9)</x:f>
        <x:v>523.0828149337867</x:v>
      </x:c>
      <x:c r="AP9" s="9" t="n">
        <x:f>ABS(AN9)</x:f>
        <x:v>78.54096320327129</x:v>
      </x:c>
      <x:c r="AQ9" s="9" t="n">
        <x:f>IF(OR(Inputs!$C$27=TRUE,Inputs!$C$27="TRUE",Inputs!$C$27=1),Inputs!$C$46/Inputs!$C$12,0)</x:f>
        <x:v>42.13483146067416</x:v>
      </x:c>
      <x:c r="AR9" s="9" t="n">
        <x:f>AC9-AQ9</x:f>
        <x:v>3231.3968596766945</x:v>
      </x:c>
      <x:c r="AS9" s="9" t="n">
        <x:f>AC9+AQ9</x:f>
        <x:v>3315.6665225980432</x:v>
      </x:c>
    </x:row>
    <x:row r="10">
      <x:c r="A10" s="9" t="n">
        <x:f>Inputs!$C$7+8*(Inputs!$C$8-Inputs!$C$7)/240</x:f>
        <x:v>-56</x:v>
      </x:c>
      <x:c r="B10" s="9" t="n">
        <x:f>Inputs!$C$5+Inputs!$C$9*(A10/Inputs!$C$10)^2</x:f>
        <x:v>403.4844444444444</x:v>
      </x:c>
      <x:c r="C10" s="9" t="n">
        <x:f>B10</x:f>
        <x:v>403.4844444444444</x:v>
      </x:c>
      <x:c r="D10" s="9" t="n">
        <x:f>SQRT((Inputs!$C$52+B10)^2+Inputs!$C$52^2-2*(Inputs!$C$52+B10)*Inputs!$C$52*COS(SQRT(A10^2+Inputs!$C$6^2)/Inputs!$C$52))</x:f>
        <x:v>409.30715727697145</x:v>
      </x:c>
      <x:c r="E10" s="9" t="n">
        <x:f>(D10-C10)*1000</x:f>
        <x:v>5822.712832527031</x:v>
      </x:c>
      <x:c r="F10" s="9" t="n">
        <x:f>E10/Inputs!$C$12</x:f>
        <x:v>3271.186984565748</x:v>
      </x:c>
      <x:c r="G10" s="9" t="n">
        <x:f>2*E10/Inputs!$C$21*1000000</x:f>
        <x:v>38.84495875161097</x:v>
      </x:c>
      <x:c r="H10" s="9" t="n">
        <x:f>SQRT(A10^2+Inputs!$C$6^2)</x:f>
        <x:v>61.326992425847855</x:v>
      </x:c>
      <x:c r="I10" s="9" t="n">
        <x:f>DEGREES(ATAN(H10/B10))</x:f>
        <x:v>8.642435724573849</x:v>
      </x:c>
      <x:c r="J10" s="9" t="n">
        <x:f>DEGREES((2*PI()/Inputs!$C$13)*Inputs!$C$15*SIN(RADIANS(I10)))</x:f>
        <x:v>54.09634246852054</x:v>
      </x:c>
      <x:c r="K10" s="9" t="n">
        <x:f>(C10/D10)^4</x:f>
        <x:v>0.9442996491308502</x:v>
      </x:c>
      <x:c r="L10" s="9" t="n">
        <x:f>10*LOG10(K10)</x:f>
        <x:v>-0.248901716826454</x:v>
      </x:c>
      <x:c r="M10" s="9" t="n">
        <x:f>2*(Inputs!$C$9/(Inputs!$C$10^2))*A10</x:f>
        <x:v>-0.12444444444444444</x:v>
      </x:c>
      <x:c r="N10" s="9" t="n">
        <x:f>M10*Inputs!$C$11</x:f>
        <x:v>-0.49777777777777776</x:v>
      </x:c>
      <x:c r="O10" s="9" t="n">
        <x:f>1000*(D11-D9)/(A11-A9)*Inputs!$C$11</x:f>
        <x:v>-1180.7238176422743</x:v>
      </x:c>
      <x:c r="P10" s="9" t="n">
        <x:f>-2*O10/Inputs!$C$13</x:f>
        <x:v>472.2895270569097</x:v>
      </x:c>
      <x:c r="Q10" s="9" t="n">
        <x:f>-2*O10/Inputs!$C$14</x:f>
        <x:v>70.9143434019384</x:v>
      </x:c>
      <x:c r="R10" s="9" t="n">
        <x:f>F10-Inputs!$C$16/2</x:f>
        <x:v>3256.186984565748</x:v>
      </x:c>
      <x:c r="S10" s="9" t="n">
        <x:f>F10+Inputs!$C$16/2</x:f>
        <x:v>3286.186984565748</x:v>
      </x:c>
      <x:c r="T10" s="9" t="n">
        <x:f>F10-Inputs!$C$17/2</x:f>
        <x:v>3121.186984565748</x:v>
      </x:c>
      <x:c r="U10" s="9" t="n">
        <x:f>F10+Inputs!$C$17/2</x:f>
        <x:v>3421.186984565748</x:v>
      </x:c>
      <x:c r="V10" s="9" t="n">
        <x:f>ABS(P10)</x:f>
        <x:v>472.2895270569097</x:v>
      </x:c>
      <x:c r="W10" s="9" t="n">
        <x:f>ABS(Q10)</x:f>
        <x:v>70.9143434019384</x:v>
      </x:c>
      <x:c r="X10" s="9"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x:f>
        <x:v>61.55956835196879</x:v>
      </x:c>
      <x:c r="Y10" s="9"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x:f>
        <x:v>167.1152389347629</x:v>
      </x:c>
      <x:c r="Z10" s="9" t="n">
        <x:f>B10-X10/1000</x:f>
        <x:v>403.42288487609244</x:v>
      </x:c>
      <x:c r="AA10" s="9" t="n">
        <x:f>SQRT((Inputs!$C$52+B10)^2+(Inputs!$C$52+Y10/1000)^2-2*(Inputs!$C$52+B10)*(Inputs!$C$52+Y10/1000)*COS(SQRT(A10^2+Inputs!$C$6^2)/Inputs!$C$52))</x:f>
        <x:v>409.1430396000891</x:v>
      </x:c>
      <x:c r="AB10" s="9" t="n">
        <x:f>(AA10-Z10)*1000</x:f>
        <x:v>5720.154723996643</x:v>
      </x:c>
      <x:c r="AC10" s="9" t="n">
        <x:f>AB10/Inputs!$C$12</x:f>
        <x:v>3213.570069661035</x:v>
      </x:c>
      <x:c r="AD10" s="9" t="n">
        <x:f>2*AB10/Inputs!$C$21*1000000</x:f>
        <x:v>38.16076469806751</x:v>
      </x:c>
      <x:c r="AE10" s="9" t="n">
        <x:f>DEGREES(ATAN(H10/(B10-Y10/1000)))</x:f>
        <x:v>8.645962628857616</x:v>
      </x:c>
      <x:c r="AF10" s="9" t="n">
        <x:f>DEGREES((2*PI()/Inputs!$C$13)*Inputs!$C$15*SIN(RADIANS(AE10)))</x:f>
        <x:v>54.118250938122365</x:v>
      </x:c>
      <x:c r="AG10" s="9" t="n">
        <x:f>(Z10/AA10)^4</x:f>
        <x:v>0.9452386115986542</x:v>
      </x:c>
      <x:c r="AH10" s="9" t="n">
        <x:f>10*LOG10(AG10)</x:f>
        <x:v>-0.24458546390347902</x:v>
      </x:c>
      <x:c r="AI10" s="9" t="n">
        <x:f>AC10-F10</x:f>
        <x:v>-57.61691490471276</x:v>
      </x:c>
      <x:c r="AJ10" s="9" t="n">
        <x:f>AD10-G10</x:f>
        <x:v>-0.6841940535434574</x:v>
      </x:c>
      <x:c r="AK10" s="9" t="n">
        <x:f>Y10-X10</x:f>
        <x:v>105.55567058279412</x:v>
      </x:c>
      <x:c r="AL10" s="9" t="n">
        <x:f>1000*(AA11-AA9)/(A11-A9)*Inputs!$C$11</x:f>
        <x:v>-1256.1566725983084</x:v>
      </x:c>
      <x:c r="AM10" s="9" t="n">
        <x:f>-2*AL10/Inputs!$C$13</x:f>
        <x:v>502.4626690393234</x:v>
      </x:c>
      <x:c r="AN10" s="9" t="n">
        <x:f>-2*AL10/Inputs!$C$14</x:f>
        <x:v>75.44484520109961</x:v>
      </x:c>
      <x:c r="AO10" s="9" t="n">
        <x:f>ABS(AM10)</x:f>
        <x:v>502.4626690393234</x:v>
      </x:c>
      <x:c r="AP10" s="9" t="n">
        <x:f>ABS(AN10)</x:f>
        <x:v>75.44484520109961</x:v>
      </x:c>
      <x:c r="AQ10" s="9" t="n">
        <x:f>IF(OR(Inputs!$C$27=TRUE,Inputs!$C$27="TRUE",Inputs!$C$27=1),Inputs!$C$46/Inputs!$C$12,0)</x:f>
        <x:v>42.13483146067416</x:v>
      </x:c>
      <x:c r="AR10" s="9" t="n">
        <x:f>AC10-AQ10</x:f>
        <x:v>3171.435238200361</x:v>
      </x:c>
      <x:c r="AS10" s="9" t="n">
        <x:f>AC10+AQ10</x:f>
        <x:v>3255.7049011217096</x:v>
      </x:c>
    </x:row>
    <x:row r="11">
      <x:c r="A11" s="9" t="n">
        <x:f>Inputs!$C$7+9*(Inputs!$C$8-Inputs!$C$7)/240</x:f>
        <x:v>-55.5</x:v>
      </x:c>
      <x:c r="B11" s="9" t="n">
        <x:f>Inputs!$C$5+Inputs!$C$9*(A11/Inputs!$C$10)^2</x:f>
        <x:v>403.4225</x:v>
      </x:c>
      <x:c r="C11" s="9" t="n">
        <x:f>B11</x:f>
        <x:v>403.4225</x:v>
      </x:c>
      <x:c r="D11" s="9" t="n">
        <x:f>SQRT((Inputs!$C$52+B11)^2+Inputs!$C$52^2-2*(Inputs!$C$52+B11)*Inputs!$C$52*COS(SQRT(A11^2+Inputs!$C$6^2)/Inputs!$C$52))</x:f>
        <x:v>409.1602063676729</x:v>
      </x:c>
      <x:c r="E11" s="9" t="n">
        <x:f>(D11-C11)*1000</x:f>
        <x:v>5737.706367672899</x:v>
      </x:c>
      <x:c r="F11" s="9" t="n">
        <x:f>E11/Inputs!$C$12</x:f>
        <x:v>3223.4305436364602</x:v>
      </x:c>
      <x:c r="G11" s="9" t="n">
        <x:f>2*E11/Inputs!$C$21*1000000</x:f>
        <x:v>38.27785666090973</x:v>
      </x:c>
      <x:c r="H11" s="9" t="n">
        <x:f>SQRT(A11^2+Inputs!$C$6^2)</x:f>
        <x:v>60.87076473973364</x:v>
      </x:c>
      <x:c r="I11" s="9" t="n">
        <x:f>DEGREES(ATAN(H11/B11))</x:f>
        <x:v>8.580400233649934</x:v>
      </x:c>
      <x:c r="J11" s="9" t="n">
        <x:f>DEGREES((2*PI()/Inputs!$C$13)*Inputs!$C$15*SIN(RADIANS(I11)))</x:f>
        <x:v>53.71095616845376</x:v>
      </x:c>
      <x:c r="K11" s="9" t="n">
        <x:f>(C11/D11)^4</x:f>
        <x:v>0.9450763809493679</x:v>
      </x:c>
      <x:c r="L11" s="9" t="n">
        <x:f>10*LOG10(K11)</x:f>
        <x:v>-0.24533090449122702</x:v>
      </x:c>
      <x:c r="M11" s="9" t="n">
        <x:f>2*(Inputs!$C$9/(Inputs!$C$10^2))*A11</x:f>
        <x:v>-0.12333333333333334</x:v>
      </x:c>
      <x:c r="N11" s="9" t="n">
        <x:f>M11*Inputs!$C$11</x:f>
        <x:v>-0.49333333333333335</x:v>
      </x:c>
      <x:c r="O11" s="9" t="n">
        <x:f>1000*(D12-D10)/(A12-A10)*Inputs!$C$11</x:f>
        <x:v>-1170.4867727003148</x:v>
      </x:c>
      <x:c r="P11" s="9" t="n">
        <x:f>-2*O11/Inputs!$C$13</x:f>
        <x:v>468.1947090801259</x:v>
      </x:c>
      <x:c r="Q11" s="9" t="n">
        <x:f>-2*O11/Inputs!$C$14</x:f>
        <x:v>70.29950586788678</x:v>
      </x:c>
      <x:c r="R11" s="9" t="n">
        <x:f>F11-Inputs!$C$16/2</x:f>
        <x:v>3208.4305436364602</x:v>
      </x:c>
      <x:c r="S11" s="9" t="n">
        <x:f>F11+Inputs!$C$16/2</x:f>
        <x:v>3238.4305436364602</x:v>
      </x:c>
      <x:c r="T11" s="9" t="n">
        <x:f>F11-Inputs!$C$17/2</x:f>
        <x:v>3073.4305436364602</x:v>
      </x:c>
      <x:c r="U11" s="9" t="n">
        <x:f>F11+Inputs!$C$17/2</x:f>
        <x:v>3373.4305436364602</x:v>
      </x:c>
      <x:c r="V11" s="9" t="n">
        <x:f>ABS(P11)</x:f>
        <x:v>468.1947090801259</x:v>
      </x:c>
      <x:c r="W11" s="9" t="n">
        <x:f>ABS(Q11)</x:f>
        <x:v>70.29950586788678</x:v>
      </x:c>
      <x:c r="X11" s="9"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x:f>
        <x:v>38.49658216595124</x:v>
      </x:c>
      <x:c r="Y11" s="9"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x:f>
        <x:v>160.57943103446084</x:v>
      </x:c>
      <x:c r="Z11" s="9" t="n">
        <x:f>B11-X11/1000</x:f>
        <x:v>403.38400341783404</x:v>
      </x:c>
      <x:c r="AA11" s="9" t="n">
        <x:f>SQRT((Inputs!$C$52+B11)^2+(Inputs!$C$52+Y11/1000)^2-2*(Inputs!$C$52+B11)*(Inputs!$C$52+Y11/1000)*COS(SQRT(A11^2+Inputs!$C$6^2)/Inputs!$C$52))</x:f>
        <x:v>409.00246603924046</x:v>
      </x:c>
      <x:c r="AB11" s="9" t="n">
        <x:f>(AA11-Z11)*1000</x:f>
        <x:v>5618.462621406423</x:v>
      </x:c>
      <x:c r="AC11" s="9" t="n">
        <x:f>AB11/Inputs!$C$12</x:f>
        <x:v>3156.4396749474286</x:v>
      </x:c>
      <x:c r="AD11" s="9" t="n">
        <x:f>2*AB11/Inputs!$C$21*1000000</x:f>
        <x:v>37.48234801428142</x:v>
      </x:c>
      <x:c r="AE11" s="9" t="n">
        <x:f>DEGREES(ATAN(H11/(B11-Y11/1000)))</x:f>
        <x:v>8.583766074736308</x:v>
      </x:c>
      <x:c r="AF11" s="9" t="n">
        <x:f>DEGREES((2*PI()/Inputs!$C$13)*Inputs!$C$15*SIN(RADIANS(AE11)))</x:f>
        <x:v>53.731867577258406</x:v>
      </x:c>
      <x:c r="AG11" s="9" t="n">
        <x:f>(Z11/AA11)^4</x:f>
        <x:v>0.9461739375699839</x:v>
      </x:c>
      <x:c r="AH11" s="9" t="n">
        <x:f>10*LOG10(AG11)</x:f>
        <x:v>-0.24029018795832</x:v>
      </x:c>
      <x:c r="AI11" s="9" t="n">
        <x:f>AC11-F11</x:f>
        <x:v>-66.99086868903169</x:v>
      </x:c>
      <x:c r="AJ11" s="9" t="n">
        <x:f>AD11-G11</x:f>
        <x:v>-0.7955086466283063</x:v>
      </x:c>
      <x:c r="AK11" s="9" t="n">
        <x:f>Y11-X11</x:f>
        <x:v>122.0828488685096</x:v>
      </x:c>
      <x:c r="AL11" s="9" t="n">
        <x:f>1000*(AA12-AA10)/(A12-A10)*Inputs!$C$11</x:f>
        <x:v>-1206.179141654502</x:v>
      </x:c>
      <x:c r="AM11" s="9" t="n">
        <x:f>-2*AL11/Inputs!$C$13</x:f>
        <x:v>482.4716566618008</x:v>
      </x:c>
      <x:c r="AN11" s="9" t="n">
        <x:f>-2*AL11/Inputs!$C$14</x:f>
        <x:v>72.44319169096109</x:v>
      </x:c>
      <x:c r="AO11" s="9" t="n">
        <x:f>ABS(AM11)</x:f>
        <x:v>482.4716566618008</x:v>
      </x:c>
      <x:c r="AP11" s="9" t="n">
        <x:f>ABS(AN11)</x:f>
        <x:v>72.44319169096109</x:v>
      </x:c>
      <x:c r="AQ11" s="9" t="n">
        <x:f>IF(OR(Inputs!$C$27=TRUE,Inputs!$C$27="TRUE",Inputs!$C$27=1),Inputs!$C$46/Inputs!$C$12,0)</x:f>
        <x:v>42.13483146067416</x:v>
      </x:c>
      <x:c r="AR11" s="9" t="n">
        <x:f>AC11-AQ11</x:f>
        <x:v>3114.304843486754</x:v>
      </x:c>
      <x:c r="AS11" s="9" t="n">
        <x:f>AC11+AQ11</x:f>
        <x:v>3198.574506408103</x:v>
      </x:c>
    </x:row>
    <x:row r="12">
      <x:c r="A12" s="9" t="n">
        <x:f>Inputs!$C$7+10*(Inputs!$C$8-Inputs!$C$7)/240</x:f>
        <x:v>-55</x:v>
      </x:c>
      <x:c r="B12" s="9" t="n">
        <x:f>Inputs!$C$5+Inputs!$C$9*(A12/Inputs!$C$10)^2</x:f>
        <x:v>403.3611111111111</x:v>
      </x:c>
      <x:c r="C12" s="9" t="n">
        <x:f>B12</x:f>
        <x:v>403.3611111111111</x:v>
      </x:c>
      <x:c r="D12" s="9" t="n">
        <x:f>SQRT((Inputs!$C$52+B12)^2+Inputs!$C$52^2-2*(Inputs!$C$52+B12)*Inputs!$C$52*COS(SQRT(A12^2+Inputs!$C$6^2)/Inputs!$C$52))</x:f>
        <x:v>409.0145355837964</x:v>
      </x:c>
      <x:c r="E12" s="9" t="n">
        <x:f>(D12-C12)*1000</x:f>
        <x:v>5653.424472685288</x:v>
      </x:c>
      <x:c r="F12" s="9" t="n">
        <x:f>E12/Inputs!$C$12</x:f>
        <x:v>3176.081164429937</x:v>
      </x:c>
      <x:c r="G12" s="9" t="n">
        <x:f>2*E12/Inputs!$C$21*1000000</x:f>
        <x:v>37.71558838004716</x:v>
      </x:c>
      <x:c r="H12" s="9" t="n">
        <x:f>SQRT(A12^2+Inputs!$C$6^2)</x:f>
        <x:v>60.41522986797286</x:v>
      </x:c>
      <x:c r="I12" s="9" t="n">
        <x:f>DEGREES(ATAN(H12/B12))</x:f>
        <x:v>8.518410095726479</x:v>
      </x:c>
      <x:c r="J12" s="9" t="n">
        <x:f>DEGREES((2*PI()/Inputs!$C$13)*Inputs!$C$15*SIN(RADIANS(I12)))</x:f>
        <x:v>53.32578872127919</x:v>
      </x:c>
      <x:c r="K12" s="9" t="n">
        <x:f>(C12/D12)^4</x:f>
        <x:v>0.9458475201974168</x:v>
      </x:c>
      <x:c r="L12" s="9" t="n">
        <x:f>10*LOG10(K12)</x:f>
        <x:v>-0.24178870442099198</x:v>
      </x:c>
      <x:c r="M12" s="9" t="n">
        <x:f>2*(Inputs!$C$9/(Inputs!$C$10^2))*A12</x:f>
        <x:v>-0.12222222222222222</x:v>
      </x:c>
      <x:c r="N12" s="9" t="n">
        <x:f>M12*Inputs!$C$11</x:f>
        <x:v>-0.4888888888888889</x:v>
      </x:c>
      <x:c r="O12" s="9" t="n">
        <x:f>1000*(D13-D11)/(A13-A11)*Inputs!$C$11</x:f>
        <x:v>-1160.241839347691</x:v>
      </x:c>
      <x:c r="P12" s="9" t="n">
        <x:f>-2*O12/Inputs!$C$13</x:f>
        <x:v>464.0967357390764</x:v>
      </x:c>
      <x:c r="Q12" s="9" t="n">
        <x:f>-2*O12/Inputs!$C$14</x:f>
        <x:v>69.68419455541688</x:v>
      </x:c>
      <x:c r="R12" s="9" t="n">
        <x:f>F12-Inputs!$C$16/2</x:f>
        <x:v>3161.081164429937</x:v>
      </x:c>
      <x:c r="S12" s="9" t="n">
        <x:f>F12+Inputs!$C$16/2</x:f>
        <x:v>3191.081164429937</x:v>
      </x:c>
      <x:c r="T12" s="9" t="n">
        <x:f>F12-Inputs!$C$17/2</x:f>
        <x:v>3026.081164429937</x:v>
      </x:c>
      <x:c r="U12" s="9" t="n">
        <x:f>F12+Inputs!$C$17/2</x:f>
        <x:v>3326.081164429937</x:v>
      </x:c>
      <x:c r="V12" s="9" t="n">
        <x:f>ABS(P12)</x:f>
        <x:v>464.0967357390764</x:v>
      </x:c>
      <x:c r="W12" s="9" t="n">
        <x:f>ABS(Q12)</x:f>
        <x:v>69.68419455541688</x:v>
      </x:c>
      <x:c r="X12" s="9"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x:f>
        <x:v>46.51195593176057</x:v>
      </x:c>
      <x:c r="Y12" s="9"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x:f>
        <x:v>176.10976359434375</x:v>
      </x:c>
      <x:c r="Z12" s="9" t="n">
        <x:f>B12-X12/1000</x:f>
        <x:v>403.31459915517934</x:v>
      </x:c>
      <x:c r="AA12" s="9" t="n">
        <x:f>SQRT((Inputs!$C$52+B12)^2+(Inputs!$C$52+Y12/1000)^2-2*(Inputs!$C$52+B12)*(Inputs!$C$52+Y12/1000)*COS(SQRT(A12^2+Inputs!$C$6^2)/Inputs!$C$52))</x:f>
        <x:v>408.84149481467546</x:v>
      </x:c>
      <x:c r="AB12" s="9" t="n">
        <x:f>(AA12-Z12)*1000</x:f>
        <x:v>5526.89565949612</x:v>
      </x:c>
      <x:c r="AC12" s="9" t="n">
        <x:f>AB12/Inputs!$C$12</x:f>
        <x:v>3104.997561514674</x:v>
      </x:c>
      <x:c r="AD12" s="9" t="n">
        <x:f>2*AB12/Inputs!$C$21*1000000</x:f>
        <x:v>36.87147899828834</x:v>
      </x:c>
      <x:c r="AE12" s="9" t="n">
        <x:f>DEGREES(ATAN(H12/(B12-Y12/1000)))</x:f>
        <x:v>8.522076283477121</x:v>
      </x:c>
      <x:c r="AF12" s="9" t="n">
        <x:f>DEGREES((2*PI()/Inputs!$C$13)*Inputs!$C$15*SIN(RADIANS(AE12)))</x:f>
        <x:v>53.34856983060745</x:v>
      </x:c>
      <x:c r="AG12" s="9" t="n">
        <x:f>(Z12/AA12)^4</x:f>
        <x:v>0.947012914248392</x:v>
      </x:c>
      <x:c r="AH12" s="9" t="n">
        <x:f>10*LOG10(AG12)</x:f>
        <x:v>-0.236440985589518</x:v>
      </x:c>
      <x:c r="AI12" s="9" t="n">
        <x:f>AC12-F12</x:f>
        <x:v>-71.08360291526287</x:v>
      </x:c>
      <x:c r="AJ12" s="9" t="n">
        <x:f>AD12-G12</x:f>
        <x:v>-0.8441093817588197</x:v>
      </x:c>
      <x:c r="AK12" s="9" t="n">
        <x:f>Y12-X12</x:f>
        <x:v>129.5978076625832</x:v>
      </x:c>
      <x:c r="AL12" s="9" t="n">
        <x:f>1000*(AA13-AA11)/(A13-A11)*Inputs!$C$11</x:f>
        <x:v>-1293.5627553272298</x:v>
      </x:c>
      <x:c r="AM12" s="9" t="n">
        <x:f>-2*AL12/Inputs!$C$13</x:f>
        <x:v>517.4251021308919</x:v>
      </x:c>
      <x:c r="AN12" s="9" t="n">
        <x:f>-2*AL12/Inputs!$C$14</x:f>
        <x:v>77.6914567764102</x:v>
      </x:c>
      <x:c r="AO12" s="9" t="n">
        <x:f>ABS(AM12)</x:f>
        <x:v>517.4251021308919</x:v>
      </x:c>
      <x:c r="AP12" s="9" t="n">
        <x:f>ABS(AN12)</x:f>
        <x:v>77.6914567764102</x:v>
      </x:c>
      <x:c r="AQ12" s="9" t="n">
        <x:f>IF(OR(Inputs!$C$27=TRUE,Inputs!$C$27="TRUE",Inputs!$C$27=1),Inputs!$C$46/Inputs!$C$12,0)</x:f>
        <x:v>42.13483146067416</x:v>
      </x:c>
      <x:c r="AR12" s="9" t="n">
        <x:f>AC12-AQ12</x:f>
        <x:v>3062.8627300539997</x:v>
      </x:c>
      <x:c r="AS12" s="9" t="n">
        <x:f>AC12+AQ12</x:f>
        <x:v>3147.1323929753485</x:v>
      </x:c>
    </x:row>
    <x:row r="13">
      <x:c r="A13" s="9" t="n">
        <x:f>Inputs!$C$7+11*(Inputs!$C$8-Inputs!$C$7)/240</x:f>
        <x:v>-54.5</x:v>
      </x:c>
      <x:c r="B13" s="9" t="n">
        <x:f>Inputs!$C$5+Inputs!$C$9*(A13/Inputs!$C$10)^2</x:f>
        <x:v>403.30027777777775</x:v>
      </x:c>
      <x:c r="C13" s="9" t="n">
        <x:f>B13</x:f>
        <x:v>403.30027777777775</x:v>
      </x:c>
      <x:c r="D13" s="9" t="n">
        <x:f>SQRT((Inputs!$C$52+B13)^2+Inputs!$C$52^2-2*(Inputs!$C$52+B13)*Inputs!$C$52*COS(SQRT(A13^2+Inputs!$C$6^2)/Inputs!$C$52))</x:f>
        <x:v>408.870145907836</x:v>
      </x:c>
      <x:c r="E13" s="9" t="n">
        <x:f>(D13-C13)*1000</x:f>
        <x:v>5569.868130058239</x:v>
      </x:c>
      <x:c r="F13" s="9" t="n">
        <x:f>E13/Inputs!$C$12</x:f>
        <x:v>3129.139398909123</x:v>
      </x:c>
      <x:c r="G13" s="9" t="n">
        <x:f>2*E13/Inputs!$C$21*1000000</x:f>
        <x:v>37.158160463517994</x:v>
      </x:c>
      <x:c r="H13" s="9" t="n">
        <x:f>SQRT(A13^2+Inputs!$C$6^2)</x:f>
        <x:v>59.96040360104325</x:v>
      </x:c>
      <x:c r="I13" s="9" t="n">
        <x:f>DEGREES(ATAN(H13/B13))</x:f>
        <x:v>8.45646799120709</x:v>
      </x:c>
      <x:c r="J13" s="9" t="n">
        <x:f>DEGREES((2*PI()/Inputs!$C$13)*Inputs!$C$15*SIN(RADIANS(I13)))</x:f>
        <x:v>52.94085737373685</x:v>
      </x:c>
      <x:c r="K13" s="9" t="n">
        <x:f>(C13/D13)^4</x:f>
        <x:v>0.9466130330866598</x:v>
      </x:c>
      <x:c r="L13" s="9" t="n">
        <x:f>10*LOG10(K13)</x:f>
        <x:v>-0.238275204061051</x:v>
      </x:c>
      <x:c r="M13" s="9" t="n">
        <x:f>2*(Inputs!$C$9/(Inputs!$C$10^2))*A13</x:f>
        <x:v>-0.12111111111111111</x:v>
      </x:c>
      <x:c r="N13" s="9" t="n">
        <x:f>M13*Inputs!$C$11</x:f>
        <x:v>-0.48444444444444446</x:v>
      </x:c>
      <x:c r="O13" s="9" t="n">
        <x:f>1000*(D14-D12)/(A14-A12)*Inputs!$C$11</x:f>
        <x:v>-1149.9890746863457</x:v>
      </x:c>
      <x:c r="P13" s="9" t="n">
        <x:f>-2*O13/Inputs!$C$13</x:f>
        <x:v>459.9956298745383</x:v>
      </x:c>
      <x:c r="Q13" s="9" t="n">
        <x:f>-2*O13/Inputs!$C$14</x:f>
        <x:v>69.06841289407483</x:v>
      </x:c>
      <x:c r="R13" s="9" t="n">
        <x:f>F13-Inputs!$C$16/2</x:f>
        <x:v>3114.139398909123</x:v>
      </x:c>
      <x:c r="S13" s="9" t="n">
        <x:f>F13+Inputs!$C$16/2</x:f>
        <x:v>3144.139398909123</x:v>
      </x:c>
      <x:c r="T13" s="9" t="n">
        <x:f>F13-Inputs!$C$17/2</x:f>
        <x:v>2979.139398909123</x:v>
      </x:c>
      <x:c r="U13" s="9" t="n">
        <x:f>F13+Inputs!$C$17/2</x:f>
        <x:v>3279.139398909123</x:v>
      </x:c>
      <x:c r="V13" s="9" t="n">
        <x:f>ABS(P13)</x:f>
        <x:v>459.9956298745383</x:v>
      </x:c>
      <x:c r="W13" s="9" t="n">
        <x:f>ABS(Q13)</x:f>
        <x:v>69.06841289407483</x:v>
      </x:c>
      <x:c r="X13" s="9"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x:f>
        <x:v>49.77469341509185</x:v>
      </x:c>
      <x:c r="Y13" s="9"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x:f>
        <x:v>194.40953580817023</x:v>
      </x:c>
      <x:c r="Z13" s="9" t="n">
        <x:f>B13-X13/1000</x:f>
        <x:v>403.25050308436266</x:v>
      </x:c>
      <x:c r="AA13" s="9" t="n">
        <x:f>SQRT((Inputs!$C$52+B13)^2+(Inputs!$C$52+Y13/1000)^2-2*(Inputs!$C$52+B13)*(Inputs!$C$52+Y13/1000)*COS(SQRT(A13^2+Inputs!$C$6^2)/Inputs!$C$52))</x:f>
        <x:v>408.67907535040865</x:v>
      </x:c>
      <x:c r="AB13" s="9" t="n">
        <x:f>(AA13-Z13)*1000</x:f>
        <x:v>5428.57226604599</x:v>
      </x:c>
      <x:c r="AC13" s="9" t="n">
        <x:f>AB13/Inputs!$C$12</x:f>
        <x:v>3049.759700025837</x:v>
      </x:c>
      <x:c r="AD13" s="9" t="n">
        <x:f>2*AB13/Inputs!$C$21*1000000</x:f>
        <x:v>36.21553592282825</x:v>
      </x:c>
      <x:c r="AE13" s="9" t="n">
        <x:f>DEGREES(ATAN(H13/(B13-Y13/1000)))</x:f>
        <x:v>8.460487356312948</x:v>
      </x:c>
      <x:c r="AF13" s="9" t="n">
        <x:f>DEGREES((2*PI()/Inputs!$C$13)*Inputs!$C$15*SIN(RADIANS(AE13)))</x:f>
        <x:v>52.965837090190576</x:v>
      </x:c>
      <x:c r="AG13" s="9" t="n">
        <x:f>(Z13/AA13)^4</x:f>
        <x:v>0.9479164566960486</x:v>
      </x:c>
      <x:c r="AH13" s="9" t="n">
        <x:f>10*LOG10(AG13)</x:f>
        <x:v>-0.23229936917955302</x:v>
      </x:c>
      <x:c r="AI13" s="9" t="n">
        <x:f>AC13-F13</x:f>
        <x:v>-79.37969888328598</x:v>
      </x:c>
      <x:c r="AJ13" s="9" t="n">
        <x:f>AD13-G13</x:f>
        <x:v>-0.9426245406897422</x:v>
      </x:c>
      <x:c r="AK13" s="9" t="n">
        <x:f>Y13-X13</x:f>
        <x:v>144.63484239307837</x:v>
      </x:c>
      <x:c r="AL13" s="9" t="n">
        <x:f>1000*(AA14-AA12)/(A14-A12)*Inputs!$C$11</x:f>
        <x:v>-1230.1153969865481</x:v>
      </x:c>
      <x:c r="AM13" s="9" t="n">
        <x:f>-2*AL13/Inputs!$C$13</x:f>
        <x:v>492.04615879461926</x:v>
      </x:c>
      <x:c r="AN13" s="9" t="n">
        <x:f>-2*AL13/Inputs!$C$14</x:f>
        <x:v>73.88080462381672</x:v>
      </x:c>
      <x:c r="AO13" s="9" t="n">
        <x:f>ABS(AM13)</x:f>
        <x:v>492.04615879461926</x:v>
      </x:c>
      <x:c r="AP13" s="9" t="n">
        <x:f>ABS(AN13)</x:f>
        <x:v>73.88080462381672</x:v>
      </x:c>
      <x:c r="AQ13" s="9" t="n">
        <x:f>IF(OR(Inputs!$C$27=TRUE,Inputs!$C$27="TRUE",Inputs!$C$27=1),Inputs!$C$46/Inputs!$C$12,0)</x:f>
        <x:v>42.13483146067416</x:v>
      </x:c>
      <x:c r="AR13" s="9" t="n">
        <x:f>AC13-AQ13</x:f>
        <x:v>3007.6248685651626</x:v>
      </x:c>
      <x:c r="AS13" s="9" t="n">
        <x:f>AC13+AQ13</x:f>
        <x:v>3091.8945314865114</x:v>
      </x:c>
    </x:row>
    <x:row r="14">
      <x:c r="A14" s="9" t="n">
        <x:f>Inputs!$C$7+12*(Inputs!$C$8-Inputs!$C$7)/240</x:f>
        <x:v>-54</x:v>
      </x:c>
      <x:c r="B14" s="9" t="n">
        <x:f>Inputs!$C$5+Inputs!$C$9*(A14/Inputs!$C$10)^2</x:f>
        <x:v>403.24</x:v>
      </x:c>
      <x:c r="C14" s="9" t="n">
        <x:f>B14</x:f>
        <x:v>403.24</x:v>
      </x:c>
      <x:c r="D14" s="9" t="n">
        <x:f>SQRT((Inputs!$C$52+B14)^2+Inputs!$C$52^2-2*(Inputs!$C$52+B14)*Inputs!$C$52*COS(SQRT(A14^2+Inputs!$C$6^2)/Inputs!$C$52))</x:f>
        <x:v>408.7270383151248</x:v>
      </x:c>
      <x:c r="E14" s="9" t="n">
        <x:f>(D14-C14)*1000</x:f>
        <x:v>5487.038315124778</x:v>
      </x:c>
      <x:c r="F14" s="9" t="n">
        <x:f>E14/Inputs!$C$12</x:f>
        <x:v>3082.60579501392</x:v>
      </x:c>
      <x:c r="G14" s="9" t="n">
        <x:f>2*E14/Inputs!$C$21*1000000</x:f>
        <x:v>36.60557941804378</x:v>
      </x:c>
      <x:c r="H14" s="9" t="n">
        <x:f>SQRT(A14^2+Inputs!$C$6^2)</x:f>
        <x:v>59.50630218724736</x:v>
      </x:c>
      <x:c r="I14" s="9" t="n">
        <x:f>DEGREES(ATAN(H14/B14))</x:f>
        <x:v>8.394576667627003</x:v>
      </x:c>
      <x:c r="J14" s="9" t="n">
        <x:f>DEGREES((2*PI()/Inputs!$C$13)*Inputs!$C$15*SIN(RADIANS(I14)))</x:f>
        <x:v>52.55617979850606</x:v>
      </x:c>
      <x:c r="K14" s="9" t="n">
        <x:f>(C14/D14)^4</x:f>
        <x:v>0.947372885993786</x:v>
      </x:c>
      <x:c r="L14" s="9" t="n">
        <x:f>10*LOG10(K14)</x:f>
        <x:v>-0.23479049027301602</x:v>
      </x:c>
      <x:c r="M14" s="9" t="n">
        <x:f>2*(Inputs!$C$9/(Inputs!$C$10^2))*A14</x:f>
        <x:v>-0.12</x:v>
      </x:c>
      <x:c r="N14" s="9" t="n">
        <x:f>M14*Inputs!$C$11</x:f>
        <x:v>-0.48</x:v>
      </x:c>
      <x:c r="O14" s="9" t="n">
        <x:f>1000*(D15-D13)/(A15-A13)*Inputs!$C$11</x:f>
        <x:v>-1139.7285361831564</x:v>
      </x:c>
      <x:c r="P14" s="9" t="n">
        <x:f>-2*O14/Inputs!$C$13</x:f>
        <x:v>455.89141447326256</x:v>
      </x:c>
      <x:c r="Q14" s="9" t="n">
        <x:f>-2*O14/Inputs!$C$14</x:f>
        <x:v>68.45216433532471</x:v>
      </x:c>
      <x:c r="R14" s="9" t="n">
        <x:f>F14-Inputs!$C$16/2</x:f>
        <x:v>3067.60579501392</x:v>
      </x:c>
      <x:c r="S14" s="9" t="n">
        <x:f>F14+Inputs!$C$16/2</x:f>
        <x:v>3097.60579501392</x:v>
      </x:c>
      <x:c r="T14" s="9" t="n">
        <x:f>F14-Inputs!$C$17/2</x:f>
        <x:v>2932.60579501392</x:v>
      </x:c>
      <x:c r="U14" s="9" t="n">
        <x:f>F14+Inputs!$C$17/2</x:f>
        <x:v>3232.60579501392</x:v>
      </x:c>
      <x:c r="V14" s="9" t="n">
        <x:f>ABS(P14)</x:f>
        <x:v>455.89141447326256</x:v>
      </x:c>
      <x:c r="W14" s="9" t="n">
        <x:f>ABS(Q14)</x:f>
        <x:v>68.45216433532471</x:v>
      </x:c>
      <x:c r="X14" s="9"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x:f>
        <x:v>37.91568406723211</x:v>
      </x:c>
      <x:c r="Y14" s="9"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x:f>
        <x:v>196.39629745562698</x:v>
      </x:c>
      <x:c r="Z14" s="9" t="n">
        <x:f>B14-X14/1000</x:f>
        <x:v>403.2020843159328</x:v>
      </x:c>
      <x:c r="AA14" s="9" t="n">
        <x:f>SQRT((Inputs!$C$52+B14)^2+(Inputs!$C$52+Y14/1000)^2-2*(Inputs!$C$52+B14)*(Inputs!$C$52+Y14/1000)*COS(SQRT(A14^2+Inputs!$C$6^2)/Inputs!$C$52))</x:f>
        <x:v>408.5339659654288</x:v>
      </x:c>
      <x:c r="AB14" s="9" t="n">
        <x:f>(AA14-Z14)*1000</x:f>
        <x:v>5331.88164949604</x:v>
      </x:c>
      <x:c r="AC14" s="9" t="n">
        <x:f>AB14/Inputs!$C$12</x:f>
        <x:v>2995.4391289303594</x:v>
      </x:c>
      <x:c r="AD14" s="9" t="n">
        <x:f>2*AB14/Inputs!$C$21*1000000</x:f>
        <x:v>35.57048556235554</x:v>
      </x:c>
      <x:c r="AE14" s="9" t="n">
        <x:f>DEGREES(ATAN(H14/(B14-Y14/1000)))</x:f>
        <x:v>8.398608872635315</x:v>
      </x:c>
      <x:c r="AF14" s="9" t="n">
        <x:f>DEGREES((2*PI()/Inputs!$C$13)*Inputs!$C$15*SIN(RADIANS(AE14)))</x:f>
        <x:v>52.581243323387255</x:v>
      </x:c>
      <x:c r="AG14" s="9" t="n">
        <x:f>(Z14/AA14)^4</x:f>
        <x:v>0.948808121767259</x:v>
      </x:c>
      <x:c r="AH14" s="9" t="n">
        <x:f>10*LOG10(AG14)</x:f>
        <x:v>-0.228216064169887</x:v>
      </x:c>
      <x:c r="AI14" s="9" t="n">
        <x:f>AC14-F14</x:f>
        <x:v>-87.16666608356081</x:v>
      </x:c>
      <x:c r="AJ14" s="9" t="n">
        <x:f>AD14-G14</x:f>
        <x:v>-1.0350938556882383</x:v>
      </x:c>
      <x:c r="AK14" s="9" t="n">
        <x:f>Y14-X14</x:f>
        <x:v>158.4806133883949</x:v>
      </x:c>
      <x:c r="AL14" s="9" t="n">
        <x:f>1000*(AA15-AA13)/(A15-A13)*Inputs!$C$11</x:f>
        <x:v>-1221.2811372673968</x:v>
      </x:c>
      <x:c r="AM14" s="9" t="n">
        <x:f>-2*AL14/Inputs!$C$13</x:f>
        <x:v>488.51245490695874</x:v>
      </x:c>
      <x:c r="AN14" s="9" t="n">
        <x:f>-2*AL14/Inputs!$C$14</x:f>
        <x:v>73.35021845449832</x:v>
      </x:c>
      <x:c r="AO14" s="9" t="n">
        <x:f>ABS(AM14)</x:f>
        <x:v>488.51245490695874</x:v>
      </x:c>
      <x:c r="AP14" s="9" t="n">
        <x:f>ABS(AN14)</x:f>
        <x:v>73.35021845449832</x:v>
      </x:c>
      <x:c r="AQ14" s="9" t="n">
        <x:f>IF(OR(Inputs!$C$27=TRUE,Inputs!$C$27="TRUE",Inputs!$C$27=1),Inputs!$C$46/Inputs!$C$12,0)</x:f>
        <x:v>42.13483146067416</x:v>
      </x:c>
      <x:c r="AR14" s="9" t="n">
        <x:f>AC14-AQ14</x:f>
        <x:v>2953.304297469685</x:v>
      </x:c>
      <x:c r="AS14" s="9" t="n">
        <x:f>AC14+AQ14</x:f>
        <x:v>3037.573960391034</x:v>
      </x:c>
    </x:row>
    <x:row r="15">
      <x:c r="A15" s="9" t="n">
        <x:f>Inputs!$C$7+13*(Inputs!$C$8-Inputs!$C$7)/240</x:f>
        <x:v>-53.5</x:v>
      </x:c>
      <x:c r="B15" s="9" t="n">
        <x:f>Inputs!$C$5+Inputs!$C$9*(A15/Inputs!$C$10)^2</x:f>
        <x:v>403.1802777777778</x:v>
      </x:c>
      <x:c r="C15" s="9" t="n">
        <x:f>B15</x:f>
        <x:v>403.1802777777778</x:v>
      </x:c>
      <x:c r="D15" s="9" t="n">
        <x:f>SQRT((Inputs!$C$52+B15)^2+Inputs!$C$52^2-2*(Inputs!$C$52+B15)*Inputs!$C$52*COS(SQRT(A15^2+Inputs!$C$6^2)/Inputs!$C$52))</x:f>
        <x:v>408.5852137737902</x:v>
      </x:c>
      <x:c r="E15" s="9" t="n">
        <x:f>(D15-C15)*1000</x:f>
        <x:v>5404.935996012398</x:v>
      </x:c>
      <x:c r="F15" s="9" t="n">
        <x:f>E15/Inputs!$C$12</x:f>
        <x:v>3036.480896636179</x:v>
      </x:c>
      <x:c r="G15" s="9" t="n">
        <x:f>2*E15/Inputs!$C$21*1000000</x:f>
        <x:v>36.05785170227597</x:v>
      </x:c>
      <x:c r="H15" s="9" t="n">
        <x:f>SQRT(A15^2+Inputs!$C$6^2)</x:f>
        <x:v>59.052942348370756</x:v>
      </x:c>
      <x:c r="I15" s="9" t="n">
        <x:f>DEGREES(ATAN(H15/B15))</x:f>
        <x:v>8.33273894188251</x:v>
      </x:c>
      <x:c r="J15" s="9" t="n">
        <x:f>DEGREES((2*PI()/Inputs!$C$13)*Inputs!$C$15*SIN(RADIANS(I15)))</x:f>
        <x:v>52.17177410818362</x:v>
      </x:c>
      <x:c r="K15" s="9" t="n">
        <x:f>(C15/D15)^4</x:f>
        <x:v>0.9481270454637457</x:v>
      </x:c>
      <x:c r="L15" s="9" t="n">
        <x:f>10*LOG10(K15)</x:f>
        <x:v>-0.231334649329681</x:v>
      </x:c>
      <x:c r="M15" s="9" t="n">
        <x:f>2*(Inputs!$C$9/(Inputs!$C$10^2))*A15</x:f>
        <x:v>-0.11888888888888889</x:v>
      </x:c>
      <x:c r="N15" s="9" t="n">
        <x:f>M15*Inputs!$C$11</x:f>
        <x:v>-0.47555555555555556</x:v>
      </x:c>
      <x:c r="O15" s="9" t="n">
        <x:f>1000*(D16-D14)/(A16-A14)*Inputs!$C$11</x:f>
        <x:v>-1129.4602816408315</x:v>
      </x:c>
      <x:c r="P15" s="9" t="n">
        <x:f>-2*O15/Inputs!$C$13</x:f>
        <x:v>451.7841126563326</x:v>
      </x:c>
      <x:c r="Q15" s="9" t="n">
        <x:f>-2*O15/Inputs!$C$14</x:f>
        <x:v>67.8354523508007</x:v>
      </x:c>
      <x:c r="R15" s="9" t="n">
        <x:f>F15-Inputs!$C$16/2</x:f>
        <x:v>3021.480896636179</x:v>
      </x:c>
      <x:c r="S15" s="9" t="n">
        <x:f>F15+Inputs!$C$16/2</x:f>
        <x:v>3051.480896636179</x:v>
      </x:c>
      <x:c r="T15" s="9" t="n">
        <x:f>F15-Inputs!$C$17/2</x:f>
        <x:v>2886.480896636179</x:v>
      </x:c>
      <x:c r="U15" s="9" t="n">
        <x:f>F15+Inputs!$C$17/2</x:f>
        <x:v>3186.480896636179</x:v>
      </x:c>
      <x:c r="V15" s="9" t="n">
        <x:f>ABS(P15)</x:f>
        <x:v>451.7841126563326</x:v>
      </x:c>
      <x:c r="W15" s="9" t="n">
        <x:f>ABS(Q15)</x:f>
        <x:v>67.8354523508007</x:v>
      </x:c>
      <x:c r="X15" s="9"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x:f>
        <x:v>49.305692333608725</x:v>
      </x:c>
      <x:c r="Y15" s="9"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x:f>
        <x:v>215.04504497494062</x:v>
      </x:c>
      <x:c r="Z15" s="9" t="n">
        <x:f>B15-X15/1000</x:f>
        <x:v>403.13097208544417</x:v>
      </x:c>
      <x:c r="AA15" s="9" t="n">
        <x:f>SQRT((Inputs!$C$52+B15)^2+(Inputs!$C$52+Y15/1000)^2-2*(Inputs!$C$52+B15)*(Inputs!$C$52+Y15/1000)*COS(SQRT(A15^2+Inputs!$C$6^2)/Inputs!$C$52))</x:f>
        <x:v>408.3737550660918</x:v>
      </x:c>
      <x:c r="AB15" s="9" t="n">
        <x:f>(AA15-Z15)*1000</x:f>
        <x:v>5242.782980647633</x:v>
      </x:c>
      <x:c r="AC15" s="9" t="n">
        <x:f>AB15/Inputs!$C$12</x:f>
        <x:v>2945.383696993052</x:v>
      </x:c>
      <x:c r="AD15" s="9" t="n">
        <x:f>2*AB15/Inputs!$C$21*1000000</x:f>
        <x:v>34.97608322519997</x:v>
      </x:c>
      <x:c r="AE15" s="9" t="n">
        <x:f>DEGREES(ATAN(H15/(B15-Y15/1000)))</x:f>
        <x:v>8.337123275300746</x:v>
      </x:c>
      <x:c r="AF15" s="9" t="n">
        <x:f>DEGREES((2*PI()/Inputs!$C$13)*Inputs!$C$15*SIN(RADIANS(AE15)))</x:f>
        <x:v>52.19903071884576</x:v>
      </x:c>
      <x:c r="AG15" s="9" t="n">
        <x:f>(Z15/AA15)^4</x:f>
        <x:v>0.949627688565342</x:v>
      </x:c>
      <x:c r="AH15" s="9" t="n">
        <x:f>10*LOG10(AG15)</x:f>
        <x:v>-0.224466310207882</x:v>
      </x:c>
      <x:c r="AI15" s="9" t="n">
        <x:f>AC15-F15</x:f>
        <x:v>-91.09719964312671</x:v>
      </x:c>
      <x:c r="AJ15" s="9" t="n">
        <x:f>AD15-G15</x:f>
        <x:v>-1.0817684770759968</x:v>
      </x:c>
      <x:c r="AK15" s="9" t="n">
        <x:f>Y15-X15</x:f>
        <x:v>165.7393526413319</x:v>
      </x:c>
      <x:c r="AL15" s="9" t="n">
        <x:f>1000*(AA16-AA14)/(A16-A14)*Inputs!$C$11</x:f>
        <x:v>-1223.807754682639</x:v>
      </x:c>
      <x:c r="AM15" s="9" t="n">
        <x:f>-2*AL15/Inputs!$C$13</x:f>
        <x:v>489.52310187305557</x:v>
      </x:c>
      <x:c r="AN15" s="9" t="n">
        <x:f>-2*AL15/Inputs!$C$14</x:f>
        <x:v>73.50196724820655</x:v>
      </x:c>
      <x:c r="AO15" s="9" t="n">
        <x:f>ABS(AM15)</x:f>
        <x:v>489.52310187305557</x:v>
      </x:c>
      <x:c r="AP15" s="9" t="n">
        <x:f>ABS(AN15)</x:f>
        <x:v>73.50196724820655</x:v>
      </x:c>
      <x:c r="AQ15" s="9" t="n">
        <x:f>IF(OR(Inputs!$C$27=TRUE,Inputs!$C$27="TRUE",Inputs!$C$27=1),Inputs!$C$46/Inputs!$C$12,0)</x:f>
        <x:v>42.13483146067416</x:v>
      </x:c>
      <x:c r="AR15" s="9" t="n">
        <x:f>AC15-AQ15</x:f>
        <x:v>2903.2488655323777</x:v>
      </x:c>
      <x:c r="AS15" s="9" t="n">
        <x:f>AC15+AQ15</x:f>
        <x:v>2987.5185284537265</x:v>
      </x:c>
    </x:row>
    <x:row r="16">
      <x:c r="A16" s="9" t="n">
        <x:f>Inputs!$C$7+14*(Inputs!$C$8-Inputs!$C$7)/240</x:f>
        <x:v>-53</x:v>
      </x:c>
      <x:c r="B16" s="9" t="n">
        <x:f>Inputs!$C$5+Inputs!$C$9*(A16/Inputs!$C$10)^2</x:f>
        <x:v>403.12111111111113</x:v>
      </x:c>
      <x:c r="C16" s="9" t="n">
        <x:f>B16</x:f>
        <x:v>403.12111111111113</x:v>
      </x:c>
      <x:c r="D16" s="9" t="n">
        <x:f>SQRT((Inputs!$C$52+B16)^2+Inputs!$C$52^2-2*(Inputs!$C$52+B16)*Inputs!$C$52*COS(SQRT(A16^2+Inputs!$C$6^2)/Inputs!$C$52))</x:f>
        <x:v>408.4446732447146</x:v>
      </x:c>
      <x:c r="E16" s="9" t="n">
        <x:f>(D16-C16)*1000</x:f>
        <x:v>5323.562133603446</x:v>
      </x:c>
      <x:c r="F16" s="9" t="n">
        <x:f>E16/Inputs!$C$12</x:f>
        <x:v>2990.7652435974414</x:v>
      </x:c>
      <x:c r="G16" s="9" t="n">
        <x:f>2*E16/Inputs!$C$21*1000000</x:f>
        <x:v>35.51498372653154</x:v>
      </x:c>
      <x:c r="H16" s="9" t="n">
        <x:f>SQRT(A16^2+Inputs!$C$6^2)</x:f>
        <x:v>58.60034129593445</x:v>
      </x:c>
      <x:c r="I16" s="9" t="n">
        <x:f>DEGREES(ATAN(H16/B16))</x:f>
        <x:v>8.27095770254524</x:v>
      </x:c>
      <x:c r="J16" s="9" t="n">
        <x:f>DEGREES((2*PI()/Inputs!$C$13)*Inputs!$C$15*SIN(RADIANS(I16)))</x:f>
        <x:v>51.78765886979433</x:v>
      </x:c>
      <x:c r="K16" s="9" t="n">
        <x:f>(C16/D16)^4</x:f>
        <x:v>0.9488754782129414</x:v>
      </x:c>
      <x:c r="L16" s="9" t="n">
        <x:f>10*LOG10(K16)</x:f>
        <x:v>-0.22790776691008</x:v>
      </x:c>
      <x:c r="M16" s="9" t="n">
        <x:f>2*(Inputs!$C$9/(Inputs!$C$10^2))*A16</x:f>
        <x:v>-0.11777777777777777</x:v>
      </x:c>
      <x:c r="N16" s="9" t="n">
        <x:f>M16*Inputs!$C$11</x:f>
        <x:v>-0.4711111111111111</x:v>
      </x:c>
      <x:c r="O16" s="9" t="n">
        <x:f>1000*(D17-D15)/(A17-A15)*Inputs!$C$11</x:f>
        <x:v>-1119.1843692326984</x:v>
      </x:c>
      <x:c r="P16" s="9" t="n">
        <x:f>-2*O16/Inputs!$C$13</x:f>
        <x:v>447.67374769307935</x:v>
      </x:c>
      <x:c r="Q16" s="9" t="n">
        <x:f>-2*O16/Inputs!$C$14</x:f>
        <x:v>67.2182804343963</x:v>
      </x:c>
      <x:c r="R16" s="9" t="n">
        <x:f>F16-Inputs!$C$16/2</x:f>
        <x:v>2975.7652435974414</x:v>
      </x:c>
      <x:c r="S16" s="9" t="n">
        <x:f>F16+Inputs!$C$16/2</x:f>
        <x:v>3005.7652435974414</x:v>
      </x:c>
      <x:c r="T16" s="9" t="n">
        <x:f>F16-Inputs!$C$17/2</x:f>
        <x:v>2840.7652435974414</x:v>
      </x:c>
      <x:c r="U16" s="9" t="n">
        <x:f>F16+Inputs!$C$17/2</x:f>
        <x:v>3140.7652435974414</x:v>
      </x:c>
      <x:c r="V16" s="9" t="n">
        <x:f>ABS(P16)</x:f>
        <x:v>447.67374769307935</x:v>
      </x:c>
      <x:c r="W16" s="9" t="n">
        <x:f>ABS(Q16)</x:f>
        <x:v>67.2182804343963</x:v>
      </x:c>
      <x:c r="X16" s="9"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x:f>
        <x:v>54.9618266833629</x:v>
      </x:c>
      <x:c r="Y16" s="9"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x:f>
        <x:v>220.27863667842527</x:v>
      </x:c>
      <x:c r="Z16" s="9" t="n">
        <x:f>B16-X16/1000</x:f>
        <x:v>403.06614928442775</x:v>
      </x:c>
      <x:c r="AA16" s="9" t="n">
        <x:f>SQRT((Inputs!$C$52+B16)^2+(Inputs!$C$52+Y16/1000)^2-2*(Inputs!$C$52+B16)*(Inputs!$C$52+Y16/1000)*COS(SQRT(A16^2+Inputs!$C$6^2)/Inputs!$C$52))</x:f>
        <x:v>408.22801402675816</x:v>
      </x:c>
      <x:c r="AB16" s="9" t="n">
        <x:f>(AA16-Z16)*1000</x:f>
        <x:v>5161.864742330408</x:v>
      </x:c>
      <x:c r="AC16" s="9" t="n">
        <x:f>AB16/Inputs!$C$12</x:f>
        <x:v>2899.9240125451734</x:v>
      </x:c>
      <x:c r="AD16" s="9" t="n">
        <x:f>2*AB16/Inputs!$C$21*1000000</x:f>
        <x:v>34.4362548462137</x:v>
      </x:c>
      <x:c r="AE16" s="9" t="n">
        <x:f>DEGREES(ATAN(H16/(B16-Y16/1000)))</x:f>
        <x:v>8.275417086693468</x:v>
      </x:c>
      <x:c r="AF16" s="9" t="n">
        <x:f>DEGREES((2*PI()/Inputs!$C$13)*Inputs!$C$15*SIN(RADIANS(AE16)))</x:f>
        <x:v>51.81538641816805</x:v>
      </x:c>
      <x:c r="AG16" s="9" t="n">
        <x:f>(Z16/AA16)^4</x:f>
        <x:v>0.9503729976389372</x:v>
      </x:c>
      <x:c r="AH16" s="9" t="n">
        <x:f>10*LOG10(AG16)</x:f>
        <x:v>-0.221059115284983</x:v>
      </x:c>
      <x:c r="AI16" s="9" t="n">
        <x:f>AC16-F16</x:f>
        <x:v>-90.84123105226809</x:v>
      </x:c>
      <x:c r="AJ16" s="9" t="n">
        <x:f>AD16-G16</x:f>
        <x:v>-1.0787288803178399</x:v>
      </x:c>
      <x:c r="AK16" s="9" t="n">
        <x:f>Y16-X16</x:f>
        <x:v>165.31680999506239</x:v>
      </x:c>
      <x:c r="AL16" s="9" t="n">
        <x:f>1000*(AA17-AA15)/(A17-A15)*Inputs!$C$11</x:f>
        <x:v>-1172.4981951017526</x:v>
      </x:c>
      <x:c r="AM16" s="9" t="n">
        <x:f>-2*AL16/Inputs!$C$13</x:f>
        <x:v>468.99927804070103</x:v>
      </x:c>
      <x:c r="AN16" s="9" t="n">
        <x:f>-2*AL16/Inputs!$C$14</x:f>
        <x:v>70.42031201812328</x:v>
      </x:c>
      <x:c r="AO16" s="9" t="n">
        <x:f>ABS(AM16)</x:f>
        <x:v>468.99927804070103</x:v>
      </x:c>
      <x:c r="AP16" s="9" t="n">
        <x:f>ABS(AN16)</x:f>
        <x:v>70.42031201812328</x:v>
      </x:c>
      <x:c r="AQ16" s="9" t="n">
        <x:f>IF(OR(Inputs!$C$27=TRUE,Inputs!$C$27="TRUE",Inputs!$C$27=1),Inputs!$C$46/Inputs!$C$12,0)</x:f>
        <x:v>42.13483146067416</x:v>
      </x:c>
      <x:c r="AR16" s="9" t="n">
        <x:f>AC16-AQ16</x:f>
        <x:v>2857.789181084499</x:v>
      </x:c>
      <x:c r="AS16" s="9" t="n">
        <x:f>AC16+AQ16</x:f>
        <x:v>2942.0588440058477</x:v>
      </x:c>
    </x:row>
    <x:row r="17">
      <x:c r="A17" s="9" t="n">
        <x:f>Inputs!$C$7+15*(Inputs!$C$8-Inputs!$C$7)/240</x:f>
        <x:v>-52.5</x:v>
      </x:c>
      <x:c r="B17" s="9" t="n">
        <x:f>Inputs!$C$5+Inputs!$C$9*(A17/Inputs!$C$10)^2</x:f>
        <x:v>403.0625</x:v>
      </x:c>
      <x:c r="C17" s="9" t="n">
        <x:f>B17</x:f>
        <x:v>403.0625</x:v>
      </x:c>
      <x:c r="D17" s="9" t="n">
        <x:f>SQRT((Inputs!$C$52+B17)^2+Inputs!$C$52^2-2*(Inputs!$C$52+B17)*Inputs!$C$52*COS(SQRT(A17^2+Inputs!$C$6^2)/Inputs!$C$52))</x:f>
        <x:v>408.305417681482</x:v>
      </x:c>
      <x:c r="E17" s="9" t="n">
        <x:f>(D17-C17)*1000</x:f>
        <x:v>5242.917681482027</x:v>
      </x:c>
      <x:c r="F17" s="9" t="n">
        <x:f>E17/Inputs!$C$12</x:f>
        <x:v>2945.459371619116</x:v>
      </x:c>
      <x:c r="G17" s="9" t="n">
        <x:f>2*E17/Inputs!$C$21*1000000</x:f>
        <x:v>34.97698185243891</x:v>
      </x:c>
      <x:c r="H17" s="9" t="n">
        <x:f>SQRT(A17^2+Inputs!$C$6^2)</x:f>
        <x:v>58.148516748065035</x:v>
      </x:c>
      <x:c r="I17" s="9" t="n">
        <x:f>DEGREES(ATAN(H17/B17))</x:f>
        <x:v>8.2092359122646</x:v>
      </x:c>
      <x:c r="J17" s="9" t="n">
        <x:f>DEGREES((2*PI()/Inputs!$C$13)*Inputs!$C$15*SIN(RADIANS(I17)))</x:f>
        <x:v>51.403853119854354</x:v>
      </x:c>
      <x:c r="K17" s="9" t="n">
        <x:f>(C17/D17)^4</x:f>
        <x:v>0.9496181511325368</x:v>
      </x:c>
      <x:c r="L17" s="9" t="n">
        <x:f>10*LOG10(K17)</x:f>
        <x:v>-0.22450992809401601</x:v>
      </x:c>
      <x:c r="M17" s="9" t="n">
        <x:f>2*(Inputs!$C$9/(Inputs!$C$10^2))*A17</x:f>
        <x:v>-0.11666666666666667</x:v>
      </x:c>
      <x:c r="N17" s="9" t="n">
        <x:f>M17*Inputs!$C$11</x:f>
        <x:v>-0.4666666666666667</x:v>
      </x:c>
      <x:c r="O17" s="9" t="n">
        <x:f>1000*(D18-D16)/(A18-A16)*Inputs!$C$11</x:f>
        <x:v>-1108.9008574281252</x:v>
      </x:c>
      <x:c r="P17" s="9" t="n">
        <x:f>-2*O17/Inputs!$C$13</x:f>
        <x:v>443.56034297125007</x:v>
      </x:c>
      <x:c r="Q17" s="9" t="n">
        <x:f>-2*O17/Inputs!$C$14</x:f>
        <x:v>66.6006520977853</x:v>
      </x:c>
      <x:c r="R17" s="9" t="n">
        <x:f>F17-Inputs!$C$16/2</x:f>
        <x:v>2930.459371619116</x:v>
      </x:c>
      <x:c r="S17" s="9" t="n">
        <x:f>F17+Inputs!$C$16/2</x:f>
        <x:v>2960.459371619116</x:v>
      </x:c>
      <x:c r="T17" s="9" t="n">
        <x:f>F17-Inputs!$C$17/2</x:f>
        <x:v>2795.459371619116</x:v>
      </x:c>
      <x:c r="U17" s="9" t="n">
        <x:f>F17+Inputs!$C$17/2</x:f>
        <x:v>3095.459371619116</x:v>
      </x:c>
      <x:c r="V17" s="9" t="n">
        <x:f>ABS(P17)</x:f>
        <x:v>443.56034297125007</x:v>
      </x:c>
      <x:c r="W17" s="9" t="n">
        <x:f>ABS(Q17)</x:f>
        <x:v>66.6006520977853</x:v>
      </x:c>
      <x:c r="X17" s="9"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x:f>
        <x:v>41.913539426844665</x:v>
      </x:c>
      <x:c r="Y17" s="9"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x:f>
        <x:v>228.48571186718385</x:v>
      </x:c>
      <x:c r="Z17" s="9" t="n">
        <x:f>B17-X17/1000</x:f>
        <x:v>403.02058646057316</x:v>
      </x:c>
      <x:c r="AA17" s="9" t="n">
        <x:f>SQRT((Inputs!$C$52+B17)^2+(Inputs!$C$52+Y17/1000)^2-2*(Inputs!$C$52+B17)*(Inputs!$C$52+Y17/1000)*COS(SQRT(A17^2+Inputs!$C$6^2)/Inputs!$C$52))</x:f>
        <x:v>408.08063051731637</x:v>
      </x:c>
      <x:c r="AB17" s="9" t="n">
        <x:f>(AA17-Z17)*1000</x:f>
        <x:v>5060.044056743209</x:v>
      </x:c>
      <x:c r="AC17" s="9" t="n">
        <x:f>AB17/Inputs!$C$12</x:f>
        <x:v>2842.7213801928137</x:v>
      </x:c>
      <x:c r="AD17" s="9" t="n">
        <x:f>2*AB17/Inputs!$C$21*1000000</x:f>
        <x:v>33.7569803490067</x:v>
      </x:c>
      <x:c r="AE17" s="9" t="n">
        <x:f>DEGREES(ATAN(H17/(B17-Y17/1000)))</x:f>
        <x:v>8.213828639165651</x:v>
      </x:c>
      <x:c r="AF17" s="9" t="n">
        <x:f>DEGREES((2*PI()/Inputs!$C$13)*Inputs!$C$15*SIN(RADIANS(AE17)))</x:f>
        <x:v>51.43241421819657</x:v>
      </x:c>
      <x:c r="AG17" s="9" t="n">
        <x:f>(Z17/AA17)^4</x:f>
        <x:v>0.9513164278258599</x:v>
      </x:c>
      <x:c r="AH17" s="9" t="n">
        <x:f>10*LOG10(AG17)</x:f>
        <x:v>-0.216750035659588</x:v>
      </x:c>
      <x:c r="AI17" s="9" t="n">
        <x:f>AC17-F17</x:f>
        <x:v>-102.73799142630241</x:v>
      </x:c>
      <x:c r="AJ17" s="9" t="n">
        <x:f>AD17-G17</x:f>
        <x:v>-1.2200015034322078</x:v>
      </x:c>
      <x:c r="AK17" s="9" t="n">
        <x:f>Y17-X17</x:f>
        <x:v>186.5721724403392</x:v>
      </x:c>
      <x:c r="AL17" s="9" t="n">
        <x:f>1000*(AA18-AA16)/(A18-A16)*Inputs!$C$11</x:f>
        <x:v>-1191.8525830433282</x:v>
      </x:c>
      <x:c r="AM17" s="9" t="n">
        <x:f>-2*AL17/Inputs!$C$13</x:f>
        <x:v>476.7410332173313</x:v>
      </x:c>
      <x:c r="AN17" s="9" t="n">
        <x:f>-2*AL17/Inputs!$C$14</x:f>
        <x:v>71.58273772032001</x:v>
      </x:c>
      <x:c r="AO17" s="9" t="n">
        <x:f>ABS(AM17)</x:f>
        <x:v>476.7410332173313</x:v>
      </x:c>
      <x:c r="AP17" s="9" t="n">
        <x:f>ABS(AN17)</x:f>
        <x:v>71.58273772032001</x:v>
      </x:c>
      <x:c r="AQ17" s="9" t="n">
        <x:f>IF(OR(Inputs!$C$27=TRUE,Inputs!$C$27="TRUE",Inputs!$C$27=1),Inputs!$C$46/Inputs!$C$12,0)</x:f>
        <x:v>42.13483146067416</x:v>
      </x:c>
      <x:c r="AR17" s="9" t="n">
        <x:f>AC17-AQ17</x:f>
        <x:v>2800.5865487321394</x:v>
      </x:c>
      <x:c r="AS17" s="9" t="n">
        <x:f>AC17+AQ17</x:f>
        <x:v>2884.856211653488</x:v>
      </x:c>
    </x:row>
    <x:row r="18">
      <x:c r="A18" s="9" t="n">
        <x:f>Inputs!$C$7+16*(Inputs!$C$8-Inputs!$C$7)/240</x:f>
        <x:v>-52</x:v>
      </x:c>
      <x:c r="B18" s="9" t="n">
        <x:f>Inputs!$C$5+Inputs!$C$9*(A18/Inputs!$C$10)^2</x:f>
        <x:v>403.00444444444446</x:v>
      </x:c>
      <x:c r="C18" s="9" t="n">
        <x:f>B18</x:f>
        <x:v>403.00444444444446</x:v>
      </x:c>
      <x:c r="D18" s="9" t="n">
        <x:f>SQRT((Inputs!$C$52+B18)^2+Inputs!$C$52^2-2*(Inputs!$C$52+B18)*Inputs!$C$52*COS(SQRT(A18^2+Inputs!$C$6^2)/Inputs!$C$52))</x:f>
        <x:v>408.16744803035755</x:v>
      </x:c>
      <x:c r="E18" s="9" t="n">
        <x:f>(D18-C18)*1000</x:f>
        <x:v>5163.0035859130885</x:v>
      </x:c>
      <x:c r="F18" s="9" t="n">
        <x:f>E18/Inputs!$C$12</x:f>
        <x:v>2900.5638123107237</x:v>
      </x:c>
      <x:c r="G18" s="9" t="n">
        <x:f>2*E18/Inputs!$C$21*1000000</x:f>
        <x:v>34.44385239279828</x:v>
      </x:c>
      <x:c r="H18" s="9" t="n">
        <x:f>SQRT(A18^2+Inputs!$C$6^2)</x:f>
        <x:v>57.697486947006624</x:v>
      </x:c>
      <x:c r="I18" s="9" t="n">
        <x:f>DEGREES(ATAN(H18/B18))</x:f>
        <x:v>8.147576610261819</x:v>
      </x:c>
      <x:c r="J18" s="9" t="n">
        <x:f>DEGREES((2*PI()/Inputs!$C$13)*Inputs!$C$15*SIN(RADIANS(I18)))</x:f>
        <x:v>51.02037638000933</x:v>
      </x:c>
      <x:c r="K18" s="9" t="n">
        <x:f>(C18/D18)^4</x:f>
        <x:v>0.950355031291467</x:v>
      </x:c>
      <x:c r="L18" s="9" t="n">
        <x:f>10*LOG10(K18)</x:f>
        <x:v>-0.221141217357954</x:v>
      </x:c>
      <x:c r="M18" s="9" t="n">
        <x:f>2*(Inputs!$C$9/(Inputs!$C$10^2))*A18</x:f>
        <x:v>-0.11555555555555555</x:v>
      </x:c>
      <x:c r="N18" s="9" t="n">
        <x:f>M18*Inputs!$C$11</x:f>
        <x:v>-0.4622222222222222</x:v>
      </x:c>
      <x:c r="O18" s="9" t="n">
        <x:f>1000*(D19-D17)/(A19-A17)*Inputs!$C$11</x:f>
        <x:v>-1098.6098050404962</x:v>
      </x:c>
      <x:c r="P18" s="9" t="n">
        <x:f>-2*O18/Inputs!$C$13</x:f>
        <x:v>439.4439220161985</x:v>
      </x:c>
      <x:c r="Q18" s="9" t="n">
        <x:f>-2*O18/Inputs!$C$14</x:f>
        <x:v>65.98257087330308</x:v>
      </x:c>
      <x:c r="R18" s="9" t="n">
        <x:f>F18-Inputs!$C$16/2</x:f>
        <x:v>2885.5638123107237</x:v>
      </x:c>
      <x:c r="S18" s="9" t="n">
        <x:f>F18+Inputs!$C$16/2</x:f>
        <x:v>2915.5638123107237</x:v>
      </x:c>
      <x:c r="T18" s="9" t="n">
        <x:f>F18-Inputs!$C$17/2</x:f>
        <x:v>2750.5638123107237</x:v>
      </x:c>
      <x:c r="U18" s="9" t="n">
        <x:f>F18+Inputs!$C$17/2</x:f>
        <x:v>3050.5638123107237</x:v>
      </x:c>
      <x:c r="V18" s="9" t="n">
        <x:f>ABS(P18)</x:f>
        <x:v>439.4439220161985</x:v>
      </x:c>
      <x:c r="W18" s="9" t="n">
        <x:f>ABS(Q18)</x:f>
        <x:v>65.98257087330308</x:v>
      </x:c>
      <x:c r="X18" s="9"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x:f>
        <x:v>44.0092440465048</x:v>
      </x:c>
      <x:c r="Y18" s="9"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x:f>
        <x:v>241.24392327938918</x:v>
      </x:c>
      <x:c r="Z18" s="9" t="n">
        <x:f>B18-X18/1000</x:f>
        <x:v>402.96043520039797</x:v>
      </x:c>
      <x:c r="AA18" s="9" t="n">
        <x:f>SQRT((Inputs!$C$52+B18)^2+(Inputs!$C$52+Y18/1000)^2-2*(Inputs!$C$52+B18)*(Inputs!$C$52+Y18/1000)*COS(SQRT(A18^2+Inputs!$C$6^2)/Inputs!$C$52))</x:f>
        <x:v>407.9300508809973</x:v>
      </x:c>
      <x:c r="AB18" s="9" t="n">
        <x:f>(AA18-Z18)*1000</x:f>
        <x:v>4969.615680599361</x:v>
      </x:c>
      <x:c r="AC18" s="9" t="n">
        <x:f>AB18/Inputs!$C$12</x:f>
        <x:v>2791.9189216850345</x:v>
      </x:c>
      <x:c r="AD18" s="9" t="n">
        <x:f>2*AB18/Inputs!$C$21*1000000</x:f>
        <x:v>33.15370715963349</x:v>
      </x:c>
      <x:c r="AE18" s="9" t="n">
        <x:f>DEGREES(ATAN(H18/(B18-Y18/1000)))</x:f>
        <x:v>8.152391199699375</x:v>
      </x:c>
      <x:c r="AF18" s="9" t="n">
        <x:f>DEGREES((2*PI()/Inputs!$C$13)*Inputs!$C$15*SIN(RADIANS(AE18)))</x:f>
        <x:v>51.05032181386523</x:v>
      </x:c>
      <x:c r="AG18" s="9" t="n">
        <x:f>(Z18/AA18)^4</x:f>
        <x:v>0.9521531956234554</x:v>
      </x:c>
      <x:c r="AH18" s="9" t="n">
        <x:f>10*LOG10(AG18)</x:f>
        <x:v>-0.21293170668745898</x:v>
      </x:c>
      <x:c r="AI18" s="9" t="n">
        <x:f>AC18-F18</x:f>
        <x:v>-108.64489062568919</x:v>
      </x:c>
      <x:c r="AJ18" s="9" t="n">
        <x:f>AD18-G18</x:f>
        <x:v>-1.290145233164786</x:v>
      </x:c>
      <x:c r="AK18" s="9" t="n">
        <x:f>Y18-X18</x:f>
        <x:v>197.2346792328844</x:v>
      </x:c>
      <x:c r="AL18" s="9" t="n">
        <x:f>1000*(AA19-AA17)/(A19-A17)*Inputs!$C$11</x:f>
        <x:v>-1228.6234868731754</x:v>
      </x:c>
      <x:c r="AM18" s="9" t="n">
        <x:f>-2*AL18/Inputs!$C$13</x:f>
        <x:v>491.44939474927014</x:v>
      </x:c>
      <x:c r="AN18" s="9" t="n">
        <x:f>-2*AL18/Inputs!$C$14</x:f>
        <x:v>73.79120041280333</x:v>
      </x:c>
      <x:c r="AO18" s="9" t="n">
        <x:f>ABS(AM18)</x:f>
        <x:v>491.44939474927014</x:v>
      </x:c>
      <x:c r="AP18" s="9" t="n">
        <x:f>ABS(AN18)</x:f>
        <x:v>73.79120041280333</x:v>
      </x:c>
      <x:c r="AQ18" s="9" t="n">
        <x:f>IF(OR(Inputs!$C$27=TRUE,Inputs!$C$27="TRUE",Inputs!$C$27=1),Inputs!$C$46/Inputs!$C$12,0)</x:f>
        <x:v>42.13483146067416</x:v>
      </x:c>
      <x:c r="AR18" s="9" t="n">
        <x:f>AC18-AQ18</x:f>
        <x:v>2749.78409022436</x:v>
      </x:c>
      <x:c r="AS18" s="9" t="n">
        <x:f>AC18+AQ18</x:f>
        <x:v>2834.053753145709</x:v>
      </x:c>
    </x:row>
    <x:row r="19">
      <x:c r="A19" s="9" t="n">
        <x:f>Inputs!$C$7+17*(Inputs!$C$8-Inputs!$C$7)/240</x:f>
        <x:v>-51.5</x:v>
      </x:c>
      <x:c r="B19" s="9" t="n">
        <x:f>Inputs!$C$5+Inputs!$C$9*(A19/Inputs!$C$10)^2</x:f>
        <x:v>402.94694444444445</x:v>
      </x:c>
      <x:c r="C19" s="9" t="n">
        <x:f>B19</x:f>
        <x:v>402.94694444444445</x:v>
      </x:c>
      <x:c r="D19" s="9" t="n">
        <x:f>SQRT((Inputs!$C$52+B19)^2+Inputs!$C$52^2-2*(Inputs!$C$52+B19)*Inputs!$C$52*COS(SQRT(A19^2+Inputs!$C$6^2)/Inputs!$C$52))</x:f>
        <x:v>408.0307652302219</x:v>
      </x:c>
      <x:c r="E19" s="9" t="n">
        <x:f>(D19-C19)*1000</x:f>
        <x:v>5083.820785777448</x:v>
      </x:c>
      <x:c r="F19" s="9" t="n">
        <x:f>E19/Inputs!$C$12</x:f>
        <x:v>2856.0790931333977</x:v>
      </x:c>
      <x:c r="G19" s="9" t="n">
        <x:f>2*E19/Inputs!$C$21*1000000</x:f>
        <x:v>33.91560161114826</x:v>
      </x:c>
      <x:c r="H19" s="9" t="n">
        <x:f>SQRT(A19^2+Inputs!$C$6^2)</x:f>
        <x:v>57.24727067729954</x:v>
      </x:c>
      <x:c r="I19" s="9" t="n">
        <x:f>DEGREES(ATAN(H19/B19))</x:f>
        <x:v>8.085982914919201</x:v>
      </x:c>
      <x:c r="J19" s="9" t="n">
        <x:f>DEGREES((2*PI()/Inputs!$C$13)*Inputs!$C$15*SIN(RADIANS(I19)))</x:f>
        <x:v>50.63724867326966</x:v>
      </x:c>
      <x:c r="K19" s="9" t="n">
        <x:f>(C19/D19)^4</x:f>
        <x:v>0.9510860859398544</x:v>
      </x:c>
      <x:c r="L19" s="9" t="n">
        <x:f>10*LOG10(K19)</x:f>
        <x:v>-0.21780171856905</x:v>
      </x:c>
      <x:c r="M19" s="9" t="n">
        <x:f>2*(Inputs!$C$9/(Inputs!$C$10^2))*A19</x:f>
        <x:v>-0.11444444444444445</x:v>
      </x:c>
      <x:c r="N19" s="9" t="n">
        <x:f>M19*Inputs!$C$11</x:f>
        <x:v>-0.4577777777777778</x:v>
      </x:c>
      <x:c r="O19" s="9" t="n">
        <x:f>1000*(D20-D18)/(A20-A18)*Inputs!$C$11</x:f>
        <x:v>-1088.3112712756429</x:v>
      </x:c>
      <x:c r="P19" s="9" t="n">
        <x:f>-2*O19/Inputs!$C$13</x:f>
        <x:v>435.32450851025715</x:v>
      </x:c>
      <x:c r="Q19" s="9" t="n">
        <x:f>-2*O19/Inputs!$C$14</x:f>
        <x:v>65.36404031685544</x:v>
      </x:c>
      <x:c r="R19" s="9" t="n">
        <x:f>F19-Inputs!$C$16/2</x:f>
        <x:v>2841.0790931333977</x:v>
      </x:c>
      <x:c r="S19" s="9" t="n">
        <x:f>F19+Inputs!$C$16/2</x:f>
        <x:v>2871.0790931333977</x:v>
      </x:c>
      <x:c r="T19" s="9" t="n">
        <x:f>F19-Inputs!$C$17/2</x:f>
        <x:v>2706.0790931333977</x:v>
      </x:c>
      <x:c r="U19" s="9" t="n">
        <x:f>F19+Inputs!$C$17/2</x:f>
        <x:v>3006.0790931333977</x:v>
      </x:c>
      <x:c r="V19" s="9" t="n">
        <x:f>ABS(P19)</x:f>
        <x:v>435.32450851025715</x:v>
      </x:c>
      <x:c r="W19" s="9" t="n">
        <x:f>ABS(Q19)</x:f>
        <x:v>65.36404031685544</x:v>
      </x:c>
      <x:c r="X19" s="9"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x:f>
        <x:v>32.491619283106324</x:v>
      </x:c>
      <x:c r="Y19" s="9"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x:f>
        <x:v>261.3961473371179</x:v>
      </x:c>
      <x:c r="Z19" s="9" t="n">
        <x:f>B19-X19/1000</x:f>
        <x:v>402.91445282516133</x:v>
      </x:c>
      <x:c r="AA19" s="9" t="n">
        <x:f>SQRT((Inputs!$C$52+B19)^2+(Inputs!$C$52+Y19/1000)^2-2*(Inputs!$C$52+B19)*(Inputs!$C$52+Y19/1000)*COS(SQRT(A19^2+Inputs!$C$6^2)/Inputs!$C$52))</x:f>
        <x:v>407.77347464559807</x:v>
      </x:c>
      <x:c r="AB19" s="9" t="n">
        <x:f>(AA19-Z19)*1000</x:f>
        <x:v>4859.0218204367375</x:v>
      </x:c>
      <x:c r="AC19" s="9" t="n">
        <x:f>AB19/Inputs!$C$12</x:f>
        <x:v>2729.787539571201</x:v>
      </x:c>
      <x:c r="AD19" s="9" t="n">
        <x:f>2*AB19/Inputs!$C$21*1000000</x:f>
        <x:v>32.41590434164116</x:v>
      </x:c>
      <x:c r="AE19" s="9" t="n">
        <x:f>DEGREES(ATAN(H19/(B19-Y19/1000)))</x:f>
        <x:v>8.09116230323489</x:v>
      </x:c>
      <x:c r="AF19" s="9" t="n">
        <x:f>DEGREES((2*PI()/Inputs!$C$13)*Inputs!$C$15*SIN(RADIANS(AE19)))</x:f>
        <x:v>50.66946798304117</x:v>
      </x:c>
      <x:c r="AG19" s="9" t="n">
        <x:f>(Z19/AA19)^4</x:f>
        <x:v>0.9531812639620874</x:v>
      </x:c>
      <x:c r="AH19" s="9" t="n">
        <x:f>10*LOG10(AG19)</x:f>
        <x:v>-0.20824502873891398</x:v>
      </x:c>
      <x:c r="AI19" s="9" t="n">
        <x:f>AC19-F19</x:f>
        <x:v>-126.2915535621969</x:v>
      </x:c>
      <x:c r="AJ19" s="9" t="n">
        <x:f>AD19-G19</x:f>
        <x:v>-1.4996972695071022</x:v>
      </x:c>
      <x:c r="AK19" s="9" t="n">
        <x:f>Y19-X19</x:f>
        <x:v>228.90452805401156</x:v>
      </x:c>
      <x:c r="AL19" s="9" t="n">
        <x:f>1000*(AA20-AA18)/(A20-A18)*Inputs!$C$11</x:f>
        <x:v>-1131.0023230334991</x:v>
      </x:c>
      <x:c r="AM19" s="9" t="n">
        <x:f>-2*AL19/Inputs!$C$13</x:f>
        <x:v>452.40092921339965</x:v>
      </x:c>
      <x:c r="AN19" s="9" t="n">
        <x:f>-2*AL19/Inputs!$C$14</x:f>
        <x:v>67.92806744945942</x:v>
      </x:c>
      <x:c r="AO19" s="9" t="n">
        <x:f>ABS(AM19)</x:f>
        <x:v>452.40092921339965</x:v>
      </x:c>
      <x:c r="AP19" s="9" t="n">
        <x:f>ABS(AN19)</x:f>
        <x:v>67.92806744945942</x:v>
      </x:c>
      <x:c r="AQ19" s="9" t="n">
        <x:f>IF(OR(Inputs!$C$27=TRUE,Inputs!$C$27="TRUE",Inputs!$C$27=1),Inputs!$C$46/Inputs!$C$12,0)</x:f>
        <x:v>42.13483146067416</x:v>
      </x:c>
      <x:c r="AR19" s="9" t="n">
        <x:f>AC19-AQ19</x:f>
        <x:v>2687.6527081105264</x:v>
      </x:c>
      <x:c r="AS19" s="9" t="n">
        <x:f>AC19+AQ19</x:f>
        <x:v>2771.922371031875</x:v>
      </x:c>
    </x:row>
    <x:row r="20">
      <x:c r="A20" s="9" t="n">
        <x:f>Inputs!$C$7+18*(Inputs!$C$8-Inputs!$C$7)/240</x:f>
        <x:v>-51</x:v>
      </x:c>
      <x:c r="B20" s="9" t="n">
        <x:f>Inputs!$C$5+Inputs!$C$9*(A20/Inputs!$C$10)^2</x:f>
        <x:v>402.89</x:v>
      </x:c>
      <x:c r="C20" s="9" t="n">
        <x:f>B20</x:f>
        <x:v>402.89</x:v>
      </x:c>
      <x:c r="D20" s="9" t="n">
        <x:f>SQRT((Inputs!$C$52+B20)^2+Inputs!$C$52^2-2*(Inputs!$C$52+B20)*Inputs!$C$52*COS(SQRT(A20^2+Inputs!$C$6^2)/Inputs!$C$52))</x:f>
        <x:v>407.89537021253864</x:v>
      </x:c>
      <x:c r="E20" s="9" t="n">
        <x:f>(D20-C20)*1000</x:f>
        <x:v>5005.370212538651</x:v>
      </x:c>
      <x:c r="F20" s="9" t="n">
        <x:f>E20/Inputs!$C$12</x:f>
        <x:v>2812.005737381264</x:v>
      </x:c>
      <x:c r="G20" s="9" t="n">
        <x:f>2*E20/Inputs!$C$21*1000000</x:f>
        <x:v>33.39223572154474</x:v>
      </x:c>
      <x:c r="H20" s="9" t="n">
        <x:f>SQRT(A20^2+Inputs!$C$6^2)</x:f>
        <x:v>56.79788728465171</x:v>
      </x:c>
      <x:c r="I20" s="9" t="n">
        <x:f>DEGREES(ATAN(H20/B20))</x:f>
        <x:v>8.024458026468219</x:v>
      </x:c>
      <x:c r="J20" s="9" t="n">
        <x:f>DEGREES((2*PI()/Inputs!$C$13)*Inputs!$C$15*SIN(RADIANS(I20)))</x:f>
        <x:v>50.25449054086581</x:v>
      </x:c>
      <x:c r="K20" s="9" t="n">
        <x:f>(C20/D20)^4</x:f>
        <x:v>0.9518112825121221</x:v>
      </x:c>
      <x:c r="L20" s="9" t="n">
        <x:f>10*LOG10(K20)</x:f>
        <x:v>-0.214491514980564</x:v>
      </x:c>
      <x:c r="M20" s="9" t="n">
        <x:f>2*(Inputs!$C$9/(Inputs!$C$10^2))*A20</x:f>
        <x:v>-0.11333333333333333</x:v>
      </x:c>
      <x:c r="N20" s="9" t="n">
        <x:f>M20*Inputs!$C$11</x:f>
        <x:v>-0.4533333333333333</x:v>
      </x:c>
      <x:c r="O20" s="9" t="n">
        <x:f>1000*(D21-D19)/(A21-A19)*Inputs!$C$11</x:f>
        <x:v>-1078.0053156152007</x:v>
      </x:c>
      <x:c r="P20" s="9" t="n">
        <x:f>-2*O20/Inputs!$C$13</x:f>
        <x:v>431.2021262460803</x:v>
      </x:c>
      <x:c r="Q20" s="9" t="n">
        <x:f>-2*O20/Inputs!$C$14</x:f>
        <x:v>64.74506400091296</x:v>
      </x:c>
      <x:c r="R20" s="9" t="n">
        <x:f>F20-Inputs!$C$16/2</x:f>
        <x:v>2797.005737381264</x:v>
      </x:c>
      <x:c r="S20" s="9" t="n">
        <x:f>F20+Inputs!$C$16/2</x:f>
        <x:v>2827.005737381264</x:v>
      </x:c>
      <x:c r="T20" s="9" t="n">
        <x:f>F20-Inputs!$C$17/2</x:f>
        <x:v>2662.005737381264</x:v>
      </x:c>
      <x:c r="U20" s="9" t="n">
        <x:f>F20+Inputs!$C$17/2</x:f>
        <x:v>2962.005737381264</x:v>
      </x:c>
      <x:c r="V20" s="9" t="n">
        <x:f>ABS(P20)</x:f>
        <x:v>431.2021262460803</x:v>
      </x:c>
      <x:c r="W20" s="9" t="n">
        <x:f>ABS(Q20)</x:f>
        <x:v>64.74506400091296</x:v>
      </x:c>
      <x:c r="X20" s="9"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x:f>
        <x:v>39.10881658677256</x:v>
      </x:c>
      <x:c r="Y20" s="9"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x:f>
        <x:v>251.96732827517536</x:v>
      </x:c>
      <x:c r="Z20" s="9" t="n">
        <x:f>B20-X20/1000</x:f>
        <x:v>402.85089118341324</x:v>
      </x:c>
      <x:c r="AA20" s="9" t="n">
        <x:f>SQRT((Inputs!$C$52+B20)^2+(Inputs!$C$52+Y20/1000)^2-2*(Inputs!$C$52+B20)*(Inputs!$C$52+Y20/1000)*COS(SQRT(A20^2+Inputs!$C$6^2)/Inputs!$C$52))</x:f>
        <x:v>407.64730030023895</x:v>
      </x:c>
      <x:c r="AB20" s="9" t="n">
        <x:f>(AA20-Z20)*1000</x:f>
        <x:v>4796.409116825715</x:v>
      </x:c>
      <x:c r="AC20" s="9" t="n">
        <x:f>AB20/Inputs!$C$12</x:f>
        <x:v>2694.611863385233</x:v>
      </x:c>
      <x:c r="AD20" s="9" t="n">
        <x:f>2*AB20/Inputs!$C$21*1000000</x:f>
        <x:v>31.99819734508274</x:v>
      </x:c>
      <x:c r="AE20" s="9" t="n">
        <x:f>DEGREES(ATAN(H20/(B20-Y20/1000)))</x:f>
        <x:v>8.029414192252009</x:v>
      </x:c>
      <x:c r="AF20" s="9" t="n">
        <x:f>DEGREES((2*PI()/Inputs!$C$13)*Inputs!$C$15*SIN(RADIANS(AE20)))</x:f>
        <x:v>50.285325950718175</x:v>
      </x:c>
      <x:c r="AG20" s="9" t="n">
        <x:f>(Z20/AA20)^4</x:f>
        <x:v>0.9537598428217167</x:v>
      </x:c>
      <x:c r="AH20" s="9" t="n">
        <x:f>10*LOG10(AG20)</x:f>
        <x:v>-0.205609670857127</x:v>
      </x:c>
      <x:c r="AI20" s="9" t="n">
        <x:f>AC20-F20</x:f>
        <x:v>-117.39387399603129</x:v>
      </x:c>
      <x:c r="AJ20" s="9" t="n">
        <x:f>AD20-G20</x:f>
        <x:v>-1.394038376462003</x:v>
      </x:c>
      <x:c r="AK20" s="9" t="n">
        <x:f>Y20-X20</x:f>
        <x:v>212.8585116884028</x:v>
      </x:c>
      <x:c r="AL20" s="9" t="n">
        <x:f>1000*(AA21-AA19)/(A21-A19)*Inputs!$C$11</x:f>
        <x:v>-1032.5390646050892</x:v>
      </x:c>
      <x:c r="AM20" s="9" t="n">
        <x:f>-2*AL20/Inputs!$C$13</x:f>
        <x:v>413.01562584203566</x:v>
      </x:c>
      <x:c r="AN20" s="9" t="n">
        <x:f>-2*AL20/Inputs!$C$14</x:f>
        <x:v>62.01435823453989</x:v>
      </x:c>
      <x:c r="AO20" s="9" t="n">
        <x:f>ABS(AM20)</x:f>
        <x:v>413.01562584203566</x:v>
      </x:c>
      <x:c r="AP20" s="9" t="n">
        <x:f>ABS(AN20)</x:f>
        <x:v>62.01435823453989</x:v>
      </x:c>
      <x:c r="AQ20" s="9" t="n">
        <x:f>IF(OR(Inputs!$C$27=TRUE,Inputs!$C$27="TRUE",Inputs!$C$27=1),Inputs!$C$46/Inputs!$C$12,0)</x:f>
        <x:v>42.13483146067416</x:v>
      </x:c>
      <x:c r="AR20" s="9" t="n">
        <x:f>AC20-AQ20</x:f>
        <x:v>2652.4770319245586</x:v>
      </x:c>
      <x:c r="AS20" s="9" t="n">
        <x:f>AC20+AQ20</x:f>
        <x:v>2736.7466948459073</x:v>
      </x:c>
    </x:row>
    <x:row r="21">
      <x:c r="A21" s="9" t="n">
        <x:f>Inputs!$C$7+19*(Inputs!$C$8-Inputs!$C$7)/240</x:f>
        <x:v>-50.5</x:v>
      </x:c>
      <x:c r="B21" s="9" t="n">
        <x:f>Inputs!$C$5+Inputs!$C$9*(A21/Inputs!$C$10)^2</x:f>
        <x:v>402.8336111111111</x:v>
      </x:c>
      <x:c r="C21" s="9" t="n">
        <x:f>B21</x:f>
        <x:v>402.8336111111111</x:v>
      </x:c>
      <x:c r="D21" s="9" t="n">
        <x:f>SQRT((Inputs!$C$52+B21)^2+Inputs!$C$52^2-2*(Inputs!$C$52+B21)*Inputs!$C$52*COS(SQRT(A21^2+Inputs!$C$6^2)/Inputs!$C$52))</x:f>
        <x:v>407.7612639013181</x:v>
      </x:c>
      <x:c r="E21" s="9" t="n">
        <x:f>(D21-C21)*1000</x:f>
        <x:v>4927.652790206992</x:v>
      </x:c>
      <x:c r="F21" s="9" t="n">
        <x:f>E21/Inputs!$C$12</x:f>
        <x:v>2768.3442641612314</x:v>
      </x:c>
      <x:c r="G21" s="9" t="n">
        <x:f>2*E21/Inputs!$C$21*1000000</x:f>
        <x:v>32.873760888320895</x:v>
      </x:c>
      <x:c r="H21" s="9" t="n">
        <x:f>SQRT(A21^2+Inputs!$C$6^2)</x:f>
        <x:v>56.349356695529366</x:v>
      </x:c>
      <x:c r="I21" s="9" t="n">
        <x:f>DEGREES(ATAN(H21/B21))</x:f>
        <x:v>7.9630052297803156</x:v>
      </x:c>
      <x:c r="J21" s="9" t="n">
        <x:f>DEGREES((2*PI()/Inputs!$C$13)*Inputs!$C$15*SIN(RADIANS(I21)))</x:f>
        <x:v>49.87212305974802</x:v>
      </x:c>
      <x:c r="K21" s="9" t="n">
        <x:f>(C21/D21)^4</x:f>
        <x:v>0.9525305886301312</x:v>
      </x:c>
      <x:c r="L21" s="9" t="n">
        <x:f>10*LOG10(K21)</x:f>
        <x:v>-0.211210689227154</x:v>
      </x:c>
      <x:c r="M21" s="9" t="n">
        <x:f>2*(Inputs!$C$9/(Inputs!$C$10^2))*A21</x:f>
        <x:v>-0.11222222222222222</x:v>
      </x:c>
      <x:c r="N21" s="9" t="n">
        <x:f>M21*Inputs!$C$11</x:f>
        <x:v>-0.4488888888888889</x:v>
      </x:c>
      <x:c r="O21" s="9" t="n">
        <x:f>1000*(D22-D20)/(A22-A20)*Inputs!$C$11</x:f>
        <x:v>-1067.691997902557</x:v>
      </x:c>
      <x:c r="P21" s="9" t="n">
        <x:f>-2*O21/Inputs!$C$13</x:f>
        <x:v>427.0767991610228</x:v>
      </x:c>
      <x:c r="Q21" s="9" t="n">
        <x:f>-2*O21/Inputs!$C$14</x:f>
        <x:v>64.1256455196731</x:v>
      </x:c>
      <x:c r="R21" s="9" t="n">
        <x:f>F21-Inputs!$C$16/2</x:f>
        <x:v>2753.3442641612314</x:v>
      </x:c>
      <x:c r="S21" s="9" t="n">
        <x:f>F21+Inputs!$C$16/2</x:f>
        <x:v>2783.3442641612314</x:v>
      </x:c>
      <x:c r="T21" s="9" t="n">
        <x:f>F21-Inputs!$C$17/2</x:f>
        <x:v>2618.3442641612314</x:v>
      </x:c>
      <x:c r="U21" s="9" t="n">
        <x:f>F21+Inputs!$C$17/2</x:f>
        <x:v>2918.3442641612314</x:v>
      </x:c>
      <x:c r="V21" s="9" t="n">
        <x:f>ABS(P21)</x:f>
        <x:v>427.0767991610228</x:v>
      </x:c>
      <x:c r="W21" s="9" t="n">
        <x:f>ABS(Q21)</x:f>
        <x:v>64.1256455196731</x:v>
      </x:c>
      <x:c r="X21" s="9"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x:f>
        <x:v>47.99583170220943</x:v>
      </x:c>
      <x:c r="Y21" s="9"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x:f>
        <x:v>249.7278681272967</x:v>
      </x:c>
      <x:c r="Z21" s="9" t="n">
        <x:f>B21-X21/1000</x:f>
        <x:v>402.7856152794089</x:v>
      </x:c>
      <x:c r="AA21" s="9" t="n">
        <x:f>SQRT((Inputs!$C$52+B21)^2+(Inputs!$C$52+Y21/1000)^2-2*(Inputs!$C$52+B21)*(Inputs!$C$52+Y21/1000)*COS(SQRT(A21^2+Inputs!$C$6^2)/Inputs!$C$52))</x:f>
        <x:v>407.5153398794468</x:v>
      </x:c>
      <x:c r="AB21" s="9" t="n">
        <x:f>(AA21-Z21)*1000</x:f>
        <x:v>4729.724600037912</x:v>
      </x:c>
      <x:c r="AC21" s="9" t="n">
        <x:f>AB21/Inputs!$C$12</x:f>
        <x:v>2657.148651706692</x:v>
      </x:c>
      <x:c r="AD21" s="9" t="n">
        <x:f>2*AB21/Inputs!$C$21*1000000</x:f>
        <x:v>31.55332613496175</x:v>
      </x:c>
      <x:c r="AE21" s="9" t="n">
        <x:f>DEGREES(ATAN(H21/(B21-Y21/1000)))</x:f>
        <x:v>7.967881362692557</x:v>
      </x:c>
      <x:c r="AF21" s="9" t="n">
        <x:f>DEGREES((2*PI()/Inputs!$C$13)*Inputs!$C$15*SIN(RADIANS(AE21)))</x:f>
        <x:v>49.902465109119724</x:v>
      </x:c>
      <x:c r="AG21" s="9" t="n">
        <x:f>(Z21/AA21)^4</x:f>
        <x:v>0.9543769976690754</x:v>
      </x:c>
      <x:c r="AH21" s="9" t="n">
        <x:f>10*LOG10(AG21)</x:f>
        <x:v>-0.202800365482941</x:v>
      </x:c>
      <x:c r="AI21" s="9" t="n">
        <x:f>AC21-F21</x:f>
        <x:v>-111.19561245453951</x:v>
      </x:c>
      <x:c r="AJ21" s="9" t="n">
        <x:f>AD21-G21</x:f>
        <x:v>-1.3204347533591445</x:v>
      </x:c>
      <x:c r="AK21" s="9" t="n">
        <x:f>Y21-X21</x:f>
        <x:v>201.73203642508724</x:v>
      </x:c>
      <x:c r="AL21" s="9" t="n">
        <x:f>1000*(AA22-AA20)/(A22-A20)*Inputs!$C$11</x:f>
        <x:v>-1153.850653468453</x:v>
      </x:c>
      <x:c r="AM21" s="9" t="n">
        <x:f>-2*AL21/Inputs!$C$13</x:f>
        <x:v>461.5402613873812</x:v>
      </x:c>
      <x:c r="AN21" s="9" t="n">
        <x:f>-2*AL21/Inputs!$C$14</x:f>
        <x:v>69.30033954765484</x:v>
      </x:c>
      <x:c r="AO21" s="9" t="n">
        <x:f>ABS(AM21)</x:f>
        <x:v>461.5402613873812</x:v>
      </x:c>
      <x:c r="AP21" s="9" t="n">
        <x:f>ABS(AN21)</x:f>
        <x:v>69.30033954765484</x:v>
      </x:c>
      <x:c r="AQ21" s="9" t="n">
        <x:f>IF(OR(Inputs!$C$27=TRUE,Inputs!$C$27="TRUE",Inputs!$C$27=1),Inputs!$C$46/Inputs!$C$12,0)</x:f>
        <x:v>42.13483146067416</x:v>
      </x:c>
      <x:c r="AR21" s="9" t="n">
        <x:f>AC21-AQ21</x:f>
        <x:v>2615.0138202460175</x:v>
      </x:c>
      <x:c r="AS21" s="9" t="n">
        <x:f>AC21+AQ21</x:f>
        <x:v>2699.2834831673663</x:v>
      </x:c>
    </x:row>
    <x:row r="22">
      <x:c r="A22" s="9" t="n">
        <x:f>Inputs!$C$7+20*(Inputs!$C$8-Inputs!$C$7)/240</x:f>
        <x:v>-50</x:v>
      </x:c>
      <x:c r="B22" s="9" t="n">
        <x:f>Inputs!$C$5+Inputs!$C$9*(A22/Inputs!$C$10)^2</x:f>
        <x:v>402.77777777777777</x:v>
      </x:c>
      <x:c r="C22" s="9" t="n">
        <x:f>B22</x:f>
        <x:v>402.77777777777777</x:v>
      </x:c>
      <x:c r="D22" s="9" t="n">
        <x:f>SQRT((Inputs!$C$52+B22)^2+Inputs!$C$52^2-2*(Inputs!$C$52+B22)*Inputs!$C$52*COS(SQRT(A22^2+Inputs!$C$6^2)/Inputs!$C$52))</x:f>
        <x:v>407.628447213063</x:v>
      </x:c>
      <x:c r="E22" s="9" t="n">
        <x:f>(D22-C22)*1000</x:f>
        <x:v>4850.669435285226</x:v>
      </x:c>
      <x:c r="F22" s="9" t="n">
        <x:f>E22/Inputs!$C$12</x:f>
        <x:v>2725.0951883624866</x:v>
      </x:c>
      <x:c r="G22" s="9" t="n">
        <x:f>2*E22/Inputs!$C$21*1000000</x:f>
        <x:v>32.36018322572495</x:v>
      </x:c>
      <x:c r="H22" s="9" t="n">
        <x:f>SQRT(A22^2+Inputs!$C$6^2)</x:f>
        <x:v>55.90169943749474</x:v>
      </x:c>
      <x:c r="I22" s="9" t="n">
        <x:f>DEGREES(ATAN(H22/B22))</x:f>
        <x:v>7.901627897264307</x:v>
      </x:c>
      <x:c r="J22" s="9" t="n">
        <x:f>DEGREES((2*PI()/Inputs!$C$13)*Inputs!$C$15*SIN(RADIANS(I22)))</x:f>
        <x:v>49.490167860754674</x:v>
      </x:c>
      <x:c r="K22" s="9" t="n">
        <x:f>(C22/D22)^4</x:f>
        <x:v>0.9532439721064818</x:v>
      </x:c>
      <x:c r="L22" s="9" t="n">
        <x:f>10*LOG10(K22)</x:f>
        <x:v>-0.20795932331941502</x:v>
      </x:c>
      <x:c r="M22" s="9" t="n">
        <x:f>2*(Inputs!$C$9/(Inputs!$C$10^2))*A22</x:f>
        <x:v>-0.1111111111111111</x:v>
      </x:c>
      <x:c r="N22" s="9" t="n">
        <x:f>M22*Inputs!$C$11</x:f>
        <x:v>-0.4444444444444444</x:v>
      </x:c>
      <x:c r="O22" s="9" t="n">
        <x:f>1000*(D23-D21)/(A23-A21)*Inputs!$C$11</x:f>
        <x:v>-1057.371378303742</x:v>
      </x:c>
      <x:c r="P22" s="9" t="n">
        <x:f>-2*O22/Inputs!$C$13</x:f>
        <x:v>422.9485513214968</x:v>
      </x:c>
      <x:c r="Q22" s="9" t="n">
        <x:f>-2*O22/Inputs!$C$14</x:f>
        <x:v>63.50578848671123</x:v>
      </x:c>
      <x:c r="R22" s="9" t="n">
        <x:f>F22-Inputs!$C$16/2</x:f>
        <x:v>2710.0951883624866</x:v>
      </x:c>
      <x:c r="S22" s="9" t="n">
        <x:f>F22+Inputs!$C$16/2</x:f>
        <x:v>2740.0951883624866</x:v>
      </x:c>
      <x:c r="T22" s="9" t="n">
        <x:f>F22-Inputs!$C$17/2</x:f>
        <x:v>2575.0951883624866</x:v>
      </x:c>
      <x:c r="U22" s="9" t="n">
        <x:f>F22+Inputs!$C$17/2</x:f>
        <x:v>2875.0951883624866</x:v>
      </x:c>
      <x:c r="V22" s="9" t="n">
        <x:f>ABS(P22)</x:f>
        <x:v>422.9485513214968</x:v>
      </x:c>
      <x:c r="W22" s="9" t="n">
        <x:f>ABS(Q22)</x:f>
        <x:v>63.50578848671123</x:v>
      </x:c>
      <x:c r="X22" s="9"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x:f>
        <x:v>29.034419664389077</x:v>
      </x:c>
      <x:c r="Y22" s="9"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x:f>
        <x:v>273.71504099052385</x:v>
      </x:c>
      <x:c r="Z22" s="9" t="n">
        <x:f>B22-X22/1000</x:f>
        <x:v>402.74874335811336</x:v>
      </x:c>
      <x:c r="AA22" s="9" t="n">
        <x:f>SQRT((Inputs!$C$52+B22)^2+(Inputs!$C$52+Y22/1000)^2-2*(Inputs!$C$52+B22)*(Inputs!$C$52+Y22/1000)*COS(SQRT(A22^2+Inputs!$C$6^2)/Inputs!$C$52))</x:f>
        <x:v>407.35883763687184</x:v>
      </x:c>
      <x:c r="AB22" s="9" t="n">
        <x:f>(AA22-Z22)*1000</x:f>
        <x:v>4610.094278758481</x:v>
      </x:c>
      <x:c r="AC22" s="9" t="n">
        <x:f>AB22/Inputs!$C$12</x:f>
        <x:v>2589.94060604409</x:v>
      </x:c>
      <x:c r="AD22" s="9" t="n">
        <x:f>2*AB22/Inputs!$C$21*1000000</x:f>
        <x:v>30.755238537445</x:v>
      </x:c>
      <x:c r="AE22" s="9" t="n">
        <x:f>DEGREES(ATAN(H22/(B22-Y22/1000)))</x:f>
        <x:v>7.906933305257061</x:v>
      </x:c>
      <x:c r="AF22" s="9" t="n">
        <x:f>DEGREES((2*PI()/Inputs!$C$13)*Inputs!$C$15*SIN(RADIANS(AE22)))</x:f>
        <x:v>49.523186014169305</x:v>
      </x:c>
      <x:c r="AG22" s="9" t="n">
        <x:f>(Z22/AA22)^4</x:f>
        <x:v>0.9554945298324417</x:v>
      </x:c>
      <x:c r="AH22" s="9" t="n">
        <x:f>10*LOG10(AG22)</x:f>
        <x:v>-0.197717949202043</x:v>
      </x:c>
      <x:c r="AI22" s="9" t="n">
        <x:f>AC22-F22</x:f>
        <x:v>-135.15458231839648</x:v>
      </x:c>
      <x:c r="AJ22" s="9" t="n">
        <x:f>AD22-G22</x:f>
        <x:v>-1.6049446882799536</x:v>
      </x:c>
      <x:c r="AK22" s="9" t="n">
        <x:f>Y22-X22</x:f>
        <x:v>244.68062132613477</x:v>
      </x:c>
      <x:c r="AL22" s="9" t="n">
        <x:f>1000*(AA23-AA21)/(A23-A21)*Inputs!$C$11</x:f>
        <x:v>-1094.0516865593963</x:v>
      </x:c>
      <x:c r="AM22" s="9" t="n">
        <x:f>-2*AL22/Inputs!$C$13</x:f>
        <x:v>437.62067462375853</x:v>
      </x:c>
      <x:c r="AN22" s="9" t="n">
        <x:f>-2*AL22/Inputs!$C$14</x:f>
        <x:v>65.70881000356735</x:v>
      </x:c>
      <x:c r="AO22" s="9" t="n">
        <x:f>ABS(AM22)</x:f>
        <x:v>437.62067462375853</x:v>
      </x:c>
      <x:c r="AP22" s="9" t="n">
        <x:f>ABS(AN22)</x:f>
        <x:v>65.70881000356735</x:v>
      </x:c>
      <x:c r="AQ22" s="9" t="n">
        <x:f>IF(OR(Inputs!$C$27=TRUE,Inputs!$C$27="TRUE",Inputs!$C$27=1),Inputs!$C$46/Inputs!$C$12,0)</x:f>
        <x:v>42.13483146067416</x:v>
      </x:c>
      <x:c r="AR22" s="9" t="n">
        <x:f>AC22-AQ22</x:f>
        <x:v>2547.8057745834158</x:v>
      </x:c>
      <x:c r="AS22" s="9" t="n">
        <x:f>AC22+AQ22</x:f>
        <x:v>2632.0754375047645</x:v>
      </x:c>
    </x:row>
    <x:row r="23">
      <x:c r="A23" s="9" t="n">
        <x:f>Inputs!$C$7+21*(Inputs!$C$8-Inputs!$C$7)/240</x:f>
        <x:v>-49.5</x:v>
      </x:c>
      <x:c r="B23" s="9" t="n">
        <x:f>Inputs!$C$5+Inputs!$C$9*(A23/Inputs!$C$10)^2</x:f>
        <x:v>402.7225</x:v>
      </x:c>
      <x:c r="C23" s="9" t="n">
        <x:f>B23</x:f>
        <x:v>402.7225</x:v>
      </x:c>
      <x:c r="D23" s="9" t="n">
        <x:f>SQRT((Inputs!$C$52+B23)^2+Inputs!$C$52^2-2*(Inputs!$C$52+B23)*Inputs!$C$52*COS(SQRT(A23^2+Inputs!$C$6^2)/Inputs!$C$52))</x:f>
        <x:v>407.49692105674217</x:v>
      </x:c>
      <x:c r="E23" s="9" t="n">
        <x:f>(D23-C23)*1000</x:f>
        <x:v>4774.421056742141</x:v>
      </x:c>
      <x:c r="F23" s="9" t="n">
        <x:f>E23/Inputs!$C$12</x:f>
        <x:v>2682.2590206416526</x:v>
      </x:c>
      <x:c r="G23" s="9" t="n">
        <x:f>2*E23/Inputs!$C$21*1000000</x:f>
        <x:v>31.851508797743943</x:v>
      </x:c>
      <x:c r="H23" s="9" t="n">
        <x:f>SQRT(A23^2+Inputs!$C$6^2)</x:f>
        <x:v>55.45493666031907</x:v>
      </x:c>
      <x:c r="I23" s="9" t="n">
        <x:f>DEGREES(ATAN(H23/B23))</x:f>
        <x:v>7.84032949187448</x:v>
      </x:c>
      <x:c r="J23" s="9" t="n">
        <x:f>DEGREES((2*PI()/Inputs!$C$13)*Inputs!$C$15*SIN(RADIANS(I23)))</x:f>
        <x:v>49.108647147475075</x:v>
      </x:c>
      <x:c r="K23" s="9" t="n">
        <x:f>(C23/D23)^4</x:f>
        <x:v>0.9539514009475519</x:v>
      </x:c>
      <x:c r="L23" s="9" t="n">
        <x:f>10*LOG10(K23)</x:f>
        <x:v>-0.204737498639604</x:v>
      </x:c>
      <x:c r="M23" s="9" t="n">
        <x:f>2*(Inputs!$C$9/(Inputs!$C$10^2))*A23</x:f>
        <x:v>-0.11</x:v>
      </x:c>
      <x:c r="N23" s="9" t="n">
        <x:f>M23*Inputs!$C$11</x:f>
        <x:v>-0.44</x:v>
      </x:c>
      <x:c r="O23" s="9" t="n">
        <x:f>1000*(D24-D22)/(A24-A22)*Inputs!$C$11</x:f>
        <x:v>-1047.0435173044734</x:v>
      </x:c>
      <x:c r="P23" s="9" t="n">
        <x:f>-2*O23/Inputs!$C$13</x:f>
        <x:v>418.81740692178937</x:v>
      </x:c>
      <x:c r="Q23" s="9" t="n">
        <x:f>-2*O23/Inputs!$C$14</x:f>
        <x:v>62.88549653480322</x:v>
      </x:c>
      <x:c r="R23" s="9" t="n">
        <x:f>F23-Inputs!$C$16/2</x:f>
        <x:v>2667.2590206416526</x:v>
      </x:c>
      <x:c r="S23" s="9" t="n">
        <x:f>F23+Inputs!$C$16/2</x:f>
        <x:v>2697.2590206416526</x:v>
      </x:c>
      <x:c r="T23" s="9" t="n">
        <x:f>F23-Inputs!$C$17/2</x:f>
        <x:v>2532.2590206416526</x:v>
      </x:c>
      <x:c r="U23" s="9" t="n">
        <x:f>F23+Inputs!$C$17/2</x:f>
        <x:v>2832.2590206416526</x:v>
      </x:c>
      <x:c r="V23" s="9" t="n">
        <x:f>ABS(P23)</x:f>
        <x:v>418.81740692178937</x:v>
      </x:c>
      <x:c r="W23" s="9" t="n">
        <x:f>ABS(Q23)</x:f>
        <x:v>62.88549653480322</x:v>
      </x:c>
      <x:c r="X23" s="9"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x:f>
        <x:v>51.90461728837901</x:v>
      </x:c>
      <x:c r="Y23" s="9"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x:f>
        <x:v>258.91748425644914</x:v>
      </x:c>
      <x:c r="Z23" s="9" t="n">
        <x:f>B23-X23/1000</x:f>
        <x:v>402.67059538271167</x:v>
      </x:c>
      <x:c r="AA23" s="9" t="n">
        <x:f>SQRT((Inputs!$C$52+B23)^2+(Inputs!$C$52+Y23/1000)^2-2*(Inputs!$C$52+B23)*(Inputs!$C$52+Y23/1000)*COS(SQRT(A23^2+Inputs!$C$6^2)/Inputs!$C$52))</x:f>
        <x:v>407.24182695780695</x:v>
      </x:c>
      <x:c r="AB23" s="9" t="n">
        <x:f>(AA23-Z23)*1000</x:f>
        <x:v>4571.231575095282</x:v>
      </x:c>
      <x:c r="AC23" s="9" t="n">
        <x:f>AB23/Inputs!$C$12</x:f>
        <x:v>2568.107626458024</x:v>
      </x:c>
      <x:c r="AD23" s="9" t="n">
        <x:f>2*AB23/Inputs!$C$21*1000000</x:f>
        <x:v>30.495974485757625</x:v>
      </x:c>
      <x:c r="AE23" s="9" t="n">
        <x:f>DEGREES(ATAN(H23/(B23-Y23/1000)))</x:f>
        <x:v>7.845310632947393</x:v>
      </x:c>
      <x:c r="AF23" s="9" t="n">
        <x:f>DEGREES((2*PI()/Inputs!$C$13)*Inputs!$C$15*SIN(RADIANS(AE23)))</x:f>
        <x:v>49.139651827960755</x:v>
      </x:c>
      <x:c r="AG23" s="9" t="n">
        <x:f>(Z23/AA23)^4</x:f>
        <x:v>0.9558509122737895</x:v>
      </x:c>
      <x:c r="AH23" s="9" t="n">
        <x:f>10*LOG10(AG23)</x:f>
        <x:v>-0.196098410147421</x:v>
      </x:c>
      <x:c r="AI23" s="9" t="n">
        <x:f>AC23-F23</x:f>
        <x:v>-114.15139418362878</x:v>
      </x:c>
      <x:c r="AJ23" s="9" t="n">
        <x:f>AD23-G23</x:f>
        <x:v>-1.3555343119863181</x:v>
      </x:c>
      <x:c r="AK23" s="9" t="n">
        <x:f>Y23-X23</x:f>
        <x:v>207.01286696807014</x:v>
      </x:c>
      <x:c r="AL23" s="9" t="n">
        <x:f>1000*(AA24-AA22)/(A24-A22)*Inputs!$C$11</x:f>
        <x:v>-1028.1460184489788</x:v>
      </x:c>
      <x:c r="AM23" s="9" t="n">
        <x:f>-2*AL23/Inputs!$C$13</x:f>
        <x:v>411.2584073795915</x:v>
      </x:c>
      <x:c r="AN23" s="9" t="n">
        <x:f>-2*AL23/Inputs!$C$14</x:f>
        <x:v>61.75051161855729</x:v>
      </x:c>
      <x:c r="AO23" s="9" t="n">
        <x:f>ABS(AM23)</x:f>
        <x:v>411.2584073795915</x:v>
      </x:c>
      <x:c r="AP23" s="9" t="n">
        <x:f>ABS(AN23)</x:f>
        <x:v>61.75051161855729</x:v>
      </x:c>
      <x:c r="AQ23" s="9" t="n">
        <x:f>IF(OR(Inputs!$C$27=TRUE,Inputs!$C$27="TRUE",Inputs!$C$27=1),Inputs!$C$46/Inputs!$C$12,0)</x:f>
        <x:v>42.13483146067416</x:v>
      </x:c>
      <x:c r="AR23" s="9" t="n">
        <x:f>AC23-AQ23</x:f>
        <x:v>2525.9727949973494</x:v>
      </x:c>
      <x:c r="AS23" s="9" t="n">
        <x:f>AC23+AQ23</x:f>
        <x:v>2610.242457918698</x:v>
      </x:c>
    </x:row>
    <x:row r="24">
      <x:c r="A24" s="9" t="n">
        <x:f>Inputs!$C$7+22*(Inputs!$C$8-Inputs!$C$7)/240</x:f>
        <x:v>-49</x:v>
      </x:c>
      <x:c r="B24" s="9" t="n">
        <x:f>Inputs!$C$5+Inputs!$C$9*(A24/Inputs!$C$10)^2</x:f>
        <x:v>402.66777777777776</x:v>
      </x:c>
      <x:c r="C24" s="9" t="n">
        <x:f>B24</x:f>
        <x:v>402.66777777777776</x:v>
      </x:c>
      <x:c r="D24" s="9" t="n">
        <x:f>SQRT((Inputs!$C$52+B24)^2+Inputs!$C$52^2-2*(Inputs!$C$52+B24)*Inputs!$C$52*COS(SQRT(A24^2+Inputs!$C$6^2)/Inputs!$C$52))</x:f>
        <x:v>407.3666863337369</x:v>
      </x:c>
      <x:c r="E24" s="9" t="n">
        <x:f>(D24-C24)*1000</x:f>
        <x:v>4698.908555959122</x:v>
      </x:c>
      <x:c r="F24" s="9" t="n">
        <x:f>E24/Inputs!$C$12</x:f>
        <x:v>2639.8362673927654</x:v>
      </x:c>
      <x:c r="G24" s="9" t="n">
        <x:f>2*E24/Inputs!$C$21*1000000</x:f>
        <x:v>31.347743617747195</x:v>
      </x:c>
      <x:c r="H24" s="9" t="n">
        <x:f>SQRT(A24^2+Inputs!$C$6^2)</x:f>
        <x:v>55.00909015790027</x:v>
      </x:c>
      <x:c r="I24" s="9" t="n">
        <x:f>DEGREES(ATAN(H24/B24))</x:f>
        <x:v>7.779113570233542</x:v>
      </x:c>
      <x:c r="J24" s="9" t="n">
        <x:f>DEGREES((2*PI()/Inputs!$C$13)*Inputs!$C$15*SIN(RADIANS(I24)))</x:f>
        <x:v>48.727583715832836</x:v>
      </x:c>
      <x:c r="K24" s="9" t="n">
        <x:f>(C24/D24)^4</x:f>
        <x:v>0.954652843356775</x:v>
      </x:c>
      <x:c r="L24" s="9" t="n">
        <x:f>10*LOG10(K24)</x:f>
        <x:v>-0.20154529593626297</x:v>
      </x:c>
      <x:c r="M24" s="9" t="n">
        <x:f>2*(Inputs!$C$9/(Inputs!$C$10^2))*A24</x:f>
        <x:v>-0.10888888888888888</x:v>
      </x:c>
      <x:c r="N24" s="9" t="n">
        <x:f>M24*Inputs!$C$11</x:f>
        <x:v>-0.43555555555555553</x:v>
      </x:c>
      <x:c r="O24" s="9" t="n">
        <x:f>1000*(D25-D23)/(A25-A23)*Inputs!$C$11</x:f>
        <x:v>-1036.7084757508565</x:v>
      </x:c>
      <x:c r="P24" s="9" t="n">
        <x:f>-2*O24/Inputs!$C$13</x:f>
        <x:v>414.6833903003426</x:v>
      </x:c>
      <x:c r="Q24" s="9" t="n">
        <x:f>-2*O24/Inputs!$C$14</x:f>
        <x:v>62.26477331836976</x:v>
      </x:c>
      <x:c r="R24" s="9" t="n">
        <x:f>F24-Inputs!$C$16/2</x:f>
        <x:v>2624.8362673927654</x:v>
      </x:c>
      <x:c r="S24" s="9" t="n">
        <x:f>F24+Inputs!$C$16/2</x:f>
        <x:v>2654.8362673927654</x:v>
      </x:c>
      <x:c r="T24" s="9" t="n">
        <x:f>F24-Inputs!$C$17/2</x:f>
        <x:v>2489.8362673927654</x:v>
      </x:c>
      <x:c r="U24" s="9" t="n">
        <x:f>F24+Inputs!$C$17/2</x:f>
        <x:v>2789.8362673927654</x:v>
      </x:c>
      <x:c r="V24" s="9" t="n">
        <x:f>ABS(P24)</x:f>
        <x:v>414.6833903003426</x:v>
      </x:c>
      <x:c r="W24" s="9" t="n">
        <x:f>ABS(Q24)</x:f>
        <x:v>62.26477331836976</x:v>
      </x:c>
      <x:c r="X24" s="9"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x:f>
        <x:v>39.64300304421553</x:v>
      </x:c>
      <x:c r="Y24" s="9"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x:f>
        <x:v>268.7927966209557</x:v>
      </x:c>
      <x:c r="Z24" s="9" t="n">
        <x:f>B24-X24/1000</x:f>
        <x:v>402.62813477473355</x:v>
      </x:c>
      <x:c r="AA24" s="9" t="n">
        <x:f>SQRT((Inputs!$C$52+B24)^2+(Inputs!$C$52+Y24/1000)^2-2*(Inputs!$C$52+B24)*(Inputs!$C$52+Y24/1000)*COS(SQRT(A24^2+Inputs!$C$6^2)/Inputs!$C$52))</x:f>
        <x:v>407.1018011322596</x:v>
      </x:c>
      <x:c r="AB24" s="9" t="n">
        <x:f>(AA24-Z24)*1000</x:f>
        <x:v>4473.666357526043</x:v>
      </x:c>
      <x:c r="AC24" s="9" t="n">
        <x:f>AB24/Inputs!$C$12</x:f>
        <x:v>2513.295706475305</x:v>
      </x:c>
      <x:c r="AD24" s="9" t="n">
        <x:f>2*AB24/Inputs!$C$21*1000000</x:f>
        <x:v>29.84508941533174</x:v>
      </x:c>
      <x:c r="AE24" s="9" t="n">
        <x:f>DEGREES(ATAN(H24/(B24-Y24/1000)))</x:f>
        <x:v>7.784246144390463</x:v>
      </x:c>
      <x:c r="AF24" s="9" t="n">
        <x:f>DEGREES((2*PI()/Inputs!$C$13)*Inputs!$C$15*SIN(RADIANS(AE24)))</x:f>
        <x:v>48.75953565604719</x:v>
      </x:c>
      <x:c r="AG24" s="9" t="n">
        <x:f>(Z24/AA24)^4</x:f>
        <x:v>0.9567630208204264</x:v>
      </x:c>
      <x:c r="AH24" s="9" t="n">
        <x:f>10*LOG10(AG24)</x:f>
        <x:v>-0.19195618644114598</x:v>
      </x:c>
      <x:c r="AI24" s="9" t="n">
        <x:f>AC24-F24</x:f>
        <x:v>-126.54056091746043</x:v>
      </x:c>
      <x:c r="AJ24" s="9" t="n">
        <x:f>AD24-G24</x:f>
        <x:v>-1.5026542024154566</x:v>
      </x:c>
      <x:c r="AK24" s="9" t="n">
        <x:f>Y24-X24</x:f>
        <x:v>229.14979357674017</x:v>
      </x:c>
      <x:c r="AL24" s="9" t="n">
        <x:f>1000*(AA25-AA23)/(A25-A23)*Inputs!$C$11</x:f>
        <x:v>-1063.0657247854742</x:v>
      </x:c>
      <x:c r="AM24" s="9" t="n">
        <x:f>-2*AL24/Inputs!$C$13</x:f>
        <x:v>425.2262899141897</x:v>
      </x:c>
      <x:c r="AN24" s="9" t="n">
        <x:f>-2*AL24/Inputs!$C$14</x:f>
        <x:v>63.847791278406866</x:v>
      </x:c>
      <x:c r="AO24" s="9" t="n">
        <x:f>ABS(AM24)</x:f>
        <x:v>425.2262899141897</x:v>
      </x:c>
      <x:c r="AP24" s="9" t="n">
        <x:f>ABS(AN24)</x:f>
        <x:v>63.847791278406866</x:v>
      </x:c>
      <x:c r="AQ24" s="9" t="n">
        <x:f>IF(OR(Inputs!$C$27=TRUE,Inputs!$C$27="TRUE",Inputs!$C$27=1),Inputs!$C$46/Inputs!$C$12,0)</x:f>
        <x:v>42.13483146067416</x:v>
      </x:c>
      <x:c r="AR24" s="9" t="n">
        <x:f>AC24-AQ24</x:f>
        <x:v>2471.1608750146306</x:v>
      </x:c>
      <x:c r="AS24" s="9" t="n">
        <x:f>AC24+AQ24</x:f>
        <x:v>2555.4305379359794</x:v>
      </x:c>
    </x:row>
    <x:row r="25">
      <x:c r="A25" s="9" t="n">
        <x:f>Inputs!$C$7+23*(Inputs!$C$8-Inputs!$C$7)/240</x:f>
        <x:v>-48.5</x:v>
      </x:c>
      <x:c r="B25" s="9" t="n">
        <x:f>Inputs!$C$5+Inputs!$C$9*(A25/Inputs!$C$10)^2</x:f>
        <x:v>402.6136111111111</x:v>
      </x:c>
      <x:c r="C25" s="9" t="n">
        <x:f>B25</x:f>
        <x:v>402.6136111111111</x:v>
      </x:c>
      <x:c r="D25" s="9" t="n">
        <x:f>SQRT((Inputs!$C$52+B25)^2+Inputs!$C$52^2-2*(Inputs!$C$52+B25)*Inputs!$C$52*COS(SQRT(A25^2+Inputs!$C$6^2)/Inputs!$C$52))</x:f>
        <x:v>407.23774393780445</x:v>
      </x:c>
      <x:c r="E25" s="9" t="n">
        <x:f>(D25-C25)*1000</x:f>
        <x:v>4624.132826693369</x:v>
      </x:c>
      <x:c r="F25" s="9" t="n">
        <x:f>E25/Inputs!$C$12</x:f>
        <x:v>2597.8274307266115</x:v>
      </x:c>
      <x:c r="G25" s="9" t="n">
        <x:f>2*E25/Inputs!$C$21*1000000</x:f>
        <x:v>30.84889364824094</x:v>
      </x:c>
      <x:c r="H25" s="9" t="n">
        <x:f>SQRT(A25^2+Inputs!$C$6^2)</x:f>
        <x:v>54.56418239101544</x:v>
      </x:c>
      <x:c r="I25" s="9" t="n">
        <x:f>DEGREES(ATAN(H25/B25))</x:f>
        <x:v>7.717983785874701</x:v>
      </x:c>
      <x:c r="J25" s="9" t="n">
        <x:f>DEGREES((2*PI()/Inputs!$C$13)*Inputs!$C$15*SIN(RADIANS(I25)))</x:f>
        <x:v>48.347000974416595</x:v>
      </x:c>
      <x:c r="K25" s="9" t="n">
        <x:f>(C25/D25)^4</x:f>
        <x:v>0.9553482677377663</x:v>
      </x:c>
      <x:c r="L25" s="9" t="n">
        <x:f>10*LOG10(K25)</x:f>
        <x:v>-0.198382795319515</x:v>
      </x:c>
      <x:c r="M25" s="9" t="n">
        <x:f>2*(Inputs!$C$9/(Inputs!$C$10^2))*A25</x:f>
        <x:v>-0.10777777777777778</x:v>
      </x:c>
      <x:c r="N25" s="9" t="n">
        <x:f>M25*Inputs!$C$11</x:f>
        <x:v>-0.4311111111111111</x:v>
      </x:c>
      <x:c r="O25" s="9" t="n">
        <x:f>1000*(D26-D24)/(A26-A24)*Inputs!$C$11</x:f>
        <x:v>-1026.3663147777606</x:v>
      </x:c>
      <x:c r="P25" s="9" t="n">
        <x:f>-2*O25/Inputs!$C$13</x:f>
        <x:v>410.54652591110425</x:v>
      </x:c>
      <x:c r="Q25" s="9" t="n">
        <x:f>-2*O25/Inputs!$C$14</x:f>
        <x:v>61.64362250917482</x:v>
      </x:c>
      <x:c r="R25" s="9" t="n">
        <x:f>F25-Inputs!$C$16/2</x:f>
        <x:v>2582.8274307266115</x:v>
      </x:c>
      <x:c r="S25" s="9" t="n">
        <x:f>F25+Inputs!$C$16/2</x:f>
        <x:v>2612.8274307266115</x:v>
      </x:c>
      <x:c r="T25" s="9" t="n">
        <x:f>F25-Inputs!$C$17/2</x:f>
        <x:v>2447.8274307266115</x:v>
      </x:c>
      <x:c r="U25" s="9" t="n">
        <x:f>F25+Inputs!$C$17/2</x:f>
        <x:v>2747.8274307266115</x:v>
      </x:c>
      <x:c r="V25" s="9" t="n">
        <x:f>ABS(P25)</x:f>
        <x:v>410.54652591110425</x:v>
      </x:c>
      <x:c r="W25" s="9" t="n">
        <x:f>ABS(Q25)</x:f>
        <x:v>61.64362250917482</x:v>
      </x:c>
      <x:c r="X25" s="9"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x:f>
        <x:v>40.329360187280464</x:v>
      </x:c>
      <x:c r="Y25" s="9"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x:f>
        <x:v>265.4824606971943</x:v>
      </x:c>
      <x:c r="Z25" s="9" t="n">
        <x:f>B25-X25/1000</x:f>
        <x:v>402.5732817509238</x:v>
      </x:c>
      <x:c r="AA25" s="9" t="n">
        <x:f>SQRT((Inputs!$C$52+B25)^2+(Inputs!$C$52+Y25/1000)^2-2*(Inputs!$C$52+B25)*(Inputs!$C$52+Y25/1000)*COS(SQRT(A25^2+Inputs!$C$6^2)/Inputs!$C$52))</x:f>
        <x:v>406.9760605266106</x:v>
      </x:c>
      <x:c r="AB25" s="9" t="n">
        <x:f>(AA25-Z25)*1000</x:f>
        <x:v>4402.778775686784</x:v>
      </x:c>
      <x:c r="AC25" s="9" t="n">
        <x:f>AB25/Inputs!$C$12</x:f>
        <x:v>2473.471222295946</x:v>
      </x:c>
      <x:c r="AD25" s="9" t="n">
        <x:f>2*AB25/Inputs!$C$21*1000000</x:f>
        <x:v>29.372178373391794</x:v>
      </x:c>
      <x:c r="AE25" s="9" t="n">
        <x:f>DEGREES(ATAN(H25/(B25-Y25/1000)))</x:f>
        <x:v>7.72301492341192</x:v>
      </x:c>
      <x:c r="AF25" s="9" t="n">
        <x:f>DEGREES((2*PI()/Inputs!$C$13)*Inputs!$C$15*SIN(RADIANS(AE25)))</x:f>
        <x:v>48.37832599125807</x:v>
      </x:c>
      <x:c r="AG25" s="9" t="n">
        <x:f>(Z25/AA25)^4</x:f>
        <x:v>0.9574240612450751</x:v>
      </x:c>
      <x:c r="AH25" s="9" t="n">
        <x:f>10*LOG10(AG25)</x:f>
        <x:v>-0.188956623620541</x:v>
      </x:c>
      <x:c r="AI25" s="9" t="n">
        <x:f>AC25-F25</x:f>
        <x:v>-124.35620843066545</x:v>
      </x:c>
      <x:c r="AJ25" s="9" t="n">
        <x:f>AD25-G25</x:f>
        <x:v>-1.4767152748491448</x:v>
      </x:c>
      <x:c r="AK25" s="9" t="n">
        <x:f>Y25-X25</x:f>
        <x:v>225.15310050991386</x:v>
      </x:c>
      <x:c r="AL25" s="9" t="n">
        <x:f>1000*(AA26-AA24)/(A26-A24)*Inputs!$C$11</x:f>
        <x:v>-967.0844764020785</x:v>
      </x:c>
      <x:c r="AM25" s="9" t="n">
        <x:f>-2*AL25/Inputs!$C$13</x:f>
        <x:v>386.8337905608314</x:v>
      </x:c>
      <x:c r="AN25" s="9" t="n">
        <x:f>-2*AL25/Inputs!$C$14</x:f>
        <x:v>58.083151735860575</x:v>
      </x:c>
      <x:c r="AO25" s="9" t="n">
        <x:f>ABS(AM25)</x:f>
        <x:v>386.8337905608314</x:v>
      </x:c>
      <x:c r="AP25" s="9" t="n">
        <x:f>ABS(AN25)</x:f>
        <x:v>58.083151735860575</x:v>
      </x:c>
      <x:c r="AQ25" s="9" t="n">
        <x:f>IF(OR(Inputs!$C$27=TRUE,Inputs!$C$27="TRUE",Inputs!$C$27=1),Inputs!$C$46/Inputs!$C$12,0)</x:f>
        <x:v>42.13483146067416</x:v>
      </x:c>
      <x:c r="AR25" s="9" t="n">
        <x:f>AC25-AQ25</x:f>
        <x:v>2431.3363908352717</x:v>
      </x:c>
      <x:c r="AS25" s="9" t="n">
        <x:f>AC25+AQ25</x:f>
        <x:v>2515.6060537566204</x:v>
      </x:c>
    </x:row>
    <x:row r="26">
      <x:c r="A26" s="9" t="n">
        <x:f>Inputs!$C$7+24*(Inputs!$C$8-Inputs!$C$7)/240</x:f>
        <x:v>-48</x:v>
      </x:c>
      <x:c r="B26" s="9" t="n">
        <x:f>Inputs!$C$5+Inputs!$C$9*(A26/Inputs!$C$10)^2</x:f>
        <x:v>402.56</x:v>
      </x:c>
      <x:c r="C26" s="9" t="n">
        <x:f>B26</x:f>
        <x:v>402.56</x:v>
      </x:c>
      <x:c r="D26" s="9" t="n">
        <x:f>SQRT((Inputs!$C$52+B26)^2+Inputs!$C$52^2-2*(Inputs!$C$52+B26)*Inputs!$C$52*COS(SQRT(A26^2+Inputs!$C$6^2)/Inputs!$C$52))</x:f>
        <x:v>407.11009475504244</x:v>
      </x:c>
      <x:c r="E26" s="9" t="n">
        <x:f>(D26-C26)*1000</x:f>
        <x:v>4550.094755042437</x:v>
      </x:c>
      <x:c r="F26" s="9" t="n">
        <x:f>E26/Inputs!$C$12</x:f>
        <x:v>2556.233008450807</x:v>
      </x:c>
      <x:c r="G26" s="9" t="n">
        <x:f>2*E26/Inputs!$C$21*1000000</x:f>
        <x:v>30.354964800631755</x:v>
      </x:c>
      <x:c r="H26" s="9" t="n">
        <x:f>SQRT(A26^2+Inputs!$C$6^2)</x:f>
        <x:v>54.120236510939236</x:v>
      </x:c>
      <x:c r="I26" s="9" t="n">
        <x:f>DEGREES(ATAN(H26/B26))</x:f>
        <x:v>7.656943892607386</x:v>
      </x:c>
      <x:c r="J26" s="9" t="n">
        <x:f>DEGREES((2*PI()/Inputs!$C$13)*Inputs!$C$15*SIN(RADIANS(I26)))</x:f>
        <x:v>47.96692296558639</x:v>
      </x:c>
      <x:c r="K26" s="9" t="n">
        <x:f>(C26/D26)^4</x:f>
        <x:v>0.9560376426974181</x:v>
      </x:c>
      <x:c r="L26" s="9" t="n">
        <x:f>10*LOG10(K26)</x:f>
        <x:v>-0.195250076256491</x:v>
      </x:c>
      <x:c r="M26" s="9" t="n">
        <x:f>2*(Inputs!$C$9/(Inputs!$C$10^2))*A26</x:f>
        <x:v>-0.10666666666666666</x:v>
      </x:c>
      <x:c r="N26" s="9" t="n">
        <x:f>M26*Inputs!$C$11</x:f>
        <x:v>-0.42666666666666664</x:v>
      </x:c>
      <x:c r="O26" s="9" t="n">
        <x:f>1000*(D27-D25)/(A27-A25)*Inputs!$C$11</x:f>
        <x:v>-1016.0170958615709</x:v>
      </x:c>
      <x:c r="P26" s="9" t="n">
        <x:f>-2*O26/Inputs!$C$13</x:f>
        <x:v>406.40683834462834</x:v>
      </x:c>
      <x:c r="Q26" s="9" t="n">
        <x:f>-2*O26/Inputs!$C$14</x:f>
        <x:v>61.02204779949375</x:v>
      </x:c>
      <x:c r="R26" s="9" t="n">
        <x:f>F26-Inputs!$C$16/2</x:f>
        <x:v>2541.233008450807</x:v>
      </x:c>
      <x:c r="S26" s="9" t="n">
        <x:f>F26+Inputs!$C$16/2</x:f>
        <x:v>2571.233008450807</x:v>
      </x:c>
      <x:c r="T26" s="9" t="n">
        <x:f>F26-Inputs!$C$17/2</x:f>
        <x:v>2406.233008450807</x:v>
      </x:c>
      <x:c r="U26" s="9" t="n">
        <x:f>F26+Inputs!$C$17/2</x:f>
        <x:v>2706.233008450807</x:v>
      </x:c>
      <x:c r="V26" s="9" t="n">
        <x:f>ABS(P26)</x:f>
        <x:v>406.40683834462834</x:v>
      </x:c>
      <x:c r="W26" s="9" t="n">
        <x:f>ABS(Q26)</x:f>
        <x:v>61.02204779949375</x:v>
      </x:c>
      <x:c r="X26" s="9"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x:f>
        <x:v>55.67705400563339</x:v>
      </x:c>
      <x:c r="Y26" s="9"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x:f>
        <x:v>253.6370227527636</x:v>
      </x:c>
      <x:c r="Z26" s="9" t="n">
        <x:f>B26-X26/1000</x:f>
        <x:v>402.5043229459944</x:v>
      </x:c>
      <x:c r="AA26" s="9" t="n">
        <x:f>SQRT((Inputs!$C$52+B26)^2+(Inputs!$C$52+Y26/1000)^2-2*(Inputs!$C$52+B26)*(Inputs!$C$52+Y26/1000)*COS(SQRT(A26^2+Inputs!$C$6^2)/Inputs!$C$52))</x:f>
        <x:v>406.8600300131591</x:v>
      </x:c>
      <x:c r="AB26" s="9" t="n">
        <x:f>(AA26-Z26)*1000</x:f>
        <x:v>4355.707067164702</x:v>
      </x:c>
      <x:c r="AC26" s="9" t="n">
        <x:f>AB26/Inputs!$C$12</x:f>
        <x:v>2447.0264422273603</x:v>
      </x:c>
      <x:c r="AD26" s="9" t="n">
        <x:f>2*AB26/Inputs!$C$21*1000000</x:f>
        <x:v>29.058149736139804</x:v>
      </x:c>
      <x:c r="AE26" s="9" t="n">
        <x:f>DEGREES(ATAN(H26/(B26-Y26/1000)))</x:f>
        <x:v>7.661713945198251</x:v>
      </x:c>
      <x:c r="AF26" s="9" t="n">
        <x:f>DEGREES((2*PI()/Inputs!$C$13)*Inputs!$C$15*SIN(RADIANS(AE26)))</x:f>
        <x:v>47.996626689338996</x:v>
      </x:c>
      <x:c r="AG26" s="9" t="n">
        <x:f>(Z26/AA26)^4</x:f>
        <x:v>0.957860113859787</x:v>
      </x:c>
      <x:c r="AH26" s="9" t="n">
        <x:f>10*LOG10(AG26)</x:f>
        <x:v>-0.186979107697605</x:v>
      </x:c>
      <x:c r="AI26" s="9" t="n">
        <x:f>AC26-F26</x:f>
        <x:v>-109.20656622344677</x:v>
      </x:c>
      <x:c r="AJ26" s="9" t="n">
        <x:f>AD26-G26</x:f>
        <x:v>-1.2968150644919518</x:v>
      </x:c>
      <x:c r="AK26" s="9" t="n">
        <x:f>Y26-X26</x:f>
        <x:v>197.95996874713023</x:v>
      </x:c>
      <x:c r="AL26" s="9" t="n">
        <x:f>1000*(AA27-AA25)/(A27-A25)*Inputs!$C$11</x:f>
        <x:v>-1005.7343116893662</x:v>
      </x:c>
      <x:c r="AM26" s="9" t="n">
        <x:f>-2*AL26/Inputs!$C$13</x:f>
        <x:v>402.2937246757465</x:v>
      </x:c>
      <x:c r="AN26" s="9" t="n">
        <x:f>-2*AL26/Inputs!$C$14</x:f>
        <x:v>60.404463164526504</x:v>
      </x:c>
      <x:c r="AO26" s="9" t="n">
        <x:f>ABS(AM26)</x:f>
        <x:v>402.2937246757465</x:v>
      </x:c>
      <x:c r="AP26" s="9" t="n">
        <x:f>ABS(AN26)</x:f>
        <x:v>60.404463164526504</x:v>
      </x:c>
      <x:c r="AQ26" s="9" t="n">
        <x:f>IF(OR(Inputs!$C$27=TRUE,Inputs!$C$27="TRUE",Inputs!$C$27=1),Inputs!$C$46/Inputs!$C$12,0)</x:f>
        <x:v>42.13483146067416</x:v>
      </x:c>
      <x:c r="AR26" s="9" t="n">
        <x:f>AC26-AQ26</x:f>
        <x:v>2404.891610766686</x:v>
      </x:c>
      <x:c r="AS26" s="9" t="n">
        <x:f>AC26+AQ26</x:f>
        <x:v>2489.1612736880347</x:v>
      </x:c>
    </x:row>
    <x:row r="27">
      <x:c r="A27" s="9" t="n">
        <x:f>Inputs!$C$7+25*(Inputs!$C$8-Inputs!$C$7)/240</x:f>
        <x:v>-47.5</x:v>
      </x:c>
      <x:c r="B27" s="9" t="n">
        <x:f>Inputs!$C$5+Inputs!$C$9*(A27/Inputs!$C$10)^2</x:f>
        <x:v>402.50694444444446</x:v>
      </x:c>
      <x:c r="C27" s="9" t="n">
        <x:f>B27</x:f>
        <x:v>402.50694444444446</x:v>
      </x:c>
      <x:c r="D27" s="9" t="n">
        <x:f>SQRT((Inputs!$C$52+B27)^2+Inputs!$C$52^2-2*(Inputs!$C$52+B27)*Inputs!$C$52*COS(SQRT(A27^2+Inputs!$C$6^2)/Inputs!$C$52))</x:f>
        <x:v>406.98373966383906</x:v>
      </x:c>
      <x:c r="E27" s="9" t="n">
        <x:f>(D27-C27)*1000</x:f>
        <x:v>4476.795219394603</x:v>
      </x:c>
      <x:c r="F27" s="9" t="n">
        <x:f>E27/Inputs!$C$12</x:f>
        <x:v>2515.0534940419116</x:v>
      </x:c>
      <x:c r="G27" s="9" t="n">
        <x:f>2*E27/Inputs!$C$21*1000000</x:f>
        <x:v>29.865962934895467</x:v>
      </x:c>
      <x:c r="H27" s="9" t="n">
        <x:f>SQRT(A27^2+Inputs!$C$6^2)</x:f>
        <x:v>53.67727638395972</x:v>
      </x:c>
      <x:c r="I27" s="9" t="n">
        <x:f>DEGREES(ATAN(H27/B27))</x:f>
        <x:v>7.595997748011028</x:v>
      </x:c>
      <x:c r="J27" s="9" t="n">
        <x:f>DEGREES((2*PI()/Inputs!$C$13)*Inputs!$C$15*SIN(RADIANS(I27)))</x:f>
        <x:v>47.58737438738348</x:v>
      </x:c>
      <x:c r="K27" s="9" t="n">
        <x:f>(C27/D27)^4</x:f>
        <x:v>0.956720937049129</x:v>
      </x:c>
      <x:c r="L27" s="9" t="n">
        <x:f>10*LOG10(K27)</x:f>
        <x:v>-0.192147217566126</x:v>
      </x:c>
      <x:c r="M27" s="9" t="n">
        <x:f>2*(Inputs!$C$9/(Inputs!$C$10^2))*A27</x:f>
        <x:v>-0.10555555555555556</x:v>
      </x:c>
      <x:c r="N27" s="9" t="n">
        <x:f>M27*Inputs!$C$11</x:f>
        <x:v>-0.4222222222222222</x:v>
      </x:c>
      <x:c r="O27" s="9" t="n">
        <x:f>1000*(D28-D26)/(A28-A26)*Inputs!$C$11</x:f>
        <x:v>-1005.6608808090459</x:v>
      </x:c>
      <x:c r="P27" s="9" t="n">
        <x:f>-2*O27/Inputs!$C$13</x:f>
        <x:v>402.26435232361837</x:v>
      </x:c>
      <x:c r="Q27" s="9" t="n">
        <x:f>-2*O27/Inputs!$C$14</x:f>
        <x:v>60.400052901444205</x:v>
      </x:c>
      <x:c r="R27" s="9" t="n">
        <x:f>F27-Inputs!$C$16/2</x:f>
        <x:v>2500.0534940419116</x:v>
      </x:c>
      <x:c r="S27" s="9" t="n">
        <x:f>F27+Inputs!$C$16/2</x:f>
        <x:v>2530.0534940419116</x:v>
      </x:c>
      <x:c r="T27" s="9" t="n">
        <x:f>F27-Inputs!$C$17/2</x:f>
        <x:v>2365.0534940419116</x:v>
      </x:c>
      <x:c r="U27" s="9" t="n">
        <x:f>F27+Inputs!$C$17/2</x:f>
        <x:v>2665.0534940419116</x:v>
      </x:c>
      <x:c r="V27" s="9" t="n">
        <x:f>ABS(P27)</x:f>
        <x:v>402.26435232361837</x:v>
      </x:c>
      <x:c r="W27" s="9" t="n">
        <x:f>ABS(Q27)</x:f>
        <x:v>60.400052901444205</x:v>
      </x:c>
      <x:c r="X27" s="9"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x:f>
        <x:v>53.974959185609514</x:v>
      </x:c>
      <x:c r="Y27" s="9"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x:f>
        <x:v>262.7548434853875</x:v>
      </x:c>
      <x:c r="Z27" s="9" t="n">
        <x:f>B27-X27/1000</x:f>
        <x:v>402.45296948525885</x:v>
      </x:c>
      <x:c r="AA27" s="9" t="n">
        <x:f>SQRT((Inputs!$C$52+B27)^2+(Inputs!$C$52+Y27/1000)^2-2*(Inputs!$C$52+B27)*(Inputs!$C$52+Y27/1000)*COS(SQRT(A27^2+Inputs!$C$6^2)/Inputs!$C$52))</x:f>
        <x:v>406.72462694868824</x:v>
      </x:c>
      <x:c r="AB27" s="9" t="n">
        <x:f>(AA27-Z27)*1000</x:f>
        <x:v>4271.657463429392</x:v>
      </x:c>
      <x:c r="AC27" s="9" t="n">
        <x:f>AB27/Inputs!$C$12</x:f>
        <x:v>2399.8075637243774</x:v>
      </x:c>
      <x:c r="AD27" s="9" t="n">
        <x:f>2*AB27/Inputs!$C$21*1000000</x:f>
        <x:v>28.497431135705167</x:v>
      </x:c>
      <x:c r="AE27" s="9" t="n">
        <x:f>DEGREES(ATAN(H27/(B27-Y27/1000)))</x:f>
        <x:v>7.600901630072561</x:v>
      </x:c>
      <x:c r="AF27" s="9" t="n">
        <x:f>DEGREES((2*PI()/Inputs!$C$13)*Inputs!$C$15*SIN(RADIANS(AE27)))</x:f>
        <x:v>47.617915830572606</x:v>
      </x:c>
      <x:c r="AG27" s="9" t="n">
        <x:f>(Z27/AA27)^4</x:f>
        <x:v>0.9586468878420843</x:v>
      </x:c>
      <x:c r="AH27" s="9" t="n">
        <x:f>10*LOG10(AG27)</x:f>
        <x:v>-0.183413332900972</x:v>
      </x:c>
      <x:c r="AI27" s="9" t="n">
        <x:f>AC27-F27</x:f>
        <x:v>-115.2459303175342</x:v>
      </x:c>
      <x:c r="AJ27" s="9" t="n">
        <x:f>AD27-G27</x:f>
        <x:v>-1.3685317991903005</x:v>
      </x:c>
      <x:c r="AK27" s="9" t="n">
        <x:f>Y27-X27</x:f>
        <x:v>208.77988429977796</x:v>
      </x:c>
      <x:c r="AL27" s="9" t="n">
        <x:f>1000*(AA28-AA26)/(A28-A26)*Inputs!$C$11</x:f>
        <x:v>-1007.2076257256413</x:v>
      </x:c>
      <x:c r="AM27" s="9" t="n">
        <x:f>-2*AL27/Inputs!$C$13</x:f>
        <x:v>402.8830502902565</x:v>
      </x:c>
      <x:c r="AN27" s="9" t="n">
        <x:f>-2*AL27/Inputs!$C$14</x:f>
        <x:v>60.49295049403251</x:v>
      </x:c>
      <x:c r="AO27" s="9" t="n">
        <x:f>ABS(AM27)</x:f>
        <x:v>402.8830502902565</x:v>
      </x:c>
      <x:c r="AP27" s="9" t="n">
        <x:f>ABS(AN27)</x:f>
        <x:v>60.49295049403251</x:v>
      </x:c>
      <x:c r="AQ27" s="9" t="n">
        <x:f>IF(OR(Inputs!$C$27=TRUE,Inputs!$C$27="TRUE",Inputs!$C$27=1),Inputs!$C$46/Inputs!$C$12,0)</x:f>
        <x:v>42.13483146067416</x:v>
      </x:c>
      <x:c r="AR27" s="9" t="n">
        <x:f>AC27-AQ27</x:f>
        <x:v>2357.672732263703</x:v>
      </x:c>
      <x:c r="AS27" s="9" t="n">
        <x:f>AC27+AQ27</x:f>
        <x:v>2441.9423951850517</x:v>
      </x:c>
    </x:row>
    <x:row r="28">
      <x:c r="A28" s="9" t="n">
        <x:f>Inputs!$C$7+26*(Inputs!$C$8-Inputs!$C$7)/240</x:f>
        <x:v>-47</x:v>
      </x:c>
      <x:c r="B28" s="9" t="n">
        <x:f>Inputs!$C$5+Inputs!$C$9*(A28/Inputs!$C$10)^2</x:f>
        <x:v>402.45444444444445</x:v>
      </x:c>
      <x:c r="C28" s="9" t="n">
        <x:f>B28</x:f>
        <x:v>402.45444444444445</x:v>
      </x:c>
      <x:c r="D28" s="9" t="n">
        <x:f>SQRT((Inputs!$C$52+B28)^2+Inputs!$C$52^2-2*(Inputs!$C$52+B28)*Inputs!$C$52*COS(SQRT(A28^2+Inputs!$C$6^2)/Inputs!$C$52))</x:f>
        <x:v>406.8586795348402</x:v>
      </x:c>
      <x:c r="E28" s="9" t="n">
        <x:f>(D28-C28)*1000</x:f>
        <x:v>4404.23509039573</x:v>
      </x:c>
      <x:c r="F28" s="9" t="n">
        <x:f>E28/Inputs!$C$12</x:f>
        <x:v>2474.289376626815</x:v>
      </x:c>
      <x:c r="G28" s="9" t="n">
        <x:f>2*E28/Inputs!$C$21*1000000</x:f>
        <x:v>29.381893859356065</x:v>
      </x:c>
      <x:c r="H28" s="9" t="n">
        <x:f>SQRT(A28^2+Inputs!$C$6^2)</x:f>
        <x:v>53.23532661682466</x:v>
      </x:c>
      <x:c r="I28" s="9" t="n">
        <x:f>DEGREES(ATAN(H28/B28))</x:f>
        <x:v>7.535149317061624</x:v>
      </x:c>
      <x:c r="J28" s="9" t="n">
        <x:f>DEGREES((2*PI()/Inputs!$C$13)*Inputs!$C$15*SIN(RADIANS(I28)))</x:f>
        <x:v>47.20838061627316</x:v>
      </x:c>
      <x:c r="K28" s="9" t="n">
        <x:f>(C28/D28)^4</x:f>
        <x:v>0.957398119815864</x:v>
      </x:c>
      <x:c r="L28" s="9" t="n">
        <x:f>10*LOG10(K28)</x:f>
        <x:v>-0.189074297414705</x:v>
      </x:c>
      <x:c r="M28" s="9" t="n">
        <x:f>2*(Inputs!$C$9/(Inputs!$C$10^2))*A28</x:f>
        <x:v>-0.10444444444444445</x:v>
      </x:c>
      <x:c r="N28" s="9" t="n">
        <x:f>M28*Inputs!$C$11</x:f>
        <x:v>-0.4177777777777778</x:v>
      </x:c>
      <x:c r="O28" s="9" t="n">
        <x:f>1000*(D29-D27)/(A29-A27)*Inputs!$C$11</x:f>
        <x:v>-995.2977317227578</x:v>
      </x:c>
      <x:c r="P28" s="9" t="n">
        <x:f>-2*O28/Inputs!$C$13</x:f>
        <x:v>398.1190926891031</x:v>
      </x:c>
      <x:c r="Q28" s="9" t="n">
        <x:f>-2*O28/Inputs!$C$14</x:f>
        <x:v>59.77764154491039</x:v>
      </x:c>
      <x:c r="R28" s="9" t="n">
        <x:f>F28-Inputs!$C$16/2</x:f>
        <x:v>2459.289376626815</x:v>
      </x:c>
      <x:c r="S28" s="9" t="n">
        <x:f>F28+Inputs!$C$16/2</x:f>
        <x:v>2489.289376626815</x:v>
      </x:c>
      <x:c r="T28" s="9" t="n">
        <x:f>F28-Inputs!$C$17/2</x:f>
        <x:v>2324.289376626815</x:v>
      </x:c>
      <x:c r="U28" s="9" t="n">
        <x:f>F28+Inputs!$C$17/2</x:f>
        <x:v>2624.289376626815</x:v>
      </x:c>
      <x:c r="V28" s="9" t="n">
        <x:f>ABS(P28)</x:f>
        <x:v>398.1190926891031</x:v>
      </x:c>
      <x:c r="W28" s="9" t="n">
        <x:f>ABS(Q28)</x:f>
        <x:v>59.77764154491039</x:v>
      </x:c>
      <x:c r="X28" s="9"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x:f>
        <x:v>61.213442747759345</x:v>
      </x:c>
      <x:c r="Y28" s="9"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x:f>
        <x:v>253.91481019774176</x:v>
      </x:c>
      <x:c r="Z28" s="9" t="n">
        <x:f>B28-X28/1000</x:f>
        <x:v>402.3932310016967</x:v>
      </x:c>
      <x:c r="AA28" s="9" t="n">
        <x:f>SQRT((Inputs!$C$52+B28)^2+(Inputs!$C$52+Y28/1000)^2-2*(Inputs!$C$52+B28)*(Inputs!$C$52+Y28/1000)*COS(SQRT(A28^2+Inputs!$C$6^2)/Inputs!$C$52))</x:f>
        <x:v>406.60822810672767</x:v>
      </x:c>
      <x:c r="AB28" s="9" t="n">
        <x:f>(AA28-Z28)*1000</x:f>
        <x:v>4214.997105030989</x:v>
      </x:c>
      <x:c r="AC28" s="9" t="n">
        <x:f>AB28/Inputs!$C$12</x:f>
        <x:v>2367.9759017028027</x:v>
      </x:c>
      <x:c r="AD28" s="9" t="n">
        <x:f>2*AB28/Inputs!$C$21*1000000</x:f>
        <x:v>28.11943391204984</x:v>
      </x:c>
      <x:c r="AE28" s="9" t="n">
        <x:f>DEGREES(ATAN(H28/(B28-Y28/1000)))</x:f>
        <x:v>7.539851649413639</x:v>
      </x:c>
      <x:c r="AF28" s="9" t="n">
        <x:f>DEGREES((2*PI()/Inputs!$C$13)*Inputs!$C$15*SIN(RADIANS(AE28)))</x:f>
        <x:v>47.237670944520744</x:v>
      </x:c>
      <x:c r="AG28" s="9" t="n">
        <x:f>(Z28/AA28)^4</x:f>
        <x:v>0.9591753624534429</x:v>
      </x:c>
      <x:c r="AH28" s="9" t="n">
        <x:f>10*LOG10(AG28)</x:f>
        <x:v>-0.181019851301592</x:v>
      </x:c>
      <x:c r="AI28" s="9" t="n">
        <x:f>AC28-F28</x:f>
        <x:v>-106.3134749240121</x:v>
      </x:c>
      <x:c r="AJ28" s="9" t="n">
        <x:f>AD28-G28</x:f>
        <x:v>-1.2624599473062261</x:v>
      </x:c>
      <x:c r="AK28" s="9" t="n">
        <x:f>Y28-X28</x:f>
        <x:v>192.7013674499824</x:v>
      </x:c>
      <x:c r="AL28" s="9" t="n">
        <x:f>1000*(AA29-AA27)/(A29-A27)*Inputs!$C$11</x:f>
        <x:v>-960.2176124369635</x:v>
      </x:c>
      <x:c r="AM28" s="9" t="n">
        <x:f>-2*AL28/Inputs!$C$13</x:f>
        <x:v>384.0870449747854</x:v>
      </x:c>
      <x:c r="AN28" s="9" t="n">
        <x:f>-2*AL28/Inputs!$C$14</x:f>
        <x:v>57.67072747369151</x:v>
      </x:c>
      <x:c r="AO28" s="9" t="n">
        <x:f>ABS(AM28)</x:f>
        <x:v>384.0870449747854</x:v>
      </x:c>
      <x:c r="AP28" s="9" t="n">
        <x:f>ABS(AN28)</x:f>
        <x:v>57.67072747369151</x:v>
      </x:c>
      <x:c r="AQ28" s="9" t="n">
        <x:f>IF(OR(Inputs!$C$27=TRUE,Inputs!$C$27="TRUE",Inputs!$C$27=1),Inputs!$C$46/Inputs!$C$12,0)</x:f>
        <x:v>42.13483146067416</x:v>
      </x:c>
      <x:c r="AR28" s="9" t="n">
        <x:f>AC28-AQ28</x:f>
        <x:v>2325.8410702421284</x:v>
      </x:c>
      <x:c r="AS28" s="9" t="n">
        <x:f>AC28+AQ28</x:f>
        <x:v>2410.110733163477</x:v>
      </x:c>
    </x:row>
    <x:row r="29">
      <x:c r="A29" s="9" t="n">
        <x:f>Inputs!$C$7+27*(Inputs!$C$8-Inputs!$C$7)/240</x:f>
        <x:v>-46.5</x:v>
      </x:c>
      <x:c r="B29" s="9" t="n">
        <x:f>Inputs!$C$5+Inputs!$C$9*(A29/Inputs!$C$10)^2</x:f>
        <x:v>402.4025</x:v>
      </x:c>
      <x:c r="C29" s="9" t="n">
        <x:f>B29</x:f>
        <x:v>402.4025</x:v>
      </x:c>
      <x:c r="D29" s="9" t="n">
        <x:f>SQRT((Inputs!$C$52+B29)^2+Inputs!$C$52^2-2*(Inputs!$C$52+B29)*Inputs!$C$52*COS(SQRT(A29^2+Inputs!$C$6^2)/Inputs!$C$52))</x:f>
        <x:v>406.73491523090837</x:v>
      </x:c>
      <x:c r="E29" s="9" t="n">
        <x:f>(D29-C29)*1000</x:f>
        <x:v>4332.415230908396</x:v>
      </x:c>
      <x:c r="F29" s="9" t="n">
        <x:f>E29/Inputs!$C$12</x:f>
        <x:v>2433.941140959773</x:v>
      </x:c>
      <x:c r="G29" s="9" t="n">
        <x:f>2*E29/Inputs!$C$21*1000000</x:f>
        <x:v>28.90276333041304</x:v>
      </x:c>
      <x:c r="H29" s="9" t="n">
        <x:f>SQRT(A29^2+Inputs!$C$6^2)</x:f>
        <x:v>52.79441258315126</x:v>
      </x:c>
      <x:c r="I29" s="9" t="n">
        <x:f>DEGREES(ATAN(H29/B29))</x:f>
        <x:v>7.4744026758958535</x:v>
      </x:c>
      <x:c r="J29" s="9" t="n">
        <x:f>DEGREES((2*PI()/Inputs!$C$13)*Inputs!$C$15*SIN(RADIANS(I29)))</x:f>
        <x:v>46.82996773075058</x:v>
      </x:c>
      <x:c r="K29" s="9" t="n">
        <x:f>(C29/D29)^4</x:f>
        <x:v>0.9580691602332851</x:v>
      </x:c>
      <x:c r="L29" s="9" t="n">
        <x:f>10*LOG10(K29)</x:f>
        <x:v>-0.186031393311067</x:v>
      </x:c>
      <x:c r="M29" s="9" t="n">
        <x:f>2*(Inputs!$C$9/(Inputs!$C$10^2))*A29</x:f>
        <x:v>-0.10333333333333333</x:v>
      </x:c>
      <x:c r="N29" s="9" t="n">
        <x:f>M29*Inputs!$C$11</x:f>
        <x:v>-0.41333333333333333</x:v>
      </x:c>
      <x:c r="O29" s="9" t="n">
        <x:f>1000*(D30-D28)/(A30-A28)*Inputs!$C$11</x:f>
        <x:v>-984.927711027467</x:v>
      </x:c>
      <x:c r="P29" s="9" t="n">
        <x:f>-2*O29/Inputs!$C$13</x:f>
        <x:v>393.9710844109868</x:v>
      </x:c>
      <x:c r="Q29" s="9" t="n">
        <x:f>-2*O29/Inputs!$C$14</x:f>
        <x:v>59.15481747912715</x:v>
      </x:c>
      <x:c r="R29" s="9" t="n">
        <x:f>F29-Inputs!$C$16/2</x:f>
        <x:v>2418.941140959773</x:v>
      </x:c>
      <x:c r="S29" s="9" t="n">
        <x:f>F29+Inputs!$C$16/2</x:f>
        <x:v>2448.941140959773</x:v>
      </x:c>
      <x:c r="T29" s="9" t="n">
        <x:f>F29-Inputs!$C$17/2</x:f>
        <x:v>2283.941140959773</x:v>
      </x:c>
      <x:c r="U29" s="9" t="n">
        <x:f>F29+Inputs!$C$17/2</x:f>
        <x:v>2583.941140959773</x:v>
      </x:c>
      <x:c r="V29" s="9" t="n">
        <x:f>ABS(P29)</x:f>
        <x:v>393.9710844109868</x:v>
      </x:c>
      <x:c r="W29" s="9" t="n">
        <x:f>ABS(Q29)</x:f>
        <x:v>59.15481747912715</x:v>
      </x:c>
      <x:c r="X29" s="9"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x:f>
        <x:v>57.529820703344</x:v>
      </x:c>
      <x:c r="Y29" s="9"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x:f>
        <x:v>253.748238320312</x:v>
      </x:c>
      <x:c r="Z29" s="9" t="n">
        <x:f>B29-X29/1000</x:f>
        <x:v>402.34497017929664</x:v>
      </x:c>
      <x:c r="AA29" s="9" t="n">
        <x:f>SQRT((Inputs!$C$52+B29)^2+(Inputs!$C$52+Y29/1000)^2-2*(Inputs!$C$52+B29)*(Inputs!$C$52+Y29/1000)*COS(SQRT(A29^2+Inputs!$C$6^2)/Inputs!$C$52))</x:f>
        <x:v>406.484572545579</x:v>
      </x:c>
      <x:c r="AB29" s="9" t="n">
        <x:f>(AA29-Z29)*1000</x:f>
        <x:v>4139.602366282361</x:v>
      </x:c>
      <x:c r="AC29" s="9" t="n">
        <x:f>AB29/Inputs!$C$12</x:f>
        <x:v>2325.619306900203</x:v>
      </x:c>
      <x:c r="AD29" s="9" t="n">
        <x:f>2*AB29/Inputs!$C$21*1000000</x:f>
        <x:v>27.616454355782096</x:v>
      </x:c>
      <x:c r="AE29" s="9" t="n">
        <x:f>DEGREES(ATAN(H29/(B29-Y29/1000)))</x:f>
        <x:v>7.479065507472053</x:v>
      </x:c>
      <x:c r="AF29" s="9" t="n">
        <x:f>DEGREES((2*PI()/Inputs!$C$13)*Inputs!$C$15*SIN(RADIANS(AE29)))</x:f>
        <x:v>46.859016072413276</x:v>
      </x:c>
      <x:c r="AG29" s="9" t="n">
        <x:f>(Z29/AA29)^4</x:f>
        <x:v>0.9598824175158267</x:v>
      </x:c>
      <x:c r="AH29" s="9" t="n">
        <x:f>10*LOG10(AG29)</x:f>
        <x:v>-0.17781963368339598</x:v>
      </x:c>
      <x:c r="AI29" s="9" t="n">
        <x:f>AC29-F29</x:f>
        <x:v>-108.32183405956994</x:v>
      </x:c>
      <x:c r="AJ29" s="9" t="n">
        <x:f>AD29-G29</x:f>
        <x:v>-1.2863089746309448</x:v>
      </x:c>
      <x:c r="AK29" s="9" t="n">
        <x:f>Y29-X29</x:f>
        <x:v>196.218417616968</x:v>
      </x:c>
      <x:c r="AL29" s="9" t="n">
        <x:f>1000*(AA30-AA28)/(A30-A28)*Inputs!$C$11</x:f>
        <x:v>-920.2023249702052</x:v>
      </x:c>
      <x:c r="AM29" s="9" t="n">
        <x:f>-2*AL29/Inputs!$C$13</x:f>
        <x:v>368.08092998808206</x:v>
      </x:c>
      <x:c r="AN29" s="9" t="n">
        <x:f>-2*AL29/Inputs!$C$14</x:f>
        <x:v>55.26740690511743</x:v>
      </x:c>
      <x:c r="AO29" s="9" t="n">
        <x:f>ABS(AM29)</x:f>
        <x:v>368.08092998808206</x:v>
      </x:c>
      <x:c r="AP29" s="9" t="n">
        <x:f>ABS(AN29)</x:f>
        <x:v>55.26740690511743</x:v>
      </x:c>
      <x:c r="AQ29" s="9" t="n">
        <x:f>IF(OR(Inputs!$C$27=TRUE,Inputs!$C$27="TRUE",Inputs!$C$27=1),Inputs!$C$46/Inputs!$C$12,0)</x:f>
        <x:v>42.13483146067416</x:v>
      </x:c>
      <x:c r="AR29" s="9" t="n">
        <x:f>AC29-AQ29</x:f>
        <x:v>2283.4844754395285</x:v>
      </x:c>
      <x:c r="AS29" s="9" t="n">
        <x:f>AC29+AQ29</x:f>
        <x:v>2367.7541383608773</x:v>
      </x:c>
    </x:row>
    <x:row r="30">
      <x:c r="A30" s="9" t="n">
        <x:f>Inputs!$C$7+28*(Inputs!$C$8-Inputs!$C$7)/240</x:f>
        <x:v>-46</x:v>
      </x:c>
      <x:c r="B30" s="9" t="n">
        <x:f>Inputs!$C$5+Inputs!$C$9*(A30/Inputs!$C$10)^2</x:f>
        <x:v>402.3511111111111</x:v>
      </x:c>
      <x:c r="C30" s="9" t="n">
        <x:f>B30</x:f>
        <x:v>402.3511111111111</x:v>
      </x:c>
      <x:c r="D30" s="9" t="n">
        <x:f>SQRT((Inputs!$C$52+B30)^2+Inputs!$C$52^2-2*(Inputs!$C$52+B30)*Inputs!$C$52*COS(SQRT(A30^2+Inputs!$C$6^2)/Inputs!$C$52))</x:f>
        <x:v>406.6124476070833</x:v>
      </x:c>
      <x:c r="E30" s="9" t="n">
        <x:f>(D30-C30)*1000</x:f>
        <x:v>4261.336495972217</x:v>
      </x:c>
      <x:c r="F30" s="9" t="n">
        <x:f>E30/Inputs!$C$12</x:f>
        <x:v>2394.0092674001216</x:v>
      </x:c>
      <x:c r="G30" s="9" t="n">
        <x:f>2*E30/Inputs!$C$21*1000000</x:f>
        <x:v>28.428577052276722</x:v>
      </x:c>
      <x:c r="H30" s="9" t="n">
        <x:f>SQRT(A30^2+Inputs!$C$6^2)</x:f>
        <x:v>52.354560450833695</x:v>
      </x:c>
      <x:c r="I30" s="9" t="n">
        <x:f>DEGREES(ATAN(H30/B30))</x:f>
        <x:v>7.413762015717533</x:v>
      </x:c>
      <x:c r="J30" s="9" t="n">
        <x:f>DEGREES((2*PI()/Inputs!$C$13)*Inputs!$C$15*SIN(RADIANS(I30)))</x:f>
        <x:v>46.45216253583958</x:v>
      </x:c>
      <x:c r="K30" s="9" t="n">
        <x:f>(C30/D30)^4</x:f>
        <x:v>0.9587340277528538</x:v>
      </x:c>
      <x:c r="L30" s="9" t="n">
        <x:f>10*LOG10(K30)</x:f>
        <x:v>-0.18301858210191102</x:v>
      </x:c>
      <x:c r="M30" s="9" t="n">
        <x:f>2*(Inputs!$C$9/(Inputs!$C$10^2))*A30</x:f>
        <x:v>-0.10222222222222223</x:v>
      </x:c>
      <x:c r="N30" s="9" t="n">
        <x:f>M30*Inputs!$C$11</x:f>
        <x:v>-0.4088888888888889</x:v>
      </x:c>
      <x:c r="O30" s="9" t="n">
        <x:f>1000*(D31-D29)/(A31-A29)*Inputs!$C$11</x:f>
        <x:v>-974.5508814573896</x:v>
      </x:c>
      <x:c r="P30" s="9" t="n">
        <x:f>-2*O30/Inputs!$C$13</x:f>
        <x:v>389.8203525829558</x:v>
      </x:c>
      <x:c r="Q30" s="9" t="n">
        <x:f>-2*O30/Inputs!$C$14</x:f>
        <x:v>58.531584471915295</x:v>
      </x:c>
      <x:c r="R30" s="9" t="n">
        <x:f>F30-Inputs!$C$16/2</x:f>
        <x:v>2379.0092674001216</x:v>
      </x:c>
      <x:c r="S30" s="9" t="n">
        <x:f>F30+Inputs!$C$16/2</x:f>
        <x:v>2409.0092674001216</x:v>
      </x:c>
      <x:c r="T30" s="9" t="n">
        <x:f>F30-Inputs!$C$17/2</x:f>
        <x:v>2244.0092674001216</x:v>
      </x:c>
      <x:c r="U30" s="9" t="n">
        <x:f>F30+Inputs!$C$17/2</x:f>
        <x:v>2544.0092674001216</x:v>
      </x:c>
      <x:c r="V30" s="9" t="n">
        <x:f>ABS(P30)</x:f>
        <x:v>389.8203525829558</x:v>
      </x:c>
      <x:c r="W30" s="9" t="n">
        <x:f>ABS(Q30)</x:f>
        <x:v>58.531584471915295</x:v>
      </x:c>
      <x:c r="X30" s="9"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x:f>
        <x:v>49.53962065283257</x:v>
      </x:c>
      <x:c r="Y30" s="9"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x:f>
        <x:v>237.40469511010875</x:v>
      </x:c>
      <x:c r="Z30" s="9" t="n">
        <x:f>B30-X30/1000</x:f>
        <x:v>402.3015714904583</x:v>
      </x:c>
      <x:c r="AA30" s="9" t="n">
        <x:f>SQRT((Inputs!$C$52+B30)^2+(Inputs!$C$52+Y30/1000)^2-2*(Inputs!$C$52+B30)*(Inputs!$C$52+Y30/1000)*COS(SQRT(A30^2+Inputs!$C$6^2)/Inputs!$C$52))</x:f>
        <x:v>406.3781775254851</x:v>
      </x:c>
      <x:c r="AB30" s="9" t="n">
        <x:f>(AA30-Z30)*1000</x:f>
        <x:v>4076.6060350268276</x:v>
      </x:c>
      <x:c r="AC30" s="9" t="n">
        <x:f>AB30/Inputs!$C$12</x:f>
        <x:v>2290.2281095656335</x:v>
      </x:c>
      <x:c r="AD30" s="9" t="n">
        <x:f>2*AB30/Inputs!$C$21*1000000</x:f>
        <x:v>27.196188071061</x:v>
      </x:c>
      <x:c r="AE30" s="9" t="n">
        <x:f>DEGREES(ATAN(H30/(B30-Y30/1000)))</x:f>
        <x:v>7.418090305696445</x:v>
      </x:c>
      <x:c r="AF30" s="9" t="n">
        <x:f>DEGREES((2*PI()/Inputs!$C$13)*Inputs!$C$15*SIN(RADIANS(AE30)))</x:f>
        <x:v>46.47913050271021</x:v>
      </x:c>
      <x:c r="AG30" s="9" t="n">
        <x:f>(Z30/AA30)^4</x:f>
        <x:v>0.9604735352002972</x:v>
      </x:c>
      <x:c r="AH30" s="9" t="n">
        <x:f>10*LOG10(AG30)</x:f>
        <x:v>-0.17514597147753197</x:v>
      </x:c>
      <x:c r="AI30" s="9" t="n">
        <x:f>AC30-F30</x:f>
        <x:v>-103.78115783448811</x:v>
      </x:c>
      <x:c r="AJ30" s="9" t="n">
        <x:f>AD30-G30</x:f>
        <x:v>-1.232388981215724</x:v>
      </x:c>
      <x:c r="AK30" s="9" t="n">
        <x:f>Y30-X30</x:f>
        <x:v>187.8650744572762</x:v>
      </x:c>
      <x:c r="AL30" s="9" t="n">
        <x:f>1000*(AA31-AA29)/(A31-A29)*Inputs!$C$11</x:f>
        <x:v>-881.3699710087803</x:v>
      </x:c>
      <x:c r="AM30" s="9" t="n">
        <x:f>-2*AL30/Inputs!$C$13</x:f>
        <x:v>352.54798840351214</x:v>
      </x:c>
      <x:c r="AN30" s="9" t="n">
        <x:f>-2*AL30/Inputs!$C$14</x:f>
        <x:v>52.935133393920744</x:v>
      </x:c>
      <x:c r="AO30" s="9" t="n">
        <x:f>ABS(AM30)</x:f>
        <x:v>352.54798840351214</x:v>
      </x:c>
      <x:c r="AP30" s="9" t="n">
        <x:f>ABS(AN30)</x:f>
        <x:v>52.935133393920744</x:v>
      </x:c>
      <x:c r="AQ30" s="9" t="n">
        <x:f>IF(OR(Inputs!$C$27=TRUE,Inputs!$C$27="TRUE",Inputs!$C$27=1),Inputs!$C$46/Inputs!$C$12,0)</x:f>
        <x:v>42.13483146067416</x:v>
      </x:c>
      <x:c r="AR30" s="9" t="n">
        <x:f>AC30-AQ30</x:f>
        <x:v>2248.093278104959</x:v>
      </x:c>
      <x:c r="AS30" s="9" t="n">
        <x:f>AC30+AQ30</x:f>
        <x:v>2332.362941026308</x:v>
      </x:c>
    </x:row>
    <x:row r="31">
      <x:c r="A31" s="9" t="n">
        <x:f>Inputs!$C$7+29*(Inputs!$C$8-Inputs!$C$7)/240</x:f>
        <x:v>-45.5</x:v>
      </x:c>
      <x:c r="B31" s="9" t="n">
        <x:f>Inputs!$C$5+Inputs!$C$9*(A31/Inputs!$C$10)^2</x:f>
        <x:v>402.30027777777775</x:v>
      </x:c>
      <x:c r="C31" s="9" t="n">
        <x:f>B31</x:f>
        <x:v>402.30027777777775</x:v>
      </x:c>
      <x:c r="D31" s="9" t="n">
        <x:f>SQRT((Inputs!$C$52+B31)^2+Inputs!$C$52^2-2*(Inputs!$C$52+B31)*Inputs!$C$52*COS(SQRT(A31^2+Inputs!$C$6^2)/Inputs!$C$52))</x:f>
        <x:v>406.491277510544</x:v>
      </x:c>
      <x:c r="E31" s="9" t="n">
        <x:f>(D31-C31)*1000</x:f>
        <x:v>4190.999732766272</x:v>
      </x:c>
      <x:c r="F31" s="9" t="n">
        <x:f>E31/Inputs!$C$12</x:f>
        <x:v>2354.494231891164</x:v>
      </x:c>
      <x:c r="G31" s="9" t="n">
        <x:f>2*E31/Inputs!$C$21*1000000</x:f>
        <x:v>27.959340676717574</x:v>
      </x:c>
      <x:c r="H31" s="9" t="n">
        <x:f>SQRT(A31^2+Inputs!$C$6^2)</x:f>
        <x:v>51.915797210483056</x:v>
      </x:c>
      <x:c r="I31" s="9" t="n">
        <x:f>DEGREES(ATAN(H31/B31))</x:f>
        <x:v>7.353231646851434</x:v>
      </x:c>
      <x:c r="J31" s="9" t="n">
        <x:f>DEGREES((2*PI()/Inputs!$C$13)*Inputs!$C$15*SIN(RADIANS(I31)))</x:f>
        <x:v>46.07499258851599</x:v>
      </x:c>
      <x:c r="K31" s="9" t="n">
        <x:f>(C31/D31)^4</x:f>
        <x:v>0.9593926920449115</x:v>
      </x:c>
      <x:c r="L31" s="9" t="n">
        <x:f>10*LOG10(K31)</x:f>
        <x:v>-0.180035939967183</x:v>
      </x:c>
      <x:c r="M31" s="9" t="n">
        <x:f>2*(Inputs!$C$9/(Inputs!$C$10^2))*A31</x:f>
        <x:v>-0.10111111111111111</x:v>
      </x:c>
      <x:c r="N31" s="9" t="n">
        <x:f>M31*Inputs!$C$11</x:f>
        <x:v>-0.40444444444444444</x:v>
      </x:c>
      <x:c r="O31" s="9" t="n">
        <x:f>1000*(D32-D30)/(A32-A30)*Inputs!$C$11</x:f>
        <x:v>-964.1673060955327</x:v>
      </x:c>
      <x:c r="P31" s="9" t="n">
        <x:f>-2*O31/Inputs!$C$13</x:f>
        <x:v>385.6669224382131</x:v>
      </x:c>
      <x:c r="Q31" s="9" t="n">
        <x:f>-2*O31/Inputs!$C$14</x:f>
        <x:v>57.90794631204401</x:v>
      </x:c>
      <x:c r="R31" s="9" t="n">
        <x:f>F31-Inputs!$C$16/2</x:f>
        <x:v>2339.494231891164</x:v>
      </x:c>
      <x:c r="S31" s="9" t="n">
        <x:f>F31+Inputs!$C$16/2</x:f>
        <x:v>2369.494231891164</x:v>
      </x:c>
      <x:c r="T31" s="9" t="n">
        <x:f>F31-Inputs!$C$17/2</x:f>
        <x:v>2204.494231891164</x:v>
      </x:c>
      <x:c r="U31" s="9" t="n">
        <x:f>F31+Inputs!$C$17/2</x:f>
        <x:v>2504.494231891164</x:v>
      </x:c>
      <x:c r="V31" s="9" t="n">
        <x:f>ABS(P31)</x:f>
        <x:v>385.6669224382131</x:v>
      </x:c>
      <x:c r="W31" s="9" t="n">
        <x:f>ABS(Q31)</x:f>
        <x:v>57.90794631204401</x:v>
      </x:c>
      <x:c r="X31" s="9"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x:f>
        <x:v>36.8829185081177</x:v>
      </x:c>
      <x:c r="Y31" s="9"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x:f>
        <x:v>230.03534200748854</x:v>
      </x:c>
      <x:c r="Z31" s="9" t="n">
        <x:f>B31-X31/1000</x:f>
        <x:v>402.2633948592696</x:v>
      </x:c>
      <x:c r="AA31" s="9" t="n">
        <x:f>SQRT((Inputs!$C$52+B31)^2+(Inputs!$C$52+Y31/1000)^2-2*(Inputs!$C$52+B31)*(Inputs!$C$52+Y31/1000)*COS(SQRT(A31^2+Inputs!$C$6^2)/Inputs!$C$52))</x:f>
        <x:v>406.2642300528268</x:v>
      </x:c>
      <x:c r="AB31" s="9" t="n">
        <x:f>(AA31-Z31)*1000</x:f>
        <x:v>4000.8351935571795</x:v>
      </x:c>
      <x:c r="AC31" s="9" t="n">
        <x:f>AB31/Inputs!$C$12</x:f>
        <x:v>2247.660221099539</x:v>
      </x:c>
      <x:c r="AD31" s="9" t="n">
        <x:f>2*AB31/Inputs!$C$21*1000000</x:f>
        <x:v>26.69069942751648</x:v>
      </x:c>
      <x:c r="AE31" s="9" t="n">
        <x:f>DEGREES(ATAN(H31/(B31-Y31/1000)))</x:f>
        <x:v>7.357392549418959</x:v>
      </x:c>
      <x:c r="AF31" s="9" t="n">
        <x:f>DEGREES((2*PI()/Inputs!$C$13)*Inputs!$C$15*SIN(RADIANS(AE31)))</x:f>
        <x:v>46.10092118193517</x:v>
      </x:c>
      <x:c r="AG31" s="9" t="n">
        <x:f>(Z31/AA31)^4</x:f>
        <x:v>0.9611866128140696</x:v>
      </x:c>
      <x:c r="AH31" s="9" t="n">
        <x:f>10*LOG10(AG31)</x:f>
        <x:v>-0.171922865796081</x:v>
      </x:c>
      <x:c r="AI31" s="9" t="n">
        <x:f>AC31-F31</x:f>
        <x:v>-106.83401079162513</x:v>
      </x:c>
      <x:c r="AJ31" s="9" t="n">
        <x:f>AD31-G31</x:f>
        <x:v>-1.2686412492010923</x:v>
      </x:c>
      <x:c r="AK31" s="9" t="n">
        <x:f>Y31-X31</x:f>
        <x:v>193.15242349937085</x:v>
      </x:c>
      <x:c r="AL31" s="9" t="n">
        <x:f>1000*(AA32-AA30)/(A32-A30)*Inputs!$C$11</x:f>
        <x:v>-851.7037206324858</x:v>
      </x:c>
      <x:c r="AM31" s="9" t="n">
        <x:f>-2*AL31/Inputs!$C$13</x:f>
        <x:v>340.6814882529943</x:v>
      </x:c>
      <x:c r="AN31" s="9" t="n">
        <x:f>-2*AL31/Inputs!$C$14</x:f>
        <x:v>51.15337661456371</x:v>
      </x:c>
      <x:c r="AO31" s="9" t="n">
        <x:f>ABS(AM31)</x:f>
        <x:v>340.6814882529943</x:v>
      </x:c>
      <x:c r="AP31" s="9" t="n">
        <x:f>ABS(AN31)</x:f>
        <x:v>51.15337661456371</x:v>
      </x:c>
      <x:c r="AQ31" s="9" t="n">
        <x:f>IF(OR(Inputs!$C$27=TRUE,Inputs!$C$27="TRUE",Inputs!$C$27=1),Inputs!$C$46/Inputs!$C$12,0)</x:f>
        <x:v>42.13483146067416</x:v>
      </x:c>
      <x:c r="AR31" s="9" t="n">
        <x:f>AC31-AQ31</x:f>
        <x:v>2205.5253896388645</x:v>
      </x:c>
      <x:c r="AS31" s="9" t="n">
        <x:f>AC31+AQ31</x:f>
        <x:v>2289.795052560213</x:v>
      </x:c>
    </x:row>
    <x:row r="32">
      <x:c r="A32" s="9" t="n">
        <x:f>Inputs!$C$7+30*(Inputs!$C$8-Inputs!$C$7)/240</x:f>
        <x:v>-45</x:v>
      </x:c>
      <x:c r="B32" s="9" t="n">
        <x:f>Inputs!$C$5+Inputs!$C$9*(A32/Inputs!$C$10)^2</x:f>
        <x:v>402.25</x:v>
      </x:c>
      <x:c r="C32" s="9" t="n">
        <x:f>B32</x:f>
        <x:v>402.25</x:v>
      </x:c>
      <x:c r="D32" s="9" t="n">
        <x:f>SQRT((Inputs!$C$52+B32)^2+Inputs!$C$52^2-2*(Inputs!$C$52+B32)*Inputs!$C$52*COS(SQRT(A32^2+Inputs!$C$6^2)/Inputs!$C$52))</x:f>
        <x:v>406.3714057805594</x:v>
      </x:c>
      <x:c r="E32" s="9" t="n">
        <x:f>(D32-C32)*1000</x:f>
        <x:v>4121.4057805594275</x:v>
      </x:c>
      <x:c r="F32" s="9" t="n">
        <x:f>E32/Inputs!$C$12</x:f>
        <x:v>2315.3965059322627</x:v>
      </x:c>
      <x:c r="G32" s="9" t="n">
        <x:f>2*E32/Inputs!$C$21*1000000</x:f>
        <x:v>27.49505980273478</x:v>
      </x:c>
      <x:c r="H32" s="9" t="n">
        <x:f>SQRT(A32^2+Inputs!$C$6^2)</x:f>
        <x:v>51.478150704935004</x:v>
      </x:c>
      <x:c r="I32" s="9" t="n">
        <x:f>DEGREES(ATAN(H32/B32))</x:f>
        <x:v>7.292816002949435</x:v>
      </x:c>
      <x:c r="J32" s="9" t="n">
        <x:f>DEGREES((2*PI()/Inputs!$C$13)*Inputs!$C$15*SIN(RADIANS(I32)))</x:f>
        <x:v>45.69848622408668</x:v>
      </x:c>
      <x:c r="K32" s="9" t="n">
        <x:f>(C32/D32)^4</x:f>
        <x:v>0.9600451230018592</x:v>
      </x:c>
      <x:c r="L32" s="9" t="n">
        <x:f>10*LOG10(K32)</x:f>
        <x:v>-0.177083542414979</x:v>
      </x:c>
      <x:c r="M32" s="9" t="n">
        <x:f>2*(Inputs!$C$9/(Inputs!$C$10^2))*A32</x:f>
        <x:v>-0.1</x:v>
      </x:c>
      <x:c r="N32" s="9" t="n">
        <x:f>M32*Inputs!$C$11</x:f>
        <x:v>-0.4</x:v>
      </x:c>
      <x:c r="O32" s="9" t="n">
        <x:f>1000*(D33-D31)/(A33-A31)*Inputs!$C$11</x:f>
        <x:v>-953.7770482984342</x:v>
      </x:c>
      <x:c r="P32" s="9" t="n">
        <x:f>-2*O32/Inputs!$C$13</x:f>
        <x:v>381.5108193193737</x:v>
      </x:c>
      <x:c r="Q32" s="9" t="n">
        <x:f>-2*O32/Inputs!$C$14</x:f>
        <x:v>57.28390680471077</x:v>
      </x:c>
      <x:c r="R32" s="9" t="n">
        <x:f>F32-Inputs!$C$16/2</x:f>
        <x:v>2300.3965059322627</x:v>
      </x:c>
      <x:c r="S32" s="9" t="n">
        <x:f>F32+Inputs!$C$16/2</x:f>
        <x:v>2330.3965059322627</x:v>
      </x:c>
      <x:c r="T32" s="9" t="n">
        <x:f>F32-Inputs!$C$17/2</x:f>
        <x:v>2165.3965059322627</x:v>
      </x:c>
      <x:c r="U32" s="9" t="n">
        <x:f>F32+Inputs!$C$17/2</x:f>
        <x:v>2465.3965059322627</x:v>
      </x:c>
      <x:c r="V32" s="9" t="n">
        <x:f>ABS(P32)</x:f>
        <x:v>381.5108193193737</x:v>
      </x:c>
      <x:c r="W32" s="9" t="n">
        <x:f>ABS(Q32)</x:f>
        <x:v>57.28390680471077</x:v>
      </x:c>
      <x:c r="X32" s="9"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x:f>
        <x:v>46.59917835352822</x:v>
      </x:c>
      <x:c r="Y32" s="9"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x:f>
        <x:v>208.8220272535724</x:v>
      </x:c>
      <x:c r="Z32" s="9" t="n">
        <x:f>B32-X32/1000</x:f>
        <x:v>402.2034008216465</x:v>
      </x:c>
      <x:c r="AA32" s="9" t="n">
        <x:f>SQRT((Inputs!$C$52+B32)^2+(Inputs!$C$52+Y32/1000)^2-2*(Inputs!$C$52+B32)*(Inputs!$C$52+Y32/1000)*COS(SQRT(A32^2+Inputs!$C$6^2)/Inputs!$C$52))</x:f>
        <x:v>406.165251595327</x:v>
      </x:c>
      <x:c r="AB32" s="9" t="n">
        <x:f>(AA32-Z32)*1000</x:f>
        <x:v>3961.85077368051</x:v>
      </x:c>
      <x:c r="AC32" s="9" t="n">
        <x:f>AB32/Inputs!$C$12</x:f>
        <x:v>2225.758861618264</x:v>
      </x:c>
      <x:c r="AD32" s="9" t="n">
        <x:f>2*AB32/Inputs!$C$21*1000000</x:f>
        <x:v>26.43062337265676</x:v>
      </x:c>
      <x:c r="AE32" s="9" t="n">
        <x:f>DEGREES(ATAN(H32/(B32-Y32/1000)))</x:f>
        <x:v>7.296563113535691</x:v>
      </x:c>
      <x:c r="AF32" s="9" t="n">
        <x:f>DEGREES((2*PI()/Inputs!$C$13)*Inputs!$C$15*SIN(RADIANS(AE32)))</x:f>
        <x:v>45.72183945589311</x:v>
      </x:c>
      <x:c r="AG32" s="9" t="n">
        <x:f>(Z32/AA32)^4</x:f>
        <x:v>0.9615500412844539</x:v>
      </x:c>
      <x:c r="AH32" s="9" t="n">
        <x:f>10*LOG10(AG32)</x:f>
        <x:v>-0.170281091496957</x:v>
      </x:c>
      <x:c r="AI32" s="9" t="n">
        <x:f>AC32-F32</x:f>
        <x:v>-89.63764431399886</x:v>
      </x:c>
      <x:c r="AJ32" s="9" t="n">
        <x:f>AD32-G32</x:f>
        <x:v>-1.0644364300780182</x:v>
      </x:c>
      <x:c r="AK32" s="9" t="n">
        <x:f>Y32-X32</x:f>
        <x:v>162.2228489000442</x:v>
      </x:c>
      <x:c r="AL32" s="9" t="n">
        <x:f>1000*(AA33-AA31)/(A33-A31)*Inputs!$C$11</x:f>
        <x:v>-842.1083627717962</x:v>
      </x:c>
      <x:c r="AM32" s="9" t="n">
        <x:f>-2*AL32/Inputs!$C$13</x:f>
        <x:v>336.8433451087185</x:v>
      </x:c>
      <x:c r="AN32" s="9" t="n">
        <x:f>-2*AL32/Inputs!$C$14</x:f>
        <x:v>50.57707884515293</x:v>
      </x:c>
      <x:c r="AO32" s="9" t="n">
        <x:f>ABS(AM32)</x:f>
        <x:v>336.8433451087185</x:v>
      </x:c>
      <x:c r="AP32" s="9" t="n">
        <x:f>ABS(AN32)</x:f>
        <x:v>50.57707884515293</x:v>
      </x:c>
      <x:c r="AQ32" s="9" t="n">
        <x:f>IF(OR(Inputs!$C$27=TRUE,Inputs!$C$27="TRUE",Inputs!$C$27=1),Inputs!$C$46/Inputs!$C$12,0)</x:f>
        <x:v>42.13483146067416</x:v>
      </x:c>
      <x:c r="AR32" s="9" t="n">
        <x:f>AC32-AQ32</x:f>
        <x:v>2183.6240301575895</x:v>
      </x:c>
      <x:c r="AS32" s="9" t="n">
        <x:f>AC32+AQ32</x:f>
        <x:v>2267.893693078938</x:v>
      </x:c>
    </x:row>
    <x:row r="33">
      <x:c r="A33" s="9" t="n">
        <x:f>Inputs!$C$7+31*(Inputs!$C$8-Inputs!$C$7)/240</x:f>
        <x:v>-44.5</x:v>
      </x:c>
      <x:c r="B33" s="9" t="n">
        <x:f>Inputs!$C$5+Inputs!$C$9*(A33/Inputs!$C$10)^2</x:f>
        <x:v>402.2002777777778</x:v>
      </x:c>
      <x:c r="C33" s="9" t="n">
        <x:f>B33</x:f>
        <x:v>402.2002777777778</x:v>
      </x:c>
      <x:c r="D33" s="9" t="n">
        <x:f>SQRT((Inputs!$C$52+B33)^2+Inputs!$C$52^2-2*(Inputs!$C$52+B33)*Inputs!$C$52*COS(SQRT(A33^2+Inputs!$C$6^2)/Inputs!$C$52))</x:f>
        <x:v>406.2528332484694</x:v>
      </x:c>
      <x:c r="E33" s="9" t="n">
        <x:f>(D33-C33)*1000</x:f>
        <x:v>4052.5554706916296</x:v>
      </x:c>
      <x:c r="F33" s="9" t="n">
        <x:f>E33/Inputs!$C$12</x:f>
        <x:v>2276.7165565683313</x:v>
      </x:c>
      <x:c r="G33" s="9" t="n">
        <x:f>2*E33/Inputs!$C$21*1000000</x:f>
        <x:v>27.035739976431493</x:v>
      </x:c>
      <x:c r="H33" s="9" t="n">
        <x:f>SQRT(A33^2+Inputs!$C$6^2)</x:f>
        <x:v>51.041649659861115</x:v>
      </x:c>
      <x:c r="I33" s="9" t="n">
        <x:f>DEGREES(ATAN(H33/B33))</x:f>
        <x:v>7.232519645354166</x:v>
      </x:c>
      <x:c r="J33" s="9" t="n">
        <x:f>DEGREES((2*PI()/Inputs!$C$13)*Inputs!$C$15*SIN(RADIANS(I33)))</x:f>
        <x:v>45.32267258355667</x:v>
      </x:c>
      <x:c r="K33" s="9" t="n">
        <x:f>(C33/D33)^4</x:f>
        <x:v>0.9606912907410361</x:v>
      </x:c>
      <x:c r="L33" s="9" t="n">
        <x:f>10*LOG10(K33)</x:f>
        <x:v>-0.174161464277788</x:v>
      </x:c>
      <x:c r="M33" s="9" t="n">
        <x:f>2*(Inputs!$C$9/(Inputs!$C$10^2))*A33</x:f>
        <x:v>-0.09888888888888889</x:v>
      </x:c>
      <x:c r="N33" s="9" t="n">
        <x:f>M33*Inputs!$C$11</x:f>
        <x:v>-0.39555555555555555</x:v>
      </x:c>
      <x:c r="O33" s="9" t="n">
        <x:f>1000*(D34-D32)/(A34-A32)*Inputs!$C$11</x:f>
        <x:v>-943.3801717254937</x:v>
      </x:c>
      <x:c r="P33" s="9" t="n">
        <x:f>-2*O33/Inputs!$C$13</x:f>
        <x:v>377.3520686901975</x:v>
      </x:c>
      <x:c r="Q33" s="9" t="n">
        <x:f>-2*O33/Inputs!$C$14</x:f>
        <x:v>56.65946977330293</x:v>
      </x:c>
      <x:c r="R33" s="9" t="n">
        <x:f>F33-Inputs!$C$16/2</x:f>
        <x:v>2261.7165565683313</x:v>
      </x:c>
      <x:c r="S33" s="9" t="n">
        <x:f>F33+Inputs!$C$16/2</x:f>
        <x:v>2291.7165565683313</x:v>
      </x:c>
      <x:c r="T33" s="9" t="n">
        <x:f>F33-Inputs!$C$17/2</x:f>
        <x:v>2126.7165565683313</x:v>
      </x:c>
      <x:c r="U33" s="9" t="n">
        <x:f>F33+Inputs!$C$17/2</x:f>
        <x:v>2426.7165565683313</x:v>
      </x:c>
      <x:c r="V33" s="9" t="n">
        <x:f>ABS(P33)</x:f>
        <x:v>377.3520686901975</x:v>
      </x:c>
      <x:c r="W33" s="9" t="n">
        <x:f>ABS(Q33)</x:f>
        <x:v>56.65946977330293</x:v>
      </x:c>
      <x:c r="X33" s="9"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x:f>
        <x:v>27.91531821493412</x:v>
      </x:c>
      <x:c r="Y33" s="9"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x:f>
        <x:v>201.66422960156285</x:v>
      </x:c>
      <x:c r="Z33" s="9" t="n">
        <x:f>B33-X33/1000</x:f>
        <x:v>402.17236245956286</x:v>
      </x:c>
      <x:c r="AA33" s="9" t="n">
        <x:f>SQRT((Inputs!$C$52+B33)^2+(Inputs!$C$52+Y33/1000)^2-2*(Inputs!$C$52+B33)*(Inputs!$C$52+Y33/1000)*COS(SQRT(A33^2+Inputs!$C$6^2)/Inputs!$C$52))</x:f>
        <x:v>406.05370296213385</x:v>
      </x:c>
      <x:c r="AB33" s="9" t="n">
        <x:f>(AA33-Z33)*1000</x:f>
        <x:v>3881.3405025709926</x:v>
      </x:c>
      <x:c r="AC33" s="9" t="n">
        <x:f>AB33/Inputs!$C$12</x:f>
        <x:v>2180.5283722308945</x:v>
      </x:c>
      <x:c r="AD33" s="9" t="n">
        <x:f>2*AB33/Inputs!$C$21*1000000</x:f>
        <x:v>25.893516657920678</x:v>
      </x:c>
      <x:c r="AE33" s="9" t="n">
        <x:f>DEGREES(ATAN(H33/(B33-Y33/1000)))</x:f>
        <x:v>7.23610941995349</x:v>
      </x:c>
      <x:c r="AF33" s="9" t="n">
        <x:f>DEGREES((2*PI()/Inputs!$C$13)*Inputs!$C$15*SIN(RADIANS(AE33)))</x:f>
        <x:v>45.34504825087364</x:v>
      </x:c>
      <x:c r="AG33" s="9" t="n">
        <x:f>(Z33/AA33)^4</x:f>
        <x:v>0.9623099754796202</x:v>
      </x:c>
      <x:c r="AH33" s="9" t="n">
        <x:f>10*LOG10(AG33)</x:f>
        <x:v>-0.166850122072368</x:v>
      </x:c>
      <x:c r="AI33" s="9" t="n">
        <x:f>AC33-F33</x:f>
        <x:v>-96.18818433743672</x:v>
      </x:c>
      <x:c r="AJ33" s="9" t="n">
        <x:f>AD33-G33</x:f>
        <x:v>-1.1422233185108155</x:v>
      </x:c>
      <x:c r="AK33" s="9" t="n">
        <x:f>Y33-X33</x:f>
        <x:v>173.74891138662872</x:v>
      </x:c>
      <x:c r="AL33" s="9" t="n">
        <x:f>1000*(AA34-AA32)/(A34-A32)*Inputs!$C$11</x:f>
        <x:v>-909.3389569372903</x:v>
      </x:c>
      <x:c r="AM33" s="9" t="n">
        <x:f>-2*AL33/Inputs!$C$13</x:f>
        <x:v>363.7355827749161</x:v>
      </x:c>
      <x:c r="AN33" s="9" t="n">
        <x:f>-2*AL33/Inputs!$C$14</x:f>
        <x:v>54.614952368606026</x:v>
      </x:c>
      <x:c r="AO33" s="9" t="n">
        <x:f>ABS(AM33)</x:f>
        <x:v>363.7355827749161</x:v>
      </x:c>
      <x:c r="AP33" s="9" t="n">
        <x:f>ABS(AN33)</x:f>
        <x:v>54.614952368606026</x:v>
      </x:c>
      <x:c r="AQ33" s="9" t="n">
        <x:f>IF(OR(Inputs!$C$27=TRUE,Inputs!$C$27="TRUE",Inputs!$C$27=1),Inputs!$C$46/Inputs!$C$12,0)</x:f>
        <x:v>42.13483146067416</x:v>
      </x:c>
      <x:c r="AR33" s="9" t="n">
        <x:f>AC33-AQ33</x:f>
        <x:v>2138.39354077022</x:v>
      </x:c>
      <x:c r="AS33" s="9" t="n">
        <x:f>AC33+AQ33</x:f>
        <x:v>2222.663203691569</x:v>
      </x:c>
    </x:row>
    <x:row r="34">
      <x:c r="A34" s="9" t="n">
        <x:f>Inputs!$C$7+32*(Inputs!$C$8-Inputs!$C$7)/240</x:f>
        <x:v>-44</x:v>
      </x:c>
      <x:c r="B34" s="9" t="n">
        <x:f>Inputs!$C$5+Inputs!$C$9*(A34/Inputs!$C$10)^2</x:f>
        <x:v>402.1511111111111</x:v>
      </x:c>
      <x:c r="C34" s="9" t="n">
        <x:f>B34</x:f>
        <x:v>402.1511111111111</x:v>
      </x:c>
      <x:c r="D34" s="9" t="n">
        <x:f>SQRT((Inputs!$C$52+B34)^2+Inputs!$C$52^2-2*(Inputs!$C$52+B34)*Inputs!$C$52*COS(SQRT(A34^2+Inputs!$C$6^2)/Inputs!$C$52))</x:f>
        <x:v>406.13556073762805</x:v>
      </x:c>
      <x:c r="E34" s="9" t="n">
        <x:f>(D34-C34)*1000</x:f>
        <x:v>3984.4496265169482</x:v>
      </x:c>
      <x:c r="F34" s="9" t="n">
        <x:f>E34/Inputs!$C$12</x:f>
        <x:v>2238.4548463578362</x:v>
      </x:c>
      <x:c r="G34" s="9" t="n">
        <x:f>2*E34/Inputs!$C$21*1000000</x:f>
        <x:v>26.58138669063481</x:v>
      </x:c>
      <x:c r="H34" s="9" t="n">
        <x:f>SQRT(A34^2+Inputs!$C$6^2)</x:f>
        <x:v>50.60632371551998</x:v>
      </x:c>
      <x:c r="I34" s="9" t="n">
        <x:f>DEGREES(ATAN(H34/B34))</x:f>
        <x:v>7.172347267625263</x:v>
      </x:c>
      <x:c r="J34" s="9" t="n">
        <x:f>DEGREES((2*PI()/Inputs!$C$13)*Inputs!$C$15*SIN(RADIANS(I34)))</x:f>
        <x:v>44.94758164201636</x:v>
      </x:c>
      <x:c r="K34" s="9" t="n">
        <x:f>(C34/D34)^4</x:f>
        <x:v>0.9613311656079478</x:v>
      </x:c>
      <x:c r="L34" s="9" t="n">
        <x:f>10*LOG10(K34)</x:f>
        <x:v>-0.17126977970711998</x:v>
      </x:c>
      <x:c r="M34" s="9" t="n">
        <x:f>2*(Inputs!$C$9/(Inputs!$C$10^2))*A34</x:f>
        <x:v>-0.09777777777777778</x:v>
      </x:c>
      <x:c r="N34" s="9" t="n">
        <x:f>M34*Inputs!$C$11</x:f>
        <x:v>-0.39111111111111113</x:v>
      </x:c>
      <x:c r="O34" s="9" t="n">
        <x:f>1000*(D35-D33)/(A35-A33)*Inputs!$C$11</x:f>
        <x:v>-932.9767403644382</x:v>
      </x:c>
      <x:c r="P34" s="9" t="n">
        <x:f>-2*O34/Inputs!$C$13</x:f>
        <x:v>373.1906961457753</x:v>
      </x:c>
      <x:c r="Q34" s="9" t="n">
        <x:f>-2*O34/Inputs!$C$14</x:f>
        <x:v>56.034639060927226</x:v>
      </x:c>
      <x:c r="R34" s="9" t="n">
        <x:f>F34-Inputs!$C$16/2</x:f>
        <x:v>2223.4548463578362</x:v>
      </x:c>
      <x:c r="S34" s="9" t="n">
        <x:f>F34+Inputs!$C$16/2</x:f>
        <x:v>2253.4548463578362</x:v>
      </x:c>
      <x:c r="T34" s="9" t="n">
        <x:f>F34-Inputs!$C$17/2</x:f>
        <x:v>2088.4548463578362</x:v>
      </x:c>
      <x:c r="U34" s="9" t="n">
        <x:f>F34+Inputs!$C$17/2</x:f>
        <x:v>2388.4548463578362</x:v>
      </x:c>
      <x:c r="V34" s="9" t="n">
        <x:f>ABS(P34)</x:f>
        <x:v>373.1906961457753</x:v>
      </x:c>
      <x:c r="W34" s="9" t="n">
        <x:f>ABS(Q34)</x:f>
        <x:v>56.034639060927226</x:v>
      </x:c>
      <x:c r="X34" s="9"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x:f>
        <x:v>18.82539201019003</x:v>
      </x:c>
      <x:c r="Y34" s="9"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x:f>
        <x:v>200.11672258234324</x:v>
      </x:c>
      <x:c r="Z34" s="9" t="n">
        <x:f>B34-X34/1000</x:f>
        <x:v>402.13228571910093</x:v>
      </x:c>
      <x:c r="AA34" s="9" t="n">
        <x:f>SQRT((Inputs!$C$52+B34)^2+(Inputs!$C$52+Y34/1000)^2-2*(Inputs!$C$52+B34)*(Inputs!$C$52+Y34/1000)*COS(SQRT(A34^2+Inputs!$C$6^2)/Inputs!$C$52))</x:f>
        <x:v>405.93791685609267</x:v>
      </x:c>
      <x:c r="AB34" s="9" t="n">
        <x:f>(AA34-Z34)*1000</x:f>
        <x:v>3805.6311369917353</x:v>
      </x:c>
      <x:c r="AC34" s="9" t="n">
        <x:f>AB34/Inputs!$C$12</x:f>
        <x:v>2137.995020781874</x:v>
      </x:c>
      <x:c r="AD34" s="9" t="n">
        <x:f>2*AB34/Inputs!$C$21*1000000</x:f>
        <x:v>25.388438137371256</x:v>
      </x:c>
      <x:c r="AE34" s="9" t="n">
        <x:f>DEGREES(ATAN(H34/(B34-Y34/1000)))</x:f>
        <x:v>7.175880902541359</x:v>
      </x:c>
      <x:c r="AF34" s="9" t="n">
        <x:f>DEGREES((2*PI()/Inputs!$C$13)*Inputs!$C$15*SIN(RADIANS(AE34)))</x:f>
        <x:v>44.96961030675303</x:v>
      </x:c>
      <x:c r="AG34" s="9" t="n">
        <x:f>(Z34/AA34)^4</x:f>
        <x:v>0.9630244084113373</x:v>
      </x:c>
      <x:c r="AH34" s="9" t="n">
        <x:f>10*LOG10(AG34)</x:f>
        <x:v>-0.16362705290815902</x:v>
      </x:c>
      <x:c r="AI34" s="9" t="n">
        <x:f>AC34-F34</x:f>
        <x:v>-100.45982557596244</x:v>
      </x:c>
      <x:c r="AJ34" s="9" t="n">
        <x:f>AD34-G34</x:f>
        <x:v>-1.1929485532635553</x:v>
      </x:c>
      <x:c r="AK34" s="9" t="n">
        <x:f>Y34-X34</x:f>
        <x:v>181.2913305721532</x:v>
      </x:c>
      <x:c r="AL34" s="9" t="n">
        <x:f>1000*(AA35-AA33)/(A35-A33)*Inputs!$C$11</x:f>
        <x:v>-969.6007884754181</x:v>
      </x:c>
      <x:c r="AM34" s="9" t="n">
        <x:f>-2*AL34/Inputs!$C$13</x:f>
        <x:v>387.84031539016723</x:v>
      </x:c>
      <x:c r="AN34" s="9" t="n">
        <x:f>-2*AL34/Inputs!$C$14</x:f>
        <x:v>58.2342815901152</x:v>
      </x:c>
      <x:c r="AO34" s="9" t="n">
        <x:f>ABS(AM34)</x:f>
        <x:v>387.84031539016723</x:v>
      </x:c>
      <x:c r="AP34" s="9" t="n">
        <x:f>ABS(AN34)</x:f>
        <x:v>58.2342815901152</x:v>
      </x:c>
      <x:c r="AQ34" s="9" t="n">
        <x:f>IF(OR(Inputs!$C$27=TRUE,Inputs!$C$27="TRUE",Inputs!$C$27=1),Inputs!$C$46/Inputs!$C$12,0)</x:f>
        <x:v>42.13483146067416</x:v>
      </x:c>
      <x:c r="AR34" s="9" t="n">
        <x:f>AC34-AQ34</x:f>
        <x:v>2095.8601893211994</x:v>
      </x:c>
      <x:c r="AS34" s="9" t="n">
        <x:f>AC34+AQ34</x:f>
        <x:v>2180.129852242548</x:v>
      </x:c>
    </x:row>
    <x:row r="35">
      <x:c r="A35" s="9" t="n">
        <x:f>Inputs!$C$7+33*(Inputs!$C$8-Inputs!$C$7)/240</x:f>
        <x:v>-43.5</x:v>
      </x:c>
      <x:c r="B35" s="9" t="n">
        <x:f>Inputs!$C$5+Inputs!$C$9*(A35/Inputs!$C$10)^2</x:f>
        <x:v>402.1025</x:v>
      </x:c>
      <x:c r="C35" s="9" t="n">
        <x:f>B35</x:f>
        <x:v>402.1025</x:v>
      </x:c>
      <x:c r="D35" s="9" t="n">
        <x:f>SQRT((Inputs!$C$52+B35)^2+Inputs!$C$52^2-2*(Inputs!$C$52+B35)*Inputs!$C$52*COS(SQRT(A35^2+Inputs!$C$6^2)/Inputs!$C$52))</x:f>
        <x:v>406.0195890633783</x:v>
      </x:c>
      <x:c r="E35" s="9" t="n">
        <x:f>(D35-C35)*1000</x:f>
        <x:v>3917.0890633782847</x:v>
      </x:c>
      <x:c r="F35" s="9" t="n">
        <x:f>E35/Inputs!$C$12</x:f>
        <x:v>2200.611833358587</x:v>
      </x:c>
      <x:c r="G35" s="9" t="n">
        <x:f>2*E35/Inputs!$C$21*1000000</x:f>
        <x:v>26.132005384727087</x:v>
      </x:c>
      <x:c r="H35" s="9" t="n">
        <x:f>SQRT(A35^2+Inputs!$C$6^2)</x:f>
        <x:v>50.172203459684724</x:v>
      </x:c>
      <x:c r="I35" s="9" t="n">
        <x:f>DEGREES(ATAN(H35/B35))</x:f>
        <x:v>7.1123037002334435</x:v>
      </x:c>
      <x:c r="J35" s="9" t="n">
        <x:f>DEGREES((2*PI()/Inputs!$C$13)*Inputs!$C$15*SIN(RADIANS(I35)))</x:f>
        <x:v>44.57324423808168</x:v>
      </x:c>
      <x:c r="K35" s="9" t="n">
        <x:f>(C35/D35)^4</x:f>
        <x:v>0.9619647181791856</x:v>
      </x:c>
      <x:c r="L35" s="9" t="n">
        <x:f>10*LOG10(K35)</x:f>
        <x:v>-0.168408562169498</x:v>
      </x:c>
      <x:c r="M35" s="9" t="n">
        <x:f>2*(Inputs!$C$9/(Inputs!$C$10^2))*A35</x:f>
        <x:v>-0.09666666666666666</x:v>
      </x:c>
      <x:c r="N35" s="9" t="n">
        <x:f>M35*Inputs!$C$11</x:f>
        <x:v>-0.38666666666666666</x:v>
      </x:c>
      <x:c r="O35" s="9" t="n">
        <x:f>1000*(D36-D34)/(A36-A34)*Inputs!$C$11</x:f>
        <x:v>-922.566818496307</x:v>
      </x:c>
      <x:c r="P35" s="9" t="n">
        <x:f>-2*O35/Inputs!$C$13</x:f>
        <x:v>369.0267273985228</x:v>
      </x:c>
      <x:c r="Q35" s="9" t="n">
        <x:f>-2*O35/Inputs!$C$14</x:f>
        <x:v>55.40941852830673</x:v>
      </x:c>
      <x:c r="R35" s="9" t="n">
        <x:f>F35-Inputs!$C$16/2</x:f>
        <x:v>2185.611833358587</x:v>
      </x:c>
      <x:c r="S35" s="9" t="n">
        <x:f>F35+Inputs!$C$16/2</x:f>
        <x:v>2215.611833358587</x:v>
      </x:c>
      <x:c r="T35" s="9" t="n">
        <x:f>F35-Inputs!$C$17/2</x:f>
        <x:v>2050.611833358587</x:v>
      </x:c>
      <x:c r="U35" s="9" t="n">
        <x:f>F35+Inputs!$C$17/2</x:f>
        <x:v>2350.611833358587</x:v>
      </x:c>
      <x:c r="V35" s="9" t="n">
        <x:f>ABS(P35)</x:f>
        <x:v>369.0267273985228</x:v>
      </x:c>
      <x:c r="W35" s="9" t="n">
        <x:f>ABS(Q35)</x:f>
        <x:v>55.40941852830673</x:v>
      </x:c>
      <x:c r="X35" s="9"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x:f>
        <x:v>22.55480739682735</x:v>
      </x:c>
      <x:c r="Y35" s="9"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x:f>
        <x:v>210.8483953416035</x:v>
      </x:c>
      <x:c r="Z35" s="9" t="n">
        <x:f>B35-X35/1000</x:f>
        <x:v>402.0799451926032</x:v>
      </x:c>
      <x:c r="AA35" s="9" t="n">
        <x:f>SQRT((Inputs!$C$52+B35)^2+(Inputs!$C$52+Y35/1000)^2-2*(Inputs!$C$52+B35)*(Inputs!$C$52+Y35/1000)*COS(SQRT(A35^2+Inputs!$C$6^2)/Inputs!$C$52))</x:f>
        <x:v>405.811302765015</x:v>
      </x:c>
      <x:c r="AB35" s="9" t="n">
        <x:f>(AA35-Z35)*1000</x:f>
        <x:v>3731.3575724118095</x:v>
      </x:c>
      <x:c r="AC35" s="9" t="n">
        <x:f>AB35/Inputs!$C$12</x:f>
        <x:v>2096.268299107758</x:v>
      </x:c>
      <x:c r="AD35" s="9" t="n">
        <x:f>2*AB35/Inputs!$C$21*1000000</x:f>
        <x:v>24.892938250046367</x:v>
      </x:c>
      <x:c r="AE35" s="9" t="n">
        <x:f>DEGREES(ATAN(H35/(B35-Y35/1000)))</x:f>
        <x:v>7.115996855286921</x:v>
      </x:c>
      <x:c r="AF35" s="9" t="n">
        <x:f>DEGREES((2*PI()/Inputs!$C$13)*Inputs!$C$15*SIN(RADIANS(AE35)))</x:f>
        <x:v>44.5962703709262</x:v>
      </x:c>
      <x:c r="AG35" s="9" t="n">
        <x:f>(Z35/AA35)^4</x:f>
        <x:v>0.9637249272693234</x:v>
      </x:c>
      <x:c r="AH35" s="9" t="n">
        <x:f>10*LOG10(AG35)</x:f>
        <x:v>-0.160469076078856</x:v>
      </x:c>
      <x:c r="AI35" s="9" t="n">
        <x:f>AC35-F35</x:f>
        <x:v>-104.34353425082872</x:v>
      </x:c>
      <x:c r="AJ35" s="9" t="n">
        <x:f>AD35-G35</x:f>
        <x:v>-1.2390671346807203</x:v>
      </x:c>
      <x:c r="AK35" s="9" t="n">
        <x:f>Y35-X35</x:f>
        <x:v>188.29358794477614</x:v>
      </x:c>
      <x:c r="AL35" s="9" t="n">
        <x:f>1000*(AA36-AA34)/(A36-A34)*Inputs!$C$11</x:f>
        <x:v>-845.595718056984</x:v>
      </x:c>
      <x:c r="AM35" s="9" t="n">
        <x:f>-2*AL35/Inputs!$C$13</x:f>
        <x:v>338.2382872227936</x:v>
      </x:c>
      <x:c r="AN35" s="9" t="n">
        <x:f>-2*AL35/Inputs!$C$14</x:f>
        <x:v>50.78652961303207</x:v>
      </x:c>
      <x:c r="AO35" s="9" t="n">
        <x:f>ABS(AM35)</x:f>
        <x:v>338.2382872227936</x:v>
      </x:c>
      <x:c r="AP35" s="9" t="n">
        <x:f>ABS(AN35)</x:f>
        <x:v>50.78652961303207</x:v>
      </x:c>
      <x:c r="AQ35" s="9" t="n">
        <x:f>IF(OR(Inputs!$C$27=TRUE,Inputs!$C$27="TRUE",Inputs!$C$27=1),Inputs!$C$46/Inputs!$C$12,0)</x:f>
        <x:v>42.13483146067416</x:v>
      </x:c>
      <x:c r="AR35" s="9" t="n">
        <x:f>AC35-AQ35</x:f>
        <x:v>2054.1334676470838</x:v>
      </x:c>
      <x:c r="AS35" s="9" t="n">
        <x:f>AC35+AQ35</x:f>
        <x:v>2138.4031305684325</x:v>
      </x:c>
    </x:row>
    <x:row r="36">
      <x:c r="A36" s="9" t="n">
        <x:f>Inputs!$C$7+34*(Inputs!$C$8-Inputs!$C$7)/240</x:f>
        <x:v>-43</x:v>
      </x:c>
      <x:c r="B36" s="9" t="n">
        <x:f>Inputs!$C$5+Inputs!$C$9*(A36/Inputs!$C$10)^2</x:f>
        <x:v>402.05444444444447</x:v>
      </x:c>
      <x:c r="C36" s="9" t="n">
        <x:f>B36</x:f>
        <x:v>402.05444444444447</x:v>
      </x:c>
      <x:c r="D36" s="9" t="n">
        <x:f>SQRT((Inputs!$C$52+B36)^2+Inputs!$C$52^2-2*(Inputs!$C$52+B36)*Inputs!$C$52*COS(SQRT(A36^2+Inputs!$C$6^2)/Inputs!$C$52))</x:f>
        <x:v>405.904919033004</x:v>
      </x:c>
      <x:c r="E36" s="9" t="n">
        <x:f>(D36-C36)*1000</x:f>
        <x:v>3850.474588559507</x:v>
      </x:c>
      <x:c r="F36" s="9" t="n">
        <x:f>E36/Inputs!$C$12</x:f>
        <x:v>2163.1879711008464</x:v>
      </x:c>
      <x:c r="G36" s="9" t="n">
        <x:f>2*E36/Inputs!$C$21*1000000</x:f>
        <x:v>25.687601444326575</x:v>
      </x:c>
      <x:c r="H36" s="9" t="n">
        <x:f>SQRT(A36^2+Inputs!$C$6^2)</x:f>
        <x:v>49.73932046178355</x:v>
      </x:c>
      <x:c r="I36" s="9" t="n">
        <x:f>DEGREES(ATAN(H36/B36))</x:f>
        <x:v>7.05239391542762</x:v>
      </x:c>
      <x:c r="J36" s="9" t="n">
        <x:f>DEGREES((2*PI()/Inputs!$C$13)*Inputs!$C$15*SIN(RADIANS(I36)))</x:f>
        <x:v>44.1996921044198</x:v>
      </x:c>
      <x:c r="K36" s="9" t="n">
        <x:f>(C36/D36)^4</x:f>
        <x:v>0.9625919192655438</x:v>
      </x:c>
      <x:c r="L36" s="9" t="n">
        <x:f>10*LOG10(K36)</x:f>
        <x:v>-0.165577884441521</x:v>
      </x:c>
      <x:c r="M36" s="9" t="n">
        <x:f>2*(Inputs!$C$9/(Inputs!$C$10^2))*A36</x:f>
        <x:v>-0.09555555555555556</x:v>
      </x:c>
      <x:c r="N36" s="9" t="n">
        <x:f>M36*Inputs!$C$11</x:f>
        <x:v>-0.38222222222222224</x:v>
      </x:c>
      <x:c r="O36" s="9" t="n">
        <x:f>1000*(D37-D35)/(A37-A35)*Inputs!$C$11</x:f>
        <x:v>-912.1504706984069</x:v>
      </x:c>
      <x:c r="P36" s="9" t="n">
        <x:f>-2*O36/Inputs!$C$13</x:f>
        <x:v>364.8601882793628</x:v>
      </x:c>
      <x:c r="Q36" s="9" t="n">
        <x:f>-2*O36/Inputs!$C$14</x:f>
        <x:v>54.78381205395838</x:v>
      </x:c>
      <x:c r="R36" s="9" t="n">
        <x:f>F36-Inputs!$C$16/2</x:f>
        <x:v>2148.1879711008464</x:v>
      </x:c>
      <x:c r="S36" s="9" t="n">
        <x:f>F36+Inputs!$C$16/2</x:f>
        <x:v>2178.1879711008464</x:v>
      </x:c>
      <x:c r="T36" s="9" t="n">
        <x:f>F36-Inputs!$C$17/2</x:f>
        <x:v>2013.1879711008464</x:v>
      </x:c>
      <x:c r="U36" s="9" t="n">
        <x:f>F36+Inputs!$C$17/2</x:f>
        <x:v>2313.1879711008464</x:v>
      </x:c>
      <x:c r="V36" s="9" t="n">
        <x:f>ABS(P36)</x:f>
        <x:v>364.8601882793628</x:v>
      </x:c>
      <x:c r="W36" s="9" t="n">
        <x:f>ABS(Q36)</x:f>
        <x:v>54.78381205395838</x:v>
      </x:c>
      <x:c r="X36" s="9"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x:f>
        <x:v>3.69479063881065</x:v>
      </x:c>
      <x:c r="Y36" s="9"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x:f>
        <x:v>180.5581841932563</x:v>
      </x:c>
      <x:c r="Z36" s="9" t="n">
        <x:f>B36-X36/1000</x:f>
        <x:v>402.05074965380567</x:v>
      </x:c>
      <x:c r="AA36" s="9" t="n">
        <x:f>SQRT((Inputs!$C$52+B36)^2+(Inputs!$C$52+Y36/1000)^2-2*(Inputs!$C$52+B36)*(Inputs!$C$52+Y36/1000)*COS(SQRT(A36^2+Inputs!$C$6^2)/Inputs!$C$52))</x:f>
        <x:v>405.7265179265784</x:v>
      </x:c>
      <x:c r="AB36" s="9" t="n">
        <x:f>(AA36-Z36)*1000</x:f>
        <x:v>3675.768272772757</x:v>
      </x:c>
      <x:c r="AC36" s="9" t="n">
        <x:f>AB36/Inputs!$C$12</x:f>
        <x:v>2065.038355490313</x:v>
      </x:c>
      <x:c r="AD36" s="9" t="n">
        <x:f>2*AB36/Inputs!$C$21*1000000</x:f>
        <x:v>24.522086361310375</x:v>
      </x:c>
      <x:c r="AE36" s="9" t="n">
        <x:f>DEGREES(ATAN(H36/(B36-Y36/1000)))</x:f>
        <x:v>7.055530562016414</x:v>
      </x:c>
      <x:c r="AF36" s="9" t="n">
        <x:f>DEGREES((2*PI()/Inputs!$C$13)*Inputs!$C$15*SIN(RADIANS(AE36)))</x:f>
        <x:v>44.219251064000694</x:v>
      </x:c>
      <x:c r="AG36" s="9" t="n">
        <x:f>(Z36/AA36)^4</x:f>
        <x:v>0.9642506270710544</x:v>
      </x:c>
      <x:c r="AH36" s="9" t="n">
        <x:f>10*LOG10(AG36)</x:f>
        <x:v>-0.15810070031627402</x:v>
      </x:c>
      <x:c r="AI36" s="9" t="n">
        <x:f>AC36-F36</x:f>
        <x:v>-98.1496156105336</x:v>
      </x:c>
      <x:c r="AJ36" s="9" t="n">
        <x:f>AD36-G36</x:f>
        <x:v>-1.1655150830161993</x:v>
      </x:c>
      <x:c r="AK36" s="9" t="n">
        <x:f>Y36-X36</x:f>
        <x:v>176.86339355444565</x:v>
      </x:c>
      <x:c r="AL36" s="9" t="n">
        <x:f>1000*(AA37-AA35)/(A37-A35)*Inputs!$C$11</x:f>
        <x:v>-797.384205355911</x:v>
      </x:c>
      <x:c r="AM36" s="9" t="n">
        <x:f>-2*AL36/Inputs!$C$13</x:f>
        <x:v>318.9536821423644</x:v>
      </x:c>
      <x:c r="AN36" s="9" t="n">
        <x:f>-2*AL36/Inputs!$C$14</x:f>
        <x:v>47.89094326461929</x:v>
      </x:c>
      <x:c r="AO36" s="9" t="n">
        <x:f>ABS(AM36)</x:f>
        <x:v>318.9536821423644</x:v>
      </x:c>
      <x:c r="AP36" s="9" t="n">
        <x:f>ABS(AN36)</x:f>
        <x:v>47.89094326461929</x:v>
      </x:c>
      <x:c r="AQ36" s="9" t="n">
        <x:f>IF(OR(Inputs!$C$27=TRUE,Inputs!$C$27="TRUE",Inputs!$C$27=1),Inputs!$C$46/Inputs!$C$12,0)</x:f>
        <x:v>42.13483146067416</x:v>
      </x:c>
      <x:c r="AR36" s="9" t="n">
        <x:f>AC36-AQ36</x:f>
        <x:v>2022.9035240296387</x:v>
      </x:c>
      <x:c r="AS36" s="9" t="n">
        <x:f>AC36+AQ36</x:f>
        <x:v>2107.173186950987</x:v>
      </x:c>
    </x:row>
    <x:row r="37">
      <x:c r="A37" s="9" t="n">
        <x:f>Inputs!$C$7+35*(Inputs!$C$8-Inputs!$C$7)/240</x:f>
        <x:v>-42.5</x:v>
      </x:c>
      <x:c r="B37" s="9" t="n">
        <x:f>Inputs!$C$5+Inputs!$C$9*(A37/Inputs!$C$10)^2</x:f>
        <x:v>402.00694444444446</x:v>
      </x:c>
      <x:c r="C37" s="9" t="n">
        <x:f>B37</x:f>
        <x:v>402.00694444444446</x:v>
      </x:c>
      <x:c r="D37" s="9" t="n">
        <x:f>SQRT((Inputs!$C$52+B37)^2+Inputs!$C$52^2-2*(Inputs!$C$52+B37)*Inputs!$C$52*COS(SQRT(A37^2+Inputs!$C$6^2)/Inputs!$C$52))</x:f>
        <x:v>405.7915514457037</x:v>
      </x:c>
      <x:c r="E37" s="9" t="n">
        <x:f>(D37-C37)*1000</x:f>
        <x:v>3784.6070012592463</x:v>
      </x:c>
      <x:c r="F37" s="9" t="n">
        <x:f>E37/Inputs!$C$12</x:f>
        <x:v>2126.18370857261</x:v>
      </x:c>
      <x:c r="G37" s="9" t="n">
        <x:f>2*E37/Inputs!$C$21*1000000</x:f>
        <x:v>25.24818020111264</x:v>
      </x:c>
      <x:c r="H37" s="9" t="n">
        <x:f>SQRT(A37^2+Inputs!$C$6^2)</x:f>
        <x:v>49.30770730829005</x:v>
      </x:c>
      <x:c r="I37" s="9" t="n">
        <x:f>DEGREES(ATAN(H37/B37))</x:f>
        <x:v>6.992623032280269</x:v>
      </x:c>
      <x:c r="J37" s="9" t="n">
        <x:f>DEGREES((2*PI()/Inputs!$C$13)*Inputs!$C$15*SIN(RADIANS(I37)))</x:f>
        <x:v>43.82695789939304</x:v>
      </x:c>
      <x:c r="K37" s="9" t="n">
        <x:f>(C37/D37)^4</x:f>
        <x:v>0.9632127399149205</x:v>
      </x:c>
      <x:c r="L37" s="9" t="n">
        <x:f>10*LOG10(K37)</x:f>
        <x:v>-0.16277781860586701</x:v>
      </x:c>
      <x:c r="M37" s="9" t="n">
        <x:f>2*(Inputs!$C$9/(Inputs!$C$10^2))*A37</x:f>
        <x:v>-0.09444444444444444</x:v>
      </x:c>
      <x:c r="N37" s="9" t="n">
        <x:f>M37*Inputs!$C$11</x:f>
        <x:v>-0.37777777777777777</x:v>
      </x:c>
      <x:c r="O37" s="9" t="n">
        <x:f>1000*(D38-D36)/(A38-A36)*Inputs!$C$11</x:f>
        <x:v>-901.7277618504522</x:v>
      </x:c>
      <x:c r="P37" s="9" t="n">
        <x:f>-2*O37/Inputs!$C$13</x:f>
        <x:v>360.6911047401809</x:v>
      </x:c>
      <x:c r="Q37" s="9" t="n">
        <x:f>-2*O37/Inputs!$C$14</x:f>
        <x:v>54.1578235345617</x:v>
      </x:c>
      <x:c r="R37" s="9" t="n">
        <x:f>F37-Inputs!$C$16/2</x:f>
        <x:v>2111.18370857261</x:v>
      </x:c>
      <x:c r="S37" s="9" t="n">
        <x:f>F37+Inputs!$C$16/2</x:f>
        <x:v>2141.18370857261</x:v>
      </x:c>
      <x:c r="T37" s="9" t="n">
        <x:f>F37-Inputs!$C$17/2</x:f>
        <x:v>1976.1837085726102</x:v>
      </x:c>
      <x:c r="U37" s="9" t="n">
        <x:f>F37+Inputs!$C$17/2</x:f>
        <x:v>2276.18370857261</x:v>
      </x:c>
      <x:c r="V37" s="9" t="n">
        <x:f>ABS(P37)</x:f>
        <x:v>360.6911047401809</x:v>
      </x:c>
      <x:c r="W37" s="9" t="n">
        <x:f>ABS(Q37)</x:f>
        <x:v>54.1578235345617</x:v>
      </x:c>
      <x:c r="X37" s="9"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x:f>
        <x:v>9.477549494288523</x:v>
      </x:c>
      <x:c r="Y37" s="9"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x:f>
        <x:v>181.7291755177202</x:v>
      </x:c>
      <x:c r="Z37" s="9" t="n">
        <x:f>B37-X37/1000</x:f>
        <x:v>401.99746689495015</x:v>
      </x:c>
      <x:c r="AA37" s="9" t="n">
        <x:f>SQRT((Inputs!$C$52+B37)^2+(Inputs!$C$52+Y37/1000)^2-2*(Inputs!$C$52+B37)*(Inputs!$C$52+Y37/1000)*COS(SQRT(A37^2+Inputs!$C$6^2)/Inputs!$C$52))</x:f>
        <x:v>405.611956713676</x:v>
      </x:c>
      <x:c r="AB37" s="9" t="n">
        <x:f>(AA37-Z37)*1000</x:f>
        <x:v>3614.489818725872</x:v>
      </x:c>
      <x:c r="AC37" s="9" t="n">
        <x:f>AB37/Inputs!$C$12</x:f>
        <x:v>2030.612257711164</x:v>
      </x:c>
      <x:c r="AD37" s="9" t="n">
        <x:f>2*AB37/Inputs!$C$21*1000000</x:f>
        <x:v>24.113280519724558</x:v>
      </x:c>
      <x:c r="AE37" s="9" t="n">
        <x:f>DEGREES(ATAN(H37/(B37-Y37/1000)))</x:f>
        <x:v>6.995754180229385</x:v>
      </x:c>
      <x:c r="AF37" s="9" t="n">
        <x:f>DEGREES((2*PI()/Inputs!$C$13)*Inputs!$C$15*SIN(RADIANS(AE37)))</x:f>
        <x:v>43.84648508136021</x:v>
      </x:c>
      <x:c r="AG37" s="9" t="n">
        <x:f>(Z37/AA37)^4</x:f>
        <x:v>0.9648288274025225</x:v>
      </x:c>
      <x:c r="AH37" s="9" t="n">
        <x:f>10*LOG10(AG37)</x:f>
        <x:v>-0.155497290484413</x:v>
      </x:c>
      <x:c r="AI37" s="9" t="n">
        <x:f>AC37-F37</x:f>
        <x:v>-95.57145086144624</x:v>
      </x:c>
      <x:c r="AJ37" s="9" t="n">
        <x:f>AD37-G37</x:f>
        <x:v>-1.134899681388081</x:v>
      </x:c>
      <x:c r="AK37" s="9" t="n">
        <x:f>Y37-X37</x:f>
        <x:v>172.25162602343167</x:v>
      </x:c>
      <x:c r="AL37" s="9" t="n">
        <x:f>1000*(AA38-AA36)/(A38-A36)*Inputs!$C$11</x:f>
        <x:v>-862.7560750053362</x:v>
      </x:c>
      <x:c r="AM37" s="9" t="n">
        <x:f>-2*AL37/Inputs!$C$13</x:f>
        <x:v>345.1024300021345</x:v>
      </x:c>
      <x:c r="AN37" s="9" t="n">
        <x:f>-2*AL37/Inputs!$C$14</x:f>
        <x:v>51.81718168200218</x:v>
      </x:c>
      <x:c r="AO37" s="9" t="n">
        <x:f>ABS(AM37)</x:f>
        <x:v>345.1024300021345</x:v>
      </x:c>
      <x:c r="AP37" s="9" t="n">
        <x:f>ABS(AN37)</x:f>
        <x:v>51.81718168200218</x:v>
      </x:c>
      <x:c r="AQ37" s="9" t="n">
        <x:f>IF(OR(Inputs!$C$27=TRUE,Inputs!$C$27="TRUE",Inputs!$C$27=1),Inputs!$C$46/Inputs!$C$12,0)</x:f>
        <x:v>42.13483146067416</x:v>
      </x:c>
      <x:c r="AR37" s="9" t="n">
        <x:f>AC37-AQ37</x:f>
        <x:v>1988.4774262504898</x:v>
      </x:c>
      <x:c r="AS37" s="9" t="n">
        <x:f>AC37+AQ37</x:f>
        <x:v>2072.747089171838</x:v>
      </x:c>
    </x:row>
    <x:row r="38">
      <x:c r="A38" s="9" t="n">
        <x:f>Inputs!$C$7+36*(Inputs!$C$8-Inputs!$C$7)/240</x:f>
        <x:v>-42</x:v>
      </x:c>
      <x:c r="B38" s="9" t="n">
        <x:f>Inputs!$C$5+Inputs!$C$9*(A38/Inputs!$C$10)^2</x:f>
        <x:v>401.96</x:v>
      </x:c>
      <x:c r="C38" s="9" t="n">
        <x:f>B38</x:f>
        <x:v>401.96</x:v>
      </x:c>
      <x:c r="D38" s="9" t="n">
        <x:f>SQRT((Inputs!$C$52+B38)^2+Inputs!$C$52^2-2*(Inputs!$C$52+B38)*Inputs!$C$52*COS(SQRT(A38^2+Inputs!$C$6^2)/Inputs!$C$52))</x:f>
        <x:v>405.67948709254136</x:v>
      </x:c>
      <x:c r="E38" s="9" t="n">
        <x:f>(D38-C38)*1000</x:f>
        <x:v>3719.487092541385</x:v>
      </x:c>
      <x:c r="F38" s="9" t="n">
        <x:f>E38/Inputs!$C$12</x:f>
        <x:v>2089.5994901917893</x:v>
      </x:c>
      <x:c r="G38" s="9" t="n">
        <x:f>2*E38/Inputs!$C$21*1000000</x:f>
        <x:v>24.813746932495448</x:v>
      </x:c>
      <x:c r="H38" s="9" t="n">
        <x:f>SQRT(A38^2+Inputs!$C$6^2)</x:f>
        <x:v>48.877397639399746</x:v>
      </x:c>
      <x:c r="I38" s="9" t="n">
        <x:f>DEGREES(ATAN(H38/B38))</x:f>
        <x:v>6.932996321916247</x:v>
      </x:c>
      <x:c r="J38" s="9" t="n">
        <x:f>DEGREES((2*PI()/Inputs!$C$13)*Inputs!$C$15*SIN(RADIANS(I38)))</x:f>
        <x:v>43.45507523985368</x:v>
      </x:c>
      <x:c r="K38" s="9" t="n">
        <x:f>(C38/D38)^4</x:f>
        <x:v>0.96382715141543</x:v>
      </x:c>
      <x:c r="L38" s="9" t="n">
        <x:f>10*LOG10(K38)</x:f>
        <x:v>-0.16000843604631</x:v>
      </x:c>
      <x:c r="M38" s="9" t="n">
        <x:f>2*(Inputs!$C$9/(Inputs!$C$10^2))*A38</x:f>
        <x:v>-0.09333333333333334</x:v>
      </x:c>
      <x:c r="N38" s="9" t="n">
        <x:f>M38*Inputs!$C$11</x:f>
        <x:v>-0.37333333333333335</x:v>
      </x:c>
      <x:c r="O38" s="9" t="n">
        <x:f>1000*(D39-D37)/(A39-A37)*Inputs!$C$11</x:f>
        <x:v>-891.298757131608</x:v>
      </x:c>
      <x:c r="P38" s="9" t="n">
        <x:f>-2*O38/Inputs!$C$13</x:f>
        <x:v>356.5195028526432</x:v>
      </x:c>
      <x:c r="Q38" s="9" t="n">
        <x:f>-2*O38/Inputs!$C$14</x:f>
        <x:v>53.531456884781264</x:v>
      </x:c>
      <x:c r="R38" s="9" t="n">
        <x:f>F38-Inputs!$C$16/2</x:f>
        <x:v>2074.5994901917893</x:v>
      </x:c>
      <x:c r="S38" s="9" t="n">
        <x:f>F38+Inputs!$C$16/2</x:f>
        <x:v>2104.5994901917893</x:v>
      </x:c>
      <x:c r="T38" s="9" t="n">
        <x:f>F38-Inputs!$C$17/2</x:f>
        <x:v>1939.5994901917893</x:v>
      </x:c>
      <x:c r="U38" s="9" t="n">
        <x:f>F38+Inputs!$C$17/2</x:f>
        <x:v>2239.5994901917893</x:v>
      </x:c>
      <x:c r="V38" s="9" t="n">
        <x:f>ABS(P38)</x:f>
        <x:v>356.5195028526432</x:v>
      </x:c>
      <x:c r="W38" s="9" t="n">
        <x:f>ABS(Q38)</x:f>
        <x:v>53.531456884781264</x:v>
      </x:c>
      <x:c r="X38" s="9"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x:f>
        <x:v>-8.691303525994272</x:v>
      </x:c>
      <x:c r="Y38" s="9"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x:f>
        <x:v>170.62817299697477</x:v>
      </x:c>
      <x:c r="Z38" s="9" t="n">
        <x:f>B38-X38/1000</x:f>
        <x:v>401.968691303526</x:v>
      </x:c>
      <x:c r="AA38" s="9" t="n">
        <x:f>SQRT((Inputs!$C$52+B38)^2+(Inputs!$C$52+Y38/1000)^2-2*(Inputs!$C$52+B38)*(Inputs!$C$52+Y38/1000)*COS(SQRT(A38^2+Inputs!$C$6^2)/Inputs!$C$52))</x:f>
        <x:v>405.5108289078271</x:v>
      </x:c>
      <x:c r="AB38" s="9" t="n">
        <x:f>(AA38-Z38)*1000</x:f>
        <x:v>3542.1376043011037</x:v>
      </x:c>
      <x:c r="AC38" s="9" t="n">
        <x:f>AB38/Inputs!$C$12</x:f>
        <x:v>1989.964946236575</x:v>
      </x:c>
      <x:c r="AD38" s="9" t="n">
        <x:f>2*AB38/Inputs!$C$21*1000000</x:f>
        <x:v>23.63059850092095</x:v>
      </x:c>
      <x:c r="AE38" s="9" t="n">
        <x:f>DEGREES(ATAN(H38/(B38-Y38/1000)))</x:f>
        <x:v>6.935911888838135</x:v>
      </x:c>
      <x:c r="AF38" s="9" t="n">
        <x:f>DEGREES((2*PI()/Inputs!$C$13)*Inputs!$C$15*SIN(RADIANS(AE38)))</x:f>
        <x:v>43.47326028179477</x:v>
      </x:c>
      <x:c r="AG38" s="9" t="n">
        <x:f>(Z38/AA38)^4</x:f>
        <x:v>0.9655151363054266</x:v>
      </x:c>
      <x:c r="AH38" s="9" t="n">
        <x:f>10*LOG10(AG38)</x:f>
        <x:v>-0.15240913430525502</x:v>
      </x:c>
      <x:c r="AI38" s="9" t="n">
        <x:f>AC38-F38</x:f>
        <x:v>-99.63454395521421</x:v>
      </x:c>
      <x:c r="AJ38" s="9" t="n">
        <x:f>AD38-G38</x:f>
        <x:v>-1.183148431574498</x:v>
      </x:c>
      <x:c r="AK38" s="9" t="n">
        <x:f>Y38-X38</x:f>
        <x:v>179.31947652296904</x:v>
      </x:c>
      <x:c r="AL38" s="9" t="n">
        <x:f>1000*(AA39-AA37)/(A39-A37)*Inputs!$C$11</x:f>
        <x:v>-850.6823653128777</x:v>
      </x:c>
      <x:c r="AM38" s="9" t="n">
        <x:f>-2*AL38/Inputs!$C$13</x:f>
        <x:v>340.27294612515107</x:v>
      </x:c>
      <x:c r="AN38" s="9" t="n">
        <x:f>-2*AL38/Inputs!$C$14</x:f>
        <x:v>51.09203395272539</x:v>
      </x:c>
      <x:c r="AO38" s="9" t="n">
        <x:f>ABS(AM38)</x:f>
        <x:v>340.27294612515107</x:v>
      </x:c>
      <x:c r="AP38" s="9" t="n">
        <x:f>ABS(AN38)</x:f>
        <x:v>51.09203395272539</x:v>
      </x:c>
      <x:c r="AQ38" s="9" t="n">
        <x:f>IF(OR(Inputs!$C$27=TRUE,Inputs!$C$27="TRUE",Inputs!$C$27=1),Inputs!$C$46/Inputs!$C$12,0)</x:f>
        <x:v>42.13483146067416</x:v>
      </x:c>
      <x:c r="AR38" s="9" t="n">
        <x:f>AC38-AQ38</x:f>
        <x:v>1947.830114775901</x:v>
      </x:c>
      <x:c r="AS38" s="9" t="n">
        <x:f>AC38+AQ38</x:f>
        <x:v>2032.0997776972492</x:v>
      </x:c>
    </x:row>
    <x:row r="39">
      <x:c r="A39" s="9" t="n">
        <x:f>Inputs!$C$7+37*(Inputs!$C$8-Inputs!$C$7)/240</x:f>
        <x:v>-41.5</x:v>
      </x:c>
      <x:c r="B39" s="9" t="n">
        <x:f>Inputs!$C$5+Inputs!$C$9*(A39/Inputs!$C$10)^2</x:f>
        <x:v>401.9136111111111</x:v>
      </x:c>
      <x:c r="C39" s="9" t="n">
        <x:f>B39</x:f>
        <x:v>401.9136111111111</x:v>
      </x:c>
      <x:c r="D39" s="9" t="n">
        <x:f>SQRT((Inputs!$C$52+B39)^2+Inputs!$C$52^2-2*(Inputs!$C$52+B39)*Inputs!$C$52*COS(SQRT(A39^2+Inputs!$C$6^2)/Inputs!$C$52))</x:f>
        <x:v>405.5687267564208</x:v>
      </x:c>
      <x:c r="E39" s="9" t="n">
        <x:f>(D39-C39)*1000</x:f>
        <x:v>3655.1156453097065</x:v>
      </x:c>
      <x:c r="F39" s="9" t="n">
        <x:f>E39/Inputs!$C$12</x:f>
        <x:v>2053.4357557919698</x:v>
      </x:c>
      <x:c r="G39" s="9" t="n">
        <x:f>2*E39/Inputs!$C$21*1000000</x:f>
        <x:v>24.384306861446838</x:v>
      </x:c>
      <x:c r="H39" s="9" t="n">
        <x:f>SQRT(A39^2+Inputs!$C$6^2)</x:f>
        <x:v>48.44842618702903</x:v>
      </x:c>
      <x:c r="I39" s="9" t="n">
        <x:f>DEGREES(ATAN(H39/B39))</x:f>
        <x:v>6.873519212930159</x:v>
      </x:c>
      <x:c r="J39" s="9" t="n">
        <x:f>DEGREES((2*PI()/Inputs!$C$13)*Inputs!$C$15*SIN(RADIANS(I39)))</x:f>
        <x:v>43.0840787351217</x:v>
      </x:c>
      <x:c r="K39" s="9" t="n">
        <x:f>(C39/D39)^4</x:f>
        <x:v>0.9644351252982665</x:v>
      </x:c>
      <x:c r="L39" s="9" t="n">
        <x:f>10*LOG10(K39)</x:f>
        <x:v>-0.15726980744380803</x:v>
      </x:c>
      <x:c r="M39" s="9" t="n">
        <x:f>2*(Inputs!$C$9/(Inputs!$C$10^2))*A39</x:f>
        <x:v>-0.09222222222222222</x:v>
      </x:c>
      <x:c r="N39" s="9" t="n">
        <x:f>M39*Inputs!$C$11</x:f>
        <x:v>-0.3688888888888889</x:v>
      </x:c>
      <x:c r="O39" s="9" t="n">
        <x:f>1000*(D40-D38)/(A40-A38)*Inputs!$C$11</x:f>
        <x:v>-880.8635219918415</x:v>
      </x:c>
      <x:c r="P39" s="9" t="n">
        <x:f>-2*O39/Inputs!$C$13</x:f>
        <x:v>352.3454087967366</x:v>
      </x:c>
      <x:c r="Q39" s="9" t="n">
        <x:f>-2*O39/Inputs!$C$14</x:f>
        <x:v>52.90471603554604</x:v>
      </x:c>
      <x:c r="R39" s="9" t="n">
        <x:f>F39-Inputs!$C$16/2</x:f>
        <x:v>2038.4357557919698</x:v>
      </x:c>
      <x:c r="S39" s="9" t="n">
        <x:f>F39+Inputs!$C$16/2</x:f>
        <x:v>2068.4357557919698</x:v>
      </x:c>
      <x:c r="T39" s="9" t="n">
        <x:f>F39-Inputs!$C$17/2</x:f>
        <x:v>1903.4357557919698</x:v>
      </x:c>
      <x:c r="U39" s="9" t="n">
        <x:f>F39+Inputs!$C$17/2</x:f>
        <x:v>2203.4357557919698</x:v>
      </x:c>
      <x:c r="V39" s="9" t="n">
        <x:f>ABS(P39)</x:f>
        <x:v>352.3454087967366</x:v>
      </x:c>
      <x:c r="W39" s="9" t="n">
        <x:f>ABS(Q39)</x:f>
        <x:v>52.90471603554604</x:v>
      </x:c>
      <x:c r="X39" s="9"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x:f>
        <x:v>-15.792555414769886</x:v>
      </x:c>
      <x:c r="Y39" s="9"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x:f>
        <x:v>171.38557913735212</x:v>
      </x:c>
      <x:c r="Z39" s="9" t="n">
        <x:f>B39-X39/1000</x:f>
        <x:v>401.92940366652584</x:v>
      </x:c>
      <x:c r="AA39" s="9" t="n">
        <x:f>SQRT((Inputs!$C$52+B39)^2+(Inputs!$C$52+Y39/1000)^2-2*(Inputs!$C$52+B39)*(Inputs!$C$52+Y39/1000)*COS(SQRT(A39^2+Inputs!$C$6^2)/Inputs!$C$52))</x:f>
        <x:v>405.3992861223478</x:v>
      </x:c>
      <x:c r="AB39" s="9" t="n">
        <x:f>(AA39-Z39)*1000</x:f>
        <x:v>3469.88245582196</x:v>
      </x:c>
      <x:c r="AC39" s="9" t="n">
        <x:f>AB39/Inputs!$C$12</x:f>
        <x:v>1949.3721661921122</x:v>
      </x:c>
      <x:c r="AD39" s="9" t="n">
        <x:f>2*AB39/Inputs!$C$21*1000000</x:f>
        <x:v>23.148564036403876</x:v>
      </x:c>
      <x:c r="AE39" s="9" t="n">
        <x:f>DEGREES(ATAN(H39/(B39-Y39/1000)))</x:f>
        <x:v>6.876423425723544</x:v>
      </x:c>
      <x:c r="AF39" s="9" t="n">
        <x:f>DEGREES((2*PI()/Inputs!$C$13)*Inputs!$C$15*SIN(RADIANS(AE39)))</x:f>
        <x:v>43.10219523627474</x:v>
      </x:c>
      <x:c r="AG39" s="9" t="n">
        <x:f>(Z39/AA39)^4</x:f>
        <x:v>0.9662003634777568</x:v>
      </x:c>
      <x:c r="AH39" s="9" t="n">
        <x:f>10*LOG10(AG39)</x:f>
        <x:v>-0.14932803470949702</x:v>
      </x:c>
      <x:c r="AI39" s="9" t="n">
        <x:f>AC39-F39</x:f>
        <x:v>-104.06358959985755</x:v>
      </x:c>
      <x:c r="AJ39" s="9" t="n">
        <x:f>AD39-G39</x:f>
        <x:v>-1.235742825042962</x:v>
      </x:c>
      <x:c r="AK39" s="9" t="n">
        <x:f>Y39-X39</x:f>
        <x:v>187.178134552122</x:v>
      </x:c>
      <x:c r="AL39" s="9" t="n">
        <x:f>1000*(AA40-AA38)/(A40-A38)*Inputs!$C$11</x:f>
        <x:v>-905.0139341186423</x:v>
      </x:c>
      <x:c r="AM39" s="9" t="n">
        <x:f>-2*AL39/Inputs!$C$13</x:f>
        <x:v>362.0055736474569</x:v>
      </x:c>
      <x:c r="AN39" s="9" t="n">
        <x:f>-2*AL39/Inputs!$C$14</x:f>
        <x:v>54.3551912383569</x:v>
      </x:c>
      <x:c r="AO39" s="9" t="n">
        <x:f>ABS(AM39)</x:f>
        <x:v>362.0055736474569</x:v>
      </x:c>
      <x:c r="AP39" s="9" t="n">
        <x:f>ABS(AN39)</x:f>
        <x:v>54.3551912383569</x:v>
      </x:c>
      <x:c r="AQ39" s="9" t="n">
        <x:f>IF(OR(Inputs!$C$27=TRUE,Inputs!$C$27="TRUE",Inputs!$C$27=1),Inputs!$C$46/Inputs!$C$12,0)</x:f>
        <x:v>42.13483146067416</x:v>
      </x:c>
      <x:c r="AR39" s="9" t="n">
        <x:f>AC39-AQ39</x:f>
        <x:v>1907.237334731438</x:v>
      </x:c>
      <x:c r="AS39" s="9" t="n">
        <x:f>AC39+AQ39</x:f>
        <x:v>1991.5069976527864</x:v>
      </x:c>
    </x:row>
    <x:row r="40">
      <x:c r="A40" s="9" t="n">
        <x:f>Inputs!$C$7+38*(Inputs!$C$8-Inputs!$C$7)/240</x:f>
        <x:v>-41</x:v>
      </x:c>
      <x:c r="B40" s="9" t="n">
        <x:f>Inputs!$C$5+Inputs!$C$9*(A40/Inputs!$C$10)^2</x:f>
        <x:v>401.8677777777778</x:v>
      </x:c>
      <x:c r="C40" s="9" t="n">
        <x:f>B40</x:f>
        <x:v>401.8677777777778</x:v>
      </x:c>
      <x:c r="D40" s="9" t="n">
        <x:f>SQRT((Inputs!$C$52+B40)^2+Inputs!$C$52^2-2*(Inputs!$C$52+B40)*Inputs!$C$52*COS(SQRT(A40^2+Inputs!$C$6^2)/Inputs!$C$52))</x:f>
        <x:v>405.4592712120434</x:v>
      </x:c>
      <x:c r="E40" s="9" t="n">
        <x:f>(D40-C40)*1000</x:f>
        <x:v>3591.493434265601</x:v>
      </x:c>
      <x:c r="F40" s="9" t="n">
        <x:f>E40/Inputs!$C$12</x:f>
        <x:v>2017.6929405986523</x:v>
      </x:c>
      <x:c r="G40" s="9" t="n">
        <x:f>2*E40/Inputs!$C$21*1000000</x:f>
        <x:v>23.95986515621818</x:v>
      </x:c>
      <x:c r="H40" s="9" t="n">
        <x:f>SQRT(A40^2+Inputs!$C$6^2)</x:f>
        <x:v>48.02082881417188</x:v>
      </x:c>
      <x:c r="I40" s="9" t="n">
        <x:f>DEGREES(ATAN(H40/B40))</x:f>
        <x:v>6.814197296997338</x:v>
      </x:c>
      <x:c r="J40" s="9" t="n">
        <x:f>DEGREES((2*PI()/Inputs!$C$13)*Inputs!$C$15*SIN(RADIANS(I40)))</x:f>
        <x:v>42.71400402217685</x:v>
      </x:c>
      <x:c r="K40" s="9" t="n">
        <x:f>(C40/D40)^4</x:f>
        <x:v>0.965036633340718</x:v>
      </x:c>
      <x:c r="L40" s="9" t="n">
        <x:f>10*LOG10(K40)</x:f>
        <x:v>-0.15456200277187898</x:v>
      </x:c>
      <x:c r="M40" s="9" t="n">
        <x:f>2*(Inputs!$C$9/(Inputs!$C$10^2))*A40</x:f>
        <x:v>-0.09111111111111111</x:v>
      </x:c>
      <x:c r="N40" s="9" t="n">
        <x:f>M40*Inputs!$C$11</x:f>
        <x:v>-0.36444444444444446</x:v>
      </x:c>
      <x:c r="O40" s="9" t="n">
        <x:f>1000*(D41-D39)/(A41-A39)*Inputs!$C$11</x:f>
        <x:v>-870.4221222078559</x:v>
      </x:c>
      <x:c r="P40" s="9" t="n">
        <x:f>-2*O40/Inputs!$C$13</x:f>
        <x:v>348.16884888314235</x:v>
      </x:c>
      <x:c r="Q40" s="9" t="n">
        <x:f>-2*O40/Inputs!$C$14</x:f>
        <x:v>52.27760493740877</x:v>
      </x:c>
      <x:c r="R40" s="9" t="n">
        <x:f>F40-Inputs!$C$16/2</x:f>
        <x:v>2002.6929405986523</x:v>
      </x:c>
      <x:c r="S40" s="9" t="n">
        <x:f>F40+Inputs!$C$16/2</x:f>
        <x:v>2032.6929405986523</x:v>
      </x:c>
      <x:c r="T40" s="9" t="n">
        <x:f>F40-Inputs!$C$17/2</x:f>
        <x:v>1867.6929405986523</x:v>
      </x:c>
      <x:c r="U40" s="9" t="n">
        <x:f>F40+Inputs!$C$17/2</x:f>
        <x:v>2167.692940598652</x:v>
      </x:c>
      <x:c r="V40" s="9" t="n">
        <x:f>ABS(P40)</x:f>
        <x:v>348.16884888314235</x:v>
      </x:c>
      <x:c r="W40" s="9" t="n">
        <x:f>ABS(Q40)</x:f>
        <x:v>52.27760493740877</x:v>
      </x:c>
      <x:c r="X40" s="9"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x:f>
        <x:v>-17.886266996681616</x:v>
      </x:c>
      <x:c r="Y40" s="9"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x:f>
        <x:v>176.66624192778235</x:v>
      </x:c>
      <x:c r="Z40" s="9" t="n">
        <x:f>B40-X40/1000</x:f>
        <x:v>401.8856640447745</x:v>
      </x:c>
      <x:c r="AA40" s="9" t="n">
        <x:f>SQRT((Inputs!$C$52+B40)^2+(Inputs!$C$52+Y40/1000)^2-2*(Inputs!$C$52+B40)*(Inputs!$C$52+Y40/1000)*COS(SQRT(A40^2+Inputs!$C$6^2)/Inputs!$C$52))</x:f>
        <x:v>405.28457542429743</x:v>
      </x:c>
      <x:c r="AB40" s="9" t="n">
        <x:f>(AA40-Z40)*1000</x:f>
        <x:v>3398.9113795229287</x:v>
      </x:c>
      <x:c r="AC40" s="9" t="n">
        <x:f>AB40/Inputs!$C$12</x:f>
        <x:v>1909.5007750128811</x:v>
      </x:c>
      <x:c r="AD40" s="9" t="n">
        <x:f>2*AB40/Inputs!$C$21*1000000</x:f>
        <x:v>22.67509597938537</x:v>
      </x:c>
      <x:c r="AE40" s="9" t="n">
        <x:f>DEGREES(ATAN(H40/(B40-Y40/1000)))</x:f>
        <x:v>6.817166024888464</x:v>
      </x:c>
      <x:c r="AF40" s="9" t="n">
        <x:f>DEGREES((2*PI()/Inputs!$C$13)*Inputs!$C$15*SIN(RADIANS(AE40)))</x:f>
        <x:v>42.732525269610115</x:v>
      </x:c>
      <x:c r="AG40" s="9" t="n">
        <x:f>(Z40/AA40)^4</x:f>
        <x:v>0.966873720054706</x:v>
      </x:c>
      <x:c r="AH40" s="9" t="n">
        <x:f>10*LOG10(AG40)</x:f>
        <x:v>-0.146302438742522</x:v>
      </x:c>
      <x:c r="AI40" s="9" t="n">
        <x:f>AC40-F40</x:f>
        <x:v>-108.19216558577114</x:v>
      </x:c>
      <x:c r="AJ40" s="9" t="n">
        <x:f>AD40-G40</x:f>
        <x:v>-1.284769176832807</x:v>
      </x:c>
      <x:c r="AK40" s="9" t="n">
        <x:f>Y40-X40</x:f>
        <x:v>194.55250892446398</x:v>
      </x:c>
      <x:c r="AL40" s="9" t="n">
        <x:f>1000*(AA41-AA39)/(A41-A39)*Inputs!$C$11</x:f>
        <x:v>-949.26050870572</x:v>
      </x:c>
      <x:c r="AM40" s="9" t="n">
        <x:f>-2*AL40/Inputs!$C$13</x:f>
        <x:v>379.704203482288</x:v>
      </x:c>
      <x:c r="AN40" s="9" t="n">
        <x:f>-2*AL40/Inputs!$C$14</x:f>
        <x:v>57.01264316550871</x:v>
      </x:c>
      <x:c r="AO40" s="9" t="n">
        <x:f>ABS(AM40)</x:f>
        <x:v>379.704203482288</x:v>
      </x:c>
      <x:c r="AP40" s="9" t="n">
        <x:f>ABS(AN40)</x:f>
        <x:v>57.01264316550871</x:v>
      </x:c>
      <x:c r="AQ40" s="9" t="n">
        <x:f>IF(OR(Inputs!$C$27=TRUE,Inputs!$C$27="TRUE",Inputs!$C$27=1),Inputs!$C$46/Inputs!$C$12,0)</x:f>
        <x:v>42.13483146067416</x:v>
      </x:c>
      <x:c r="AR40" s="9" t="n">
        <x:f>AC40-AQ40</x:f>
        <x:v>1867.365943552207</x:v>
      </x:c>
      <x:c r="AS40" s="9" t="n">
        <x:f>AC40+AQ40</x:f>
        <x:v>1951.6356064735553</x:v>
      </x:c>
    </x:row>
    <x:row r="41">
      <x:c r="A41" s="9" t="n">
        <x:f>Inputs!$C$7+39*(Inputs!$C$8-Inputs!$C$7)/240</x:f>
        <x:v>-40.5</x:v>
      </x:c>
      <x:c r="B41" s="9" t="n">
        <x:f>Inputs!$C$5+Inputs!$C$9*(A41/Inputs!$C$10)^2</x:f>
        <x:v>401.8225</x:v>
      </x:c>
      <x:c r="C41" s="9" t="n">
        <x:f>B41</x:f>
        <x:v>401.8225</x:v>
      </x:c>
      <x:c r="D41" s="9" t="n">
        <x:f>SQRT((Inputs!$C$52+B41)^2+Inputs!$C$52^2-2*(Inputs!$C$52+B41)*Inputs!$C$52*COS(SQRT(A41^2+Inputs!$C$6^2)/Inputs!$C$52))</x:f>
        <x:v>405.35112122586884</x:v>
      </x:c>
      <x:c r="E41" s="9" t="n">
        <x:f>(D41-C41)*1000</x:f>
        <x:v>3528.6212258688465</x:v>
      </x:c>
      <x:c r="F41" s="9" t="n">
        <x:f>E41/Inputs!$C$12</x:f>
        <x:v>1982.3714752072171</x:v>
      </x:c>
      <x:c r="G41" s="9" t="n">
        <x:f>2*E41/Inputs!$C$21*1000000</x:f>
        <x:v>23.540426930078716</x:v>
      </x:c>
      <x:c r="H41" s="9" t="n">
        <x:f>SQRT(A41^2+Inputs!$C$6^2)</x:f>
        <x:v>47.59464255564905</x:v>
      </x:c>
      <x:c r="I41" s="9" t="n">
        <x:f>DEGREES(ATAN(H41/B41))</x:f>
        <x:v>6.755036334683316</x:v>
      </x:c>
      <x:c r="J41" s="9" t="n">
        <x:f>DEGREES((2*PI()/Inputs!$C$13)*Inputs!$C$15*SIN(RADIANS(I41)))</x:f>
        <x:v>42.34488780209607</x:v>
      </x:c>
      <x:c r="K41" s="9" t="n">
        <x:f>(C41/D41)^4</x:f>
        <x:v>0.9656316475691362</x:v>
      </x:c>
      <x:c r="L41" s="9" t="n">
        <x:f>10*LOG10(K41)</x:f>
        <x:v>-0.151885091292134</x:v>
      </x:c>
      <x:c r="M41" s="9" t="n">
        <x:f>2*(Inputs!$C$9/(Inputs!$C$10^2))*A41</x:f>
        <x:v>-0.09</x:v>
      </x:c>
      <x:c r="N41" s="9" t="n">
        <x:f>M41*Inputs!$C$11</x:f>
        <x:v>-0.36</x:v>
      </x:c>
      <x:c r="O41" s="9" t="n">
        <x:f>1000*(D42-D40)/(A42-A40)*Inputs!$C$11</x:f>
        <x:v>-859.9746238114676</x:v>
      </x:c>
      <x:c r="P41" s="9" t="n">
        <x:f>-2*O41/Inputs!$C$13</x:f>
        <x:v>343.98984952458704</x:v>
      </x:c>
      <x:c r="Q41" s="9" t="n">
        <x:f>-2*O41/Inputs!$C$14</x:f>
        <x:v>51.65012755624431</x:v>
      </x:c>
      <x:c r="R41" s="9" t="n">
        <x:f>F41-Inputs!$C$16/2</x:f>
        <x:v>1967.3714752072171</x:v>
      </x:c>
      <x:c r="S41" s="9" t="n">
        <x:f>F41+Inputs!$C$16/2</x:f>
        <x:v>1997.3714752072171</x:v>
      </x:c>
      <x:c r="T41" s="9" t="n">
        <x:f>F41-Inputs!$C$17/2</x:f>
        <x:v>1832.3714752072171</x:v>
      </x:c>
      <x:c r="U41" s="9" t="n">
        <x:f>F41+Inputs!$C$17/2</x:f>
        <x:v>2132.3714752072174</x:v>
      </x:c>
      <x:c r="V41" s="9" t="n">
        <x:f>ABS(P41)</x:f>
        <x:v>343.98984952458704</x:v>
      </x:c>
      <x:c r="W41" s="9" t="n">
        <x:f>ABS(Q41)</x:f>
        <x:v>51.65012755624431</x:v>
      </x:c>
      <x:c r="X41" s="9"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x:f>
        <x:v>-15.042977474303433</x:v>
      </x:c>
      <x:c r="Y41" s="9"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x:f>
        <x:v>191.24651788731785</x:v>
      </x:c>
      <x:c r="Z41" s="9" t="n">
        <x:f>B41-X41/1000</x:f>
        <x:v>401.8375429774743</x:v>
      </x:c>
      <x:c r="AA41" s="9" t="n">
        <x:f>SQRT((Inputs!$C$52+B41)^2+(Inputs!$C$52+Y41/1000)^2-2*(Inputs!$C$52+B41)*(Inputs!$C$52+Y41/1000)*COS(SQRT(A41^2+Inputs!$C$6^2)/Inputs!$C$52))</x:f>
        <x:v>405.1619709951714</x:v>
      </x:c>
      <x:c r="AB41" s="9" t="n">
        <x:f>(AA41-Z41)*1000</x:f>
        <x:v>3324.4280176970733</x:v>
      </x:c>
      <x:c r="AC41" s="9" t="n">
        <x:f>AB41/Inputs!$C$12</x:f>
        <x:v>1867.656189717457</x:v>
      </x:c>
      <x:c r="AD41" s="9" t="n">
        <x:f>2*AB41/Inputs!$C$21*1000000</x:f>
        <x:v>22.178196475490207</x:v>
      </x:c>
      <x:c r="AE41" s="9" t="n">
        <x:f>DEGREES(ATAN(H41/(B41-Y41/1000)))</x:f>
        <x:v>6.758223165145757</x:v>
      </x:c>
      <x:c r="AF41" s="9" t="n">
        <x:f>DEGREES((2*PI()/Inputs!$C$13)*Inputs!$C$15*SIN(RADIANS(AE41)))</x:f>
        <x:v>42.36477218259207</x:v>
      </x:c>
      <x:c r="AG41" s="9" t="n">
        <x:f>(Z41/AA41)^4</x:f>
        <x:v>0.9675810139974674</x:v>
      </x:c>
      <x:c r="AH41" s="9" t="n">
        <x:f>10*LOG10(AG41)</x:f>
        <x:v>-0.143126620102717</x:v>
      </x:c>
      <x:c r="AI41" s="9" t="n">
        <x:f>AC41-F41</x:f>
        <x:v>-114.71528548976016</x:v>
      </x:c>
      <x:c r="AJ41" s="9" t="n">
        <x:f>AD41-G41</x:f>
        <x:v>-1.3622304545885093</x:v>
      </x:c>
      <x:c r="AK41" s="9" t="n">
        <x:f>Y41-X41</x:f>
        <x:v>206.28949536162128</x:v>
      </x:c>
      <x:c r="AL41" s="9" t="n">
        <x:f>1000*(AA42-AA40)/(A42-A40)*Inputs!$C$11</x:f>
        <x:v>-943.3376979748118</x:v>
      </x:c>
      <x:c r="AM41" s="9" t="n">
        <x:f>-2*AL41/Inputs!$C$13</x:f>
        <x:v>377.3350791899247</x:v>
      </x:c>
      <x:c r="AN41" s="9" t="n">
        <x:f>-2*AL41/Inputs!$C$14</x:f>
        <x:v>56.656918797286</x:v>
      </x:c>
      <x:c r="AO41" s="9" t="n">
        <x:f>ABS(AM41)</x:f>
        <x:v>377.3350791899247</x:v>
      </x:c>
      <x:c r="AP41" s="9" t="n">
        <x:f>ABS(AN41)</x:f>
        <x:v>56.656918797286</x:v>
      </x:c>
      <x:c r="AQ41" s="9" t="n">
        <x:f>IF(OR(Inputs!$C$27=TRUE,Inputs!$C$27="TRUE",Inputs!$C$27=1),Inputs!$C$46/Inputs!$C$12,0)</x:f>
        <x:v>42.13483146067416</x:v>
      </x:c>
      <x:c r="AR41" s="9" t="n">
        <x:f>AC41-AQ41</x:f>
        <x:v>1825.5213582567828</x:v>
      </x:c>
      <x:c r="AS41" s="9" t="n">
        <x:f>AC41+AQ41</x:f>
        <x:v>1909.7910211781311</x:v>
      </x:c>
    </x:row>
    <x:row r="42">
      <x:c r="A42" s="9" t="n">
        <x:f>Inputs!$C$7+40*(Inputs!$C$8-Inputs!$C$7)/240</x:f>
        <x:v>-40</x:v>
      </x:c>
      <x:c r="B42" s="9" t="n">
        <x:f>Inputs!$C$5+Inputs!$C$9*(A42/Inputs!$C$10)^2</x:f>
        <x:v>401.77777777777777</x:v>
      </x:c>
      <x:c r="C42" s="9" t="n">
        <x:f>B42</x:f>
        <x:v>401.77777777777777</x:v>
      </x:c>
      <x:c r="D42" s="9" t="n">
        <x:f>SQRT((Inputs!$C$52+B42)^2+Inputs!$C$52^2-2*(Inputs!$C$52+B42)*Inputs!$C$52*COS(SQRT(A42^2+Inputs!$C$6^2)/Inputs!$C$52))</x:f>
        <x:v>405.24427755609054</x:v>
      </x:c>
      <x:c r="E42" s="9" t="n">
        <x:f>(D42-C42)*1000</x:f>
        <x:v>3466.499778312766</x:v>
      </x:c>
      <x:c r="F42" s="9" t="n">
        <x:f>E42/Inputs!$C$12</x:f>
        <x:v>1947.4717855689696</x:v>
      </x:c>
      <x:c r="G42" s="9" t="n">
        <x:f>2*E42/Inputs!$C$21*1000000</x:f>
        <x:v>23.12599724114985</x:v>
      </x:c>
      <x:c r="H42" s="9" t="n">
        <x:f>SQRT(A42^2+Inputs!$C$6^2)</x:f>
        <x:v>47.16990566028302</x:v>
      </x:c>
      <x:c r="I42" s="9" t="n">
        <x:f>DEGREES(ATAN(H42/B42))</x:f>
        <x:v>6.696042261456512</x:v>
      </x:c>
      <x:c r="J42" s="9" t="n">
        <x:f>DEGREES((2*PI()/Inputs!$C$13)*Inputs!$C$15*SIN(RADIANS(I42)))</x:f>
        <x:v>41.976767877765525</x:v>
      </x:c>
      <x:c r="K42" s="9" t="n">
        <x:f>(C42/D42)^4</x:f>
        <x:v>0.9662201402617542</x:v>
      </x:c>
      <x:c r="L42" s="9" t="n">
        <x:f>10*LOG10(K42)</x:f>
        <x:v>-0.14923914155044</x:v>
      </x:c>
      <x:c r="M42" s="9" t="n">
        <x:f>2*(Inputs!$C$9/(Inputs!$C$10^2))*A42</x:f>
        <x:v>-0.08888888888888889</x:v>
      </x:c>
      <x:c r="N42" s="9" t="n">
        <x:f>M42*Inputs!$C$11</x:f>
        <x:v>-0.35555555555555557</x:v>
      </x:c>
      <x:c r="O42" s="9" t="n">
        <x:f>1000*(D43-D41)/(A43-A41)*Inputs!$C$11</x:f>
        <x:v>-849.5210931248494</x:v>
      </x:c>
      <x:c r="P42" s="9" t="n">
        <x:f>-2*O42/Inputs!$C$13</x:f>
        <x:v>339.80843724993974</x:v>
      </x:c>
      <x:c r="Q42" s="9" t="n">
        <x:f>-2*O42/Inputs!$C$14</x:f>
        <x:v>51.02228787536633</x:v>
      </x:c>
      <x:c r="R42" s="9" t="n">
        <x:f>F42-Inputs!$C$16/2</x:f>
        <x:v>1932.4717855689696</x:v>
      </x:c>
      <x:c r="S42" s="9" t="n">
        <x:f>F42+Inputs!$C$16/2</x:f>
        <x:v>1962.4717855689696</x:v>
      </x:c>
      <x:c r="T42" s="9" t="n">
        <x:f>F42-Inputs!$C$17/2</x:f>
        <x:v>1797.4717855689696</x:v>
      </x:c>
      <x:c r="U42" s="9" t="n">
        <x:f>F42+Inputs!$C$17/2</x:f>
        <x:v>2097.4717855689696</x:v>
      </x:c>
      <x:c r="V42" s="9" t="n">
        <x:f>ABS(P42)</x:f>
        <x:v>339.80843724993974</x:v>
      </x:c>
      <x:c r="W42" s="9" t="n">
        <x:f>ABS(Q42)</x:f>
        <x:v>51.02228787536633</x:v>
      </x:c>
      <x:c r="X42" s="9"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x:f>
        <x:v>-31.231711064274894</x:v>
      </x:c>
      <x:c r="Y42" s="9"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x:f>
        <x:v>197.66557297497732</x:v>
      </x:c>
      <x:c r="Z42" s="9" t="n">
        <x:f>B42-X42/1000</x:f>
        <x:v>401.80900948884204</x:v>
      </x:c>
      <x:c r="AA42" s="9" t="n">
        <x:f>SQRT((Inputs!$C$52+B42)^2+(Inputs!$C$52+Y42/1000)^2-2*(Inputs!$C$52+B42)*(Inputs!$C$52+Y42/1000)*COS(SQRT(A42^2+Inputs!$C$6^2)/Inputs!$C$52))</x:f>
        <x:v>405.0487409998037</x:v>
      </x:c>
      <x:c r="AB42" s="9" t="n">
        <x:f>(AA42-Z42)*1000</x:f>
        <x:v>3239.7315109616898</x:v>
      </x:c>
      <x:c r="AC42" s="9" t="n">
        <x:f>AB42/Inputs!$C$12</x:f>
        <x:v>1820.073882562747</x:v>
      </x:c>
      <x:c r="AD42" s="9" t="n">
        <x:f>2*AB42/Inputs!$C$21*1000000</x:f>
        <x:v>21.61316220277756</x:v>
      </x:c>
      <x:c r="AE42" s="9" t="n">
        <x:f>DEGREES(ATAN(H42/(B42-Y42/1000)))</x:f>
        <x:v>6.699308233472451</x:v>
      </x:c>
      <x:c r="AF42" s="9" t="n">
        <x:f>DEGREES((2*PI()/Inputs!$C$13)*Inputs!$C$15*SIN(RADIANS(AE42)))</x:f>
        <x:v>41.997148539170055</x:v>
      </x:c>
      <x:c r="AG42" s="9" t="n">
        <x:f>(Z42/AA42)^4</x:f>
        <x:v>0.9683883034080301</x:v>
      </x:c>
      <x:c r="AH42" s="9" t="n">
        <x:f>10*LOG10(AG42)</x:f>
        <x:v>-0.139504647858884</x:v>
      </x:c>
      <x:c r="AI42" s="9" t="n">
        <x:f>AC42-F42</x:f>
        <x:v>-127.39790300622258</x:v>
      </x:c>
      <x:c r="AJ42" s="9" t="n">
        <x:f>AD42-G42</x:f>
        <x:v>-1.512835038372291</x:v>
      </x:c>
      <x:c r="AK42" s="9" t="n">
        <x:f>Y42-X42</x:f>
        <x:v>228.8972840392522</x:v>
      </x:c>
      <x:c r="AL42" s="9" t="n">
        <x:f>1000*(AA43-AA41)/(A43-A41)*Inputs!$C$11</x:f>
        <x:v>-888.3397130359754</x:v>
      </x:c>
      <x:c r="AM42" s="9" t="n">
        <x:f>-2*AL42/Inputs!$C$13</x:f>
        <x:v>355.33588521439015</x:v>
      </x:c>
      <x:c r="AN42" s="9" t="n">
        <x:f>-2*AL42/Inputs!$C$14</x:f>
        <x:v>53.3537365186772</x:v>
      </x:c>
      <x:c r="AO42" s="9" t="n">
        <x:f>ABS(AM42)</x:f>
        <x:v>355.33588521439015</x:v>
      </x:c>
      <x:c r="AP42" s="9" t="n">
        <x:f>ABS(AN42)</x:f>
        <x:v>53.3537365186772</x:v>
      </x:c>
      <x:c r="AQ42" s="9" t="n">
        <x:f>IF(OR(Inputs!$C$27=TRUE,Inputs!$C$27="TRUE",Inputs!$C$27=1),Inputs!$C$46/Inputs!$C$12,0)</x:f>
        <x:v>42.13483146067416</x:v>
      </x:c>
      <x:c r="AR42" s="9" t="n">
        <x:f>AC42-AQ42</x:f>
        <x:v>1777.9390511020729</x:v>
      </x:c>
      <x:c r="AS42" s="9" t="n">
        <x:f>AC42+AQ42</x:f>
        <x:v>1862.2087140234212</x:v>
      </x:c>
    </x:row>
    <x:row r="43">
      <x:c r="A43" s="9" t="n">
        <x:f>Inputs!$C$7+41*(Inputs!$C$8-Inputs!$C$7)/240</x:f>
        <x:v>-39.5</x:v>
      </x:c>
      <x:c r="B43" s="9" t="n">
        <x:f>Inputs!$C$5+Inputs!$C$9*(A43/Inputs!$C$10)^2</x:f>
        <x:v>401.7336111111111</x:v>
      </x:c>
      <x:c r="C43" s="9" t="n">
        <x:f>B43</x:f>
        <x:v>401.7336111111111</x:v>
      </x:c>
      <x:c r="D43" s="9" t="n">
        <x:f>SQRT((Inputs!$C$52+B43)^2+Inputs!$C$52^2-2*(Inputs!$C$52+B43)*Inputs!$C$52*COS(SQRT(A43^2+Inputs!$C$6^2)/Inputs!$C$52))</x:f>
        <x:v>405.1387409525876</x:v>
      </x:c>
      <x:c r="E43" s="9" t="n">
        <x:f>(D43-C43)*1000</x:f>
        <x:v>3405.129841476537</x:v>
      </x:c>
      <x:c r="F43" s="9" t="n">
        <x:f>E43/Inputs!$C$12</x:f>
        <x:v>1912.9942929643466</x:v>
      </x:c>
      <x:c r="G43" s="9" t="n">
        <x:f>2*E43/Inputs!$C$21*1000000</x:f>
        <x:v>22.716581092086958</x:v>
      </x:c>
      <x:c r="H43" s="9" t="n">
        <x:f>SQRT(A43^2+Inputs!$C$6^2)</x:f>
        <x:v>46.74665763453041</x:v>
      </x:c>
      <x:c r="I43" s="9" t="n">
        <x:f>DEGREES(ATAN(H43/B43))</x:f>
        <x:v>6.637221193908625</x:v>
      </x:c>
      <x:c r="J43" s="9" t="n">
        <x:f>DEGREES((2*PI()/Inputs!$C$13)*Inputs!$C$15*SIN(RADIANS(I43)))</x:f>
        <x:v>41.609683192895545</x:v>
      </x:c>
      <x:c r="K43" s="9" t="n">
        <x:f>(C43/D43)^4</x:f>
        <x:v>0.9668020839517065</x:v>
      </x:c>
      <x:c r="L43" s="9" t="n">
        <x:f>10*LOG10(K43)</x:f>
        <x:v>-0.146624221372138</x:v>
      </x:c>
      <x:c r="M43" s="9" t="n">
        <x:f>2*(Inputs!$C$9/(Inputs!$C$10^2))*A43</x:f>
        <x:v>-0.08777777777777777</x:v>
      </x:c>
      <x:c r="N43" s="9" t="n">
        <x:f>M43*Inputs!$C$11</x:f>
        <x:v>-0.3511111111111111</x:v>
      </x:c>
      <x:c r="O43" s="9" t="n">
        <x:f>1000*(D44-D42)/(A44-A42)*Inputs!$C$11</x:f>
        <x:v>-839.0615967759913</x:v>
      </x:c>
      <x:c r="P43" s="9" t="n">
        <x:f>-2*O43/Inputs!$C$13</x:f>
        <x:v>335.62463871039654</x:v>
      </x:c>
      <x:c r="Q43" s="9" t="n">
        <x:f>-2*O43/Inputs!$C$14</x:f>
        <x:v>50.39408989645594</x:v>
      </x:c>
      <x:c r="R43" s="9" t="n">
        <x:f>F43-Inputs!$C$16/2</x:f>
        <x:v>1897.9942929643466</x:v>
      </x:c>
      <x:c r="S43" s="9" t="n">
        <x:f>F43+Inputs!$C$16/2</x:f>
        <x:v>1927.9942929643466</x:v>
      </x:c>
      <x:c r="T43" s="9" t="n">
        <x:f>F43-Inputs!$C$17/2</x:f>
        <x:v>1762.9942929643466</x:v>
      </x:c>
      <x:c r="U43" s="9" t="n">
        <x:f>F43+Inputs!$C$17/2</x:f>
        <x:v>2062.9942929643466</x:v>
      </x:c>
      <x:c r="V43" s="9" t="n">
        <x:f>ABS(P43)</x:f>
        <x:v>335.62463871039654</x:v>
      </x:c>
      <x:c r="W43" s="9" t="n">
        <x:f>ABS(Q43)</x:f>
        <x:v>50.39408989645594</x:v>
      </x:c>
      <x:c r="X43" s="9"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x:f>
        <x:v>-33.241151326098546</x:v>
      </x:c>
      <x:c r="Y43" s="9"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x:f>
        <x:v>200.98178735327417</x:v>
      </x:c>
      <x:c r="Z43" s="9" t="n">
        <x:f>B43-X43/1000</x:f>
        <x:v>401.76685226243717</x:v>
      </x:c>
      <x:c r="AA43" s="9" t="n">
        <x:f>SQRT((Inputs!$C$52+B43)^2+(Inputs!$C$52+Y43/1000)^2-2*(Inputs!$C$52+B43)*(Inputs!$C$52+Y43/1000)*COS(SQRT(A43^2+Inputs!$C$6^2)/Inputs!$C$52))</x:f>
        <x:v>404.9398860669124</x:v>
      </x:c>
      <x:c r="AB43" s="9" t="n">
        <x:f>(AA43-Z43)*1000</x:f>
        <x:v>3173.03380447521</x:v>
      </x:c>
      <x:c r="AC43" s="9" t="n">
        <x:f>AB43/Inputs!$C$12</x:f>
        <x:v>1782.6032609411293</x:v>
      </x:c>
      <x:c r="AD43" s="9" t="n">
        <x:f>2*AB43/Inputs!$C$21*1000000</x:f>
        <x:v>21.168203000458472</x:v>
      </x:c>
      <x:c r="AE43" s="9" t="n">
        <x:f>DEGREES(ATAN(H43/(B43-Y43/1000)))</x:f>
        <x:v>6.640513703208394</x:v>
      </x:c>
      <x:c r="AF43" s="9" t="n">
        <x:f>DEGREES((2*PI()/Inputs!$C$13)*Inputs!$C$15*SIN(RADIANS(AE43)))</x:f>
        <x:v>41.63023192067994</x:v>
      </x:c>
      <x:c r="AG43" s="9" t="n">
        <x:f>(Z43/AA43)^4</x:f>
        <x:v>0.9690232214821974</x:v>
      </x:c>
      <x:c r="AH43" s="9" t="n">
        <x:f>10*LOG10(AG43)</x:f>
        <x:v>-0.136658154768487</x:v>
      </x:c>
      <x:c r="AI43" s="9" t="n">
        <x:f>AC43-F43</x:f>
        <x:v>-130.39103202321735</x:v>
      </x:c>
      <x:c r="AJ43" s="9" t="n">
        <x:f>AD43-G43</x:f>
        <x:v>-1.5483780916284857</x:v>
      </x:c>
      <x:c r="AK43" s="9" t="n">
        <x:f>Y43-X43</x:f>
        <x:v>234.2229386793727</x:v>
      </x:c>
      <x:c r="AL43" s="9" t="n">
        <x:f>1000*(AA44-AA42)/(A44-A42)*Inputs!$C$11</x:f>
        <x:v>-787.4180961375714</x:v>
      </x:c>
      <x:c r="AM43" s="9" t="n">
        <x:f>-2*AL43/Inputs!$C$13</x:f>
        <x:v>314.96723845502856</x:v>
      </x:c>
      <x:c r="AN43" s="9" t="n">
        <x:f>-2*AL43/Inputs!$C$14</x:f>
        <x:v>47.29237814640069</x:v>
      </x:c>
      <x:c r="AO43" s="9" t="n">
        <x:f>ABS(AM43)</x:f>
        <x:v>314.96723845502856</x:v>
      </x:c>
      <x:c r="AP43" s="9" t="n">
        <x:f>ABS(AN43)</x:f>
        <x:v>47.29237814640069</x:v>
      </x:c>
      <x:c r="AQ43" s="9" t="n">
        <x:f>IF(OR(Inputs!$C$27=TRUE,Inputs!$C$27="TRUE",Inputs!$C$27=1),Inputs!$C$46/Inputs!$C$12,0)</x:f>
        <x:v>42.13483146067416</x:v>
      </x:c>
      <x:c r="AR43" s="9" t="n">
        <x:f>AC43-AQ43</x:f>
        <x:v>1740.4684294804551</x:v>
      </x:c>
      <x:c r="AS43" s="9" t="n">
        <x:f>AC43+AQ43</x:f>
        <x:v>1824.7380924018034</x:v>
      </x:c>
    </x:row>
    <x:row r="44">
      <x:c r="A44" s="9" t="n">
        <x:f>Inputs!$C$7+42*(Inputs!$C$8-Inputs!$C$7)/240</x:f>
        <x:v>-39</x:v>
      </x:c>
      <x:c r="B44" s="9" t="n">
        <x:f>Inputs!$C$5+Inputs!$C$9*(A44/Inputs!$C$10)^2</x:f>
        <x:v>401.69</x:v>
      </x:c>
      <x:c r="C44" s="9" t="n">
        <x:f>B44</x:f>
        <x:v>401.69</x:v>
      </x:c>
      <x:c r="D44" s="9" t="n">
        <x:f>SQRT((Inputs!$C$52+B44)^2+Inputs!$C$52^2-2*(Inputs!$C$52+B44)*Inputs!$C$52*COS(SQRT(A44^2+Inputs!$C$6^2)/Inputs!$C$52))</x:f>
        <x:v>405.03451215689654</x:v>
      </x:c>
      <x:c r="E44" s="9" t="n">
        <x:f>(D44-C44)*1000</x:f>
        <x:v>3344.512156896542</x:v>
      </x:c>
      <x:c r="F44" s="9" t="n">
        <x:f>E44/Inputs!$C$12</x:f>
        <x:v>1878.9394139868214</x:v>
      </x:c>
      <x:c r="G44" s="9" t="n">
        <x:f>2*E44/Inputs!$C$21*1000000</x:f>
        <x:v>22.3121834298883</x:v>
      </x:c>
      <x:c r="H44" s="9" t="n">
        <x:f>SQRT(A44^2+Inputs!$C$6^2)</x:f>
        <x:v>46.32493928760188</x:v>
      </x:c>
      <x:c r="I44" s="9" t="n">
        <x:f>DEGREES(ATAN(H44/B44))</x:f>
        <x:v>6.57857943618696</x:v>
      </x:c>
      <x:c r="J44" s="9" t="n">
        <x:f>DEGREES((2*PI()/Inputs!$C$13)*Inputs!$C$15*SIN(RADIANS(I44)))</x:f>
        <x:v>41.2436738723648</x:v>
      </x:c>
      <x:c r="K44" s="9" t="n">
        <x:f>(C44/D44)^4</x:f>
        <x:v>0.9673774514298505</x:v>
      </x:c>
      <x:c r="L44" s="9" t="n">
        <x:f>10*LOG10(K44)</x:f>
        <x:v>-0.144040397858093</x:v>
      </x:c>
      <x:c r="M44" s="9" t="n">
        <x:f>2*(Inputs!$C$9/(Inputs!$C$10^2))*A44</x:f>
        <x:v>-0.08666666666666667</x:v>
      </x:c>
      <x:c r="N44" s="9" t="n">
        <x:f>M44*Inputs!$C$11</x:f>
        <x:v>-0.3466666666666667</x:v>
      </x:c>
      <x:c r="O44" s="9" t="n">
        <x:f>1000*(D45-D43)/(A45-A43)*Inputs!$C$11</x:f>
        <x:v>-828.5962016493613</x:v>
      </x:c>
      <x:c r="P44" s="9" t="n">
        <x:f>-2*O44/Inputs!$C$13</x:f>
        <x:v>331.4384806597445</x:v>
      </x:c>
      <x:c r="Q44" s="9" t="n">
        <x:f>-2*O44/Inputs!$C$14</x:f>
        <x:v>49.76553763659828</x:v>
      </x:c>
      <x:c r="R44" s="9" t="n">
        <x:f>F44-Inputs!$C$16/2</x:f>
        <x:v>1863.9394139868214</x:v>
      </x:c>
      <x:c r="S44" s="9" t="n">
        <x:f>F44+Inputs!$C$16/2</x:f>
        <x:v>1893.9394139868214</x:v>
      </x:c>
      <x:c r="T44" s="9" t="n">
        <x:f>F44-Inputs!$C$17/2</x:f>
        <x:v>1728.9394139868214</x:v>
      </x:c>
      <x:c r="U44" s="9" t="n">
        <x:f>F44+Inputs!$C$17/2</x:f>
        <x:v>2028.9394139868214</x:v>
      </x:c>
      <x:c r="V44" s="9" t="n">
        <x:f>ABS(P44)</x:f>
        <x:v>331.4384806597445</x:v>
      </x:c>
      <x:c r="W44" s="9" t="n">
        <x:f>ABS(Q44)</x:f>
        <x:v>49.76553763659828</x:v>
      </x:c>
      <x:c r="X44" s="9"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x:f>
        <x:v>-32.02020136507765</x:v>
      </x:c>
      <x:c r="Y44" s="9"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x:f>
        <x:v>184.54420924136062</x:v>
      </x:c>
      <x:c r="Z44" s="9" t="n">
        <x:f>B44-X44/1000</x:f>
        <x:v>401.72202020136507</x:v>
      </x:c>
      <x:c r="AA44" s="9" t="n">
        <x:f>SQRT((Inputs!$C$52+B44)^2+(Inputs!$C$52+Y44/1000)^2-2*(Inputs!$C$52+B44)*(Inputs!$C$52+Y44/1000)*COS(SQRT(A44^2+Inputs!$C$6^2)/Inputs!$C$52))</x:f>
        <x:v>404.85188647576933</x:v>
      </x:c>
      <x:c r="AB44" s="9" t="n">
        <x:f>(AA44-Z44)*1000</x:f>
        <x:v>3129.8662744042645</x:v>
      </x:c>
      <x:c r="AC44" s="9" t="n">
        <x:f>AB44/Inputs!$C$12</x:f>
        <x:v>1758.3518395529575</x:v>
      </x:c>
      <x:c r="AD44" s="9" t="n">
        <x:f>2*AB44/Inputs!$C$21*1000000</x:f>
        <x:v>20.88022023825739</x:v>
      </x:c>
      <x:c r="AE44" s="9" t="n">
        <x:f>DEGREES(ATAN(H44/(B44-Y44/1000)))</x:f>
        <x:v>6.58157663002577</x:v>
      </x:c>
      <x:c r="AF44" s="9" t="n">
        <x:f>DEGREES((2*PI()/Inputs!$C$13)*Inputs!$C$15*SIN(RADIANS(AE44)))</x:f>
        <x:v>41.26238174454699</x:v>
      </x:c>
      <x:c r="AG44" s="9" t="n">
        <x:f>(Z44/AA44)^4</x:f>
        <x:v>0.9694331869010206</x:v>
      </x:c>
      <x:c r="AH44" s="9" t="n">
        <x:f>10*LOG10(AG44)</x:f>
        <x:v>-0.134821170237387</x:v>
      </x:c>
      <x:c r="AI44" s="9" t="n">
        <x:f>AC44-F44</x:f>
        <x:v>-120.58757443386389</x:v>
      </x:c>
      <x:c r="AJ44" s="9" t="n">
        <x:f>AD44-G44</x:f>
        <x:v>-1.43196319163091</x:v>
      </x:c>
      <x:c r="AK44" s="9" t="n">
        <x:f>Y44-X44</x:f>
        <x:v>216.56441060643826</x:v>
      </x:c>
      <x:c r="AL44" s="9" t="n">
        <x:f>1000*(AA45-AA43)/(A45-A43)*Inputs!$C$11</x:f>
        <x:v>-871.0683408874047</x:v>
      </x:c>
      <x:c r="AM44" s="9" t="n">
        <x:f>-2*AL44/Inputs!$C$13</x:f>
        <x:v>348.4273363549619</x:v>
      </x:c>
      <x:c r="AN44" s="9" t="n">
        <x:f>-2*AL44/Inputs!$C$14</x:f>
        <x:v>52.3164168701144</x:v>
      </x:c>
      <x:c r="AO44" s="9" t="n">
        <x:f>ABS(AM44)</x:f>
        <x:v>348.4273363549619</x:v>
      </x:c>
      <x:c r="AP44" s="9" t="n">
        <x:f>ABS(AN44)</x:f>
        <x:v>52.3164168701144</x:v>
      </x:c>
      <x:c r="AQ44" s="9" t="n">
        <x:f>IF(OR(Inputs!$C$27=TRUE,Inputs!$C$27="TRUE",Inputs!$C$27=1),Inputs!$C$46/Inputs!$C$12,0)</x:f>
        <x:v>42.13483146067416</x:v>
      </x:c>
      <x:c r="AR44" s="9" t="n">
        <x:f>AC44-AQ44</x:f>
        <x:v>1716.2170080922833</x:v>
      </x:c>
      <x:c r="AS44" s="9" t="n">
        <x:f>AC44+AQ44</x:f>
        <x:v>1800.4866710136316</x:v>
      </x:c>
    </x:row>
    <x:row r="45">
      <x:c r="A45" s="9" t="n">
        <x:f>Inputs!$C$7+43*(Inputs!$C$8-Inputs!$C$7)/240</x:f>
        <x:v>-38.5</x:v>
      </x:c>
      <x:c r="B45" s="9" t="n">
        <x:f>Inputs!$C$5+Inputs!$C$9*(A45/Inputs!$C$10)^2</x:f>
        <x:v>401.64694444444444</x:v>
      </x:c>
      <x:c r="C45" s="9" t="n">
        <x:f>B45</x:f>
        <x:v>401.64694444444444</x:v>
      </x:c>
      <x:c r="D45" s="9" t="n">
        <x:f>SQRT((Inputs!$C$52+B45)^2+Inputs!$C$52^2-2*(Inputs!$C$52+B45)*Inputs!$C$52*COS(SQRT(A45^2+Inputs!$C$6^2)/Inputs!$C$52))</x:f>
        <x:v>404.9315919021753</x:v>
      </x:c>
      <x:c r="E45" s="9" t="n">
        <x:f>(D45-C45)*1000</x:f>
        <x:v>3284.6474577308413</x:v>
      </x:c>
      <x:c r="F45" s="9" t="n">
        <x:f>E45/Inputs!$C$12</x:f>
        <x:v>1845.3075605229446</x:v>
      </x:c>
      <x:c r="G45" s="9" t="n">
        <x:f>2*E45/Inputs!$C$21*1000000</x:f>
        <x:v>21.91280914565797</x:v>
      </x:c>
      <x:c r="H45" s="9" t="n">
        <x:f>SQRT(A45^2+Inputs!$C$6^2)</x:f>
        <x:v>45.90479277809671</x:v>
      </x:c>
      <x:c r="I45" s="9" t="n">
        <x:f>DEGREES(ATAN(H45/B45))</x:f>
        <x:v>6.520123486642501</x:v>
      </x:c>
      <x:c r="J45" s="9" t="n">
        <x:f>DEGREES((2*PI()/Inputs!$C$13)*Inputs!$C$15*SIN(RADIANS(I45)))</x:f>
        <x:v>40.87878126391779</x:v>
      </x:c>
      <x:c r="K45" s="9" t="n">
        <x:f>(C45/D45)^4</x:f>
        <x:v>0.9679462157476372</x:v>
      </x:c>
      <x:c r="L45" s="9" t="n">
        <x:f>10*LOG10(K45)</x:f>
        <x:v>-0.141487737380481</x:v>
      </x:c>
      <x:c r="M45" s="9" t="n">
        <x:f>2*(Inputs!$C$9/(Inputs!$C$10^2))*A45</x:f>
        <x:v>-0.08555555555555555</x:v>
      </x:c>
      <x:c r="N45" s="9" t="n">
        <x:f>M45*Inputs!$C$11</x:f>
        <x:v>-0.3422222222222222</x:v>
      </x:c>
      <x:c r="O45" s="9" t="n">
        <x:f>1000*(D46-D44)/(A46-A44)*Inputs!$C$11</x:f>
        <x:v>-818.1249749061408</x:v>
      </x:c>
      <x:c r="P45" s="9" t="n">
        <x:f>-2*O45/Inputs!$C$13</x:f>
        <x:v>327.2499899624563</x:v>
      </x:c>
      <x:c r="Q45" s="9" t="n">
        <x:f>-2*O45/Inputs!$C$14</x:f>
        <x:v>49.13663512949795</x:v>
      </x:c>
      <x:c r="R45" s="9" t="n">
        <x:f>F45-Inputs!$C$16/2</x:f>
        <x:v>1830.3075605229446</x:v>
      </x:c>
      <x:c r="S45" s="9" t="n">
        <x:f>F45+Inputs!$C$16/2</x:f>
        <x:v>1860.3075605229446</x:v>
      </x:c>
      <x:c r="T45" s="9" t="n">
        <x:f>F45-Inputs!$C$17/2</x:f>
        <x:v>1695.3075605229446</x:v>
      </x:c>
      <x:c r="U45" s="9" t="n">
        <x:f>F45+Inputs!$C$17/2</x:f>
        <x:v>1995.3075605229446</x:v>
      </x:c>
      <x:c r="V45" s="9" t="n">
        <x:f>ABS(P45)</x:f>
        <x:v>327.2499899624563</x:v>
      </x:c>
      <x:c r="W45" s="9" t="n">
        <x:f>ABS(Q45)</x:f>
        <x:v>49.13663512949795</x:v>
      </x:c>
      <x:c r="X45" s="9"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x:f>
        <x:v>-34.295384147954024</x:v>
      </x:c>
      <x:c r="Y45" s="9"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x:f>
        <x:v>211.63430992610967</x:v>
      </x:c>
      <x:c r="Z45" s="9" t="n">
        <x:f>B45-X45/1000</x:f>
        <x:v>401.6812398285924</x:v>
      </x:c>
      <x:c r="AA45" s="9" t="n">
        <x:f>SQRT((Inputs!$C$52+B45)^2+(Inputs!$C$52+Y45/1000)^2-2*(Inputs!$C$52+B45)*(Inputs!$C$52+Y45/1000)*COS(SQRT(A45^2+Inputs!$C$6^2)/Inputs!$C$52))</x:f>
        <x:v>404.7221189816905</x:v>
      </x:c>
      <x:c r="AB45" s="9" t="n">
        <x:f>(AA45-Z45)*1000</x:f>
        <x:v>3040.8791530981034</x:v>
      </x:c>
      <x:c r="AC45" s="9" t="n">
        <x:f>AB45/Inputs!$C$12</x:f>
        <x:v>1708.3590747742153</x:v>
      </x:c>
      <x:c r="AD45" s="9" t="n">
        <x:f>2*AB45/Inputs!$C$21*1000000</x:f>
        <x:v>20.286562066201835</x:v>
      </x:c>
      <x:c r="AE45" s="9" t="n">
        <x:f>DEGREES(ATAN(H45/(B45-Y45/1000)))</x:f>
        <x:v>6.52353123486169</x:v>
      </x:c>
      <x:c r="AF45" s="9" t="n">
        <x:f>DEGREES((2*PI()/Inputs!$C$13)*Inputs!$C$15*SIN(RADIANS(AE45)))</x:f>
        <x:v>40.90005421622404</x:v>
      </x:c>
      <x:c r="AG45" s="9" t="n">
        <x:f>(Z45/AA45)^4</x:f>
        <x:v>0.970283027365408</x:v>
      </x:c>
      <x:c r="AH45" s="9" t="n">
        <x:f>10*LOG10(AG45)</x:f>
        <x:v>-0.131015654305906</x:v>
      </x:c>
      <x:c r="AI45" s="9" t="n">
        <x:f>AC45-F45</x:f>
        <x:v>-136.94848574872935</x:v>
      </x:c>
      <x:c r="AJ45" s="9" t="n">
        <x:f>AD45-G45</x:f>
        <x:v>-1.6262470794561352</x:v>
      </x:c>
      <x:c r="AK45" s="9" t="n">
        <x:f>Y45-X45</x:f>
        <x:v>245.9296940740637</x:v>
      </x:c>
      <x:c r="AL45" s="9" t="n">
        <x:f>1000*(AA46-AA44)/(A46-A44)*Inputs!$C$11</x:f>
        <x:v>-891.225948138981</x:v>
      </x:c>
      <x:c r="AM45" s="9" t="n">
        <x:f>-2*AL45/Inputs!$C$13</x:f>
        <x:v>356.4903792555924</x:v>
      </x:c>
      <x:c r="AN45" s="9" t="n">
        <x:f>-2*AL45/Inputs!$C$14</x:f>
        <x:v>53.527083972311175</x:v>
      </x:c>
      <x:c r="AO45" s="9" t="n">
        <x:f>ABS(AM45)</x:f>
        <x:v>356.4903792555924</x:v>
      </x:c>
      <x:c r="AP45" s="9" t="n">
        <x:f>ABS(AN45)</x:f>
        <x:v>53.527083972311175</x:v>
      </x:c>
      <x:c r="AQ45" s="9" t="n">
        <x:f>IF(OR(Inputs!$C$27=TRUE,Inputs!$C$27="TRUE",Inputs!$C$27=1),Inputs!$C$46/Inputs!$C$12,0)</x:f>
        <x:v>42.13483146067416</x:v>
      </x:c>
      <x:c r="AR45" s="9" t="n">
        <x:f>AC45-AQ45</x:f>
        <x:v>1666.2242433135411</x:v>
      </x:c>
      <x:c r="AS45" s="9" t="n">
        <x:f>AC45+AQ45</x:f>
        <x:v>1750.4939062348894</x:v>
      </x:c>
    </x:row>
    <x:row r="46">
      <x:c r="A46" s="9" t="n">
        <x:f>Inputs!$C$7+44*(Inputs!$C$8-Inputs!$C$7)/240</x:f>
        <x:v>-38</x:v>
      </x:c>
      <x:c r="B46" s="9" t="n">
        <x:f>Inputs!$C$5+Inputs!$C$9*(A46/Inputs!$C$10)^2</x:f>
        <x:v>401.6044444444444</x:v>
      </x:c>
      <x:c r="C46" s="9" t="n">
        <x:f>B46</x:f>
        <x:v>401.6044444444444</x:v>
      </x:c>
      <x:c r="D46" s="9" t="n">
        <x:f>SQRT((Inputs!$C$52+B46)^2+Inputs!$C$52^2-2*(Inputs!$C$52+B46)*Inputs!$C$52*COS(SQRT(A46^2+Inputs!$C$6^2)/Inputs!$C$52))</x:f>
        <x:v>404.82998091317</x:v>
      </x:c>
      <x:c r="E46" s="9" t="n">
        <x:f>(D46-C46)*1000</x:f>
        <x:v>3225.536468725579</x:v>
      </x:c>
      <x:c r="F46" s="9" t="n">
        <x:f>E46/Inputs!$C$12</x:f>
        <x:v>1812.0991397334715</x:v>
      </x:c>
      <x:c r="G46" s="9" t="n">
        <x:f>2*E46/Inputs!$C$21*1000000</x:f>
        <x:v>21.518463074381806</x:v>
      </x:c>
      <x:c r="H46" s="9" t="n">
        <x:f>SQRT(A46^2+Inputs!$C$6^2)</x:f>
        <x:v>45.48626166217664</x:v>
      </x:c>
      <x:c r="I46" s="9" t="n">
        <x:f>DEGREES(ATAN(H46/B46))</x:f>
        <x:v>6.4618600446971834</x:v>
      </x:c>
      <x:c r="J46" s="9" t="n">
        <x:f>DEGREES((2*PI()/Inputs!$C$13)*Inputs!$C$15*SIN(RADIANS(I46)))</x:f>
        <x:v>40.51504798123695</x:v>
      </x:c>
      <x:c r="K46" s="9" t="n">
        <x:f>(C46/D46)^4</x:f>
        <x:v>0.9685083502199494</x:v>
      </x:c>
      <x:c r="L46" s="9" t="n">
        <x:f>10*LOG10(K46)</x:f>
        <x:v>-0.138966305578663</x:v>
      </x:c>
      <x:c r="M46" s="9" t="n">
        <x:f>2*(Inputs!$C$9/(Inputs!$C$10^2))*A46</x:f>
        <x:v>-0.08444444444444445</x:v>
      </x:c>
      <x:c r="N46" s="9" t="n">
        <x:f>M46*Inputs!$C$11</x:f>
        <x:v>-0.3377777777777778</x:v>
      </x:c>
      <x:c r="O46" s="9" t="n">
        <x:f>1000*(D47-D45)/(A47-A45)*Inputs!$C$11</x:f>
        <x:v>-807.647983991501</x:v>
      </x:c>
      <x:c r="P46" s="9" t="n">
        <x:f>-2*O46/Inputs!$C$13</x:f>
        <x:v>323.0591935966004</x:v>
      </x:c>
      <x:c r="Q46" s="9" t="n">
        <x:f>-2*O46/Inputs!$C$14</x:f>
        <x:v>48.507386425915975</x:v>
      </x:c>
      <x:c r="R46" s="9" t="n">
        <x:f>F46-Inputs!$C$16/2</x:f>
        <x:v>1797.0991397334715</x:v>
      </x:c>
      <x:c r="S46" s="9" t="n">
        <x:f>F46+Inputs!$C$16/2</x:f>
        <x:v>1827.0991397334715</x:v>
      </x:c>
      <x:c r="T46" s="9" t="n">
        <x:f>F46-Inputs!$C$17/2</x:f>
        <x:v>1662.0991397334715</x:v>
      </x:c>
      <x:c r="U46" s="9" t="n">
        <x:f>F46+Inputs!$C$17/2</x:f>
        <x:v>1962.0991397334715</x:v>
      </x:c>
      <x:c r="V46" s="9" t="n">
        <x:f>ABS(P46)</x:f>
        <x:v>323.0591935966004</x:v>
      </x:c>
      <x:c r="W46" s="9" t="n">
        <x:f>ABS(Q46)</x:f>
        <x:v>48.507386425915975</x:v>
      </x:c>
      <x:c r="X46" s="9"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x:f>
        <x:v>-21.15737906152213</x:v>
      </x:c>
      <x:c r="Y46" s="9"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x:f>
        <x:v>202.93658014849487</x:v>
      </x:c>
      <x:c r="Z46" s="9" t="n">
        <x:f>B46-X46/1000</x:f>
        <x:v>401.625601823506</x:v>
      </x:c>
      <x:c r="AA46" s="9" t="n">
        <x:f>SQRT((Inputs!$C$52+B46)^2+(Inputs!$C$52+Y46/1000)^2-2*(Inputs!$C$52+B46)*(Inputs!$C$52+Y46/1000)*COS(SQRT(A46^2+Inputs!$C$6^2)/Inputs!$C$52))</x:f>
        <x:v>404.6290799887346</x:v>
      </x:c>
      <x:c r="AB46" s="9" t="n">
        <x:f>(AA46-Z46)*1000</x:f>
        <x:v>3003.478165228614</x:v>
      </x:c>
      <x:c r="AC46" s="9" t="n">
        <x:f>AB46/Inputs!$C$12</x:f>
        <x:v>1687.3472838363</x:v>
      </x:c>
      <x:c r="AD46" s="9" t="n">
        <x:f>2*AB46/Inputs!$C$21*1000000</x:f>
        <x:v>20.037049532637774</x:v>
      </x:c>
      <x:c r="AE46" s="9" t="n">
        <x:f>DEGREES(ATAN(H46/(B46-Y46/1000)))</x:f>
        <x:v>6.465099314836217</x:v>
      </x:c>
      <x:c r="AF46" s="9" t="n">
        <x:f>DEGREES((2*PI()/Inputs!$C$13)*Inputs!$C$15*SIN(RADIANS(AE46)))</x:f>
        <x:v>40.53527154864959</x:v>
      </x:c>
      <x:c r="AG46" s="9" t="n">
        <x:f>(Z46/AA46)^4</x:f>
        <x:v>0.9706377797119166</x:v>
      </x:c>
      <x:c r="AH46" s="9" t="n">
        <x:f>10*LOG10(AG46)</x:f>
        <x:v>-0.129428088366227</x:v>
      </x:c>
      <x:c r="AI46" s="9" t="n">
        <x:f>AC46-F46</x:f>
        <x:v>-124.75185589717148</x:v>
      </x:c>
      <x:c r="AJ46" s="9" t="n">
        <x:f>AD46-G46</x:f>
        <x:v>-1.4814135417440326</x:v>
      </x:c>
      <x:c r="AK46" s="9" t="n">
        <x:f>Y46-X46</x:f>
        <x:v>224.093959210017</x:v>
      </x:c>
      <x:c r="AL46" s="9" t="n">
        <x:f>1000*(AA47-AA45)/(A47-A45)*Inputs!$C$11</x:f>
        <x:v>-917.0785520777827</x:v>
      </x:c>
      <x:c r="AM46" s="9" t="n">
        <x:f>-2*AL46/Inputs!$C$13</x:f>
        <x:v>366.83142083111306</x:v>
      </x:c>
      <x:c r="AN46" s="9" t="n">
        <x:f>-2*AL46/Inputs!$C$14</x:f>
        <x:v>55.07979291758455</x:v>
      </x:c>
      <x:c r="AO46" s="9" t="n">
        <x:f>ABS(AM46)</x:f>
        <x:v>366.83142083111306</x:v>
      </x:c>
      <x:c r="AP46" s="9" t="n">
        <x:f>ABS(AN46)</x:f>
        <x:v>55.07979291758455</x:v>
      </x:c>
      <x:c r="AQ46" s="9" t="n">
        <x:f>IF(OR(Inputs!$C$27=TRUE,Inputs!$C$27="TRUE",Inputs!$C$27=1),Inputs!$C$46/Inputs!$C$12,0)</x:f>
        <x:v>42.13483146067416</x:v>
      </x:c>
      <x:c r="AR46" s="9" t="n">
        <x:f>AC46-AQ46</x:f>
        <x:v>1645.2124523756258</x:v>
      </x:c>
      <x:c r="AS46" s="9" t="n">
        <x:f>AC46+AQ46</x:f>
        <x:v>1729.4821152969741</x:v>
      </x:c>
    </x:row>
    <x:row r="47">
      <x:c r="A47" s="9" t="n">
        <x:f>Inputs!$C$7+45*(Inputs!$C$8-Inputs!$C$7)/240</x:f>
        <x:v>-37.5</x:v>
      </x:c>
      <x:c r="B47" s="9" t="n">
        <x:f>Inputs!$C$5+Inputs!$C$9*(A47/Inputs!$C$10)^2</x:f>
        <x:v>401.5625</x:v>
      </x:c>
      <x:c r="C47" s="9" t="n">
        <x:f>B47</x:f>
        <x:v>401.5625</x:v>
      </x:c>
      <x:c r="D47" s="9" t="n">
        <x:f>SQRT((Inputs!$C$52+B47)^2+Inputs!$C$52^2-2*(Inputs!$C$52+B47)*Inputs!$C$52*COS(SQRT(A47^2+Inputs!$C$6^2)/Inputs!$C$52))</x:f>
        <x:v>404.7296799061774</x:v>
      </x:c>
      <x:c r="E47" s="9" t="n">
        <x:f>(D47-C47)*1000</x:f>
        <x:v>3167.1799061774095</x:v>
      </x:c>
      <x:c r="F47" s="9" t="n">
        <x:f>E47/Inputs!$C$12</x:f>
        <x:v>1779.3145540322525</x:v>
      </x:c>
      <x:c r="G47" s="9" t="n">
        <x:f>2*E47/Inputs!$C$21*1000000</x:f>
        <x:v>21.129149994676713</x:v>
      </x:c>
      <x:c r="H47" s="9" t="n">
        <x:f>SQRT(A47^2+Inputs!$C$6^2)</x:f>
        <x:v>45.069390943299865</x:v>
      </x:c>
      <x:c r="I47" s="9" t="n">
        <x:f>DEGREES(ATAN(H47/B47))</x:f>
        <x:v>6.403796017933305</x:v>
      </x:c>
      <x:c r="J47" s="9" t="n">
        <x:f>DEGREES((2*PI()/Inputs!$C$13)*Inputs!$C$15*SIN(RADIANS(I47)))</x:f>
        <x:v>40.15251794840797</x:v>
      </x:c>
      <x:c r="K47" s="9" t="n">
        <x:f>(C47/D47)^4</x:f>
        <x:v>0.9690638284279562</x:v>
      </x:c>
      <x:c r="L47" s="9" t="n">
        <x:f>10*LOG10(K47)</x:f>
        <x:v>-0.136476167354935</x:v>
      </x:c>
      <x:c r="M47" s="9" t="n">
        <x:f>2*(Inputs!$C$9/(Inputs!$C$10^2))*A47</x:f>
        <x:v>-0.08333333333333333</x:v>
      </x:c>
      <x:c r="N47" s="9" t="n">
        <x:f>M47*Inputs!$C$11</x:f>
        <x:v>-0.3333333333333333</x:v>
      </x:c>
      <x:c r="O47" s="9" t="n">
        <x:f>1000*(D48-D46)/(A48-A46)*Inputs!$C$11</x:f>
        <x:v>-797.165296622552</x:v>
      </x:c>
      <x:c r="P47" s="9" t="n">
        <x:f>-2*O47/Inputs!$C$13</x:f>
        <x:v>318.8661186490208</x:v>
      </x:c>
      <x:c r="Q47" s="9" t="n">
        <x:f>-2*O47/Inputs!$C$14</x:f>
        <x:v>47.87779559294607</x:v>
      </x:c>
      <x:c r="R47" s="9" t="n">
        <x:f>F47-Inputs!$C$16/2</x:f>
        <x:v>1764.3145540322525</x:v>
      </x:c>
      <x:c r="S47" s="9" t="n">
        <x:f>F47+Inputs!$C$16/2</x:f>
        <x:v>1794.3145540322525</x:v>
      </x:c>
      <x:c r="T47" s="9" t="n">
        <x:f>F47-Inputs!$C$17/2</x:f>
        <x:v>1629.3145540322525</x:v>
      </x:c>
      <x:c r="U47" s="9" t="n">
        <x:f>F47+Inputs!$C$17/2</x:f>
        <x:v>1929.3145540322525</x:v>
      </x:c>
      <x:c r="V47" s="9" t="n">
        <x:f>ABS(P47)</x:f>
        <x:v>318.8661186490208</x:v>
      </x:c>
      <x:c r="W47" s="9" t="n">
        <x:f>ABS(Q47)</x:f>
        <x:v>47.87779559294607</x:v>
      </x:c>
      <x:c r="X47" s="9"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x:f>
        <x:v>-18.69341167436205</x:v>
      </x:c>
      <x:c r="Y47" s="9"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x:f>
        <x:v>239.1871485288169</x:v>
      </x:c>
      <x:c r="Z47" s="9" t="n">
        <x:f>B47-X47/1000</x:f>
        <x:v>401.58119341167435</x:v>
      </x:c>
      <x:c r="AA47" s="9" t="n">
        <x:f>SQRT((Inputs!$C$52+B47)^2+(Inputs!$C$52+Y47/1000)^2-2*(Inputs!$C$52+B47)*(Inputs!$C$52+Y47/1000)*COS(SQRT(A47^2+Inputs!$C$6^2)/Inputs!$C$52))</x:f>
        <x:v>404.4928493436711</x:v>
      </x:c>
      <x:c r="AB47" s="9" t="n">
        <x:f>(AA47-Z47)*1000</x:f>
        <x:v>2911.6559319967337</x:v>
      </x:c>
      <x:c r="AC47" s="9" t="n">
        <x:f>AB47/Inputs!$C$12</x:f>
        <x:v>1635.7617595487268</x:v>
      </x:c>
      <x:c r="AD47" s="9" t="n">
        <x:f>2*AB47/Inputs!$C$21*1000000</x:f>
        <x:v>19.424477529696453</x:v>
      </x:c>
      <x:c r="AE47" s="9" t="n">
        <x:f>DEGREES(ATAN(H47/(B47-Y47/1000)))</x:f>
        <x:v>6.4075809221470355</x:v>
      </x:c>
      <x:c r="AF47" s="9" t="n">
        <x:f>DEGREES((2*PI()/Inputs!$C$13)*Inputs!$C$15*SIN(RADIANS(AE47)))</x:f>
        <x:v>40.17615073294601</x:v>
      </x:c>
      <x:c r="AG47" s="9" t="n">
        <x:f>(Z47/AA47)^4</x:f>
        <x:v>0.971516251743991</x:v>
      </x:c>
      <x:c r="AH47" s="9" t="n">
        <x:f>10*LOG10(AG47)</x:f>
        <x:v>-0.125499300269346</x:v>
      </x:c>
      <x:c r="AI47" s="9" t="n">
        <x:f>AC47-F47</x:f>
        <x:v>-143.55279448352576</x:v>
      </x:c>
      <x:c r="AJ47" s="9" t="n">
        <x:f>AD47-G47</x:f>
        <x:v>-1.7046724649802592</x:v>
      </x:c>
      <x:c r="AK47" s="9" t="n">
        <x:f>Y47-X47</x:f>
        <x:v>257.88056020317896</x:v>
      </x:c>
      <x:c r="AL47" s="9" t="n">
        <x:f>1000*(AA48-AA46)/(A48-A46)*Inputs!$C$11</x:f>
        <x:v>-929.1757481644254</x:v>
      </x:c>
      <x:c r="AM47" s="9" t="n">
        <x:f>-2*AL47/Inputs!$C$13</x:f>
        <x:v>371.67029926577015</x:v>
      </x:c>
      <x:c r="AN47" s="9" t="n">
        <x:f>-2*AL47/Inputs!$C$14</x:f>
        <x:v>55.80635124110663</x:v>
      </x:c>
      <x:c r="AO47" s="9" t="n">
        <x:f>ABS(AM47)</x:f>
        <x:v>371.67029926577015</x:v>
      </x:c>
      <x:c r="AP47" s="9" t="n">
        <x:f>ABS(AN47)</x:f>
        <x:v>55.80635124110663</x:v>
      </x:c>
      <x:c r="AQ47" s="9" t="n">
        <x:f>IF(OR(Inputs!$C$27=TRUE,Inputs!$C$27="TRUE",Inputs!$C$27=1),Inputs!$C$46/Inputs!$C$12,0)</x:f>
        <x:v>42.13483146067416</x:v>
      </x:c>
      <x:c r="AR47" s="9" t="n">
        <x:f>AC47-AQ47</x:f>
        <x:v>1593.6269280880526</x:v>
      </x:c>
      <x:c r="AS47" s="9" t="n">
        <x:f>AC47+AQ47</x:f>
        <x:v>1677.896591009401</x:v>
      </x:c>
    </x:row>
    <x:row r="48">
      <x:c r="A48" s="9" t="n">
        <x:f>Inputs!$C$7+46*(Inputs!$C$8-Inputs!$C$7)/240</x:f>
        <x:v>-37</x:v>
      </x:c>
      <x:c r="B48" s="9" t="n">
        <x:f>Inputs!$C$5+Inputs!$C$9*(A48/Inputs!$C$10)^2</x:f>
        <x:v>401.5211111111111</x:v>
      </x:c>
      <x:c r="C48" s="9" t="n">
        <x:f>B48</x:f>
        <x:v>401.5211111111111</x:v>
      </x:c>
      <x:c r="D48" s="9" t="n">
        <x:f>SQRT((Inputs!$C$52+B48)^2+Inputs!$C$52^2-2*(Inputs!$C$52+B48)*Inputs!$C$52*COS(SQRT(A48^2+Inputs!$C$6^2)/Inputs!$C$52))</x:f>
        <x:v>404.63068958901437</x:v>
      </x:c>
      <x:c r="E48" s="9" t="n">
        <x:f>(D48-C48)*1000</x:f>
        <x:v>3109.5784779032556</x:v>
      </x:c>
      <x:c r="F48" s="9" t="n">
        <x:f>E48/Inputs!$C$12</x:f>
        <x:v>1746.9542010692446</x:v>
      </x:c>
      <x:c r="G48" s="9" t="n">
        <x:f>2*E48/Inputs!$C$21*1000000</x:f>
        <x:v>20.744874628588924</x:v>
      </x:c>
      <x:c r="H48" s="9" t="n">
        <x:f>SQRT(A48^2+Inputs!$C$6^2)</x:f>
        <x:v>44.654227123532216</x:v>
      </x:c>
      <x:c r="I48" s="9" t="n">
        <x:f>DEGREES(ATAN(H48/B48))</x:f>
        <x:v>6.345938529407371</x:v>
      </x:c>
      <x:c r="J48" s="9" t="n">
        <x:f>DEGREES((2*PI()/Inputs!$C$13)*Inputs!$C$15*SIN(RADIANS(I48)))</x:f>
        <x:v>39.791236445792514</x:v>
      </x:c>
      <x:c r="K48" s="9" t="n">
        <x:f>(C48/D48)^4</x:f>
        <x:v>0.9696126242218804</x:v>
      </x:c>
      <x:c r="L48" s="9" t="n">
        <x:f>10*LOG10(K48)</x:f>
        <x:v>-0.134017386870616</x:v>
      </x:c>
      <x:c r="M48" s="9" t="n">
        <x:f>2*(Inputs!$C$9/(Inputs!$C$10^2))*A48</x:f>
        <x:v>-0.08222222222222222</x:v>
      </x:c>
      <x:c r="N48" s="9" t="n">
        <x:f>M48*Inputs!$C$11</x:f>
        <x:v>-0.3288888888888889</x:v>
      </x:c>
      <x:c r="O48" s="9" t="n">
        <x:f>1000*(D49-D47)/(A49-A47)*Inputs!$C$11</x:f>
        <x:v>-786.6769807858418</x:v>
      </x:c>
      <x:c r="P48" s="9" t="n">
        <x:f>-2*O48/Inputs!$C$13</x:f>
        <x:v>314.6707923143367</x:v>
      </x:c>
      <x:c r="Q48" s="9" t="n">
        <x:f>-2*O48/Inputs!$C$14</x:f>
        <x:v>47.247866713864376</x:v>
      </x:c>
      <x:c r="R48" s="9" t="n">
        <x:f>F48-Inputs!$C$16/2</x:f>
        <x:v>1731.9542010692446</x:v>
      </x:c>
      <x:c r="S48" s="9" t="n">
        <x:f>F48+Inputs!$C$16/2</x:f>
        <x:v>1761.9542010692446</x:v>
      </x:c>
      <x:c r="T48" s="9" t="n">
        <x:f>F48-Inputs!$C$17/2</x:f>
        <x:v>1596.9542010692446</x:v>
      </x:c>
      <x:c r="U48" s="9" t="n">
        <x:f>F48+Inputs!$C$17/2</x:f>
        <x:v>1896.9542010692446</x:v>
      </x:c>
      <x:c r="V48" s="9" t="n">
        <x:f>ABS(P48)</x:f>
        <x:v>314.6707923143367</x:v>
      </x:c>
      <x:c r="W48" s="9" t="n">
        <x:f>ABS(Q48)</x:f>
        <x:v>47.247866713864376</x:v>
      </x:c>
      <x:c r="X48" s="9"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x:f>
        <x:v>-25.83766278531854</x:v>
      </x:c>
      <x:c r="Y48" s="9"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x:f>
        <x:v>236.18872035541293</x:v>
      </x:c>
      <x:c r="Z48" s="9" t="n">
        <x:f>B48-X48/1000</x:f>
        <x:v>401.5469487738964</x:v>
      </x:c>
      <x:c r="AA48" s="9" t="n">
        <x:f>SQRT((Inputs!$C$52+B48)^2+(Inputs!$C$52+Y48/1000)^2-2*(Inputs!$C$52+B48)*(Inputs!$C$52+Y48/1000)*COS(SQRT(A48^2+Inputs!$C$6^2)/Inputs!$C$52))</x:f>
        <x:v>404.3967860516935</x:v>
      </x:c>
      <x:c r="AB48" s="9" t="n">
        <x:f>(AA48-Z48)*1000</x:f>
        <x:v>2849.8372777970644</x:v>
      </x:c>
      <x:c r="AC48" s="9" t="n">
        <x:f>AB48/Inputs!$C$12</x:f>
        <x:v>1601.0321785376766</x:v>
      </x:c>
      <x:c r="AD48" s="9" t="n">
        <x:f>2*AB48/Inputs!$C$21*1000000</x:f>
        <x:v>19.01206786060685</x:v>
      </x:c>
      <x:c r="AE48" s="9" t="n">
        <x:f>DEGREES(ATAN(H48/(B48-Y48/1000)))</x:f>
        <x:v>6.349643130876043</x:v>
      </x:c>
      <x:c r="AF48" s="9" t="n">
        <x:f>DEGREES((2*PI()/Inputs!$C$13)*Inputs!$C$15*SIN(RADIANS(AE48)))</x:f>
        <x:v>39.81437043572354</x:v>
      </x:c>
      <x:c r="AG48" s="9" t="n">
        <x:f>(Z48/AA48)^4</x:f>
        <x:v>0.9721080494407672</x:v>
      </x:c>
      <x:c r="AH48" s="9" t="n">
        <x:f>10*LOG10(AG48)</x:f>
        <x:v>-0.12285460723995</x:v>
      </x:c>
      <x:c r="AI48" s="9" t="n">
        <x:f>AC48-F48</x:f>
        <x:v>-145.92202253156802</x:v>
      </x:c>
      <x:c r="AJ48" s="9" t="n">
        <x:f>AD48-G48</x:f>
        <x:v>-1.7328067679820727</x:v>
      </x:c>
      <x:c r="AK48" s="9" t="n">
        <x:f>Y48-X48</x:f>
        <x:v>262.02638314073147</x:v>
      </x:c>
      <x:c r="AL48" s="9" t="n">
        <x:f>1000*(AA49-AA47)/(A49-A47)*Inputs!$C$11</x:f>
        <x:v>-888.7034780136673</x:v>
      </x:c>
      <x:c r="AM48" s="9" t="n">
        <x:f>-2*AL48/Inputs!$C$13</x:f>
        <x:v>355.48139120546693</x:v>
      </x:c>
      <x:c r="AN48" s="9" t="n">
        <x:f>-2*AL48/Inputs!$C$14</x:f>
        <x:v>53.37558426508513</x:v>
      </x:c>
      <x:c r="AO48" s="9" t="n">
        <x:f>ABS(AM48)</x:f>
        <x:v>355.48139120546693</x:v>
      </x:c>
      <x:c r="AP48" s="9" t="n">
        <x:f>ABS(AN48)</x:f>
        <x:v>53.37558426508513</x:v>
      </x:c>
      <x:c r="AQ48" s="9" t="n">
        <x:f>IF(OR(Inputs!$C$27=TRUE,Inputs!$C$27="TRUE",Inputs!$C$27=1),Inputs!$C$46/Inputs!$C$12,0)</x:f>
        <x:v>42.13483146067416</x:v>
      </x:c>
      <x:c r="AR48" s="9" t="n">
        <x:f>AC48-AQ48</x:f>
        <x:v>1558.8973470770025</x:v>
      </x:c>
      <x:c r="AS48" s="9" t="n">
        <x:f>AC48+AQ48</x:f>
        <x:v>1643.1670099983507</x:v>
      </x:c>
    </x:row>
    <x:row r="49">
      <x:c r="A49" s="9" t="n">
        <x:f>Inputs!$C$7+47*(Inputs!$C$8-Inputs!$C$7)/240</x:f>
        <x:v>-36.5</x:v>
      </x:c>
      <x:c r="B49" s="9" t="n">
        <x:f>Inputs!$C$5+Inputs!$C$9*(A49/Inputs!$C$10)^2</x:f>
        <x:v>401.48027777777776</x:v>
      </x:c>
      <x:c r="C49" s="9" t="n">
        <x:f>B49</x:f>
        <x:v>401.48027777777776</x:v>
      </x:c>
      <x:c r="D49" s="9" t="n">
        <x:f>SQRT((Inputs!$C$52+B49)^2+Inputs!$C$52^2-2*(Inputs!$C$52+B49)*Inputs!$C$52*COS(SQRT(A49^2+Inputs!$C$6^2)/Inputs!$C$52))</x:f>
        <x:v>404.53301066098095</x:v>
      </x:c>
      <x:c r="E49" s="9" t="n">
        <x:f>(D49-C49)*1000</x:f>
        <x:v>3052.7328832031912</x:v>
      </x:c>
      <x:c r="F49" s="9" t="n">
        <x:f>E49/Inputs!$C$12</x:f>
        <x:v>1715.0184737096579</x:v>
      </x:c>
      <x:c r="G49" s="9" t="n">
        <x:f>2*E49/Inputs!$C$21*1000000</x:f>
        <x:v>20.36564164134637</x:v>
      </x:c>
      <x:c r="H49" s="9" t="n">
        <x:f>SQRT(A49^2+Inputs!$C$6^2)</x:f>
        <x:v>44.24081825644729</x:v>
      </x:c>
      <x:c r="I49" s="9" t="n">
        <x:f>DEGREES(ATAN(H49/B49))</x:f>
        <x:v>6.288294925190011</x:v>
      </x:c>
      <x:c r="J49" s="9" t="n">
        <x:f>DEGREES((2*PI()/Inputs!$C$13)*Inputs!$C$15*SIN(RADIANS(I49)))</x:f>
        <x:v>39.43125015731848</x:v>
      </x:c>
      <x:c r="K49" s="9" t="n">
        <x:f>(C49/D49)^4</x:f>
        <x:v>0.9701547117238182</x:v>
      </x:c>
      <x:c r="L49" s="9" t="n">
        <x:f>10*LOG10(K49)</x:f>
        <x:v>-0.131590027541831</x:v>
      </x:c>
      <x:c r="M49" s="9" t="n">
        <x:f>2*(Inputs!$C$9/(Inputs!$C$10^2))*A49</x:f>
        <x:v>-0.0811111111111111</x:v>
      </x:c>
      <x:c r="N49" s="9" t="n">
        <x:f>M49*Inputs!$C$11</x:f>
        <x:v>-0.3244444444444444</x:v>
      </x:c>
      <x:c r="O49" s="9" t="n">
        <x:f>1000*(D50-D48)/(A50-A48)*Inputs!$C$11</x:f>
        <x:v>-776.1831047143914</x:v>
      </x:c>
      <x:c r="P49" s="9" t="n">
        <x:f>-2*O49/Inputs!$C$13</x:f>
        <x:v>310.4732418857566</x:v>
      </x:c>
      <x:c r="Q49" s="9" t="n">
        <x:f>-2*O49/Inputs!$C$14</x:f>
        <x:v>46.61760388675024</x:v>
      </x:c>
      <x:c r="R49" s="9" t="n">
        <x:f>F49-Inputs!$C$16/2</x:f>
        <x:v>1700.0184737096579</x:v>
      </x:c>
      <x:c r="S49" s="9" t="n">
        <x:f>F49+Inputs!$C$16/2</x:f>
        <x:v>1730.0184737096579</x:v>
      </x:c>
      <x:c r="T49" s="9" t="n">
        <x:f>F49-Inputs!$C$17/2</x:f>
        <x:v>1565.0184737096579</x:v>
      </x:c>
      <x:c r="U49" s="9" t="n">
        <x:f>F49+Inputs!$C$17/2</x:f>
        <x:v>1865.0184737096579</x:v>
      </x:c>
      <x:c r="V49" s="9" t="n">
        <x:f>ABS(P49)</x:f>
        <x:v>310.4732418857566</x:v>
      </x:c>
      <x:c r="W49" s="9" t="n">
        <x:f>ABS(Q49)</x:f>
        <x:v>46.61760388675024</x:v>
      </x:c>
      <x:c r="X49" s="9"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x:f>
        <x:v>-21.548035323184823</x:v>
      </x:c>
      <x:c r="Y49" s="9"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x:f>
        <x:v>264.8535608975177</x:v>
      </x:c>
      <x:c r="Z49" s="9" t="n">
        <x:f>B49-X49/1000</x:f>
        <x:v>401.50182581310094</x:v>
      </x:c>
      <x:c r="AA49" s="9" t="n">
        <x:f>SQRT((Inputs!$C$52+B49)^2+(Inputs!$C$52+Y49/1000)^2-2*(Inputs!$C$52+B49)*(Inputs!$C$52+Y49/1000)*COS(SQRT(A49^2+Inputs!$C$6^2)/Inputs!$C$52))</x:f>
        <x:v>404.27067347416767</x:v>
      </x:c>
      <x:c r="AB49" s="9" t="n">
        <x:f>(AA49-Z49)*1000</x:f>
        <x:v>2768.8476610667294</x:v>
      </x:c>
      <x:c r="AC49" s="9" t="n">
        <x:f>AB49/Inputs!$C$12</x:f>
        <x:v>1555.532393857713</x:v>
      </x:c>
      <x:c r="AD49" s="9" t="n">
        <x:f>2*AB49/Inputs!$C$21*1000000</x:f>
        <x:v>18.471763296104864</x:v>
      </x:c>
      <x:c r="AE49" s="9" t="n">
        <x:f>DEGREES(ATAN(H49/(B49-Y49/1000)))</x:f>
        <x:v>6.292412718507503</x:v>
      </x:c>
      <x:c r="AF49" s="9" t="n">
        <x:f>DEGREES((2*PI()/Inputs!$C$13)*Inputs!$C$15*SIN(RADIANS(AE49)))</x:f>
        <x:v>39.4569672460649</x:v>
      </x:c>
      <x:c r="AG49" s="9" t="n">
        <x:f>(Z49/AA49)^4</x:f>
        <x:v>0.9728841910375656</x:v>
      </x:c>
      <x:c r="AH49" s="9" t="n">
        <x:f>10*LOG10(AG49)</x:f>
        <x:v>-0.119388536542682</x:v>
      </x:c>
      <x:c r="AI49" s="9" t="n">
        <x:f>AC49-F49</x:f>
        <x:v>-159.48607985194485</x:v>
      </x:c>
      <x:c r="AJ49" s="9" t="n">
        <x:f>AD49-G49</x:f>
        <x:v>-1.8938783452415073</x:v>
      </x:c>
      <x:c r="AK49" s="9" t="n">
        <x:f>Y49-X49</x:f>
        <x:v>286.4015962207025</x:v>
      </x:c>
      <x:c r="AL49" s="9" t="n">
        <x:f>1000*(AA50-AA48)/(A50-A48)*Inputs!$C$11</x:f>
        <x:v>-923.3574370564384</x:v>
      </x:c>
      <x:c r="AM49" s="9" t="n">
        <x:f>-2*AL49/Inputs!$C$13</x:f>
        <x:v>369.34297482257534</x:v>
      </x:c>
      <x:c r="AN49" s="9" t="n">
        <x:f>-2*AL49/Inputs!$C$14</x:f>
        <x:v>55.45690312651282</x:v>
      </x:c>
      <x:c r="AO49" s="9" t="n">
        <x:f>ABS(AM49)</x:f>
        <x:v>369.34297482257534</x:v>
      </x:c>
      <x:c r="AP49" s="9" t="n">
        <x:f>ABS(AN49)</x:f>
        <x:v>55.45690312651282</x:v>
      </x:c>
      <x:c r="AQ49" s="9" t="n">
        <x:f>IF(OR(Inputs!$C$27=TRUE,Inputs!$C$27="TRUE",Inputs!$C$27=1),Inputs!$C$46/Inputs!$C$12,0)</x:f>
        <x:v>42.13483146067416</x:v>
      </x:c>
      <x:c r="AR49" s="9" t="n">
        <x:f>AC49-AQ49</x:f>
        <x:v>1513.3975623970389</x:v>
      </x:c>
      <x:c r="AS49" s="9" t="n">
        <x:f>AC49+AQ49</x:f>
        <x:v>1597.6672253183872</x:v>
      </x:c>
    </x:row>
    <x:row r="50">
      <x:c r="A50" s="9" t="n">
        <x:f>Inputs!$C$7+48*(Inputs!$C$8-Inputs!$C$7)/240</x:f>
        <x:v>-36</x:v>
      </x:c>
      <x:c r="B50" s="9" t="n">
        <x:f>Inputs!$C$5+Inputs!$C$9*(A50/Inputs!$C$10)^2</x:f>
        <x:v>401.44</x:v>
      </x:c>
      <x:c r="C50" s="9" t="n">
        <x:f>B50</x:f>
        <x:v>401.44</x:v>
      </x:c>
      <x:c r="D50" s="9" t="n">
        <x:f>SQRT((Inputs!$C$52+B50)^2+Inputs!$C$52^2-2*(Inputs!$C$52+B50)*Inputs!$C$52*COS(SQRT(A50^2+Inputs!$C$6^2)/Inputs!$C$52))</x:f>
        <x:v>404.43664381283577</x:v>
      </x:c>
      <x:c r="E50" s="9" t="n">
        <x:f>(D50-C50)*1000</x:f>
        <x:v>2996.643812835771</x:v>
      </x:c>
      <x:c r="F50" s="9" t="n">
        <x:f>E50/Inputs!$C$12</x:f>
        <x:v>1683.507760020096</x:v>
      </x:c>
      <x:c r="G50" s="9" t="n">
        <x:f>2*E50/Inputs!$C$21*1000000</x:f>
        <x:v>19.99145564119409</x:v>
      </x:c>
      <x:c r="H50" s="9" t="n">
        <x:f>SQRT(A50^2+Inputs!$C$6^2)</x:f>
        <x:v>43.829214001622255</x:v>
      </x:c>
      <x:c r="I50" s="9" t="n">
        <x:f>DEGREES(ATAN(H50/B50))</x:f>
        <x:v>6.23087278213282</x:v>
      </x:c>
      <x:c r="J50" s="9" t="n">
        <x:f>DEGREES((2*PI()/Inputs!$C$13)*Inputs!$C$15*SIN(RADIANS(I50)))</x:f>
        <x:v>39.0726072191931</x:v>
      </x:c>
      <x:c r="K50" s="9" t="n">
        <x:f>(C50/D50)^4</x:f>
        <x:v>0.970690065330411</x:v>
      </x:c>
      <x:c r="L50" s="9" t="n">
        <x:f>10*LOG10(K50)</x:f>
        <x:v>-0.12919415203591</x:v>
      </x:c>
      <x:c r="M50" s="9" t="n">
        <x:f>2*(Inputs!$C$9/(Inputs!$C$10^2))*A50</x:f>
        <x:v>-0.08</x:v>
      </x:c>
      <x:c r="N50" s="9" t="n">
        <x:f>M50*Inputs!$C$11</x:f>
        <x:v>-0.32</x:v>
      </x:c>
      <x:c r="O50" s="9" t="n">
        <x:f>1000*(D51-D49)/(A51-A49)*Inputs!$C$11</x:f>
        <x:v>-765.6837369277127</x:v>
      </x:c>
      <x:c r="P50" s="9" t="n">
        <x:f>-2*O50/Inputs!$C$13</x:f>
        <x:v>306.2734947710851</x:v>
      </x:c>
      <x:c r="Q50" s="9" t="n">
        <x:f>-2*O50/Inputs!$C$14</x:f>
        <x:v>45.987011226889656</x:v>
      </x:c>
      <x:c r="R50" s="9" t="n">
        <x:f>F50-Inputs!$C$16/2</x:f>
        <x:v>1668.507760020096</x:v>
      </x:c>
      <x:c r="S50" s="9" t="n">
        <x:f>F50+Inputs!$C$16/2</x:f>
        <x:v>1698.507760020096</x:v>
      </x:c>
      <x:c r="T50" s="9" t="n">
        <x:f>F50-Inputs!$C$17/2</x:f>
        <x:v>1533.507760020096</x:v>
      </x:c>
      <x:c r="U50" s="9" t="n">
        <x:f>F50+Inputs!$C$17/2</x:f>
        <x:v>1833.507760020096</x:v>
      </x:c>
      <x:c r="V50" s="9" t="n">
        <x:f>ABS(P50)</x:f>
        <x:v>306.2734947710851</x:v>
      </x:c>
      <x:c r="W50" s="9" t="n">
        <x:f>ABS(Q50)</x:f>
        <x:v>45.987011226889656</x:v>
      </x:c>
      <x:c r="X50" s="9"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x:f>
        <x:v>-2.286662206392558</x:v>
      </x:c>
      <x:c r="Y50" s="9"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x:f>
        <x:v>273.24610443212225</x:v>
      </x:c>
      <x:c r="Z50" s="9" t="n">
        <x:f>B50-X50/1000</x:f>
        <x:v>401.4422866622064</x:v>
      </x:c>
      <x:c r="AA50" s="9" t="n">
        <x:f>SQRT((Inputs!$C$52+B50)^2+(Inputs!$C$52+Y50/1000)^2-2*(Inputs!$C$52+B50)*(Inputs!$C$52+Y50/1000)*COS(SQRT(A50^2+Inputs!$C$6^2)/Inputs!$C$52))</x:f>
        <x:v>404.1659466924294</x:v>
      </x:c>
      <x:c r="AB50" s="9" t="n">
        <x:f>(AA50-Z50)*1000</x:f>
        <x:v>2723.660030222959</x:v>
      </x:c>
      <x:c r="AC50" s="9" t="n">
        <x:f>AB50/Inputs!$C$12</x:f>
        <x:v>1530.1460843949208</x:v>
      </x:c>
      <x:c r="AD50" s="9" t="n">
        <x:f>2*AB50/Inputs!$C$21*1000000</x:f>
        <x:v>18.170303872173857</x:v>
      </x:c>
      <x:c r="AE50" s="9" t="n">
        <x:f>DEGREES(ATAN(H50/(B50-Y50/1000)))</x:f>
        <x:v>6.235083391332473</x:v>
      </x:c>
      <x:c r="AF50" s="9" t="n">
        <x:f>DEGREES((2*PI()/Inputs!$C$13)*Inputs!$C$15*SIN(RADIANS(AE50)))</x:f>
        <x:v>39.098906865813106</x:v>
      </x:c>
      <x:c r="AG50" s="9" t="n">
        <x:f>(Z50/AA50)^4</x:f>
        <x:v>0.9733154011394762</x:v>
      </x:c>
      <x:c r="AH50" s="9" t="n">
        <x:f>10*LOG10(AG50)</x:f>
        <x:v>-0.11746404563622</x:v>
      </x:c>
      <x:c r="AI50" s="9" t="n">
        <x:f>AC50-F50</x:f>
        <x:v>-153.36167562517517</x:v>
      </x:c>
      <x:c r="AJ50" s="9" t="n">
        <x:f>AD50-G50</x:f>
        <x:v>-1.8211517690202328</x:v>
      </x:c>
      <x:c r="AK50" s="9" t="n">
        <x:f>Y50-X50</x:f>
        <x:v>275.53276663851483</x:v>
      </x:c>
      <x:c r="AL50" s="9" t="n">
        <x:f>1000*(AA51-AA49)/(A51-A49)*Inputs!$C$11</x:f>
        <x:v>-845.7061886808788</x:v>
      </x:c>
      <x:c r="AM50" s="9" t="n">
        <x:f>-2*AL50/Inputs!$C$13</x:f>
        <x:v>338.2824754723515</x:v>
      </x:c>
      <x:c r="AN50" s="9" t="n">
        <x:f>-2*AL50/Inputs!$C$14</x:f>
        <x:v>50.79316448533807</x:v>
      </x:c>
      <x:c r="AO50" s="9" t="n">
        <x:f>ABS(AM50)</x:f>
        <x:v>338.2824754723515</x:v>
      </x:c>
      <x:c r="AP50" s="9" t="n">
        <x:f>ABS(AN50)</x:f>
        <x:v>50.79316448533807</x:v>
      </x:c>
      <x:c r="AQ50" s="9" t="n">
        <x:f>IF(OR(Inputs!$C$27=TRUE,Inputs!$C$27="TRUE",Inputs!$C$27=1),Inputs!$C$46/Inputs!$C$12,0)</x:f>
        <x:v>42.13483146067416</x:v>
      </x:c>
      <x:c r="AR50" s="9" t="n">
        <x:f>AC50-AQ50</x:f>
        <x:v>1488.0112529342466</x:v>
      </x:c>
      <x:c r="AS50" s="9" t="n">
        <x:f>AC50+AQ50</x:f>
        <x:v>1572.280915855595</x:v>
      </x:c>
    </x:row>
    <x:row r="51">
      <x:c r="A51" s="9" t="n">
        <x:f>Inputs!$C$7+49*(Inputs!$C$8-Inputs!$C$7)/240</x:f>
        <x:v>-35.5</x:v>
      </x:c>
      <x:c r="B51" s="9" t="n">
        <x:f>Inputs!$C$5+Inputs!$C$9*(A51/Inputs!$C$10)^2</x:f>
        <x:v>401.4002777777778</x:v>
      </x:c>
      <x:c r="C51" s="9" t="n">
        <x:f>B51</x:f>
        <x:v>401.4002777777778</x:v>
      </x:c>
      <x:c r="D51" s="9" t="n">
        <x:f>SQRT((Inputs!$C$52+B51)^2+Inputs!$C$52^2-2*(Inputs!$C$52+B51)*Inputs!$C$52*COS(SQRT(A51^2+Inputs!$C$6^2)/Inputs!$C$52))</x:f>
        <x:v>404.341589726749</x:v>
      </x:c>
      <x:c r="E51" s="9" t="n">
        <x:f>(D51-C51)*1000</x:f>
        <x:v>2941.311948971247</x:v>
      </x:c>
      <x:c r="F51" s="9" t="n">
        <x:f>E51/Inputs!$C$12</x:f>
        <x:v>1652.4224432422736</x:v>
      </x:c>
      <x:c r="G51" s="9" t="n">
        <x:f>2*E51/Inputs!$C$21*1000000</x:f>
        <x:v>19.622321179082146</x:v>
      </x:c>
      <x:c r="H51" s="9" t="n">
        <x:f>SQRT(A51^2+Inputs!$C$6^2)</x:f>
        <x:v>43.41946568072896</x:v>
      </x:c>
      <x:c r="I51" s="9" t="n">
        <x:f>DEGREES(ATAN(H51/B51))</x:f>
        <x:v>6.173679915861962</x:v>
      </x:c>
      <x:c r="J51" s="9" t="n">
        <x:f>DEGREES((2*PI()/Inputs!$C$13)*Inputs!$C$15*SIN(RADIANS(I51)))</x:f>
        <x:v>38.71535727003771</x:v>
      </x:c>
      <x:c r="K51" s="9" t="n">
        <x:f>(C51/D51)^4</x:f>
        <x:v>0.9712186597157199</x:v>
      </x:c>
      <x:c r="L51" s="9" t="n">
        <x:f>10*LOG10(K51)</x:f>
        <x:v>-0.126829822266816</x:v>
      </x:c>
      <x:c r="M51" s="9" t="n">
        <x:f>2*(Inputs!$C$9/(Inputs!$C$10^2))*A51</x:f>
        <x:v>-0.07888888888888888</x:v>
      </x:c>
      <x:c r="N51" s="9" t="n">
        <x:f>M51*Inputs!$C$11</x:f>
        <x:v>-0.31555555555555553</x:v>
      </x:c>
      <x:c r="O51" s="9" t="n">
        <x:f>1000*(D52-D50)/(A52-A50)*Inputs!$C$11</x:f>
        <x:v>-755.1789462022498</x:v>
      </x:c>
      <x:c r="P51" s="9" t="n">
        <x:f>-2*O51/Inputs!$C$13</x:f>
        <x:v>302.0715784808999</x:v>
      </x:c>
      <x:c r="Q51" s="9" t="n">
        <x:f>-2*O51/Inputs!$C$14</x:f>
        <x:v>45.356092864999994</x:v>
      </x:c>
      <x:c r="R51" s="9" t="n">
        <x:f>F51-Inputs!$C$16/2</x:f>
        <x:v>1637.4224432422736</x:v>
      </x:c>
      <x:c r="S51" s="9" t="n">
        <x:f>F51+Inputs!$C$16/2</x:f>
        <x:v>1667.4224432422736</x:v>
      </x:c>
      <x:c r="T51" s="9" t="n">
        <x:f>F51-Inputs!$C$17/2</x:f>
        <x:v>1502.4224432422736</x:v>
      </x:c>
      <x:c r="U51" s="9" t="n">
        <x:f>F51+Inputs!$C$17/2</x:f>
        <x:v>1802.4224432422736</x:v>
      </x:c>
      <x:c r="V51" s="9" t="n">
        <x:f>ABS(P51)</x:f>
        <x:v>302.0715784808999</x:v>
      </x:c>
      <x:c r="W51" s="9" t="n">
        <x:f>ABS(Q51)</x:f>
        <x:v>45.356092864999994</x:v>
      </x:c>
      <x:c r="X51" s="9"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x:f>
        <x:v>-0.6339718611461809</x:v>
      </x:c>
      <x:c r="Y51" s="9"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x:f>
        <x:v>284.9525044867838</x:v>
      </x:c>
      <x:c r="Z51" s="9" t="n">
        <x:f>B51-X51/1000</x:f>
        <x:v>401.4009117496389</x:v>
      </x:c>
      <x:c r="AA51" s="9" t="n">
        <x:f>SQRT((Inputs!$C$52+B51)^2+(Inputs!$C$52+Y51/1000)^2-2*(Inputs!$C$52+B51)*(Inputs!$C$52+Y51/1000)*COS(SQRT(A51^2+Inputs!$C$6^2)/Inputs!$C$52))</x:f>
        <x:v>404.05924692699745</x:v>
      </x:c>
      <x:c r="AB51" s="9" t="n">
        <x:f>(AA51-Z51)*1000</x:f>
        <x:v>2658.3351773585377</x:v>
      </x:c>
      <x:c r="AC51" s="9" t="n">
        <x:f>AB51/Inputs!$C$12</x:f>
        <x:v>1493.4467288531112</x:v>
      </x:c>
      <x:c r="AD51" s="9" t="n">
        <x:f>2*AB51/Inputs!$C$21*1000000</x:f>
        <x:v>17.734503363380394</x:v>
      </x:c>
      <x:c r="AE51" s="9" t="n">
        <x:f>DEGREES(ATAN(H51/(B51-Y51/1000)))</x:f>
        <x:v>6.178031796965923</x:v>
      </x:c>
      <x:c r="AF51" s="9" t="n">
        <x:f>DEGREES((2*PI()/Inputs!$C$13)*Inputs!$C$15*SIN(RADIANS(AE51)))</x:f>
        <x:v>38.74254225330668</x:v>
      </x:c>
      <x:c r="AG51" s="9" t="n">
        <x:f>(Z51/AA51)^4</x:f>
        <x:v>0.9739422770172814</x:v>
      </x:c>
      <x:c r="AH51" s="9" t="n">
        <x:f>10*LOG10(AG51)</x:f>
        <x:v>-0.11466781843909</x:v>
      </x:c>
      <x:c r="AI51" s="9" t="n">
        <x:f>AC51-F51</x:f>
        <x:v>-158.97571438916248</x:v>
      </x:c>
      <x:c r="AJ51" s="9" t="n">
        <x:f>AD51-G51</x:f>
        <x:v>-1.8878178157017516</x:v>
      </x:c>
      <x:c r="AK51" s="9" t="n">
        <x:f>Y51-X51</x:f>
        <x:v>285.58647634793</x:v>
      </x:c>
      <x:c r="AL51" s="9" t="n">
        <x:f>1000*(AA52-AA50)/(A52-A50)*Inputs!$C$11</x:f>
        <x:v>-785.1496058283374</x:v>
      </x:c>
      <x:c r="AM51" s="9" t="n">
        <x:f>-2*AL51/Inputs!$C$13</x:f>
        <x:v>314.05984233133495</x:v>
      </x:c>
      <x:c r="AN51" s="9" t="n">
        <x:f>-2*AL51/Inputs!$C$14</x:f>
        <x:v>47.15613248218243</x:v>
      </x:c>
      <x:c r="AO51" s="9" t="n">
        <x:f>ABS(AM51)</x:f>
        <x:v>314.05984233133495</x:v>
      </x:c>
      <x:c r="AP51" s="9" t="n">
        <x:f>ABS(AN51)</x:f>
        <x:v>47.15613248218243</x:v>
      </x:c>
      <x:c r="AQ51" s="9" t="n">
        <x:f>IF(OR(Inputs!$C$27=TRUE,Inputs!$C$27="TRUE",Inputs!$C$27=1),Inputs!$C$46/Inputs!$C$12,0)</x:f>
        <x:v>42.13483146067416</x:v>
      </x:c>
      <x:c r="AR51" s="9" t="n">
        <x:f>AC51-AQ51</x:f>
        <x:v>1451.311897392437</x:v>
      </x:c>
      <x:c r="AS51" s="9" t="n">
        <x:f>AC51+AQ51</x:f>
        <x:v>1535.5815603137853</x:v>
      </x:c>
    </x:row>
    <x:row r="52">
      <x:c r="A52" s="9" t="n">
        <x:f>Inputs!$C$7+50*(Inputs!$C$8-Inputs!$C$7)/240</x:f>
        <x:v>-35</x:v>
      </x:c>
      <x:c r="B52" s="9" t="n">
        <x:f>Inputs!$C$5+Inputs!$C$9*(A52/Inputs!$C$10)^2</x:f>
        <x:v>401.3611111111111</x:v>
      </x:c>
      <x:c r="C52" s="9" t="n">
        <x:f>B52</x:f>
        <x:v>401.3611111111111</x:v>
      </x:c>
      <x:c r="D52" s="9" t="n">
        <x:f>SQRT((Inputs!$C$52+B52)^2+Inputs!$C$52^2-2*(Inputs!$C$52+B52)*Inputs!$C$52*COS(SQRT(A52^2+Inputs!$C$6^2)/Inputs!$C$52))</x:f>
        <x:v>404.2478490762852</x:v>
      </x:c>
      <x:c r="E52" s="9" t="n">
        <x:f>(D52-C52)*1000</x:f>
        <x:v>2886.7379651741203</x:v>
      </x:c>
      <x:c r="F52" s="9" t="n">
        <x:f>E52/Inputs!$C$12</x:f>
        <x:v>1621.7629017832137</x:v>
      </x:c>
      <x:c r="G52" s="9" t="n">
        <x:f>2*E52/Inputs!$C$21*1000000</x:f>
        <x:v>19.258242748549197</x:v>
      </x:c>
      <x:c r="H52" s="9" t="n">
        <x:f>SQRT(A52^2+Inputs!$C$6^2)</x:f>
        <x:v>43.01162633521314</x:v>
      </x:c>
      <x:c r="I52" s="9" t="n">
        <x:f>DEGREES(ATAN(H52/B52))</x:f>
        <x:v>6.116724388997361</x:v>
      </x:c>
      <x:c r="J52" s="9" t="n">
        <x:f>DEGREES((2*PI()/Inputs!$C$13)*Inputs!$C$15*SIN(RADIANS(I52)))</x:f>
        <x:v>38.35955150243656</x:v>
      </x:c>
      <x:c r="K52" s="9" t="n">
        <x:f>(C52/D52)^4</x:f>
        <x:v>0.971740469833793</x:v>
      </x:c>
      <x:c r="L52" s="9" t="n">
        <x:f>10*LOG10(K52)</x:f>
        <x:v>-0.124497099391873</x:v>
      </x:c>
      <x:c r="M52" s="9" t="n">
        <x:f>2*(Inputs!$C$9/(Inputs!$C$10^2))*A52</x:f>
        <x:v>-0.07777777777777778</x:v>
      </x:c>
      <x:c r="N52" s="9" t="n">
        <x:f>M52*Inputs!$C$11</x:f>
        <x:v>-0.3111111111111111</x:v>
      </x:c>
      <x:c r="O52" s="9" t="n">
        <x:f>1000*(D53-D51)/(A53-A51)*Inputs!$C$11</x:f>
        <x:v>-744.6688015527343</x:v>
      </x:c>
      <x:c r="P52" s="9" t="n">
        <x:f>-2*O52/Inputs!$C$13</x:f>
        <x:v>297.8675206210937</x:v>
      </x:c>
      <x:c r="Q52" s="9" t="n">
        <x:f>-2*O52/Inputs!$C$14</x:f>
        <x:v>44.72485294611017</x:v>
      </x:c>
      <x:c r="R52" s="9" t="n">
        <x:f>F52-Inputs!$C$16/2</x:f>
        <x:v>1606.7629017832137</x:v>
      </x:c>
      <x:c r="S52" s="9" t="n">
        <x:f>F52+Inputs!$C$16/2</x:f>
        <x:v>1636.7629017832137</x:v>
      </x:c>
      <x:c r="T52" s="9" t="n">
        <x:f>F52-Inputs!$C$17/2</x:f>
        <x:v>1471.7629017832137</x:v>
      </x:c>
      <x:c r="U52" s="9" t="n">
        <x:f>F52+Inputs!$C$17/2</x:f>
        <x:v>1771.7629017832137</x:v>
      </x:c>
      <x:c r="V52" s="9" t="n">
        <x:f>ABS(P52)</x:f>
        <x:v>297.8675206210937</x:v>
      </x:c>
      <x:c r="W52" s="9" t="n">
        <x:f>ABS(Q52)</x:f>
        <x:v>44.72485294611017</x:v>
      </x:c>
      <x:c r="X52" s="9"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x:f>
        <x:v>-9.708529731781153</x:v>
      </x:c>
      <x:c r="Y52" s="9"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x:f>
        <x:v>280.71344003946786</x:v>
      </x:c>
      <x:c r="Z52" s="9" t="n">
        <x:f>B52-X52/1000</x:f>
        <x:v>401.37081964084285</x:v>
      </x:c>
      <x:c r="AA52" s="9" t="n">
        <x:f>SQRT((Inputs!$C$52+B52)^2+(Inputs!$C$52+Y52/1000)^2-2*(Inputs!$C$52+B52)*(Inputs!$C$52+Y52/1000)*COS(SQRT(A52^2+Inputs!$C$6^2)/Inputs!$C$52))</x:f>
        <x:v>403.9696592909723</x:v>
      </x:c>
      <x:c r="AB52" s="9" t="n">
        <x:f>(AA52-Z52)*1000</x:f>
        <x:v>2598.8396501294346</x:v>
      </x:c>
      <x:c r="AC52" s="9" t="n">
        <x:f>AB52/Inputs!$C$12</x:f>
        <x:v>1460.022275353615</x:v>
      </x:c>
      <x:c r="AD52" s="9" t="n">
        <x:f>2*AB52/Inputs!$C$21*1000000</x:f>
        <x:v>17.337591929210138</x:v>
      </x:c>
      <x:c r="AE52" s="9" t="n">
        <x:f>DEGREES(ATAN(H52/(B52-Y52/1000)))</x:f>
        <x:v>6.120972955455935</x:v>
      </x:c>
      <x:c r="AF52" s="9" t="n">
        <x:f>DEGREES((2*PI()/Inputs!$C$13)*Inputs!$C$15*SIN(RADIANS(AE52)))</x:f>
        <x:v>38.38609395223803</x:v>
      </x:c>
      <x:c r="AG52" s="9" t="n">
        <x:f>(Z52/AA52)^4</x:f>
        <x:v>0.9745142390772156</x:v>
      </x:c>
      <x:c r="AH52" s="9" t="n">
        <x:f>10*LOG10(AG52)</x:f>
        <x:v>-0.112118108229287</x:v>
      </x:c>
      <x:c r="AI52" s="9" t="n">
        <x:f>AC52-F52</x:f>
        <x:v>-161.7406264295987</x:v>
      </x:c>
      <x:c r="AJ52" s="9" t="n">
        <x:f>AD52-G52</x:f>
        <x:v>-1.920650819339059</x:v>
      </x:c>
      <x:c r="AK52" s="9" t="n">
        <x:f>Y52-X52</x:f>
        <x:v>290.421969771249</x:v>
      </x:c>
      <x:c r="AL52" s="9" t="n">
        <x:f>1000*(AA53-AA51)/(A53-A51)*Inputs!$C$11</x:f>
        <x:v>-869.3911384636976</x:v>
      </x:c>
      <x:c r="AM52" s="9" t="n">
        <x:f>-2*AL52/Inputs!$C$13</x:f>
        <x:v>347.75645538547906</x:v>
      </x:c>
      <x:c r="AN52" s="9" t="n">
        <x:f>-2*AL52/Inputs!$C$14</x:f>
        <x:v>52.21568399181368</x:v>
      </x:c>
      <x:c r="AO52" s="9" t="n">
        <x:f>ABS(AM52)</x:f>
        <x:v>347.75645538547906</x:v>
      </x:c>
      <x:c r="AP52" s="9" t="n">
        <x:f>ABS(AN52)</x:f>
        <x:v>52.21568399181368</x:v>
      </x:c>
      <x:c r="AQ52" s="9" t="n">
        <x:f>IF(OR(Inputs!$C$27=TRUE,Inputs!$C$27="TRUE",Inputs!$C$27=1),Inputs!$C$46/Inputs!$C$12,0)</x:f>
        <x:v>42.13483146067416</x:v>
      </x:c>
      <x:c r="AR52" s="9" t="n">
        <x:f>AC52-AQ52</x:f>
        <x:v>1417.8874438929408</x:v>
      </x:c>
      <x:c r="AS52" s="9" t="n">
        <x:f>AC52+AQ52</x:f>
        <x:v>1502.1571068142891</x:v>
      </x:c>
    </x:row>
    <x:row r="53">
      <x:c r="A53" s="9" t="n">
        <x:f>Inputs!$C$7+51*(Inputs!$C$8-Inputs!$C$7)/240</x:f>
        <x:v>-34.5</x:v>
      </x:c>
      <x:c r="B53" s="9" t="n">
        <x:f>Inputs!$C$5+Inputs!$C$9*(A53/Inputs!$C$10)^2</x:f>
        <x:v>401.3225</x:v>
      </x:c>
      <x:c r="C53" s="9" t="n">
        <x:f>B53</x:f>
        <x:v>401.3225</x:v>
      </x:c>
      <x:c r="D53" s="9" t="n">
        <x:f>SQRT((Inputs!$C$52+B53)^2+Inputs!$C$52^2-2*(Inputs!$C$52+B53)*Inputs!$C$52*COS(SQRT(A53^2+Inputs!$C$6^2)/Inputs!$C$52))</x:f>
        <x:v>404.15542252636084</x:v>
      </x:c>
      <x:c r="E53" s="9" t="n">
        <x:f>(D53-C53)*1000</x:f>
        <x:v>2832.9225263608464</x:v>
      </x:c>
      <x:c r="F53" s="9" t="n">
        <x:f>E53/Inputs!$C$12</x:f>
        <x:v>1591.5295091914868</x:v>
      </x:c>
      <x:c r="G53" s="9" t="n">
        <x:f>2*E53/Inputs!$C$21*1000000</x:f>
        <x:v>18.899224785440378</x:v>
      </x:c>
      <x:c r="H53" s="9" t="n">
        <x:f>SQRT(A53^2+Inputs!$C$6^2)</x:f>
        <x:v>42.60575078554537</x:v>
      </x:c>
      <x:c r="I53" s="9" t="n">
        <x:f>DEGREES(ATAN(H53/B53))</x:f>
        <x:v>6.060014519595078</x:v>
      </x:c>
      <x:c r="J53" s="9" t="n">
        <x:f>DEGREES((2*PI()/Inputs!$C$13)*Inputs!$C$15*SIN(RADIANS(I53)))</x:f>
        <x:v>38.005242715884584</x:v>
      </x:c>
      <x:c r="K53" s="9" t="n">
        <x:f>(C53/D53)^4</x:f>
        <x:v>0.972255470921452</x:v>
      </x:c>
      <x:c r="L53" s="9" t="n">
        <x:f>10*LOG10(K53)</x:f>
        <x:v>-0.12219604380746801</x:v>
      </x:c>
      <x:c r="M53" s="9" t="n">
        <x:f>2*(Inputs!$C$9/(Inputs!$C$10^2))*A53</x:f>
        <x:v>-0.07666666666666666</x:v>
      </x:c>
      <x:c r="N53" s="9" t="n">
        <x:f>M53*Inputs!$C$11</x:f>
        <x:v>-0.30666666666666664</x:v>
      </x:c>
      <x:c r="O53" s="9" t="n">
        <x:f>1000*(D54-D52)/(A54-A52)*Inputs!$C$11</x:f>
        <x:v>-734.1533722806162</x:v>
      </x:c>
      <x:c r="P53" s="9" t="n">
        <x:f>-2*O53/Inputs!$C$13</x:f>
        <x:v>293.66134891224647</x:v>
      </x:c>
      <x:c r="Q53" s="9" t="n">
        <x:f>-2*O53/Inputs!$C$14</x:f>
        <x:v>44.09329563246944</x:v>
      </x:c>
      <x:c r="R53" s="9" t="n">
        <x:f>F53-Inputs!$C$16/2</x:f>
        <x:v>1576.5295091914868</x:v>
      </x:c>
      <x:c r="S53" s="9" t="n">
        <x:f>F53+Inputs!$C$16/2</x:f>
        <x:v>1606.5295091914868</x:v>
      </x:c>
      <x:c r="T53" s="9" t="n">
        <x:f>F53-Inputs!$C$17/2</x:f>
        <x:v>1441.5295091914868</x:v>
      </x:c>
      <x:c r="U53" s="9" t="n">
        <x:f>F53+Inputs!$C$17/2</x:f>
        <x:v>1741.5295091914868</x:v>
      </x:c>
      <x:c r="V53" s="9" t="n">
        <x:f>ABS(P53)</x:f>
        <x:v>293.66134891224647</x:v>
      </x:c>
      <x:c r="W53" s="9" t="n">
        <x:f>ABS(Q53)</x:f>
        <x:v>44.09329563246944</x:v>
      </x:c>
      <x:c r="X53" s="9"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x:f>
        <x:v>-9.85965082687293</x:v>
      </x:c>
      <x:c r="Y53" s="9"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x:f>
        <x:v>316.314878049505</x:v>
      </x:c>
      <x:c r="Z53" s="9" t="n">
        <x:f>B53-X53/1000</x:f>
        <x:v>401.33235965082685</x:v>
      </x:c>
      <x:c r="AA53" s="9" t="n">
        <x:f>SQRT((Inputs!$C$52+B53)^2+(Inputs!$C$52+Y53/1000)^2-2*(Inputs!$C$52+B53)*(Inputs!$C$52+Y53/1000)*COS(SQRT(A53^2+Inputs!$C$6^2)/Inputs!$C$52))</x:f>
        <x:v>403.8418991423815</x:v>
      </x:c>
      <x:c r="AB53" s="9" t="n">
        <x:f>(AA53-Z53)*1000</x:f>
        <x:v>2509.5394915546763</x:v>
      </x:c>
      <x:c r="AC53" s="9" t="n">
        <x:f>AB53/Inputs!$C$12</x:f>
        <x:v>1409.8536469408293</x:v>
      </x:c>
      <x:c r="AD53" s="9" t="n">
        <x:f>2*AB53/Inputs!$C$21*1000000</x:f>
        <x:v>16.74184539728932</x:v>
      </x:c>
      <x:c r="AE53" s="9" t="n">
        <x:f>DEGREES(ATAN(H53/(B53-Y53/1000)))</x:f>
        <x:v>6.064759065659421</x:v>
      </x:c>
      <x:c r="AF53" s="9" t="n">
        <x:f>DEGREES((2*PI()/Inputs!$C$13)*Inputs!$C$15*SIN(RADIANS(AE53)))</x:f>
        <x:v>38.03488686043747</x:v>
      </x:c>
      <x:c r="AG53" s="9" t="n">
        <x:f>(Z53/AA53)^4</x:f>
        <x:v>0.9753740835503314</x:v>
      </x:c>
      <x:c r="AH53" s="9" t="n">
        <x:f>10*LOG10(AG53)</x:f>
        <x:v>-0.108287881340488</x:v>
      </x:c>
      <x:c r="AI53" s="9" t="n">
        <x:f>AC53-F53</x:f>
        <x:v>-181.67586225065747</x:v>
      </x:c>
      <x:c r="AJ53" s="9" t="n">
        <x:f>AD53-G53</x:f>
        <x:v>-2.157379388151057</x:v>
      </x:c>
      <x:c r="AK53" s="9" t="n">
        <x:f>Y53-X53</x:f>
        <x:v>326.17452887637796</x:v>
      </x:c>
      <x:c r="AL53" s="9" t="n">
        <x:f>1000*(AA54-AA52)/(A54-A52)*Inputs!$C$11</x:f>
        <x:v>-887.9887835328191</x:v>
      </x:c>
      <x:c r="AM53" s="9" t="n">
        <x:f>-2*AL53/Inputs!$C$13</x:f>
        <x:v>355.1955134131276</x:v>
      </x:c>
      <x:c r="AN53" s="9" t="n">
        <x:f>-2*AL53/Inputs!$C$14</x:f>
        <x:v>53.33265967164079</x:v>
      </x:c>
      <x:c r="AO53" s="9" t="n">
        <x:f>ABS(AM53)</x:f>
        <x:v>355.1955134131276</x:v>
      </x:c>
      <x:c r="AP53" s="9" t="n">
        <x:f>ABS(AN53)</x:f>
        <x:v>53.33265967164079</x:v>
      </x:c>
      <x:c r="AQ53" s="9" t="n">
        <x:f>IF(OR(Inputs!$C$27=TRUE,Inputs!$C$27="TRUE",Inputs!$C$27=1),Inputs!$C$46/Inputs!$C$12,0)</x:f>
        <x:v>42.13483146067416</x:v>
      </x:c>
      <x:c r="AR53" s="9" t="n">
        <x:f>AC53-AQ53</x:f>
        <x:v>1367.7188154801552</x:v>
      </x:c>
      <x:c r="AS53" s="9" t="n">
        <x:f>AC53+AQ53</x:f>
        <x:v>1451.9884784015035</x:v>
      </x:c>
    </x:row>
    <x:row r="54">
      <x:c r="A54" s="9" t="n">
        <x:f>Inputs!$C$7+52*(Inputs!$C$8-Inputs!$C$7)/240</x:f>
        <x:v>-34</x:v>
      </x:c>
      <x:c r="B54" s="9" t="n">
        <x:f>Inputs!$C$5+Inputs!$C$9*(A54/Inputs!$C$10)^2</x:f>
        <x:v>401.28444444444443</x:v>
      </x:c>
      <x:c r="C54" s="9" t="n">
        <x:f>B54</x:f>
        <x:v>401.28444444444443</x:v>
      </x:c>
      <x:c r="D54" s="9" t="n">
        <x:f>SQRT((Inputs!$C$52+B54)^2+Inputs!$C$52^2-2*(Inputs!$C$52+B54)*Inputs!$C$52*COS(SQRT(A54^2+Inputs!$C$6^2)/Inputs!$C$52))</x:f>
        <x:v>404.06431073321505</x:v>
      </x:c>
      <x:c r="E54" s="9" t="n">
        <x:f>(D54-C54)*1000</x:f>
        <x:v>2779.86628877062</x:v>
      </x:c>
      <x:c r="F54" s="9" t="n">
        <x:f>E54/Inputs!$C$12</x:f>
        <x:v>1561.7226341407977</x:v>
      </x:c>
      <x:c r="G54" s="9" t="n">
        <x:f>2*E54/Inputs!$C$21*1000000</x:f>
        <x:v>18.545271667712335</x:v>
      </x:c>
      <x:c r="H54" s="9" t="n">
        <x:f>SQRT(A54^2+Inputs!$C$6^2)</x:f>
        <x:v>42.20189569201838</x:v>
      </x:c>
      <x:c r="I54" s="9" t="n">
        <x:f>DEGREES(ATAN(H54/B54))</x:f>
        <x:v>6.003558889809033</x:v>
      </x:c>
      <x:c r="J54" s="9" t="n">
        <x:f>DEGREES((2*PI()/Inputs!$C$13)*Inputs!$C$15*SIN(RADIANS(I54)))</x:f>
        <x:v>37.65248537110963</x:v>
      </x:c>
      <x:c r="K54" s="9" t="n">
        <x:f>(C54/D54)^4</x:f>
        <x:v>0.9727636385009326</x:v>
      </x:c>
      <x:c r="L54" s="9" t="n">
        <x:f>10*LOG10(K54)</x:f>
        <x:v>-0.11992671514531801</x:v>
      </x:c>
      <x:c r="M54" s="9" t="n">
        <x:f>2*(Inputs!$C$9/(Inputs!$C$10^2))*A54</x:f>
        <x:v>-0.07555555555555556</x:v>
      </x:c>
      <x:c r="N54" s="9" t="n">
        <x:f>M54*Inputs!$C$11</x:f>
        <x:v>-0.3022222222222222</x:v>
      </x:c>
      <x:c r="O54" s="9" t="n">
        <x:f>1000*(D55-D53)/(A55-A53)*Inputs!$C$11</x:f>
        <x:v>-723.632727916538</x:v>
      </x:c>
      <x:c r="P54" s="9" t="n">
        <x:f>-2*O54/Inputs!$C$13</x:f>
        <x:v>289.4530911666152</x:v>
      </x:c>
      <x:c r="Q54" s="9" t="n">
        <x:f>-2*O54/Inputs!$C$14</x:f>
        <x:v>43.46142510009238</x:v>
      </x:c>
      <x:c r="R54" s="9" t="n">
        <x:f>F54-Inputs!$C$16/2</x:f>
        <x:v>1546.7226341407977</x:v>
      </x:c>
      <x:c r="S54" s="9" t="n">
        <x:f>F54+Inputs!$C$16/2</x:f>
        <x:v>1576.7226341407977</x:v>
      </x:c>
      <x:c r="T54" s="9" t="n">
        <x:f>F54-Inputs!$C$17/2</x:f>
        <x:v>1411.7226341407977</x:v>
      </x:c>
      <x:c r="U54" s="9" t="n">
        <x:f>F54+Inputs!$C$17/2</x:f>
        <x:v>1711.7226341407977</x:v>
      </x:c>
      <x:c r="V54" s="9" t="n">
        <x:f>ABS(P54)</x:f>
        <x:v>289.4530911666152</x:v>
      </x:c>
      <x:c r="W54" s="9" t="n">
        <x:f>ABS(Q54)</x:f>
        <x:v>43.46142510009238</x:v>
      </x:c>
      <x:c r="X54" s="9"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x:f>
        <x:v>0.233219012771956</x:v>
      </x:c>
      <x:c r="Y54" s="9"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x:f>
        <x:v>319.4152549266823</x:v>
      </x:c>
      <x:c r="Z54" s="9" t="n">
        <x:f>B54-X54/1000</x:f>
        <x:v>401.28421122543165</x:v>
      </x:c>
      <x:c r="AA54" s="9" t="n">
        <x:f>SQRT((Inputs!$C$52+B54)^2+(Inputs!$C$52+Y54/1000)^2-2*(Inputs!$C$52+B54)*(Inputs!$C$52+Y54/1000)*COS(SQRT(A54^2+Inputs!$C$6^2)/Inputs!$C$52))</x:f>
        <x:v>403.7476620950891</x:v>
      </x:c>
      <x:c r="AB54" s="9" t="n">
        <x:f>(AA54-Z54)*1000</x:f>
        <x:v>2463.4508696574358</x:v>
      </x:c>
      <x:c r="AC54" s="9" t="n">
        <x:f>AB54/Inputs!$C$12</x:f>
        <x:v>1383.9611627288964</x:v>
      </x:c>
      <x:c r="AD54" s="9" t="n">
        <x:f>2*AB54/Inputs!$C$21*1000000</x:f>
        <x:v>16.43437520804767</x:v>
      </x:c>
      <x:c r="AE54" s="9" t="n">
        <x:f>DEGREES(ATAN(H54/(B54-Y54/1000)))</x:f>
        <x:v>6.008306452022451</x:v>
      </x:c>
      <x:c r="AF54" s="9" t="n">
        <x:f>DEGREES((2*PI()/Inputs!$C$13)*Inputs!$C$15*SIN(RADIANS(AE54)))</x:f>
        <x:v>37.682151450389966</x:v>
      </x:c>
      <x:c r="AG54" s="9" t="n">
        <x:f>(Z54/AA54)^4</x:f>
        <x:v>0.9758166132817447</x:v>
      </x:c>
      <x:c r="AH54" s="9" t="n">
        <x:f>10*LOG10(AG54)</x:f>
        <x:v>-0.10631792295519801</x:v>
      </x:c>
      <x:c r="AI54" s="9" t="n">
        <x:f>AC54-F54</x:f>
        <x:v>-177.7614714119013</x:v>
      </x:c>
      <x:c r="AJ54" s="9" t="n">
        <x:f>AD54-G54</x:f>
        <x:v>-2.1108964596646658</x:v>
      </x:c>
      <x:c r="AK54" s="9" t="n">
        <x:f>Y54-X54</x:f>
        <x:v>319.18203591391034</x:v>
      </x:c>
      <x:c r="AL54" s="9" t="n">
        <x:f>1000*(AA55-AA53)/(A55-A53)*Inputs!$C$11</x:f>
        <x:v>-772.1508123777312</x:v>
      </x:c>
      <x:c r="AM54" s="9" t="n">
        <x:f>-2*AL54/Inputs!$C$13</x:f>
        <x:v>308.8603249510925</x:v>
      </x:c>
      <x:c r="AN54" s="9" t="n">
        <x:f>-2*AL54/Inputs!$C$14</x:f>
        <x:v>46.375424166830705</x:v>
      </x:c>
      <x:c r="AO54" s="9" t="n">
        <x:f>ABS(AM54)</x:f>
        <x:v>308.8603249510925</x:v>
      </x:c>
      <x:c r="AP54" s="9" t="n">
        <x:f>ABS(AN54)</x:f>
        <x:v>46.375424166830705</x:v>
      </x:c>
      <x:c r="AQ54" s="9" t="n">
        <x:f>IF(OR(Inputs!$C$27=TRUE,Inputs!$C$27="TRUE",Inputs!$C$27=1),Inputs!$C$46/Inputs!$C$12,0)</x:f>
        <x:v>42.13483146067416</x:v>
      </x:c>
      <x:c r="AR54" s="9" t="n">
        <x:f>AC54-AQ54</x:f>
        <x:v>1341.8263312682222</x:v>
      </x:c>
      <x:c r="AS54" s="9" t="n">
        <x:f>AC54+AQ54</x:f>
        <x:v>1426.0959941895705</x:v>
      </x:c>
    </x:row>
    <x:row r="55">
      <x:c r="A55" s="9" t="n">
        <x:f>Inputs!$C$7+53*(Inputs!$C$8-Inputs!$C$7)/240</x:f>
        <x:v>-33.5</x:v>
      </x:c>
      <x:c r="B55" s="9" t="n">
        <x:f>Inputs!$C$5+Inputs!$C$9*(A55/Inputs!$C$10)^2</x:f>
        <x:v>401.24694444444447</x:v>
      </x:c>
      <x:c r="C55" s="9" t="n">
        <x:f>B55</x:f>
        <x:v>401.24694444444447</x:v>
      </x:c>
      <x:c r="D55" s="9" t="n">
        <x:f>SQRT((Inputs!$C$52+B55)^2+Inputs!$C$52^2-2*(Inputs!$C$52+B55)*Inputs!$C$52*COS(SQRT(A55^2+Inputs!$C$6^2)/Inputs!$C$52))</x:f>
        <x:v>403.9745143443817</x:v>
      </x:c>
      <x:c r="E55" s="9" t="n">
        <x:f>(D55-C55)*1000</x:f>
        <x:v>2727.5698999372366</x:v>
      </x:c>
      <x:c r="F55" s="9" t="n">
        <x:f>E55/Inputs!$C$12</x:f>
        <x:v>1532.3426404141778</x:v>
      </x:c>
      <x:c r="G55" s="9" t="n">
        <x:f>2*E55/Inputs!$C$21*1000000</x:f>
        <x:v>18.19638771524557</x:v>
      </x:c>
      <x:c r="H55" s="9" t="n">
        <x:f>SQRT(A55^2+Inputs!$C$6^2)</x:f>
        <x:v>41.80011961705373</x:v>
      </x:c>
      <x:c r="I55" s="9" t="n">
        <x:f>DEGREES(ATAN(H55/B55))</x:f>
        <x:v>5.947366354766674</x:v>
      </x:c>
      <x:c r="J55" s="9" t="n">
        <x:f>DEGREES((2*PI()/Inputs!$C$13)*Inputs!$C$15*SIN(RADIANS(I55)))</x:f>
        <x:v>37.30133564573529</x:v>
      </x:c>
      <x:c r="K55" s="9" t="n">
        <x:f>(C55/D55)^4</x:f>
        <x:v>0.9732649483824933</x:v>
      </x:c>
      <x:c r="L55" s="9" t="n">
        <x:f>10*LOG10(K55)</x:f>
        <x:v>-0.117689172268828</x:v>
      </x:c>
      <x:c r="M55" s="9" t="n">
        <x:f>2*(Inputs!$C$9/(Inputs!$C$10^2))*A55</x:f>
        <x:v>-0.07444444444444444</x:v>
      </x:c>
      <x:c r="N55" s="9" t="n">
        <x:f>M55*Inputs!$C$11</x:f>
        <x:v>-0.29777777777777775</x:v>
      </x:c>
      <x:c r="O55" s="9" t="n">
        <x:f>1000*(D56-D54)/(A56-A54)*Inputs!$C$11</x:f>
        <x:v>-713.1069382348869</x:v>
      </x:c>
      <x:c r="P55" s="9" t="n">
        <x:f>-2*O55/Inputs!$C$13</x:f>
        <x:v>285.24277529395476</x:v>
      </x:c>
      <x:c r="Q55" s="9" t="n">
        <x:f>-2*O55/Inputs!$C$14</x:f>
        <x:v>42.82924553963285</x:v>
      </x:c>
      <x:c r="R55" s="9" t="n">
        <x:f>F55-Inputs!$C$16/2</x:f>
        <x:v>1517.3426404141778</x:v>
      </x:c>
      <x:c r="S55" s="9" t="n">
        <x:f>F55+Inputs!$C$16/2</x:f>
        <x:v>1547.3426404141778</x:v>
      </x:c>
      <x:c r="T55" s="9" t="n">
        <x:f>F55-Inputs!$C$17/2</x:f>
        <x:v>1382.3426404141778</x:v>
      </x:c>
      <x:c r="U55" s="9" t="n">
        <x:f>F55+Inputs!$C$17/2</x:f>
        <x:v>1682.3426404141778</x:v>
      </x:c>
      <x:c r="V55" s="9" t="n">
        <x:f>ABS(P55)</x:f>
        <x:v>285.24277529395476</x:v>
      </x:c>
      <x:c r="W55" s="9" t="n">
        <x:f>ABS(Q55)</x:f>
        <x:v>42.82924553963285</x:v>
      </x:c>
      <x:c r="X55" s="9"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x:f>
        <x:v>8.500195567439437</x:v>
      </x:c>
      <x:c r="Y55" s="9"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x:f>
        <x:v>328.4448057508986</x:v>
      </x:c>
      <x:c r="Z55" s="9" t="n">
        <x:f>B55-X55/1000</x:f>
        <x:v>401.23844424887704</x:v>
      </x:c>
      <x:c r="AA55" s="9" t="n">
        <x:f>SQRT((Inputs!$C$52+B55)^2+(Inputs!$C$52+Y55/1000)^2-2*(Inputs!$C$52+B55)*(Inputs!$C$52+Y55/1000)*COS(SQRT(A55^2+Inputs!$C$6^2)/Inputs!$C$52))</x:f>
        <x:v>403.6488614392871</x:v>
      </x:c>
      <x:c r="AB55" s="9" t="n">
        <x:f>(AA55-Z55)*1000</x:f>
        <x:v>2410.417190410044</x:v>
      </x:c>
      <x:c r="AC55" s="9" t="n">
        <x:f>AB55/Inputs!$C$12</x:f>
        <x:v>1354.166960904519</x:v>
      </x:c>
      <x:c r="AD55" s="9" t="n">
        <x:f>2*AB55/Inputs!$C$21*1000000</x:f>
        <x:v>16.08057258338396</x:v>
      </x:c>
      <x:c r="AE55" s="9" t="n">
        <x:f>DEGREES(ATAN(H55/(B55-Y55/1000)))</x:f>
        <x:v>5.952203655531789</x:v>
      </x:c>
      <x:c r="AF55" s="9" t="n">
        <x:f>DEGREES((2*PI()/Inputs!$C$13)*Inputs!$C$15*SIN(RADIANS(AE55)))</x:f>
        <x:v>37.33156557595596</x:v>
      </x:c>
      <x:c r="AG55" s="9" t="n">
        <x:f>(Z55/AA55)^4</x:f>
        <x:v>0.9763268297314662</x:v>
      </x:c>
      <x:c r="AH55" s="9" t="n">
        <x:f>10*LOG10(AG55)</x:f>
        <x:v>-0.10404775992461901</x:v>
      </x:c>
      <x:c r="AI55" s="9" t="n">
        <x:f>AC55-F55</x:f>
        <x:v>-178.17567950965872</x:v>
      </x:c>
      <x:c r="AJ55" s="9" t="n">
        <x:f>AD55-G55</x:f>
        <x:v>-2.115815131861609</x:v>
      </x:c>
      <x:c r="AK55" s="9" t="n">
        <x:f>Y55-X55</x:f>
        <x:v>319.94461018345913</x:v>
      </x:c>
      <x:c r="AL55" s="9" t="n">
        <x:f>1000*(AA56-AA54)/(A56-A54)*Inputs!$C$11</x:f>
        <x:v>-803.3276557075624</x:v>
      </x:c>
      <x:c r="AM55" s="9" t="n">
        <x:f>-2*AL55/Inputs!$C$13</x:f>
        <x:v>321.33106228302495</x:v>
      </x:c>
      <x:c r="AN55" s="9" t="n">
        <x:f>-2*AL55/Inputs!$C$14</x:f>
        <x:v>48.24790724970345</x:v>
      </x:c>
      <x:c r="AO55" s="9" t="n">
        <x:f>ABS(AM55)</x:f>
        <x:v>321.33106228302495</x:v>
      </x:c>
      <x:c r="AP55" s="9" t="n">
        <x:f>ABS(AN55)</x:f>
        <x:v>48.24790724970345</x:v>
      </x:c>
      <x:c r="AQ55" s="9" t="n">
        <x:f>IF(OR(Inputs!$C$27=TRUE,Inputs!$C$27="TRUE",Inputs!$C$27=1),Inputs!$C$46/Inputs!$C$12,0)</x:f>
        <x:v>42.13483146067416</x:v>
      </x:c>
      <x:c r="AR55" s="9" t="n">
        <x:f>AC55-AQ55</x:f>
        <x:v>1312.032129443845</x:v>
      </x:c>
      <x:c r="AS55" s="9" t="n">
        <x:f>AC55+AQ55</x:f>
        <x:v>1396.3017923651933</x:v>
      </x:c>
    </x:row>
    <x:row r="56">
      <x:c r="A56" s="9" t="n">
        <x:f>Inputs!$C$7+54*(Inputs!$C$8-Inputs!$C$7)/240</x:f>
        <x:v>-33</x:v>
      </x:c>
      <x:c r="B56" s="9" t="n">
        <x:f>Inputs!$C$5+Inputs!$C$9*(A56/Inputs!$C$10)^2</x:f>
        <x:v>401.21</x:v>
      </x:c>
      <x:c r="C56" s="9" t="n">
        <x:f>B56</x:f>
        <x:v>401.21</x:v>
      </x:c>
      <x:c r="D56" s="9" t="n">
        <x:f>SQRT((Inputs!$C$52+B56)^2+Inputs!$C$52^2-2*(Inputs!$C$52+B56)*Inputs!$C$52*COS(SQRT(A56^2+Inputs!$C$6^2)/Inputs!$C$52))</x:f>
        <x:v>403.88603399865633</x:v>
      </x:c>
      <x:c r="E56" s="9" t="n">
        <x:f>(D56-C56)*1000</x:f>
        <x:v>2676.033998656351</x:v>
      </x:c>
      <x:c r="F56" s="9" t="n">
        <x:f>E56/Inputs!$C$12</x:f>
        <x:v>1503.3898868855904</x:v>
      </x:c>
      <x:c r="G56" s="9" t="n">
        <x:f>2*E56/Inputs!$C$21*1000000</x:f>
        <x:v>17.852577189625972</x:v>
      </x:c>
      <x:c r="H56" s="9" t="n">
        <x:f>SQRT(A56^2+Inputs!$C$6^2)</x:f>
        <x:v>41.400483088968905</x:v>
      </x:c>
      <x:c r="I56" s="9" t="n">
        <x:f>DEGREES(ATAN(H56/B56))</x:f>
        <x:v>5.891446051651431</x:v>
      </x:c>
      <x:c r="J56" s="9" t="n">
        <x:f>DEGREES((2*PI()/Inputs!$C$13)*Inputs!$C$15*SIN(RADIANS(I56)))</x:f>
        <x:v>36.95185149123889</x:v>
      </x:c>
      <x:c r="K56" s="9" t="n">
        <x:f>(C56/D56)^4</x:f>
        <x:v>0.9737593766670476</x:v>
      </x:c>
      <x:c r="L56" s="9" t="n">
        <x:f>10*LOG10(K56)</x:f>
        <x:v>-0.115483473269264</x:v>
      </x:c>
      <x:c r="M56" s="9" t="n">
        <x:f>2*(Inputs!$C$9/(Inputs!$C$10^2))*A56</x:f>
        <x:v>-0.07333333333333333</x:v>
      </x:c>
      <x:c r="N56" s="9" t="n">
        <x:f>M56*Inputs!$C$11</x:f>
        <x:v>-0.29333333333333333</x:v>
      </x:c>
      <x:c r="O56" s="9" t="n">
        <x:f>1000*(D57-D55)/(A57-A55)*Inputs!$C$11</x:f>
        <x:v>-702.5760732608433</x:v>
      </x:c>
      <x:c r="P56" s="9" t="n">
        <x:f>-2*O56/Inputs!$C$13</x:f>
        <x:v>281.0304293043373</x:v>
      </x:c>
      <x:c r="Q56" s="9" t="n">
        <x:f>-2*O56/Inputs!$C$14</x:f>
        <x:v>42.196761156807405</x:v>
      </x:c>
      <x:c r="R56" s="9" t="n">
        <x:f>F56-Inputs!$C$16/2</x:f>
        <x:v>1488.3898868855904</x:v>
      </x:c>
      <x:c r="S56" s="9" t="n">
        <x:f>F56+Inputs!$C$16/2</x:f>
        <x:v>1518.3898868855904</x:v>
      </x:c>
      <x:c r="T56" s="9" t="n">
        <x:f>F56-Inputs!$C$17/2</x:f>
        <x:v>1353.3898868855904</x:v>
      </x:c>
      <x:c r="U56" s="9" t="n">
        <x:f>F56+Inputs!$C$17/2</x:f>
        <x:v>1653.3898868855904</x:v>
      </x:c>
      <x:c r="V56" s="9" t="n">
        <x:f>ABS(P56)</x:f>
        <x:v>281.0304293043373</x:v>
      </x:c>
      <x:c r="W56" s="9" t="n">
        <x:f>ABS(Q56)</x:f>
        <x:v>42.196761156807405</x:v>
      </x:c>
      <x:c r="X56" s="9"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x:f>
        <x:v>12.884972617306985</x:v>
      </x:c>
      <x:c r="Y56" s="9"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x:f>
        <x:v>342.0571204684842</x:v>
      </x:c>
      <x:c r="Z56" s="9" t="n">
        <x:f>B56-X56/1000</x:f>
        <x:v>401.19711502738267</x:v>
      </x:c>
      <x:c r="AA56" s="9" t="n">
        <x:f>SQRT((Inputs!$C$52+B56)^2+(Inputs!$C$52+Y56/1000)^2-2*(Inputs!$C$52+B56)*(Inputs!$C$52+Y56/1000)*COS(SQRT(A56^2+Inputs!$C$6^2)/Inputs!$C$52))</x:f>
        <x:v>403.5468301811622</x:v>
      </x:c>
      <x:c r="AB56" s="9" t="n">
        <x:f>(AA56-Z56)*1000</x:f>
        <x:v>2349.7151537795276</x:v>
      </x:c>
      <x:c r="AC56" s="9" t="n">
        <x:f>AB56/Inputs!$C$12</x:f>
        <x:v>1320.064693134566</x:v>
      </x:c>
      <x:c r="AD56" s="9" t="n">
        <x:f>2*AB56/Inputs!$C$21*1000000</x:f>
        <x:v>15.675612184877096</x:v>
      </x:c>
      <x:c r="AE56" s="9" t="n">
        <x:f>DEGREES(ATAN(H56/(B56-Y56/1000)))</x:f>
        <x:v>5.896437766649704</x:v>
      </x:c>
      <x:c r="AF56" s="9" t="n">
        <x:f>DEGREES((2*PI()/Inputs!$C$13)*Inputs!$C$15*SIN(RADIANS(AE56)))</x:f>
        <x:v>36.983049562114594</x:v>
      </x:c>
      <x:c r="AG56" s="9" t="n">
        <x:f>(Z56/AA56)^4</x:f>
        <x:v>0.97691199984309</x:v>
      </x:c>
      <x:c r="AH56" s="9" t="n">
        <x:f>10*LOG10(AG56)</x:f>
        <x:v>-0.10144555732442301</x:v>
      </x:c>
      <x:c r="AI56" s="9" t="n">
        <x:f>AC56-F56</x:f>
        <x:v>-183.32519375102447</x:v>
      </x:c>
      <x:c r="AJ56" s="9" t="n">
        <x:f>AD56-G56</x:f>
        <x:v>-2.176965004748876</x:v>
      </x:c>
      <x:c r="AK56" s="9" t="n">
        <x:f>Y56-X56</x:f>
        <x:v>329.1721478511772</x:v>
      </x:c>
      <x:c r="AL56" s="9" t="n">
        <x:f>1000*(AA57-AA55)/(A57-A55)*Inputs!$C$11</x:f>
        <x:v>-792.148729776045</x:v>
      </x:c>
      <x:c r="AM56" s="9" t="n">
        <x:f>-2*AL56/Inputs!$C$13</x:f>
        <x:v>316.859491910418</x:v>
      </x:c>
      <x:c r="AN56" s="9" t="n">
        <x:f>-2*AL56/Inputs!$C$14</x:f>
        <x:v>47.57650028684955</x:v>
      </x:c>
      <x:c r="AO56" s="9" t="n">
        <x:f>ABS(AM56)</x:f>
        <x:v>316.859491910418</x:v>
      </x:c>
      <x:c r="AP56" s="9" t="n">
        <x:f>ABS(AN56)</x:f>
        <x:v>47.57650028684955</x:v>
      </x:c>
      <x:c r="AQ56" s="9" t="n">
        <x:f>IF(OR(Inputs!$C$27=TRUE,Inputs!$C$27="TRUE",Inputs!$C$27=1),Inputs!$C$46/Inputs!$C$12,0)</x:f>
        <x:v>42.13483146067416</x:v>
      </x:c>
      <x:c r="AR56" s="9" t="n">
        <x:f>AC56-AQ56</x:f>
        <x:v>1277.9298616738918</x:v>
      </x:c>
      <x:c r="AS56" s="9" t="n">
        <x:f>AC56+AQ56</x:f>
        <x:v>1362.19952459524</x:v>
      </x:c>
    </x:row>
    <x:row r="57">
      <x:c r="A57" s="9" t="n">
        <x:f>Inputs!$C$7+55*(Inputs!$C$8-Inputs!$C$7)/240</x:f>
        <x:v>-32.5</x:v>
      </x:c>
      <x:c r="B57" s="9" t="n">
        <x:f>Inputs!$C$5+Inputs!$C$9*(A57/Inputs!$C$10)^2</x:f>
        <x:v>401.1736111111111</x:v>
      </x:c>
      <x:c r="C57" s="9" t="n">
        <x:f>B57</x:f>
        <x:v>401.1736111111111</x:v>
      </x:c>
      <x:c r="D57" s="9" t="n">
        <x:f>SQRT((Inputs!$C$52+B57)^2+Inputs!$C$52^2-2*(Inputs!$C$52+B57)*Inputs!$C$52*COS(SQRT(A57^2+Inputs!$C$6^2)/Inputs!$C$52))</x:f>
        <x:v>403.7988703260665</x:v>
      </x:c>
      <x:c r="E57" s="9" t="n">
        <x:f>(D57-C57)*1000</x:f>
        <x:v>2625.259214955406</x:v>
      </x:c>
      <x:c r="F57" s="9" t="n">
        <x:f>E57/Inputs!$C$12</x:f>
        <x:v>1474.864727503037</x:v>
      </x:c>
      <x:c r="G57" s="9" t="n">
        <x:f>2*E57/Inputs!$C$21*1000000</x:f>
        <x:v>17.51384429394422</x:v>
      </x:c>
      <x:c r="H57" s="9" t="n">
        <x:f>SQRT(A57^2+Inputs!$C$6^2)</x:f>
        <x:v>41.00304866714181</x:v>
      </x:c>
      <x:c r="I57" s="9" t="n">
        <x:f>DEGREES(ATAN(H57/B57))</x:f>
        <x:v>5.835807408982732</x:v>
      </x:c>
      <x:c r="J57" s="9" t="n">
        <x:f>DEGREES((2*PI()/Inputs!$C$13)*Inputs!$C$15*SIN(RADIANS(I57)))</x:f>
        <x:v>36.60409269114675</x:v>
      </x:c>
      <x:c r="K57" s="9" t="n">
        <x:f>(C57/D57)^4</x:f>
        <x:v>0.9742468997487461</x:v>
      </x:c>
      <x:c r="L57" s="9" t="n">
        <x:f>10*LOG10(K57)</x:f>
        <x:v>-0.11330967546208</x:v>
      </x:c>
      <x:c r="M57" s="9" t="n">
        <x:f>2*(Inputs!$C$9/(Inputs!$C$10^2))*A57</x:f>
        <x:v>-0.07222222222222222</x:v>
      </x:c>
      <x:c r="N57" s="9" t="n">
        <x:f>M57*Inputs!$C$11</x:f>
        <x:v>-0.28888888888888886</x:v>
      </x:c>
      <x:c r="O57" s="9" t="n">
        <x:f>1000*(D58-D56)/(A58-A56)*Inputs!$C$11</x:f>
        <x:v>-692.0402032801576</x:v>
      </x:c>
      <x:c r="P57" s="9" t="n">
        <x:f>-2*O57/Inputs!$C$13</x:f>
        <x:v>276.81608131206303</x:v>
      </x:c>
      <x:c r="Q57" s="9" t="n">
        <x:f>-2*O57/Inputs!$C$14</x:f>
        <x:v>41.56397617298244</x:v>
      </x:c>
      <x:c r="R57" s="9" t="n">
        <x:f>F57-Inputs!$C$16/2</x:f>
        <x:v>1459.864727503037</x:v>
      </x:c>
      <x:c r="S57" s="9" t="n">
        <x:f>F57+Inputs!$C$16/2</x:f>
        <x:v>1489.864727503037</x:v>
      </x:c>
      <x:c r="T57" s="9" t="n">
        <x:f>F57-Inputs!$C$17/2</x:f>
        <x:v>1324.864727503037</x:v>
      </x:c>
      <x:c r="U57" s="9" t="n">
        <x:f>F57+Inputs!$C$17/2</x:f>
        <x:v>1624.864727503037</x:v>
      </x:c>
      <x:c r="V57" s="9" t="n">
        <x:f>ABS(P57)</x:f>
        <x:v>276.81608131206303</x:v>
      </x:c>
      <x:c r="W57" s="9" t="n">
        <x:f>ABS(Q57)</x:f>
        <x:v>41.56397617298244</x:v>
      </x:c>
      <x:c r="X57" s="9"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x:f>
        <x:v>14.196906765365963</x:v>
      </x:c>
      <x:c r="Y57" s="9"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x:f>
        <x:v>350.9183412247295</x:v>
      </x:c>
      <x:c r="Z57" s="9" t="n">
        <x:f>B57-X57/1000</x:f>
        <x:v>401.1594142043457</x:v>
      </x:c>
      <x:c r="AA57" s="9" t="n">
        <x:f>SQRT((Inputs!$C$52+B57)^2+(Inputs!$C$52+Y57/1000)^2-2*(Inputs!$C$52+B57)*(Inputs!$C$52+Y57/1000)*COS(SQRT(A57^2+Inputs!$C$6^2)/Inputs!$C$52))</x:f>
        <x:v>403.4508242568431</x:v>
      </x:c>
      <x:c r="AB57" s="9" t="n">
        <x:f>(AA57-Z57)*1000</x:f>
        <x:v>2291.4100524973833</x:v>
      </x:c>
      <x:c r="AC57" s="9" t="n">
        <x:f>AB57/Inputs!$C$12</x:f>
        <x:v>1287.309018256957</x:v>
      </x:c>
      <x:c r="AD57" s="9" t="n">
        <x:f>2*AB57/Inputs!$C$21*1000000</x:f>
        <x:v>15.286642417784794</x:v>
      </x:c>
      <x:c r="AE57" s="9" t="n">
        <x:f>DEGREES(ATAN(H57/(B57-Y57/1000)))</x:f>
        <x:v>5.8408813214092925</x:v>
      </x:c>
      <x:c r="AF57" s="9" t="n">
        <x:f>DEGREES((2*PI()/Inputs!$C$13)*Inputs!$C$15*SIN(RADIANS(AE57)))</x:f>
        <x:v>36.635807655258844</x:v>
      </x:c>
      <x:c r="AG57" s="9" t="n">
        <x:f>(Z57/AA57)^4</x:f>
        <x:v>0.977474700405423</x:v>
      </x:c>
      <x:c r="AH57" s="9" t="n">
        <x:f>10*LOG10(AG57)</x:f>
        <x:v>-0.0989447446049479</x:v>
      </x:c>
      <x:c r="AI57" s="9" t="n">
        <x:f>AC57-F57</x:f>
        <x:v>-187.55570924608014</x:v>
      </x:c>
      <x:c r="AJ57" s="9" t="n">
        <x:f>AD57-G57</x:f>
        <x:v>-2.2272018761594268</x:v>
      </x:c>
      <x:c r="AK57" s="9" t="n">
        <x:f>Y57-X57</x:f>
        <x:v>336.72143445936354</x:v>
      </x:c>
      <x:c r="AL57" s="9" t="n">
        <x:f>1000*(AA58-AA56)/(A58-A56)*Inputs!$C$11</x:f>
        <x:v>-687.9414680875016</x:v>
      </x:c>
      <x:c r="AM57" s="9" t="n">
        <x:f>-2*AL57/Inputs!$C$13</x:f>
        <x:v>275.1765872350006</x:v>
      </x:c>
      <x:c r="AN57" s="9" t="n">
        <x:f>-2*AL57/Inputs!$C$14</x:f>
        <x:v>41.31780589114124</x:v>
      </x:c>
      <x:c r="AO57" s="9" t="n">
        <x:f>ABS(AM57)</x:f>
        <x:v>275.1765872350006</x:v>
      </x:c>
      <x:c r="AP57" s="9" t="n">
        <x:f>ABS(AN57)</x:f>
        <x:v>41.31780589114124</x:v>
      </x:c>
      <x:c r="AQ57" s="9" t="n">
        <x:f>IF(OR(Inputs!$C$27=TRUE,Inputs!$C$27="TRUE",Inputs!$C$27=1),Inputs!$C$46/Inputs!$C$12,0)</x:f>
        <x:v>42.13483146067416</x:v>
      </x:c>
      <x:c r="AR57" s="9" t="n">
        <x:f>AC57-AQ57</x:f>
        <x:v>1245.1741867962828</x:v>
      </x:c>
      <x:c r="AS57" s="9" t="n">
        <x:f>AC57+AQ57</x:f>
        <x:v>1329.443849717631</x:v>
      </x:c>
    </x:row>
    <x:row r="58">
      <x:c r="A58" s="9" t="n">
        <x:f>Inputs!$C$7+56*(Inputs!$C$8-Inputs!$C$7)/240</x:f>
        <x:v>-32</x:v>
      </x:c>
      <x:c r="B58" s="9" t="n">
        <x:f>Inputs!$C$5+Inputs!$C$9*(A58/Inputs!$C$10)^2</x:f>
        <x:v>401.1377777777778</x:v>
      </x:c>
      <x:c r="C58" s="9" t="n">
        <x:f>B58</x:f>
        <x:v>401.1377777777778</x:v>
      </x:c>
      <x:c r="D58" s="9" t="n">
        <x:f>SQRT((Inputs!$C$52+B58)^2+Inputs!$C$52^2-2*(Inputs!$C$52+B58)*Inputs!$C$52*COS(SQRT(A58^2+Inputs!$C$6^2)/Inputs!$C$52))</x:f>
        <x:v>403.7130239478363</x:v>
      </x:c>
      <x:c r="E58" s="9" t="n">
        <x:f>(D58-C58)*1000</x:f>
        <x:v>2575.246170058506</x:v>
      </x:c>
      <x:c r="F58" s="9" t="n">
        <x:f>E58/Inputs!$C$12</x:f>
        <x:v>1446.7675112688235</x:v>
      </x:c>
      <x:c r="G58" s="9" t="n">
        <x:f>2*E58/Inputs!$C$21*1000000</x:f>
        <x:v>17.180193172561438</x:v>
      </x:c>
      <x:c r="H58" s="9" t="n">
        <x:f>SQRT(A58^2+Inputs!$C$6^2)</x:f>
        <x:v>40.607881008493905</x:v>
      </x:c>
      <x:c r="I58" s="9" t="n">
        <x:f>DEGREES(ATAN(H58/B58))</x:f>
        <x:v>5.780460156082169</x:v>
      </x:c>
      <x:c r="J58" s="9" t="n">
        <x:f>DEGREES((2*PI()/Inputs!$C$13)*Inputs!$C$15*SIN(RADIANS(I58)))</x:f>
        <x:v>36.25812092039455</x:v>
      </x:c>
      <x:c r="K58" s="9" t="n">
        <x:f>(C58/D58)^4</x:f>
        <x:v>0.974727494317586</x:v>
      </x:c>
      <x:c r="L58" s="9" t="n">
        <x:f>10*LOG10(K58)</x:f>
        <x:v>-0.11116783538305501</x:v>
      </x:c>
      <x:c r="M58" s="9" t="n">
        <x:f>2*(Inputs!$C$9/(Inputs!$C$10^2))*A58</x:f>
        <x:v>-0.07111111111111111</x:v>
      </x:c>
      <x:c r="N58" s="9" t="n">
        <x:f>M58*Inputs!$C$11</x:f>
        <x:v>-0.28444444444444444</x:v>
      </x:c>
      <x:c r="O58" s="9" t="n">
        <x:f>1000*(D59-D57)/(A59-A57)*Inputs!$C$11</x:f>
        <x:v>-681.499398799815</x:v>
      </x:c>
      <x:c r="P58" s="9" t="n">
        <x:f>-2*O58/Inputs!$C$13</x:f>
        <x:v>272.599759519926</x:v>
      </x:c>
      <x:c r="Q58" s="9" t="n">
        <x:f>-2*O58/Inputs!$C$14</x:f>
        <x:v>40.930894822811716</x:v>
      </x:c>
      <x:c r="R58" s="9" t="n">
        <x:f>F58-Inputs!$C$16/2</x:f>
        <x:v>1431.7675112688235</x:v>
      </x:c>
      <x:c r="S58" s="9" t="n">
        <x:f>F58+Inputs!$C$16/2</x:f>
        <x:v>1461.7675112688235</x:v>
      </x:c>
      <x:c r="T58" s="9" t="n">
        <x:f>F58-Inputs!$C$17/2</x:f>
        <x:v>1296.7675112688235</x:v>
      </x:c>
      <x:c r="U58" s="9" t="n">
        <x:f>F58+Inputs!$C$17/2</x:f>
        <x:v>1596.7675112688235</x:v>
      </x:c>
      <x:c r="V58" s="9" t="n">
        <x:f>ABS(P58)</x:f>
        <x:v>272.599759519926</x:v>
      </x:c>
      <x:c r="W58" s="9" t="n">
        <x:f>ABS(Q58)</x:f>
        <x:v>40.930894822811716</x:v>
      </x:c>
      <x:c r="X58" s="9"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x:f>
        <x:v>5.730826646134426</x:v>
      </x:c>
      <x:c r="Y58" s="9"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x:f>
        <x:v>340.91681406553505</x:v>
      </x:c>
      <x:c r="Z58" s="9" t="n">
        <x:f>B58-X58/1000</x:f>
        <x:v>401.13204695113166</x:v>
      </x:c>
      <x:c r="AA58" s="9" t="n">
        <x:f>SQRT((Inputs!$C$52+B58)^2+(Inputs!$C$52+Y58/1000)^2-2*(Inputs!$C$52+B58)*(Inputs!$C$52+Y58/1000)*COS(SQRT(A58^2+Inputs!$C$6^2)/Inputs!$C$52))</x:f>
        <x:v>403.3748448141403</x:v>
      </x:c>
      <x:c r="AB58" s="9" t="n">
        <x:f>(AA58-Z58)*1000</x:f>
        <x:v>2242.7978630086614</x:v>
      </x:c>
      <x:c r="AC58" s="9" t="n">
        <x:f>AB58/Inputs!$C$12</x:f>
        <x:v>1259.9987994430683</x:v>
      </x:c>
      <x:c r="AD58" s="9" t="n">
        <x:f>2*AB58/Inputs!$C$21*1000000</x:f>
        <x:v>14.962336797736663</x:v>
      </x:c>
      <x:c r="AE58" s="9" t="n">
        <x:f>DEGREES(ATAN(H58/(B58-Y58/1000)))</x:f>
        <x:v>5.7853436630843715</x:v>
      </x:c>
      <x:c r="AF58" s="9" t="n">
        <x:f>DEGREES((2*PI()/Inputs!$C$13)*Inputs!$C$15*SIN(RADIANS(AE58)))</x:f>
        <x:v>36.28864874358197</x:v>
      </x:c>
      <x:c r="AG58" s="9" t="n">
        <x:f>(Z58/AA58)^4</x:f>
        <x:v>0.9779444661479344</x:v>
      </x:c>
      <x:c r="AH58" s="9" t="n">
        <x:f>10*LOG10(AG58)</x:f>
        <x:v>-0.09685806490808879</x:v>
      </x:c>
      <x:c r="AI58" s="9" t="n">
        <x:f>AC58-F58</x:f>
        <x:v>-186.7687118257552</x:v>
      </x:c>
      <x:c r="AJ58" s="9" t="n">
        <x:f>AD58-G58</x:f>
        <x:v>-2.217856374824775</x:v>
      </x:c>
      <x:c r="AK58" s="9" t="n">
        <x:f>Y58-X58</x:f>
        <x:v>335.18598741940065</x:v>
      </x:c>
      <x:c r="AL58" s="9" t="n">
        <x:f>1000*(AA59-AA57)/(A59-A57)*Inputs!$C$11</x:f>
        <x:v>-698.7317151763364</x:v>
      </x:c>
      <x:c r="AM58" s="9" t="n">
        <x:f>-2*AL58/Inputs!$C$13</x:f>
        <x:v>279.49268607053455</x:v>
      </x:c>
      <x:c r="AN58" s="9" t="n">
        <x:f>-2*AL58/Inputs!$C$14</x:f>
        <x:v>41.965868779359546</x:v>
      </x:c>
      <x:c r="AO58" s="9" t="n">
        <x:f>ABS(AM58)</x:f>
        <x:v>279.49268607053455</x:v>
      </x:c>
      <x:c r="AP58" s="9" t="n">
        <x:f>ABS(AN58)</x:f>
        <x:v>41.965868779359546</x:v>
      </x:c>
      <x:c r="AQ58" s="9" t="n">
        <x:f>IF(OR(Inputs!$C$27=TRUE,Inputs!$C$27="TRUE",Inputs!$C$27=1),Inputs!$C$46/Inputs!$C$12,0)</x:f>
        <x:v>42.13483146067416</x:v>
      </x:c>
      <x:c r="AR58" s="9" t="n">
        <x:f>AC58-AQ58</x:f>
        <x:v>1217.8639679823941</x:v>
      </x:c>
      <x:c r="AS58" s="9" t="n">
        <x:f>AC58+AQ58</x:f>
        <x:v>1302.1336309037424</x:v>
      </x:c>
    </x:row>
    <x:row r="59">
      <x:c r="A59" s="9" t="n">
        <x:f>Inputs!$C$7+57*(Inputs!$C$8-Inputs!$C$7)/240</x:f>
        <x:v>-31.5</x:v>
      </x:c>
      <x:c r="B59" s="9" t="n">
        <x:f>Inputs!$C$5+Inputs!$C$9*(A59/Inputs!$C$10)^2</x:f>
        <x:v>401.1025</x:v>
      </x:c>
      <x:c r="C59" s="9" t="n">
        <x:f>B59</x:f>
        <x:v>401.1025</x:v>
      </x:c>
      <x:c r="D59" s="9" t="n">
        <x:f>SQRT((Inputs!$C$52+B59)^2+Inputs!$C$52^2-2*(Inputs!$C$52+B59)*Inputs!$C$52*COS(SQRT(A59^2+Inputs!$C$6^2)/Inputs!$C$52))</x:f>
        <x:v>403.62849547636654</x:v>
      </x:c>
      <x:c r="E59" s="9" t="n">
        <x:f>(D59-C59)*1000</x:f>
        <x:v>2525.995476366518</x:v>
      </x:c>
      <x:c r="F59" s="9" t="n">
        <x:f>E59/Inputs!$C$12</x:f>
        <x:v>1419.0985822283808</x:v>
      </x:c>
      <x:c r="G59" s="9" t="n">
        <x:f>2*E59/Inputs!$C$21*1000000</x:f>
        <x:v>16.85162791097645</x:v>
      </x:c>
      <x:c r="H59" s="9" t="n">
        <x:f>SQRT(A59^2+Inputs!$C$6^2)</x:f>
        <x:v>40.21504693519579</x:v>
      </x:c>
      <x:c r="I59" s="9" t="n">
        <x:f>DEGREES(ATAN(H59/B59))</x:f>
        <x:v>5.725414332711808</x:v>
      </x:c>
      <x:c r="J59" s="9" t="n">
        <x:f>DEGREES((2*PI()/Inputs!$C$13)*Inputs!$C$15*SIN(RADIANS(I59)))</x:f>
        <x:v>35.91399980576492</x:v>
      </x:c>
      <x:c r="K59" s="9" t="n">
        <x:f>(C59/D59)^4</x:f>
        <x:v>0.9752011373618527</x:v>
      </x:c>
      <x:c r="L59" s="9" t="n">
        <x:f>10*LOG10(K59)</x:f>
        <x:v>-0.109058008785091</x:v>
      </x:c>
      <x:c r="M59" s="9" t="n">
        <x:f>2*(Inputs!$C$9/(Inputs!$C$10^2))*A59</x:f>
        <x:v>-0.07</x:v>
      </x:c>
      <x:c r="N59" s="9" t="n">
        <x:f>M59*Inputs!$C$11</x:f>
        <x:v>-0.28</x:v>
      </x:c>
      <x:c r="O59" s="9" t="n">
        <x:f>1000*(D60-D58)/(A60-A58)*Inputs!$C$11</x:f>
        <x:v>-670.9537305550839</x:v>
      </x:c>
      <x:c r="P59" s="9" t="n">
        <x:f>-2*O59/Inputs!$C$13</x:f>
        <x:v>268.38149222203356</x:v>
      </x:c>
      <x:c r="Q59" s="9" t="n">
        <x:f>-2*O59/Inputs!$C$14</x:f>
        <x:v>40.29752135465969</x:v>
      </x:c>
      <x:c r="R59" s="9" t="n">
        <x:f>F59-Inputs!$C$16/2</x:f>
        <x:v>1404.0985822283808</x:v>
      </x:c>
      <x:c r="S59" s="9" t="n">
        <x:f>F59+Inputs!$C$16/2</x:f>
        <x:v>1434.0985822283808</x:v>
      </x:c>
      <x:c r="T59" s="9" t="n">
        <x:f>F59-Inputs!$C$17/2</x:f>
        <x:v>1269.0985822283808</x:v>
      </x:c>
      <x:c r="U59" s="9" t="n">
        <x:f>F59+Inputs!$C$17/2</x:f>
        <x:v>1569.0985822283808</x:v>
      </x:c>
      <x:c r="V59" s="9" t="n">
        <x:f>ABS(P59)</x:f>
        <x:v>268.38149222203356</x:v>
      </x:c>
      <x:c r="W59" s="9" t="n">
        <x:f>ABS(Q59)</x:f>
        <x:v>40.29752135465969</x:v>
      </x:c>
      <x:c r="X59" s="9"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x:f>
        <x:v>9.295817115602365</x:v>
      </x:c>
      <x:c r="Y59" s="9"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x:f>
        <x:v>355.15219987006986</x:v>
      </x:c>
      <x:c r="Z59" s="9" t="n">
        <x:f>B59-X59/1000</x:f>
        <x:v>401.0932041828844</x:v>
      </x:c>
      <x:c r="AA59" s="9" t="n">
        <x:f>SQRT((Inputs!$C$52+B59)^2+(Inputs!$C$52+Y59/1000)^2-2*(Inputs!$C$52+B59)*(Inputs!$C$52+Y59/1000)*COS(SQRT(A59^2+Inputs!$C$6^2)/Inputs!$C$52))</x:f>
        <x:v>403.276141328049</x:v>
      </x:c>
      <x:c r="AB59" s="9" t="n">
        <x:f>(AA59-Z59)*1000</x:f>
        <x:v>2182.937145164601</x:v>
      </x:c>
      <x:c r="AC59" s="9" t="n">
        <x:f>AB59/Inputs!$C$12</x:f>
        <x:v>1226.3691826767422</x:v>
      </x:c>
      <x:c r="AD59" s="9" t="n">
        <x:f>2*AB59/Inputs!$C$21*1000000</x:f>
        <x:v>14.562989074025346</x:v>
      </x:c>
      <x:c r="AE59" s="9" t="n">
        <x:f>DEGREES(ATAN(H59/(B59-Y59/1000)))</x:f>
        <x:v>5.73045458171606</x:v>
      </x:c>
      <x:c r="AF59" s="9" t="n">
        <x:f>DEGREES((2*PI()/Inputs!$C$13)*Inputs!$C$15*SIN(RADIANS(AE59)))</x:f>
        <x:v>35.94551050273555</x:v>
      </x:c>
      <x:c r="AG59" s="9" t="n">
        <x:f>(Z59/AA59)^4</x:f>
        <x:v>0.9785231367540428</x:v>
      </x:c>
      <x:c r="AH59" s="9" t="n">
        <x:f>10*LOG10(AG59)</x:f>
        <x:v>-0.0942890118041359</x:v>
      </x:c>
      <x:c r="AI59" s="9" t="n">
        <x:f>AC59-F59</x:f>
        <x:v>-192.7293995516386</x:v>
      </x:c>
      <x:c r="AJ59" s="9" t="n">
        <x:f>AD59-G59</x:f>
        <x:v>-2.2886388369511046</x:v>
      </x:c>
      <x:c r="AK59" s="9" t="n">
        <x:f>Y59-X59</x:f>
        <x:v>345.8563827544675</x:v>
      </x:c>
      <x:c r="AL59" s="9" t="n">
        <x:f>1000*(AA60-AA58)/(A60-A58)*Inputs!$C$11</x:f>
        <x:v>-720.3604463707052</x:v>
      </x:c>
      <x:c r="AM59" s="9" t="n">
        <x:f>-2*AL59/Inputs!$C$13</x:f>
        <x:v>288.14417854828207</x:v>
      </x:c>
      <x:c r="AN59" s="9" t="n">
        <x:f>-2*AL59/Inputs!$C$14</x:f>
        <x:v>43.26489167391623</x:v>
      </x:c>
      <x:c r="AO59" s="9" t="n">
        <x:f>ABS(AM59)</x:f>
        <x:v>288.14417854828207</x:v>
      </x:c>
      <x:c r="AP59" s="9" t="n">
        <x:f>ABS(AN59)</x:f>
        <x:v>43.26489167391623</x:v>
      </x:c>
      <x:c r="AQ59" s="9" t="n">
        <x:f>IF(OR(Inputs!$C$27=TRUE,Inputs!$C$27="TRUE",Inputs!$C$27=1),Inputs!$C$46/Inputs!$C$12,0)</x:f>
        <x:v>42.13483146067416</x:v>
      </x:c>
      <x:c r="AR59" s="9" t="n">
        <x:f>AC59-AQ59</x:f>
        <x:v>1184.234351216068</x:v>
      </x:c>
      <x:c r="AS59" s="9" t="n">
        <x:f>AC59+AQ59</x:f>
        <x:v>1268.5040141374163</x:v>
      </x:c>
    </x:row>
    <x:row r="60">
      <x:c r="A60" s="9" t="n">
        <x:f>Inputs!$C$7+58*(Inputs!$C$8-Inputs!$C$7)/240</x:f>
        <x:v>-31</x:v>
      </x:c>
      <x:c r="B60" s="9" t="n">
        <x:f>Inputs!$C$5+Inputs!$C$9*(A60/Inputs!$C$10)^2</x:f>
        <x:v>401.0677777777778</x:v>
      </x:c>
      <x:c r="C60" s="9" t="n">
        <x:f>B60</x:f>
        <x:v>401.0677777777778</x:v>
      </x:c>
      <x:c r="D60" s="9" t="n">
        <x:f>SQRT((Inputs!$C$52+B60)^2+Inputs!$C$52^2-2*(Inputs!$C$52+B60)*Inputs!$C$52*COS(SQRT(A60^2+Inputs!$C$6^2)/Inputs!$C$52))</x:f>
        <x:v>403.5452855151975</x:v>
      </x:c>
      <x:c r="E60" s="9" t="n">
        <x:f>(D60-C60)*1000</x:f>
        <x:v>2477.507737419728</x:v>
      </x:c>
      <x:c r="F60" s="9" t="n">
        <x:f>E60/Inputs!$C$12</x:f>
        <x:v>1391.8582794492854</x:v>
      </x:c>
      <x:c r="G60" s="9" t="n">
        <x:f>2*E60/Inputs!$C$21*1000000</x:f>
        <x:v>16.52815253557665</x:v>
      </x:c>
      <x:c r="H60" s="9" t="n">
        <x:f>SQRT(A60^2+Inputs!$C$6^2)</x:f>
        <x:v>39.824615503479755</x:v>
      </x:c>
      <x:c r="I60" s="9" t="n">
        <x:f>DEGREES(ATAN(H60/B60))</x:f>
        <x:v>5.670680298867937</x:v>
      </x:c>
      <x:c r="J60" s="9" t="n">
        <x:f>DEGREES((2*PI()/Inputs!$C$13)*Inputs!$C$15*SIN(RADIANS(I60)))</x:f>
        <x:v>35.57179498729654</x:v>
      </x:c>
      <x:c r="K60" s="9" t="n">
        <x:f>(C60/D60)^4</x:f>
        <x:v>0.9756678061706995</x:v>
      </x:c>
      <x:c r="L60" s="9" t="n">
        <x:f>10*LOG10(K60)</x:f>
        <x:v>-0.106980250634333</x:v>
      </x:c>
      <x:c r="M60" s="9" t="n">
        <x:f>2*(Inputs!$C$9/(Inputs!$C$10^2))*A60</x:f>
        <x:v>-0.06888888888888889</x:v>
      </x:c>
      <x:c r="N60" s="9" t="n">
        <x:f>M60*Inputs!$C$11</x:f>
        <x:v>-0.27555555555555555</x:v>
      </x:c>
      <x:c r="O60" s="9" t="n">
        <x:f>1000*(D61-D59)/(A61-A59)*Inputs!$C$11</x:f>
        <x:v>-660.4032695415754</x:v>
      </x:c>
      <x:c r="P60" s="9" t="n">
        <x:f>-2*O60/Inputs!$C$13</x:f>
        <x:v>264.16130781663014</x:v>
      </x:c>
      <x:c r="Q60" s="9" t="n">
        <x:f>-2*O60/Inputs!$C$14</x:f>
        <x:v>39.663860032527054</x:v>
      </x:c>
      <x:c r="R60" s="9" t="n">
        <x:f>F60-Inputs!$C$16/2</x:f>
        <x:v>1376.8582794492854</x:v>
      </x:c>
      <x:c r="S60" s="9" t="n">
        <x:f>F60+Inputs!$C$16/2</x:f>
        <x:v>1406.8582794492854</x:v>
      </x:c>
      <x:c r="T60" s="9" t="n">
        <x:f>F60-Inputs!$C$17/2</x:f>
        <x:v>1241.8582794492854</x:v>
      </x:c>
      <x:c r="U60" s="9" t="n">
        <x:f>F60+Inputs!$C$17/2</x:f>
        <x:v>1541.8582794492854</x:v>
      </x:c>
      <x:c r="V60" s="9" t="n">
        <x:f>ABS(P60)</x:f>
        <x:v>264.16130781663014</x:v>
      </x:c>
      <x:c r="W60" s="9" t="n">
        <x:f>ABS(Q60)</x:f>
        <x:v>39.663860032527054</x:v>
      </x:c>
      <x:c r="X60" s="9"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x:f>
        <x:v>-13.189582675327635</x:v>
      </x:c>
      <x:c r="Y60" s="9"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x:f>
        <x:v>353.2610093246909</x:v>
      </x:c>
      <x:c r="Z60" s="9" t="n">
        <x:f>B60-X60/1000</x:f>
        <x:v>401.08096736045314</x:v>
      </x:c>
      <x:c r="AA60" s="9" t="n">
        <x:f>SQRT((Inputs!$C$52+B60)^2+(Inputs!$C$52+Y60/1000)^2-2*(Inputs!$C$52+B60)*(Inputs!$C$52+Y60/1000)*COS(SQRT(A60^2+Inputs!$C$6^2)/Inputs!$C$52))</x:f>
        <x:v>403.19475470254764</x:v>
      </x:c>
      <x:c r="AB60" s="9" t="n">
        <x:f>(AA60-Z60)*1000</x:f>
        <x:v>2113.787342094497</x:v>
      </x:c>
      <x:c r="AC60" s="9" t="n">
        <x:f>AB60/Inputs!$C$12</x:f>
        <x:v>1187.5209787047736</x:v>
      </x:c>
      <x:c r="AD60" s="9" t="n">
        <x:f>2*AB60/Inputs!$C$21*1000000</x:f>
        <x:v>14.101671244141151</x:v>
      </x:c>
      <x:c r="AE60" s="9" t="n">
        <x:f>DEGREES(ATAN(H60/(B60-Y60/1000)))</x:f>
        <x:v>5.675646819713908</x:v>
      </x:c>
      <x:c r="AF60" s="9" t="n">
        <x:f>DEGREES((2*PI()/Inputs!$C$13)*Inputs!$C$15*SIN(RADIANS(AE60)))</x:f>
        <x:v>35.60284771260334</x:v>
      </x:c>
      <x:c r="AG60" s="9" t="n">
        <x:f>(Z60/AA60)^4</x:f>
        <x:v>0.9791939479579376</x:v>
      </x:c>
      <x:c r="AH60" s="9" t="n">
        <x:f>10*LOG10(AG60)</x:f>
        <x:v>-0.0913127940663743</x:v>
      </x:c>
      <x:c r="AI60" s="9" t="n">
        <x:f>AC60-F60</x:f>
        <x:v>-204.33730074451182</x:v>
      </x:c>
      <x:c r="AJ60" s="9" t="n">
        <x:f>AD60-G60</x:f>
        <x:v>-2.426481291435497</x:v>
      </x:c>
      <x:c r="AK60" s="9" t="n">
        <x:f>Y60-X60</x:f>
        <x:v>366.45059200001856</x:v>
      </x:c>
      <x:c r="AL60" s="9" t="n">
        <x:f>1000*(AA61-AA59)/(A61-A59)*Inputs!$C$11</x:f>
        <x:v>-595.3462319293976</x:v>
      </x:c>
      <x:c r="AM60" s="9" t="n">
        <x:f>-2*AL60/Inputs!$C$13</x:f>
        <x:v>238.13849277175905</x:v>
      </x:c>
      <x:c r="AN60" s="9" t="n">
        <x:f>-2*AL60/Inputs!$C$14</x:f>
        <x:v>35.75653044621007</x:v>
      </x:c>
      <x:c r="AO60" s="9" t="n">
        <x:f>ABS(AM60)</x:f>
        <x:v>238.13849277175905</x:v>
      </x:c>
      <x:c r="AP60" s="9" t="n">
        <x:f>ABS(AN60)</x:f>
        <x:v>35.75653044621007</x:v>
      </x:c>
      <x:c r="AQ60" s="9" t="n">
        <x:f>IF(OR(Inputs!$C$27=TRUE,Inputs!$C$27="TRUE",Inputs!$C$27=1),Inputs!$C$46/Inputs!$C$12,0)</x:f>
        <x:v>42.13483146067416</x:v>
      </x:c>
      <x:c r="AR60" s="9" t="n">
        <x:f>AC60-AQ60</x:f>
        <x:v>1145.3861472440994</x:v>
      </x:c>
      <x:c r="AS60" s="9" t="n">
        <x:f>AC60+AQ60</x:f>
        <x:v>1229.6558101654477</x:v>
      </x:c>
    </x:row>
    <x:row r="61">
      <x:c r="A61" s="9" t="n">
        <x:f>Inputs!$C$7+59*(Inputs!$C$8-Inputs!$C$7)/240</x:f>
        <x:v>-30.5</x:v>
      </x:c>
      <x:c r="B61" s="9" t="n">
        <x:f>Inputs!$C$5+Inputs!$C$9*(A61/Inputs!$C$10)^2</x:f>
        <x:v>401.0336111111111</x:v>
      </x:c>
      <x:c r="C61" s="9" t="n">
        <x:f>B61</x:f>
        <x:v>401.0336111111111</x:v>
      </x:c>
      <x:c r="D61" s="9" t="n">
        <x:f>SQRT((Inputs!$C$52+B61)^2+Inputs!$C$52^2-2*(Inputs!$C$52+B61)*Inputs!$C$52*COS(SQRT(A61^2+Inputs!$C$6^2)/Inputs!$C$52))</x:f>
        <x:v>403.46339465898114</x:v>
      </x:c>
      <x:c r="E61" s="9" t="n">
        <x:f>(D61-C61)*1000</x:f>
        <x:v>2429.783547870045</x:v>
      </x:c>
      <x:c r="F61" s="9" t="n">
        <x:f>E61/Inputs!$C$12</x:f>
        <x:v>1365.0469370056433</x:v>
      </x:c>
      <x:c r="G61" s="9" t="n">
        <x:f>2*E61/Inputs!$C$21*1000000</x:f>
        <x:v>16.209771013452546</x:v>
      </x:c>
      <x:c r="H61" s="9" t="n">
        <x:f>SQRT(A61^2+Inputs!$C$6^2)</x:f>
        <x:v>39.436658073421995</x:v>
      </x:c>
      <x:c r="I61" s="9" t="n">
        <x:f>DEGREES(ATAN(H61/B61))</x:f>
        <x:v>5.616268744710343</x:v>
      </x:c>
      <x:c r="J61" s="9" t="n">
        <x:f>DEGREES((2*PI()/Inputs!$C$13)*Inputs!$C$15*SIN(RADIANS(I61)))</x:f>
        <x:v>35.23157418054016</x:v>
      </x:c>
      <x:c r="K61" s="9" t="n">
        <x:f>(C61/D61)^4</x:f>
        <x:v>0.9761274783366204</x:v>
      </x:c>
      <x:c r="L61" s="9" t="n">
        <x:f>10*LOG10(K61)</x:f>
        <x:v>-0.104934615106677</x:v>
      </x:c>
      <x:c r="M61" s="9" t="n">
        <x:f>2*(Inputs!$C$9/(Inputs!$C$10^2))*A61</x:f>
        <x:v>-0.06777777777777778</x:v>
      </x:c>
      <x:c r="N61" s="9" t="n">
        <x:f>M61*Inputs!$C$11</x:f>
        <x:v>-0.27111111111111114</x:v>
      </x:c>
      <x:c r="O61" s="9" t="n">
        <x:f>1000*(D62-D60)/(A62-A60)*Inputs!$C$11</x:f>
        <x:v>-649.8480869720424</x:v>
      </x:c>
      <x:c r="P61" s="9" t="n">
        <x:f>-2*O61/Inputs!$C$13</x:f>
        <x:v>259.939234788817</x:v>
      </x:c>
      <x:c r="Q61" s="9" t="n">
        <x:f>-2*O61/Inputs!$C$14</x:f>
        <x:v>39.02991513345601</x:v>
      </x:c>
      <x:c r="R61" s="9" t="n">
        <x:f>F61-Inputs!$C$16/2</x:f>
        <x:v>1350.0469370056433</x:v>
      </x:c>
      <x:c r="S61" s="9" t="n">
        <x:f>F61+Inputs!$C$16/2</x:f>
        <x:v>1380.0469370056433</x:v>
      </x:c>
      <x:c r="T61" s="9" t="n">
        <x:f>F61-Inputs!$C$17/2</x:f>
        <x:v>1215.0469370056433</x:v>
      </x:c>
      <x:c r="U61" s="9" t="n">
        <x:f>F61+Inputs!$C$17/2</x:f>
        <x:v>1515.0469370056433</x:v>
      </x:c>
      <x:c r="V61" s="9" t="n">
        <x:f>ABS(P61)</x:f>
        <x:v>259.939234788817</x:v>
      </x:c>
      <x:c r="W61" s="9" t="n">
        <x:f>ABS(Q61)</x:f>
        <x:v>39.02991513345601</x:v>
      </x:c>
      <x:c r="X61" s="9"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x:f>
        <x:v>-7.467318037700602</x:v>
      </x:c>
      <x:c r="Y61" s="9"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x:f>
        <x:v>338.6571544092517</x:v>
      </x:c>
      <x:c r="Z61" s="9" t="n">
        <x:f>B61-X61/1000</x:f>
        <x:v>401.0410784291488</x:v>
      </x:c>
      <x:c r="AA61" s="9" t="n">
        <x:f>SQRT((Inputs!$C$52+B61)^2+(Inputs!$C$52+Y61/1000)^2-2*(Inputs!$C$52+B61)*(Inputs!$C$52+Y61/1000)*COS(SQRT(A61^2+Inputs!$C$6^2)/Inputs!$C$52))</x:f>
        <x:v>403.12730477006664</x:v>
      </x:c>
      <x:c r="AB61" s="9" t="n">
        <x:f>(AA61-Z61)*1000</x:f>
        <x:v>2086.2263409178468</x:v>
      </x:c>
      <x:c r="AC61" s="9" t="n">
        <x:f>AB61/Inputs!$C$12</x:f>
        <x:v>1172.0372701785657</x:v>
      </x:c>
      <x:c r="AD61" s="9" t="n">
        <x:f>2*AB61/Inputs!$C$21*1000000</x:f>
        <x:v>13.91780403573626</x:v>
      </x:c>
      <x:c r="AE61" s="9" t="n">
        <x:f>DEGREES(ATAN(H61/(B61-Y61/1000)))</x:f>
        <x:v>5.6209850863903705</x:v>
      </x:c>
      <x:c r="AF61" s="9" t="n">
        <x:f>DEGREES((2*PI()/Inputs!$C$13)*Inputs!$C$15*SIN(RADIANS(AE61)))</x:f>
        <x:v>35.26106545806163</x:v>
      </x:c>
      <x:c r="AG61" s="9" t="n">
        <x:f>(Z61/AA61)^4</x:f>
        <x:v>0.9794597145400455</x:v>
      </x:c>
      <x:c r="AH61" s="9" t="n">
        <x:f>10*LOG10(AG61)</x:f>
        <x:v>-0.09013421958940501</x:v>
      </x:c>
      <x:c r="AI61" s="9" t="n">
        <x:f>AC61-F61</x:f>
        <x:v>-193.00966682707758</x:v>
      </x:c>
      <x:c r="AJ61" s="9" t="n">
        <x:f>AD61-G61</x:f>
        <x:v>-2.291966977716285</x:v>
      </x:c>
      <x:c r="AK61" s="9" t="n">
        <x:f>Y61-X61</x:f>
        <x:v>346.12447244695227</x:v>
      </x:c>
      <x:c r="AL61" s="9" t="n">
        <x:f>1000*(AA62-AA60)/(A62-A60)*Inputs!$C$11</x:f>
        <x:v>-585.6083447201854</x:v>
      </x:c>
      <x:c r="AM61" s="9" t="n">
        <x:f>-2*AL61/Inputs!$C$13</x:f>
        <x:v>234.24333788807417</x:v>
      </x:c>
      <x:c r="AN61" s="9" t="n">
        <x:f>-2*AL61/Inputs!$C$14</x:f>
        <x:v>35.17167235556669</x:v>
      </x:c>
      <x:c r="AO61" s="9" t="n">
        <x:f>ABS(AM61)</x:f>
        <x:v>234.24333788807417</x:v>
      </x:c>
      <x:c r="AP61" s="9" t="n">
        <x:f>ABS(AN61)</x:f>
        <x:v>35.17167235556669</x:v>
      </x:c>
      <x:c r="AQ61" s="9" t="n">
        <x:f>IF(OR(Inputs!$C$27=TRUE,Inputs!$C$27="TRUE",Inputs!$C$27=1),Inputs!$C$46/Inputs!$C$12,0)</x:f>
        <x:v>42.13483146067416</x:v>
      </x:c>
      <x:c r="AR61" s="9" t="n">
        <x:f>AC61-AQ61</x:f>
        <x:v>1129.9024387178915</x:v>
      </x:c>
      <x:c r="AS61" s="9" t="n">
        <x:f>AC61+AQ61</x:f>
        <x:v>1214.1721016392398</x:v>
      </x:c>
    </x:row>
    <x:row r="62">
      <x:c r="A62" s="9" t="n">
        <x:f>Inputs!$C$7+60*(Inputs!$C$8-Inputs!$C$7)/240</x:f>
        <x:v>-30</x:v>
      </x:c>
      <x:c r="B62" s="9" t="n">
        <x:f>Inputs!$C$5+Inputs!$C$9*(A62/Inputs!$C$10)^2</x:f>
        <x:v>401</x:v>
      </x:c>
      <x:c r="C62" s="9" t="n">
        <x:f>B62</x:f>
        <x:v>401</x:v>
      </x:c>
      <x:c r="D62" s="9" t="n">
        <x:f>SQRT((Inputs!$C$52+B62)^2+Inputs!$C$52^2-2*(Inputs!$C$52+B62)*Inputs!$C$52*COS(SQRT(A62^2+Inputs!$C$6^2)/Inputs!$C$52))</x:f>
        <x:v>403.3828234934545</x:v>
      </x:c>
      <x:c r="E62" s="9" t="n">
        <x:f>(D62-C62)*1000</x:f>
        <x:v>2382.8234934545094</x:v>
      </x:c>
      <x:c r="F62" s="9" t="n">
        <x:f>E62/Inputs!$C$12</x:f>
        <x:v>1338.6648839632076</x:v>
      </x:c>
      <x:c r="G62" s="9" t="n">
        <x:f>2*E62/Inputs!$C$21*1000000</x:f>
        <x:v>15.896487252221066</x:v>
      </x:c>
      <x:c r="H62" s="9" t="n">
        <x:f>SQRT(A62^2+Inputs!$C$6^2)</x:f>
        <x:v>39.05124837953327</x:v>
      </x:c>
      <x:c r="I62" s="9" t="n">
        <x:f>DEGREES(ATAN(H62/B62))</x:f>
        <x:v>5.562190700603825</x:v>
      </x:c>
      <x:c r="J62" s="9" t="n">
        <x:f>DEGREES((2*PI()/Inputs!$C$13)*Inputs!$C$15*SIN(RADIANS(I62)))</x:f>
        <x:v>34.893407239514076</x:v>
      </x:c>
      <x:c r="K62" s="9" t="n">
        <x:f>(C62/D62)^4</x:f>
        <x:v>0.9765801317578781</x:v>
      </x:c>
      <x:c r="L62" s="9" t="n">
        <x:f>10*LOG10(K62)</x:f>
        <x:v>-0.10292115558440401</x:v>
      </x:c>
      <x:c r="M62" s="9" t="n">
        <x:f>2*(Inputs!$C$9/(Inputs!$C$10^2))*A62</x:f>
        <x:v>-0.06666666666666667</x:v>
      </x:c>
      <x:c r="N62" s="9" t="n">
        <x:f>M62*Inputs!$C$11</x:f>
        <x:v>-0.26666666666666666</x:v>
      </x:c>
      <x:c r="O62" s="9" t="n">
        <x:f>1000*(D63-D61)/(A63-A61)*Inputs!$C$11</x:f>
        <x:v>-639.2882542627376</x:v>
      </x:c>
      <x:c r="P62" s="9" t="n">
        <x:f>-2*O62/Inputs!$C$13</x:f>
        <x:v>255.71530170509504</x:v>
      </x:c>
      <x:c r="Q62" s="9" t="n">
        <x:f>-2*O62/Inputs!$C$14</x:f>
        <x:v>38.39569094671097</x:v>
      </x:c>
      <x:c r="R62" s="9" t="n">
        <x:f>F62-Inputs!$C$16/2</x:f>
        <x:v>1323.6648839632076</x:v>
      </x:c>
      <x:c r="S62" s="9" t="n">
        <x:f>F62+Inputs!$C$16/2</x:f>
        <x:v>1353.6648839632076</x:v>
      </x:c>
      <x:c r="T62" s="9" t="n">
        <x:f>F62-Inputs!$C$17/2</x:f>
        <x:v>1188.6648839632076</x:v>
      </x:c>
      <x:c r="U62" s="9" t="n">
        <x:f>F62+Inputs!$C$17/2</x:f>
        <x:v>1488.6648839632076</x:v>
      </x:c>
      <x:c r="V62" s="9" t="n">
        <x:f>ABS(P62)</x:f>
        <x:v>255.71530170509504</x:v>
      </x:c>
      <x:c r="W62" s="9" t="n">
        <x:f>ABS(Q62)</x:f>
        <x:v>38.39569094671097</x:v>
      </x:c>
      <x:c r="X62" s="9"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x:f>
        <x:v>-17.51801383367469</x:v>
      </x:c>
      <x:c r="Y62" s="9"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x:f>
        <x:v>336.97644838088075</x:v>
      </x:c>
      <x:c r="Z62" s="9" t="n">
        <x:f>B62-X62/1000</x:f>
        <x:v>401.0175180138337</x:v>
      </x:c>
      <x:c r="AA62" s="9" t="n">
        <x:f>SQRT((Inputs!$C$52+B62)^2+(Inputs!$C$52+Y62/1000)^2-2*(Inputs!$C$52+B62)*(Inputs!$C$52+Y62/1000)*COS(SQRT(A62^2+Inputs!$C$6^2)/Inputs!$C$52))</x:f>
        <x:v>403.0483526163676</x:v>
      </x:c>
      <x:c r="AB62" s="9" t="n">
        <x:f>(AA62-Z62)*1000</x:f>
        <x:v>2030.8346025339006</x:v>
      </x:c>
      <x:c r="AC62" s="9" t="n">
        <x:f>AB62/Inputs!$C$12</x:f>
        <x:v>1140.9183160302812</x:v>
      </x:c>
      <x:c r="AD62" s="9" t="n">
        <x:f>2*AB62/Inputs!$C$21*1000000</x:f>
        <x:v>13.548270133826387</x:v>
      </x:c>
      <x:c r="AE62" s="9" t="n">
        <x:f>DEGREES(ATAN(H62/(B62-Y62/1000)))</x:f>
        <x:v>5.5668393917384416</x:v>
      </x:c>
      <x:c r="AF62" s="9" t="n">
        <x:f>DEGREES((2*PI()/Inputs!$C$13)*Inputs!$C$15*SIN(RADIANS(AE62)))</x:f>
        <x:v>34.92247818610745</x:v>
      </x:c>
      <x:c r="AG62" s="9" t="n">
        <x:f>(Z62/AA62)^4</x:f>
        <x:v>0.9799970700944477</x:v>
      </x:c>
      <x:c r="AH62" s="9" t="n">
        <x:f>10*LOG10(AG62)</x:f>
        <x:v>-0.0877522271946022</x:v>
      </x:c>
      <x:c r="AI62" s="9" t="n">
        <x:f>AC62-F62</x:f>
        <x:v>-197.74656793292638</x:v>
      </x:c>
      <x:c r="AJ62" s="9" t="n">
        <x:f>AD62-G62</x:f>
        <x:v>-2.348217118394679</x:v>
      </x:c>
      <x:c r="AK62" s="9" t="n">
        <x:f>Y62-X62</x:f>
        <x:v>354.4944622145554</x:v>
      </x:c>
      <x:c r="AL62" s="9" t="n">
        <x:f>1000*(AA63-AA61)/(A63-A61)*Inputs!$C$11</x:f>
        <x:v>-590.4015835149039</x:v>
      </x:c>
      <x:c r="AM62" s="9" t="n">
        <x:f>-2*AL62/Inputs!$C$13</x:f>
        <x:v>236.16063340596156</x:v>
      </x:c>
      <x:c r="AN62" s="9" t="n">
        <x:f>-2*AL62/Inputs!$C$14</x:f>
        <x:v>35.4595545654597</x:v>
      </x:c>
      <x:c r="AO62" s="9" t="n">
        <x:f>ABS(AM62)</x:f>
        <x:v>236.16063340596156</x:v>
      </x:c>
      <x:c r="AP62" s="9" t="n">
        <x:f>ABS(AN62)</x:f>
        <x:v>35.4595545654597</x:v>
      </x:c>
      <x:c r="AQ62" s="9" t="n">
        <x:f>IF(OR(Inputs!$C$27=TRUE,Inputs!$C$27="TRUE",Inputs!$C$27=1),Inputs!$C$46/Inputs!$C$12,0)</x:f>
        <x:v>42.13483146067416</x:v>
      </x:c>
      <x:c r="AR62" s="9" t="n">
        <x:f>AC62-AQ62</x:f>
        <x:v>1098.783484569607</x:v>
      </x:c>
      <x:c r="AS62" s="9" t="n">
        <x:f>AC62+AQ62</x:f>
        <x:v>1183.0531474909553</x:v>
      </x:c>
    </x:row>
    <x:row r="63">
      <x:c r="A63" s="9" t="n">
        <x:f>Inputs!$C$7+61*(Inputs!$C$8-Inputs!$C$7)/240</x:f>
        <x:v>-29.5</x:v>
      </x:c>
      <x:c r="B63" s="9" t="n">
        <x:f>Inputs!$C$5+Inputs!$C$9*(A63/Inputs!$C$10)^2</x:f>
        <x:v>400.96694444444444</x:v>
      </x:c>
      <x:c r="C63" s="9" t="n">
        <x:f>B63</x:f>
        <x:v>400.96694444444444</x:v>
      </x:c>
      <x:c r="D63" s="9" t="n">
        <x:f>SQRT((Inputs!$C$52+B63)^2+Inputs!$C$52^2-2*(Inputs!$C$52+B63)*Inputs!$C$52*COS(SQRT(A63^2+Inputs!$C$6^2)/Inputs!$C$52))</x:f>
        <x:v>403.30357259541546</x:v>
      </x:c>
      <x:c r="E63" s="9" t="n">
        <x:f>(D63-C63)*1000</x:f>
        <x:v>2336.6281509710234</x:v>
      </x:c>
      <x:c r="F63" s="9" t="n">
        <x:f>E63/Inputs!$C$12</x:f>
        <x:v>1312.7124443657435</x:v>
      </x:c>
      <x:c r="G63" s="9" t="n">
        <x:f>2*E63/Inputs!$C$21*1000000</x:f>
        <x:v>15.58830509986361</x:v>
      </x:c>
      <x:c r="H63" s="9" t="n">
        <x:f>SQRT(A63^2+Inputs!$C$6^2)</x:f>
        <x:v>38.66846260197062</x:v>
      </x:c>
      <x:c r="I63" s="9" t="n">
        <x:f>DEGREES(ATAN(H63/B63))</x:f>
        <x:v>5.508457547244826</x:v>
      </x:c>
      <x:c r="J63" s="9" t="n">
        <x:f>DEGREES((2*PI()/Inputs!$C$13)*Inputs!$C$15*SIN(RADIANS(I63)))</x:f>
        <x:v>34.55736622018927</x:v>
      </x:c>
      <x:c r="K63" s="9" t="n">
        <x:f>(C63/D63)^4</x:f>
        <x:v>0.9770257446408893</x:v>
      </x:c>
      <x:c r="L63" s="9" t="n">
        <x:f>10*LOG10(K63)</x:f>
        <x:v>-0.100939924652914</x:v>
      </x:c>
      <x:c r="M63" s="9" t="n">
        <x:f>2*(Inputs!$C$9/(Inputs!$C$10^2))*A63</x:f>
        <x:v>-0.06555555555555556</x:v>
      </x:c>
      <x:c r="N63" s="9" t="n">
        <x:f>M63*Inputs!$C$11</x:f>
        <x:v>-0.26222222222222225</x:v>
      </x:c>
      <x:c r="O63" s="9" t="n">
        <x:f>1000*(D64-D62)/(A64-A62)*Inputs!$C$11</x:f>
        <x:v>-628.7238430963953</x:v>
      </x:c>
      <x:c r="P63" s="9" t="n">
        <x:f>-2*O63/Inputs!$C$13</x:f>
        <x:v>251.4895372385581</x:v>
      </x:c>
      <x:c r="Q63" s="9" t="n">
        <x:f>-2*O63/Inputs!$C$14</x:f>
        <x:v>37.76119177756128</x:v>
      </x:c>
      <x:c r="R63" s="9" t="n">
        <x:f>F63-Inputs!$C$16/2</x:f>
        <x:v>1297.7124443657435</x:v>
      </x:c>
      <x:c r="S63" s="9" t="n">
        <x:f>F63+Inputs!$C$16/2</x:f>
        <x:v>1327.7124443657435</x:v>
      </x:c>
      <x:c r="T63" s="9" t="n">
        <x:f>F63-Inputs!$C$17/2</x:f>
        <x:v>1162.7124443657435</x:v>
      </x:c>
      <x:c r="U63" s="9" t="n">
        <x:f>F63+Inputs!$C$17/2</x:f>
        <x:v>1462.7124443657435</x:v>
      </x:c>
      <x:c r="V63" s="9" t="n">
        <x:f>ABS(P63)</x:f>
        <x:v>251.4895372385581</x:v>
      </x:c>
      <x:c r="W63" s="9" t="n">
        <x:f>ABS(Q63)</x:f>
        <x:v>37.76119177756128</x:v>
      </x:c>
      <x:c r="X63" s="9"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x:f>
        <x:v>-36.167878297776255</x:v>
      </x:c>
      <x:c r="Y63" s="9"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x:f>
        <x:v>326.24732503276135</x:v>
      </x:c>
      <x:c r="Z63" s="9" t="n">
        <x:f>B63-X63/1000</x:f>
        <x:v>401.0031123227422</x:v>
      </x:c>
      <x:c r="AA63" s="9" t="n">
        <x:f>SQRT((Inputs!$C$52+B63)^2+(Inputs!$C$52+Y63/1000)^2-2*(Inputs!$C$52+B63)*(Inputs!$C$52+Y63/1000)*COS(SQRT(A63^2+Inputs!$C$6^2)/Inputs!$C$52))</x:f>
        <x:v>402.9797043741879</x:v>
      </x:c>
      <x:c r="AB63" s="9" t="n">
        <x:f>(AA63-Z63)*1000</x:f>
        <x:v>1976.5920514457207</x:v>
      </x:c>
      <x:c r="AC63" s="9" t="n">
        <x:f>AB63/Inputs!$C$12</x:f>
        <x:v>1110.444972722315</x:v>
      </x:c>
      <x:c r="AD63" s="9" t="n">
        <x:f>2*AB63/Inputs!$C$21*1000000</x:f>
        <x:v>13.18640278432702</x:v>
      </x:c>
      <x:c r="AE63" s="9" t="n">
        <x:f>DEGREES(ATAN(H63/(B63-Y63/1000)))</x:f>
        <x:v>5.512915538417944</x:v>
      </x:c>
      <x:c r="AF63" s="9" t="n">
        <x:f>DEGREES((2*PI()/Inputs!$C$13)*Inputs!$C$15*SIN(RADIANS(AE63)))</x:f>
        <x:v>34.58524714934782</x:v>
      </x:c>
      <x:c r="AG63" s="9" t="n">
        <x:f>(Z63/AA63)^4</x:f>
        <x:v>0.9805241115448593</x:v>
      </x:c>
      <x:c r="AH63" s="9" t="n">
        <x:f>10*LOG10(AG63)</x:f>
        <x:v>-0.0854172236118253</x:v>
      </x:c>
      <x:c r="AI63" s="9" t="n">
        <x:f>AC63-F63</x:f>
        <x:v>-202.2674716434285</x:v>
      </x:c>
      <x:c r="AJ63" s="9" t="n">
        <x:f>AD63-G63</x:f>
        <x:v>-2.4019023155365904</x:v>
      </x:c>
      <x:c r="AK63" s="9" t="n">
        <x:f>Y63-X63</x:f>
        <x:v>362.4152033305376</x:v>
      </x:c>
      <x:c r="AL63" s="9" t="n">
        <x:f>1000*(AA64-AA62)/(A64-A62)*Inputs!$C$11</x:f>
        <x:v>-608.8556505005727</x:v>
      </x:c>
      <x:c r="AM63" s="9" t="n">
        <x:f>-2*AL63/Inputs!$C$13</x:f>
        <x:v>243.54226020022907</x:v>
      </x:c>
      <x:c r="AN63" s="9" t="n">
        <x:f>-2*AL63/Inputs!$C$14</x:f>
        <x:v>36.56790693697133</x:v>
      </x:c>
      <x:c r="AO63" s="9" t="n">
        <x:f>ABS(AM63)</x:f>
        <x:v>243.54226020022907</x:v>
      </x:c>
      <x:c r="AP63" s="9" t="n">
        <x:f>ABS(AN63)</x:f>
        <x:v>36.56790693697133</x:v>
      </x:c>
      <x:c r="AQ63" s="9" t="n">
        <x:f>IF(OR(Inputs!$C$27=TRUE,Inputs!$C$27="TRUE",Inputs!$C$27=1),Inputs!$C$46/Inputs!$C$12,0)</x:f>
        <x:v>42.13483146067416</x:v>
      </x:c>
      <x:c r="AR63" s="9" t="n">
        <x:f>AC63-AQ63</x:f>
        <x:v>1068.3101412616409</x:v>
      </x:c>
      <x:c r="AS63" s="9" t="n">
        <x:f>AC63+AQ63</x:f>
        <x:v>1152.5798041829892</x:v>
      </x:c>
    </x:row>
    <x:row r="64">
      <x:c r="A64" s="9" t="n">
        <x:f>Inputs!$C$7+62*(Inputs!$C$8-Inputs!$C$7)/240</x:f>
        <x:v>-29</x:v>
      </x:c>
      <x:c r="B64" s="9" t="n">
        <x:f>Inputs!$C$5+Inputs!$C$9*(A64/Inputs!$C$10)^2</x:f>
        <x:v>400.93444444444447</x:v>
      </x:c>
      <x:c r="C64" s="9" t="n">
        <x:f>B64</x:f>
        <x:v>400.93444444444447</x:v>
      </x:c>
      <x:c r="D64" s="9" t="n">
        <x:f>SQRT((Inputs!$C$52+B64)^2+Inputs!$C$52^2-2*(Inputs!$C$52+B64)*Inputs!$C$52*COS(SQRT(A64^2+Inputs!$C$6^2)/Inputs!$C$52))</x:f>
        <x:v>403.2256425326804</x:v>
      </x:c>
      <x:c r="E64" s="9" t="n">
        <x:f>(D64-C64)*1000</x:f>
        <x:v>2291.1980882359444</x:v>
      </x:c>
      <x:c r="F64" s="9" t="n">
        <x:f>E64/Inputs!$C$12</x:f>
        <x:v>1287.1899372112048</x:v>
      </x:c>
      <x:c r="G64" s="9" t="n">
        <x:f>2*E64/Inputs!$C$21*1000000</x:f>
        <x:v>15.285228344443171</x:v>
      </x:c>
      <x:c r="H64" s="9" t="n">
        <x:f>SQRT(A64^2+Inputs!$C$6^2)</x:f>
        <x:v>38.28837943815329</x:v>
      </x:c>
      <x:c r="I64" s="9" t="n">
        <x:f>DEGREES(ATAN(H64/B64))</x:f>
        <x:v>5.455081025841907</x:v>
      </x:c>
      <x:c r="J64" s="9" t="n">
        <x:f>DEGREES((2*PI()/Inputs!$C$13)*Inputs!$C$15*SIN(RADIANS(I64)))</x:f>
        <x:v>34.2235254443067</x:v>
      </x:c>
      <x:c r="K64" s="9" t="n">
        <x:f>(C64/D64)^4</x:f>
        <x:v>0.9774642955027582</x:v>
      </x:c>
      <x:c r="L64" s="9" t="n">
        <x:f>10*LOG10(K64)</x:f>
        <x:v>-0.098990974096728</x:v>
      </x:c>
      <x:c r="M64" s="9" t="n">
        <x:f>2*(Inputs!$C$9/(Inputs!$C$10^2))*A64</x:f>
        <x:v>-0.06444444444444444</x:v>
      </x:c>
      <x:c r="N64" s="9" t="n">
        <x:f>M64*Inputs!$C$11</x:f>
        <x:v>-0.2577777777777778</x:v>
      </x:c>
      <x:c r="O64" s="9" t="n">
        <x:f>1000*(D65-D63)/(A65-A63)*Inputs!$C$11</x:f>
        <x:v>-618.1549253624326</x:v>
      </x:c>
      <x:c r="P64" s="9" t="n">
        <x:f>-2*O64/Inputs!$C$13</x:f>
        <x:v>247.26197014497302</x:v>
      </x:c>
      <x:c r="Q64" s="9" t="n">
        <x:f>-2*O64/Inputs!$C$14</x:f>
        <x:v>37.12642194368964</x:v>
      </x:c>
      <x:c r="R64" s="9" t="n">
        <x:f>F64-Inputs!$C$16/2</x:f>
        <x:v>1272.1899372112048</x:v>
      </x:c>
      <x:c r="S64" s="9" t="n">
        <x:f>F64+Inputs!$C$16/2</x:f>
        <x:v>1302.1899372112048</x:v>
      </x:c>
      <x:c r="T64" s="9" t="n">
        <x:f>F64-Inputs!$C$17/2</x:f>
        <x:v>1137.1899372112048</x:v>
      </x:c>
      <x:c r="U64" s="9" t="n">
        <x:f>F64+Inputs!$C$17/2</x:f>
        <x:v>1437.1899372112048</x:v>
      </x:c>
      <x:c r="V64" s="9" t="n">
        <x:f>ABS(P64)</x:f>
        <x:v>247.26197014497302</x:v>
      </x:c>
      <x:c r="W64" s="9" t="n">
        <x:f>ABS(Q64)</x:f>
        <x:v>37.12642194368964</x:v>
      </x:c>
      <x:c r="X64" s="9"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x:f>
        <x:v>-22.86382175599607</x:v>
      </x:c>
      <x:c r="Y64" s="9"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x:f>
        <x:v>331.8773601232655</x:v>
      </x:c>
      <x:c r="Z64" s="9" t="n">
        <x:f>B64-X64/1000</x:f>
        <x:v>400.95730826620047</x:v>
      </x:c>
      <x:c r="AA64" s="9" t="n">
        <x:f>SQRT((Inputs!$C$52+B64)^2+(Inputs!$C$52+Y64/1000)^2-2*(Inputs!$C$52+B64)*(Inputs!$C$52+Y64/1000)*COS(SQRT(A64^2+Inputs!$C$6^2)/Inputs!$C$52))</x:f>
        <x:v>402.89613870374245</x:v>
      </x:c>
      <x:c r="AB64" s="9" t="n">
        <x:f>(AA64-Z64)*1000</x:f>
        <x:v>1938.8304375419807</x:v>
      </x:c>
      <x:c r="AC64" s="9" t="n">
        <x:f>AB64/Inputs!$C$12</x:f>
        <x:v>1089.2305828887531</x:v>
      </x:c>
      <x:c r="AD64" s="9" t="n">
        <x:f>2*AB64/Inputs!$C$21*1000000</x:f>
        <x:v>12.934484412826562</x:v>
      </x:c>
      <x:c r="AE64" s="9" t="n">
        <x:f>DEGREES(ATAN(H64/(B64-Y64/1000)))</x:f>
        <x:v>5.459572967954155</x:v>
      </x:c>
      <x:c r="AF64" s="9" t="n">
        <x:f>DEGREES((2*PI()/Inputs!$C$13)*Inputs!$C$15*SIN(RADIANS(AE64)))</x:f>
        <x:v>34.25162121958299</x:v>
      </x:c>
      <x:c r="AG64" s="9" t="n">
        <x:f>(Z64/AA64)^4</x:f>
        <x:v>0.9808895649367982</x:v>
      </x:c>
      <x:c r="AH64" s="9" t="n">
        <x:f>10*LOG10(AG64)</x:f>
        <x:v>-0.0837988562551417</x:v>
      </x:c>
      <x:c r="AI64" s="9" t="n">
        <x:f>AC64-F64</x:f>
        <x:v>-197.95935432245165</x:v>
      </x:c>
      <x:c r="AJ64" s="9" t="n">
        <x:f>AD64-G64</x:f>
        <x:v>-2.350743931616609</x:v>
      </x:c>
      <x:c r="AK64" s="9" t="n">
        <x:f>Y64-X64</x:f>
        <x:v>354.74118187926155</x:v>
      </x:c>
      <x:c r="AL64" s="9" t="n">
        <x:f>1000*(AA65-AA63)/(A65-A63)*Inputs!$C$11</x:f>
        <x:v>-554.948785306351</x:v>
      </x:c>
      <x:c r="AM64" s="9" t="n">
        <x:f>-2*AL64/Inputs!$C$13</x:f>
        <x:v>221.97951412254042</x:v>
      </x:c>
      <x:c r="AN64" s="9" t="n">
        <x:f>-2*AL64/Inputs!$C$14</x:f>
        <x:v>33.33025737575682</x:v>
      </x:c>
      <x:c r="AO64" s="9" t="n">
        <x:f>ABS(AM64)</x:f>
        <x:v>221.97951412254042</x:v>
      </x:c>
      <x:c r="AP64" s="9" t="n">
        <x:f>ABS(AN64)</x:f>
        <x:v>33.33025737575682</x:v>
      </x:c>
      <x:c r="AQ64" s="9" t="n">
        <x:f>IF(OR(Inputs!$C$27=TRUE,Inputs!$C$27="TRUE",Inputs!$C$27=1),Inputs!$C$46/Inputs!$C$12,0)</x:f>
        <x:v>42.13483146067416</x:v>
      </x:c>
      <x:c r="AR64" s="9" t="n">
        <x:f>AC64-AQ64</x:f>
        <x:v>1047.095751428079</x:v>
      </x:c>
      <x:c r="AS64" s="9" t="n">
        <x:f>AC64+AQ64</x:f>
        <x:v>1131.3654143494273</x:v>
      </x:c>
    </x:row>
    <x:row r="65">
      <x:c r="A65" s="9" t="n">
        <x:f>Inputs!$C$7+63*(Inputs!$C$8-Inputs!$C$7)/240</x:f>
        <x:v>-28.5</x:v>
      </x:c>
      <x:c r="B65" s="9" t="n">
        <x:f>Inputs!$C$5+Inputs!$C$9*(A65/Inputs!$C$10)^2</x:f>
        <x:v>400.9025</x:v>
      </x:c>
      <x:c r="C65" s="9" t="n">
        <x:f>B65</x:f>
        <x:v>400.9025</x:v>
      </x:c>
      <x:c r="D65" s="9" t="n">
        <x:f>SQRT((Inputs!$C$52+B65)^2+Inputs!$C$52^2-2*(Inputs!$C$52+B65)*Inputs!$C$52*COS(SQRT(A65^2+Inputs!$C$6^2)/Inputs!$C$52))</x:f>
        <x:v>403.14903386407485</x:v>
      </x:c>
      <x:c r="E65" s="9" t="n">
        <x:f>(D65-C65)*1000</x:f>
        <x:v>2246.533864074877</x:v>
      </x:c>
      <x:c r="F65" s="9" t="n">
        <x:f>E65/Inputs!$C$12</x:f>
        <x:v>1262.09767644656</x:v>
      </x:c>
      <x:c r="G65" s="9" t="n">
        <x:f>2*E65/Inputs!$C$21*1000000</x:f>
        <x:v>14.987260714042893</x:v>
      </x:c>
      <x:c r="H65" s="9" t="n">
        <x:f>SQRT(A65^2+Inputs!$C$6^2)</x:f>
        <x:v>37.911080174534725</x:v>
      </x:c>
      <x:c r="I65" s="9" t="n">
        <x:f>DEGREES(ATAN(H65/B65))</x:f>
        <x:v>5.402073248314196</x:v>
      </x:c>
      <x:c r="J65" s="9" t="n">
        <x:f>DEGREES((2*PI()/Inputs!$C$13)*Inputs!$C$15*SIN(RADIANS(I65)))</x:f>
        <x:v>33.891961563301656</x:v>
      </x:c>
      <x:c r="K65" s="9" t="n">
        <x:f>(C65/D65)^4</x:f>
        <x:v>0.9778957631734654</x:v>
      </x:c>
      <x:c r="L65" s="9" t="n">
        <x:f>10*LOG10(K65)</x:f>
        <x:v>-0.0970743548969278</x:v>
      </x:c>
      <x:c r="M65" s="9" t="n">
        <x:f>2*(Inputs!$C$9/(Inputs!$C$10^2))*A65</x:f>
        <x:v>-0.06333333333333334</x:v>
      </x:c>
      <x:c r="N65" s="9" t="n">
        <x:f>M65*Inputs!$C$11</x:f>
        <x:v>-0.25333333333333335</x:v>
      </x:c>
      <x:c r="O65" s="9" t="n">
        <x:f>1000*(D66-D64)/(A66-A64)*Inputs!$C$11</x:f>
        <x:v>-607.581573135576</x:v>
      </x:c>
      <x:c r="P65" s="9" t="n">
        <x:f>-2*O65/Inputs!$C$13</x:f>
        <x:v>243.03262925423041</x:v>
      </x:c>
      <x:c r="Q65" s="9" t="n">
        <x:f>-2*O65/Inputs!$C$14</x:f>
        <x:v>36.491385773908476</x:v>
      </x:c>
      <x:c r="R65" s="9" t="n">
        <x:f>F65-Inputs!$C$16/2</x:f>
        <x:v>1247.09767644656</x:v>
      </x:c>
      <x:c r="S65" s="9" t="n">
        <x:f>F65+Inputs!$C$16/2</x:f>
        <x:v>1277.09767644656</x:v>
      </x:c>
      <x:c r="T65" s="9" t="n">
        <x:f>F65-Inputs!$C$17/2</x:f>
        <x:v>1112.09767644656</x:v>
      </x:c>
      <x:c r="U65" s="9" t="n">
        <x:f>F65+Inputs!$C$17/2</x:f>
        <x:v>1412.09767644656</x:v>
      </x:c>
      <x:c r="V65" s="9" t="n">
        <x:f>ABS(P65)</x:f>
        <x:v>243.03262925423041</x:v>
      </x:c>
      <x:c r="W65" s="9" t="n">
        <x:f>ABS(Q65)</x:f>
        <x:v>36.491385773908476</x:v>
      </x:c>
      <x:c r="X65" s="9"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x:f>
        <x:v>-29.731374520275047</x:v>
      </x:c>
      <x:c r="Y65" s="9"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x:f>
        <x:v>310.24247262167495</x:v>
      </x:c>
      <x:c r="Z65" s="9" t="n">
        <x:f>B65-X65/1000</x:f>
        <x:v>400.93223137452026</x:v>
      </x:c>
      <x:c r="AA65" s="9" t="n">
        <x:f>SQRT((Inputs!$C$52+B65)^2+(Inputs!$C$52+Y65/1000)^2-2*(Inputs!$C$52+B65)*(Inputs!$C$52+Y65/1000)*COS(SQRT(A65^2+Inputs!$C$6^2)/Inputs!$C$52))</x:f>
        <x:v>402.84096717786133</x:v>
      </x:c>
      <x:c r="AB65" s="9" t="n">
        <x:f>(AA65-Z65)*1000</x:f>
        <x:v>1908.7358033410737</x:v>
      </x:c>
      <x:c r="AC65" s="9" t="n">
        <x:f>AB65/Inputs!$C$12</x:f>
        <x:v>1072.3234850230751</x:v>
      </x:c>
      <x:c r="AD65" s="9" t="n">
        <x:f>2*AB65/Inputs!$C$21*1000000</x:f>
        <x:v>12.733714624275663</x:v>
      </x:c>
      <x:c r="AE65" s="9" t="n">
        <x:f>DEGREES(ATAN(H65/(B65-Y65/1000)))</x:f>
        <x:v>5.406232156829509</x:v>
      </x:c>
      <x:c r="AF65" s="9" t="n">
        <x:f>DEGREES((2*PI()/Inputs!$C$13)*Inputs!$C$15*SIN(RADIANS(AE65)))</x:f>
        <x:v>33.91797660670998</x:v>
      </x:c>
      <x:c r="AG65" s="9" t="n">
        <x:f>(Z65/AA65)^4</x:f>
        <x:v>0.981181529800894</x:v>
      </x:c>
      <x:c r="AH65" s="9" t="n">
        <x:f>10*LOG10(AG65)</x:f>
        <x:v>-0.08250635741896399</x:v>
      </x:c>
      <x:c r="AI65" s="9" t="n">
        <x:f>AC65-F65</x:f>
        <x:v>-189.7741914234848</x:v>
      </x:c>
      <x:c r="AJ65" s="9" t="n">
        <x:f>AD65-G65</x:f>
        <x:v>-2.25354608976723</x:v>
      </x:c>
      <x:c r="AK65" s="9" t="n">
        <x:f>Y65-X65</x:f>
        <x:v>339.97384714195</x:v>
      </x:c>
      <x:c r="AL65" s="9" t="n">
        <x:f>1000*(AA66-AA64)/(A66-A64)*Inputs!$C$11</x:f>
        <x:v>-534.080812045886</x:v>
      </x:c>
      <x:c r="AM65" s="9" t="n">
        <x:f>-2*AL65/Inputs!$C$13</x:f>
        <x:v>213.6323248183544</x:v>
      </x:c>
      <x:c r="AN65" s="9" t="n">
        <x:f>-2*AL65/Inputs!$C$14</x:f>
        <x:v>32.07692564840156</x:v>
      </x:c>
      <x:c r="AO65" s="9" t="n">
        <x:f>ABS(AM65)</x:f>
        <x:v>213.6323248183544</x:v>
      </x:c>
      <x:c r="AP65" s="9" t="n">
        <x:f>ABS(AN65)</x:f>
        <x:v>32.07692564840156</x:v>
      </x:c>
      <x:c r="AQ65" s="9" t="n">
        <x:f>IF(OR(Inputs!$C$27=TRUE,Inputs!$C$27="TRUE",Inputs!$C$27=1),Inputs!$C$46/Inputs!$C$12,0)</x:f>
        <x:v>42.13483146067416</x:v>
      </x:c>
      <x:c r="AR65" s="9" t="n">
        <x:f>AC65-AQ65</x:f>
        <x:v>1030.188653562401</x:v>
      </x:c>
      <x:c r="AS65" s="9" t="n">
        <x:f>AC65+AQ65</x:f>
        <x:v>1114.4583164837493</x:v>
      </x:c>
    </x:row>
    <x:row r="66">
      <x:c r="A66" s="9" t="n">
        <x:f>Inputs!$C$7+64*(Inputs!$C$8-Inputs!$C$7)/240</x:f>
        <x:v>-28</x:v>
      </x:c>
      <x:c r="B66" s="9" t="n">
        <x:f>Inputs!$C$5+Inputs!$C$9*(A66/Inputs!$C$10)^2</x:f>
        <x:v>400.87111111111113</x:v>
      </x:c>
      <x:c r="C66" s="9" t="n">
        <x:f>B66</x:f>
        <x:v>400.87111111111113</x:v>
      </x:c>
      <x:c r="D66" s="9" t="n">
        <x:f>SQRT((Inputs!$C$52+B66)^2+Inputs!$C$52^2-2*(Inputs!$C$52+B66)*Inputs!$C$52*COS(SQRT(A66^2+Inputs!$C$6^2)/Inputs!$C$52))</x:f>
        <x:v>403.0737471393965</x:v>
      </x:c>
      <x:c r="E66" s="9" t="n">
        <x:f>(D66-C66)*1000</x:f>
        <x:v>2202.636028285383</x:v>
      </x:c>
      <x:c r="F66" s="9" t="n">
        <x:f>E66/Inputs!$C$12</x:f>
        <x:v>1237.4359709468442</x:v>
      </x:c>
      <x:c r="G66" s="9" t="n">
        <x:f>2*E66/Inputs!$C$21*1000000</x:f>
        <x:v>14.6944058765173</x:v>
      </x:c>
      <x:c r="H66" s="9" t="n">
        <x:f>SQRT(A66^2+Inputs!$C$6^2)</x:f>
        <x:v>37.53664875824692</x:v>
      </x:c>
      <x:c r="I66" s="9" t="n">
        <x:f>DEGREES(ATAN(H66/B66))</x:f>
        <x:v>5.349446707466922</x:v>
      </x:c>
      <x:c r="J66" s="9" t="n">
        <x:f>DEGREES((2*PI()/Inputs!$C$13)*Inputs!$C$15*SIN(RADIANS(I66)))</x:f>
        <x:v>33.56275362207757</x:v>
      </x:c>
      <x:c r="K66" s="9" t="n">
        <x:f>(C66/D66)^4</x:f>
        <x:v>0.9783201267983007</x:v>
      </x:c>
      <x:c r="L66" s="9" t="n">
        <x:f>10*LOG10(K66)</x:f>
        <x:v>-0.0951901172274334</x:v>
      </x:c>
      <x:c r="M66" s="9" t="n">
        <x:f>2*(Inputs!$C$9/(Inputs!$C$10^2))*A66</x:f>
        <x:v>-0.06222222222222222</x:v>
      </x:c>
      <x:c r="N66" s="9" t="n">
        <x:f>M66*Inputs!$C$11</x:f>
        <x:v>-0.24888888888888888</x:v>
      </x:c>
      <x:c r="O66" s="9" t="n">
        <x:f>1000*(D67-D65)/(A67-A65)*Inputs!$C$11</x:f>
        <x:v>-597.00385875135</x:v>
      </x:c>
      <x:c r="P66" s="9" t="n">
        <x:f>-2*O66/Inputs!$C$13</x:f>
        <x:v>238.80154350054</x:v>
      </x:c>
      <x:c r="Q66" s="9" t="n">
        <x:f>-2*O66/Inputs!$C$14</x:f>
        <x:v>35.8560876126937</x:v>
      </x:c>
      <x:c r="R66" s="9" t="n">
        <x:f>F66-Inputs!$C$16/2</x:f>
        <x:v>1222.4359709468442</x:v>
      </x:c>
      <x:c r="S66" s="9" t="n">
        <x:f>F66+Inputs!$C$16/2</x:f>
        <x:v>1252.4359709468442</x:v>
      </x:c>
      <x:c r="T66" s="9" t="n">
        <x:f>F66-Inputs!$C$17/2</x:f>
        <x:v>1087.4359709468442</x:v>
      </x:c>
      <x:c r="U66" s="9" t="n">
        <x:f>F66+Inputs!$C$17/2</x:f>
        <x:v>1387.4359709468442</x:v>
      </x:c>
      <x:c r="V66" s="9" t="n">
        <x:f>ABS(P66)</x:f>
        <x:v>238.80154350054</x:v>
      </x:c>
      <x:c r="W66" s="9" t="n">
        <x:f>ABS(Q66)</x:f>
        <x:v>35.8560876126937</x:v>
      </x:c>
      <x:c r="X66" s="9"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x:f>
        <x:v>-53.01751827704016</x:v>
      </x:c>
      <x:c r="Y66" s="9"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x:f>
        <x:v>313.2831784265769</x:v>
      </x:c>
      <x:c r="Z66" s="9" t="n">
        <x:f>B66-X66/1000</x:f>
        <x:v>400.9241286293882</x:v>
      </x:c>
      <x:c r="AA66" s="9" t="n">
        <x:f>SQRT((Inputs!$C$52+B66)^2+(Inputs!$C$52+Y66/1000)^2-2*(Inputs!$C$52+B66)*(Inputs!$C$52+Y66/1000)*COS(SQRT(A66^2+Inputs!$C$6^2)/Inputs!$C$52))</x:f>
        <x:v>402.762618500731</x:v>
      </x:c>
      <x:c r="AB66" s="9" t="n">
        <x:f>(AA66-Z66)*1000</x:f>
        <x:v>1838.4898713428015</x:v>
      </x:c>
      <x:c r="AC66" s="9" t="n">
        <x:f>AB66/Inputs!$C$12</x:f>
        <x:v>1032.8594782824728</x:v>
      </x:c>
      <x:c r="AD66" s="9" t="n">
        <x:f>2*AB66/Inputs!$C$21*1000000</x:f>
        <x:v>12.265084209308572</x:v>
      </x:c>
      <x:c r="AE66" s="9" t="n">
        <x:f>DEGREES(ATAN(H66/(B66-Y66/1000)))</x:f>
        <x:v>5.353606301664317</x:v>
      </x:c>
      <x:c r="AF66" s="9" t="n">
        <x:f>DEGREES((2*PI()/Inputs!$C$13)*Inputs!$C$15*SIN(RADIANS(AE66)))</x:f>
        <x:v>33.588775204474345</x:v>
      </x:c>
      <x:c r="AG66" s="9" t="n">
        <x:f>(Z66/AA66)^4</x:f>
        <x:v>0.9818658453014801</x:v>
      </x:c>
      <x:c r="AH66" s="9" t="n">
        <x:f>10*LOG10(AG66)</x:f>
        <x:v>-0.07947846862123831</x:v>
      </x:c>
      <x:c r="AI66" s="9" t="n">
        <x:f>AC66-F66</x:f>
        <x:v>-204.57649266437147</x:v>
      </x:c>
      <x:c r="AJ66" s="9" t="n">
        <x:f>AD66-G66</x:f>
        <x:v>-2.429321667208727</x:v>
      </x:c>
      <x:c r="AK66" s="9" t="n">
        <x:f>Y66-X66</x:f>
        <x:v>366.30069670361706</x:v>
      </x:c>
      <x:c r="AL66" s="9" t="n">
        <x:f>1000*(AA67-AA65)/(A67-A65)*Inputs!$C$11</x:f>
        <x:v>-544.105204167181</x:v>
      </x:c>
      <x:c r="AM66" s="9" t="n">
        <x:f>-2*AL66/Inputs!$C$13</x:f>
        <x:v>217.6420816668724</x:v>
      </x:c>
      <x:c r="AN66" s="9" t="n">
        <x:f>-2*AL66/Inputs!$C$14</x:f>
        <x:v>32.678991241272136</x:v>
      </x:c>
      <x:c r="AO66" s="9" t="n">
        <x:f>ABS(AM66)</x:f>
        <x:v>217.6420816668724</x:v>
      </x:c>
      <x:c r="AP66" s="9" t="n">
        <x:f>ABS(AN66)</x:f>
        <x:v>32.678991241272136</x:v>
      </x:c>
      <x:c r="AQ66" s="9" t="n">
        <x:f>IF(OR(Inputs!$C$27=TRUE,Inputs!$C$27="TRUE",Inputs!$C$27=1),Inputs!$C$46/Inputs!$C$12,0)</x:f>
        <x:v>42.13483146067416</x:v>
      </x:c>
      <x:c r="AR66" s="9" t="n">
        <x:f>AC66-AQ66</x:f>
        <x:v>990.7246468217986</x:v>
      </x:c>
      <x:c r="AS66" s="9" t="n">
        <x:f>AC66+AQ66</x:f>
        <x:v>1074.994309743147</x:v>
      </x:c>
    </x:row>
    <x:row r="67">
      <x:c r="A67" s="9" t="n">
        <x:f>Inputs!$C$7+65*(Inputs!$C$8-Inputs!$C$7)/240</x:f>
        <x:v>-27.5</x:v>
      </x:c>
      <x:c r="B67" s="9" t="n">
        <x:f>Inputs!$C$5+Inputs!$C$9*(A67/Inputs!$C$10)^2</x:f>
        <x:v>400.84027777777777</x:v>
      </x:c>
      <x:c r="C67" s="9" t="n">
        <x:f>B67</x:f>
        <x:v>400.84027777777777</x:v>
      </x:c>
      <x:c r="D67" s="9" t="n">
        <x:f>SQRT((Inputs!$C$52+B67)^2+Inputs!$C$52^2-2*(Inputs!$C$52+B67)*Inputs!$C$52*COS(SQRT(A67^2+Inputs!$C$6^2)/Inputs!$C$52))</x:f>
        <x:v>402.999782899387</x:v>
      </x:c>
      <x:c r="E67" s="9" t="n">
        <x:f>(D67-C67)*1000</x:f>
        <x:v>2159.505121609243</x:v>
      </x:c>
      <x:c r="F67" s="9" t="n">
        <x:f>E67/Inputs!$C$12</x:f>
        <x:v>1213.2051244995746</x:v>
      </x:c>
      <x:c r="G67" s="9" t="n">
        <x:f>2*E67/Inputs!$C$21*1000000</x:f>
        <x:v>14.406667439307249</x:v>
      </x:c>
      <x:c r="H67" s="9" t="n">
        <x:f>SQRT(A67^2+Inputs!$C$6^2)</x:f>
        <x:v>37.16517186829626</x:v>
      </x:c>
      <x:c r="I67" s="9" t="n">
        <x:f>DEGREES(ATAN(H67/B67))</x:f>
        <x:v>5.297214287097746</x:v>
      </x:c>
      <x:c r="J67" s="9" t="n">
        <x:f>DEGREES((2*PI()/Inputs!$C$13)*Inputs!$C$15*SIN(RADIANS(I67)))</x:f>
        <x:v>33.23598312233844</x:v>
      </x:c>
      <x:c r="K67" s="9" t="n">
        <x:f>(C67/D67)^4</x:f>
        <x:v>0.9787373658401771</x:v>
      </x:c>
      <x:c r="L67" s="9" t="n">
        <x:f>10*LOG10(K67)</x:f>
        <x:v>-0.09333831045171459</x:v>
      </x:c>
      <x:c r="M67" s="9" t="n">
        <x:f>2*(Inputs!$C$9/(Inputs!$C$10^2))*A67</x:f>
        <x:v>-0.06111111111111111</x:v>
      </x:c>
      <x:c r="N67" s="9" t="n">
        <x:f>M67*Inputs!$C$11</x:f>
        <x:v>-0.24444444444444444</x:v>
      </x:c>
      <x:c r="O67" s="9" t="n">
        <x:f>1000*(D68-D66)/(A68-A66)*Inputs!$C$11</x:f>
        <x:v>-586.4218547242217</x:v>
      </x:c>
      <x:c r="P67" s="9" t="n">
        <x:f>-2*O67/Inputs!$C$13</x:f>
        <x:v>234.56874188968868</x:v>
      </x:c>
      <x:c r="Q67" s="9" t="n">
        <x:f>-2*O67/Inputs!$C$14</x:f>
        <x:v>35.22053181526857</x:v>
      </x:c>
      <x:c r="R67" s="9" t="n">
        <x:f>F67-Inputs!$C$16/2</x:f>
        <x:v>1198.2051244995746</x:v>
      </x:c>
      <x:c r="S67" s="9" t="n">
        <x:f>F67+Inputs!$C$16/2</x:f>
        <x:v>1228.2051244995746</x:v>
      </x:c>
      <x:c r="T67" s="9" t="n">
        <x:f>F67-Inputs!$C$17/2</x:f>
        <x:v>1063.2051244995746</x:v>
      </x:c>
      <x:c r="U67" s="9" t="n">
        <x:f>F67+Inputs!$C$17/2</x:f>
        <x:v>1363.2051244995746</x:v>
      </x:c>
      <x:c r="V67" s="9" t="n">
        <x:f>ABS(P67)</x:f>
        <x:v>234.56874188968868</x:v>
      </x:c>
      <x:c r="W67" s="9" t="n">
        <x:f>ABS(Q67)</x:f>
        <x:v>35.22053181526857</x:v>
      </x:c>
      <x:c r="X67" s="9"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x:f>
        <x:v>-63.02108594889231</x:v>
      </x:c>
      <x:c r="Y67" s="9"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x:f>
        <x:v>296.8437612590685</x:v>
      </x:c>
      <x:c r="Z67" s="9" t="n">
        <x:f>B67-X67/1000</x:f>
        <x:v>400.90329886372666</x:v>
      </x:c>
      <x:c r="AA67" s="9" t="n">
        <x:f>SQRT((Inputs!$C$52+B67)^2+(Inputs!$C$52+Y67/1000)^2-2*(Inputs!$C$52+B67)*(Inputs!$C$52+Y67/1000)*COS(SQRT(A67^2+Inputs!$C$6^2)/Inputs!$C$52))</x:f>
        <x:v>402.70494087681953</x:v>
      </x:c>
      <x:c r="AB67" s="9" t="n">
        <x:f>(AA67-Z67)*1000</x:f>
        <x:v>1801.6420130928736</x:v>
      </x:c>
      <x:c r="AC67" s="9" t="n">
        <x:f>AB67/Inputs!$C$12</x:f>
        <x:v>1012.1584343218391</x:v>
      </x:c>
      <x:c r="AD67" s="9" t="n">
        <x:f>2*AB67/Inputs!$C$21*1000000</x:f>
        <x:v>12.019261759366032</x:v>
      </x:c>
      <x:c r="AE67" s="9" t="n">
        <x:f>DEGREES(ATAN(H67/(B67-Y67/1000)))</x:f>
        <x:v>5.301117708727071</x:v>
      </x:c>
      <x:c r="AF67" s="9" t="n">
        <x:f>DEGREES((2*PI()/Inputs!$C$13)*Inputs!$C$15*SIN(RADIANS(AE67)))</x:f>
        <x:v>33.260404221020245</x:v>
      </x:c>
      <x:c r="AG67" s="9" t="n">
        <x:f>(Z67/AA67)^4</x:f>
        <x:v>0.9822243291902453</x:v>
      </x:c>
      <x:c r="AH67" s="9" t="n">
        <x:f>10*LOG10(AG67)</x:f>
        <x:v>-0.0778931282077206</x:v>
      </x:c>
      <x:c r="AI67" s="9" t="n">
        <x:f>AC67-F67</x:f>
        <x:v>-201.0466901777355</x:v>
      </x:c>
      <x:c r="AJ67" s="9" t="n">
        <x:f>AD67-G67</x:f>
        <x:v>-2.3874056799412173</x:v>
      </x:c>
      <x:c r="AK67" s="9" t="n">
        <x:f>Y67-X67</x:f>
        <x:v>359.86484720796085</x:v>
      </x:c>
      <x:c r="AL67" s="9" t="n">
        <x:f>1000*(AA68-AA66)/(A68-A66)*Inputs!$C$11</x:f>
        <x:v>-491.6238285468353</x:v>
      </x:c>
      <x:c r="AM67" s="9" t="n">
        <x:f>-2*AL67/Inputs!$C$13</x:f>
        <x:v>196.6495314187341</x:v>
      </x:c>
      <x:c r="AN67" s="9" t="n">
        <x:f>-2*AL67/Inputs!$C$14</x:f>
        <x:v>29.5269566694796</x:v>
      </x:c>
      <x:c r="AO67" s="9" t="n">
        <x:f>ABS(AM67)</x:f>
        <x:v>196.6495314187341</x:v>
      </x:c>
      <x:c r="AP67" s="9" t="n">
        <x:f>ABS(AN67)</x:f>
        <x:v>29.5269566694796</x:v>
      </x:c>
      <x:c r="AQ67" s="9" t="n">
        <x:f>IF(OR(Inputs!$C$27=TRUE,Inputs!$C$27="TRUE",Inputs!$C$27=1),Inputs!$C$46/Inputs!$C$12,0)</x:f>
        <x:v>42.13483146067416</x:v>
      </x:c>
      <x:c r="AR67" s="9" t="n">
        <x:f>AC67-AQ67</x:f>
        <x:v>970.0236028611649</x:v>
      </x:c>
      <x:c r="AS67" s="9" t="n">
        <x:f>AC67+AQ67</x:f>
        <x:v>1054.2932657825133</x:v>
      </x:c>
    </x:row>
    <x:row r="68">
      <x:c r="A68" s="9" t="n">
        <x:f>Inputs!$C$7+66*(Inputs!$C$8-Inputs!$C$7)/240</x:f>
        <x:v>-27</x:v>
      </x:c>
      <x:c r="B68" s="9" t="n">
        <x:f>Inputs!$C$5+Inputs!$C$9*(A68/Inputs!$C$10)^2</x:f>
        <x:v>400.81</x:v>
      </x:c>
      <x:c r="C68" s="9" t="n">
        <x:f>B68</x:f>
        <x:v>400.81</x:v>
      </x:c>
      <x:c r="D68" s="9" t="n">
        <x:f>SQRT((Inputs!$C$52+B68)^2+Inputs!$C$52^2-2*(Inputs!$C$52+B68)*Inputs!$C$52*COS(SQRT(A68^2+Inputs!$C$6^2)/Inputs!$C$52))</x:f>
        <x:v>402.92714167571546</x:v>
      </x:c>
      <x:c r="E68" s="9" t="n">
        <x:f>(D68-C68)*1000</x:f>
        <x:v>2117.141675715459</x:v>
      </x:c>
      <x:c r="F68" s="9" t="n">
        <x:f>E68/Inputs!$C$12</x:f>
        <x:v>1189.4054357952016</x:v>
      </x:c>
      <x:c r="G68" s="9" t="n">
        <x:f>2*E68/Inputs!$C$21*1000000</x:f>
        <x:v>14.12404894932653</x:v>
      </x:c>
      <x:c r="H68" s="9" t="n">
        <x:f>SQRT(A68^2+Inputs!$C$6^2)</x:f>
        <x:v>36.796738985948195</x:v>
      </x:c>
      <x:c r="I68" s="9" t="n">
        <x:f>DEGREES(ATAN(H68/B68))</x:f>
        <x:v>5.2453892719816</x:v>
      </x:c>
      <x:c r="J68" s="9" t="n">
        <x:f>DEGREES((2*PI()/Inputs!$C$13)*Inputs!$C$15*SIN(RADIANS(I68)))</x:f>
        <x:v>32.911734085150734</x:v>
      </x:c>
      <x:c r="K68" s="9" t="n">
        <x:f>(C68/D68)^4</x:f>
        <x:v>0.9791474600818122</x:v>
      </x:c>
      <x:c r="L68" s="9" t="n">
        <x:f>10*LOG10(K68)</x:f>
        <x:v>-0.0915189831200047</x:v>
      </x:c>
      <x:c r="M68" s="9" t="n">
        <x:f>2*(Inputs!$C$9/(Inputs!$C$10^2))*A68</x:f>
        <x:v>-0.06</x:v>
      </x:c>
      <x:c r="N68" s="9" t="n">
        <x:f>M68*Inputs!$C$11</x:f>
        <x:v>-0.24</x:v>
      </x:c>
      <x:c r="O68" s="9" t="n">
        <x:f>1000*(D69-D67)/(A69-A67)*Inputs!$C$11</x:f>
        <x:v>-575.8356337860278</x:v>
      </x:c>
      <x:c r="P68" s="9" t="n">
        <x:f>-2*O68/Inputs!$C$13</x:f>
        <x:v>230.3342535144111</x:v>
      </x:c>
      <x:c r="Q68" s="9" t="n">
        <x:f>-2*O68/Inputs!$C$14</x:f>
        <x:v>34.58472274991158</x:v>
      </x:c>
      <x:c r="R68" s="9" t="n">
        <x:f>F68-Inputs!$C$16/2</x:f>
        <x:v>1174.4054357952016</x:v>
      </x:c>
      <x:c r="S68" s="9" t="n">
        <x:f>F68+Inputs!$C$16/2</x:f>
        <x:v>1204.4054357952016</x:v>
      </x:c>
      <x:c r="T68" s="9" t="n">
        <x:f>F68-Inputs!$C$17/2</x:f>
        <x:v>1039.4054357952016</x:v>
      </x:c>
      <x:c r="U68" s="9" t="n">
        <x:f>F68+Inputs!$C$17/2</x:f>
        <x:v>1339.4054357952016</x:v>
      </x:c>
      <x:c r="V68" s="9" t="n">
        <x:f>ABS(P68)</x:f>
        <x:v>230.3342535144111</x:v>
      </x:c>
      <x:c r="W68" s="9" t="n">
        <x:f>ABS(Q68)</x:f>
        <x:v>34.58472274991158</x:v>
      </x:c>
      <x:c r="X68" s="9"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x:f>
        <x:v>-69.67153928411518</x:v>
      </x:c>
      <x:c r="Y68" s="9"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x:f>
        <x:v>289.34226854097847</x:v>
      </x:c>
      <x:c r="Z68" s="9" t="n">
        <x:f>B68-X68/1000</x:f>
        <x:v>400.8796715392841</x:v>
      </x:c>
      <x:c r="AA68" s="9" t="n">
        <x:f>SQRT((Inputs!$C$52+B68)^2+(Inputs!$C$52+Y68/1000)^2-2*(Inputs!$C$52+B68)*(Inputs!$C$52+Y68/1000)*COS(SQRT(A68^2+Inputs!$C$6^2)/Inputs!$C$52))</x:f>
        <x:v>402.63971254359427</x:v>
      </x:c>
      <x:c r="AB68" s="9" t="n">
        <x:f>(AA68-Z68)*1000</x:f>
        <x:v>1760.0410043101533</x:v>
      </x:c>
      <x:c r="AC68" s="9" t="n">
        <x:f>AB68/Inputs!$C$12</x:f>
        <x:v>988.7870810731198</x:v>
      </x:c>
      <x:c r="AD68" s="9" t="n">
        <x:f>2*AB68/Inputs!$C$21*1000000</x:f>
        <x:v>11.741729702287262</x:v>
      </x:c>
      <x:c r="AE68" s="9" t="n">
        <x:f>DEGREES(ATAN(H68/(B68-Y68/1000)))</x:f>
        <x:v>5.2491574613212375</x:v>
      </x:c>
      <x:c r="AF68" s="9" t="n">
        <x:f>DEGREES((2*PI()/Inputs!$C$13)*Inputs!$C$15*SIN(RADIANS(AE68)))</x:f>
        <x:v>32.93531109660259</x:v>
      </x:c>
      <x:c r="AG68" s="9" t="n">
        <x:f>(Z68/AA68)^4</x:f>
        <x:v>0.9826292920375455</x:v>
      </x:c>
      <x:c r="AH68" s="9" t="n">
        <x:f>10*LOG10(AG68)</x:f>
        <x:v>-0.0761029375233003</x:v>
      </x:c>
      <x:c r="AI68" s="9" t="n">
        <x:f>AC68-F68</x:f>
        <x:v>-200.6183547220818</x:v>
      </x:c>
      <x:c r="AJ68" s="9" t="n">
        <x:f>AD68-G68</x:f>
        <x:v>-2.382319247039268</x:v>
      </x:c>
      <x:c r="AK68" s="9" t="n">
        <x:f>Y68-X68</x:f>
        <x:v>359.01380782509364</x:v>
      </x:c>
      <x:c r="AL68" s="9" t="n">
        <x:f>1000*(AA69-AA67)/(A69-A67)*Inputs!$C$11</x:f>
        <x:v>-551.1717293163656</x:v>
      </x:c>
      <x:c r="AM68" s="9" t="n">
        <x:f>-2*AL68/Inputs!$C$13</x:f>
        <x:v>220.46869172654624</x:v>
      </x:c>
      <x:c r="AN68" s="9" t="n">
        <x:f>-2*AL68/Inputs!$C$14</x:f>
        <x:v>33.10340716614809</x:v>
      </x:c>
      <x:c r="AO68" s="9" t="n">
        <x:f>ABS(AM68)</x:f>
        <x:v>220.46869172654624</x:v>
      </x:c>
      <x:c r="AP68" s="9" t="n">
        <x:f>ABS(AN68)</x:f>
        <x:v>33.10340716614809</x:v>
      </x:c>
      <x:c r="AQ68" s="9" t="n">
        <x:f>IF(OR(Inputs!$C$27=TRUE,Inputs!$C$27="TRUE",Inputs!$C$27=1),Inputs!$C$46/Inputs!$C$12,0)</x:f>
        <x:v>42.13483146067416</x:v>
      </x:c>
      <x:c r="AR68" s="9" t="n">
        <x:f>AC68-AQ68</x:f>
        <x:v>946.6522496124456</x:v>
      </x:c>
      <x:c r="AS68" s="9" t="n">
        <x:f>AC68+AQ68</x:f>
        <x:v>1030.921912533794</x:v>
      </x:c>
    </x:row>
    <x:row r="69">
      <x:c r="A69" s="9" t="n">
        <x:f>Inputs!$C$7+67*(Inputs!$C$8-Inputs!$C$7)/240</x:f>
        <x:v>-26.5</x:v>
      </x:c>
      <x:c r="B69" s="9" t="n">
        <x:f>Inputs!$C$5+Inputs!$C$9*(A69/Inputs!$C$10)^2</x:f>
        <x:v>400.78027777777777</x:v>
      </x:c>
      <x:c r="C69" s="9" t="n">
        <x:f>B69</x:f>
        <x:v>400.78027777777777</x:v>
      </x:c>
      <x:c r="D69" s="9" t="n">
        <x:f>SQRT((Inputs!$C$52+B69)^2+Inputs!$C$52^2-2*(Inputs!$C$52+B69)*Inputs!$C$52*COS(SQRT(A69^2+Inputs!$C$6^2)/Inputs!$C$52))</x:f>
        <x:v>402.8558239909405</x:v>
      </x:c>
      <x:c r="E69" s="9" t="n">
        <x:f>(D69-C69)*1000</x:f>
        <x:v>2075.5462131627382</x:v>
      </x:c>
      <x:c r="F69" s="9" t="n">
        <x:f>E69/Inputs!$C$12</x:f>
        <x:v>1166.0371984060328</x:v>
      </x:c>
      <x:c r="G69" s="9" t="n">
        <x:f>2*E69/Inputs!$C$21*1000000</x:f>
        <x:v>13.846553892711592</x:v>
      </x:c>
      <x:c r="H69" s="9" t="n">
        <x:f>SQRT(A69^2+Inputs!$C$6^2)</x:f>
        <x:v>36.43144246389374</x:v>
      </x:c>
      <x:c r="I69" s="9" t="n">
        <x:f>DEGREES(ATAN(H69/B69))</x:f>
        <x:v>5.1939853576754125</x:v>
      </x:c>
      <x:c r="J69" s="9" t="n">
        <x:f>DEGREES((2*PI()/Inputs!$C$13)*Inputs!$C$15*SIN(RADIANS(I69)))</x:f>
        <x:v>32.59009311236641</x:v>
      </x:c>
      <x:c r="K69" s="9" t="n">
        <x:f>(C69/D69)^4</x:f>
        <x:v>0.9795503896280839</x:v>
      </x:c>
      <x:c r="L69" s="9" t="n">
        <x:f>10*LOG10(K69)</x:f>
        <x:v>-0.0897321829656479</x:v>
      </x:c>
      <x:c r="M69" s="9" t="n">
        <x:f>2*(Inputs!$C$9/(Inputs!$C$10^2))*A69</x:f>
        <x:v>-0.058888888888888886</x:v>
      </x:c>
      <x:c r="N69" s="9" t="n">
        <x:f>M69*Inputs!$C$11</x:f>
        <x:v>-0.23555555555555555</x:v>
      </x:c>
      <x:c r="O69" s="9" t="n">
        <x:f>1000*(D70-D68)/(A70-A68)*Inputs!$C$11</x:f>
        <x:v>-565.2452688962057</x:v>
      </x:c>
      <x:c r="P69" s="9" t="n">
        <x:f>-2*O69/Inputs!$C$13</x:f>
        <x:v>226.0981075584823</x:v>
      </x:c>
      <x:c r="Q69" s="9" t="n">
        <x:f>-2*O69/Inputs!$C$14</x:f>
        <x:v>33.94866479857092</x:v>
      </x:c>
      <x:c r="R69" s="9" t="n">
        <x:f>F69-Inputs!$C$16/2</x:f>
        <x:v>1151.0371984060328</x:v>
      </x:c>
      <x:c r="S69" s="9" t="n">
        <x:f>F69+Inputs!$C$16/2</x:f>
        <x:v>1181.0371984060328</x:v>
      </x:c>
      <x:c r="T69" s="9" t="n">
        <x:f>F69-Inputs!$C$17/2</x:f>
        <x:v>1016.0371984060328</x:v>
      </x:c>
      <x:c r="U69" s="9" t="n">
        <x:f>F69+Inputs!$C$17/2</x:f>
        <x:v>1316.0371984060328</x:v>
      </x:c>
      <x:c r="V69" s="9" t="n">
        <x:f>ABS(P69)</x:f>
        <x:v>226.0981075584823</x:v>
      </x:c>
      <x:c r="W69" s="9" t="n">
        <x:f>ABS(Q69)</x:f>
        <x:v>33.94866479857092</x:v>
      </x:c>
      <x:c r="X69" s="9"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x:f>
        <x:v>-78.11942002863731</x:v>
      </x:c>
      <x:c r="Y69" s="9"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x:f>
        <x:v>290.55977847508683</x:v>
      </x:c>
      <x:c r="Z69" s="9" t="n">
        <x:f>B69-X69/1000</x:f>
        <x:v>400.8583971978064</x:v>
      </x:c>
      <x:c r="AA69" s="9" t="n">
        <x:f>SQRT((Inputs!$C$52+B69)^2+(Inputs!$C$52+Y69/1000)^2-2*(Inputs!$C$52+B69)*(Inputs!$C$52+Y69/1000)*COS(SQRT(A69^2+Inputs!$C$6^2)/Inputs!$C$52))</x:f>
        <x:v>402.56714794449044</x:v>
      </x:c>
      <x:c r="AB69" s="9" t="n">
        <x:f>(AA69-Z69)*1000</x:f>
        <x:v>1708.750746684018</x:v>
      </x:c>
      <x:c r="AC69" s="9" t="n">
        <x:f>AB69/Inputs!$C$12</x:f>
        <x:v>959.9723295977628</x:v>
      </x:c>
      <x:c r="AD69" s="9" t="n">
        <x:f>2*AB69/Inputs!$C$21*1000000</x:f>
        <x:v>11.399557934736423</x:v>
      </x:c>
      <x:c r="AE69" s="9" t="n">
        <x:f>DEGREES(ATAN(H69/(B69-Y69/1000)))</x:f>
        <x:v>5.197733019118267</x:v>
      </x:c>
      <x:c r="AF69" s="9" t="n">
        <x:f>DEGREES((2*PI()/Inputs!$C$13)*Inputs!$C$15*SIN(RADIANS(AE69)))</x:f>
        <x:v>32.613543606751506</x:v>
      </x:c>
      <x:c r="AG69" s="9" t="n">
        <x:f>(Z69/AA69)^4</x:f>
        <x:v>0.983129254601212</x:v>
      </x:c>
      <x:c r="AH69" s="9" t="n">
        <x:f>10*LOG10(AG69)</x:f>
        <x:v>-0.07389380570890029</x:v>
      </x:c>
      <x:c r="AI69" s="9" t="n">
        <x:f>AC69-F69</x:f>
        <x:v>-206.06486880826992</x:v>
      </x:c>
      <x:c r="AJ69" s="9" t="n">
        <x:f>AD69-G69</x:f>
        <x:v>-2.446995957975169</x:v>
      </x:c>
      <x:c r="AK69" s="9" t="n">
        <x:f>Y69-X69</x:f>
        <x:v>368.67919850372414</x:v>
      </x:c>
      <x:c r="AL69" s="9" t="n">
        <x:f>1000*(AA70-AA68)/(A70-A68)*Inputs!$C$11</x:f>
        <x:v>-495.59379531910963</x:v>
      </x:c>
      <x:c r="AM69" s="9" t="n">
        <x:f>-2*AL69/Inputs!$C$13</x:f>
        <x:v>198.23751812764385</x:v>
      </x:c>
      <x:c r="AN69" s="9" t="n">
        <x:f>-2*AL69/Inputs!$C$14</x:f>
        <x:v>29.765393112258838</x:v>
      </x:c>
      <x:c r="AO69" s="9" t="n">
        <x:f>ABS(AM69)</x:f>
        <x:v>198.23751812764385</x:v>
      </x:c>
      <x:c r="AP69" s="9" t="n">
        <x:f>ABS(AN69)</x:f>
        <x:v>29.765393112258838</x:v>
      </x:c>
      <x:c r="AQ69" s="9" t="n">
        <x:f>IF(OR(Inputs!$C$27=TRUE,Inputs!$C$27="TRUE",Inputs!$C$27=1),Inputs!$C$46/Inputs!$C$12,0)</x:f>
        <x:v>42.13483146067416</x:v>
      </x:c>
      <x:c r="AR69" s="9" t="n">
        <x:f>AC69-AQ69</x:f>
        <x:v>917.8374981370887</x:v>
      </x:c>
      <x:c r="AS69" s="9" t="n">
        <x:f>AC69+AQ69</x:f>
        <x:v>1002.107161058437</x:v>
      </x:c>
    </x:row>
    <x:row r="70">
      <x:c r="A70" s="9" t="n">
        <x:f>Inputs!$C$7+68*(Inputs!$C$8-Inputs!$C$7)/240</x:f>
        <x:v>-26</x:v>
      </x:c>
      <x:c r="B70" s="9" t="n">
        <x:f>Inputs!$C$5+Inputs!$C$9*(A70/Inputs!$C$10)^2</x:f>
        <x:v>400.75111111111113</x:v>
      </x:c>
      <x:c r="C70" s="9" t="n">
        <x:f>B70</x:f>
        <x:v>400.75111111111113</x:v>
      </x:c>
      <x:c r="D70" s="9" t="n">
        <x:f>SQRT((Inputs!$C$52+B70)^2+Inputs!$C$52^2-2*(Inputs!$C$52+B70)*Inputs!$C$52*COS(SQRT(A70^2+Inputs!$C$6^2)/Inputs!$C$52))</x:f>
        <x:v>402.7858303584914</x:v>
      </x:c>
      <x:c r="E70" s="9" t="n">
        <x:f>(D70-C70)*1000</x:f>
        <x:v>2034.7192473802806</x:v>
      </x:c>
      <x:c r="F70" s="9" t="n">
        <x:f>E70/Inputs!$C$12</x:f>
        <x:v>1143.1007007754386</x:v>
      </x:c>
      <x:c r="G70" s="9" t="n">
        <x:f>2*E70/Inputs!$C$21*1000000</x:f>
        <x:v>13.574185694693364</x:v>
      </x:c>
      <x:c r="H70" s="9" t="n">
        <x:f>SQRT(A70^2+Inputs!$C$6^2)</x:f>
        <x:v>36.069377593742864</x:v>
      </x:c>
      <x:c r="I70" s="9" t="n">
        <x:f>DEGREES(ATAN(H70/B70))</x:f>
        <x:v>5.143016660077165</x:v>
      </x:c>
      <x:c r="J70" s="9" t="n">
        <x:f>DEGREES((2*PI()/Inputs!$C$13)*Inputs!$C$15*SIN(RADIANS(I70)))</x:f>
        <x:v>32.27114944649454</x:v>
      </x:c>
      <x:c r="K70" s="9" t="n">
        <x:f>(C70/D70)^4</x:f>
        <x:v>0.9799461349081803</x:v>
      </x:c>
      <x:c r="L70" s="9" t="n">
        <x:f>10*LOG10(K70)</x:f>
        <x:v>-0.087977956902271</x:v>
      </x:c>
      <x:c r="M70" s="9" t="n">
        <x:f>2*(Inputs!$C$9/(Inputs!$C$10^2))*A70</x:f>
        <x:v>-0.057777777777777775</x:v>
      </x:c>
      <x:c r="N70" s="9" t="n">
        <x:f>M70*Inputs!$C$11</x:f>
        <x:v>-0.2311111111111111</x:v>
      </x:c>
      <x:c r="O70" s="9" t="n">
        <x:f>1000*(D71-D69)/(A71-A69)*Inputs!$C$11</x:f>
        <x:v>-554.6508331692621</x:v>
      </x:c>
      <x:c r="P70" s="9" t="n">
        <x:f>-2*O70/Inputs!$C$13</x:f>
        <x:v>221.86033326770485</x:v>
      </x:c>
      <x:c r="Q70" s="9" t="n">
        <x:f>-2*O70/Inputs!$C$14</x:f>
        <x:v>33.31236235250824</x:v>
      </x:c>
      <x:c r="R70" s="9" t="n">
        <x:f>F70-Inputs!$C$16/2</x:f>
        <x:v>1128.1007007754386</x:v>
      </x:c>
      <x:c r="S70" s="9" t="n">
        <x:f>F70+Inputs!$C$16/2</x:f>
        <x:v>1158.1007007754386</x:v>
      </x:c>
      <x:c r="T70" s="9" t="n">
        <x:f>F70-Inputs!$C$17/2</x:f>
        <x:v>993.1007007754386</x:v>
      </x:c>
      <x:c r="U70" s="9" t="n">
        <x:f>F70+Inputs!$C$17/2</x:f>
        <x:v>1293.1007007754386</x:v>
      </x:c>
      <x:c r="V70" s="9" t="n">
        <x:f>ABS(P70)</x:f>
        <x:v>221.86033326770485</x:v>
      </x:c>
      <x:c r="W70" s="9" t="n">
        <x:f>ABS(Q70)</x:f>
        <x:v>33.31236235250824</x:v>
      </x:c>
      <x:c r="X70" s="9"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x:f>
        <x:v>-82.17349441978894</x:v>
      </x:c>
      <x:c r="Y70" s="9"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x:f>
        <x:v>271.74352983421755</x:v>
      </x:c>
      <x:c r="Z70" s="9" t="n">
        <x:f>B70-X70/1000</x:f>
        <x:v>400.83328460553093</x:v>
      </x:c>
      <x:c r="AA70" s="9" t="n">
        <x:f>SQRT((Inputs!$C$52+B70)^2+(Inputs!$C$52+Y70/1000)^2-2*(Inputs!$C$52+B70)*(Inputs!$C$52+Y70/1000)*COS(SQRT(A70^2+Inputs!$C$6^2)/Inputs!$C$52))</x:f>
        <x:v>402.5158140947645</x:v>
      </x:c>
      <x:c r="AB70" s="9" t="n">
        <x:f>(AA70-Z70)*1000</x:f>
        <x:v>1682.5294892335592</x:v>
      </x:c>
      <x:c r="AC70" s="9" t="n">
        <x:f>AB70/Inputs!$C$12</x:f>
        <x:v>945.2412860862692</x:v>
      </x:c>
      <x:c r="AD70" s="9" t="n">
        <x:f>2*AB70/Inputs!$C$21*1000000</x:f>
        <x:v>11.224628534408023</x:v>
      </x:c>
      <x:c r="AE70" s="9" t="n">
        <x:f>DEGREES(ATAN(H70/(B70-Y70/1000)))</x:f>
        <x:v>5.146487697405828</x:v>
      </x:c>
      <x:c r="AF70" s="9" t="n">
        <x:f>DEGREES((2*PI()/Inputs!$C$13)*Inputs!$C$15*SIN(RADIANS(AE70)))</x:f>
        <x:v>32.29287075525432</x:v>
      </x:c>
      <x:c r="AG70" s="9" t="n">
        <x:f>(Z70/AA70)^4</x:f>
        <x:v>0.983384411201453</x:v>
      </x:c>
      <x:c r="AH70" s="9" t="n">
        <x:f>10*LOG10(AG70)</x:f>
        <x:v>-0.072766805108246</x:v>
      </x:c>
      <x:c r="AI70" s="9" t="n">
        <x:f>AC70-F70</x:f>
        <x:v>-197.8594146891694</x:v>
      </x:c>
      <x:c r="AJ70" s="9" t="n">
        <x:f>AD70-G70</x:f>
        <x:v>-2.3495571602853413</x:v>
      </x:c>
      <x:c r="AK70" s="9" t="n">
        <x:f>Y70-X70</x:f>
        <x:v>353.9170242540065</x:v>
      </x:c>
      <x:c r="AL70" s="9" t="n">
        <x:f>1000*(AA71-AA69)/(A71-A69)*Inputs!$C$11</x:f>
        <x:v>-480.0642163863813</x:v>
      </x:c>
      <x:c r="AM70" s="9" t="n">
        <x:f>-2*AL70/Inputs!$C$13</x:f>
        <x:v>192.02568655455252</x:v>
      </x:c>
      <x:c r="AN70" s="9" t="n">
        <x:f>-2*AL70/Inputs!$C$14</x:f>
        <x:v>28.83268566885173</x:v>
      </x:c>
      <x:c r="AO70" s="9" t="n">
        <x:f>ABS(AM70)</x:f>
        <x:v>192.02568655455252</x:v>
      </x:c>
      <x:c r="AP70" s="9" t="n">
        <x:f>ABS(AN70)</x:f>
        <x:v>28.83268566885173</x:v>
      </x:c>
      <x:c r="AQ70" s="9" t="n">
        <x:f>IF(OR(Inputs!$C$27=TRUE,Inputs!$C$27="TRUE",Inputs!$C$27=1),Inputs!$C$46/Inputs!$C$12,0)</x:f>
        <x:v>42.13483146067416</x:v>
      </x:c>
      <x:c r="AR70" s="9" t="n">
        <x:f>AC70-AQ70</x:f>
        <x:v>903.106454625595</x:v>
      </x:c>
      <x:c r="AS70" s="9" t="n">
        <x:f>AC70+AQ70</x:f>
        <x:v>987.3761175469433</x:v>
      </x:c>
    </x:row>
    <x:row r="71">
      <x:c r="A71" s="9" t="n">
        <x:f>Inputs!$C$7+69*(Inputs!$C$8-Inputs!$C$7)/240</x:f>
        <x:v>-25.5</x:v>
      </x:c>
      <x:c r="B71" s="9" t="n">
        <x:f>Inputs!$C$5+Inputs!$C$9*(A71/Inputs!$C$10)^2</x:f>
        <x:v>400.7225</x:v>
      </x:c>
      <x:c r="C71" s="9" t="n">
        <x:f>B71</x:f>
        <x:v>400.7225</x:v>
      </x:c>
      <x:c r="D71" s="9" t="n">
        <x:f>SQRT((Inputs!$C$52+B71)^2+Inputs!$C$52^2-2*(Inputs!$C$52+B71)*Inputs!$C$52*COS(SQRT(A71^2+Inputs!$C$6^2)/Inputs!$C$52))</x:f>
        <x:v>402.7171612826482</x:v>
      </x:c>
      <x:c r="E71" s="9" t="n">
        <x:f>(D71-C71)*1000</x:f>
        <x:v>1994.661282648167</x:v>
      </x:c>
      <x:c r="F71" s="9" t="n">
        <x:f>E71/Inputs!$C$12</x:f>
        <x:v>1120.5962262068354</x:v>
      </x:c>
      <x:c r="G71" s="9" t="n">
        <x:f>2*E71/Inputs!$C$21*1000000</x:f>
        <x:v>13.306947719466423</x:v>
      </x:c>
      <x:c r="H71" s="9" t="n">
        <x:f>SQRT(A71^2+Inputs!$C$6^2)</x:f>
        <x:v>35.71064267133819</x:v>
      </x:c>
      <x:c r="I71" s="9" t="n">
        <x:f>DEGREES(ATAN(H71/B71))</x:f>
        <x:v>5.092497724666333</x:v>
      </x:c>
      <x:c r="J71" s="9" t="n">
        <x:f>DEGREES((2*PI()/Inputs!$C$13)*Inputs!$C$15*SIN(RADIANS(I71)))</x:f>
        <x:v>31.95499502856307</x:v>
      </x:c>
      <x:c r="K71" s="9" t="n">
        <x:f>(C71/D71)^4</x:f>
        <x:v>0.9803346766777206</x:v>
      </x:c>
      <x:c r="L71" s="9" t="n">
        <x:f>10*LOG10(K71)</x:f>
        <x:v>-0.08625635102098408</x:v>
      </x:c>
      <x:c r="M71" s="9" t="n">
        <x:f>2*(Inputs!$C$9/(Inputs!$C$10^2))*A71</x:f>
        <x:v>-0.056666666666666664</x:v>
      </x:c>
      <x:c r="N71" s="9" t="n">
        <x:f>M71*Inputs!$C$11</x:f>
        <x:v>-0.22666666666666666</x:v>
      </x:c>
      <x:c r="O71" s="9" t="n">
        <x:f>1000*(D72-D70)/(A72-A70)*Inputs!$C$11</x:f>
        <x:v>-544.0523999498055</x:v>
      </x:c>
      <x:c r="P71" s="9" t="n">
        <x:f>-2*O71/Inputs!$C$13</x:f>
        <x:v>217.6209599799222</x:v>
      </x:c>
      <x:c r="Q71" s="9" t="n">
        <x:f>-2*O71/Inputs!$C$14</x:f>
        <x:v>32.67581981680514</x:v>
      </x:c>
      <x:c r="R71" s="9" t="n">
        <x:f>F71-Inputs!$C$16/2</x:f>
        <x:v>1105.5962262068354</x:v>
      </x:c>
      <x:c r="S71" s="9" t="n">
        <x:f>F71+Inputs!$C$16/2</x:f>
        <x:v>1135.5962262068354</x:v>
      </x:c>
      <x:c r="T71" s="9" t="n">
        <x:f>F71-Inputs!$C$17/2</x:f>
        <x:v>970.5962262068354</x:v>
      </x:c>
      <x:c r="U71" s="9" t="n">
        <x:f>F71+Inputs!$C$17/2</x:f>
        <x:v>1270.5962262068354</x:v>
      </x:c>
      <x:c r="V71" s="9" t="n">
        <x:f>ABS(P71)</x:f>
        <x:v>217.6209599799222</x:v>
      </x:c>
      <x:c r="W71" s="9" t="n">
        <x:f>ABS(Q71)</x:f>
        <x:v>32.67581981680514</x:v>
      </x:c>
      <x:c r="X71" s="9"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x:f>
        <x:v>-104.31813701930129</x:v>
      </x:c>
      <x:c r="Y71" s="9"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x:f>
        <x:v>271.72277085410076</x:v>
      </x:c>
      <x:c r="Z71" s="9" t="n">
        <x:f>B71-X71/1000</x:f>
        <x:v>400.8268181370193</x:v>
      </x:c>
      <x:c r="AA71" s="9" t="n">
        <x:f>SQRT((Inputs!$C$52+B71)^2+(Inputs!$C$52+Y71/1000)^2-2*(Inputs!$C$52+B71)*(Inputs!$C$52+Y71/1000)*COS(SQRT(A71^2+Inputs!$C$6^2)/Inputs!$C$52))</x:f>
        <x:v>402.44713189039385</x:v>
      </x:c>
      <x:c r="AB71" s="9" t="n">
        <x:f>(AA71-Z71)*1000</x:f>
        <x:v>1620.3137533745462</x:v>
      </x:c>
      <x:c r="AC71" s="9" t="n">
        <x:f>AB71/Inputs!$C$12</x:f>
        <x:v>910.288625491318</x:v>
      </x:c>
      <x:c r="AD71" s="9" t="n">
        <x:f>2*AB71/Inputs!$C$21*1000000</x:f>
        <x:v>10.809569821630044</x:v>
      </x:c>
      <x:c r="AE71" s="9" t="n">
        <x:f>DEGREES(ATAN(H71/(B71-Y71/1000)))</x:f>
        <x:v>5.095935011486882</x:v>
      </x:c>
      <x:c r="AF71" s="9" t="n">
        <x:f>DEGREES((2*PI()/Inputs!$C$13)*Inputs!$C$15*SIN(RADIANS(AE71)))</x:f>
        <x:v>31.97650683074892</x:v>
      </x:c>
      <x:c r="AG71" s="9" t="n">
        <x:f>(Z71/AA71)^4</x:f>
        <x:v>0.9839923864013173</x:v>
      </x:c>
      <x:c r="AH71" s="9" t="n">
        <x:f>10*LOG10(AG71)</x:f>
        <x:v>-0.070082618904953</x:v>
      </x:c>
      <x:c r="AI71" s="9" t="n">
        <x:f>AC71-F71</x:f>
        <x:v>-210.3076007155173</x:v>
      </x:c>
      <x:c r="AJ71" s="9" t="n">
        <x:f>AD71-G71</x:f>
        <x:v>-2.4973778978363796</x:v>
      </x:c>
      <x:c r="AK71" s="9" t="n">
        <x:f>Y71-X71</x:f>
        <x:v>376.04090787340203</x:v>
      </x:c>
      <x:c r="AL71" s="9" t="n">
        <x:f>1000*(AA72-AA70)/(A72-A70)*Inputs!$C$11</x:f>
        <x:v>-498.7118920478224</x:v>
      </x:c>
      <x:c r="AM71" s="9" t="n">
        <x:f>-2*AL71/Inputs!$C$13</x:f>
        <x:v>199.48475681912896</x:v>
      </x:c>
      <x:c r="AN71" s="9" t="n">
        <x:f>-2*AL71/Inputs!$C$14</x:f>
        <x:v>29.952666189058405</x:v>
      </x:c>
      <x:c r="AO71" s="9" t="n">
        <x:f>ABS(AM71)</x:f>
        <x:v>199.48475681912896</x:v>
      </x:c>
      <x:c r="AP71" s="9" t="n">
        <x:f>ABS(AN71)</x:f>
        <x:v>29.952666189058405</x:v>
      </x:c>
      <x:c r="AQ71" s="9" t="n">
        <x:f>IF(OR(Inputs!$C$27=TRUE,Inputs!$C$27="TRUE",Inputs!$C$27=1),Inputs!$C$46/Inputs!$C$12,0)</x:f>
        <x:v>42.13483146067416</x:v>
      </x:c>
      <x:c r="AR71" s="9" t="n">
        <x:f>AC71-AQ71</x:f>
        <x:v>868.1537940306439</x:v>
      </x:c>
      <x:c r="AS71" s="9" t="n">
        <x:f>AC71+AQ71</x:f>
        <x:v>952.4234569519922</x:v>
      </x:c>
    </x:row>
    <x:row r="72">
      <x:c r="A72" s="9" t="n">
        <x:f>Inputs!$C$7+70*(Inputs!$C$8-Inputs!$C$7)/240</x:f>
        <x:v>-25</x:v>
      </x:c>
      <x:c r="B72" s="9" t="n">
        <x:f>Inputs!$C$5+Inputs!$C$9*(A72/Inputs!$C$10)^2</x:f>
        <x:v>400.69444444444446</x:v>
      </x:c>
      <x:c r="C72" s="9" t="n">
        <x:f>B72</x:f>
        <x:v>400.69444444444446</x:v>
      </x:c>
      <x:c r="D72" s="9" t="n">
        <x:f>SQRT((Inputs!$C$52+B72)^2+Inputs!$C$52^2-2*(Inputs!$C$52+B72)*Inputs!$C$52*COS(SQRT(A72^2+Inputs!$C$6^2)/Inputs!$C$52))</x:f>
        <x:v>402.64981725850396</x:v>
      </x:c>
      <x:c r="E72" s="9" t="n">
        <x:f>(D72-C72)*1000</x:f>
        <x:v>1955.3728140595013</x:v>
      </x:c>
      <x:c r="F72" s="9" t="n">
        <x:f>E72/Inputs!$C$12</x:f>
        <x:v>1098.5240528424165</x:v>
      </x:c>
      <x:c r="G72" s="9" t="n">
        <x:f>2*E72/Inputs!$C$21*1000000</x:f>
        <x:v>13.04484326993644</x:v>
      </x:c>
      <x:c r="H72" s="9" t="n">
        <x:f>SQRT(A72^2+Inputs!$C$6^2)</x:f>
        <x:v>35.35533905932738</x:v>
      </x:c>
      <x:c r="I72" s="9" t="n">
        <x:f>DEGREES(ATAN(H72/B72))</x:f>
        <x:v>5.042443535344872</x:v>
      </x:c>
      <x:c r="J72" s="9" t="n">
        <x:f>DEGREES((2*PI()/Inputs!$C$13)*Inputs!$C$15*SIN(RADIANS(I72)))</x:f>
        <x:v>31.64172455346228</x:v>
      </x:c>
      <x:c r="K72" s="9" t="n">
        <x:f>(C72/D72)^4</x:f>
        <x:v>0.9807159960210317</x:v>
      </x:c>
      <x:c r="L72" s="9" t="n">
        <x:f>10*LOG10(K72)</x:f>
        <x:v>-0.08456741058680131</x:v>
      </x:c>
      <x:c r="M72" s="9" t="n">
        <x:f>2*(Inputs!$C$9/(Inputs!$C$10^2))*A72</x:f>
        <x:v>-0.05555555555555555</x:v>
      </x:c>
      <x:c r="N72" s="9" t="n">
        <x:f>M72*Inputs!$C$11</x:f>
        <x:v>-0.2222222222222222</x:v>
      </x:c>
      <x:c r="O72" s="9" t="n">
        <x:f>1000*(D73-D71)/(A73-A71)*Inputs!$C$11</x:f>
        <x:v>-533.4500427779858</x:v>
      </x:c>
      <x:c r="P72" s="9" t="n">
        <x:f>-2*O72/Inputs!$C$13</x:f>
        <x:v>213.38001711119432</x:v>
      </x:c>
      <x:c r="Q72" s="9" t="n">
        <x:f>-2*O72/Inputs!$C$14</x:f>
        <x:v>32.03904160828744</x:v>
      </x:c>
      <x:c r="R72" s="9" t="n">
        <x:f>F72-Inputs!$C$16/2</x:f>
        <x:v>1083.5240528424165</x:v>
      </x:c>
      <x:c r="S72" s="9" t="n">
        <x:f>F72+Inputs!$C$16/2</x:f>
        <x:v>1113.5240528424165</x:v>
      </x:c>
      <x:c r="T72" s="9" t="n">
        <x:f>F72-Inputs!$C$17/2</x:f>
        <x:v>948.5240528424165</x:v>
      </x:c>
      <x:c r="U72" s="9" t="n">
        <x:f>F72+Inputs!$C$17/2</x:f>
        <x:v>1248.5240528424165</x:v>
      </x:c>
      <x:c r="V72" s="9" t="n">
        <x:f>ABS(P72)</x:f>
        <x:v>213.38001711119432</x:v>
      </x:c>
      <x:c r="W72" s="9" t="n">
        <x:f>ABS(Q72)</x:f>
        <x:v>32.03904160828744</x:v>
      </x:c>
      <x:c r="X72" s="9"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x:f>
        <x:v>-97.55297588358108</x:v>
      </x:c>
      <x:c r="Y72" s="9"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x:f>
        <x:v>260.2713841318971</x:v>
      </x:c>
      <x:c r="Z72" s="9" t="n">
        <x:f>B72-X72/1000</x:f>
        <x:v>400.791997420328</x:v>
      </x:c>
      <x:c r="AA72" s="9" t="n">
        <x:f>SQRT((Inputs!$C$52+B72)^2+(Inputs!$C$52+Y72/1000)^2-2*(Inputs!$C$52+B72)*(Inputs!$C$52+Y72/1000)*COS(SQRT(A72^2+Inputs!$C$6^2)/Inputs!$C$52))</x:f>
        <x:v>402.39113612175254</x:v>
      </x:c>
      <x:c r="AB72" s="9" t="n">
        <x:f>(AA72-Z72)*1000</x:f>
        <x:v>1599.138701424522</x:v>
      </x:c>
      <x:c r="AC72" s="9" t="n">
        <x:f>AB72/Inputs!$C$12</x:f>
        <x:v>898.3925288901809</x:v>
      </x:c>
      <x:c r="AD72" s="9" t="n">
        <x:f>2*AB72/Inputs!$C$21*1000000</x:f>
        <x:v>10.66830508074037</x:v>
      </x:c>
      <x:c r="AE72" s="9" t="n">
        <x:f>DEGREES(ATAN(H72/(B72-Y72/1000)))</x:f>
        <x:v>5.045704073930583</x:v>
      </x:c>
      <x:c r="AF72" s="9" t="n">
        <x:f>DEGREES((2*PI()/Inputs!$C$13)*Inputs!$C$15*SIN(RADIANS(AE72)))</x:f>
        <x:v>31.662131784497483</x:v>
      </x:c>
      <x:c r="AG72" s="9" t="n">
        <x:f>(Z72/AA72)^4</x:f>
        <x:v>0.9841981484469691</x:v>
      </x:c>
      <x:c r="AH72" s="9" t="n">
        <x:f>10*LOG10(AG72)</x:f>
        <x:v>-0.0691745633101815</x:v>
      </x:c>
      <x:c r="AI72" s="9" t="n">
        <x:f>AC72-F72</x:f>
        <x:v>-200.13152395223563</x:v>
      </x:c>
      <x:c r="AJ72" s="9" t="n">
        <x:f>AD72-G72</x:f>
        <x:v>-2.3765381891960704</x:v>
      </x:c>
      <x:c r="AK72" s="9" t="n">
        <x:f>Y72-X72</x:f>
        <x:v>357.8243600154782</x:v>
      </x:c>
      <x:c r="AL72" s="9" t="n">
        <x:f>1000*(AA73-AA71)/(A73-A71)*Inputs!$C$11</x:f>
        <x:v>-552.6814743020623</x:v>
      </x:c>
      <x:c r="AM72" s="9" t="n">
        <x:f>-2*AL72/Inputs!$C$13</x:f>
        <x:v>221.0725897208249</x:v>
      </x:c>
      <x:c r="AN72" s="9" t="n">
        <x:f>-2*AL72/Inputs!$C$14</x:f>
        <x:v>33.194082540664404</x:v>
      </x:c>
      <x:c r="AO72" s="9" t="n">
        <x:f>ABS(AM72)</x:f>
        <x:v>221.0725897208249</x:v>
      </x:c>
      <x:c r="AP72" s="9" t="n">
        <x:f>ABS(AN72)</x:f>
        <x:v>33.194082540664404</x:v>
      </x:c>
      <x:c r="AQ72" s="9" t="n">
        <x:f>IF(OR(Inputs!$C$27=TRUE,Inputs!$C$27="TRUE",Inputs!$C$27=1),Inputs!$C$46/Inputs!$C$12,0)</x:f>
        <x:v>42.13483146067416</x:v>
      </x:c>
      <x:c r="AR72" s="9" t="n">
        <x:f>AC72-AQ72</x:f>
        <x:v>856.2576974295067</x:v>
      </x:c>
      <x:c r="AS72" s="9" t="n">
        <x:f>AC72+AQ72</x:f>
        <x:v>940.527360350855</x:v>
      </x:c>
    </x:row>
    <x:row r="73">
      <x:c r="A73" s="9" t="n">
        <x:f>Inputs!$C$7+71*(Inputs!$C$8-Inputs!$C$7)/240</x:f>
        <x:v>-24.5</x:v>
      </x:c>
      <x:c r="B73" s="9" t="n">
        <x:f>Inputs!$C$5+Inputs!$C$9*(A73/Inputs!$C$10)^2</x:f>
        <x:v>400.6669444444444</x:v>
      </x:c>
      <x:c r="C73" s="9" t="n">
        <x:f>B73</x:f>
        <x:v>400.6669444444444</x:v>
      </x:c>
      <x:c r="D73" s="9" t="n">
        <x:f>SQRT((Inputs!$C$52+B73)^2+Inputs!$C$52^2-2*(Inputs!$C$52+B73)*Inputs!$C$52*COS(SQRT(A73^2+Inputs!$C$6^2)/Inputs!$C$52))</x:f>
        <x:v>402.5837987719537</x:v>
      </x:c>
      <x:c r="E73" s="9" t="n">
        <x:f>(D73-C73)*1000</x:f>
        <x:v>1916.8543275092702</x:v>
      </x:c>
      <x:c r="F73" s="9" t="n">
        <x:f>E73/Inputs!$C$12</x:f>
        <x:v>1076.8844536568934</x:v>
      </x:c>
      <x:c r="G73" s="9" t="n">
        <x:f>2*E73/Inputs!$C$21*1000000</x:f>
        <x:v>12.78787558764584</x:v>
      </x:c>
      <x:c r="H73" s="9" t="n">
        <x:f>SQRT(A73^2+Inputs!$C$6^2)</x:f>
        <x:v>35.00357124637428</x:v>
      </x:c>
      <x:c r="I73" s="9" t="n">
        <x:f>DEGREES(ATAN(H73/B73))</x:f>
        <x:v>4.99286952278949</x:v>
      </x:c>
      <x:c r="J73" s="9" t="n">
        <x:f>DEGREES((2*PI()/Inputs!$C$13)*Inputs!$C$15*SIN(RADIANS(I73)))</x:f>
        <x:v>31.331435522208846</x:v>
      </x:c>
      <x:c r="K73" s="9" t="n">
        <x:f>(C73/D73)^4</x:f>
        <x:v>0.981090074353131</x:v>
      </x:c>
      <x:c r="L73" s="9" t="n">
        <x:f>10*LOG10(K73)</x:f>
        <x:v>-0.08291118003626269</x:v>
      </x:c>
      <x:c r="M73" s="9" t="n">
        <x:f>2*(Inputs!$C$9/(Inputs!$C$10^2))*A73</x:f>
        <x:v>-0.05444444444444444</x:v>
      </x:c>
      <x:c r="N73" s="9" t="n">
        <x:f>M73*Inputs!$C$11</x:f>
        <x:v>-0.21777777777777776</x:v>
      </x:c>
      <x:c r="O73" s="9" t="n">
        <x:f>1000*(D74-D72)/(A74-A72)*Inputs!$C$11</x:f>
        <x:v>-522.8438353706224</x:v>
      </x:c>
      <x:c r="P73" s="9" t="n">
        <x:f>-2*O73/Inputs!$C$13</x:f>
        <x:v>209.13753414824896</x:v>
      </x:c>
      <x:c r="Q73" s="9" t="n">
        <x:f>-2*O73/Inputs!$C$14</x:f>
        <x:v>31.402032154391737</x:v>
      </x:c>
      <x:c r="R73" s="9" t="n">
        <x:f>F73-Inputs!$C$16/2</x:f>
        <x:v>1061.8844536568934</x:v>
      </x:c>
      <x:c r="S73" s="9" t="n">
        <x:f>F73+Inputs!$C$16/2</x:f>
        <x:v>1091.8844536568934</x:v>
      </x:c>
      <x:c r="T73" s="9" t="n">
        <x:f>F73-Inputs!$C$17/2</x:f>
        <x:v>926.8844536568934</x:v>
      </x:c>
      <x:c r="U73" s="9" t="n">
        <x:f>F73+Inputs!$C$17/2</x:f>
        <x:v>1226.8844536568934</x:v>
      </x:c>
      <x:c r="V73" s="9" t="n">
        <x:f>ABS(P73)</x:f>
        <x:v>209.13753414824896</x:v>
      </x:c>
      <x:c r="W73" s="9" t="n">
        <x:f>ABS(Q73)</x:f>
        <x:v>31.402032154391737</x:v>
      </x:c>
      <x:c r="X73" s="9"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x:f>
        <x:v>-113.61582851930044</x:v>
      </x:c>
      <x:c r="Y73" s="9"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x:f>
        <x:v>276.49363528949897</x:v>
      </x:c>
      <x:c r="Z73" s="9" t="n">
        <x:f>B73-X73/1000</x:f>
        <x:v>400.7805602729637</x:v>
      </x:c>
      <x:c r="AA73" s="9" t="n">
        <x:f>SQRT((Inputs!$C$52+B73)^2+(Inputs!$C$52+Y73/1000)^2-2*(Inputs!$C$52+B73)*(Inputs!$C$52+Y73/1000)*COS(SQRT(A73^2+Inputs!$C$6^2)/Inputs!$C$52))</x:f>
        <x:v>402.30896152181833</x:v>
      </x:c>
      <x:c r="AB73" s="9" t="n">
        <x:f>(AA73-Z73)*1000</x:f>
        <x:v>1528.4012488546068</x:v>
      </x:c>
      <x:c r="AC73" s="9" t="n">
        <x:f>AB73/Inputs!$C$12</x:f>
        <x:v>858.6523869969701</x:v>
      </x:c>
      <x:c r="AD73" s="9" t="n">
        <x:f>2*AB73/Inputs!$C$21*1000000</x:f>
        <x:v>10.196395593478252</x:v>
      </x:c>
      <x:c r="AE73" s="9" t="n">
        <x:f>DEGREES(ATAN(H73/(B73-Y73/1000)))</x:f>
        <x:v>4.996299952552246</x:v>
      </x:c>
      <x:c r="AF73" s="9" t="n">
        <x:f>DEGREES((2*PI()/Inputs!$C$13)*Inputs!$C$15*SIN(RADIANS(AE73)))</x:f>
        <x:v>31.35290770596682</x:v>
      </x:c>
      <x:c r="AG73" s="9" t="n">
        <x:f>(Z73/AA73)^4</x:f>
        <x:v>0.9848900852831368</x:v>
      </x:c>
      <x:c r="AH73" s="9" t="n">
        <x:f>10*LOG10(AG73)</x:f>
        <x:v>-0.0661223449586156</x:v>
      </x:c>
      <x:c r="AI73" s="9" t="n">
        <x:f>AC73-F73</x:f>
        <x:v>-218.23206665992325</x:v>
      </x:c>
      <x:c r="AJ73" s="9" t="n">
        <x:f>AD73-G73</x:f>
        <x:v>-2.591479994167587</x:v>
      </x:c>
      <x:c r="AK73" s="9" t="n">
        <x:f>Y73-X73</x:f>
        <x:v>390.10946380879943</x:v>
      </x:c>
      <x:c r="AL73" s="9" t="n">
        <x:f>1000*(AA74-AA72)/(A74-A72)*Inputs!$C$11</x:f>
        <x:v>-556.1260998363196</x:v>
      </x:c>
      <x:c r="AM73" s="9" t="n">
        <x:f>-2*AL73/Inputs!$C$13</x:f>
        <x:v>222.45043993452782</x:v>
      </x:c>
      <x:c r="AN73" s="9" t="n">
        <x:f>-2*AL73/Inputs!$C$14</x:f>
        <x:v>33.40096695713631</x:v>
      </x:c>
      <x:c r="AO73" s="9" t="n">
        <x:f>ABS(AM73)</x:f>
        <x:v>222.45043993452782</x:v>
      </x:c>
      <x:c r="AP73" s="9" t="n">
        <x:f>ABS(AN73)</x:f>
        <x:v>33.40096695713631</x:v>
      </x:c>
      <x:c r="AQ73" s="9" t="n">
        <x:f>IF(OR(Inputs!$C$27=TRUE,Inputs!$C$27="TRUE",Inputs!$C$27=1),Inputs!$C$46/Inputs!$C$12,0)</x:f>
        <x:v>42.13483146067416</x:v>
      </x:c>
      <x:c r="AR73" s="9" t="n">
        <x:f>AC73-AQ73</x:f>
        <x:v>816.517555536296</x:v>
      </x:c>
      <x:c r="AS73" s="9" t="n">
        <x:f>AC73+AQ73</x:f>
        <x:v>900.7872184576443</x:v>
      </x:c>
    </x:row>
    <x:row r="74">
      <x:c r="A74" s="9" t="n">
        <x:f>Inputs!$C$7+72*(Inputs!$C$8-Inputs!$C$7)/240</x:f>
        <x:v>-24</x:v>
      </x:c>
      <x:c r="B74" s="9" t="n">
        <x:f>Inputs!$C$5+Inputs!$C$9*(A74/Inputs!$C$10)^2</x:f>
        <x:v>400.64</x:v>
      </x:c>
      <x:c r="C74" s="9" t="n">
        <x:f>B74</x:f>
        <x:v>400.64</x:v>
      </x:c>
      <x:c r="D74" s="9" t="n">
        <x:f>SQRT((Inputs!$C$52+B74)^2+Inputs!$C$52^2-2*(Inputs!$C$52+B74)*Inputs!$C$52*COS(SQRT(A74^2+Inputs!$C$6^2)/Inputs!$C$52))</x:f>
        <x:v>402.5191062996613</x:v>
      </x:c>
      <x:c r="E74" s="9" t="n">
        <x:f>(D74-C74)*1000</x:f>
        <x:v>1879.1062996613164</x:v>
      </x:c>
      <x:c r="F74" s="9" t="n">
        <x:f>E74/Inputs!$C$12</x:f>
        <x:v>1055.6776964389417</x:v>
      </x:c>
      <x:c r="G74" s="9" t="n">
        <x:f>2*E74/Inputs!$C$21*1000000</x:f>
        <x:v>12.53604785255349</x:v>
      </x:c>
      <x:c r="H74" s="9" t="n">
        <x:f>SQRT(A74^2+Inputs!$C$6^2)</x:f>
        <x:v>34.655446902326915</x:v>
      </x:c>
      <x:c r="I74" s="9" t="n">
        <x:f>DEGREES(ATAN(H74/B74))</x:f>
        <x:v>4.943791572217107</x:v>
      </x:c>
      <x:c r="J74" s="9" t="n">
        <x:f>DEGREES((2*PI()/Inputs!$C$13)*Inputs!$C$15*SIN(RADIANS(I74)))</x:f>
        <x:v>31.024228290513804</x:v>
      </x:c>
      <x:c r="K74" s="9" t="n">
        <x:f>(C74/D74)^4</x:f>
        <x:v>0.9814568934218927</x:v>
      </x:c>
      <x:c r="L74" s="9" t="n">
        <x:f>10*LOG10(K74)</x:f>
        <x:v>-0.08128770297414839</x:v>
      </x:c>
      <x:c r="M74" s="9" t="n">
        <x:f>2*(Inputs!$C$9/(Inputs!$C$10^2))*A74</x:f>
        <x:v>-0.05333333333333333</x:v>
      </x:c>
      <x:c r="N74" s="9" t="n">
        <x:f>M74*Inputs!$C$11</x:f>
        <x:v>-0.21333333333333332</x:v>
      </x:c>
      <x:c r="O74" s="9" t="n">
        <x:f>1000*(D75-D73)/(A75-A73)*Inputs!$C$11</x:f>
        <x:v>-512.2338516328</x:v>
      </x:c>
      <x:c r="P74" s="9" t="n">
        <x:f>-2*O74/Inputs!$C$13</x:f>
        <x:v>204.89354065312</x:v>
      </x:c>
      <x:c r="Q74" s="9" t="n">
        <x:f>-2*O74/Inputs!$C$14</x:f>
        <x:v>30.764795893861866</x:v>
      </x:c>
      <x:c r="R74" s="9" t="n">
        <x:f>F74-Inputs!$C$16/2</x:f>
        <x:v>1040.6776964389417</x:v>
      </x:c>
      <x:c r="S74" s="9" t="n">
        <x:f>F74+Inputs!$C$16/2</x:f>
        <x:v>1070.6776964389417</x:v>
      </x:c>
      <x:c r="T74" s="9" t="n">
        <x:f>F74-Inputs!$C$17/2</x:f>
        <x:v>905.6776964389417</x:v>
      </x:c>
      <x:c r="U74" s="9" t="n">
        <x:f>F74+Inputs!$C$17/2</x:f>
        <x:v>1205.6776964389417</x:v>
      </x:c>
      <x:c r="V74" s="9" t="n">
        <x:f>ABS(P74)</x:f>
        <x:v>204.89354065312</x:v>
      </x:c>
      <x:c r="W74" s="9" t="n">
        <x:f>ABS(Q74)</x:f>
        <x:v>30.764795893861866</x:v>
      </x:c>
      <x:c r="X74" s="9"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x:f>
        <x:v>-111.48853690711687</x:v>
      </x:c>
      <x:c r="Y74" s="9"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x:f>
        <x:v>268.5791759815676</x:v>
      </x:c>
      <x:c r="Z74" s="9" t="n">
        <x:f>B74-X74/1000</x:f>
        <x:v>400.7514885369071</x:v>
      </x:c>
      <x:c r="AA74" s="9" t="n">
        <x:f>SQRT((Inputs!$C$52+B74)^2+(Inputs!$C$52+Y74/1000)^2-2*(Inputs!$C$52+B74)*(Inputs!$C$52+Y74/1000)*COS(SQRT(A74^2+Inputs!$C$6^2)/Inputs!$C$52))</x:f>
        <x:v>402.25210459679346</x:v>
      </x:c>
      <x:c r="AB74" s="9" t="n">
        <x:f>(AA74-Z74)*1000</x:f>
        <x:v>1500.6160598863403</x:v>
      </x:c>
      <x:c r="AC74" s="9" t="n">
        <x:f>AB74/Inputs!$C$12</x:f>
        <x:v>843.0427302732248</x:v>
      </x:c>
      <x:c r="AD74" s="9" t="n">
        <x:f>2*AB74/Inputs!$C$21*1000000</x:f>
        <x:v>10.011032765116061</x:v>
      </x:c>
      <x:c r="AE74" s="9" t="n">
        <x:f>DEGREES(ATAN(H74/(B74-Y74/1000)))</x:f>
        <x:v>4.94709153857943</x:v>
      </x:c>
      <x:c r="AF74" s="9" t="n">
        <x:f>DEGREES((2*PI()/Inputs!$C$13)*Inputs!$C$15*SIN(RADIANS(AE74)))</x:f>
        <x:v>31.04488540181378</x:v>
      </x:c>
      <x:c r="AG74" s="9" t="n">
        <x:f>(Z74/AA74)^4</x:f>
        <x:v>0.9851611489077949</x:v>
      </x:c>
      <x:c r="AH74" s="9" t="n">
        <x:f>10*LOG10(AG74)</x:f>
        <x:v>-0.0649272345459167</x:v>
      </x:c>
      <x:c r="AI74" s="9" t="n">
        <x:f>AC74-F74</x:f>
        <x:v>-212.63496616571683</x:v>
      </x:c>
      <x:c r="AJ74" s="9" t="n">
        <x:f>AD74-G74</x:f>
        <x:v>-2.5250150874374295</x:v>
      </x:c>
      <x:c r="AK74" s="9" t="n">
        <x:f>Y74-X74</x:f>
        <x:v>380.06771288868447</x:v>
      </x:c>
      <x:c r="AL74" s="9" t="n">
        <x:f>1000*(AA75-AA73)/(A75-A73)*Inputs!$C$11</x:f>
        <x:v>-502.31324419269185</x:v>
      </x:c>
      <x:c r="AM74" s="9" t="n">
        <x:f>-2*AL74/Inputs!$C$13</x:f>
        <x:v>200.92529767707674</x:v>
      </x:c>
      <x:c r="AN74" s="9" t="n">
        <x:f>-2*AL74/Inputs!$C$14</x:f>
        <x:v>30.16896361517669</x:v>
      </x:c>
      <x:c r="AO74" s="9" t="n">
        <x:f>ABS(AM74)</x:f>
        <x:v>200.92529767707674</x:v>
      </x:c>
      <x:c r="AP74" s="9" t="n">
        <x:f>ABS(AN74)</x:f>
        <x:v>30.16896361517669</x:v>
      </x:c>
      <x:c r="AQ74" s="9" t="n">
        <x:f>IF(OR(Inputs!$C$27=TRUE,Inputs!$C$27="TRUE",Inputs!$C$27=1),Inputs!$C$46/Inputs!$C$12,0)</x:f>
        <x:v>42.13483146067416</x:v>
      </x:c>
      <x:c r="AR74" s="9" t="n">
        <x:f>AC74-AQ74</x:f>
        <x:v>800.9078988125507</x:v>
      </x:c>
      <x:c r="AS74" s="9" t="n">
        <x:f>AC74+AQ74</x:f>
        <x:v>885.177561733899</x:v>
      </x:c>
    </x:row>
    <x:row r="75">
      <x:c r="A75" s="9" t="n">
        <x:f>Inputs!$C$7+73*(Inputs!$C$8-Inputs!$C$7)/240</x:f>
        <x:v>-23.5</x:v>
      </x:c>
      <x:c r="B75" s="9" t="n">
        <x:f>Inputs!$C$5+Inputs!$C$9*(A75/Inputs!$C$10)^2</x:f>
        <x:v>400.6136111111111</x:v>
      </x:c>
      <x:c r="C75" s="9" t="n">
        <x:f>B75</x:f>
        <x:v>400.6136111111111</x:v>
      </x:c>
      <x:c r="D75" s="9" t="n">
        <x:f>SQRT((Inputs!$C$52+B75)^2+Inputs!$C$52^2-2*(Inputs!$C$52+B75)*Inputs!$C$52*COS(SQRT(A75^2+Inputs!$C$6^2)/Inputs!$C$52))</x:f>
        <x:v>402.4557403090455</x:v>
      </x:c>
      <x:c r="E75" s="9" t="n">
        <x:f>(D75-C75)*1000</x:f>
        <x:v>1842.1291979344119</x:v>
      </x:c>
      <x:c r="F75" s="9" t="n">
        <x:f>E75/Inputs!$C$12</x:f>
        <x:v>1034.9040437833773</x:v>
      </x:c>
      <x:c r="G75" s="9" t="n">
        <x:f>2*E75/Inputs!$C$21*1000000</x:f>
        <x:v>12.289363182941793</x:v>
      </x:c>
      <x:c r="H75" s="9" t="n">
        <x:f>SQRT(A75^2+Inputs!$C$6^2)</x:f>
        <x:v>34.311076928595526</x:v>
      </x:c>
      <x:c r="I75" s="9" t="n">
        <x:f>DEGREES(ATAN(H75/B75))</x:f>
        <x:v>4.8952260304560395</x:v>
      </x:c>
      <x:c r="J75" s="9" t="n">
        <x:f>DEGREES((2*PI()/Inputs!$C$13)*Inputs!$C$15*SIN(RADIANS(I75)))</x:f>
        <x:v>30.72020611297858</x:v>
      </x:c>
      <x:c r="K75" s="9" t="n">
        <x:f>(C75/D75)^4</x:f>
        <x:v>0.9818164353100021</x:v>
      </x:c>
      <x:c r="L75" s="9" t="n">
        <x:f>10*LOG10(K75)</x:f>
        <x:v>-0.079697022171028</x:v>
      </x:c>
      <x:c r="M75" s="9" t="n">
        <x:f>2*(Inputs!$C$9/(Inputs!$C$10^2))*A75</x:f>
        <x:v>-0.052222222222222225</x:v>
      </x:c>
      <x:c r="N75" s="9" t="n">
        <x:f>M75*Inputs!$C$11</x:f>
        <x:v>-0.2088888888888889</x:v>
      </x:c>
      <x:c r="O75" s="9" t="n">
        <x:f>1000*(D76-D74)/(A76-A74)*Inputs!$C$11</x:f>
        <x:v>-501.6201656674184</x:v>
      </x:c>
      <x:c r="P75" s="9" t="n">
        <x:f>-2*O75/Inputs!$C$13</x:f>
        <x:v>200.64806626696736</x:v>
      </x:c>
      <x:c r="Q75" s="9" t="n">
        <x:f>-2*O75/Inputs!$C$14</x:f>
        <x:v>30.12733727732243</x:v>
      </x:c>
      <x:c r="R75" s="9" t="n">
        <x:f>F75-Inputs!$C$16/2</x:f>
        <x:v>1019.9040437833773</x:v>
      </x:c>
      <x:c r="S75" s="9" t="n">
        <x:f>F75+Inputs!$C$16/2</x:f>
        <x:v>1049.9040437833773</x:v>
      </x:c>
      <x:c r="T75" s="9" t="n">
        <x:f>F75-Inputs!$C$17/2</x:f>
        <x:v>884.9040437833773</x:v>
      </x:c>
      <x:c r="U75" s="9" t="n">
        <x:f>F75+Inputs!$C$17/2</x:f>
        <x:v>1184.9040437833773</x:v>
      </x:c>
      <x:c r="V75" s="9" t="n">
        <x:f>ABS(P75)</x:f>
        <x:v>200.64806626696736</x:v>
      </x:c>
      <x:c r="W75" s="9" t="n">
        <x:f>ABS(Q75)</x:f>
        <x:v>30.12733727732243</x:v>
      </x:c>
      <x:c r="X75" s="9"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x:f>
        <x:v>-125.65162794647964</x:v>
      </x:c>
      <x:c r="Y75" s="9"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x:f>
        <x:v>273.93459884711217</x:v>
      </x:c>
      <x:c r="Z75" s="9" t="n">
        <x:f>B75-X75/1000</x:f>
        <x:v>400.73926273905755</x:v>
      </x:c>
      <x:c r="AA75" s="9" t="n">
        <x:f>SQRT((Inputs!$C$52+B75)^2+(Inputs!$C$52+Y75/1000)^2-2*(Inputs!$C$52+B75)*(Inputs!$C$52+Y75/1000)*COS(SQRT(A75^2+Inputs!$C$6^2)/Inputs!$C$52))</x:f>
        <x:v>402.18338321077016</x:v>
      </x:c>
      <x:c r="AB75" s="9" t="n">
        <x:f>(AA75-Z75)*1000</x:f>
        <x:v>1444.1204717126084</x:v>
      </x:c>
      <x:c r="AC75" s="9" t="n">
        <x:f>AB75/Inputs!$C$12</x:f>
        <x:v>811.3036357936002</x:v>
      </x:c>
      <x:c r="AD75" s="9" t="n">
        <x:f>2*AB75/Inputs!$C$21*1000000</x:f>
        <x:v>9.634134770078896</x:v>
      </x:c>
      <x:c r="AE75" s="9" t="n">
        <x:f>DEGREES(ATAN(H75/(B75-Y75/1000)))</x:f>
        <x:v>4.898559322168956</x:v>
      </x:c>
      <x:c r="AF75" s="9" t="n">
        <x:f>DEGREES((2*PI()/Inputs!$C$13)*Inputs!$C$15*SIN(RADIANS(AE75)))</x:f>
        <x:v>30.741073356498177</x:v>
      </x:c>
      <x:c r="AG75" s="9" t="n">
        <x:f>(Z75/AA75)^4</x:f>
        <x:v>0.9857143678638391</x:v>
      </x:c>
      <x:c r="AH75" s="9" t="n">
        <x:f>10*LOG10(AG75)</x:f>
        <x:v>-0.0624891308284589</x:v>
      </x:c>
      <x:c r="AI75" s="9" t="n">
        <x:f>AC75-F75</x:f>
        <x:v>-223.60040798977718</x:v>
      </x:c>
      <x:c r="AJ75" s="9" t="n">
        <x:f>AD75-G75</x:f>
        <x:v>-2.655228412862897</x:v>
      </x:c>
      <x:c r="AK75" s="9" t="n">
        <x:f>Y75-X75</x:f>
        <x:v>399.5862267935918</x:v>
      </x:c>
      <x:c r="AL75" s="9" t="n">
        <x:f>1000*(AA76-AA74)/(A76-A74)*Inputs!$C$11</x:f>
        <x:v>-545.5230634195232</x:v>
      </x:c>
      <x:c r="AM75" s="9" t="n">
        <x:f>-2*AL75/Inputs!$C$13</x:f>
        <x:v>218.20922536780927</x:v>
      </x:c>
      <x:c r="AN75" s="9" t="n">
        <x:f>-2*AL75/Inputs!$C$14</x:f>
        <x:v>32.764147953124514</x:v>
      </x:c>
      <x:c r="AO75" s="9" t="n">
        <x:f>ABS(AM75)</x:f>
        <x:v>218.20922536780927</x:v>
      </x:c>
      <x:c r="AP75" s="9" t="n">
        <x:f>ABS(AN75)</x:f>
        <x:v>32.764147953124514</x:v>
      </x:c>
      <x:c r="AQ75" s="9" t="n">
        <x:f>IF(OR(Inputs!$C$27=TRUE,Inputs!$C$27="TRUE",Inputs!$C$27=1),Inputs!$C$46/Inputs!$C$12,0)</x:f>
        <x:v>42.13483146067416</x:v>
      </x:c>
      <x:c r="AR75" s="9" t="n">
        <x:f>AC75-AQ75</x:f>
        <x:v>769.168804332926</x:v>
      </x:c>
      <x:c r="AS75" s="9" t="n">
        <x:f>AC75+AQ75</x:f>
        <x:v>853.4384672542743</x:v>
      </x:c>
    </x:row>
    <x:row r="76">
      <x:c r="A76" s="9" t="n">
        <x:f>Inputs!$C$7+74*(Inputs!$C$8-Inputs!$C$7)/240</x:f>
        <x:v>-23</x:v>
      </x:c>
      <x:c r="B76" s="9" t="n">
        <x:f>Inputs!$C$5+Inputs!$C$9*(A76/Inputs!$C$10)^2</x:f>
        <x:v>400.5877777777778</x:v>
      </x:c>
      <x:c r="C76" s="9" t="n">
        <x:f>B76</x:f>
        <x:v>400.5877777777778</x:v>
      </x:c>
      <x:c r="D76" s="9" t="n">
        <x:f>SQRT((Inputs!$C$52+B76)^2+Inputs!$C$52^2-2*(Inputs!$C$52+B76)*Inputs!$C$52*COS(SQRT(A76^2+Inputs!$C$6^2)/Inputs!$C$52))</x:f>
        <x:v>402.39370125824445</x:v>
      </x:c>
      <x:c r="E76" s="9" t="n">
        <x:f>(D76-C76)*1000</x:f>
        <x:v>1805.9234804666744</x:v>
      </x:c>
      <x:c r="F76" s="9" t="n">
        <x:f>E76/Inputs!$C$12</x:f>
        <x:v>1014.5637530711654</x:v>
      </x:c>
      <x:c r="G76" s="9" t="n">
        <x:f>2*E76/Inputs!$C$21*1000000</x:f>
        <x:v>12.047824635179278</x:v>
      </x:c>
      <x:c r="H76" s="9" t="n">
        <x:f>SQRT(A76^2+Inputs!$C$6^2)</x:f>
        <x:v>33.97057550292606</x:v>
      </x:c>
      <x:c r="I76" s="9" t="n">
        <x:f>DEGREES(ATAN(H76/B76))</x:f>
        <x:v>4.847189712205752</x:v>
      </x:c>
      <x:c r="J76" s="9" t="n">
        <x:f>DEGREES((2*PI()/Inputs!$C$13)*Inputs!$C$15*SIN(RADIANS(I76)))</x:f>
        <x:v>30.419475182182925</x:v>
      </x:c>
      <x:c r="K76" s="9" t="n">
        <x:f>(C76/D76)^4</x:f>
        <x:v>0.982168682437086</x:v>
      </x:c>
      <x:c r="L76" s="9" t="n">
        <x:f>10*LOG10(K76)</x:f>
        <x:v>-0.078139179559933</x:v>
      </x:c>
      <x:c r="M76" s="9" t="n">
        <x:f>2*(Inputs!$C$9/(Inputs!$C$10^2))*A76</x:f>
        <x:v>-0.051111111111111114</x:v>
      </x:c>
      <x:c r="N76" s="9" t="n">
        <x:f>M76*Inputs!$C$11</x:f>
        <x:v>-0.20444444444444446</x:v>
      </x:c>
      <x:c r="O76" s="9" t="n">
        <x:f>1000*(D77-D75)/(A77-A75)*Inputs!$C$11</x:f>
        <x:v>-491.00285175427416</x:v>
      </x:c>
      <x:c r="P76" s="9" t="n">
        <x:f>-2*O76/Inputs!$C$13</x:f>
        <x:v>196.40114070170966</x:v>
      </x:c>
      <x:c r="Q76" s="9" t="n">
        <x:f>-2*O76/Inputs!$C$14</x:f>
        <x:v>29.489660766022475</x:v>
      </x:c>
      <x:c r="R76" s="9" t="n">
        <x:f>F76-Inputs!$C$16/2</x:f>
        <x:v>999.5637530711654</x:v>
      </x:c>
      <x:c r="S76" s="9" t="n">
        <x:f>F76+Inputs!$C$16/2</x:f>
        <x:v>1029.5637530711654</x:v>
      </x:c>
      <x:c r="T76" s="9" t="n">
        <x:f>F76-Inputs!$C$17/2</x:f>
        <x:v>864.5637530711654</x:v>
      </x:c>
      <x:c r="U76" s="9" t="n">
        <x:f>F76+Inputs!$C$17/2</x:f>
        <x:v>1164.5637530711654</x:v>
      </x:c>
      <x:c r="V76" s="9" t="n">
        <x:f>ABS(P76)</x:f>
        <x:v>196.40114070170966</x:v>
      </x:c>
      <x:c r="W76" s="9" t="n">
        <x:f>ABS(Q76)</x:f>
        <x:v>29.489660766022475</x:v>
      </x:c>
      <x:c r="X76" s="9"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x:f>
        <x:v>-132.5457898426781</x:v>
      </x:c>
      <x:c r="Y76" s="9"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x:f>
        <x:v>279.55588840773</x:v>
      </x:c>
      <x:c r="Z76" s="9" t="n">
        <x:f>B76-X76/1000</x:f>
        <x:v>400.7203235676204</x:v>
      </x:c>
      <x:c r="AA76" s="9" t="n">
        <x:f>SQRT((Inputs!$C$52+B76)^2+(Inputs!$C$52+Y76/1000)^2-2*(Inputs!$C$52+B76)*(Inputs!$C$52+Y76/1000)*COS(SQRT(A76^2+Inputs!$C$6^2)/Inputs!$C$52))</x:f>
        <x:v>402.1157238309386</x:v>
      </x:c>
      <x:c r="AB76" s="9" t="n">
        <x:f>(AA76-Z76)*1000</x:f>
        <x:v>1395.4002633181517</x:v>
      </x:c>
      <x:c r="AC76" s="9" t="n">
        <x:f>AB76/Inputs!$C$12</x:f>
        <x:v>783.9327322012089</x:v>
      </x:c>
      <x:c r="AD76" s="9" t="n">
        <x:f>2*AB76/Inputs!$C$21*1000000</x:f>
        <x:v>9.309108525459648</x:v>
      </x:c>
      <x:c r="AE76" s="9" t="n">
        <x:f>DEGREES(ATAN(H76/(B76-Y76/1000)))</x:f>
        <x:v>4.850558609905554</x:v>
      </x:c>
      <x:c r="AF76" s="9" t="n">
        <x:f>DEGREES((2*PI()/Inputs!$C$13)*Inputs!$C$15*SIN(RADIANS(AE76)))</x:f>
        <x:v>30.440566835056774</x:v>
      </x:c>
      <x:c r="AG76" s="9" t="n">
        <x:f>(Z76/AA76)^4</x:f>
        <x:v>0.986191500547363</x:v>
      </x:c>
      <x:c r="AH76" s="9" t="n">
        <x:f>10*LOG10(AG76)</x:f>
        <x:v>-0.0603874473865302</x:v>
      </x:c>
      <x:c r="AI76" s="9" t="n">
        <x:f>AC76-F76</x:f>
        <x:v>-230.6310208699565</x:v>
      </x:c>
      <x:c r="AJ76" s="9" t="n">
        <x:f>AD76-G76</x:f>
        <x:v>-2.738716109719631</x:v>
      </x:c>
      <x:c r="AK76" s="9" t="n">
        <x:f>Y76-X76</x:f>
        <x:v>412.1016782504081</x:v>
      </x:c>
      <x:c r="AL76" s="9" t="n">
        <x:f>1000*(AA77-AA75)/(A77-A75)*Inputs!$C$11</x:f>
        <x:v>-542.0228500745452</x:v>
      </x:c>
      <x:c r="AM76" s="9" t="n">
        <x:f>-2*AL76/Inputs!$C$13</x:f>
        <x:v>216.80914002981808</x:v>
      </x:c>
      <x:c r="AN76" s="9" t="n">
        <x:f>-2*AL76/Inputs!$C$14</x:f>
        <x:v>32.553924929402115</x:v>
      </x:c>
      <x:c r="AO76" s="9" t="n">
        <x:f>ABS(AM76)</x:f>
        <x:v>216.80914002981808</x:v>
      </x:c>
      <x:c r="AP76" s="9" t="n">
        <x:f>ABS(AN76)</x:f>
        <x:v>32.553924929402115</x:v>
      </x:c>
      <x:c r="AQ76" s="9" t="n">
        <x:f>IF(OR(Inputs!$C$27=TRUE,Inputs!$C$27="TRUE",Inputs!$C$27=1),Inputs!$C$46/Inputs!$C$12,0)</x:f>
        <x:v>42.13483146067416</x:v>
      </x:c>
      <x:c r="AR76" s="9" t="n">
        <x:f>AC76-AQ76</x:f>
        <x:v>741.7979007405347</x:v>
      </x:c>
      <x:c r="AS76" s="9" t="n">
        <x:f>AC76+AQ76</x:f>
        <x:v>826.067563661883</x:v>
      </x:c>
    </x:row>
    <x:row r="77">
      <x:c r="A77" s="9" t="n">
        <x:f>Inputs!$C$7+75*(Inputs!$C$8-Inputs!$C$7)/240</x:f>
        <x:v>-22.5</x:v>
      </x:c>
      <x:c r="B77" s="9" t="n">
        <x:f>Inputs!$C$5+Inputs!$C$9*(A77/Inputs!$C$10)^2</x:f>
        <x:v>400.5625</x:v>
      </x:c>
      <x:c r="C77" s="9" t="n">
        <x:f>B77</x:f>
        <x:v>400.5625</x:v>
      </x:c>
      <x:c r="D77" s="9" t="n">
        <x:f>SQRT((Inputs!$C$52+B77)^2+Inputs!$C$52^2-2*(Inputs!$C$52+B77)*Inputs!$C$52*COS(SQRT(A77^2+Inputs!$C$6^2)/Inputs!$C$52))</x:f>
        <x:v>402.3329895961069</x:v>
      </x:c>
      <x:c r="E77" s="9" t="n">
        <x:f>(D77-C77)*1000</x:f>
        <x:v>1770.489596106927</x:v>
      </x:c>
      <x:c r="F77" s="9" t="n">
        <x:f>E77/Inputs!$C$12</x:f>
        <x:v>994.6570764645656</x:v>
      </x:c>
      <x:c r="G77" s="9" t="n">
        <x:f>2*E77/Inputs!$C$21*1000000</x:f>
        <x:v>11.811435203662974</x:v>
      </x:c>
      <x:c r="H77" s="9" t="n">
        <x:f>SQRT(A77^2+Inputs!$C$6^2)</x:f>
        <x:v>33.63406011768428</x:v>
      </x:c>
      <x:c r="I77" s="9" t="n">
        <x:f>DEGREES(ATAN(H77/B77))</x:f>
        <x:v>4.799699905357918</x:v>
      </x:c>
      <x:c r="J77" s="9" t="n">
        <x:f>DEGREES((2*PI()/Inputs!$C$13)*Inputs!$C$15*SIN(RADIANS(I77)))</x:f>
        <x:v>30.122144661864603</x:v>
      </x:c>
      <x:c r="K77" s="9" t="n">
        <x:f>(C77/D77)^4</x:f>
        <x:v>0.9825136175615532</x:v>
      </x:c>
      <x:c r="L77" s="9" t="n">
        <x:f>10*LOG10(K77)</x:f>
        <x:v>-0.0766142162342085</x:v>
      </x:c>
      <x:c r="M77" s="9" t="n">
        <x:f>2*(Inputs!$C$9/(Inputs!$C$10^2))*A77</x:f>
        <x:v>-0.05</x:v>
      </x:c>
      <x:c r="N77" s="9" t="n">
        <x:f>M77*Inputs!$C$11</x:f>
        <x:v>-0.2</x:v>
      </x:c>
      <x:c r="O77" s="9" t="n">
        <x:f>1000*(D78-D76)/(A78-A76)*Inputs!$C$11</x:f>
        <x:v>-480.3819843364181</x:v>
      </x:c>
      <x:c r="P77" s="9" t="n">
        <x:f>-2*O77/Inputs!$C$13</x:f>
        <x:v>192.15279373456724</x:v>
      </x:c>
      <x:c r="Q77" s="9" t="n">
        <x:f>-2*O77/Inputs!$C$14</x:f>
        <x:v>28.851770831016104</x:v>
      </x:c>
      <x:c r="R77" s="9" t="n">
        <x:f>F77-Inputs!$C$16/2</x:f>
        <x:v>979.6570764645656</x:v>
      </x:c>
      <x:c r="S77" s="9" t="n">
        <x:f>F77+Inputs!$C$16/2</x:f>
        <x:v>1009.6570764645656</x:v>
      </x:c>
      <x:c r="T77" s="9" t="n">
        <x:f>F77-Inputs!$C$17/2</x:f>
        <x:v>844.6570764645656</x:v>
      </x:c>
      <x:c r="U77" s="9" t="n">
        <x:f>F77+Inputs!$C$17/2</x:f>
        <x:v>1144.6570764645658</x:v>
      </x:c>
      <x:c r="V77" s="9" t="n">
        <x:f>ABS(P77)</x:f>
        <x:v>192.15279373456724</x:v>
      </x:c>
      <x:c r="W77" s="9" t="n">
        <x:f>ABS(Q77)</x:f>
        <x:v>28.851770831016104</x:v>
      </x:c>
      <x:c r="X77" s="9"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x:f>
        <x:v>-138.29494668428998</x:v>
      </x:c>
      <x:c r="Y77" s="9"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x:f>
        <x:v>286.69936407981004</x:v>
      </x:c>
      <x:c r="Z77" s="9" t="n">
        <x:f>B77-X77/1000</x:f>
        <x:v>400.7007949466843</x:v>
      </x:c>
      <x:c r="AA77" s="9" t="n">
        <x:f>SQRT((Inputs!$C$52+B77)^2+(Inputs!$C$52+Y77/1000)^2-2*(Inputs!$C$52+B77)*(Inputs!$C$52+Y77/1000)*COS(SQRT(A77^2+Inputs!$C$6^2)/Inputs!$C$52))</x:f>
        <x:v>402.0478774982515</x:v>
      </x:c>
      <x:c r="AB77" s="9" t="n">
        <x:f>(AA77-Z77)*1000</x:f>
        <x:v>1347.0825515672118</x:v>
      </x:c>
      <x:c r="AC77" s="9" t="n">
        <x:f>AB77/Inputs!$C$12</x:f>
        <x:v>756.7879503186583</x:v>
      </x:c>
      <x:c r="AD77" s="9" t="n">
        <x:f>2*AB77/Inputs!$C$21*1000000</x:f>
        <x:v>8.986767449414701</x:v>
      </x:c>
      <x:c r="AE77" s="9" t="n">
        <x:f>DEGREES(ATAN(H77/(B77-Y77/1000)))</x:f>
        <x:v>4.803121634431841</x:v>
      </x:c>
      <x:c r="AF77" s="9" t="n">
        <x:f>DEGREES((2*PI()/Inputs!$C$13)*Inputs!$C$15*SIN(RADIANS(AE77)))</x:f>
        <x:v>30.143568574126842</x:v>
      </x:c>
      <x:c r="AG77" s="9" t="n">
        <x:f>(Z77/AA77)^4</x:f>
        <x:v>0.9866649965820771</x:v>
      </x:c>
      <x:c r="AH77" s="9" t="n">
        <x:f>10*LOG10(AG77)</x:f>
        <x:v>-0.058302787713340805</x:v>
      </x:c>
      <x:c r="AI77" s="9" t="n">
        <x:f>AC77-F77</x:f>
        <x:v>-237.86912614590733</x:v>
      </x:c>
      <x:c r="AJ77" s="9" t="n">
        <x:f>AD77-G77</x:f>
        <x:v>-2.8246677542482725</x:v>
      </x:c>
      <x:c r="AK77" s="9" t="n">
        <x:f>Y77-X77</x:f>
        <x:v>424.9943107641</x:v>
      </x:c>
      <x:c r="AL77" s="9" t="n">
        <x:f>1000*(AA78-AA76)/(A78-A76)*Inputs!$C$11</x:f>
        <x:v>-628.0295870367354</x:v>
      </x:c>
      <x:c r="AM77" s="9" t="n">
        <x:f>-2*AL77/Inputs!$C$13</x:f>
        <x:v>251.21183481469416</x:v>
      </x:c>
      <x:c r="AN77" s="9" t="n">
        <x:f>-2*AL77/Inputs!$C$14</x:f>
        <x:v>37.71949471692105</x:v>
      </x:c>
      <x:c r="AO77" s="9" t="n">
        <x:f>ABS(AM77)</x:f>
        <x:v>251.21183481469416</x:v>
      </x:c>
      <x:c r="AP77" s="9" t="n">
        <x:f>ABS(AN77)</x:f>
        <x:v>37.71949471692105</x:v>
      </x:c>
      <x:c r="AQ77" s="9" t="n">
        <x:f>IF(OR(Inputs!$C$27=TRUE,Inputs!$C$27="TRUE",Inputs!$C$27=1),Inputs!$C$46/Inputs!$C$12,0)</x:f>
        <x:v>42.13483146067416</x:v>
      </x:c>
      <x:c r="AR77" s="9" t="n">
        <x:f>AC77-AQ77</x:f>
        <x:v>714.6531188579842</x:v>
      </x:c>
      <x:c r="AS77" s="9" t="n">
        <x:f>AC77+AQ77</x:f>
        <x:v>798.9227817793325</x:v>
      </x:c>
    </x:row>
    <x:row r="78">
      <x:c r="A78" s="9" t="n">
        <x:f>Inputs!$C$7+76*(Inputs!$C$8-Inputs!$C$7)/240</x:f>
        <x:v>-22</x:v>
      </x:c>
      <x:c r="B78" s="9" t="n">
        <x:f>Inputs!$C$5+Inputs!$C$9*(A78/Inputs!$C$10)^2</x:f>
        <x:v>400.53777777777776</x:v>
      </x:c>
      <x:c r="C78" s="9" t="n">
        <x:f>B78</x:f>
        <x:v>400.53777777777776</x:v>
      </x:c>
      <x:c r="D78" s="9" t="n">
        <x:f>SQRT((Inputs!$C$52+B78)^2+Inputs!$C$52^2-2*(Inputs!$C$52+B78)*Inputs!$C$52*COS(SQRT(A78^2+Inputs!$C$6^2)/Inputs!$C$52))</x:f>
        <x:v>402.27360576216034</x:v>
      </x:c>
      <x:c r="E78" s="9" t="n">
        <x:f>(D78-C78)*1000</x:f>
        <x:v>1735.8279843825812</x:v>
      </x:c>
      <x:c r="F78" s="9" t="n">
        <x:f>E78/Inputs!$C$12</x:f>
        <x:v>975.1842608890905</x:v>
      </x:c>
      <x:c r="G78" s="9" t="n">
        <x:f>2*E78/Inputs!$C$21*1000000</x:f>
        <x:v>11.580197820604154</x:v>
      </x:c>
      <x:c r="H78" s="9" t="n">
        <x:f>SQRT(A78^2+Inputs!$C$6^2)</x:f>
        <x:v>33.301651610693426</x:v>
      </x:c>
      <x:c r="I78" s="9" t="n">
        <x:f>DEGREES(ATAN(H78/B78))</x:f>
        <x:v>4.752774375241167</x:v>
      </x:c>
      <x:c r="J78" s="9" t="n">
        <x:f>DEGREES((2*PI()/Inputs!$C$13)*Inputs!$C$15*SIN(RADIANS(I78)))</x:f>
        <x:v>29.828326713325737</x:v>
      </x:c>
      <x:c r="K78" s="9" t="n">
        <x:f>(C78/D78)^4</x:f>
        <x:v>0.982851223782631</x:v>
      </x:c>
      <x:c r="L78" s="9" t="n">
        <x:f>10*LOG10(K78)</x:f>
        <x:v>-0.0751221724443932</x:v>
      </x:c>
      <x:c r="M78" s="9" t="n">
        <x:f>2*(Inputs!$C$9/(Inputs!$C$10^2))*A78</x:f>
        <x:v>-0.04888888888888889</x:v>
      </x:c>
      <x:c r="N78" s="9" t="n">
        <x:f>M78*Inputs!$C$11</x:f>
        <x:v>-0.19555555555555557</x:v>
      </x:c>
      <x:c r="O78" s="9" t="n">
        <x:f>1000*(D79-D77)/(A79-A77)*Inputs!$C$11</x:f>
        <x:v>-469.75763804971393</x:v>
      </x:c>
      <x:c r="P78" s="9" t="n">
        <x:f>-2*O78/Inputs!$C$13</x:f>
        <x:v>187.90305521988557</x:v>
      </x:c>
      <x:c r="Q78" s="9" t="n">
        <x:f>-2*O78/Inputs!$C$14</x:f>
        <x:v>28.213671954937777</x:v>
      </x:c>
      <x:c r="R78" s="9" t="n">
        <x:f>F78-Inputs!$C$16/2</x:f>
        <x:v>960.1842608890905</x:v>
      </x:c>
      <x:c r="S78" s="9" t="n">
        <x:f>F78+Inputs!$C$16/2</x:f>
        <x:v>990.1842608890905</x:v>
      </x:c>
      <x:c r="T78" s="9" t="n">
        <x:f>F78-Inputs!$C$17/2</x:f>
        <x:v>825.1842608890905</x:v>
      </x:c>
      <x:c r="U78" s="9" t="n">
        <x:f>F78+Inputs!$C$17/2</x:f>
        <x:v>1125.1842608890906</x:v>
      </x:c>
      <x:c r="V78" s="9" t="n">
        <x:f>ABS(P78)</x:f>
        <x:v>187.90305521988557</x:v>
      </x:c>
      <x:c r="W78" s="9" t="n">
        <x:f>ABS(Q78)</x:f>
        <x:v>28.213671954937777</x:v>
      </x:c>
      <x:c r="X78" s="9"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x:f>
        <x:v>-144.0992283446906</x:v>
      </x:c>
      <x:c r="Y78" s="9"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x:f>
        <x:v>316.60820817766927</x:v>
      </x:c>
      <x:c r="Z78" s="9" t="n">
        <x:f>B78-X78/1000</x:f>
        <x:v>400.6818770061225</x:v>
      </x:c>
      <x:c r="AA78" s="9" t="n">
        <x:f>SQRT((Inputs!$C$52+B78)^2+(Inputs!$C$52+Y78/1000)^2-2*(Inputs!$C$52+B78)*(Inputs!$C$52+Y78/1000)*COS(SQRT(A78^2+Inputs!$C$6^2)/Inputs!$C$52))</x:f>
        <x:v>401.9587164341794</x:v>
      </x:c>
      <x:c r="AB78" s="9" t="n">
        <x:f>(AA78-Z78)*1000</x:f>
        <x:v>1276.8394280569169</x:v>
      </x:c>
      <x:c r="AC78" s="9" t="n">
        <x:f>AB78/Inputs!$C$12</x:f>
        <x:v>717.3255213802904</x:v>
      </x:c>
      <x:c r="AD78" s="9" t="n">
        <x:f>2*AB78/Inputs!$C$21*1000000</x:f>
        <x:v>8.518155770662629</x:v>
      </x:c>
      <x:c r="AE78" s="9" t="n">
        <x:f>DEGREES(ATAN(H78/(B78-Y78/1000)))</x:f>
        <x:v>4.756516970631361</x:v>
      </x:c>
      <x:c r="AF78" s="9" t="n">
        <x:f>DEGREES((2*PI()/Inputs!$C$13)*Inputs!$C$15*SIN(RADIANS(AE78)))</x:f>
        <x:v>29.851761212069313</x:v>
      </x:c>
      <x:c r="AG78" s="9" t="n">
        <x:f>(Z78/AA78)^4</x:f>
        <x:v>0.9873542396731989</x:v>
      </x:c>
      <x:c r="AH78" s="9" t="n">
        <x:f>10*LOG10(AG78)</x:f>
        <x:v>-0.0552700464124401</x:v>
      </x:c>
      <x:c r="AI78" s="9" t="n">
        <x:f>AC78-F78</x:f>
        <x:v>-257.8587395088001</x:v>
      </x:c>
      <x:c r="AJ78" s="9" t="n">
        <x:f>AD78-G78</x:f>
        <x:v>-3.0620420499415246</x:v>
      </x:c>
      <x:c r="AK78" s="9" t="n">
        <x:f>Y78-X78</x:f>
        <x:v>460.7074365223599</x:v>
      </x:c>
      <x:c r="AL78" s="9" t="n">
        <x:f>1000*(AA79-AA77)/(A79-A77)*Inputs!$C$11</x:f>
        <x:v>-652.0274199199321</x:v>
      </x:c>
      <x:c r="AM78" s="9" t="n">
        <x:f>-2*AL78/Inputs!$C$13</x:f>
        <x:v>260.81096796797283</x:v>
      </x:c>
      <x:c r="AN78" s="9" t="n">
        <x:f>-2*AL78/Inputs!$C$14</x:f>
        <x:v>39.16080600119712</x:v>
      </x:c>
      <x:c r="AO78" s="9" t="n">
        <x:f>ABS(AM78)</x:f>
        <x:v>260.81096796797283</x:v>
      </x:c>
      <x:c r="AP78" s="9" t="n">
        <x:f>ABS(AN78)</x:f>
        <x:v>39.16080600119712</x:v>
      </x:c>
      <x:c r="AQ78" s="9" t="n">
        <x:f>IF(OR(Inputs!$C$27=TRUE,Inputs!$C$27="TRUE",Inputs!$C$27=1),Inputs!$C$46/Inputs!$C$12,0)</x:f>
        <x:v>42.13483146067416</x:v>
      </x:c>
      <x:c r="AR78" s="9" t="n">
        <x:f>AC78-AQ78</x:f>
        <x:v>675.1906899196163</x:v>
      </x:c>
      <x:c r="AS78" s="9" t="n">
        <x:f>AC78+AQ78</x:f>
        <x:v>759.4603528409646</x:v>
      </x:c>
    </x:row>
    <x:row r="79">
      <x:c r="A79" s="9" t="n">
        <x:f>Inputs!$C$7+77*(Inputs!$C$8-Inputs!$C$7)/240</x:f>
        <x:v>-21.5</x:v>
      </x:c>
      <x:c r="B79" s="9" t="n">
        <x:f>Inputs!$C$5+Inputs!$C$9*(A79/Inputs!$C$10)^2</x:f>
        <x:v>400.5136111111111</x:v>
      </x:c>
      <x:c r="C79" s="9" t="n">
        <x:f>B79</x:f>
        <x:v>400.5136111111111</x:v>
      </x:c>
      <x:c r="D79" s="9" t="n">
        <x:f>SQRT((Inputs!$C$52+B79)^2+Inputs!$C$52^2-2*(Inputs!$C$52+B79)*Inputs!$C$52*COS(SQRT(A79^2+Inputs!$C$6^2)/Inputs!$C$52))</x:f>
        <x:v>402.2155501865945</x:v>
      </x:c>
      <x:c r="E79" s="9" t="n">
        <x:f>(D79-C79)*1000</x:f>
        <x:v>1701.9390754833807</x:v>
      </x:c>
      <x:c r="F79" s="9" t="n">
        <x:f>E79/Inputs!$C$12</x:f>
        <x:v>956.1455480243712</x:v>
      </x:c>
      <x:c r="G79" s="9" t="n">
        <x:f>2*E79/Inputs!$C$21*1000000</x:f>
        <x:v>11.354115355919866</x:v>
      </x:c>
      <x:c r="H79" s="9" t="n">
        <x:f>SQRT(A79^2+Inputs!$C$6^2)</x:f>
        <x:v>32.973474187595095</x:v>
      </x:c>
      <x:c r="I79" s="9" t="n">
        <x:f>DEGREES(ATAN(H79/B79))</x:f>
        <x:v>4.7064313676414065</x:v>
      </x:c>
      <x:c r="J79" s="9" t="n">
        <x:f>DEGREES((2*PI()/Inputs!$C$13)*Inputs!$C$15*SIN(RADIANS(I79)))</x:f>
        <x:v>29.538136514134884</x:v>
      </x:c>
      <x:c r="K79" s="9" t="n">
        <x:f>(C79/D79)^4</x:f>
        <x:v>0.9831814845422179</x:v>
      </x:c>
      <x:c r="L79" s="9" t="n">
        <x:f>10*LOG10(K79)</x:f>
        <x:v>-0.0736630875958091</x:v>
      </x:c>
      <x:c r="M79" s="9" t="n">
        <x:f>2*(Inputs!$C$9/(Inputs!$C$10^2))*A79</x:f>
        <x:v>-0.04777777777777778</x:v>
      </x:c>
      <x:c r="N79" s="9" t="n">
        <x:f>M79*Inputs!$C$11</x:f>
        <x:v>-0.19111111111111112</x:v>
      </x:c>
      <x:c r="O79" s="9" t="n">
        <x:f>1000*(D80-D78)/(A80-A78)*Inputs!$C$11</x:f>
        <x:v>-459.12988767804563</x:v>
      </x:c>
      <x:c r="P79" s="9" t="n">
        <x:f>-2*O79/Inputs!$C$13</x:f>
        <x:v>183.65195507121825</x:v>
      </x:c>
      <x:c r="Q79" s="9" t="n">
        <x:f>-2*O79/Inputs!$C$14</x:f>
        <x:v>27.575368629312052</x:v>
      </x:c>
      <x:c r="R79" s="9" t="n">
        <x:f>F79-Inputs!$C$16/2</x:f>
        <x:v>941.1455480243712</x:v>
      </x:c>
      <x:c r="S79" s="9" t="n">
        <x:f>F79+Inputs!$C$16/2</x:f>
        <x:v>971.1455480243712</x:v>
      </x:c>
      <x:c r="T79" s="9" t="n">
        <x:f>F79-Inputs!$C$17/2</x:f>
        <x:v>806.1455480243712</x:v>
      </x:c>
      <x:c r="U79" s="9" t="n">
        <x:f>F79+Inputs!$C$17/2</x:f>
        <x:v>1106.1455480243712</x:v>
      </x:c>
      <x:c r="V79" s="9" t="n">
        <x:f>ABS(P79)</x:f>
        <x:v>183.65195507121825</x:v>
      </x:c>
      <x:c r="W79" s="9" t="n">
        <x:f>ABS(Q79)</x:f>
        <x:v>27.575368629312052</x:v>
      </x:c>
      <x:c r="X79" s="9"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x:f>
        <x:v>-156.9345481530768</x:v>
      </x:c>
      <x:c r="Y79" s="9"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x:f>
        <x:v>332.44947759769417</x:v>
      </x:c>
      <x:c r="Z79" s="9" t="n">
        <x:f>B79-X79/1000</x:f>
        <x:v>400.6705456592642</x:v>
      </x:c>
      <x:c r="AA79" s="9" t="n">
        <x:f>SQRT((Inputs!$C$52+B79)^2+(Inputs!$C$52+Y79/1000)^2-2*(Inputs!$C$52+B79)*(Inputs!$C$52+Y79/1000)*COS(SQRT(A79^2+Inputs!$C$6^2)/Inputs!$C$52))</x:f>
        <x:v>401.88487064327154</x:v>
      </x:c>
      <x:c r="AB79" s="9" t="n">
        <x:f>(AA79-Z79)*1000</x:f>
        <x:v>1214.3249840073622</x:v>
      </x:c>
      <x:c r="AC79" s="9" t="n">
        <x:f>AB79/Inputs!$C$12</x:f>
        <x:v>682.2050471951474</x:v>
      </x:c>
      <x:c r="AD79" s="9" t="n">
        <x:f>2*AB79/Inputs!$C$21*1000000</x:f>
        <x:v>8.101104291338524</x:v>
      </x:c>
      <x:c r="AE79" s="9" t="n">
        <x:f>DEGREES(ATAN(H79/(B79-Y79/1000)))</x:f>
        <x:v>4.710323637775279</x:v>
      </x:c>
      <x:c r="AF79" s="9" t="n">
        <x:f>DEGREES((2*PI()/Inputs!$C$13)*Inputs!$C$15*SIN(RADIANS(AE79)))</x:f>
        <x:v>29.562509839810836</x:v>
      </x:c>
      <x:c r="AG79" s="9" t="n">
        <x:f>(Z79/AA79)^4</x:f>
        <x:v>0.9879683721291723</x:v>
      </x:c>
      <x:c r="AH79" s="9" t="n">
        <x:f>10*LOG10(AG79)</x:f>
        <x:v>-0.0525695827637489</x:v>
      </x:c>
      <x:c r="AI79" s="9" t="n">
        <x:f>AC79-F79</x:f>
        <x:v>-273.9405008292239</x:v>
      </x:c>
      <x:c r="AJ79" s="9" t="n">
        <x:f>AD79-G79</x:f>
        <x:v>-3.253011064581342</x:v>
      </x:c>
      <x:c r="AK79" s="9" t="n">
        <x:f>Y79-X79</x:f>
        <x:v>489.384025750771</x:v>
      </x:c>
      <x:c r="AL79" s="9" t="n">
        <x:f>1000*(AA80-AA78)/(A80-A78)*Inputs!$C$11</x:f>
        <x:v>-464.6059807009806</x:v>
      </x:c>
      <x:c r="AM79" s="9" t="n">
        <x:f>-2*AL79/Inputs!$C$13</x:f>
        <x:v>185.84239228039223</x:v>
      </x:c>
      <x:c r="AN79" s="9" t="n">
        <x:f>-2*AL79/Inputs!$C$14</x:f>
        <x:v>27.904263105164002</x:v>
      </x:c>
      <x:c r="AO79" s="9" t="n">
        <x:f>ABS(AM79)</x:f>
        <x:v>185.84239228039223</x:v>
      </x:c>
      <x:c r="AP79" s="9" t="n">
        <x:f>ABS(AN79)</x:f>
        <x:v>27.904263105164002</x:v>
      </x:c>
      <x:c r="AQ79" s="9" t="n">
        <x:f>IF(OR(Inputs!$C$27=TRUE,Inputs!$C$27="TRUE",Inputs!$C$27=1),Inputs!$C$46/Inputs!$C$12,0)</x:f>
        <x:v>42.13483146067416</x:v>
      </x:c>
      <x:c r="AR79" s="9" t="n">
        <x:f>AC79-AQ79</x:f>
        <x:v>640.0702157344732</x:v>
      </x:c>
      <x:c r="AS79" s="9" t="n">
        <x:f>AC79+AQ79</x:f>
        <x:v>724.3398786558215</x:v>
      </x:c>
    </x:row>
    <x:row r="80">
      <x:c r="A80" s="9" t="n">
        <x:f>Inputs!$C$7+78*(Inputs!$C$8-Inputs!$C$7)/240</x:f>
        <x:v>-21</x:v>
      </x:c>
      <x:c r="B80" s="9" t="n">
        <x:f>Inputs!$C$5+Inputs!$C$9*(A80/Inputs!$C$10)^2</x:f>
        <x:v>400.49</x:v>
      </x:c>
      <x:c r="C80" s="9" t="n">
        <x:f>B80</x:f>
        <x:v>400.49</x:v>
      </x:c>
      <x:c r="D80" s="9" t="n">
        <x:f>SQRT((Inputs!$C$52+B80)^2+Inputs!$C$52^2-2*(Inputs!$C$52+B80)*Inputs!$C$52*COS(SQRT(A80^2+Inputs!$C$6^2)/Inputs!$C$52))</x:f>
        <x:v>402.15882329024083</x:v>
      </x:c>
      <x:c r="E80" s="9" t="n">
        <x:f>(D80-C80)*1000</x:f>
        <x:v>1668.823290240823</x:v>
      </x:c>
      <x:c r="F80" s="9" t="n">
        <x:f>E80/Inputs!$C$12</x:f>
        <x:v>937.5411742925972</x:v>
      </x:c>
      <x:c r="G80" s="9" t="n">
        <x:f>2*E80/Inputs!$C$21*1000000</x:f>
        <x:v>11.133190617095666</x:v>
      </x:c>
      <x:c r="H80" s="9" t="n">
        <x:f>SQRT(A80^2+Inputs!$C$6^2)</x:f>
        <x:v>32.64965543462902</x:v>
      </x:c>
      <x:c r="I80" s="9" t="n">
        <x:f>DEGREES(ATAN(H80/B80))</x:f>
        <x:v>4.660689610438978</x:v>
      </x:c>
      <x:c r="J80" s="9" t="n">
        <x:f>DEGREES((2*PI()/Inputs!$C$13)*Inputs!$C$15*SIN(RADIANS(I80)))</x:f>
        <x:v>29.251692268127087</x:v>
      </x:c>
      <x:c r="K80" s="9" t="n">
        <x:f>(C80/D80)^4</x:f>
        <x:v>0.9835043836267436</x:v>
      </x:c>
      <x:c r="L80" s="9" t="n">
        <x:f>10*LOG10(K80)</x:f>
        <x:v>-0.07223700024601</x:v>
      </x:c>
      <x:c r="M80" s="9" t="n">
        <x:f>2*(Inputs!$C$9/(Inputs!$C$10^2))*A80</x:f>
        <x:v>-0.04666666666666667</x:v>
      </x:c>
      <x:c r="N80" s="9" t="n">
        <x:f>M80*Inputs!$C$11</x:f>
        <x:v>-0.18666666666666668</x:v>
      </x:c>
      <x:c r="O80" s="9" t="n">
        <x:f>1000*(D81-D79)/(A81-A79)*Inputs!$C$11</x:f>
        <x:v>-448.49880820765975</x:v>
      </x:c>
      <x:c r="P80" s="9" t="n">
        <x:f>-2*O80/Inputs!$C$13</x:f>
        <x:v>179.3995232830639</x:v>
      </x:c>
      <x:c r="Q80" s="9" t="n">
        <x:f>-2*O80/Inputs!$C$14</x:f>
        <x:v>26.936865357817403</x:v>
      </x:c>
      <x:c r="R80" s="9" t="n">
        <x:f>F80-Inputs!$C$16/2</x:f>
        <x:v>922.5411742925972</x:v>
      </x:c>
      <x:c r="S80" s="9" t="n">
        <x:f>F80+Inputs!$C$16/2</x:f>
        <x:v>952.5411742925972</x:v>
      </x:c>
      <x:c r="T80" s="9" t="n">
        <x:f>F80-Inputs!$C$17/2</x:f>
        <x:v>787.5411742925972</x:v>
      </x:c>
      <x:c r="U80" s="9" t="n">
        <x:f>F80+Inputs!$C$17/2</x:f>
        <x:v>1087.5411742925971</x:v>
      </x:c>
      <x:c r="V80" s="9" t="n">
        <x:f>ABS(P80)</x:f>
        <x:v>179.3995232830639</x:v>
      </x:c>
      <x:c r="W80" s="9" t="n">
        <x:f>ABS(Q80)</x:f>
        <x:v>26.936865357817403</x:v>
      </x:c>
      <x:c r="X80" s="9"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x:f>
        <x:v>-142.37794992196604</x:v>
      </x:c>
      <x:c r="Y80" s="9"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x:f>
        <x:v>317.91812880175183</x:v>
      </x:c>
      <x:c r="Z80" s="9" t="n">
        <x:f>B80-X80/1000</x:f>
        <x:v>400.632377949922</x:v>
      </x:c>
      <x:c r="AA80" s="9" t="n">
        <x:f>SQRT((Inputs!$C$52+B80)^2+(Inputs!$C$52+Y80/1000)^2-2*(Inputs!$C$52+B80)*(Inputs!$C$52+Y80/1000)*COS(SQRT(A80^2+Inputs!$C$6^2)/Inputs!$C$52))</x:f>
        <x:v>401.84256493900415</x:v>
      </x:c>
      <x:c r="AB80" s="9" t="n">
        <x:f>(AA80-Z80)*1000</x:f>
        <x:v>1210.1869890821604</x:v>
      </x:c>
      <x:c r="AC80" s="9" t="n">
        <x:f>AB80/Inputs!$C$12</x:f>
        <x:v>679.880330945034</x:v>
      </x:c>
      <x:c r="AD80" s="9" t="n">
        <x:f>2*AB80/Inputs!$C$21*1000000</x:f>
        <x:v>8.073498560675334</x:v>
      </x:c>
      <x:c r="AE80" s="9" t="n">
        <x:f>DEGREES(ATAN(H80/(B80-Y80/1000)))</x:f>
        <x:v>4.664375980457269</x:v>
      </x:c>
      <x:c r="AF80" s="9" t="n">
        <x:f>DEGREES((2*PI()/Inputs!$C$13)*Inputs!$C$15*SIN(RADIANS(AE80)))</x:f>
        <x:v>29.274777764853685</x:v>
      </x:c>
      <x:c r="AG80" s="9" t="n">
        <x:f>(Z80/AA80)^4</x:f>
        <x:v>0.9880079297450474</x:v>
      </x:c>
      <x:c r="AH80" s="9" t="n">
        <x:f>10*LOG10(AG80)</x:f>
        <x:v>-0.052395697537718805</x:v>
      </x:c>
      <x:c r="AI80" s="9" t="n">
        <x:f>AC80-F80</x:f>
        <x:v>-257.6608433475633</x:v>
      </x:c>
      <x:c r="AJ80" s="9" t="n">
        <x:f>AD80-G80</x:f>
        <x:v>-3.0596920564203316</x:v>
      </x:c>
      <x:c r="AK80" s="9" t="n">
        <x:f>Y80-X80</x:f>
        <x:v>460.29607872371787</x:v>
      </x:c>
      <x:c r="AL80" s="9" t="n">
        <x:f>1000*(AA81-AA79)/(A81-A79)*Inputs!$C$11</x:f>
        <x:v>-492.26696746541165</x:v>
      </x:c>
      <x:c r="AM80" s="9" t="n">
        <x:f>-2*AL80/Inputs!$C$13</x:f>
        <x:v>196.90678698616466</x:v>
      </x:c>
      <x:c r="AN80" s="9" t="n">
        <x:f>-2*AL80/Inputs!$C$14</x:f>
        <x:v>29.565583631556258</x:v>
      </x:c>
      <x:c r="AO80" s="9" t="n">
        <x:f>ABS(AM80)</x:f>
        <x:v>196.90678698616466</x:v>
      </x:c>
      <x:c r="AP80" s="9" t="n">
        <x:f>ABS(AN80)</x:f>
        <x:v>29.565583631556258</x:v>
      </x:c>
      <x:c r="AQ80" s="9" t="n">
        <x:f>IF(OR(Inputs!$C$27=TRUE,Inputs!$C$27="TRUE",Inputs!$C$27=1),Inputs!$C$46/Inputs!$C$12,0)</x:f>
        <x:v>42.13483146067416</x:v>
      </x:c>
      <x:c r="AR80" s="9" t="n">
        <x:f>AC80-AQ80</x:f>
        <x:v>637.7454994843598</x:v>
      </x:c>
      <x:c r="AS80" s="9" t="n">
        <x:f>AC80+AQ80</x:f>
        <x:v>722.0151624057081</x:v>
      </x:c>
    </x:row>
    <x:row r="81">
      <x:c r="A81" s="9" t="n">
        <x:f>Inputs!$C$7+79*(Inputs!$C$8-Inputs!$C$7)/240</x:f>
        <x:v>-20.5</x:v>
      </x:c>
      <x:c r="B81" s="9" t="n">
        <x:f>Inputs!$C$5+Inputs!$C$9*(A81/Inputs!$C$10)^2</x:f>
        <x:v>400.46694444444444</x:v>
      </x:c>
      <x:c r="C81" s="9" t="n">
        <x:f>B81</x:f>
        <x:v>400.46694444444444</x:v>
      </x:c>
      <x:c r="D81" s="9" t="n">
        <x:f>SQRT((Inputs!$C$52+B81)^2+Inputs!$C$52^2-2*(Inputs!$C$52+B81)*Inputs!$C$52*COS(SQRT(A81^2+Inputs!$C$6^2)/Inputs!$C$52))</x:f>
        <x:v>402.1034254845426</x:v>
      </x:c>
      <x:c r="E81" s="9" t="n">
        <x:f>(D81-C81)*1000</x:f>
        <x:v>1636.4810400981469</x:v>
      </x:c>
      <x:c r="F81" s="9" t="n">
        <x:f>E81/Inputs!$C$12</x:f>
        <x:v>919.3713708416556</x:v>
      </x:c>
      <x:c r="G81" s="9" t="n">
        <x:f>2*E81/Inputs!$C$21*1000000</x:f>
        <x:v>10.917426348985384</x:v>
      </x:c>
      <x:c r="H81" s="9" t="n">
        <x:f>SQRT(A81^2+Inputs!$C$6^2)</x:f>
        <x:v>32.33032632065442</x:v>
      </x:c>
      <x:c r="I81" s="9" t="n">
        <x:f>DEGREES(ATAN(H81/B81))</x:f>
        <x:v>4.61556831369344</x:v>
      </x:c>
      <x:c r="J81" s="9" t="n">
        <x:f>DEGREES((2*PI()/Inputs!$C$13)*Inputs!$C$15*SIN(RADIANS(I81)))</x:f>
        <x:v>28.96911520563834</x:v>
      </x:c>
      <x:c r="K81" s="9" t="n">
        <x:f>(C81/D81)^4</x:f>
        <x:v>0.9838199051690912</x:v>
      </x:c>
      <x:c r="L81" s="9" t="n">
        <x:f>10*LOG10(K81)</x:f>
        <x:v>-0.070843948101852</x:v>
      </x:c>
      <x:c r="M81" s="9" t="n">
        <x:f>2*(Inputs!$C$9/(Inputs!$C$10^2))*A81</x:f>
        <x:v>-0.04555555555555556</x:v>
      </x:c>
      <x:c r="N81" s="9" t="n">
        <x:f>M81*Inputs!$C$11</x:f>
        <x:v>-0.18222222222222223</x:v>
      </x:c>
      <x:c r="O81" s="9" t="n">
        <x:f>1000*(D82-D80)/(A82-A80)*Inputs!$C$11</x:f>
        <x:v>-437.8644747530416</x:v>
      </x:c>
      <x:c r="P81" s="9" t="n">
        <x:f>-2*O81/Inputs!$C$13</x:f>
        <x:v>175.14578990121663</x:v>
      </x:c>
      <x:c r="Q81" s="9" t="n">
        <x:f>-2*O81/Inputs!$C$14</x:f>
        <x:v>26.298166651834332</x:v>
      </x:c>
      <x:c r="R81" s="9" t="n">
        <x:f>F81-Inputs!$C$16/2</x:f>
        <x:v>904.3713708416556</x:v>
      </x:c>
      <x:c r="S81" s="9" t="n">
        <x:f>F81+Inputs!$C$16/2</x:f>
        <x:v>934.3713708416556</x:v>
      </x:c>
      <x:c r="T81" s="9" t="n">
        <x:f>F81-Inputs!$C$17/2</x:f>
        <x:v>769.3713708416556</x:v>
      </x:c>
      <x:c r="U81" s="9" t="n">
        <x:f>F81+Inputs!$C$17/2</x:f>
        <x:v>1069.3713708416556</x:v>
      </x:c>
      <x:c r="V81" s="9" t="n">
        <x:f>ABS(P81)</x:f>
        <x:v>175.14578990121663</x:v>
      </x:c>
      <x:c r="W81" s="9" t="n">
        <x:f>ABS(Q81)</x:f>
        <x:v>26.298166651834332</x:v>
      </x:c>
      <x:c r="X81" s="9"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x:f>
        <x:v>-140.5508651158499</x:v>
      </x:c>
      <x:c r="Y81" s="9"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x:f>
        <x:v>343.37986587370784</x:v>
      </x:c>
      <x:c r="Z81" s="9" t="n">
        <x:f>B81-X81/1000</x:f>
        <x:v>400.6074953095603</x:v>
      </x:c>
      <x:c r="AA81" s="9" t="n">
        <x:f>SQRT((Inputs!$C$52+B81)^2+(Inputs!$C$52+Y81/1000)^2-2*(Inputs!$C$52+B81)*(Inputs!$C$52+Y81/1000)*COS(SQRT(A81^2+Inputs!$C$6^2)/Inputs!$C$52))</x:f>
        <x:v>401.7618039014052</x:v>
      </x:c>
      <x:c r="AB81" s="9" t="n">
        <x:f>(AA81-Z81)*1000</x:f>
        <x:v>1154.308591844881</x:v>
      </x:c>
      <x:c r="AC81" s="9" t="n">
        <x:f>AB81/Inputs!$C$12</x:f>
        <x:v>648.4879729465623</x:v>
      </x:c>
      <x:c r="AD81" s="9" t="n">
        <x:f>2*AB81/Inputs!$C$21*1000000</x:f>
        <x:v>7.700718020363814</x:v>
      </x:c>
      <x:c r="AE81" s="9" t="n">
        <x:f>DEGREES(ATAN(H81/(B81-Y81/1000)))</x:f>
        <x:v>4.619512187062934</x:v>
      </x:c>
      <x:c r="AF81" s="9" t="n">
        <x:f>DEGREES((2*PI()/Inputs!$C$13)*Inputs!$C$15*SIN(RADIANS(AE81)))</x:f>
        <x:v>28.993814863618404</x:v>
      </x:c>
      <x:c r="AG81" s="9" t="n">
        <x:f>(Z81/AA81)^4</x:f>
        <x:v>0.9885569667668735</x:v>
      </x:c>
      <x:c r="AH81" s="9" t="n">
        <x:f>10*LOG10(AG81)</x:f>
        <x:v>-0.0499829889492671</x:v>
      </x:c>
      <x:c r="AI81" s="9" t="n">
        <x:f>AC81-F81</x:f>
        <x:v>-270.88339789509325</x:v>
      </x:c>
      <x:c r="AJ81" s="9" t="n">
        <x:f>AD81-G81</x:f>
        <x:v>-3.2167083286215696</x:v>
      </x:c>
      <x:c r="AK81" s="9" t="n">
        <x:f>Y81-X81</x:f>
        <x:v>483.93073098955773</x:v>
      </x:c>
      <x:c r="AL81" s="9" t="n">
        <x:f>1000*(AA82-AA80)/(A82-A80)*Inputs!$C$11</x:f>
        <x:v>-518.6710302721167</x:v>
      </x:c>
      <x:c r="AM81" s="9" t="n">
        <x:f>-2*AL81/Inputs!$C$13</x:f>
        <x:v>207.46841210884668</x:v>
      </x:c>
      <x:c r="AN81" s="9" t="n">
        <x:f>-2*AL81/Inputs!$C$14</x:f>
        <x:v>31.15141322955656</x:v>
      </x:c>
      <x:c r="AO81" s="9" t="n">
        <x:f>ABS(AM81)</x:f>
        <x:v>207.46841210884668</x:v>
      </x:c>
      <x:c r="AP81" s="9" t="n">
        <x:f>ABS(AN81)</x:f>
        <x:v>31.15141322955656</x:v>
      </x:c>
      <x:c r="AQ81" s="9" t="n">
        <x:f>IF(OR(Inputs!$C$27=TRUE,Inputs!$C$27="TRUE",Inputs!$C$27=1),Inputs!$C$46/Inputs!$C$12,0)</x:f>
        <x:v>42.13483146067416</x:v>
      </x:c>
      <x:c r="AR81" s="9" t="n">
        <x:f>AC81-AQ81</x:f>
        <x:v>606.3531414858882</x:v>
      </x:c>
      <x:c r="AS81" s="9" t="n">
        <x:f>AC81+AQ81</x:f>
        <x:v>690.6228044072365</x:v>
      </x:c>
    </x:row>
    <x:row r="82">
      <x:c r="A82" s="9" t="n">
        <x:f>Inputs!$C$7+80*(Inputs!$C$8-Inputs!$C$7)/240</x:f>
        <x:v>-20</x:v>
      </x:c>
      <x:c r="B82" s="9" t="n">
        <x:f>Inputs!$C$5+Inputs!$C$9*(A82/Inputs!$C$10)^2</x:f>
        <x:v>400.44444444444446</x:v>
      </x:c>
      <x:c r="C82" s="9" t="n">
        <x:f>B82</x:f>
        <x:v>400.44444444444446</x:v>
      </x:c>
      <x:c r="D82" s="9" t="n">
        <x:f>SQRT((Inputs!$C$52+B82)^2+Inputs!$C$52^2-2*(Inputs!$C$52+B82)*Inputs!$C$52*COS(SQRT(A82^2+Inputs!$C$6^2)/Inputs!$C$52))</x:f>
        <x:v>402.0493571715526</x:v>
      </x:c>
      <x:c r="E82" s="9" t="n">
        <x:f>(D82-C82)*1000</x:f>
        <x:v>1604.9127271081147</x:v>
      </x:c>
      <x:c r="F82" s="9" t="n">
        <x:f>E82/Inputs!$C$12</x:f>
        <x:v>901.6363635438846</x:v>
      </x:c>
      <x:c r="G82" s="9" t="n">
        <x:f>2*E82/Inputs!$C$21*1000000</x:f>
        <x:v>10.70682523379634</x:v>
      </x:c>
      <x:c r="H82" s="9" t="n">
        <x:f>SQRT(A82^2+Inputs!$C$6^2)</x:f>
        <x:v>32.01562118716424</x:v>
      </x:c>
      <x:c r="I82" s="9" t="n">
        <x:f>DEGREES(ATAN(H82/B82))</x:f>
        <x:v>4.571087167996556</x:v>
      </x:c>
      <x:c r="J82" s="9" t="n">
        <x:f>DEGREES((2*PI()/Inputs!$C$13)*Inputs!$C$15*SIN(RADIANS(I82)))</x:f>
        <x:v>28.69052957284685</x:v>
      </x:c>
      <x:c r="K82" s="9" t="n">
        <x:f>(C82/D82)^4</x:f>
        <x:v>0.9841280336502154</x:v>
      </x:c>
      <x:c r="L82" s="9" t="n">
        <x:f>10*LOG10(K82)</x:f>
        <x:v>-0.0694839680177928</x:v>
      </x:c>
      <x:c r="M82" s="9" t="n">
        <x:f>2*(Inputs!$C$9/(Inputs!$C$10^2))*A82</x:f>
        <x:v>-0.044444444444444446</x:v>
      </x:c>
      <x:c r="N82" s="9" t="n">
        <x:f>M82*Inputs!$C$11</x:f>
        <x:v>-0.17777777777777778</x:v>
      </x:c>
      <x:c r="O82" s="9" t="n">
        <x:f>1000*(D83-D81)/(A83-A81)*Inputs!$C$11</x:f>
        <x:v>-427.2269625973877</x:v>
      </x:c>
      <x:c r="P82" s="9" t="n">
        <x:f>-2*O82/Inputs!$C$13</x:f>
        <x:v>170.89078503895507</x:v>
      </x:c>
      <x:c r="Q82" s="9" t="n">
        <x:f>-2*O82/Inputs!$C$14</x:f>
        <x:v>25.65927703287614</x:v>
      </x:c>
      <x:c r="R82" s="9" t="n">
        <x:f>F82-Inputs!$C$16/2</x:f>
        <x:v>886.6363635438846</x:v>
      </x:c>
      <x:c r="S82" s="9" t="n">
        <x:f>F82+Inputs!$C$16/2</x:f>
        <x:v>916.6363635438846</x:v>
      </x:c>
      <x:c r="T82" s="9" t="n">
        <x:f>F82-Inputs!$C$17/2</x:f>
        <x:v>751.6363635438846</x:v>
      </x:c>
      <x:c r="U82" s="9" t="n">
        <x:f>F82+Inputs!$C$17/2</x:f>
        <x:v>1051.6363635438847</x:v>
      </x:c>
      <x:c r="V82" s="9" t="n">
        <x:f>ABS(P82)</x:f>
        <x:v>170.89078503895507</x:v>
      </x:c>
      <x:c r="W82" s="9" t="n">
        <x:f>ABS(Q82)</x:f>
        <x:v>25.65927703287614</x:v>
      </x:c>
      <x:c r="X82" s="9"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x:f>
        <x:v>-146.32822187126578</x:v>
      </x:c>
      <x:c r="Y82" s="9"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x:f>
        <x:v>338.15830709992554</x:v>
      </x:c>
      <x:c r="Z82" s="9" t="n">
        <x:f>B82-X82/1000</x:f>
        <x:v>400.59077266631573</x:v>
      </x:c>
      <x:c r="AA82" s="9" t="n">
        <x:f>SQRT((Inputs!$C$52+B82)^2+(Inputs!$C$52+Y82/1000)^2-2*(Inputs!$C$52+B82)*(Inputs!$C$52+Y82/1000)*COS(SQRT(A82^2+Inputs!$C$6^2)/Inputs!$C$52))</x:f>
        <x:v>401.7128971814361</x:v>
      </x:c>
      <x:c r="AB82" s="9" t="n">
        <x:f>(AA82-Z82)*1000</x:f>
        <x:v>1122.1245151203902</x:v>
      </x:c>
      <x:c r="AC82" s="9" t="n">
        <x:f>AB82/Inputs!$C$12</x:f>
        <x:v>630.4070309665113</x:v>
      </x:c>
      <x:c r="AD82" s="9" t="n">
        <x:f>2*AB82/Inputs!$C$21*1000000</x:f>
        <x:v>7.486008971715961</x:v>
      </x:c>
      <x:c r="AE82" s="9" t="n">
        <x:f>DEGREES(ATAN(H82/(B82-Y82/1000)))</x:f>
        <x:v>4.574934126079314</x:v>
      </x:c>
      <x:c r="AF82" s="9" t="n">
        <x:f>DEGREES((2*PI()/Inputs!$C$13)*Inputs!$C$15*SIN(RADIANS(AE82)))</x:f>
        <x:v>28.714623775595047</x:v>
      </x:c>
      <x:c r="AG82" s="9" t="n">
        <x:f>(Z82/AA82)^4</x:f>
        <x:v>0.9888733317386268</x:v>
      </x:c>
      <x:c r="AH82" s="9" t="n">
        <x:f>10*LOG10(AG82)</x:f>
        <x:v>-0.0485933514710104</x:v>
      </x:c>
      <x:c r="AI82" s="9" t="n">
        <x:f>AC82-F82</x:f>
        <x:v>-271.22933257737327</x:v>
      </x:c>
      <x:c r="AJ82" s="9" t="n">
        <x:f>AD82-G82</x:f>
        <x:v>-3.2208162620803797</x:v>
      </x:c>
      <x:c r="AK82" s="9" t="n">
        <x:f>Y82-X82</x:f>
        <x:v>484.4865289711913</x:v>
      </x:c>
      <x:c r="AL82" s="9" t="n">
        <x:f>1000*(AA83-AA81)/(A83-A81)*Inputs!$C$11</x:f>
        <x:v>-508.82909495953754</x:v>
      </x:c>
      <x:c r="AM82" s="9" t="n">
        <x:f>-2*AL82/Inputs!$C$13</x:f>
        <x:v>203.53163798381502</x:v>
      </x:c>
      <x:c r="AN82" s="9" t="n">
        <x:f>-2*AL82/Inputs!$C$14</x:f>
        <x:v>30.560306003575832</x:v>
      </x:c>
      <x:c r="AO82" s="9" t="n">
        <x:f>ABS(AM82)</x:f>
        <x:v>203.53163798381502</x:v>
      </x:c>
      <x:c r="AP82" s="9" t="n">
        <x:f>ABS(AN82)</x:f>
        <x:v>30.560306003575832</x:v>
      </x:c>
      <x:c r="AQ82" s="9" t="n">
        <x:f>IF(OR(Inputs!$C$27=TRUE,Inputs!$C$27="TRUE",Inputs!$C$27=1),Inputs!$C$46/Inputs!$C$12,0)</x:f>
        <x:v>42.13483146067416</x:v>
      </x:c>
      <x:c r="AR82" s="9" t="n">
        <x:f>AC82-AQ82</x:f>
        <x:v>588.2721995058372</x:v>
      </x:c>
      <x:c r="AS82" s="9" t="n">
        <x:f>AC82+AQ82</x:f>
        <x:v>672.5418624271855</x:v>
      </x:c>
    </x:row>
    <x:row r="83">
      <x:c r="A83" s="9" t="n">
        <x:f>Inputs!$C$7+81*(Inputs!$C$8-Inputs!$C$7)/240</x:f>
        <x:v>-19.5</x:v>
      </x:c>
      <x:c r="B83" s="9" t="n">
        <x:f>Inputs!$C$5+Inputs!$C$9*(A83/Inputs!$C$10)^2</x:f>
        <x:v>400.4225</x:v>
      </x:c>
      <x:c r="C83" s="9" t="n">
        <x:f>B83</x:f>
        <x:v>400.4225</x:v>
      </x:c>
      <x:c r="D83" s="9" t="n">
        <x:f>SQRT((Inputs!$C$52+B83)^2+Inputs!$C$52^2-2*(Inputs!$C$52+B83)*Inputs!$C$52*COS(SQRT(A83^2+Inputs!$C$6^2)/Inputs!$C$52))</x:f>
        <x:v>401.99661874389324</x:v>
      </x:c>
      <x:c r="E83" s="9" t="n">
        <x:f>(D83-C83)*1000</x:f>
        <x:v>1574.118743893223</x:v>
      </x:c>
      <x:c r="F83" s="9" t="n">
        <x:f>E83/Inputs!$C$12</x:f>
        <x:v>884.3363729737207</x:v>
      </x:c>
      <x:c r="G83" s="9" t="n">
        <x:f>2*E83/Inputs!$C$21*1000000</x:f>
        <x:v>10.50138989082389</x:v>
      </x:c>
      <x:c r="H83" s="9" t="n">
        <x:f>SQRT(A83^2+Inputs!$C$6^2)</x:f>
        <x:v>31.70567772497538</x:v>
      </x:c>
      <x:c r="I83" s="9" t="n">
        <x:f>DEGREES(ATAN(H83/B83))</x:f>
        <x:v>4.527266340904271</x:v>
      </x:c>
      <x:c r="J83" s="9" t="n">
        <x:f>DEGREES((2*PI()/Inputs!$C$13)*Inputs!$C$15*SIN(RADIANS(I83)))</x:f>
        <x:v>28.416062609031858</x:v>
      </x:c>
      <x:c r="K83" s="9" t="n">
        <x:f>(C83/D83)^4</x:f>
        <x:v>0.9844287539010956</x:v>
      </x:c>
      <x:c r="L83" s="9" t="n">
        <x:f>10*LOG10(K83)</x:f>
        <x:v>-0.0681570959926051</x:v>
      </x:c>
      <x:c r="M83" s="9" t="n">
        <x:f>2*(Inputs!$C$9/(Inputs!$C$10^2))*A83</x:f>
        <x:v>-0.043333333333333335</x:v>
      </x:c>
      <x:c r="N83" s="9" t="n">
        <x:f>M83*Inputs!$C$11</x:f>
        <x:v>-0.17333333333333334</x:v>
      </x:c>
      <x:c r="O83" s="9" t="n">
        <x:f>1000*(D84-D82)/(A84-A82)*Inputs!$C$11</x:f>
        <x:v>-416.5863471978355</x:v>
      </x:c>
      <x:c r="P83" s="9" t="n">
        <x:f>-2*O83/Inputs!$C$13</x:f>
        <x:v>166.6345388791342</x:v>
      </x:c>
      <x:c r="Q83" s="9" t="n">
        <x:f>-2*O83/Inputs!$C$14</x:f>
        <x:v>25.020201032903035</x:v>
      </x:c>
      <x:c r="R83" s="9" t="n">
        <x:f>F83-Inputs!$C$16/2</x:f>
        <x:v>869.3363729737207</x:v>
      </x:c>
      <x:c r="S83" s="9" t="n">
        <x:f>F83+Inputs!$C$16/2</x:f>
        <x:v>899.3363729737207</x:v>
      </x:c>
      <x:c r="T83" s="9" t="n">
        <x:f>F83-Inputs!$C$17/2</x:f>
        <x:v>734.3363729737207</x:v>
      </x:c>
      <x:c r="U83" s="9" t="n">
        <x:f>F83+Inputs!$C$17/2</x:f>
        <x:v>1034.3363729737207</x:v>
      </x:c>
      <x:c r="V83" s="9" t="n">
        <x:f>ABS(P83)</x:f>
        <x:v>166.6345388791342</x:v>
      </x:c>
      <x:c r="W83" s="9" t="n">
        <x:f>ABS(Q83)</x:f>
        <x:v>25.020201032903035</x:v>
      </x:c>
      <x:c r="X83" s="9"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x:f>
        <x:v>-140.0483381286437</x:v>
      </x:c>
      <x:c r="Y83" s="9"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x:f>
        <x:v>363.81454233496186</x:v>
      </x:c>
      <x:c r="Z83" s="9" t="n">
        <x:f>B83-X83/1000</x:f>
        <x:v>400.56254833812864</x:v>
      </x:c>
      <x:c r="AA83" s="9" t="n">
        <x:f>SQRT((Inputs!$C$52+B83)^2+(Inputs!$C$52+Y83/1000)^2-2*(Inputs!$C$52+B83)*(Inputs!$C$52+Y83/1000)*COS(SQRT(A83^2+Inputs!$C$6^2)/Inputs!$C$52))</x:f>
        <x:v>401.6345966276653</x:v>
      </x:c>
      <x:c r="AB83" s="9" t="n">
        <x:f>(AA83-Z83)*1000</x:f>
        <x:v>1072.0482895366672</x:v>
      </x:c>
      <x:c r="AC83" s="9" t="n">
        <x:f>AB83/Inputs!$C$12</x:f>
        <x:v>602.2743199644198</x:v>
      </x:c>
      <x:c r="AD83" s="9" t="n">
        <x:f>2*AB83/Inputs!$C$21*1000000</x:f>
        <x:v>7.151936354160499</x:v>
      </x:c>
      <x:c r="AE83" s="9" t="n">
        <x:f>DEGREES(ATAN(H83/(B83-Y83/1000)))</x:f>
        <x:v>4.531366311615746</x:v>
      </x:c>
      <x:c r="AF83" s="9" t="n">
        <x:f>DEGREES((2*PI()/Inputs!$C$13)*Inputs!$C$15*SIN(RADIANS(AE83)))</x:f>
        <x:v>28.441743035048873</x:v>
      </x:c>
      <x:c r="AG83" s="9" t="n">
        <x:f>(Z83/AA83)^4</x:f>
        <x:v>0.9893658201403245</x:v>
      </x:c>
      <x:c r="AH83" s="9" t="n">
        <x:f>10*LOG10(AG83)</x:f>
        <x:v>-0.046430973889167504</x:v>
      </x:c>
      <x:c r="AI83" s="9" t="n">
        <x:f>AC83-F83</x:f>
        <x:v>-282.06205300930094</x:v>
      </x:c>
      <x:c r="AJ83" s="9" t="n">
        <x:f>AD83-G83</x:f>
        <x:v>-3.3494535366633915</x:v>
      </x:c>
      <x:c r="AK83" s="9" t="n">
        <x:f>Y83-X83</x:f>
        <x:v>503.86288046360556</x:v>
      </x:c>
      <x:c r="AL83" s="9" t="n">
        <x:f>1000*(AA84-AA82)/(A84-A82)*Inputs!$C$11</x:f>
        <x:v>-548.3156674090424</x:v>
      </x:c>
      <x:c r="AM83" s="9" t="n">
        <x:f>-2*AL83/Inputs!$C$13</x:f>
        <x:v>219.32626696361694</x:v>
      </x:c>
      <x:c r="AN83" s="9" t="n">
        <x:f>-2*AL83/Inputs!$C$14</x:f>
        <x:v>32.931871916459</x:v>
      </x:c>
      <x:c r="AO83" s="9" t="n">
        <x:f>ABS(AM83)</x:f>
        <x:v>219.32626696361694</x:v>
      </x:c>
      <x:c r="AP83" s="9" t="n">
        <x:f>ABS(AN83)</x:f>
        <x:v>32.931871916459</x:v>
      </x:c>
      <x:c r="AQ83" s="9" t="n">
        <x:f>IF(OR(Inputs!$C$27=TRUE,Inputs!$C$27="TRUE",Inputs!$C$27=1),Inputs!$C$46/Inputs!$C$12,0)</x:f>
        <x:v>42.13483146067416</x:v>
      </x:c>
      <x:c r="AR83" s="9" t="n">
        <x:f>AC83-AQ83</x:f>
        <x:v>560.1394885037456</x:v>
      </x:c>
      <x:c r="AS83" s="9" t="n">
        <x:f>AC83+AQ83</x:f>
        <x:v>644.4091514250939</x:v>
      </x:c>
    </x:row>
    <x:row r="84">
      <x:c r="A84" s="9" t="n">
        <x:f>Inputs!$C$7+82*(Inputs!$C$8-Inputs!$C$7)/240</x:f>
        <x:v>-19</x:v>
      </x:c>
      <x:c r="B84" s="9" t="n">
        <x:f>Inputs!$C$5+Inputs!$C$9*(A84/Inputs!$C$10)^2</x:f>
        <x:v>400.4011111111111</x:v>
      </x:c>
      <x:c r="C84" s="9" t="n">
        <x:f>B84</x:f>
        <x:v>400.4011111111111</x:v>
      </x:c>
      <x:c r="D84" s="9" t="n">
        <x:f>SQRT((Inputs!$C$52+B84)^2+Inputs!$C$52^2-2*(Inputs!$C$52+B84)*Inputs!$C$52*COS(SQRT(A84^2+Inputs!$C$6^2)/Inputs!$C$52))</x:f>
        <x:v>401.9452105847531</x:v>
      </x:c>
      <x:c r="E84" s="9" t="n">
        <x:f>(D84-C84)*1000</x:f>
        <x:v>1544.0994736420066</x:v>
      </x:c>
      <x:c r="F84" s="9" t="n">
        <x:f>E84/Inputs!$C$12</x:f>
        <x:v>867.4716144056217</x:v>
      </x:c>
      <x:c r="G84" s="9" t="n">
        <x:f>2*E84/Inputs!$C$21*1000000</x:f>
        <x:v>10.301122876426774</x:v>
      </x:c>
      <x:c r="H84" s="9" t="n">
        <x:f>SQRT(A84^2+Inputs!$C$6^2)</x:f>
        <x:v>31.400636936215164</x:v>
      </x:c>
      <x:c r="I84" s="9" t="n">
        <x:f>DEGREES(ATAN(H84/B84))</x:f>
        <x:v>4.484126471249511</x:v>
      </x:c>
      <x:c r="J84" s="9" t="n">
        <x:f>DEGREES((2*PI()/Inputs!$C$13)*Inputs!$C$15*SIN(RADIANS(I84)))</x:f>
        <x:v>28.14584451050467</x:v>
      </x:c>
      <x:c r="K84" s="9" t="n">
        <x:f>(C84/D84)^4</x:f>
        <x:v>0.9847220511043003</x:v>
      </x:c>
      <x:c r="L84" s="9" t="n">
        <x:f>10*LOG10(K84)</x:f>
        <x:v>-0.0668633671676961</x:v>
      </x:c>
      <x:c r="M84" s="9" t="n">
        <x:f>2*(Inputs!$C$9/(Inputs!$C$10^2))*A84</x:f>
        <x:v>-0.042222222222222223</x:v>
      </x:c>
      <x:c r="N84" s="9" t="n">
        <x:f>M84*Inputs!$C$11</x:f>
        <x:v>-0.1688888888888889</x:v>
      </x:c>
      <x:c r="O84" s="9" t="n">
        <x:f>1000*(D85-D83)/(A85-A83)*Inputs!$C$11</x:f>
        <x:v>-405.9427041381696</x:v>
      </x:c>
      <x:c r="P84" s="9" t="n">
        <x:f>-2*O84/Inputs!$C$13</x:f>
        <x:v>162.37708165526783</x:v>
      </x:c>
      <x:c r="Q84" s="9" t="n">
        <x:f>-2*O84/Inputs!$C$14</x:f>
        <x:v>24.38094319148166</x:v>
      </x:c>
      <x:c r="R84" s="9" t="n">
        <x:f>F84-Inputs!$C$16/2</x:f>
        <x:v>852.4716144056217</x:v>
      </x:c>
      <x:c r="S84" s="9" t="n">
        <x:f>F84+Inputs!$C$16/2</x:f>
        <x:v>882.4716144056217</x:v>
      </x:c>
      <x:c r="T84" s="9" t="n">
        <x:f>F84-Inputs!$C$17/2</x:f>
        <x:v>717.4716144056217</x:v>
      </x:c>
      <x:c r="U84" s="9" t="n">
        <x:f>F84+Inputs!$C$17/2</x:f>
        <x:v>1017.4716144056217</x:v>
      </x:c>
      <x:c r="V84" s="9" t="n">
        <x:f>ABS(P84)</x:f>
        <x:v>162.37708165526783</x:v>
      </x:c>
      <x:c r="W84" s="9" t="n">
        <x:f>ABS(Q84)</x:f>
        <x:v>24.38094319148166</x:v>
      </x:c>
      <x:c r="X84" s="9"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x:f>
        <x:v>-144.88352309984418</x:v>
      </x:c>
      <x:c r="Y84" s="9"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x:f>
        <x:v>371.18641988344854</x:v>
      </x:c>
      <x:c r="Z84" s="9" t="n">
        <x:f>B84-X84/1000</x:f>
        <x:v>400.54599463421096</x:v>
      </x:c>
      <x:c r="AA84" s="9" t="n">
        <x:f>SQRT((Inputs!$C$52+B84)^2+(Inputs!$C$52+Y84/1000)^2-2*(Inputs!$C$52+B84)*(Inputs!$C$52+Y84/1000)*COS(SQRT(A84^2+Inputs!$C$6^2)/Inputs!$C$52))</x:f>
        <x:v>401.57581826458386</x:v>
      </x:c>
      <x:c r="AB84" s="9" t="n">
        <x:f>(AA84-Z84)*1000</x:f>
        <x:v>1029.8236303729027</x:v>
      </x:c>
      <x:c r="AC84" s="9" t="n">
        <x:f>AB84/Inputs!$C$12</x:f>
        <x:v>578.5526013330914</x:v>
      </x:c>
      <x:c r="AD84" s="9" t="n">
        <x:f>2*AB84/Inputs!$C$21*1000000</x:f>
        <x:v>6.870243749580269</x:v>
      </x:c>
      <x:c r="AE84" s="9" t="n">
        <x:f>DEGREES(ATAN(H84/(B84-Y84/1000)))</x:f>
        <x:v>4.488270284263776</x:v>
      </x:c>
      <x:c r="AF84" s="9" t="n">
        <x:f>DEGREES((2*PI()/Inputs!$C$13)*Inputs!$C$15*SIN(RADIANS(AE84)))</x:f>
        <x:v>28.171801085504747</x:v>
      </x:c>
      <x:c r="AG84" s="9" t="n">
        <x:f>(Z84/AA84)^4</x:f>
        <x:v>0.9897815660662632</x:v>
      </x:c>
      <x:c r="AH84" s="9" t="n">
        <x:f>10*LOG10(AG84)</x:f>
        <x:v>-0.0446063885609288</x:v>
      </x:c>
      <x:c r="AI84" s="9" t="n">
        <x:f>AC84-F84</x:f>
        <x:v>-288.91901307253033</x:v>
      </x:c>
      <x:c r="AJ84" s="9" t="n">
        <x:f>AD84-G84</x:f>
        <x:v>-3.430879126846505</x:v>
      </x:c>
      <x:c r="AK84" s="9" t="n">
        <x:f>Y84-X84</x:f>
        <x:v>516.0699429832928</x:v>
      </x:c>
      <x:c r="AL84" s="9" t="n">
        <x:f>1000*(AA85-AA83)/(A85-A83)*Inputs!$C$11</x:f>
        <x:v>-413.6711414948877</x:v>
      </x:c>
      <x:c r="AM84" s="9" t="n">
        <x:f>-2*AL84/Inputs!$C$13</x:f>
        <x:v>165.46845659795508</x:v>
      </x:c>
      <x:c r="AN84" s="9" t="n">
        <x:f>-2*AL84/Inputs!$C$14</x:f>
        <x:v>24.84511360329656</x:v>
      </x:c>
      <x:c r="AO84" s="9" t="n">
        <x:f>ABS(AM84)</x:f>
        <x:v>165.46845659795508</x:v>
      </x:c>
      <x:c r="AP84" s="9" t="n">
        <x:f>ABS(AN84)</x:f>
        <x:v>24.84511360329656</x:v>
      </x:c>
      <x:c r="AQ84" s="9" t="n">
        <x:f>IF(OR(Inputs!$C$27=TRUE,Inputs!$C$27="TRUE",Inputs!$C$27=1),Inputs!$C$46/Inputs!$C$12,0)</x:f>
        <x:v>42.13483146067416</x:v>
      </x:c>
      <x:c r="AR84" s="9" t="n">
        <x:f>AC84-AQ84</x:f>
        <x:v>536.4177698724172</x:v>
      </x:c>
      <x:c r="AS84" s="9" t="n">
        <x:f>AC84+AQ84</x:f>
        <x:v>620.6874327937655</x:v>
      </x:c>
    </x:row>
    <x:row r="85">
      <x:c r="A85" s="9" t="n">
        <x:f>Inputs!$C$7+83*(Inputs!$C$8-Inputs!$C$7)/240</x:f>
        <x:v>-18.5</x:v>
      </x:c>
      <x:c r="B85" s="9" t="n">
        <x:f>Inputs!$C$5+Inputs!$C$9*(A85/Inputs!$C$10)^2</x:f>
        <x:v>400.3802777777778</x:v>
      </x:c>
      <x:c r="C85" s="9" t="n">
        <x:f>B85</x:f>
        <x:v>400.3802777777778</x:v>
      </x:c>
      <x:c r="D85" s="9" t="n">
        <x:f>SQRT((Inputs!$C$52+B85)^2+Inputs!$C$52^2-2*(Inputs!$C$52+B85)*Inputs!$C$52*COS(SQRT(A85^2+Inputs!$C$6^2)/Inputs!$C$52))</x:f>
        <x:v>401.8951330678587</x:v>
      </x:c>
      <x:c r="E85" s="9" t="n">
        <x:f>(D85-C85)*1000</x:f>
        <x:v>1514.8552900809023</x:v>
      </x:c>
      <x:c r="F85" s="9" t="n">
        <x:f>E85/Inputs!$C$12</x:f>
        <x:v>851.0422977982597</x:v>
      </x:c>
      <x:c r="G85" s="9" t="n">
        <x:f>2*E85/Inputs!$C$21*1000000</x:f>
        <x:v>10.106026683839406</x:v>
      </x:c>
      <x:c r="H85" s="9" t="n">
        <x:f>SQRT(A85^2+Inputs!$C$6^2)</x:f>
        <x:v>31.100643080167973</x:v>
      </x:c>
      <x:c r="I85" s="9" t="n">
        <x:f>DEGREES(ATAN(H85/B85))</x:f>
        <x:v>4.441688661129496</x:v>
      </x:c>
      <x:c r="J85" s="9" t="n">
        <x:f>DEGREES((2*PI()/Inputs!$C$13)*Inputs!$C$15*SIN(RADIANS(I85)))</x:f>
        <x:v>27.88000837991527</x:v>
      </x:c>
      <x:c r="K85" s="9" t="n">
        <x:f>(C85/D85)^4</x:f>
        <x:v>0.9850079107957616</x:v>
      </x:c>
      <x:c r="L85" s="9" t="n">
        <x:f>10*LOG10(K85)</x:f>
        <x:v>-0.0656028158243841</x:v>
      </x:c>
      <x:c r="M85" s="9" t="n">
        <x:f>2*(Inputs!$C$9/(Inputs!$C$10^2))*A85</x:f>
        <x:v>-0.04111111111111111</x:v>
      </x:c>
      <x:c r="N85" s="9" t="n">
        <x:f>M85*Inputs!$C$11</x:f>
        <x:v>-0.16444444444444445</x:v>
      </x:c>
      <x:c r="O85" s="9" t="n">
        <x:f>1000*(D86-D84)/(A86-A84)*Inputs!$C$11</x:f>
        <x:v>-395.2961091731595</x:v>
      </x:c>
      <x:c r="P85" s="9" t="n">
        <x:f>-2*O85/Inputs!$C$13</x:f>
        <x:v>158.1184436692638</x:v>
      </x:c>
      <x:c r="Q85" s="9" t="n">
        <x:f>-2*O85/Inputs!$C$14</x:f>
        <x:v>23.74150805844802</x:v>
      </x:c>
      <x:c r="R85" s="9" t="n">
        <x:f>F85-Inputs!$C$16/2</x:f>
        <x:v>836.0422977982597</x:v>
      </x:c>
      <x:c r="S85" s="9" t="n">
        <x:f>F85+Inputs!$C$16/2</x:f>
        <x:v>866.0422977982597</x:v>
      </x:c>
      <x:c r="T85" s="9" t="n">
        <x:f>F85-Inputs!$C$17/2</x:f>
        <x:v>701.0422977982597</x:v>
      </x:c>
      <x:c r="U85" s="9" t="n">
        <x:f>F85+Inputs!$C$17/2</x:f>
        <x:v>1001.0422977982597</x:v>
      </x:c>
      <x:c r="V85" s="9" t="n">
        <x:f>ABS(P85)</x:f>
        <x:v>158.1184436692638</x:v>
      </x:c>
      <x:c r="W85" s="9" t="n">
        <x:f>ABS(Q85)</x:f>
        <x:v>23.74150805844802</x:v>
      </x:c>
      <x:c r="X85" s="9"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x:f>
        <x:v>-136.66366560462208</x:v>
      </x:c>
      <x:c r="Y85" s="9"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x:f>
        <x:v>365.6884368087795</x:v>
      </x:c>
      <x:c r="Z85" s="9" t="n">
        <x:f>B85-X85/1000</x:f>
        <x:v>400.5169414433824</x:v>
      </x:c>
      <x:c r="AA85" s="9" t="n">
        <x:f>SQRT((Inputs!$C$52+B85)^2+(Inputs!$C$52+Y85/1000)^2-2*(Inputs!$C$52+B85)*(Inputs!$C$52+Y85/1000)*COS(SQRT(A85^2+Inputs!$C$6^2)/Inputs!$C$52))</x:f>
        <x:v>401.5311788422916</x:v>
      </x:c>
      <x:c r="AB85" s="9" t="n">
        <x:f>(AA85-Z85)*1000</x:f>
        <x:v>1014.237398909188</x:v>
      </x:c>
      <x:c r="AC85" s="9" t="n">
        <x:f>AB85/Inputs!$C$12</x:f>
        <x:v>569.7962915220157</x:v>
      </x:c>
      <x:c r="AD85" s="9" t="n">
        <x:f>2*AB85/Inputs!$C$21*1000000</x:f>
        <x:v>6.76626360566541</x:v>
      </x:c>
      <x:c r="AE85" s="9" t="n">
        <x:f>DEGREES(ATAN(H85/(B85-Y85/1000)))</x:f>
        <x:v>4.4457329275082635</x:v>
      </x:c>
      <x:c r="AF85" s="9" t="n">
        <x:f>DEGREES((2*PI()/Inputs!$C$13)*Inputs!$C$15*SIN(RADIANS(AE85)))</x:f>
        <x:v>27.905342868215158</x:v>
      </x:c>
      <x:c r="AG85" s="9" t="n">
        <x:f>(Z85/AA85)^4</x:f>
        <x:v>0.9899345197711361</x:v>
      </x:c>
      <x:c r="AH85" s="9" t="n">
        <x:f>10*LOG10(AG85)</x:f>
        <x:v>-0.0439353130403495</x:v>
      </x:c>
      <x:c r="AI85" s="9" t="n">
        <x:f>AC85-F85</x:f>
        <x:v>-281.246006276244</x:v>
      </x:c>
      <x:c r="AJ85" s="9" t="n">
        <x:f>AD85-G85</x:f>
        <x:v>-3.3397630781739966</x:v>
      </x:c>
      <x:c r="AK85" s="9" t="n">
        <x:f>Y85-X85</x:f>
        <x:v>502.35210241340155</x:v>
      </x:c>
      <x:c r="AL85" s="9" t="n">
        <x:f>1000*(AA86-AA84)/(A86-A84)*Inputs!$C$11</x:f>
        <x:v>-478.51718714287017</x:v>
      </x:c>
      <x:c r="AM85" s="9" t="n">
        <x:f>-2*AL85/Inputs!$C$13</x:f>
        <x:v>191.40687485714807</x:v>
      </x:c>
      <x:c r="AN85" s="9" t="n">
        <x:f>-2*AL85/Inputs!$C$14</x:f>
        <x:v>28.739770999571785</x:v>
      </x:c>
      <x:c r="AO85" s="9" t="n">
        <x:f>ABS(AM85)</x:f>
        <x:v>191.40687485714807</x:v>
      </x:c>
      <x:c r="AP85" s="9" t="n">
        <x:f>ABS(AN85)</x:f>
        <x:v>28.739770999571785</x:v>
      </x:c>
      <x:c r="AQ85" s="9" t="n">
        <x:f>IF(OR(Inputs!$C$27=TRUE,Inputs!$C$27="TRUE",Inputs!$C$27=1),Inputs!$C$46/Inputs!$C$12,0)</x:f>
        <x:v>42.13483146067416</x:v>
      </x:c>
      <x:c r="AR85" s="9" t="n">
        <x:f>AC85-AQ85</x:f>
        <x:v>527.6614600613416</x:v>
      </x:c>
      <x:c r="AS85" s="9" t="n">
        <x:f>AC85+AQ85</x:f>
        <x:v>611.9311229826899</x:v>
      </x:c>
    </x:row>
    <x:row r="86">
      <x:c r="A86" s="9" t="n">
        <x:f>Inputs!$C$7+84*(Inputs!$C$8-Inputs!$C$7)/240</x:f>
        <x:v>-18</x:v>
      </x:c>
      <x:c r="B86" s="9" t="n">
        <x:f>Inputs!$C$5+Inputs!$C$9*(A86/Inputs!$C$10)^2</x:f>
        <x:v>400.36</x:v>
      </x:c>
      <x:c r="C86" s="9" t="n">
        <x:f>B86</x:f>
        <x:v>400.36</x:v>
      </x:c>
      <x:c r="D86" s="9" t="n">
        <x:f>SQRT((Inputs!$C$52+B86)^2+Inputs!$C$52^2-2*(Inputs!$C$52+B86)*Inputs!$C$52*COS(SQRT(A86^2+Inputs!$C$6^2)/Inputs!$C$52))</x:f>
        <x:v>401.8463865574598</x:v>
      </x:c>
      <x:c r="E86" s="9" t="n">
        <x:f>(D86-C86)*1000</x:f>
        <x:v>1486.3865574598094</x:v>
      </x:c>
      <x:c r="F86" s="9" t="n">
        <x:f>E86/Inputs!$C$12</x:f>
        <x:v>835.0486277864097</x:v>
      </x:c>
      <x:c r="G86" s="9" t="n">
        <x:f>2*E86/Inputs!$C$21*1000000</x:f>
        <x:v>9.916103743075547</x:v>
      </x:c>
      <x:c r="H86" s="9" t="n">
        <x:f>SQRT(A86^2+Inputs!$C$6^2)</x:f>
        <x:v>30.805843601498726</x:v>
      </x:c>
      <x:c r="I86" s="9" t="n">
        <x:f>DEGREES(ATAN(H86/B86))</x:f>
        <x:v>4.3999744653546005</x:v>
      </x:c>
      <x:c r="J86" s="9" t="n">
        <x:f>DEGREES((2*PI()/Inputs!$C$13)*Inputs!$C$15*SIN(RADIANS(I86)))</x:f>
        <x:v>27.618690159596383</x:v>
      </x:c>
      <x:c r="K86" s="9" t="n">
        <x:f>(C86/D86)^4</x:f>
        <x:v>0.9852863188663767</x:v>
      </x:c>
      <x:c r="L86" s="9" t="n">
        <x:f>10*LOG10(K86)</x:f>
        <x:v>-0.0643754753818252</x:v>
      </x:c>
      <x:c r="M86" s="9" t="n">
        <x:f>2*(Inputs!$C$9/(Inputs!$C$10^2))*A86</x:f>
        <x:v>-0.04</x:v>
      </x:c>
      <x:c r="N86" s="9" t="n">
        <x:f>M86*Inputs!$C$11</x:f>
        <x:v>-0.16</x:v>
      </x:c>
      <x:c r="O86" s="9" t="n">
        <x:f>1000*(D87-D85)/(A87-A85)*Inputs!$C$11</x:f>
        <x:v>-384.64663819468115</x:v>
      </x:c>
      <x:c r="P86" s="9" t="n">
        <x:f>-2*O86/Inputs!$C$13</x:f>
        <x:v>153.85865527787246</x:v>
      </x:c>
      <x:c r="Q86" s="9" t="n">
        <x:f>-2*O86/Inputs!$C$14</x:f>
        <x:v>23.101900191872744</x:v>
      </x:c>
      <x:c r="R86" s="9" t="n">
        <x:f>F86-Inputs!$C$16/2</x:f>
        <x:v>820.0486277864097</x:v>
      </x:c>
      <x:c r="S86" s="9" t="n">
        <x:f>F86+Inputs!$C$16/2</x:f>
        <x:v>850.0486277864097</x:v>
      </x:c>
      <x:c r="T86" s="9" t="n">
        <x:f>F86-Inputs!$C$17/2</x:f>
        <x:v>685.0486277864097</x:v>
      </x:c>
      <x:c r="U86" s="9" t="n">
        <x:f>F86+Inputs!$C$17/2</x:f>
        <x:v>985.0486277864097</x:v>
      </x:c>
      <x:c r="V86" s="9" t="n">
        <x:f>ABS(P86)</x:f>
        <x:v>153.85865527787246</x:v>
      </x:c>
      <x:c r="W86" s="9" t="n">
        <x:f>ABS(Q86)</x:f>
        <x:v>23.101900191872744</x:v>
      </x:c>
      <x:c r="X86" s="9"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x:f>
        <x:v>-149.12259877495586</x:v>
      </x:c>
      <x:c r="Y86" s="9"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x:f>
        <x:v>392.0220541536099</x:v>
      </x:c>
      <x:c r="Z86" s="9" t="n">
        <x:f>B86-X86/1000</x:f>
        <x:v>400.509122598775</x:v>
      </x:c>
      <x:c r="AA86" s="9" t="n">
        <x:f>SQRT((Inputs!$C$52+B86)^2+(Inputs!$C$52+Y86/1000)^2-2*(Inputs!$C$52+B86)*(Inputs!$C$52+Y86/1000)*COS(SQRT(A86^2+Inputs!$C$6^2)/Inputs!$C$52))</x:f>
        <x:v>401.45618896779814</x:v>
      </x:c>
      <x:c r="AB86" s="9" t="n">
        <x:f>(AA86-Z86)*1000</x:f>
        <x:v>947.0663690231618</x:v>
      </x:c>
      <x:c r="AC86" s="9" t="n">
        <x:f>AB86/Inputs!$C$12</x:f>
        <x:v>532.0597578781808</x:v>
      </x:c>
      <x:c r="AD86" s="9" t="n">
        <x:f>2*AB86/Inputs!$C$21*1000000</x:f>
        <x:v>6.318146729516203</x:v>
      </x:c>
      <x:c r="AE86" s="9" t="n">
        <x:f>DEGREES(ATAN(H86/(B86-Y86/1000)))</x:f>
        <x:v>4.404270068310071</x:v>
      </x:c>
      <x:c r="AF86" s="9" t="n">
        <x:f>DEGREES((2*PI()/Inputs!$C$13)*Inputs!$C$15*SIN(RADIANS(AE86)))</x:f>
        <x:v>27.645600605826974</x:v>
      </x:c>
      <x:c r="AG86" s="9" t="n">
        <x:f>(Z86/AA86)^4</x:f>
        <x:v>0.9905970279428946</x:v>
      </x:c>
      <x:c r="AH86" s="9" t="n">
        <x:f>10*LOG10(AG86)</x:f>
        <x:v>-0.0410297935168212</x:v>
      </x:c>
      <x:c r="AI86" s="9" t="n">
        <x:f>AC86-F86</x:f>
        <x:v>-302.98886990822893</x:v>
      </x:c>
      <x:c r="AJ86" s="9" t="n">
        <x:f>AD86-G86</x:f>
        <x:v>-3.597957013559345</x:v>
      </x:c>
      <x:c r="AK86" s="9" t="n">
        <x:f>Y86-X86</x:f>
        <x:v>541.1446529285657</x:v>
      </x:c>
      <x:c r="AL86" s="9" t="n">
        <x:f>1000*(AA87-AA85)/(A87-A85)*Inputs!$C$11</x:f>
        <x:v>-509.85866365749644</x:v>
      </x:c>
      <x:c r="AM86" s="9" t="n">
        <x:f>-2*AL86/Inputs!$C$13</x:f>
        <x:v>203.94346546299857</x:v>
      </x:c>
      <x:c r="AN86" s="9" t="n">
        <x:f>-2*AL86/Inputs!$C$14</x:f>
        <x:v>30.6221419614112</x:v>
      </x:c>
      <x:c r="AO86" s="9" t="n">
        <x:f>ABS(AM86)</x:f>
        <x:v>203.94346546299857</x:v>
      </x:c>
      <x:c r="AP86" s="9" t="n">
        <x:f>ABS(AN86)</x:f>
        <x:v>30.6221419614112</x:v>
      </x:c>
      <x:c r="AQ86" s="9" t="n">
        <x:f>IF(OR(Inputs!$C$27=TRUE,Inputs!$C$27="TRUE",Inputs!$C$27=1),Inputs!$C$46/Inputs!$C$12,0)</x:f>
        <x:v>42.13483146067416</x:v>
      </x:c>
      <x:c r="AR86" s="9" t="n">
        <x:f>AC86-AQ86</x:f>
        <x:v>489.92492641750664</x:v>
      </x:c>
      <x:c r="AS86" s="9" t="n">
        <x:f>AC86+AQ86</x:f>
        <x:v>574.1945893388549</x:v>
      </x:c>
    </x:row>
    <x:row r="87">
      <x:c r="A87" s="9" t="n">
        <x:f>Inputs!$C$7+85*(Inputs!$C$8-Inputs!$C$7)/240</x:f>
        <x:v>-17.5</x:v>
      </x:c>
      <x:c r="B87" s="9" t="n">
        <x:f>Inputs!$C$5+Inputs!$C$9*(A87/Inputs!$C$10)^2</x:f>
        <x:v>400.34027777777777</x:v>
      </x:c>
      <x:c r="C87" s="9" t="n">
        <x:f>B87</x:f>
        <x:v>400.34027777777777</x:v>
      </x:c>
      <x:c r="D87" s="9" t="n">
        <x:f>SQRT((Inputs!$C$52+B87)^2+Inputs!$C$52^2-2*(Inputs!$C$52+B87)*Inputs!$C$52*COS(SQRT(A87^2+Inputs!$C$6^2)/Inputs!$C$52))</x:f>
        <x:v>401.79897140831</x:v>
      </x:c>
      <x:c r="E87" s="9" t="n">
        <x:f>(D87-C87)*1000</x:f>
        <x:v>1458.6936305322524</x:v>
      </x:c>
      <x:c r="F87" s="9" t="n">
        <x:f>E87/Inputs!$C$12</x:f>
        <x:v>819.4908036698047</x:v>
      </x:c>
      <x:c r="G87" s="9" t="n">
        <x:f>2*E87/Inputs!$C$21*1000000</x:f>
        <x:v>9.731356420795965</x:v>
      </x:c>
      <x:c r="H87" s="9" t="n">
        <x:f>SQRT(A87^2+Inputs!$C$6^2)</x:f>
        <x:v>30.516389039334257</x:v>
      </x:c>
      <x:c r="I87" s="9" t="n">
        <x:f>DEGREES(ATAN(H87/B87))</x:f>
        <x:v>4.359005878140658</x:v>
      </x:c>
      <x:c r="J87" s="9" t="n">
        <x:f>DEGREES((2*PI()/Inputs!$C$13)*Inputs!$C$15*SIN(RADIANS(I87)))</x:f>
        <x:v>27.3620285475742</x:v>
      </x:c>
      <x:c r="K87" s="9" t="n">
        <x:f>(C87/D87)^4</x:f>
        <x:v>0.9855572615636342</x:v>
      </x:c>
      <x:c r="L87" s="9" t="n">
        <x:f>10*LOG10(K87)</x:f>
        <x:v>-0.0631813783947216</x:v>
      </x:c>
      <x:c r="M87" s="9" t="n">
        <x:f>2*(Inputs!$C$9/(Inputs!$C$10^2))*A87</x:f>
        <x:v>-0.03888888888888889</x:v>
      </x:c>
      <x:c r="N87" s="9" t="n">
        <x:f>M87*Inputs!$C$11</x:f>
        <x:v>-0.15555555555555556</x:v>
      </x:c>
      <x:c r="O87" s="9" t="n">
        <x:f>1000*(D88-D86)/(A88-A86)*Inputs!$C$11</x:f>
        <x:v>-373.9943672410391</x:v>
      </x:c>
      <x:c r="P87" s="9" t="n">
        <x:f>-2*O87/Inputs!$C$13</x:f>
        <x:v>149.59774689641563</x:v>
      </x:c>
      <x:c r="Q87" s="9" t="n">
        <x:f>-2*O87/Inputs!$C$14</x:f>
        <x:v>22.462124158620966</x:v>
      </x:c>
      <x:c r="R87" s="9" t="n">
        <x:f>F87-Inputs!$C$16/2</x:f>
        <x:v>804.4908036698047</x:v>
      </x:c>
      <x:c r="S87" s="9" t="n">
        <x:f>F87+Inputs!$C$16/2</x:f>
        <x:v>834.4908036698047</x:v>
      </x:c>
      <x:c r="T87" s="9" t="n">
        <x:f>F87-Inputs!$C$17/2</x:f>
        <x:v>669.4908036698047</x:v>
      </x:c>
      <x:c r="U87" s="9" t="n">
        <x:f>F87+Inputs!$C$17/2</x:f>
        <x:v>969.4908036698047</x:v>
      </x:c>
      <x:c r="V87" s="9" t="n">
        <x:f>ABS(P87)</x:f>
        <x:v>149.59774689641563</x:v>
      </x:c>
      <x:c r="W87" s="9" t="n">
        <x:f>ABS(Q87)</x:f>
        <x:v>22.462124158620966</x:v>
      </x:c>
      <x:c r="X87" s="9"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x:f>
        <x:v>-139.0731304771746</x:v>
      </x:c>
      <x:c r="Y87" s="9"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x:f>
        <x:v>397.07097057156574</x:v>
      </x:c>
      <x:c r="Z87" s="9" t="n">
        <x:f>B87-X87/1000</x:f>
        <x:v>400.47935090825496</x:v>
      </x:c>
      <x:c r="AA87" s="9" t="n">
        <x:f>SQRT((Inputs!$C$52+B87)^2+(Inputs!$C$52+Y87/1000)^2-2*(Inputs!$C$52+B87)*(Inputs!$C$52+Y87/1000)*COS(SQRT(A87^2+Inputs!$C$6^2)/Inputs!$C$52))</x:f>
        <x:v>401.4037141763772</x:v>
      </x:c>
      <x:c r="AB87" s="9" t="n">
        <x:f>(AA87-Z87)*1000</x:f>
        <x:v>924.3632681222493</x:v>
      </x:c>
      <x:c r="AC87" s="9" t="n">
        <x:f>AB87/Inputs!$C$12</x:f>
        <x:v>519.3052068102525</x:v>
      </x:c>
      <x:c r="AD87" s="9" t="n">
        <x:f>2*AB87/Inputs!$C$21*1000000</x:f>
        <x:v>6.166687943312098</x:v>
      </x:c>
      <x:c r="AE87" s="9" t="n">
        <x:f>DEGREES(ATAN(H87/(B87-Y87/1000)))</x:f>
        <x:v>4.363316874725082</x:v>
      </x:c>
      <x:c r="AF87" s="9" t="n">
        <x:f>DEGREES((2*PI()/Inputs!$C$13)*Inputs!$C$15*SIN(RADIANS(AE87)))</x:f>
        <x:v>27.389036908924687</x:v>
      </x:c>
      <x:c r="AG87" s="9" t="n">
        <x:f>(Z87/AA87)^4</x:f>
        <x:v>0.9908204616769941</x:v>
      </x:c>
      <x:c r="AH87" s="9" t="n">
        <x:f>10*LOG10(AG87)</x:f>
        <x:v>-0.0400503327145411</x:v>
      </x:c>
      <x:c r="AI87" s="9" t="n">
        <x:f>AC87-F87</x:f>
        <x:v>-300.1855968595522</x:v>
      </x:c>
      <x:c r="AJ87" s="9" t="n">
        <x:f>AD87-G87</x:f>
        <x:v>-3.564668477483867</x:v>
      </x:c>
      <x:c r="AK87" s="9" t="n">
        <x:f>Y87-X87</x:f>
        <x:v>536.1441010487404</x:v>
      </x:c>
      <x:c r="AL87" s="9" t="n">
        <x:f>1000*(AA88-AA86)/(A88-A86)*Inputs!$C$11</x:f>
        <x:v>-331.8564581766168</x:v>
      </x:c>
      <x:c r="AM87" s="9" t="n">
        <x:f>-2*AL87/Inputs!$C$13</x:f>
        <x:v>132.74258327064672</x:v>
      </x:c>
      <x:c r="AN87" s="9" t="n">
        <x:f>-2*AL87/Inputs!$C$14</x:f>
        <x:v>19.931318809406417</x:v>
      </x:c>
      <x:c r="AO87" s="9" t="n">
        <x:f>ABS(AM87)</x:f>
        <x:v>132.74258327064672</x:v>
      </x:c>
      <x:c r="AP87" s="9" t="n">
        <x:f>ABS(AN87)</x:f>
        <x:v>19.931318809406417</x:v>
      </x:c>
      <x:c r="AQ87" s="9" t="n">
        <x:f>IF(OR(Inputs!$C$27=TRUE,Inputs!$C$27="TRUE",Inputs!$C$27=1),Inputs!$C$46/Inputs!$C$12,0)</x:f>
        <x:v>42.13483146067416</x:v>
      </x:c>
      <x:c r="AR87" s="9" t="n">
        <x:f>AC87-AQ87</x:f>
        <x:v>477.1703753495783</x:v>
      </x:c>
      <x:c r="AS87" s="9" t="n">
        <x:f>AC87+AQ87</x:f>
        <x:v>561.4400382709266</x:v>
      </x:c>
    </x:row>
    <x:row r="88">
      <x:c r="A88" s="9" t="n">
        <x:f>Inputs!$C$7+86*(Inputs!$C$8-Inputs!$C$7)/240</x:f>
        <x:v>-17</x:v>
      </x:c>
      <x:c r="B88" s="9" t="n">
        <x:f>Inputs!$C$5+Inputs!$C$9*(A88/Inputs!$C$10)^2</x:f>
        <x:v>400.3211111111111</x:v>
      </x:c>
      <x:c r="C88" s="9" t="n">
        <x:f>B88</x:f>
        <x:v>400.3211111111111</x:v>
      </x:c>
      <x:c r="D88" s="9" t="n">
        <x:f>SQRT((Inputs!$C$52+B88)^2+Inputs!$C$52^2-2*(Inputs!$C$52+B88)*Inputs!$C$52*COS(SQRT(A88^2+Inputs!$C$6^2)/Inputs!$C$52))</x:f>
        <x:v>401.75288796564956</x:v>
      </x:c>
      <x:c r="E88" s="9" t="n">
        <x:f>(D88-C88)*1000</x:f>
        <x:v>1431.776854538441</x:v>
      </x:c>
      <x:c r="F88" s="9" t="n">
        <x:f>E88/Inputs!$C$12</x:f>
        <x:v>804.3690194036186</x:v>
      </x:c>
      <x:c r="G88" s="9" t="n">
        <x:f>2*E88/Inputs!$C$21*1000000</x:f>
        <x:v>9.551787020195425</x:v>
      </x:c>
      <x:c r="H88" s="9" t="n">
        <x:f>SQRT(A88^2+Inputs!$C$6^2)</x:f>
        <x:v>30.23243291566195</x:v>
      </x:c>
      <x:c r="I88" s="9" t="n">
        <x:f>DEGREES(ATAN(H88/B88))</x:f>
        <x:v>4.3188053168235525</x:v>
      </x:c>
      <x:c r="J88" s="9" t="n">
        <x:f>DEGREES((2*PI()/Inputs!$C$13)*Inputs!$C$15*SIN(RADIANS(I88)))</x:f>
        <x:v>27.110164894856272</x:v>
      </x:c>
      <x:c r="K88" s="9" t="n">
        <x:f>(C88/D88)^4</x:f>
        <x:v>0.9858207254931723</x:v>
      </x:c>
      <x:c r="L88" s="9" t="n">
        <x:f>10*LOG10(K88)</x:f>
        <x:v>-0.0620205565512049</x:v>
      </x:c>
      <x:c r="M88" s="9" t="n">
        <x:f>2*(Inputs!$C$9/(Inputs!$C$10^2))*A88</x:f>
        <x:v>-0.03777777777777778</x:v>
      </x:c>
      <x:c r="N88" s="9" t="n">
        <x:f>M88*Inputs!$C$11</x:f>
        <x:v>-0.1511111111111111</x:v>
      </x:c>
      <x:c r="O88" s="9" t="n">
        <x:f>1000*(D89-D87)/(A89-A87)*Inputs!$C$11</x:f>
        <x:v>-363.33937246513415</x:v>
      </x:c>
      <x:c r="P88" s="9" t="n">
        <x:f>-2*O88/Inputs!$C$13</x:f>
        <x:v>145.33574898605366</x:v>
      </x:c>
      <x:c r="Q88" s="9" t="n">
        <x:f>-2*O88/Inputs!$C$14</x:f>
        <x:v>21.82218453244049</x:v>
      </x:c>
      <x:c r="R88" s="9" t="n">
        <x:f>F88-Inputs!$C$16/2</x:f>
        <x:v>789.3690194036186</x:v>
      </x:c>
      <x:c r="S88" s="9" t="n">
        <x:f>F88+Inputs!$C$16/2</x:f>
        <x:v>819.3690194036186</x:v>
      </x:c>
      <x:c r="T88" s="9" t="n">
        <x:f>F88-Inputs!$C$17/2</x:f>
        <x:v>654.3690194036186</x:v>
      </x:c>
      <x:c r="U88" s="9" t="n">
        <x:f>F88+Inputs!$C$17/2</x:f>
        <x:v>954.3690194036186</x:v>
      </x:c>
      <x:c r="V88" s="9" t="n">
        <x:f>ABS(P88)</x:f>
        <x:v>145.33574898605366</x:v>
      </x:c>
      <x:c r="W88" s="9" t="n">
        <x:f>ABS(Q88)</x:f>
        <x:v>21.82218453244049</x:v>
      </x:c>
      <x:c r="X88" s="9"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x:f>
        <x:v>-125.70874899839603</x:v>
      </x:c>
      <x:c r="Y88" s="9"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x:f>
        <x:v>381.37310246850825</x:v>
      </x:c>
      <x:c r="Z88" s="9" t="n">
        <x:f>B88-X88/1000</x:f>
        <x:v>400.44681986010954</x:v>
      </x:c>
      <x:c r="AA88" s="9" t="n">
        <x:f>SQRT((Inputs!$C$52+B88)^2+(Inputs!$C$52+Y88/1000)^2-2*(Inputs!$C$52+B88)*(Inputs!$C$52+Y88/1000)*COS(SQRT(A88^2+Inputs!$C$6^2)/Inputs!$C$52))</x:f>
        <x:v>401.373224853254</x:v>
      </x:c>
      <x:c r="AB88" s="9" t="n">
        <x:f>(AA88-Z88)*1000</x:f>
        <x:v>926.4049931444447</x:v>
      </x:c>
      <x:c r="AC88" s="9" t="n">
        <x:f>AB88/Inputs!$C$12</x:f>
        <x:v>520.4522433395757</x:v>
      </x:c>
      <x:c r="AD88" s="9" t="n">
        <x:f>2*AB88/Inputs!$C$21*1000000</x:f>
        <x:v>6.180308866505539</x:v>
      </x:c>
      <x:c r="AE88" s="9" t="n">
        <x:f>DEGREES(ATAN(H88/(B88-Y88/1000)))</x:f>
        <x:v>4.322908023777097</x:v>
      </x:c>
      <x:c r="AF88" s="9" t="n">
        <x:f>DEGREES((2*PI()/Inputs!$C$13)*Inputs!$C$15*SIN(RADIANS(AE88)))</x:f>
        <x:v>27.135869695802725</x:v>
      </x:c>
      <x:c r="AG88" s="9" t="n">
        <x:f>(Z88/AA88)^4</x:f>
        <x:v>0.9907995598008051</x:v>
      </x:c>
      <x:c r="AH88" s="9" t="n">
        <x:f>10*LOG10(AG88)</x:f>
        <x:v>-0.0401419503747609</x:v>
      </x:c>
      <x:c r="AI88" s="9" t="n">
        <x:f>AC88-F88</x:f>
        <x:v>-283.9167760640429</x:v>
      </x:c>
      <x:c r="AJ88" s="9" t="n">
        <x:f>AD88-G88</x:f>
        <x:v>-3.3714781536898863</x:v>
      </x:c>
      <x:c r="AK88" s="9" t="n">
        <x:f>Y88-X88</x:f>
        <x:v>507.08185146690425</x:v>
      </x:c>
      <x:c r="AL88" s="9" t="n">
        <x:f>1000*(AA89-AA87)/(A89-A87)*Inputs!$C$11</x:f>
        <x:v>-324.0654424416789</x:v>
      </x:c>
      <x:c r="AM88" s="9" t="n">
        <x:f>-2*AL88/Inputs!$C$13</x:f>
        <x:v>129.62617697667156</x:v>
      </x:c>
      <x:c r="AN88" s="9" t="n">
        <x:f>-2*AL88/Inputs!$C$14</x:f>
        <x:v>19.463389936437174</x:v>
      </x:c>
      <x:c r="AO88" s="9" t="n">
        <x:f>ABS(AM88)</x:f>
        <x:v>129.62617697667156</x:v>
      </x:c>
      <x:c r="AP88" s="9" t="n">
        <x:f>ABS(AN88)</x:f>
        <x:v>19.463389936437174</x:v>
      </x:c>
      <x:c r="AQ88" s="9" t="n">
        <x:f>IF(OR(Inputs!$C$27=TRUE,Inputs!$C$27="TRUE",Inputs!$C$27=1),Inputs!$C$46/Inputs!$C$12,0)</x:f>
        <x:v>42.13483146067416</x:v>
      </x:c>
      <x:c r="AR88" s="9" t="n">
        <x:f>AC88-AQ88</x:f>
        <x:v>478.31741187890157</x:v>
      </x:c>
      <x:c r="AS88" s="9" t="n">
        <x:f>AC88+AQ88</x:f>
        <x:v>562.5870748002499</x:v>
      </x:c>
    </x:row>
    <x:row r="89">
      <x:c r="A89" s="9" t="n">
        <x:f>Inputs!$C$7+87*(Inputs!$C$8-Inputs!$C$7)/240</x:f>
        <x:v>-16.5</x:v>
      </x:c>
      <x:c r="B89" s="9" t="n">
        <x:f>Inputs!$C$5+Inputs!$C$9*(A89/Inputs!$C$10)^2</x:f>
        <x:v>400.3025</x:v>
      </x:c>
      <x:c r="C89" s="9" t="n">
        <x:f>B89</x:f>
        <x:v>400.3025</x:v>
      </x:c>
      <x:c r="D89" s="9" t="n">
        <x:f>SQRT((Inputs!$C$52+B89)^2+Inputs!$C$52^2-2*(Inputs!$C$52+B89)*Inputs!$C$52*COS(SQRT(A89^2+Inputs!$C$6^2)/Inputs!$C$52))</x:f>
        <x:v>401.70813656519374</x:v>
      </x:c>
      <x:c r="E89" s="9" t="n">
        <x:f>(D89-C89)*1000</x:f>
        <x:v>1405.6365651937313</x:v>
      </x:c>
      <x:c r="F89" s="9" t="n">
        <x:f>E89/Inputs!$C$12</x:f>
        <x:v>789.6834635919838</x:v>
      </x:c>
      <x:c r="G89" s="9" t="n">
        <x:f>2*E89/Inputs!$C$21*1000000</x:f>
        <x:v>9.377397780925705</x:v>
      </x:c>
      <x:c r="H89" s="9" t="n">
        <x:f>SQRT(A89^2+Inputs!$C$6^2)</x:f>
        <x:v>29.95413160150032</x:v>
      </x:c>
      <x:c r="I89" s="9" t="n">
        <x:f>DEGREES(ATAN(H89/B89))</x:f>
        <x:v>4.2793956023743185</x:v>
      </x:c>
      <x:c r="J89" s="9" t="n">
        <x:f>DEGREES((2*PI()/Inputs!$C$13)*Inputs!$C$15*SIN(RADIANS(I89)))</x:f>
        <x:v>26.863243082603024</x:v>
      </x:c>
      <x:c r="K89" s="9" t="n">
        <x:f>(C89/D89)^4</x:f>
        <x:v>0.986076697620253</x:v>
      </x:c>
      <x:c r="L89" s="9" t="n">
        <x:f>10*LOG10(K89)</x:f>
        <x:v>-0.060893040670981904</x:v>
      </x:c>
      <x:c r="M89" s="9" t="n">
        <x:f>2*(Inputs!$C$9/(Inputs!$C$10^2))*A89</x:f>
        <x:v>-0.03666666666666667</x:v>
      </x:c>
      <x:c r="N89" s="9" t="n">
        <x:f>M89*Inputs!$C$11</x:f>
        <x:v>-0.14666666666666667</x:v>
      </x:c>
      <x:c r="O89" s="9" t="n">
        <x:f>1000*(D90-D88)/(A90-A88)*Inputs!$C$11</x:f>
        <x:v>-352.68173018312154</x:v>
      </x:c>
      <x:c r="P89" s="9" t="n">
        <x:f>-2*O89/Inputs!$C$13</x:f>
        <x:v>141.07269207324862</x:v>
      </x:c>
      <x:c r="Q89" s="9" t="n">
        <x:f>-2*O89/Inputs!$C$14</x:f>
        <x:v>21.18208589688418</x:v>
      </x:c>
      <x:c r="R89" s="9" t="n">
        <x:f>F89-Inputs!$C$16/2</x:f>
        <x:v>774.6834635919838</x:v>
      </x:c>
      <x:c r="S89" s="9" t="n">
        <x:f>F89+Inputs!$C$16/2</x:f>
        <x:v>804.6834635919838</x:v>
      </x:c>
      <x:c r="T89" s="9" t="n">
        <x:f>F89-Inputs!$C$17/2</x:f>
        <x:v>639.6834635919838</x:v>
      </x:c>
      <x:c r="U89" s="9" t="n">
        <x:f>F89+Inputs!$C$17/2</x:f>
        <x:v>939.6834635919838</x:v>
      </x:c>
      <x:c r="V89" s="9" t="n">
        <x:f>ABS(P89)</x:f>
        <x:v>141.07269207324862</x:v>
      </x:c>
      <x:c r="W89" s="9" t="n">
        <x:f>ABS(Q89)</x:f>
        <x:v>21.18208589688418</x:v>
      </x:c>
      <x:c r="X89" s="9"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x:f>
        <x:v>-123.86861357235706</x:v>
      </x:c>
      <x:c r="Y89" s="9"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x:f>
        <x:v>387.1431058674635</x:v>
      </x:c>
      <x:c r="Z89" s="9" t="n">
        <x:f>B89-X89/1000</x:f>
        <x:v>400.4263686135724</x:v>
      </x:c>
      <x:c r="AA89" s="9" t="n">
        <x:f>SQRT((Inputs!$C$52+B89)^2+(Inputs!$C$52+Y89/1000)^2-2*(Inputs!$C$52+B89)*(Inputs!$C$52+Y89/1000)*COS(SQRT(A89^2+Inputs!$C$6^2)/Inputs!$C$52))</x:f>
        <x:v>401.3226978157668</x:v>
      </x:c>
      <x:c r="AB89" s="9" t="n">
        <x:f>(AA89-Z89)*1000</x:f>
        <x:v>896.3292021944085</x:v>
      </x:c>
      <x:c r="AC89" s="9" t="n">
        <x:f>AB89/Inputs!$C$12</x:f>
        <x:v>503.5557315698924</x:v>
      </x:c>
      <x:c r="AD89" s="9" t="n">
        <x:f>2*AB89/Inputs!$C$21*1000000</x:f>
        <x:v>5.979664786593187</x:v>
      </x:c>
      <x:c r="AE89" s="9" t="n">
        <x:f>DEGREES(ATAN(H89/(B89-Y89/1000)))</x:f>
        <x:v>4.283522913330763</x:v>
      </x:c>
      <x:c r="AF89" s="9" t="n">
        <x:f>DEGREES((2*PI()/Inputs!$C$13)*Inputs!$C$15*SIN(RADIANS(AE89)))</x:f>
        <x:v>26.88910337303045</x:v>
      </x:c>
      <x:c r="AG89" s="9" t="n">
        <x:f>(Z89/AA89)^4</x:f>
        <x:v>0.9910961345305623</x:v>
      </x:c>
      <x:c r="AH89" s="9" t="n">
        <x:f>10*LOG10(AG89)</x:f>
        <x:v>-0.0388421769312311</x:v>
      </x:c>
      <x:c r="AI89" s="9" t="n">
        <x:f>AC89-F89</x:f>
        <x:v>-286.12773202209144</x:v>
      </x:c>
      <x:c r="AJ89" s="9" t="n">
        <x:f>AD89-G89</x:f>
        <x:v>-3.397732994332518</x:v>
      </x:c>
      <x:c r="AK89" s="9" t="n">
        <x:f>Y89-X89</x:f>
        <x:v>511.0117194398205</x:v>
      </x:c>
      <x:c r="AL89" s="9" t="n">
        <x:f>1000*(AA90-AA88)/(A90-A88)*Inputs!$C$11</x:f>
        <x:v>-480.06397771155207</x:v>
      </x:c>
      <x:c r="AM89" s="9" t="n">
        <x:f>-2*AL89/Inputs!$C$13</x:f>
        <x:v>192.02559108462083</x:v>
      </x:c>
      <x:c r="AN89" s="9" t="n">
        <x:f>-2*AL89/Inputs!$C$14</x:f>
        <x:v>28.832671334027154</x:v>
      </x:c>
      <x:c r="AO89" s="9" t="n">
        <x:f>ABS(AM89)</x:f>
        <x:v>192.02559108462083</x:v>
      </x:c>
      <x:c r="AP89" s="9" t="n">
        <x:f>ABS(AN89)</x:f>
        <x:v>28.832671334027154</x:v>
      </x:c>
      <x:c r="AQ89" s="9" t="n">
        <x:f>IF(OR(Inputs!$C$27=TRUE,Inputs!$C$27="TRUE",Inputs!$C$27=1),Inputs!$C$46/Inputs!$C$12,0)</x:f>
        <x:v>42.13483146067416</x:v>
      </x:c>
      <x:c r="AR89" s="9" t="n">
        <x:f>AC89-AQ89</x:f>
        <x:v>461.4209001092182</x:v>
      </x:c>
      <x:c r="AS89" s="9" t="n">
        <x:f>AC89+AQ89</x:f>
        <x:v>545.6905630305665</x:v>
      </x:c>
    </x:row>
    <x:row r="90">
      <x:c r="A90" s="9" t="n">
        <x:f>Inputs!$C$7+88*(Inputs!$C$8-Inputs!$C$7)/240</x:f>
        <x:v>-16</x:v>
      </x:c>
      <x:c r="B90" s="9" t="n">
        <x:f>Inputs!$C$5+Inputs!$C$9*(A90/Inputs!$C$10)^2</x:f>
        <x:v>400.28444444444443</x:v>
      </x:c>
      <x:c r="C90" s="9" t="n">
        <x:f>B90</x:f>
        <x:v>400.28444444444443</x:v>
      </x:c>
      <x:c r="D90" s="9" t="n">
        <x:f>SQRT((Inputs!$C$52+B90)^2+Inputs!$C$52^2-2*(Inputs!$C$52+B90)*Inputs!$C$52*COS(SQRT(A90^2+Inputs!$C$6^2)/Inputs!$C$52))</x:f>
        <x:v>401.6647175331038</x:v>
      </x:c>
      <x:c r="E90" s="9" t="n">
        <x:f>(D90-C90)*1000</x:f>
        <x:v>1380.2730886593508</x:v>
      </x:c>
      <x:c r="F90" s="9" t="n">
        <x:f>E90/Inputs!$C$12</x:f>
        <x:v>775.4343194715455</x:v>
      </x:c>
      <x:c r="G90" s="9" t="n">
        <x:f>2*E90/Inputs!$C$21*1000000</x:f>
        <x:v>9.2081908789003</x:v>
      </x:c>
      <x:c r="H90" s="9" t="n">
        <x:f>SQRT(A90^2+Inputs!$C$6^2)</x:f>
        <x:v>29.68164415931166</x:v>
      </x:c>
      <x:c r="I90" s="9" t="n">
        <x:f>DEGREES(ATAN(H90/B90))</x:f>
        <x:v>4.240799936495226</x:v>
      </x:c>
      <x:c r="J90" s="9" t="n">
        <x:f>DEGREES((2*PI()/Inputs!$C$13)*Inputs!$C$15*SIN(RADIANS(I90)))</x:f>
        <x:v>26.621409377803502</x:v>
      </x:c>
      <x:c r="K90" s="9" t="n">
        <x:f>(C90/D90)^4</x:f>
        <x:v>0.986325165271373</x:v>
      </x:c>
      <x:c r="L90" s="9" t="n">
        <x:f>10*LOG10(K90)</x:f>
        <x:v>-0.0597988607027526</x:v>
      </x:c>
      <x:c r="M90" s="9" t="n">
        <x:f>2*(Inputs!$C$9/(Inputs!$C$10^2))*A90</x:f>
        <x:v>-0.035555555555555556</x:v>
      </x:c>
      <x:c r="N90" s="9" t="n">
        <x:f>M90*Inputs!$C$11</x:f>
        <x:v>-0.14222222222222222</x:v>
      </x:c>
      <x:c r="O90" s="9" t="n">
        <x:f>1000*(D91-D89)/(A91-A89)*Inputs!$C$11</x:f>
        <x:v>-342.02151684144155</x:v>
      </x:c>
      <x:c r="P90" s="9" t="n">
        <x:f>-2*O90/Inputs!$C$13</x:f>
        <x:v>136.80860673657662</x:v>
      </x:c>
      <x:c r="Q90" s="9" t="n">
        <x:f>-2*O90/Inputs!$C$14</x:f>
        <x:v>20.541832843329825</x:v>
      </x:c>
      <x:c r="R90" s="9" t="n">
        <x:f>F90-Inputs!$C$16/2</x:f>
        <x:v>760.4343194715455</x:v>
      </x:c>
      <x:c r="S90" s="9" t="n">
        <x:f>F90+Inputs!$C$16/2</x:f>
        <x:v>790.4343194715455</x:v>
      </x:c>
      <x:c r="T90" s="9" t="n">
        <x:f>F90-Inputs!$C$17/2</x:f>
        <x:v>625.4343194715455</x:v>
      </x:c>
      <x:c r="U90" s="9" t="n">
        <x:f>F90+Inputs!$C$17/2</x:f>
        <x:v>925.4343194715455</x:v>
      </x:c>
      <x:c r="V90" s="9" t="n">
        <x:f>ABS(P90)</x:f>
        <x:v>136.80860673657662</x:v>
      </x:c>
      <x:c r="W90" s="9" t="n">
        <x:f>ABS(Q90)</x:f>
        <x:v>20.541832843329825</x:v>
      </x:c>
      <x:c r="X90" s="9"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x:f>
        <x:v>-97.48037396441562</x:v>
      </x:c>
      <x:c r="Y90" s="9"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x:f>
        <x:v>413.2956148642764</x:v>
      </x:c>
      <x:c r="Z90" s="9" t="n">
        <x:f>B90-X90/1000</x:f>
        <x:v>400.38192481840883</x:v>
      </x:c>
      <x:c r="AA90" s="9" t="n">
        <x:f>SQRT((Inputs!$C$52+B90)^2+(Inputs!$C$52+Y90/1000)^2-2*(Inputs!$C$52+B90)*(Inputs!$C$52+Y90/1000)*COS(SQRT(A90^2+Inputs!$C$6^2)/Inputs!$C$52))</x:f>
        <x:v>401.2532088588261</x:v>
      </x:c>
      <x:c r="AB90" s="9" t="n">
        <x:f>(AA90-Z90)*1000</x:f>
        <x:v>871.2840404172653</x:v>
      </x:c>
      <x:c r="AC90" s="9" t="n">
        <x:f>AB90/Inputs!$C$12</x:f>
        <x:v>489.48541596475576</x:v>
      </x:c>
      <x:c r="AD90" s="9" t="n">
        <x:f>2*AB90/Inputs!$C$21*1000000</x:f>
        <x:v>5.812581452047504</x:v>
      </x:c>
      <x:c r="AE90" s="9" t="n">
        <x:f>DEGREES(ATAN(H90/(B90-Y90/1000)))</x:f>
        <x:v>4.24516709293355</x:v>
      </x:c>
      <x:c r="AF90" s="9" t="n">
        <x:f>DEGREES((2*PI()/Inputs!$C$13)*Inputs!$C$15*SIN(RADIANS(AE90)))</x:f>
        <x:v>26.64877382581733</x:v>
      </x:c>
      <x:c r="AG90" s="9" t="n">
        <x:f>(Z90/AA90)^4</x:f>
        <x:v>0.9913426209816308</x:v>
      </x:c>
      <x:c r="AH90" s="9" t="n">
        <x:f>10*LOG10(AG90)</x:f>
        <x:v>-0.0377622171512183</x:v>
      </x:c>
      <x:c r="AI90" s="9" t="n">
        <x:f>AC90-F90</x:f>
        <x:v>-285.9489035067897</x:v>
      </x:c>
      <x:c r="AJ90" s="9" t="n">
        <x:f>AD90-G90</x:f>
        <x:v>-3.395609426852796</x:v>
      </x:c>
      <x:c r="AK90" s="9" t="n">
        <x:f>Y90-X90</x:f>
        <x:v>510.775988828692</x:v>
      </x:c>
      <x:c r="AL90" s="9" t="n">
        <x:f>1000*(AA91-AA89)/(A91-A89)*Inputs!$C$11</x:f>
        <x:v>-414.10085948609776</x:v>
      </x:c>
      <x:c r="AM90" s="9" t="n">
        <x:f>-2*AL90/Inputs!$C$13</x:f>
        <x:v>165.6403437944391</x:v>
      </x:c>
      <x:c r="AN90" s="9" t="n">
        <x:f>-2*AL90/Inputs!$C$14</x:f>
        <x:v>24.870922491657524</x:v>
      </x:c>
      <x:c r="AO90" s="9" t="n">
        <x:f>ABS(AM90)</x:f>
        <x:v>165.6403437944391</x:v>
      </x:c>
      <x:c r="AP90" s="9" t="n">
        <x:f>ABS(AN90)</x:f>
        <x:v>24.870922491657524</x:v>
      </x:c>
      <x:c r="AQ90" s="9" t="n">
        <x:f>IF(OR(Inputs!$C$27=TRUE,Inputs!$C$27="TRUE",Inputs!$C$27=1),Inputs!$C$46/Inputs!$C$12,0)</x:f>
        <x:v>42.13483146067416</x:v>
      </x:c>
      <x:c r="AR90" s="9" t="n">
        <x:f>AC90-AQ90</x:f>
        <x:v>447.3505845040816</x:v>
      </x:c>
      <x:c r="AS90" s="9" t="n">
        <x:f>AC90+AQ90</x:f>
        <x:v>531.62024742543</x:v>
      </x:c>
    </x:row>
    <x:row r="91">
      <x:c r="A91" s="9" t="n">
        <x:f>Inputs!$C$7+89*(Inputs!$C$8-Inputs!$C$7)/240</x:f>
        <x:v>-15.5</x:v>
      </x:c>
      <x:c r="B91" s="9" t="n">
        <x:f>Inputs!$C$5+Inputs!$C$9*(A91/Inputs!$C$10)^2</x:f>
        <x:v>400.26694444444445</x:v>
      </x:c>
      <x:c r="C91" s="9" t="n">
        <x:f>B91</x:f>
        <x:v>400.26694444444445</x:v>
      </x:c>
      <x:c r="D91" s="9" t="n">
        <x:f>SQRT((Inputs!$C$52+B91)^2+Inputs!$C$52^2-2*(Inputs!$C$52+B91)*Inputs!$C$52*COS(SQRT(A91^2+Inputs!$C$6^2)/Inputs!$C$52))</x:f>
        <x:v>401.6226311859834</x:v>
      </x:c>
      <x:c r="E91" s="9" t="n">
        <x:f>(D91-C91)*1000</x:f>
        <x:v>1355.686741538932</x:v>
      </x:c>
      <x:c r="F91" s="9" t="n">
        <x:f>E91/Inputs!$C$12</x:f>
        <x:v>761.6217649095123</x:v>
      </x:c>
      <x:c r="G91" s="9" t="n">
        <x:f>2*E91/Inputs!$C$21*1000000</x:f>
        <x:v>9.044168426271296</x:v>
      </x:c>
      <x:c r="H91" s="9" t="n">
        <x:f>SQRT(A91^2+Inputs!$C$6^2)</x:f>
        <x:v>29.415132160165456</x:v>
      </x:c>
      <x:c r="I91" s="9" t="n">
        <x:f>DEGREES(ATAN(H91/B91))</x:f>
        <x:v>4.203041875082947</x:v>
      </x:c>
      <x:c r="J91" s="9" t="n">
        <x:f>DEGREES((2*PI()/Inputs!$C$13)*Inputs!$C$15*SIN(RADIANS(I91)))</x:f>
        <x:v>26.38481226611161</x:v>
      </x:c>
      <x:c r="K91" s="9" t="n">
        <x:f>(C91/D91)^4</x:f>
        <x:v>0.9865661161355888</x:v>
      </x:c>
      <x:c r="L91" s="9" t="n">
        <x:f>10*LOG10(K91)</x:f>
        <x:v>-0.058738045722777</x:v>
      </x:c>
      <x:c r="M91" s="9" t="n">
        <x:f>2*(Inputs!$C$9/(Inputs!$C$10^2))*A91</x:f>
        <x:v>-0.034444444444444444</x:v>
      </x:c>
      <x:c r="N91" s="9" t="n">
        <x:f>M91*Inputs!$C$11</x:f>
        <x:v>-0.13777777777777778</x:v>
      </x:c>
      <x:c r="O91" s="9" t="n">
        <x:f>1000*(D92-D90)/(A92-A90)*Inputs!$C$11</x:f>
        <x:v>-331.3588089863515</x:v>
      </x:c>
      <x:c r="P91" s="9" t="n">
        <x:f>-2*O91/Inputs!$C$13</x:f>
        <x:v>132.5435235945406</x:v>
      </x:c>
      <x:c r="Q91" s="9" t="n">
        <x:f>-2*O91/Inputs!$C$14</x:f>
        <x:v>19.901429969150243</x:v>
      </x:c>
      <x:c r="R91" s="9" t="n">
        <x:f>F91-Inputs!$C$16/2</x:f>
        <x:v>746.6217649095123</x:v>
      </x:c>
      <x:c r="S91" s="9" t="n">
        <x:f>F91+Inputs!$C$16/2</x:f>
        <x:v>776.6217649095123</x:v>
      </x:c>
      <x:c r="T91" s="9" t="n">
        <x:f>F91-Inputs!$C$17/2</x:f>
        <x:v>611.6217649095123</x:v>
      </x:c>
      <x:c r="U91" s="9" t="n">
        <x:f>F91+Inputs!$C$17/2</x:f>
        <x:v>911.6217649095123</x:v>
      </x:c>
      <x:c r="V91" s="9" t="n">
        <x:f>ABS(P91)</x:f>
        <x:v>132.5435235945406</x:v>
      </x:c>
      <x:c r="W91" s="9" t="n">
        <x:f>ABS(Q91)</x:f>
        <x:v>19.901429969150243</x:v>
      </x:c>
      <x:c r="X91" s="9"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x:f>
        <x:v>-109.31712972071381</x:v>
      </x:c>
      <x:c r="Y91" s="9"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x:f>
        <x:v>405.1793484681727</x:v>
      </x:c>
      <x:c r="Z91" s="9" t="n">
        <x:f>B91-X91/1000</x:f>
        <x:v>400.37626157416514</x:v>
      </x:c>
      <x:c r="AA91" s="9" t="n">
        <x:f>SQRT((Inputs!$C$52+B91)^2+(Inputs!$C$52+Y91/1000)^2-2*(Inputs!$C$52+B91)*(Inputs!$C$52+Y91/1000)*COS(SQRT(A91^2+Inputs!$C$6^2)/Inputs!$C$52))</x:f>
        <x:v>401.21917260089526</x:v>
      </x:c>
      <x:c r="AB91" s="9" t="n">
        <x:f>(AA91-Z91)*1000</x:f>
        <x:v>842.9110267301212</x:v>
      </x:c>
      <x:c r="AC91" s="9" t="n">
        <x:f>AB91/Inputs!$C$12</x:f>
        <x:v>473.54552063489956</x:v>
      </x:c>
      <x:c r="AD91" s="9" t="n">
        <x:f>2*AB91/Inputs!$C$21*1000000</x:f>
        <x:v>5.623297079275565</x:v>
      </x:c>
      <x:c r="AE91" s="9" t="n">
        <x:f>DEGREES(ATAN(H91/(B91-Y91/1000)))</x:f>
        <x:v>4.207285525769131</x:v>
      </x:c>
      <x:c r="AF91" s="9" t="n">
        <x:f>DEGREES((2*PI()/Inputs!$C$13)*Inputs!$C$15*SIN(RADIANS(AE91)))</x:f>
        <x:v>26.411404127822436</x:v>
      </x:c>
      <x:c r="AG91" s="9" t="n">
        <x:f>(Z91/AA91)^4</x:f>
        <x:v>0.9916229479806676</x:v>
      </x:c>
      <x:c r="AH91" s="9" t="n">
        <x:f>10*LOG10(AG91)</x:f>
        <x:v>-0.0365343141404273</x:v>
      </x:c>
      <x:c r="AI91" s="9" t="n">
        <x:f>AC91-F91</x:f>
        <x:v>-288.07624427461275</x:v>
      </x:c>
      <x:c r="AJ91" s="9" t="n">
        <x:f>AD91-G91</x:f>
        <x:v>-3.4208713469957317</x:v>
      </x:c>
      <x:c r="AK91" s="9" t="n">
        <x:f>Y91-X91</x:f>
        <x:v>514.4964781888865</x:v>
      </x:c>
      <x:c r="AL91" s="9" t="n">
        <x:f>1000*(AA92-AA90)/(A92-A90)*Inputs!$C$11</x:f>
        <x:v>-344.89099039433313</x:v>
      </x:c>
      <x:c r="AM91" s="9" t="n">
        <x:f>-2*AL91/Inputs!$C$13</x:f>
        <x:v>137.95639615773325</x:v>
      </x:c>
      <x:c r="AN91" s="9" t="n">
        <x:f>-2*AL91/Inputs!$C$14</x:f>
        <x:v>20.714173597257247</x:v>
      </x:c>
      <x:c r="AO91" s="9" t="n">
        <x:f>ABS(AM91)</x:f>
        <x:v>137.95639615773325</x:v>
      </x:c>
      <x:c r="AP91" s="9" t="n">
        <x:f>ABS(AN91)</x:f>
        <x:v>20.714173597257247</x:v>
      </x:c>
      <x:c r="AQ91" s="9" t="n">
        <x:f>IF(OR(Inputs!$C$27=TRUE,Inputs!$C$27="TRUE",Inputs!$C$27=1),Inputs!$C$46/Inputs!$C$12,0)</x:f>
        <x:v>42.13483146067416</x:v>
      </x:c>
      <x:c r="AR91" s="9" t="n">
        <x:f>AC91-AQ91</x:f>
        <x:v>431.4106891742254</x:v>
      </x:c>
      <x:c r="AS91" s="9" t="n">
        <x:f>AC91+AQ91</x:f>
        <x:v>515.6803520955738</x:v>
      </x:c>
    </x:row>
    <x:row r="92">
      <x:c r="A92" s="9" t="n">
        <x:f>Inputs!$C$7+90*(Inputs!$C$8-Inputs!$C$7)/240</x:f>
        <x:v>-15</x:v>
      </x:c>
      <x:c r="B92" s="9" t="n">
        <x:f>Inputs!$C$5+Inputs!$C$9*(A92/Inputs!$C$10)^2</x:f>
        <x:v>400.25</x:v>
      </x:c>
      <x:c r="C92" s="9" t="n">
        <x:f>B92</x:f>
        <x:v>400.25</x:v>
      </x:c>
      <x:c r="D92" s="9" t="n">
        <x:f>SQRT((Inputs!$C$52+B92)^2+Inputs!$C$52^2-2*(Inputs!$C$52+B92)*Inputs!$C$52*COS(SQRT(A92^2+Inputs!$C$6^2)/Inputs!$C$52))</x:f>
        <x:v>401.5818778308572</x:v>
      </x:c>
      <x:c r="E92" s="9" t="n">
        <x:f>(D92-C92)*1000</x:f>
        <x:v>1331.877830857195</x:v>
      </x:c>
      <x:c r="F92" s="9" t="n">
        <x:f>E92/Inputs!$C$12</x:f>
        <x:v>748.2459723916826</x:v>
      </x:c>
      <x:c r="G92" s="9" t="n">
        <x:f>2*E92/Inputs!$C$21*1000000</x:f>
        <x:v>8.885332471287153</x:v>
      </x:c>
      <x:c r="H92" s="9" t="n">
        <x:f>SQRT(A92^2+Inputs!$C$6^2)</x:f>
        <x:v>29.154759474226502</x:v>
      </x:c>
      <x:c r="I92" s="9" t="n">
        <x:f>DEGREES(ATAN(H92/B92))</x:f>
        <x:v>4.1661452978543005</x:v>
      </x:c>
      <x:c r="J92" s="9" t="n">
        <x:f>DEGREES((2*PI()/Inputs!$C$13)*Inputs!$C$15*SIN(RADIANS(I92)))</x:f>
        <x:v>26.153602260558017</x:v>
      </x:c>
      <x:c r="K92" s="9" t="n">
        <x:f>(C92/D92)^4</x:f>
        <x:v>0.9867995382659787</x:v>
      </x:c>
      <x:c r="L92" s="9" t="n">
        <x:f>10*LOG10(K92)</x:f>
        <x:v>-0.0577106239327086</x:v>
      </x:c>
      <x:c r="M92" s="9" t="n">
        <x:f>2*(Inputs!$C$9/(Inputs!$C$10^2))*A92</x:f>
        <x:v>-0.03333333333333333</x:v>
      </x:c>
      <x:c r="N92" s="9" t="n">
        <x:f>M92*Inputs!$C$11</x:f>
        <x:v>-0.13333333333333333</x:v>
      </x:c>
      <x:c r="O92" s="9" t="n">
        <x:f>1000*(D93-D91)/(A93-A91)*Inputs!$C$11</x:f>
        <x:v>-320.69368331076475</x:v>
      </x:c>
      <x:c r="P92" s="9" t="n">
        <x:f>-2*O92/Inputs!$C$13</x:f>
        <x:v>128.2774733243059</x:v>
      </x:c>
      <x:c r="Q92" s="9" t="n">
        <x:f>-2*O92/Inputs!$C$14</x:f>
        <x:v>19.260881880526412</x:v>
      </x:c>
      <x:c r="R92" s="9" t="n">
        <x:f>F92-Inputs!$C$16/2</x:f>
        <x:v>733.2459723916826</x:v>
      </x:c>
      <x:c r="S92" s="9" t="n">
        <x:f>F92+Inputs!$C$16/2</x:f>
        <x:v>763.2459723916826</x:v>
      </x:c>
      <x:c r="T92" s="9" t="n">
        <x:f>F92-Inputs!$C$17/2</x:f>
        <x:v>598.2459723916826</x:v>
      </x:c>
      <x:c r="U92" s="9" t="n">
        <x:f>F92+Inputs!$C$17/2</x:f>
        <x:v>898.2459723916826</x:v>
      </x:c>
      <x:c r="V92" s="9" t="n">
        <x:f>ABS(P92)</x:f>
        <x:v>128.2774733243059</x:v>
      </x:c>
      <x:c r="W92" s="9" t="n">
        <x:f>ABS(Q92)</x:f>
        <x:v>19.260881880526412</x:v>
      </x:c>
      <x:c r="X92" s="9"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x:f>
        <x:v>-90.49530902944495</x:v>
      </x:c>
      <x:c r="Y92" s="9"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x:f>
        <x:v>416.63024006091615</x:v>
      </x:c>
      <x:c r="Z92" s="9" t="n">
        <x:f>B92-X92/1000</x:f>
        <x:v>400.34049530902945</x:v>
      </x:c>
      <x:c r="AA92" s="9" t="n">
        <x:f>SQRT((Inputs!$C$52+B92)^2+(Inputs!$C$52+Y92/1000)^2-2*(Inputs!$C$52+B92)*(Inputs!$C$52+Y92/1000)*COS(SQRT(A92^2+Inputs!$C$6^2)/Inputs!$C$52))</x:f>
        <x:v>401.1669861112275</x:v>
      </x:c>
      <x:c r="AB92" s="9" t="n">
        <x:f>(AA92-Z92)*1000</x:f>
        <x:v>826.4908021980659</x:v>
      </x:c>
      <x:c r="AC92" s="9" t="n">
        <x:f>AB92/Inputs!$C$12</x:f>
        <x:v>464.32067539217184</x:v>
      </x:c>
      <x:c r="AD92" s="9" t="n">
        <x:f>2*AB92/Inputs!$C$21*1000000</x:f>
        <x:v>5.513753132495855</x:v>
      </x:c>
      <x:c r="AE92" s="9" t="n">
        <x:f>DEGREES(ATAN(H92/(B92-Y92/1000)))</x:f>
        <x:v>4.170471152282782</x:v>
      </x:c>
      <x:c r="AF92" s="9" t="n">
        <x:f>DEGREES((2*PI()/Inputs!$C$13)*Inputs!$C$15*SIN(RADIANS(AE92)))</x:f>
        <x:v>26.180710509558434</x:v>
      </x:c>
      <x:c r="AG92" s="9" t="n">
        <x:f>(Z92/AA92)^4</x:f>
        <x:v>0.9917845664065319</x:v>
      </x:c>
      <x:c r="AH92" s="9" t="n">
        <x:f>10*LOG10(AG92)</x:f>
        <x:v>-0.0358265423872908</x:v>
      </x:c>
      <x:c r="AI92" s="9" t="n">
        <x:f>AC92-F92</x:f>
        <x:v>-283.92529699951075</x:v>
      </x:c>
      <x:c r="AJ92" s="9" t="n">
        <x:f>AD92-G92</x:f>
        <x:v>-3.3715793387912987</x:v>
      </x:c>
      <x:c r="AK92" s="9" t="n">
        <x:f>Y92-X92</x:f>
        <x:v>507.1255490903611</x:v>
      </x:c>
      <x:c r="AL92" s="9" t="n">
        <x:f>1000*(AA93-AA91)/(A93-A91)*Inputs!$C$11</x:f>
        <x:v>-401.13729368113127</x:v>
      </x:c>
      <x:c r="AM92" s="9" t="n">
        <x:f>-2*AL92/Inputs!$C$13</x:f>
        <x:v>160.4549174724525</x:v>
      </x:c>
      <x:c r="AN92" s="9" t="n">
        <x:f>-2*AL92/Inputs!$C$14</x:f>
        <x:v>24.092329950818698</x:v>
      </x:c>
      <x:c r="AO92" s="9" t="n">
        <x:f>ABS(AM92)</x:f>
        <x:v>160.4549174724525</x:v>
      </x:c>
      <x:c r="AP92" s="9" t="n">
        <x:f>ABS(AN92)</x:f>
        <x:v>24.092329950818698</x:v>
      </x:c>
      <x:c r="AQ92" s="9" t="n">
        <x:f>IF(OR(Inputs!$C$27=TRUE,Inputs!$C$27="TRUE",Inputs!$C$27=1),Inputs!$C$46/Inputs!$C$12,0)</x:f>
        <x:v>42.13483146067416</x:v>
      </x:c>
      <x:c r="AR92" s="9" t="n">
        <x:f>AC92-AQ92</x:f>
        <x:v>422.1858439314977</x:v>
      </x:c>
      <x:c r="AS92" s="9" t="n">
        <x:f>AC92+AQ92</x:f>
        <x:v>506.455506852846</x:v>
      </x:c>
    </x:row>
    <x:row r="93">
      <x:c r="A93" s="9" t="n">
        <x:f>Inputs!$C$7+91*(Inputs!$C$8-Inputs!$C$7)/240</x:f>
        <x:v>-14.5</x:v>
      </x:c>
      <x:c r="B93" s="9" t="n">
        <x:f>Inputs!$C$5+Inputs!$C$9*(A93/Inputs!$C$10)^2</x:f>
        <x:v>400.2336111111111</x:v>
      </x:c>
      <x:c r="C93" s="9" t="n">
        <x:f>B93</x:f>
        <x:v>400.2336111111111</x:v>
      </x:c>
      <x:c r="D93" s="9" t="n">
        <x:f>SQRT((Inputs!$C$52+B93)^2+Inputs!$C$52^2-2*(Inputs!$C$52+B93)*Inputs!$C$52*COS(SQRT(A93^2+Inputs!$C$6^2)/Inputs!$C$52))</x:f>
        <x:v>401.5424577651557</x:v>
      </x:c>
      <x:c r="E93" s="9" t="n">
        <x:f>(D93-C93)*1000</x:f>
        <x:v>1308.8466540446007</x:v>
      </x:c>
      <x:c r="F93" s="9" t="n">
        <x:f>E93/Inputs!$C$12</x:f>
        <x:v>735.3071090138205</x:v>
      </x:c>
      <x:c r="G93" s="9" t="n">
        <x:f>2*E93/Inputs!$C$21*1000000</x:f>
        <x:v>8.73168499819032</x:v>
      </x:c>
      <x:c r="H93" s="9" t="n">
        <x:f>SQRT(A93^2+Inputs!$C$6^2)</x:f>
        <x:v>28.90069203323685</x:v>
      </x:c>
      <x:c r="I93" s="9" t="n">
        <x:f>DEGREES(ATAN(H93/B93))</x:f>
        <x:v>4.130134373943814</x:v>
      </x:c>
      <x:c r="J93" s="9" t="n">
        <x:f>DEGREES((2*PI()/Inputs!$C$13)*Inputs!$C$15*SIN(RADIANS(I93)))</x:f>
        <x:v>25.927931684939455</x:v>
      </x:c>
      <x:c r="K93" s="9" t="n">
        <x:f>(C93/D93)^4</x:f>
        <x:v>0.9870254200810124</x:v>
      </x:c>
      <x:c r="L93" s="9" t="n">
        <x:f>10*LOG10(K93)</x:f>
        <x:v>-0.056716622657723995</x:v>
      </x:c>
      <x:c r="M93" s="9" t="n">
        <x:f>2*(Inputs!$C$9/(Inputs!$C$10^2))*A93</x:f>
        <x:v>-0.03222222222222222</x:v>
      </x:c>
      <x:c r="N93" s="9" t="n">
        <x:f>M93*Inputs!$C$11</x:f>
        <x:v>-0.1288888888888889</x:v>
      </x:c>
      <x:c r="O93" s="9" t="n">
        <x:f>1000*(D94-D92)/(A94-A92)*Inputs!$C$11</x:f>
        <x:v>-310.026216641063</x:v>
      </x:c>
      <x:c r="P93" s="9" t="n">
        <x:f>-2*O93/Inputs!$C$13</x:f>
        <x:v>124.0104866564252</x:v>
      </x:c>
      <x:c r="Q93" s="9" t="n">
        <x:f>-2*O93/Inputs!$C$14</x:f>
        <x:v>18.62019319165544</x:v>
      </x:c>
      <x:c r="R93" s="9" t="n">
        <x:f>F93-Inputs!$C$16/2</x:f>
        <x:v>720.3071090138205</x:v>
      </x:c>
      <x:c r="S93" s="9" t="n">
        <x:f>F93+Inputs!$C$16/2</x:f>
        <x:v>750.3071090138205</x:v>
      </x:c>
      <x:c r="T93" s="9" t="n">
        <x:f>F93-Inputs!$C$17/2</x:f>
        <x:v>585.3071090138205</x:v>
      </x:c>
      <x:c r="U93" s="9" t="n">
        <x:f>F93+Inputs!$C$17/2</x:f>
        <x:v>885.3071090138205</x:v>
      </x:c>
      <x:c r="V93" s="9" t="n">
        <x:f>ABS(P93)</x:f>
        <x:v>124.0104866564252</x:v>
      </x:c>
      <x:c r="W93" s="9" t="n">
        <x:f>ABS(Q93)</x:f>
        <x:v>18.62019319165544</x:v>
      </x:c>
      <x:c r="X93" s="9"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x:f>
        <x:v>-86.65248482679937</x:v>
      </x:c>
      <x:c r="Y93" s="9"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x:f>
        <x:v>425.31373753688456</x:v>
      </x:c>
      <x:c r="Z93" s="9" t="n">
        <x:f>B93-X93/1000</x:f>
        <x:v>400.3202635959379</x:v>
      </x:c>
      <x:c r="AA93" s="9" t="n">
        <x:f>SQRT((Inputs!$C$52+B93)^2+(Inputs!$C$52+Y93/1000)^2-2*(Inputs!$C$52+B93)*(Inputs!$C$52+Y93/1000)*COS(SQRT(A93^2+Inputs!$C$6^2)/Inputs!$C$52))</x:f>
        <x:v>401.118888277475</x:v>
      </x:c>
      <x:c r="AB93" s="9" t="n">
        <x:f>(AA93-Z93)*1000</x:f>
        <x:v>798.6246815370919</x:v>
      </x:c>
      <x:c r="AC93" s="9" t="n">
        <x:f>AB93/Inputs!$C$12</x:f>
        <x:v>448.6655514253325</x:v>
      </x:c>
      <x:c r="AD93" s="9" t="n">
        <x:f>2*AB93/Inputs!$C$21*1000000</x:f>
        <x:v>5.327850385996648</x:v>
      </x:c>
      <x:c r="AE93" s="9" t="n">
        <x:f>DEGREES(ATAN(H93/(B93-Y93/1000)))</x:f>
        <x:v>4.134512758505744</x:v>
      </x:c>
      <x:c r="AF93" s="9" t="n">
        <x:f>DEGREES((2*PI()/Inputs!$C$13)*Inputs!$C$15*SIN(RADIANS(AE93)))</x:f>
        <x:v>25.95537036790056</x:v>
      </x:c>
      <x:c r="AG93" s="9" t="n">
        <x:f>(Z93/AA93)^4</x:f>
        <x:v>0.9920597829178042</x:v>
      </x:c>
      <x:c r="AH93" s="9" t="n">
        <x:f>10*LOG10(AG93)</x:f>
        <x:v>-0.0346215586093881</x:v>
      </x:c>
      <x:c r="AI93" s="9" t="n">
        <x:f>AC93-F93</x:f>
        <x:v>-286.641557588488</x:v>
      </x:c>
      <x:c r="AJ93" s="9" t="n">
        <x:f>AD93-G93</x:f>
        <x:v>-3.4038346121936716</x:v>
      </x:c>
      <x:c r="AK93" s="9" t="n">
        <x:f>Y93-X93</x:f>
        <x:v>511.9662223636839</x:v>
      </x:c>
      <x:c r="AL93" s="9" t="n">
        <x:f>1000*(AA94-AA92)/(A94-A92)*Inputs!$C$11</x:f>
        <x:v>-327.5011007988269</x:v>
      </x:c>
      <x:c r="AM93" s="9" t="n">
        <x:f>-2*AL93/Inputs!$C$13</x:f>
        <x:v>131.00044031953075</x:v>
      </x:c>
      <x:c r="AN93" s="9" t="n">
        <x:f>-2*AL93/Inputs!$C$14</x:f>
        <x:v>19.669735783713328</x:v>
      </x:c>
      <x:c r="AO93" s="9" t="n">
        <x:f>ABS(AM93)</x:f>
        <x:v>131.00044031953075</x:v>
      </x:c>
      <x:c r="AP93" s="9" t="n">
        <x:f>ABS(AN93)</x:f>
        <x:v>19.669735783713328</x:v>
      </x:c>
      <x:c r="AQ93" s="9" t="n">
        <x:f>IF(OR(Inputs!$C$27=TRUE,Inputs!$C$27="TRUE",Inputs!$C$27=1),Inputs!$C$46/Inputs!$C$12,0)</x:f>
        <x:v>42.13483146067416</x:v>
      </x:c>
      <x:c r="AR93" s="9" t="n">
        <x:f>AC93-AQ93</x:f>
        <x:v>406.5307199646584</x:v>
      </x:c>
      <x:c r="AS93" s="9" t="n">
        <x:f>AC93+AQ93</x:f>
        <x:v>490.8003828860067</x:v>
      </x:c>
    </x:row>
    <x:row r="94">
      <x:c r="A94" s="9" t="n">
        <x:f>Inputs!$C$7+92*(Inputs!$C$8-Inputs!$C$7)/240</x:f>
        <x:v>-14</x:v>
      </x:c>
      <x:c r="B94" s="9" t="n">
        <x:f>Inputs!$C$5+Inputs!$C$9*(A94/Inputs!$C$10)^2</x:f>
        <x:v>400.21777777777777</x:v>
      </x:c>
      <x:c r="C94" s="9" t="n">
        <x:f>B94</x:f>
        <x:v>400.21777777777777</x:v>
      </x:c>
      <x:c r="D94" s="9" t="n">
        <x:f>SQRT((Inputs!$C$52+B94)^2+Inputs!$C$52^2-2*(Inputs!$C$52+B94)*Inputs!$C$52*COS(SQRT(A94^2+Inputs!$C$6^2)/Inputs!$C$52))</x:f>
        <x:v>401.50437127669693</x:v>
      </x:c>
      <x:c r="E94" s="9" t="n">
        <x:f>(D94-C94)*1000</x:f>
        <x:v>1286.59349891916</x:v>
      </x:c>
      <x:c r="F94" s="9" t="n">
        <x:f>E94/Inputs!$C$12</x:f>
        <x:v>722.8053364714383</x:v>
      </x:c>
      <x:c r="G94" s="9" t="n">
        <x:f>2*E94/Inputs!$C$21*1000000</x:f>
        <x:v>8.583227927095885</x:v>
      </x:c>
      <x:c r="H94" s="9" t="n">
        <x:f>SQRT(A94^2+Inputs!$C$6^2)</x:f>
        <x:v>28.653097563788805</x:v>
      </x:c>
      <x:c r="I94" s="9" t="n">
        <x:f>DEGREES(ATAN(H94/B94))</x:f>
        <x:v>4.095033523300829</x:v>
      </x:c>
      <x:c r="J94" s="9" t="n">
        <x:f>DEGREES((2*PI()/Inputs!$C$13)*Inputs!$C$15*SIN(RADIANS(I94)))</x:f>
        <x:v>25.707954430803454</x:v>
      </x:c>
      <x:c r="K94" s="9" t="n">
        <x:f>(C94/D94)^4</x:f>
        <x:v>0.9872437503659116</x:v>
      </x:c>
      <x:c r="L94" s="9" t="n">
        <x:f>10*LOG10(K94)</x:f>
        <x:v>-0.0557560683445633</x:v>
      </x:c>
      <x:c r="M94" s="9" t="n">
        <x:f>2*(Inputs!$C$9/(Inputs!$C$10^2))*A94</x:f>
        <x:v>-0.03111111111111111</x:v>
      </x:c>
      <x:c r="N94" s="9" t="n">
        <x:f>M94*Inputs!$C$11</x:f>
        <x:v>-0.12444444444444444</x:v>
      </x:c>
      <x:c r="O94" s="9" t="n">
        <x:f>1000*(D95-D93)/(A95-A93)*Inputs!$C$11</x:f>
        <x:v>-299.356485882754</x:v>
      </x:c>
      <x:c r="P94" s="9" t="n">
        <x:f>-2*O94/Inputs!$C$13</x:f>
        <x:v>119.7425943531016</x:v>
      </x:c>
      <x:c r="Q94" s="9" t="n">
        <x:f>-2*O94/Inputs!$C$14</x:f>
        <x:v>17.979368521486727</x:v>
      </x:c>
      <x:c r="R94" s="9" t="n">
        <x:f>F94-Inputs!$C$16/2</x:f>
        <x:v>707.8053364714383</x:v>
      </x:c>
      <x:c r="S94" s="9" t="n">
        <x:f>F94+Inputs!$C$16/2</x:f>
        <x:v>737.8053364714383</x:v>
      </x:c>
      <x:c r="T94" s="9" t="n">
        <x:f>F94-Inputs!$C$17/2</x:f>
        <x:v>572.8053364714383</x:v>
      </x:c>
      <x:c r="U94" s="9" t="n">
        <x:f>F94+Inputs!$C$17/2</x:f>
        <x:v>872.8053364714383</x:v>
      </x:c>
      <x:c r="V94" s="9" t="n">
        <x:f>ABS(P94)</x:f>
        <x:v>119.7425943531016</x:v>
      </x:c>
      <x:c r="W94" s="9" t="n">
        <x:f>ABS(Q94)</x:f>
        <x:v>17.979368521486727</x:v>
      </x:c>
      <x:c r="X94" s="9"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x:f>
        <x:v>-84.36597258140502</x:v>
      </x:c>
      <x:c r="Y94" s="9"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x:f>
        <x:v>420.9575928892744</x:v>
      </x:c>
      <x:c r="Z94" s="9" t="n">
        <x:f>B94-X94/1000</x:f>
        <x:v>400.30214375035916</x:v>
      </x:c>
      <x:c r="AA94" s="9" t="n">
        <x:f>SQRT((Inputs!$C$52+B94)^2+(Inputs!$C$52+Y94/1000)^2-2*(Inputs!$C$52+B94)*(Inputs!$C$52+Y94/1000)*COS(SQRT(A94^2+Inputs!$C$6^2)/Inputs!$C$52))</x:f>
        <x:v>401.0851108360278</x:v>
      </x:c>
      <x:c r="AB94" s="9" t="n">
        <x:f>(AA94-Z94)*1000</x:f>
        <x:v>782.9670856686448</x:v>
      </x:c>
      <x:c r="AC94" s="9" t="n">
        <x:f>AB94/Inputs!$C$12</x:f>
        <x:v>439.86914925204763</x:v>
      </x:c>
      <x:c r="AD94" s="9" t="n">
        <x:f>2*AB94/Inputs!$C$21*1000000</x:f>
        <x:v>5.22339415001991</x:v>
      </x:c>
      <x:c r="AE94" s="9" t="n">
        <x:f>DEGREES(ATAN(H94/(B94-Y94/1000)))</x:f>
        <x:v>4.0993306103383205</x:v>
      </x:c>
      <x:c r="AF94" s="9" t="n">
        <x:f>DEGREES((2*PI()/Inputs!$C$13)*Inputs!$C$15*SIN(RADIANS(AE94)))</x:f>
        <x:v>25.734884822532617</x:v>
      </x:c>
      <x:c r="AG94" s="9" t="n">
        <x:f>(Z94/AA94)^4</x:f>
        <x:v>0.9922143467720201</x:v>
      </x:c>
      <x:c r="AH94" s="9" t="n">
        <x:f>10*LOG10(AG94)</x:f>
        <x:v>-0.0339449763960832</x:v>
      </x:c>
      <x:c r="AI94" s="9" t="n">
        <x:f>AC94-F94</x:f>
        <x:v>-282.93618721939066</x:v>
      </x:c>
      <x:c r="AJ94" s="9" t="n">
        <x:f>AD94-G94</x:f>
        <x:v>-3.359833777075975</x:v>
      </x:c>
      <x:c r="AK94" s="9" t="n">
        <x:f>Y94-X94</x:f>
        <x:v>505.3235654706794</x:v>
      </x:c>
      <x:c r="AL94" s="9" t="n">
        <x:f>1000*(AA95-AA93)/(A95-A93)*Inputs!$C$11</x:f>
        <x:v>-273.5175129585059</x:v>
      </x:c>
      <x:c r="AM94" s="9" t="n">
        <x:f>-2*AL94/Inputs!$C$13</x:f>
        <x:v>109.40700518340236</x:v>
      </x:c>
      <x:c r="AN94" s="9" t="n">
        <x:f>-2*AL94/Inputs!$C$14</x:f>
        <x:v>16.427478255766122</x:v>
      </x:c>
      <x:c r="AO94" s="9" t="n">
        <x:f>ABS(AM94)</x:f>
        <x:v>109.40700518340236</x:v>
      </x:c>
      <x:c r="AP94" s="9" t="n">
        <x:f>ABS(AN94)</x:f>
        <x:v>16.427478255766122</x:v>
      </x:c>
      <x:c r="AQ94" s="9" t="n">
        <x:f>IF(OR(Inputs!$C$27=TRUE,Inputs!$C$27="TRUE",Inputs!$C$27=1),Inputs!$C$46/Inputs!$C$12,0)</x:f>
        <x:v>42.13483146067416</x:v>
      </x:c>
      <x:c r="AR94" s="9" t="n">
        <x:f>AC94-AQ94</x:f>
        <x:v>397.7343177913735</x:v>
      </x:c>
      <x:c r="AS94" s="9" t="n">
        <x:f>AC94+AQ94</x:f>
        <x:v>482.0039807127218</x:v>
      </x:c>
    </x:row>
    <x:row r="95">
      <x:c r="A95" s="9" t="n">
        <x:f>Inputs!$C$7+93*(Inputs!$C$8-Inputs!$C$7)/240</x:f>
        <x:v>-13.5</x:v>
      </x:c>
      <x:c r="B95" s="9" t="n">
        <x:f>Inputs!$C$5+Inputs!$C$9*(A95/Inputs!$C$10)^2</x:f>
        <x:v>400.2025</x:v>
      </x:c>
      <x:c r="C95" s="9" t="n">
        <x:f>B95</x:f>
        <x:v>400.2025</x:v>
      </x:c>
      <x:c r="D95" s="9" t="n">
        <x:f>SQRT((Inputs!$C$52+B95)^2+Inputs!$C$52^2-2*(Inputs!$C$52+B95)*Inputs!$C$52*COS(SQRT(A95^2+Inputs!$C$6^2)/Inputs!$C$52))</x:f>
        <x:v>401.467618643685</x:v>
      </x:c>
      <x:c r="E95" s="9" t="n">
        <x:f>(D95-C95)*1000</x:f>
        <x:v>1265.118643685014</x:v>
      </x:c>
      <x:c r="F95" s="9" t="n">
        <x:f>E95/Inputs!$C$12</x:f>
        <x:v>710.7408110589965</x:v>
      </x:c>
      <x:c r="G95" s="9" t="n">
        <x:f>2*E95/Inputs!$C$21*1000000</x:f>
        <x:v>8.439963113982099</x:v>
      </x:c>
      <x:c r="H95" s="9" t="n">
        <x:f>SQRT(A95^2+Inputs!$C$6^2)</x:f>
        <x:v>28.412145290350743</x:v>
      </x:c>
      <x:c r="I95" s="9" t="n">
        <x:f>DEGREES(ATAN(H95/B95))</x:f>
        <x:v>4.060867373737527</x:v>
      </x:c>
      <x:c r="J95" s="9" t="n">
        <x:f>DEGREES((2*PI()/Inputs!$C$13)*Inputs!$C$15*SIN(RADIANS(I95)))</x:f>
        <x:v>25.49382568709516</x:v>
      </x:c>
      <x:c r="K95" s="9" t="n">
        <x:f>(C95/D95)^4</x:f>
        <x:v>0.9874545182738117</x:v>
      </x:c>
      <x:c r="L95" s="9" t="n">
        <x:f>10*LOG10(K95)</x:f>
        <x:v>-0.054828986560327496</x:v>
      </x:c>
      <x:c r="M95" s="9" t="n">
        <x:f>2*(Inputs!$C$9/(Inputs!$C$10^2))*A95</x:f>
        <x:v>-0.03</x:v>
      </x:c>
      <x:c r="N95" s="9" t="n">
        <x:f>M95*Inputs!$C$11</x:f>
        <x:v>-0.12</x:v>
      </x:c>
      <x:c r="O95" s="9" t="n">
        <x:f>1000*(D96-D94)/(A96-A94)*Inputs!$C$11</x:f>
        <x:v>-288.68456805867027</x:v>
      </x:c>
      <x:c r="P95" s="9" t="n">
        <x:f>-2*O95/Inputs!$C$13</x:f>
        <x:v>115.4738272234681</x:v>
      </x:c>
      <x:c r="Q95" s="9" t="n">
        <x:f>-2*O95/Inputs!$C$14</x:f>
        <x:v>17.338412496016232</x:v>
      </x:c>
      <x:c r="R95" s="9" t="n">
        <x:f>F95-Inputs!$C$16/2</x:f>
        <x:v>695.7408110589965</x:v>
      </x:c>
      <x:c r="S95" s="9" t="n">
        <x:f>F95+Inputs!$C$16/2</x:f>
        <x:v>725.7408110589965</x:v>
      </x:c>
      <x:c r="T95" s="9" t="n">
        <x:f>F95-Inputs!$C$17/2</x:f>
        <x:v>560.7408110589965</x:v>
      </x:c>
      <x:c r="U95" s="9" t="n">
        <x:f>F95+Inputs!$C$17/2</x:f>
        <x:v>860.7408110589965</x:v>
      </x:c>
      <x:c r="V95" s="9" t="n">
        <x:f>ABS(P95)</x:f>
        <x:v>115.4738272234681</x:v>
      </x:c>
      <x:c r="W95" s="9" t="n">
        <x:f>ABS(Q95)</x:f>
        <x:v>17.338412496016232</x:v>
      </x:c>
      <x:c r="X95" s="9"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x:f>
        <x:v>-61.03205493353448</x:v>
      </x:c>
      <x:c r="Y95" s="9"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x:f>
        <x:v>418.7700178970381</x:v>
      </x:c>
      <x:c r="Z95" s="9" t="n">
        <x:f>B95-X95/1000</x:f>
        <x:v>400.26353205493353</x:v>
      </x:c>
      <x:c r="AA95" s="9" t="n">
        <x:f>SQRT((Inputs!$C$52+B95)^2+(Inputs!$C$52+Y95/1000)^2-2*(Inputs!$C$52+B95)*(Inputs!$C$52+Y95/1000)*COS(SQRT(A95^2+Inputs!$C$6^2)/Inputs!$C$52))</x:f>
        <x:v>401.05050889923535</x:v>
      </x:c>
      <x:c r="AB95" s="9" t="n">
        <x:f>(AA95-Z95)*1000</x:f>
        <x:v>786.9768443018188</x:v>
      </x:c>
      <x:c r="AC95" s="9" t="n">
        <x:f>AB95/Inputs!$C$12</x:f>
        <x:v>442.1218226414712</x:v>
      </x:c>
      <x:c r="AD95" s="9" t="n">
        <x:f>2*AB95/Inputs!$C$21*1000000</x:f>
        <x:v>5.250144380228663</x:v>
      </x:c>
      <x:c r="AE95" s="9" t="n">
        <x:f>DEGREES(ATAN(H95/(B95-Y95/1000)))</x:f>
        <x:v>4.065106844144217</x:v>
      </x:c>
      <x:c r="AF95" s="9" t="n">
        <x:f>DEGREES((2*PI()/Inputs!$C$13)*Inputs!$C$15*SIN(RADIANS(AE95)))</x:f>
        <x:v>25.520396119185655</x:v>
      </x:c>
      <x:c r="AG95" s="9" t="n">
        <x:f>(Z95/AA95)^4</x:f>
        <x:v>0.9921739188239347</x:v>
      </x:c>
      <x:c r="AH95" s="9" t="n">
        <x:f>10*LOG10(AG95)</x:f>
        <x:v>-0.0341219340517499</x:v>
      </x:c>
      <x:c r="AI95" s="9" t="n">
        <x:f>AC95-F95</x:f>
        <x:v>-268.6189884175253</x:v>
      </x:c>
      <x:c r="AJ95" s="9" t="n">
        <x:f>AD95-G95</x:f>
        <x:v>-3.1898187337534356</x:v>
      </x:c>
      <x:c r="AK95" s="9" t="n">
        <x:f>Y95-X95</x:f>
        <x:v>479.80207283057257</x:v>
      </x:c>
      <x:c r="AL95" s="9" t="n">
        <x:f>1000*(AA96-AA94)/(A96-A94)*Inputs!$C$11</x:f>
        <x:v>-336.4272171961602</x:v>
      </x:c>
      <x:c r="AM95" s="9" t="n">
        <x:f>-2*AL95/Inputs!$C$13</x:f>
        <x:v>134.57088687846408</x:v>
      </x:c>
      <x:c r="AN95" s="9" t="n">
        <x:f>-2*AL95/Inputs!$C$14</x:f>
        <x:v>20.205838870640253</x:v>
      </x:c>
      <x:c r="AO95" s="9" t="n">
        <x:f>ABS(AM95)</x:f>
        <x:v>134.57088687846408</x:v>
      </x:c>
      <x:c r="AP95" s="9" t="n">
        <x:f>ABS(AN95)</x:f>
        <x:v>20.205838870640253</x:v>
      </x:c>
      <x:c r="AQ95" s="9" t="n">
        <x:f>IF(OR(Inputs!$C$27=TRUE,Inputs!$C$27="TRUE",Inputs!$C$27=1),Inputs!$C$46/Inputs!$C$12,0)</x:f>
        <x:v>42.13483146067416</x:v>
      </x:c>
      <x:c r="AR95" s="9" t="n">
        <x:f>AC95-AQ95</x:f>
        <x:v>399.9869911807971</x:v>
      </x:c>
      <x:c r="AS95" s="9" t="n">
        <x:f>AC95+AQ95</x:f>
        <x:v>484.2566541021454</x:v>
      </x:c>
    </x:row>
    <x:row r="96">
      <x:c r="A96" s="9" t="n">
        <x:f>Inputs!$C$7+94*(Inputs!$C$8-Inputs!$C$7)/240</x:f>
        <x:v>-13</x:v>
      </x:c>
      <x:c r="B96" s="9" t="n">
        <x:f>Inputs!$C$5+Inputs!$C$9*(A96/Inputs!$C$10)^2</x:f>
        <x:v>400.1877777777778</x:v>
      </x:c>
      <x:c r="C96" s="9" t="n">
        <x:f>B96</x:f>
        <x:v>400.1877777777778</x:v>
      </x:c>
      <x:c r="D96" s="9" t="n">
        <x:f>SQRT((Inputs!$C$52+B96)^2+Inputs!$C$52^2-2*(Inputs!$C$52+B96)*Inputs!$C$52*COS(SQRT(A96^2+Inputs!$C$6^2)/Inputs!$C$52))</x:f>
        <x:v>401.43220013468226</x:v>
      </x:c>
      <x:c r="E96" s="9" t="n">
        <x:f>(D96-C96)*1000</x:f>
        <x:v>1244.4223569044652</x:v>
      </x:c>
      <x:c r="F96" s="9" t="n">
        <x:f>E96/Inputs!$C$12</x:f>
        <x:v>699.1136836541939</x:v>
      </x:c>
      <x:c r="G96" s="9" t="n">
        <x:f>2*E96/Inputs!$C$21*1000000</x:f>
        <x:v>8.301892350503795</x:v>
      </x:c>
      <x:c r="H96" s="9" t="n">
        <x:f>SQRT(A96^2+Inputs!$C$6^2)</x:f>
        <x:v>28.178005607210743</x:v>
      </x:c>
      <x:c r="I96" s="9" t="n">
        <x:f>DEGREES(ATAN(H96/B96))</x:f>
        <x:v>4.027660713508556</x:v>
      </x:c>
      <x:c r="J96" s="9" t="n">
        <x:f>DEGREES((2*PI()/Inputs!$C$13)*Inputs!$C$15*SIN(RADIANS(I96)))</x:f>
        <x:v>25.285701641717207</x:v>
      </x:c>
      <x:c r="K96" s="9" t="n">
        <x:f>(C96/D96)^4</x:f>
        <x:v>0.9876577133271429</x:v>
      </x:c>
      <x:c r="L96" s="9" t="n">
        <x:f>10*LOG10(K96)</x:f>
        <x:v>-0.053935401990183</x:v>
      </x:c>
      <x:c r="M96" s="9" t="n">
        <x:f>2*(Inputs!$C$9/(Inputs!$C$10^2))*A96</x:f>
        <x:v>-0.028888888888888888</x:v>
      </x:c>
      <x:c r="N96" s="9" t="n">
        <x:f>M96*Inputs!$C$11</x:f>
        <x:v>-0.11555555555555555</x:v>
      </x:c>
      <x:c r="O96" s="9" t="n">
        <x:f>1000*(D97-D95)/(A97-A95)*Inputs!$C$11</x:f>
        <x:v>-278.01054033716355</x:v>
      </x:c>
      <x:c r="P96" s="9" t="n">
        <x:f>-2*O96/Inputs!$C$13</x:f>
        <x:v>111.20421613486542</x:v>
      </x:c>
      <x:c r="Q96" s="9" t="n">
        <x:f>-2*O96/Inputs!$C$14</x:f>
        <x:v>16.697329749979794</x:v>
      </x:c>
      <x:c r="R96" s="9" t="n">
        <x:f>F96-Inputs!$C$16/2</x:f>
        <x:v>684.1136836541939</x:v>
      </x:c>
      <x:c r="S96" s="9" t="n">
        <x:f>F96+Inputs!$C$16/2</x:f>
        <x:v>714.1136836541939</x:v>
      </x:c>
      <x:c r="T96" s="9" t="n">
        <x:f>F96-Inputs!$C$17/2</x:f>
        <x:v>549.1136836541939</x:v>
      </x:c>
      <x:c r="U96" s="9" t="n">
        <x:f>F96+Inputs!$C$17/2</x:f>
        <x:v>849.1136836541939</x:v>
      </x:c>
      <x:c r="V96" s="9" t="n">
        <x:f>ABS(P96)</x:f>
        <x:v>111.20421613486542</x:v>
      </x:c>
      <x:c r="W96" s="9" t="n">
        <x:f>ABS(Q96)</x:f>
        <x:v>16.697329749979794</x:v>
      </x:c>
      <x:c r="X96" s="9"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x:f>
        <x:v>-64.09243482429542</x:v>
      </x:c>
      <x:c r="Y96" s="9"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x:f>
        <x:v>432.8844458249992</x:v>
      </x:c>
      <x:c r="Z96" s="9" t="n">
        <x:f>B96-X96/1000</x:f>
        <x:v>400.2518702126021</x:v>
      </x:c>
      <x:c r="AA96" s="9" t="n">
        <x:f>SQRT((Inputs!$C$52+B96)^2+(Inputs!$C$52+Y96/1000)^2-2*(Inputs!$C$52+B96)*(Inputs!$C$52+Y96/1000)*COS(SQRT(A96^2+Inputs!$C$6^2)/Inputs!$C$52))</x:f>
        <x:v>401.00100403172877</x:v>
      </x:c>
      <x:c r="AB96" s="9" t="n">
        <x:f>(AA96-Z96)*1000</x:f>
        <x:v>749.133819126655</x:v>
      </x:c>
      <x:c r="AC96" s="9" t="n">
        <x:f>AB96/Inputs!$C$12</x:f>
        <x:v>420.8616961385702</x:v>
      </x:c>
      <x:c r="AD96" s="9" t="n">
        <x:f>2*AB96/Inputs!$C$21*1000000</x:f>
        <x:v>4.9976828911863755</x:v>
      </x:c>
      <x:c r="AE96" s="9" t="n">
        <x:f>DEGREES(ATAN(H96/(B96-Y96/1000)))</x:f>
        <x:v>4.032007788080743</x:v>
      </x:c>
      <x:c r="AF96" s="9" t="n">
        <x:f>DEGREES((2*PI()/Inputs!$C$13)*Inputs!$C$15*SIN(RADIANS(AE96)))</x:f>
        <x:v>25.31294758674893</x:v>
      </x:c>
      <x:c r="AG96" s="9" t="n">
        <x:f>(Z96/AA96)^4</x:f>
        <x:v>0.9925482762113796</x:v>
      </x:c>
      <x:c r="AH96" s="9" t="n">
        <x:f>10*LOG10(AG96)</x:f>
        <x:v>-0.0324836055243436</x:v>
      </x:c>
      <x:c r="AI96" s="9" t="n">
        <x:f>AC96-F96</x:f>
        <x:v>-278.2519875156237</x:v>
      </x:c>
      <x:c r="AJ96" s="9" t="n">
        <x:f>AD96-G96</x:f>
        <x:v>-3.30420945931742</x:v>
      </x:c>
      <x:c r="AK96" s="9" t="n">
        <x:f>Y96-X96</x:f>
        <x:v>496.9768806492946</x:v>
      </x:c>
      <x:c r="AL96" s="9" t="n">
        <x:f>1000*(AA97-AA95)/(A97-A95)*Inputs!$C$11</x:f>
        <x:v>-398.1533994065103</x:v>
      </x:c>
      <x:c r="AM96" s="9" t="n">
        <x:f>-2*AL96/Inputs!$C$13</x:f>
        <x:v>159.26135976260412</x:v>
      </x:c>
      <x:c r="AN96" s="9" t="n">
        <x:f>-2*AL96/Inputs!$C$14</x:f>
        <x:v>23.91311708147209</x:v>
      </x:c>
      <x:c r="AO96" s="9" t="n">
        <x:f>ABS(AM96)</x:f>
        <x:v>159.26135976260412</x:v>
      </x:c>
      <x:c r="AP96" s="9" t="n">
        <x:f>ABS(AN96)</x:f>
        <x:v>23.91311708147209</x:v>
      </x:c>
      <x:c r="AQ96" s="9" t="n">
        <x:f>IF(OR(Inputs!$C$27=TRUE,Inputs!$C$27="TRUE",Inputs!$C$27=1),Inputs!$C$46/Inputs!$C$12,0)</x:f>
        <x:v>42.13483146067416</x:v>
      </x:c>
      <x:c r="AR96" s="9" t="n">
        <x:f>AC96-AQ96</x:f>
        <x:v>378.72686467789606</x:v>
      </x:c>
      <x:c r="AS96" s="9" t="n">
        <x:f>AC96+AQ96</x:f>
        <x:v>462.99652759924436</x:v>
      </x:c>
    </x:row>
    <x:row r="97">
      <x:c r="A97" s="9" t="n">
        <x:f>Inputs!$C$7+95*(Inputs!$C$8-Inputs!$C$7)/240</x:f>
        <x:v>-12.5</x:v>
      </x:c>
      <x:c r="B97" s="9" t="n">
        <x:f>Inputs!$C$5+Inputs!$C$9*(A97/Inputs!$C$10)^2</x:f>
        <x:v>400.1736111111111</x:v>
      </x:c>
      <x:c r="C97" s="9" t="n">
        <x:f>B97</x:f>
        <x:v>400.1736111111111</x:v>
      </x:c>
      <x:c r="D97" s="9" t="n">
        <x:f>SQRT((Inputs!$C$52+B97)^2+Inputs!$C$52^2-2*(Inputs!$C$52+B97)*Inputs!$C$52*COS(SQRT(A97^2+Inputs!$C$6^2)/Inputs!$C$52))</x:f>
        <x:v>401.3981160086007</x:v>
      </x:c>
      <x:c r="E97" s="9" t="n">
        <x:f>(D97-C97)*1000</x:f>
        <x:v>1224.5048974896235</x:v>
      </x:c>
      <x:c r="F97" s="9" t="n">
        <x:f>E97/Inputs!$C$12</x:f>
        <x:v>687.9240997132716</x:v>
      </x:c>
      <x:c r="G97" s="9" t="n">
        <x:f>2*E97/Inputs!$C$21*1000000</x:f>
        <x:v>8.169017363936645</x:v>
      </x:c>
      <x:c r="H97" s="9" t="n">
        <x:f>SQRT(A97^2+Inputs!$C$6^2)</x:f>
        <x:v>27.95084971874737</x:v>
      </x:c>
      <x:c r="I97" s="9" t="n">
        <x:f>DEGREES(ATAN(H97/B97))</x:f>
        <x:v>3.9954384393380815</x:v>
      </x:c>
      <x:c r="J97" s="9" t="n">
        <x:f>DEGREES((2*PI()/Inputs!$C$13)*Inputs!$C$15*SIN(RADIANS(I97)))</x:f>
        <x:v>25.083739154474607</x:v>
      </x:c>
      <x:c r="K97" s="9" t="n">
        <x:f>(C97/D97)^4</x:f>
        <x:v>0.987853325418788</x:v>
      </x:c>
      <x:c r="L97" s="9" t="n">
        <x:f>10*LOG10(K97)</x:f>
        <x:v>-0.0530753384359283</x:v>
      </x:c>
      <x:c r="M97" s="9" t="n">
        <x:f>2*(Inputs!$C$9/(Inputs!$C$10^2))*A97</x:f>
        <x:v>-0.027777777777777776</x:v>
      </x:c>
      <x:c r="N97" s="9" t="n">
        <x:f>M97*Inputs!$C$11</x:f>
        <x:v>-0.1111111111111111</x:v>
      </x:c>
      <x:c r="O97" s="9" t="n">
        <x:f>1000*(D98-D96)/(A98-A96)*Inputs!$C$11</x:f>
        <x:v>-267.334479958663</x:v>
      </x:c>
      <x:c r="P97" s="9" t="n">
        <x:f>-2*O97/Inputs!$C$13</x:f>
        <x:v>106.9337919834652</x:v>
      </x:c>
      <x:c r="Q97" s="9" t="n">
        <x:f>-2*O97/Inputs!$C$14</x:f>
        <x:v>16.056124922442223</x:v>
      </x:c>
      <x:c r="R97" s="9" t="n">
        <x:f>F97-Inputs!$C$16/2</x:f>
        <x:v>672.9240997132716</x:v>
      </x:c>
      <x:c r="S97" s="9" t="n">
        <x:f>F97+Inputs!$C$16/2</x:f>
        <x:v>702.9240997132716</x:v>
      </x:c>
      <x:c r="T97" s="9" t="n">
        <x:f>F97-Inputs!$C$17/2</x:f>
        <x:v>537.9240997132716</x:v>
      </x:c>
      <x:c r="U97" s="9" t="n">
        <x:f>F97+Inputs!$C$17/2</x:f>
        <x:v>837.9240997132716</x:v>
      </x:c>
      <x:c r="V97" s="9" t="n">
        <x:f>ABS(P97)</x:f>
        <x:v>106.9337919834652</x:v>
      </x:c>
      <x:c r="W97" s="9" t="n">
        <x:f>ABS(Q97)</x:f>
        <x:v>16.056124922442223</x:v>
      </x:c>
      <x:c r="X97" s="9"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x:f>
        <x:v>-70.18392228131138</x:v>
      </x:c>
      <x:c r="Y97" s="9"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x:f>
        <x:v>448.8683161255995</x:v>
      </x:c>
      <x:c r="Z97" s="9" t="n">
        <x:f>B97-X97/1000</x:f>
        <x:v>400.2437950333924</x:v>
      </x:c>
      <x:c r="AA97" s="9" t="n">
        <x:f>SQRT((Inputs!$C$52+B97)^2+(Inputs!$C$52+Y97/1000)^2-2*(Inputs!$C$52+B97)*(Inputs!$C$52+Y97/1000)*COS(SQRT(A97^2+Inputs!$C$6^2)/Inputs!$C$52))</x:f>
        <x:v>400.9509705493837</x:v>
      </x:c>
      <x:c r="AB97" s="9" t="n">
        <x:f>(AA97-Z97)*1000</x:f>
        <x:v>707.1755159913096</x:v>
      </x:c>
      <x:c r="AC97" s="9" t="n">
        <x:f>AB97/Inputs!$C$12</x:f>
        <x:v>397.2896157254548</x:v>
      </x:c>
      <x:c r="AD97" s="9" t="n">
        <x:f>2*AB97/Inputs!$C$21*1000000</x:f>
        <x:v>4.71776722275855</x:v>
      </x:c>
      <x:c r="AE97" s="9" t="n">
        <x:f>DEGREES(ATAN(H97/(B97-Y97/1000)))</x:f>
        <x:v>3.9999105358231075</x:v>
      </x:c>
      <x:c r="AF97" s="9" t="n">
        <x:f>DEGREES((2*PI()/Inputs!$C$13)*Inputs!$C$15*SIN(RADIANS(AE97)))</x:f>
        <x:v>25.111769797148796</x:v>
      </x:c>
      <x:c r="AG97" s="9" t="n">
        <x:f>(Z97/AA97)^4</x:f>
        <x:v>0.9929636603960545</x:v>
      </x:c>
      <x:c r="AH97" s="9" t="n">
        <x:f>10*LOG10(AG97)</x:f>
        <x:v>-0.030666451383086497</x:v>
      </x:c>
      <x:c r="AI97" s="9" t="n">
        <x:f>AC97-F97</x:f>
        <x:v>-290.63448398781685</x:v>
      </x:c>
      <x:c r="AJ97" s="9" t="n">
        <x:f>AD97-G97</x:f>
        <x:v>-3.451250141178095</x:v>
      </x:c>
      <x:c r="AK97" s="9" t="n">
        <x:f>Y97-X97</x:f>
        <x:v>519.0522384069109</x:v>
      </x:c>
      <x:c r="AL97" s="9" t="n">
        <x:f>1000*(AA98-AA96)/(A98-A96)*Inputs!$C$11</x:f>
        <x:v>-287.89803836184547</x:v>
      </x:c>
      <x:c r="AM97" s="9" t="n">
        <x:f>-2*AL97/Inputs!$C$13</x:f>
        <x:v>115.15921534473819</x:v>
      </x:c>
      <x:c r="AN97" s="9" t="n">
        <x:f>-2*AL97/Inputs!$C$14</x:f>
        <x:v>17.291173475185914</x:v>
      </x:c>
      <x:c r="AO97" s="9" t="n">
        <x:f>ABS(AM97)</x:f>
        <x:v>115.15921534473819</x:v>
      </x:c>
      <x:c r="AP97" s="9" t="n">
        <x:f>ABS(AN97)</x:f>
        <x:v>17.291173475185914</x:v>
      </x:c>
      <x:c r="AQ97" s="9" t="n">
        <x:f>IF(OR(Inputs!$C$27=TRUE,Inputs!$C$27="TRUE",Inputs!$C$27=1),Inputs!$C$46/Inputs!$C$12,0)</x:f>
        <x:v>42.13483146067416</x:v>
      </x:c>
      <x:c r="AR97" s="9" t="n">
        <x:f>AC97-AQ97</x:f>
        <x:v>355.15478426478063</x:v>
      </x:c>
      <x:c r="AS97" s="9" t="n">
        <x:f>AC97+AQ97</x:f>
        <x:v>439.42444718612893</x:v>
      </x:c>
    </x:row>
    <x:row r="98">
      <x:c r="A98" s="9" t="n">
        <x:f>Inputs!$C$7+96*(Inputs!$C$8-Inputs!$C$7)/240</x:f>
        <x:v>-12</x:v>
      </x:c>
      <x:c r="B98" s="9" t="n">
        <x:f>Inputs!$C$5+Inputs!$C$9*(A98/Inputs!$C$10)^2</x:f>
        <x:v>400.16</x:v>
      </x:c>
      <x:c r="C98" s="9" t="n">
        <x:f>B98</x:f>
        <x:v>400.16</x:v>
      </x:c>
      <x:c r="D98" s="9" t="n">
        <x:f>SQRT((Inputs!$C$52+B98)^2+Inputs!$C$52^2-2*(Inputs!$C$52+B98)*Inputs!$C$52*COS(SQRT(A98^2+Inputs!$C$6^2)/Inputs!$C$52))</x:f>
        <x:v>401.3653665146926</x:v>
      </x:c>
      <x:c r="E98" s="9" t="n">
        <x:f>(D98-C98)*1000</x:f>
        <x:v>1205.366514692571</x:v>
      </x:c>
      <x:c r="F98" s="9" t="n">
        <x:f>E98/Inputs!$C$12</x:f>
        <x:v>677.1721992654893</x:v>
      </x:c>
      <x:c r="G98" s="9" t="n">
        <x:f>2*E98/Inputs!$C$21*1000000</x:f>
        <x:v>8.041339817111549</x:v>
      </x:c>
      <x:c r="H98" s="9" t="n">
        <x:f>SQRT(A98^2+Inputs!$C$6^2)</x:f>
        <x:v>27.730849247724095</x:v>
      </x:c>
      <x:c r="I98" s="9" t="n">
        <x:f>DEGREES(ATAN(H98/B98))</x:f>
        <x:v>3.964225499851384</x:v>
      </x:c>
      <x:c r="J98" s="9" t="n">
        <x:f>DEGREES((2*PI()/Inputs!$C$13)*Inputs!$C$15*SIN(RADIANS(I98)))</x:f>
        <x:v>24.888095401136177</x:v>
      </x:c>
      <x:c r="K98" s="9" t="n">
        <x:f>(C98/D98)^4</x:f>
        <x:v>0.9880413448132133</x:v>
      </x:c>
      <x:c r="L98" s="9" t="n">
        <x:f>10*LOG10(K98)</x:f>
        <x:v>-0.0522488188145504</x:v>
      </x:c>
      <x:c r="M98" s="9" t="n">
        <x:f>2*(Inputs!$C$9/(Inputs!$C$10^2))*A98</x:f>
        <x:v>-0.026666666666666665</x:v>
      </x:c>
      <x:c r="N98" s="9" t="n">
        <x:f>M98*Inputs!$C$11</x:f>
        <x:v>-0.10666666666666666</x:v>
      </x:c>
      <x:c r="O98" s="9" t="n">
        <x:f>1000*(D99-D97)/(A99-A97)*Inputs!$C$11</x:f>
        <x:v>-256.65646427364663</x:v>
      </x:c>
      <x:c r="P98" s="9" t="n">
        <x:f>-2*O98/Inputs!$C$13</x:f>
        <x:v>102.66258570945865</x:v>
      </x:c>
      <x:c r="Q98" s="9" t="n">
        <x:f>-2*O98/Inputs!$C$14</x:f>
        <x:v>15.414802659077877</x:v>
      </x:c>
      <x:c r="R98" s="9" t="n">
        <x:f>F98-Inputs!$C$16/2</x:f>
        <x:v>662.1721992654893</x:v>
      </x:c>
      <x:c r="S98" s="9" t="n">
        <x:f>F98+Inputs!$C$16/2</x:f>
        <x:v>692.1721992654893</x:v>
      </x:c>
      <x:c r="T98" s="9" t="n">
        <x:f>F98-Inputs!$C$17/2</x:f>
        <x:v>527.1721992654893</x:v>
      </x:c>
      <x:c r="U98" s="9" t="n">
        <x:f>F98+Inputs!$C$17/2</x:f>
        <x:v>827.1721992654893</x:v>
      </x:c>
      <x:c r="V98" s="9" t="n">
        <x:f>ABS(P98)</x:f>
        <x:v>102.66258570945865</x:v>
      </x:c>
      <x:c r="W98" s="9" t="n">
        <x:f>ABS(Q98)</x:f>
        <x:v>15.414802659077877</x:v>
      </x:c>
      <x:c r="X98" s="9"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x:f>
        <x:v>-47.55794552962975</x:v>
      </x:c>
      <x:c r="Y98" s="9"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x:f>
        <x:v>437.9918993099811</x:v>
      </x:c>
      <x:c r="Z98" s="9" t="n">
        <x:f>B98-X98/1000</x:f>
        <x:v>400.20755794552963</x:v>
      </x:c>
      <x:c r="AA98" s="9" t="n">
        <x:f>SQRT((Inputs!$C$52+B98)^2+(Inputs!$C$52+Y98/1000)^2-2*(Inputs!$C$52+B98)*(Inputs!$C$52+Y98/1000)*COS(SQRT(A98^2+Inputs!$C$6^2)/Inputs!$C$52))</x:f>
        <x:v>400.9290295221383</x:v>
      </x:c>
      <x:c r="AB98" s="9" t="n">
        <x:f>(AA98-Z98)*1000</x:f>
        <x:v>721.4715766086783</x:v>
      </x:c>
      <x:c r="AC98" s="9" t="n">
        <x:f>AB98/Inputs!$C$12</x:f>
        <x:v>405.32111045431367</x:v>
      </x:c>
      <x:c r="AD98" s="9" t="n">
        <x:f>2*AB98/Inputs!$C$21*1000000</x:f>
        <x:v>4.813140273253161</x:v>
      </x:c>
      <x:c r="AE98" s="9" t="n">
        <x:f>DEGREES(ATAN(H98/(B98-Y98/1000)))</x:f>
        <x:v>3.968555393243375</x:v>
      </x:c>
      <x:c r="AF98" s="9" t="n">
        <x:f>DEGREES((2*PI()/Inputs!$C$13)*Inputs!$C$15*SIN(RADIANS(AE98)))</x:f>
        <x:v>24.915235760938838</x:v>
      </x:c>
      <x:c r="AG98" s="9" t="n">
        <x:f>(Z98/AA98)^4</x:f>
        <x:v>0.9928214080072731</x:v>
      </x:c>
      <x:c r="AH98" s="9" t="n">
        <x:f>10*LOG10(AG98)</x:f>
        <x:v>-0.0312886680426233</x:v>
      </x:c>
      <x:c r="AI98" s="9" t="n">
        <x:f>AC98-F98</x:f>
        <x:v>-271.85108881117566</x:v>
      </x:c>
      <x:c r="AJ98" s="9" t="n">
        <x:f>AD98-G98</x:f>
        <x:v>-3.2281995438583877</x:v>
      </x:c>
      <x:c r="AK98" s="9" t="n">
        <x:f>Y98-X98</x:f>
        <x:v>485.54984483961084</x:v>
      </x:c>
      <x:c r="AL98" s="9" t="n">
        <x:f>1000*(AA99-AA97)/(A99-A97)*Inputs!$C$11</x:f>
        <x:v>-296.88723128629135</x:v>
      </x:c>
      <x:c r="AM98" s="9" t="n">
        <x:f>-2*AL98/Inputs!$C$13</x:f>
        <x:v>118.75489251451654</x:v>
      </x:c>
      <x:c r="AN98" s="9" t="n">
        <x:f>-2*AL98/Inputs!$C$14</x:f>
        <x:v>17.831064942119603</x:v>
      </x:c>
      <x:c r="AO98" s="9" t="n">
        <x:f>ABS(AM98)</x:f>
        <x:v>118.75489251451654</x:v>
      </x:c>
      <x:c r="AP98" s="9" t="n">
        <x:f>ABS(AN98)</x:f>
        <x:v>17.831064942119603</x:v>
      </x:c>
      <x:c r="AQ98" s="9" t="n">
        <x:f>IF(OR(Inputs!$C$27=TRUE,Inputs!$C$27="TRUE",Inputs!$C$27=1),Inputs!$C$46/Inputs!$C$12,0)</x:f>
        <x:v>42.13483146067416</x:v>
      </x:c>
      <x:c r="AR98" s="9" t="n">
        <x:f>AC98-AQ98</x:f>
        <x:v>363.1862789936395</x:v>
      </x:c>
      <x:c r="AS98" s="9" t="n">
        <x:f>AC98+AQ98</x:f>
        <x:v>447.4559419149878</x:v>
      </x:c>
    </x:row>
    <x:row r="99">
      <x:c r="A99" s="9" t="n">
        <x:f>Inputs!$C$7+97*(Inputs!$C$8-Inputs!$C$7)/240</x:f>
        <x:v>-11.5</x:v>
      </x:c>
      <x:c r="B99" s="9" t="n">
        <x:f>Inputs!$C$5+Inputs!$C$9*(A99/Inputs!$C$10)^2</x:f>
        <x:v>400.14694444444444</x:v>
      </x:c>
      <x:c r="C99" s="9" t="n">
        <x:f>B99</x:f>
        <x:v>400.14694444444444</x:v>
      </x:c>
      <x:c r="D99" s="9" t="n">
        <x:f>SQRT((Inputs!$C$52+B99)^2+Inputs!$C$52^2-2*(Inputs!$C$52+B99)*Inputs!$C$52*COS(SQRT(A99^2+Inputs!$C$6^2)/Inputs!$C$52))</x:f>
        <x:v>401.3339518925323</x:v>
      </x:c>
      <x:c r="E99" s="9" t="n">
        <x:f>(D99-C99)*1000</x:f>
        <x:v>1187.0074480878543</x:v>
      </x:c>
      <x:c r="F99" s="9" t="n">
        <x:f>E99/Inputs!$C$12</x:f>
        <x:v>666.8581169032889</x:v>
      </x:c>
      <x:c r="G99" s="9" t="n">
        <x:f>2*E99/Inputs!$C$21*1000000</x:f>
        <x:v>7.918861308297851</x:v>
      </x:c>
      <x:c r="H99" s="9" t="n">
        <x:f>SQRT(A99^2+Inputs!$C$6^2)</x:f>
        <x:v>27.518175811634027</x:v>
      </x:c>
      <x:c r="I99" s="9" t="n">
        <x:f>DEGREES(ATAN(H99/B99))</x:f>
        <x:v>3.934046834415676</x:v>
      </x:c>
      <x:c r="J99" s="9" t="n">
        <x:f>DEGREES((2*PI()/Inputs!$C$13)*Inputs!$C$15*SIN(RADIANS(I99)))</x:f>
        <x:v>24.69892748864289</x:v>
      </x:c>
      <x:c r="K99" s="9" t="n">
        <x:f>(C99/D99)^4</x:f>
        <x:v>0.988221762147641</x:v>
      </x:c>
      <x:c r="L99" s="9" t="n">
        <x:f>10*LOG10(K99)</x:f>
        <x:v>-0.051455865156473594</x:v>
      </x:c>
      <x:c r="M99" s="9" t="n">
        <x:f>2*(Inputs!$C$9/(Inputs!$C$10^2))*A99</x:f>
        <x:v>-0.025555555555555557</x:v>
      </x:c>
      <x:c r="N99" s="9" t="n">
        <x:f>M99*Inputs!$C$11</x:f>
        <x:v>-0.10222222222222223</x:v>
      </x:c>
      <x:c r="O99" s="9" t="n">
        <x:f>1000*(D100-D98)/(A100-A98)*Inputs!$C$11</x:f>
        <x:v>-245.97657072126822</x:v>
      </x:c>
      <x:c r="P99" s="9" t="n">
        <x:f>-2*O99/Inputs!$C$13</x:f>
        <x:v>98.39062828850729</x:v>
      </x:c>
      <x:c r="Q99" s="9" t="n">
        <x:f>-2*O99/Inputs!$C$14</x:f>
        <x:v>14.77336761088698</x:v>
      </x:c>
      <x:c r="R99" s="9" t="n">
        <x:f>F99-Inputs!$C$16/2</x:f>
        <x:v>651.8581169032889</x:v>
      </x:c>
      <x:c r="S99" s="9" t="n">
        <x:f>F99+Inputs!$C$16/2</x:f>
        <x:v>681.8581169032889</x:v>
      </x:c>
      <x:c r="T99" s="9" t="n">
        <x:f>F99-Inputs!$C$17/2</x:f>
        <x:v>516.8581169032889</x:v>
      </x:c>
      <x:c r="U99" s="9" t="n">
        <x:f>F99+Inputs!$C$17/2</x:f>
        <x:v>816.8581169032889</x:v>
      </x:c>
      <x:c r="V99" s="9" t="n">
        <x:f>ABS(P99)</x:f>
        <x:v>98.39062828850729</x:v>
      </x:c>
      <x:c r="W99" s="9" t="n">
        <x:f>ABS(Q99)</x:f>
        <x:v>14.77336761088698</x:v>
      </x:c>
      <x:c r="X99" s="9"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x:f>
        <x:v>-48.06780811544866</x:v>
      </x:c>
      <x:c r="Y99" s="9"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x:f>
        <x:v>458.910891472728</x:v>
      </x:c>
      <x:c r="Z99" s="9" t="n">
        <x:f>B99-X99/1000</x:f>
        <x:v>400.1950122525599</x:v>
      </x:c>
      <x:c r="AA99" s="9" t="n">
        <x:f>SQRT((Inputs!$C$52+B99)^2+(Inputs!$C$52+Y99/1000)^2-2*(Inputs!$C$52+B99)*(Inputs!$C$52+Y99/1000)*COS(SQRT(A99^2+Inputs!$C$6^2)/Inputs!$C$52))</x:f>
        <x:v>400.87674874156215</x:v>
      </x:c>
      <x:c r="AB99" s="9" t="n">
        <x:f>(AA99-Z99)*1000</x:f>
        <x:v>681.7364890022759</x:v>
      </x:c>
      <x:c r="AC99" s="9" t="n">
        <x:f>AB99/Inputs!$C$12</x:f>
        <x:v>382.99802752936847</x:v>
      </x:c>
      <x:c r="AD99" s="9" t="n">
        <x:f>2*AB99/Inputs!$C$21*1000000</x:f>
        <x:v>4.548056302352181</x:v>
      </x:c>
      <x:c r="AE99" s="9" t="n">
        <x:f>DEGREES(ATAN(H99/(B99-Y99/1000)))</x:f>
        <x:v>3.938549591893754</x:v>
      </x:c>
      <x:c r="AF99" s="9" t="n">
        <x:f>DEGREES((2*PI()/Inputs!$C$13)*Inputs!$C$15*SIN(RADIANS(AE99)))</x:f>
        <x:v>24.72715240793741</x:v>
      </x:c>
      <x:c r="AG99" s="9" t="n">
        <x:f>(Z99/AA99)^4</x:f>
        <x:v>0.9932148780758644</x:v>
      </x:c>
      <x:c r="AH99" s="9" t="n">
        <x:f>10*LOG10(AG99)</x:f>
        <x:v>-0.0295678346115681</x:v>
      </x:c>
      <x:c r="AI99" s="9" t="n">
        <x:f>AC99-F99</x:f>
        <x:v>-283.8600893739204</x:v>
      </x:c>
      <x:c r="AJ99" s="9" t="n">
        <x:f>AD99-G99</x:f>
        <x:v>-3.3708050059456696</x:v>
      </x:c>
      <x:c r="AK99" s="9" t="n">
        <x:f>Y99-X99</x:f>
        <x:v>506.97869958817665</x:v>
      </x:c>
      <x:c r="AL99" s="9" t="n">
        <x:f>1000*(AA100-AA98)/(A100-A98)*Inputs!$C$11</x:f>
        <x:v>-344.0100667696697</x:v>
      </x:c>
      <x:c r="AM99" s="9" t="n">
        <x:f>-2*AL99/Inputs!$C$13</x:f>
        <x:v>137.6040267078679</x:v>
      </x:c>
      <x:c r="AN99" s="9" t="n">
        <x:f>-2*AL99/Inputs!$C$14</x:f>
        <x:v>20.661265271451636</x:v>
      </x:c>
      <x:c r="AO99" s="9" t="n">
        <x:f>ABS(AM99)</x:f>
        <x:v>137.6040267078679</x:v>
      </x:c>
      <x:c r="AP99" s="9" t="n">
        <x:f>ABS(AN99)</x:f>
        <x:v>20.661265271451636</x:v>
      </x:c>
      <x:c r="AQ99" s="9" t="n">
        <x:f>IF(OR(Inputs!$C$27=TRUE,Inputs!$C$27="TRUE",Inputs!$C$27=1),Inputs!$C$46/Inputs!$C$12,0)</x:f>
        <x:v>42.13483146067416</x:v>
      </x:c>
      <x:c r="AR99" s="9" t="n">
        <x:f>AC99-AQ99</x:f>
        <x:v>340.8631960686943</x:v>
      </x:c>
      <x:c r="AS99" s="9" t="n">
        <x:f>AC99+AQ99</x:f>
        <x:v>425.1328589900426</x:v>
      </x:c>
    </x:row>
    <x:row r="100">
      <x:c r="A100" s="9" t="n">
        <x:f>Inputs!$C$7+98*(Inputs!$C$8-Inputs!$C$7)/240</x:f>
        <x:v>-11</x:v>
      </x:c>
      <x:c r="B100" s="9" t="n">
        <x:f>Inputs!$C$5+Inputs!$C$9*(A100/Inputs!$C$10)^2</x:f>
        <x:v>400.13444444444445</x:v>
      </x:c>
      <x:c r="C100" s="9" t="n">
        <x:f>B100</x:f>
        <x:v>400.13444444444445</x:v>
      </x:c>
      <x:c r="D100" s="9" t="n">
        <x:f>SQRT((Inputs!$C$52+B100)^2+Inputs!$C$52^2-2*(Inputs!$C$52+B100)*Inputs!$C$52*COS(SQRT(A100^2+Inputs!$C$6^2)/Inputs!$C$52))</x:f>
        <x:v>401.3038723720123</x:v>
      </x:c>
      <x:c r="E100" s="9" t="n">
        <x:f>(D100-C100)*1000</x:f>
        <x:v>1169.427927567824</x:v>
      </x:c>
      <x:c r="F100" s="9" t="n">
        <x:f>E100/Inputs!$C$12</x:f>
        <x:v>656.9819817796764</x:v>
      </x:c>
      <x:c r="G100" s="9" t="n">
        <x:f>2*E100/Inputs!$C$21*1000000</x:f>
        <x:v>7.801583371172226</x:v>
      </x:c>
      <x:c r="H100" s="9" t="n">
        <x:f>SQRT(A100^2+Inputs!$C$6^2)</x:f>
        <x:v>27.313000567495326</x:v>
      </x:c>
      <x:c r="I100" s="9" t="n">
        <x:f>DEGREES(ATAN(H100/B100))</x:f>
        <x:v>3.904927307448456</x:v>
      </x:c>
      <x:c r="J100" s="9" t="n">
        <x:f>DEGREES((2*PI()/Inputs!$C$13)*Inputs!$C$15*SIN(RADIANS(I100)))</x:f>
        <x:v>24.516392041831022</x:v>
      </x:c>
      <x:c r="K100" s="9" t="n">
        <x:f>(C100/D100)^4</x:f>
        <x:v>0.9883945684330527</x:v>
      </x:c>
      <x:c r="L100" s="9" t="n">
        <x:f>10*LOG10(K100)</x:f>
        <x:v>-0.050696498604425905</x:v>
      </x:c>
      <x:c r="M100" s="9" t="n">
        <x:f>2*(Inputs!$C$9/(Inputs!$C$10^2))*A100</x:f>
        <x:v>-0.024444444444444446</x:v>
      </x:c>
      <x:c r="N100" s="9" t="n">
        <x:f>M100*Inputs!$C$11</x:f>
        <x:v>-0.09777777777777778</x:v>
      </x:c>
      <x:c r="O100" s="9" t="n">
        <x:f>1000*(D101-D99)/(A101-A99)*Inputs!$C$11</x:f>
        <x:v>-235.2948768477745</x:v>
      </x:c>
      <x:c r="P100" s="9" t="n">
        <x:f>-2*O100/Inputs!$C$13</x:f>
        <x:v>94.1179507391098</x:v>
      </x:c>
      <x:c r="Q100" s="9" t="n">
        <x:f>-2*O100/Inputs!$C$14</x:f>
        <x:v>14.131824435301773</x:v>
      </x:c>
      <x:c r="R100" s="9" t="n">
        <x:f>F100-Inputs!$C$16/2</x:f>
        <x:v>641.9819817796764</x:v>
      </x:c>
      <x:c r="S100" s="9" t="n">
        <x:f>F100+Inputs!$C$16/2</x:f>
        <x:v>671.9819817796764</x:v>
      </x:c>
      <x:c r="T100" s="9" t="n">
        <x:f>F100-Inputs!$C$17/2</x:f>
        <x:v>506.9819817796764</x:v>
      </x:c>
      <x:c r="U100" s="9" t="n">
        <x:f>F100+Inputs!$C$17/2</x:f>
        <x:v>806.9819817796764</x:v>
      </x:c>
      <x:c r="V100" s="9" t="n">
        <x:f>ABS(P100)</x:f>
        <x:v>94.1179507391098</x:v>
      </x:c>
      <x:c r="W100" s="9" t="n">
        <x:f>ABS(Q100)</x:f>
        <x:v>14.131824435301773</x:v>
      </x:c>
      <x:c r="X100" s="9"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x:f>
        <x:v>-43.28983557333215</x:v>
      </x:c>
      <x:c r="Y100" s="9"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x:f>
        <x:v>462.5412492822977</x:v>
      </x:c>
      <x:c r="Z100" s="9" t="n">
        <x:f>B100-X100/1000</x:f>
        <x:v>400.1777342800178</x:v>
      </x:c>
      <x:c r="AA100" s="9" t="n">
        <x:f>SQRT((Inputs!$C$52+B100)^2+(Inputs!$C$52+Y100/1000)^2-2*(Inputs!$C$52+B100)*(Inputs!$C$52+Y100/1000)*COS(SQRT(A100^2+Inputs!$C$6^2)/Inputs!$C$52))</x:f>
        <x:v>400.8430270054459</x:v>
      </x:c>
      <x:c r="AB100" s="9" t="n">
        <x:f>(AA100-Z100)*1000</x:f>
        <x:v>665.2927254281167</x:v>
      </x:c>
      <x:c r="AC100" s="9" t="n">
        <x:f>AB100/Inputs!$C$12</x:f>
        <x:v>373.75995810568355</x:v>
      </x:c>
      <x:c r="AD100" s="9" t="n">
        <x:f>2*AB100/Inputs!$C$21*1000000</x:f>
        <x:v>4.438355319986846</x:v>
      </x:c>
      <x:c r="AE100" s="9" t="n">
        <x:f>DEGREES(ATAN(H100/(B100-Y100/1000)))</x:f>
        <x:v>3.9094324837280876</x:v>
      </x:c>
      <x:c r="AF100" s="9" t="n">
        <x:f>DEGREES((2*PI()/Inputs!$C$13)*Inputs!$C$15*SIN(RADIANS(AE100)))</x:f>
        <x:v>24.54463310695499</x:v>
      </x:c>
      <x:c r="AG100" s="9" t="n">
        <x:f>(Z100/AA100)^4</x:f>
        <x:v>0.993377574767152</x:v>
      </x:c>
      <x:c r="AH100" s="9" t="n">
        <x:f>10*LOG10(AG100)</x:f>
        <x:v>-0.0288564831181402</x:v>
      </x:c>
      <x:c r="AI100" s="9" t="n">
        <x:f>AC100-F100</x:f>
        <x:v>-283.22202367399285</x:v>
      </x:c>
      <x:c r="AJ100" s="9" t="n">
        <x:f>AD100-G100</x:f>
        <x:v>-3.36322805118538</x:v>
      </x:c>
      <x:c r="AK100" s="9" t="n">
        <x:f>Y100-X100</x:f>
        <x:v>505.83108485562985</x:v>
      </x:c>
      <x:c r="AL100" s="9" t="n">
        <x:f>1000*(AA101-AA99)/(A101-A99)*Inputs!$C$11</x:f>
        <x:v>-280.0928895742345</x:v>
      </x:c>
      <x:c r="AM100" s="9" t="n">
        <x:f>-2*AL100/Inputs!$C$13</x:f>
        <x:v>112.0371558296938</x:v>
      </x:c>
      <x:c r="AN100" s="9" t="n">
        <x:f>-2*AL100/Inputs!$C$14</x:f>
        <x:v>16.822395770224297</x:v>
      </x:c>
      <x:c r="AO100" s="9" t="n">
        <x:f>ABS(AM100)</x:f>
        <x:v>112.0371558296938</x:v>
      </x:c>
      <x:c r="AP100" s="9" t="n">
        <x:f>ABS(AN100)</x:f>
        <x:v>16.822395770224297</x:v>
      </x:c>
      <x:c r="AQ100" s="9" t="n">
        <x:f>IF(OR(Inputs!$C$27=TRUE,Inputs!$C$27="TRUE",Inputs!$C$27=1),Inputs!$C$46/Inputs!$C$12,0)</x:f>
        <x:v>42.13483146067416</x:v>
      </x:c>
      <x:c r="AR100" s="9" t="n">
        <x:f>AC100-AQ100</x:f>
        <x:v>331.6251266450094</x:v>
      </x:c>
      <x:c r="AS100" s="9" t="n">
        <x:f>AC100+AQ100</x:f>
        <x:v>415.8947895663577</x:v>
      </x:c>
    </x:row>
    <x:row r="101">
      <x:c r="A101" s="9" t="n">
        <x:f>Inputs!$C$7+99*(Inputs!$C$8-Inputs!$C$7)/240</x:f>
        <x:v>-10.5</x:v>
      </x:c>
      <x:c r="B101" s="9" t="n">
        <x:f>Inputs!$C$5+Inputs!$C$9*(A101/Inputs!$C$10)^2</x:f>
        <x:v>400.1225</x:v>
      </x:c>
      <x:c r="C101" s="9" t="n">
        <x:f>B101</x:f>
        <x:v>400.1225</x:v>
      </x:c>
      <x:c r="D101" s="9" t="n">
        <x:f>SQRT((Inputs!$C$52+B101)^2+Inputs!$C$52^2-2*(Inputs!$C$52+B101)*Inputs!$C$52*COS(SQRT(A101^2+Inputs!$C$6^2)/Inputs!$C$52))</x:f>
        <x:v>401.27512817332035</x:v>
      </x:c>
      <x:c r="E101" s="9" t="n">
        <x:f>(D101-C101)*1000</x:f>
        <x:v>1152.6281733203518</x:v>
      </x:c>
      <x:c r="F101" s="9" t="n">
        <x:f>E101/Inputs!$C$12</x:f>
        <x:v>647.5439175957033</x:v>
      </x:c>
      <x:c r="G101" s="9" t="n">
        <x:f>2*E101/Inputs!$C$21*1000000</x:f>
        <x:v>7.689507474670039</x:v>
      </x:c>
      <x:c r="H101" s="9" t="n">
        <x:f>SQRT(A101^2+Inputs!$C$6^2)</x:f>
        <x:v>27.115493725912497</x:v>
      </x:c>
      <x:c r="I101" s="9" t="n">
        <x:f>DEGREES(ATAN(H101/B101))</x:f>
        <x:v>3.8768916383114713</x:v>
      </x:c>
      <x:c r="J101" s="9" t="n">
        <x:f>DEGREES((2*PI()/Inputs!$C$13)*Inputs!$C$15*SIN(RADIANS(I101)))</x:f>
        <x:v>24.340644762413287</x:v>
      </x:c>
      <x:c r="K101" s="9" t="n">
        <x:f>(C101/D101)^4</x:f>
        <x:v>0.9885597550553369</x:v>
      </x:c>
      <x:c r="L101" s="9" t="n">
        <x:f>10*LOG10(K101)</x:f>
        <x:v>-0.0499707394115416</x:v>
      </x:c>
      <x:c r="M101" s="9" t="n">
        <x:f>2*(Inputs!$C$9/(Inputs!$C$10^2))*A101</x:f>
        <x:v>-0.023333333333333334</x:v>
      </x:c>
      <x:c r="N101" s="9" t="n">
        <x:f>M101*Inputs!$C$11</x:f>
        <x:v>-0.09333333333333334</x:v>
      </x:c>
      <x:c r="O101" s="9" t="n">
        <x:f>1000*(D102-D100)/(A102-A100)*Inputs!$C$11</x:f>
        <x:v>-224.61146028399526</x:v>
      </x:c>
      <x:c r="P101" s="9" t="n">
        <x:f>-2*O101/Inputs!$C$13</x:f>
        <x:v>89.8445841135981</x:v>
      </x:c>
      <x:c r="Q101" s="9" t="n">
        <x:f>-2*O101/Inputs!$C$14</x:f>
        <x:v>13.490177794834551</x:v>
      </x:c>
      <x:c r="R101" s="9" t="n">
        <x:f>F101-Inputs!$C$16/2</x:f>
        <x:v>632.5439175957033</x:v>
      </x:c>
      <x:c r="S101" s="9" t="n">
        <x:f>F101+Inputs!$C$16/2</x:f>
        <x:v>662.5439175957033</x:v>
      </x:c>
      <x:c r="T101" s="9" t="n">
        <x:f>F101-Inputs!$C$17/2</x:f>
        <x:v>497.5439175957033</x:v>
      </x:c>
      <x:c r="U101" s="9" t="n">
        <x:f>F101+Inputs!$C$17/2</x:f>
        <x:v>797.5439175957033</x:v>
      </x:c>
      <x:c r="V101" s="9" t="n">
        <x:f>ABS(P101)</x:f>
        <x:v>89.8445841135981</x:v>
      </x:c>
      <x:c r="W101" s="9" t="n">
        <x:f>ABS(Q101)</x:f>
        <x:v>13.490177794834551</x:v>
      </x:c>
      <x:c r="X101" s="9"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x:f>
        <x:v>-52.09631463655199</x:v>
      </x:c>
      <x:c r="Y101" s="9"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x:f>
        <x:v>470.10163194835394</x:v>
      </x:c>
      <x:c r="Z101" s="9" t="n">
        <x:f>B101-X101/1000</x:f>
        <x:v>400.1745963146366</x:v>
      </x:c>
      <x:c r="AA101" s="9" t="n">
        <x:f>SQRT((Inputs!$C$52+B101)^2+(Inputs!$C$52+Y101/1000)^2-2*(Inputs!$C$52+B101)*(Inputs!$C$52+Y101/1000)*COS(SQRT(A101^2+Inputs!$C$6^2)/Inputs!$C$52))</x:f>
        <x:v>400.8067255191686</x:v>
      </x:c>
      <x:c r="AB101" s="9" t="n">
        <x:f>(AA101-Z101)*1000</x:f>
        <x:v>632.1292045320206</x:v>
      </x:c>
      <x:c r="AC101" s="9" t="n">
        <x:f>AB101/Inputs!$C$12</x:f>
        <x:v>355.1287665910228</x:v>
      </x:c>
      <x:c r="AD101" s="9" t="n">
        <x:f>2*AB101/Inputs!$C$21*1000000</x:f>
        <x:v>4.217112123161021</x:v>
      </x:c>
      <x:c r="AE101" s="9" t="n">
        <x:f>DEGREES(ATAN(H101/(B101-Y101/1000)))</x:f>
        <x:v>3.88143800272045</x:v>
      </x:c>
      <x:c r="AF101" s="9" t="n">
        <x:f>DEGREES((2*PI()/Inputs!$C$13)*Inputs!$C$15*SIN(RADIANS(AE101)))</x:f>
        <x:v>24.369144967017967</x:v>
      </x:c>
      <x:c r="AG101" s="9" t="n">
        <x:f>(Z101/AA101)^4</x:f>
        <x:v>0.993706339743037</x:v>
      </x:c>
      <x:c r="AH101" s="9" t="n">
        <x:f>10*LOG10(AG101)</x:f>
        <x:v>-0.0274193941745873</x:v>
      </x:c>
      <x:c r="AI101" s="9" t="n">
        <x:f>AC101-F101</x:f>
        <x:v>-292.4151510046805</x:v>
      </x:c>
      <x:c r="AJ101" s="9" t="n">
        <x:f>AD101-G101</x:f>
        <x:v>-3.472395351509018</x:v>
      </x:c>
      <x:c r="AK101" s="9" t="n">
        <x:f>Y101-X101</x:f>
        <x:v>522.1979465849059</x:v>
      </x:c>
      <x:c r="AL101" s="9" t="n">
        <x:f>1000*(AA102-AA100)/(A102-A100)*Inputs!$C$11</x:f>
        <x:v>-260.5659174446373</x:v>
      </x:c>
      <x:c r="AM101" s="9" t="n">
        <x:f>-2*AL101/Inputs!$C$13</x:f>
        <x:v>104.22636697785492</x:v>
      </x:c>
      <x:c r="AN101" s="9" t="n">
        <x:f>-2*AL101/Inputs!$C$14</x:f>
        <x:v>15.64960465132957</x:v>
      </x:c>
      <x:c r="AO101" s="9" t="n">
        <x:f>ABS(AM101)</x:f>
        <x:v>104.22636697785492</x:v>
      </x:c>
      <x:c r="AP101" s="9" t="n">
        <x:f>ABS(AN101)</x:f>
        <x:v>15.64960465132957</x:v>
      </x:c>
      <x:c r="AQ101" s="9" t="n">
        <x:f>IF(OR(Inputs!$C$27=TRUE,Inputs!$C$27="TRUE",Inputs!$C$27=1),Inputs!$C$46/Inputs!$C$12,0)</x:f>
        <x:v>42.13483146067416</x:v>
      </x:c>
      <x:c r="AR101" s="9" t="n">
        <x:f>AC101-AQ101</x:f>
        <x:v>312.99393513034863</x:v>
      </x:c>
      <x:c r="AS101" s="9" t="n">
        <x:f>AC101+AQ101</x:f>
        <x:v>397.26359805169693</x:v>
      </x:c>
    </x:row>
    <x:row r="102">
      <x:c r="A102" s="9" t="n">
        <x:f>Inputs!$C$7+100*(Inputs!$C$8-Inputs!$C$7)/240</x:f>
        <x:v>-10</x:v>
      </x:c>
      <x:c r="B102" s="9" t="n">
        <x:f>Inputs!$C$5+Inputs!$C$9*(A102/Inputs!$C$10)^2</x:f>
        <x:v>400.1111111111111</x:v>
      </x:c>
      <x:c r="C102" s="9" t="n">
        <x:f>B102</x:f>
        <x:v>400.1111111111111</x:v>
      </x:c>
      <x:c r="D102" s="9" t="n">
        <x:f>SQRT((Inputs!$C$52+B102)^2+Inputs!$C$52^2-2*(Inputs!$C$52+B102)*Inputs!$C$52*COS(SQRT(A102^2+Inputs!$C$6^2)/Inputs!$C$52))</x:f>
        <x:v>401.2477195069413</x:v>
      </x:c>
      <x:c r="E102" s="9" t="n">
        <x:f>(D102-C102)*1000</x:f>
        <x:v>1136.6083958301942</x:v>
      </x:c>
      <x:c r="F102" s="9" t="n">
        <x:f>E102/Inputs!$C$12</x:f>
        <x:v>638.5440426012327</x:v>
      </x:c>
      <x:c r="G102" s="9" t="n">
        <x:f>2*E102/Inputs!$C$21*1000000</x:f>
        <x:v>7.5826350229944355</x:v>
      </x:c>
      <x:c r="H102" s="9" t="n">
        <x:f>SQRT(A102^2+Inputs!$C$6^2)</x:f>
        <x:v>26.92582403567252</x:v>
      </x:c>
      <x:c r="I102" s="9" t="n">
        <x:f>DEGREES(ATAN(H102/B102))</x:f>
        <x:v>3.8499643269735215</x:v>
      </x:c>
      <x:c r="J102" s="9" t="n">
        <x:f>DEGREES((2*PI()/Inputs!$C$13)*Inputs!$C$15*SIN(RADIANS(I102)))</x:f>
        <x:v>24.171839961370843</x:v>
      </x:c>
      <x:c r="K102" s="9" t="n">
        <x:f>(C102/D102)^4</x:f>
        <x:v>0.9887173137761573</x:v>
      </x:c>
      <x:c r="L102" s="9" t="n">
        <x:f>10*LOG10(K102)</x:f>
        <x:v>-0.049278606940564004</x:v>
      </x:c>
      <x:c r="M102" s="9" t="n">
        <x:f>2*(Inputs!$C$9/(Inputs!$C$10^2))*A102</x:f>
        <x:v>-0.022222222222222223</x:v>
      </x:c>
      <x:c r="N102" s="9" t="n">
        <x:f>M102*Inputs!$C$11</x:f>
        <x:v>-0.08888888888888889</x:v>
      </x:c>
      <x:c r="O102" s="9" t="n">
        <x:f>1000*(D103-D101)/(A103-A101)*Inputs!$C$11</x:f>
        <x:v>-213.92639874261477</x:v>
      </x:c>
      <x:c r="P102" s="9" t="n">
        <x:f>-2*O102/Inputs!$C$13</x:f>
        <x:v>85.5705594970459</x:v>
      </x:c>
      <x:c r="Q102" s="9" t="n">
        <x:f>-2*O102/Inputs!$C$14</x:f>
        <x:v>12.8484323569138</x:v>
      </x:c>
      <x:c r="R102" s="9" t="n">
        <x:f>F102-Inputs!$C$16/2</x:f>
        <x:v>623.5440426012327</x:v>
      </x:c>
      <x:c r="S102" s="9" t="n">
        <x:f>F102+Inputs!$C$16/2</x:f>
        <x:v>653.5440426012327</x:v>
      </x:c>
      <x:c r="T102" s="9" t="n">
        <x:f>F102-Inputs!$C$17/2</x:f>
        <x:v>488.5440426012327</x:v>
      </x:c>
      <x:c r="U102" s="9" t="n">
        <x:f>F102+Inputs!$C$17/2</x:f>
        <x:v>788.5440426012327</x:v>
      </x:c>
      <x:c r="V102" s="9" t="n">
        <x:f>ABS(P102)</x:f>
        <x:v>85.5705594970459</x:v>
      </x:c>
      <x:c r="W102" s="9" t="n">
        <x:f>ABS(Q102)</x:f>
        <x:v>12.8484323569138</x:v>
      </x:c>
      <x:c r="X102" s="9"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x:f>
        <x:v>-49.423131521111884</x:v>
      </x:c>
      <x:c r="Y102" s="9"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x:f>
        <x:v>471.5144848829251</x:v>
      </x:c>
      <x:c r="Z102" s="9" t="n">
        <x:f>B102-X102/1000</x:f>
        <x:v>400.1605342426322</x:v>
      </x:c>
      <x:c r="AA102" s="9" t="n">
        <x:f>SQRT((Inputs!$C$52+B102)^2+(Inputs!$C$52+Y102/1000)^2-2*(Inputs!$C$52+B102)*(Inputs!$C$52+Y102/1000)*COS(SQRT(A102^2+Inputs!$C$6^2)/Inputs!$C$52))</x:f>
        <x:v>400.77788552608473</x:v>
      </x:c>
      <x:c r="AB102" s="9" t="n">
        <x:f>(AA102-Z102)*1000</x:f>
        <x:v>617.3512834525354</x:v>
      </x:c>
      <x:c r="AC102" s="9" t="n">
        <x:f>AB102/Inputs!$C$12</x:f>
        <x:v>346.82656373737944</x:v>
      </x:c>
      <x:c r="AD102" s="9" t="n">
        <x:f>2*AB102/Inputs!$C$21*1000000</x:f>
        <x:v>4.118524445685257</x:v>
      </x:c>
      <x:c r="AE102" s="9" t="n">
        <x:f>DEGREES(ATAN(H102/(B102-Y102/1000)))</x:f>
        <x:v>3.8544930199199263</x:v>
      </x:c>
      <x:c r="AF102" s="9" t="n">
        <x:f>DEGREES((2*PI()/Inputs!$C$13)*Inputs!$C$15*SIN(RADIANS(AE102)))</x:f>
        <x:v>24.200230289148667</x:v>
      </x:c>
      <x:c r="AG102" s="9" t="n">
        <x:f>(Z102/AA102)^4</x:f>
        <x:v>0.9938526916359146</x:v>
      </x:c>
      <x:c r="AH102" s="9" t="n">
        <x:f>10*LOG10(AG102)</x:f>
        <x:v>-0.0267798175018521</x:v>
      </x:c>
      <x:c r="AI102" s="9" t="n">
        <x:f>AC102-F102</x:f>
        <x:v>-291.7174788638533</x:v>
      </x:c>
      <x:c r="AJ102" s="9" t="n">
        <x:f>AD102-G102</x:f>
        <x:v>-3.464110577309178</x:v>
      </x:c>
      <x:c r="AK102" s="9" t="n">
        <x:f>Y102-X102</x:f>
        <x:v>520.937616404037</x:v>
      </x:c>
      <x:c r="AL102" s="9" t="n">
        <x:f>1000*(AA103-AA101)/(A103-A101)*Inputs!$C$11</x:f>
        <x:v>-216.02295813136152</x:v>
      </x:c>
      <x:c r="AM102" s="9" t="n">
        <x:f>-2*AL102/Inputs!$C$13</x:f>
        <x:v>86.40918325254461</x:v>
      </x:c>
      <x:c r="AN102" s="9" t="n">
        <x:f>-2*AL102/Inputs!$C$14</x:f>
        <x:v>12.974351839721415</x:v>
      </x:c>
      <x:c r="AO102" s="9" t="n">
        <x:f>ABS(AM102)</x:f>
        <x:v>86.40918325254461</x:v>
      </x:c>
      <x:c r="AP102" s="9" t="n">
        <x:f>ABS(AN102)</x:f>
        <x:v>12.974351839721415</x:v>
      </x:c>
      <x:c r="AQ102" s="9" t="n">
        <x:f>IF(OR(Inputs!$C$27=TRUE,Inputs!$C$27="TRUE",Inputs!$C$27=1),Inputs!$C$46/Inputs!$C$12,0)</x:f>
        <x:v>42.13483146067416</x:v>
      </x:c>
      <x:c r="AR102" s="9" t="n">
        <x:f>AC102-AQ102</x:f>
        <x:v>304.6917322767053</x:v>
      </x:c>
      <x:c r="AS102" s="9" t="n">
        <x:f>AC102+AQ102</x:f>
        <x:v>388.9613951980536</x:v>
      </x:c>
    </x:row>
    <x:row r="103">
      <x:c r="A103" s="9" t="n">
        <x:f>Inputs!$C$7+101*(Inputs!$C$8-Inputs!$C$7)/240</x:f>
        <x:v>-9.5</x:v>
      </x:c>
      <x:c r="B103" s="9" t="n">
        <x:f>Inputs!$C$5+Inputs!$C$9*(A103/Inputs!$C$10)^2</x:f>
        <x:v>400.10027777777776</x:v>
      </x:c>
      <x:c r="C103" s="9" t="n">
        <x:f>B103</x:f>
        <x:v>400.10027777777776</x:v>
      </x:c>
      <x:c r="D103" s="9" t="n">
        <x:f>SQRT((Inputs!$C$52+B103)^2+Inputs!$C$52^2-2*(Inputs!$C$52+B103)*Inputs!$C$52*COS(SQRT(A103^2+Inputs!$C$6^2)/Inputs!$C$52))</x:f>
        <x:v>401.2216465736347</x:v>
      </x:c>
      <x:c r="E103" s="9" t="n">
        <x:f>(D103-C103)*1000</x:f>
        <x:v>1121.368795856938</x:v>
      </x:c>
      <x:c r="F103" s="9" t="n">
        <x:f>E103/Inputs!$C$12</x:f>
        <x:v>629.9824695825495</x:v>
      </x:c>
      <x:c r="G103" s="9" t="n">
        <x:f>2*E103/Inputs!$C$21*1000000</x:f>
        <x:v>7.4809673554692155</x:v>
      </x:c>
      <x:c r="H103" s="9" t="n">
        <x:f>SQRT(A103^2+Inputs!$C$6^2)</x:f>
        <x:v>26.744158240632665</x:v>
      </x:c>
      <x:c r="I103" s="9" t="n">
        <x:f>DEGREES(ATAN(H103/B103))</x:f>
        <x:v>3.8241695756954894</x:v>
      </x:c>
      <x:c r="J103" s="9" t="n">
        <x:f>DEGREES((2*PI()/Inputs!$C$13)*Inputs!$C$15*SIN(RADIANS(I103)))</x:f>
        <x:v>24.010130066350158</x:v>
      </x:c>
      <x:c r="K103" s="9" t="n">
        <x:f>(C103/D103)^4</x:f>
        <x:v>0.9888672367340193</x:v>
      </x:c>
      <x:c r="L103" s="9" t="n">
        <x:f>10*LOG10(K103)</x:f>
        <x:v>-0.04862011966205031</x:v>
      </x:c>
      <x:c r="M103" s="9" t="n">
        <x:f>2*(Inputs!$C$9/(Inputs!$C$10^2))*A103</x:f>
        <x:v>-0.021111111111111112</x:v>
      </x:c>
      <x:c r="N103" s="9" t="n">
        <x:f>M103*Inputs!$C$11</x:f>
        <x:v>-0.08444444444444445</x:v>
      </x:c>
      <x:c r="O103" s="9" t="n">
        <x:f>1000*(D104-D102)/(A104-A102)*Inputs!$C$11</x:f>
        <x:v>-203.23977003636173</x:v>
      </x:c>
      <x:c r="P103" s="9" t="n">
        <x:f>-2*O103/Inputs!$C$13</x:f>
        <x:v>81.2959080145447</x:v>
      </x:c>
      <x:c r="Q103" s="9" t="n">
        <x:f>-2*O103/Inputs!$C$14</x:f>
        <x:v>12.206592794976682</x:v>
      </x:c>
      <x:c r="R103" s="9" t="n">
        <x:f>F103-Inputs!$C$16/2</x:f>
        <x:v>614.9824695825495</x:v>
      </x:c>
      <x:c r="S103" s="9" t="n">
        <x:f>F103+Inputs!$C$16/2</x:f>
        <x:v>644.9824695825495</x:v>
      </x:c>
      <x:c r="T103" s="9" t="n">
        <x:f>F103-Inputs!$C$17/2</x:f>
        <x:v>479.98246958254947</x:v>
      </x:c>
      <x:c r="U103" s="9" t="n">
        <x:f>F103+Inputs!$C$17/2</x:f>
        <x:v>779.9824695825495</x:v>
      </x:c>
      <x:c r="V103" s="9" t="n">
        <x:f>ABS(P103)</x:f>
        <x:v>81.2959080145447</x:v>
      </x:c>
      <x:c r="W103" s="9" t="n">
        <x:f>ABS(Q103)</x:f>
        <x:v>12.206592794976682</x:v>
      </x:c>
      <x:c r="X103" s="9"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x:f>
        <x:v>-32.277557975083496</x:v>
      </x:c>
      <x:c r="Y103" s="9"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x:f>
        <x:v>470.5815738170562</x:v>
      </x:c>
      <x:c r="Z103" s="9" t="n">
        <x:f>B103-X103/1000</x:f>
        <x:v>400.13255533575284</x:v>
      </x:c>
      <x:c r="AA103" s="9" t="n">
        <x:f>SQRT((Inputs!$C$52+B103)^2+(Inputs!$C$52+Y103/1000)^2-2*(Inputs!$C$52+B103)*(Inputs!$C$52+Y103/1000)*COS(SQRT(A103^2+Inputs!$C$6^2)/Inputs!$C$52))</x:f>
        <x:v>400.75271977963575</x:v>
      </x:c>
      <x:c r="AB103" s="9" t="n">
        <x:f>(AA103-Z103)*1000</x:f>
        <x:v>620.1644438829135</x:v>
      </x:c>
      <x:c r="AC103" s="9" t="n">
        <x:f>AB103/Inputs!$C$12</x:f>
        <x:v>348.406990945457</x:v>
      </x:c>
      <x:c r="AD103" s="9" t="n">
        <x:f>2*AB103/Inputs!$C$21*1000000</x:f>
        <x:v>4.137291831957383</x:v>
      </x:c>
      <x:c r="AE103" s="9" t="n">
        <x:f>DEGREES(ATAN(H103/(B103-Y103/1000)))</x:f>
        <x:v>3.8286593185218867</x:v>
      </x:c>
      <x:c r="AF103" s="9" t="n">
        <x:f>DEGREES((2*PI()/Inputs!$C$13)*Inputs!$C$15*SIN(RADIANS(AE103)))</x:f>
        <x:v>24.03827706727071</x:v>
      </x:c>
      <x:c r="AG103" s="9" t="n">
        <x:f>(Z103/AA103)^4</x:f>
        <x:v>0.993824357594087</x:v>
      </x:c>
      <x:c r="AH103" s="9" t="n">
        <x:f>10*LOG10(AG103)</x:f>
        <x:v>-0.026903633571684203</x:v>
      </x:c>
      <x:c r="AI103" s="9" t="n">
        <x:f>AC103-F103</x:f>
        <x:v>-281.5754786370925</x:v>
      </x:c>
      <x:c r="AJ103" s="9" t="n">
        <x:f>AD103-G103</x:f>
        <x:v>-3.3436755235118323</x:v>
      </x:c>
      <x:c r="AK103" s="9" t="n">
        <x:f>Y103-X103</x:f>
        <x:v>502.8591317921397</x:v>
      </x:c>
      <x:c r="AL103" s="9" t="n">
        <x:f>1000*(AA104-AA102)/(A104-A102)*Inputs!$C$11</x:f>
        <x:v>-239.7033450286017</x:v>
      </x:c>
      <x:c r="AM103" s="9" t="n">
        <x:f>-2*AL103/Inputs!$C$13</x:f>
        <x:v>95.88133801144068</x:v>
      </x:c>
      <x:c r="AN103" s="9" t="n">
        <x:f>-2*AL103/Inputs!$C$14</x:f>
        <x:v>14.396597299015118</x:v>
      </x:c>
      <x:c r="AO103" s="9" t="n">
        <x:f>ABS(AM103)</x:f>
        <x:v>95.88133801144068</x:v>
      </x:c>
      <x:c r="AP103" s="9" t="n">
        <x:f>ABS(AN103)</x:f>
        <x:v>14.396597299015118</x:v>
      </x:c>
      <x:c r="AQ103" s="9" t="n">
        <x:f>IF(OR(Inputs!$C$27=TRUE,Inputs!$C$27="TRUE",Inputs!$C$27=1),Inputs!$C$46/Inputs!$C$12,0)</x:f>
        <x:v>42.13483146067416</x:v>
      </x:c>
      <x:c r="AR103" s="9" t="n">
        <x:f>AC103-AQ103</x:f>
        <x:v>306.27215948478283</x:v>
      </x:c>
      <x:c r="AS103" s="9" t="n">
        <x:f>AC103+AQ103</x:f>
        <x:v>390.54182240613113</x:v>
      </x:c>
    </x:row>
    <x:row r="104">
      <x:c r="A104" s="9" t="n">
        <x:f>Inputs!$C$7+102*(Inputs!$C$8-Inputs!$C$7)/240</x:f>
        <x:v>-9</x:v>
      </x:c>
      <x:c r="B104" s="9" t="n">
        <x:f>Inputs!$C$5+Inputs!$C$9*(A104/Inputs!$C$10)^2</x:f>
        <x:v>400.09</x:v>
      </x:c>
      <x:c r="C104" s="9" t="n">
        <x:f>B104</x:f>
        <x:v>400.09</x:v>
      </x:c>
      <x:c r="D104" s="9" t="n">
        <x:f>SQRT((Inputs!$C$52+B104)^2+Inputs!$C$52^2-2*(Inputs!$C$52+B104)*Inputs!$C$52*COS(SQRT(A104^2+Inputs!$C$6^2)/Inputs!$C$52))</x:f>
        <x:v>401.1969095644322</x:v>
      </x:c>
      <x:c r="E104" s="9" t="n">
        <x:f>(D104-C104)*1000</x:f>
        <x:v>1106.9095644322147</x:v>
      </x:c>
      <x:c r="F104" s="9" t="n">
        <x:f>E104/Inputs!$C$12</x:f>
        <x:v>621.8593058607947</x:v>
      </x:c>
      <x:c r="G104" s="9" t="n">
        <x:f>2*E104/Inputs!$C$21*1000000</x:f>
        <x:v>7.3845057465202455</x:v>
      </x:c>
      <x:c r="H104" s="9" t="n">
        <x:f>SQRT(A104^2+Inputs!$C$6^2)</x:f>
        <x:v>26.570660511172846</x:v>
      </x:c>
      <x:c r="I104" s="9" t="n">
        <x:f>DEGREES(ATAN(H104/B104))</x:f>
        <x:v>3.79953120706518</x:v>
      </x:c>
      <x:c r="J104" s="9" t="n">
        <x:f>DEGREES((2*PI()/Inputs!$C$13)*Inputs!$C$15*SIN(RADIANS(I104)))</x:f>
        <x:v>23.85566510612477</x:v>
      </x:c>
      <x:c r="K104" s="9" t="n">
        <x:f>(C104/D104)^4</x:f>
        <x:v>0.9890095164451073</x:v>
      </x:c>
      <x:c r="L104" s="9" t="n">
        <x:f>10*LOG10(K104)</x:f>
        <x:v>-0.0479952951534499</x:v>
      </x:c>
      <x:c r="M104" s="9" t="n">
        <x:f>2*(Inputs!$C$9/(Inputs!$C$10^2))*A104</x:f>
        <x:v>-0.02</x:v>
      </x:c>
      <x:c r="N104" s="9" t="n">
        <x:f>M104*Inputs!$C$11</x:f>
        <x:v>-0.08</x:v>
      </x:c>
      <x:c r="O104" s="9" t="n">
        <x:f>1000*(D105-D103)/(A105-A103)*Inputs!$C$11</x:f>
        <x:v>-192.55165201866475</x:v>
      </x:c>
      <x:c r="P104" s="9" t="n">
        <x:f>-2*O104/Inputs!$C$13</x:f>
        <x:v>77.0206608074659</x:v>
      </x:c>
      <x:c r="Q104" s="9" t="n">
        <x:f>-2*O104/Inputs!$C$14</x:f>
        <x:v>11.564663784904791</x:v>
      </x:c>
      <x:c r="R104" s="9" t="n">
        <x:f>F104-Inputs!$C$16/2</x:f>
        <x:v>606.8593058607947</x:v>
      </x:c>
      <x:c r="S104" s="9" t="n">
        <x:f>F104+Inputs!$C$16/2</x:f>
        <x:v>636.8593058607947</x:v>
      </x:c>
      <x:c r="T104" s="9" t="n">
        <x:f>F104-Inputs!$C$17/2</x:f>
        <x:v>471.85930586079473</x:v>
      </x:c>
      <x:c r="U104" s="9" t="n">
        <x:f>F104+Inputs!$C$17/2</x:f>
        <x:v>771.8593058607947</x:v>
      </x:c>
      <x:c r="V104" s="9" t="n">
        <x:f>ABS(P104)</x:f>
        <x:v>77.0206608074659</x:v>
      </x:c>
      <x:c r="W104" s="9" t="n">
        <x:f>ABS(Q104)</x:f>
        <x:v>11.564663784904791</x:v>
      </x:c>
      <x:c r="X104" s="9"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x:f>
        <x:v>-47.4214748383975</x:v>
      </x:c>
      <x:c r="Y104" s="9"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x:f>
        <x:v>480.618285675218</x:v>
      </x:c>
      <x:c r="Z104" s="9" t="n">
        <x:f>B104-X104/1000</x:f>
        <x:v>400.1374214748384</x:v>
      </x:c>
      <x:c r="AA104" s="9" t="n">
        <x:f>SQRT((Inputs!$C$52+B104)^2+(Inputs!$C$52+Y104/1000)^2-2*(Inputs!$C$52+B104)*(Inputs!$C$52+Y104/1000)*COS(SQRT(A104^2+Inputs!$C$6^2)/Inputs!$C$52))</x:f>
        <x:v>400.7179596898276</x:v>
      </x:c>
      <x:c r="AB104" s="9" t="n">
        <x:f>(AA104-Z104)*1000</x:f>
        <x:v>580.5382149891898</x:v>
      </x:c>
      <x:c r="AC104" s="9" t="n">
        <x:f>AB104/Inputs!$C$12</x:f>
        <x:v>326.14506460066843</x:v>
      </x:c>
      <x:c r="AD104" s="9" t="n">
        <x:f>2*AB104/Inputs!$C$21*1000000</x:f>
        <x:v>3.872934088216387</x:v>
      </x:c>
      <x:c r="AE104" s="9" t="n">
        <x:f>DEGREES(ATAN(H104/(B104-Y104/1000)))</x:f>
        <x:v>3.8040875704738526</x:v>
      </x:c>
      <x:c r="AF104" s="9" t="n">
        <x:f>DEGREES((2*PI()/Inputs!$C$13)*Inputs!$C$15*SIN(RADIANS(AE104)))</x:f>
        <x:v>23.884230581198143</x:v>
      </x:c>
      <x:c r="AG104" s="9" t="n">
        <x:f>(Z104/AA104)^4</x:f>
        <x:v>0.9942176002737692</x:v>
      </x:c>
      <x:c r="AH104" s="9" t="n">
        <x:f>10*LOG10(AG104)</x:f>
        <x:v>-0.025185529711891197</x:v>
      </x:c>
      <x:c r="AI104" s="9" t="n">
        <x:f>AC104-F104</x:f>
        <x:v>-295.7142412601263</x:v>
      </x:c>
      <x:c r="AJ104" s="9" t="n">
        <x:f>AD104-G104</x:f>
        <x:v>-3.5115716583038585</x:v>
      </x:c>
      <x:c r="AK104" s="9" t="n">
        <x:f>Y104-X104</x:f>
        <x:v>528.0397605136154</x:v>
      </x:c>
      <x:c r="AL104" s="9" t="n">
        <x:f>1000*(AA105-AA103)/(A105-A103)*Inputs!$C$11</x:f>
        <x:v>-153.0099908070497</x:v>
      </x:c>
      <x:c r="AM104" s="9" t="n">
        <x:f>-2*AL104/Inputs!$C$13</x:f>
        <x:v>61.203996322819876</x:v>
      </x:c>
      <x:c r="AN104" s="9" t="n">
        <x:f>-2*AL104/Inputs!$C$14</x:f>
        <x:v>9.189789237660642</x:v>
      </x:c>
      <x:c r="AO104" s="9" t="n">
        <x:f>ABS(AM104)</x:f>
        <x:v>61.203996322819876</x:v>
      </x:c>
      <x:c r="AP104" s="9" t="n">
        <x:f>ABS(AN104)</x:f>
        <x:v>9.189789237660642</x:v>
      </x:c>
      <x:c r="AQ104" s="9" t="n">
        <x:f>IF(OR(Inputs!$C$27=TRUE,Inputs!$C$27="TRUE",Inputs!$C$27=1),Inputs!$C$46/Inputs!$C$12,0)</x:f>
        <x:v>42.13483146067416</x:v>
      </x:c>
      <x:c r="AR104" s="9" t="n">
        <x:f>AC104-AQ104</x:f>
        <x:v>284.0102331399943</x:v>
      </x:c>
      <x:c r="AS104" s="9" t="n">
        <x:f>AC104+AQ104</x:f>
        <x:v>368.2798960613426</x:v>
      </x:c>
    </x:row>
    <x:row r="105">
      <x:c r="A105" s="9" t="n">
        <x:f>Inputs!$C$7+103*(Inputs!$C$8-Inputs!$C$7)/240</x:f>
        <x:v>-8.5</x:v>
      </x:c>
      <x:c r="B105" s="9" t="n">
        <x:f>Inputs!$C$5+Inputs!$C$9*(A105/Inputs!$C$10)^2</x:f>
        <x:v>400.0802777777778</x:v>
      </x:c>
      <x:c r="C105" s="9" t="n">
        <x:f>B105</x:f>
        <x:v>400.0802777777778</x:v>
      </x:c>
      <x:c r="D105" s="9" t="n">
        <x:f>SQRT((Inputs!$C$52+B105)^2+Inputs!$C$52^2-2*(Inputs!$C$52+B105)*Inputs!$C$52*COS(SQRT(A105^2+Inputs!$C$6^2)/Inputs!$C$52))</x:f>
        <x:v>401.17350866063003</x:v>
      </x:c>
      <x:c r="E105" s="9" t="n">
        <x:f>(D105-C105)*1000</x:f>
        <x:v>1093.2308828522537</x:v>
      </x:c>
      <x:c r="F105" s="9" t="n">
        <x:f>E105/Inputs!$C$12</x:f>
        <x:v>614.1746532877829</x:v>
      </x:c>
      <x:c r="G105" s="9" t="n">
        <x:f>2*E105/Inputs!$C$21*1000000</x:f>
        <x:v>7.29325140562578</x:v>
      </x:c>
      <x:c r="H105" s="9" t="n">
        <x:f>SQRT(A105^2+Inputs!$C$6^2)</x:f>
        <x:v>26.405491853021786</x:v>
      </x:c>
      <x:c r="I105" s="9" t="n">
        <x:f>DEGREES(ATAN(H105/B105))</x:f>
        <x:v>3.776072578786574</x:v>
      </x:c>
      <x:c r="J105" s="9" t="n">
        <x:f>DEGREES((2*PI()/Inputs!$C$13)*Inputs!$C$15*SIN(RADIANS(I105)))</x:f>
        <x:v>23.708592174666432</x:v>
      </x:c>
      <x:c r="K105" s="9" t="n">
        <x:f>(C105/D105)^4</x:f>
        <x:v>0.989144145804127</x:v>
      </x:c>
      <x:c r="L105" s="9" t="n">
        <x:f>10*LOG10(K105)</x:f>
        <x:v>-0.0474041500980325</x:v>
      </x:c>
      <x:c r="M105" s="9" t="n">
        <x:f>2*(Inputs!$C$9/(Inputs!$C$10^2))*A105</x:f>
        <x:v>-0.01888888888888889</x:v>
      </x:c>
      <x:c r="N105" s="9" t="n">
        <x:f>M105*Inputs!$C$11</x:f>
        <x:v>-0.07555555555555556</x:v>
      </x:c>
      <x:c r="O105" s="9" t="n">
        <x:f>1000*(D106-D104)/(A106-A104)*Inputs!$C$11</x:f>
        <x:v>-181.8621226407231</x:v>
      </x:c>
      <x:c r="P105" s="9" t="n">
        <x:f>-2*O105/Inputs!$C$13</x:f>
        <x:v>72.74484905628924</x:v>
      </x:c>
      <x:c r="Q105" s="9" t="n">
        <x:f>-2*O105/Inputs!$C$14</x:f>
        <x:v>10.92265000845184</x:v>
      </x:c>
      <x:c r="R105" s="9" t="n">
        <x:f>F105-Inputs!$C$16/2</x:f>
        <x:v>599.1746532877829</x:v>
      </x:c>
      <x:c r="S105" s="9" t="n">
        <x:f>F105+Inputs!$C$16/2</x:f>
        <x:v>629.1746532877829</x:v>
      </x:c>
      <x:c r="T105" s="9" t="n">
        <x:f>F105-Inputs!$C$17/2</x:f>
        <x:v>464.1746532877829</x:v>
      </x:c>
      <x:c r="U105" s="9" t="n">
        <x:f>F105+Inputs!$C$17/2</x:f>
        <x:v>764.1746532877829</x:v>
      </x:c>
      <x:c r="V105" s="9" t="n">
        <x:f>ABS(P105)</x:f>
        <x:v>72.74484905628924</x:v>
      </x:c>
      <x:c r="W105" s="9" t="n">
        <x:f>ABS(Q105)</x:f>
        <x:v>10.92265000845184</x:v>
      </x:c>
      <x:c r="X105" s="9"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x:f>
        <x:v>-61.84832289166857</x:v>
      </x:c>
      <x:c r="Y105" s="9"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x:f>
        <x:v>460.6206107904381</x:v>
      </x:c>
      <x:c r="Z105" s="9" t="n">
        <x:f>B105-X105/1000</x:f>
        <x:v>400.14212610066943</x:v>
      </x:c>
      <x:c r="AA105" s="9" t="n">
        <x:f>SQRT((Inputs!$C$52+B105)^2+(Inputs!$C$52+Y105/1000)^2-2*(Inputs!$C$52+B105)*(Inputs!$C$52+Y105/1000)*COS(SQRT(A105^2+Inputs!$C$6^2)/Inputs!$C$52))</x:f>
        <x:v>400.714467281934</x:v>
      </x:c>
      <x:c r="AB105" s="9" t="n">
        <x:f>(AA105-Z105)*1000</x:f>
        <x:v>572.3411812645622</x:v>
      </x:c>
      <x:c r="AC105" s="9" t="n">
        <x:f>AB105/Inputs!$C$12</x:f>
        <x:v>321.53998947447315</x:v>
      </x:c>
      <x:c r="AD105" s="9" t="n">
        <x:f>2*AB105/Inputs!$C$21*1000000</x:f>
        <x:v>3.8182493654631044</x:v>
      </x:c>
      <x:c r="AE105" s="9" t="n">
        <x:f>DEGREES(ATAN(H105/(B105-Y105/1000)))</x:f>
        <x:v>3.7804124455522796</x:v>
      </x:c>
      <x:c r="AF105" s="9" t="n">
        <x:f>DEGREES((2*PI()/Inputs!$C$13)*Inputs!$C$15*SIN(RADIANS(AE105)))</x:f>
        <x:v>23.735801096075644</x:v>
      </x:c>
      <x:c r="AG105" s="9" t="n">
        <x:f>(Z105/AA105)^4</x:f>
        <x:v>0.9942990215607245</x:v>
      </x:c>
      <x:c r="AH105" s="9" t="n">
        <x:f>10*LOG10(AG105)</x:f>
        <x:v>-0.0248298795225425</x:v>
      </x:c>
      <x:c r="AI105" s="9" t="n">
        <x:f>AC105-F105</x:f>
        <x:v>-292.63466381330977</x:v>
      </x:c>
      <x:c r="AJ105" s="9" t="n">
        <x:f>AD105-G105</x:f>
        <x:v>-3.4750020401626753</x:v>
      </x:c>
      <x:c r="AK105" s="9" t="n">
        <x:f>Y105-X105</x:f>
        <x:v>522.4689336821067</x:v>
      </x:c>
      <x:c r="AL105" s="9" t="n">
        <x:f>1000*(AA106-AA104)/(A106-A104)*Inputs!$C$11</x:f>
        <x:v>-162.27947085280903</x:v>
      </x:c>
      <x:c r="AM105" s="9" t="n">
        <x:f>-2*AL105/Inputs!$C$13</x:f>
        <x:v>64.91178834112361</x:v>
      </x:c>
      <x:c r="AN105" s="9" t="n">
        <x:f>-2*AL105/Inputs!$C$14</x:f>
        <x:v>9.746514765934476</x:v>
      </x:c>
      <x:c r="AO105" s="9" t="n">
        <x:f>ABS(AM105)</x:f>
        <x:v>64.91178834112361</x:v>
      </x:c>
      <x:c r="AP105" s="9" t="n">
        <x:f>ABS(AN105)</x:f>
        <x:v>9.746514765934476</x:v>
      </x:c>
      <x:c r="AQ105" s="9" t="n">
        <x:f>IF(OR(Inputs!$C$27=TRUE,Inputs!$C$27="TRUE",Inputs!$C$27=1),Inputs!$C$46/Inputs!$C$12,0)</x:f>
        <x:v>42.13483146067416</x:v>
      </x:c>
      <x:c r="AR105" s="9" t="n">
        <x:f>AC105-AQ105</x:f>
        <x:v>279.405158013799</x:v>
      </x:c>
      <x:c r="AS105" s="9" t="n">
        <x:f>AC105+AQ105</x:f>
        <x:v>363.6748209351473</x:v>
      </x:c>
    </x:row>
    <x:row r="106">
      <x:c r="A106" s="9" t="n">
        <x:f>Inputs!$C$7+104*(Inputs!$C$8-Inputs!$C$7)/240</x:f>
        <x:v>-8</x:v>
      </x:c>
      <x:c r="B106" s="9" t="n">
        <x:f>Inputs!$C$5+Inputs!$C$9*(A106/Inputs!$C$10)^2</x:f>
        <x:v>400.0711111111111</x:v>
      </x:c>
      <x:c r="C106" s="9" t="n">
        <x:f>B106</x:f>
        <x:v>400.0711111111111</x:v>
      </x:c>
      <x:c r="D106" s="9" t="n">
        <x:f>SQRT((Inputs!$C$52+B106)^2+Inputs!$C$52^2-2*(Inputs!$C$52+B106)*Inputs!$C$52*COS(SQRT(A106^2+Inputs!$C$6^2)/Inputs!$C$52))</x:f>
        <x:v>401.151444033772</x:v>
      </x:c>
      <x:c r="E106" s="9" t="n">
        <x:f>(D106-C106)*1000</x:f>
        <x:v>1080.3329226608867</x:v>
      </x:c>
      <x:c r="F106" s="9" t="n">
        <x:f>E106/Inputs!$C$12</x:f>
        <x:v>606.9286082364532</x:v>
      </x:c>
      <x:c r="G106" s="9" t="n">
        <x:f>2*E106/Inputs!$C$21*1000000</x:f>
        <x:v>7.207205477203076</x:v>
      </x:c>
      <x:c r="H106" s="9" t="n">
        <x:f>SQRT(A106^2+Inputs!$C$6^2)</x:f>
        <x:v>26.248809496813376</x:v>
      </x:c>
      <x:c r="I106" s="9" t="n">
        <x:f>DEGREES(ATAN(H106/B106))</x:f>
        <x:v>3.75381649570681</x:v>
      </x:c>
      <x:c r="J106" s="9" t="n">
        <x:f>DEGREES((2*PI()/Inputs!$C$13)*Inputs!$C$15*SIN(RADIANS(I106)))</x:f>
        <x:v>23.56905487786457</x:v>
      </x:c>
      <x:c r="K106" s="9" t="n">
        <x:f>(C106/D106)^4</x:f>
        <x:v>0.989271118085209</x:v>
      </x:c>
      <x:c r="L106" s="9" t="n">
        <x:f>10*LOG10(K106)</x:f>
        <x:v>-0.0468467002834181</x:v>
      </x:c>
      <x:c r="M106" s="9" t="n">
        <x:f>2*(Inputs!$C$9/(Inputs!$C$10^2))*A106</x:f>
        <x:v>-0.017777777777777778</x:v>
      </x:c>
      <x:c r="N106" s="9" t="n">
        <x:f>M106*Inputs!$C$11</x:f>
        <x:v>-0.07111111111111111</x:v>
      </x:c>
      <x:c r="O106" s="9" t="n">
        <x:f>1000*(D107-D105)/(A107-A105)*Inputs!$C$11</x:f>
        <x:v>-171.1712599292241</x:v>
      </x:c>
      <x:c r="P106" s="9" t="n">
        <x:f>-2*O106/Inputs!$C$13</x:f>
        <x:v>68.46850397168964</x:v>
      </x:c>
      <x:c r="Q106" s="9" t="n">
        <x:f>-2*O106/Inputs!$C$14</x:f>
        <x:v>10.280556151905353</x:v>
      </x:c>
      <x:c r="R106" s="9" t="n">
        <x:f>F106-Inputs!$C$16/2</x:f>
        <x:v>591.9286082364532</x:v>
      </x:c>
      <x:c r="S106" s="9" t="n">
        <x:f>F106+Inputs!$C$16/2</x:f>
        <x:v>621.9286082364532</x:v>
      </x:c>
      <x:c r="T106" s="9" t="n">
        <x:f>F106-Inputs!$C$17/2</x:f>
        <x:v>456.9286082364532</x:v>
      </x:c>
      <x:c r="U106" s="9" t="n">
        <x:f>F106+Inputs!$C$17/2</x:f>
        <x:v>756.9286082364532</x:v>
      </x:c>
      <x:c r="V106" s="9" t="n">
        <x:f>ABS(P106)</x:f>
        <x:v>68.46850397168964</x:v>
      </x:c>
      <x:c r="W106" s="9" t="n">
        <x:f>ABS(Q106)</x:f>
        <x:v>10.280556151905353</x:v>
      </x:c>
      <x:c r="X106" s="9"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x:f>
        <x:v>-39.34099577037003</x:v>
      </x:c>
      <x:c r="Y106" s="9"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x:f>
        <x:v>475.6659223963138</x:v>
      </x:c>
      <x:c r="Z106" s="9" t="n">
        <x:f>B106-X106/1000</x:f>
        <x:v>400.1104521068815</x:v>
      </x:c>
      <x:c r="AA106" s="9" t="n">
        <x:f>SQRT((Inputs!$C$52+B106)^2+(Inputs!$C$52+Y106/1000)^2-2*(Inputs!$C$52+B106)*(Inputs!$C$52+Y106/1000)*COS(SQRT(A106^2+Inputs!$C$6^2)/Inputs!$C$52))</x:f>
        <x:v>400.6773898221144</x:v>
      </x:c>
      <x:c r="AB106" s="9" t="n">
        <x:f>(AA106-Z106)*1000</x:f>
        <x:v>566.937715232882</x:v>
      </x:c>
      <x:c r="AC106" s="9" t="n">
        <x:f>AB106/Inputs!$C$12</x:f>
        <x:v>318.5043344004955</x:v>
      </x:c>
      <x:c r="AD106" s="9" t="n">
        <x:f>2*AB106/Inputs!$C$21*1000000</x:f>
        <x:v>3.7822013203072777</x:v>
      </x:c>
      <x:c r="AE106" s="9" t="n">
        <x:f>DEGREES(ATAN(H106/(B106-Y106/1000)))</x:f>
        <x:v>3.758272122844037</x:v>
      </x:c>
      <x:c r="AF106" s="9" t="n">
        <x:f>DEGREES((2*PI()/Inputs!$C$13)*Inputs!$C$15*SIN(RADIANS(AE106)))</x:f>
        <x:v>23.596990274926846</x:v>
      </x:c>
      <x:c r="AG106" s="9" t="n">
        <x:f>(Z106/AA106)^4</x:f>
        <x:v>0.9943522087037294</x:v>
      </x:c>
      <x:c r="AH106" s="9" t="n">
        <x:f>10*LOG10(AG106)</x:f>
        <x:v>-0.0245975724958581</x:v>
      </x:c>
      <x:c r="AI106" s="9" t="n">
        <x:f>AC106-F106</x:f>
        <x:v>-288.4242738359577</x:v>
      </x:c>
      <x:c r="AJ106" s="9" t="n">
        <x:f>AD106-G106</x:f>
        <x:v>-3.4250041568957985</x:v>
      </x:c>
      <x:c r="AK106" s="9" t="n">
        <x:f>Y106-X106</x:f>
        <x:v>515.0069181666838</x:v>
      </x:c>
      <x:c r="AL106" s="9" t="n">
        <x:f>1000*(AA107-AA105)/(A107-A105)*Inputs!$C$11</x:f>
        <x:v>-209.75978813908114</x:v>
      </x:c>
      <x:c r="AM106" s="9" t="n">
        <x:f>-2*AL106/Inputs!$C$13</x:f>
        <x:v>83.90391525563246</x:v>
      </x:c>
      <x:c r="AN106" s="9" t="n">
        <x:f>-2*AL106/Inputs!$C$14</x:f>
        <x:v>12.598185473818688</x:v>
      </x:c>
      <x:c r="AO106" s="9" t="n">
        <x:f>ABS(AM106)</x:f>
        <x:v>83.90391525563246</x:v>
      </x:c>
      <x:c r="AP106" s="9" t="n">
        <x:f>ABS(AN106)</x:f>
        <x:v>12.598185473818688</x:v>
      </x:c>
      <x:c r="AQ106" s="9" t="n">
        <x:f>IF(OR(Inputs!$C$27=TRUE,Inputs!$C$27="TRUE",Inputs!$C$27=1),Inputs!$C$46/Inputs!$C$12,0)</x:f>
        <x:v>42.13483146067416</x:v>
      </x:c>
      <x:c r="AR106" s="9" t="n">
        <x:f>AC106-AQ106</x:f>
        <x:v>276.36950293982136</x:v>
      </x:c>
      <x:c r="AS106" s="9" t="n">
        <x:f>AC106+AQ106</x:f>
        <x:v>360.63916586116966</x:v>
      </x:c>
    </x:row>
    <x:row r="107">
      <x:c r="A107" s="9" t="n">
        <x:f>Inputs!$C$7+105*(Inputs!$C$8-Inputs!$C$7)/240</x:f>
        <x:v>-7.5</x:v>
      </x:c>
      <x:c r="B107" s="9" t="n">
        <x:f>Inputs!$C$5+Inputs!$C$9*(A107/Inputs!$C$10)^2</x:f>
        <x:v>400.0625</x:v>
      </x:c>
      <x:c r="C107" s="9" t="n">
        <x:f>B107</x:f>
        <x:v>400.0625</x:v>
      </x:c>
      <x:c r="D107" s="9" t="n">
        <x:f>SQRT((Inputs!$C$52+B107)^2+Inputs!$C$52^2-2*(Inputs!$C$52+B107)*Inputs!$C$52*COS(SQRT(A107^2+Inputs!$C$6^2)/Inputs!$C$52))</x:f>
        <x:v>401.1307158456477</x:v>
      </x:c>
      <x:c r="E107" s="9" t="n">
        <x:f>(D107-C107)*1000</x:f>
        <x:v>1068.2158456477282</x:v>
      </x:c>
      <x:c r="F107" s="9" t="n">
        <x:f>E107/Inputs!$C$12</x:f>
        <x:v>600.1212615998473</x:v>
      </x:c>
      <x:c r="G107" s="9" t="n">
        <x:f>2*E107/Inputs!$C$21*1000000</x:f>
        <x:v>7.126369040596266</x:v>
      </x:c>
      <x:c r="H107" s="9" t="n">
        <x:f>SQRT(A107^2+Inputs!$C$6^2)</x:f>
        <x:v>26.100766272276374</x:v>
      </x:c>
      <x:c r="I107" s="9" t="n">
        <x:f>DEGREES(ATAN(H107/B107))</x:f>
        <x:v>3.7327851196426796</x:v>
      </x:c>
      <x:c r="J107" s="9" t="n">
        <x:f>DEGREES((2*PI()/Inputs!$C$13)*Inputs!$C$15*SIN(RADIANS(I107)))</x:f>
        <x:v>23.437192766426364</x:v>
      </x:c>
      <x:c r="K107" s="9" t="n">
        <x:f>(C107/D107)^4</x:f>
        <x:v>0.9893904269426156</x:v>
      </x:c>
      <x:c r="L107" s="9" t="n">
        <x:f>10*LOG10(K107)</x:f>
        <x:v>-0.0463229606008344</x:v>
      </x:c>
      <x:c r="M107" s="9" t="n">
        <x:f>2*(Inputs!$C$9/(Inputs!$C$10^2))*A107</x:f>
        <x:v>-0.016666666666666666</x:v>
      </x:c>
      <x:c r="N107" s="9" t="n">
        <x:f>M107*Inputs!$C$11</x:f>
        <x:v>-0.06666666666666667</x:v>
      </x:c>
      <x:c r="O107" s="9" t="n">
        <x:f>1000*(D108-D106)/(A108-A106)*Inputs!$C$11</x:f>
        <x:v>-160.4791419626963</x:v>
      </x:c>
      <x:c r="P107" s="9" t="n">
        <x:f>-2*O107/Inputs!$C$13</x:f>
        <x:v>64.19165678507852</x:v>
      </x:c>
      <x:c r="Q107" s="9" t="n">
        <x:f>-2*O107/Inputs!$C$14</x:f>
        <x:v>9.638386904666445</x:v>
      </x:c>
      <x:c r="R107" s="9" t="n">
        <x:f>F107-Inputs!$C$16/2</x:f>
        <x:v>585.1212615998473</x:v>
      </x:c>
      <x:c r="S107" s="9" t="n">
        <x:f>F107+Inputs!$C$16/2</x:f>
        <x:v>615.1212615998473</x:v>
      </x:c>
      <x:c r="T107" s="9" t="n">
        <x:f>F107-Inputs!$C$17/2</x:f>
        <x:v>450.12126159984734</x:v>
      </x:c>
      <x:c r="U107" s="9" t="n">
        <x:f>F107+Inputs!$C$17/2</x:f>
        <x:v>750.1212615998473</x:v>
      </x:c>
      <x:c r="V107" s="9" t="n">
        <x:f>ABS(P107)</x:f>
        <x:v>64.19165678507852</x:v>
      </x:c>
      <x:c r="W107" s="9" t="n">
        <x:f>ABS(Q107)</x:f>
        <x:v>9.638386904666445</x:v>
      </x:c>
      <x:c r="X107" s="9"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x:f>
        <x:v>-43.22381145165265</x:v>
      </x:c>
      <x:c r="Y107" s="9"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x:f>
        <x:v>470.2640951439132</x:v>
      </x:c>
      <x:c r="Z107" s="9" t="n">
        <x:f>B107-X107/1000</x:f>
        <x:v>400.10572381145164</x:v>
      </x:c>
      <x:c r="AA107" s="9" t="n">
        <x:f>SQRT((Inputs!$C$52+B107)^2+(Inputs!$C$52+Y107/1000)^2-2*(Inputs!$C$52+B107)*(Inputs!$C$52+Y107/1000)*COS(SQRT(A107^2+Inputs!$C$6^2)/Inputs!$C$52))</x:f>
        <x:v>400.6620273348992</x:v>
      </x:c>
      <x:c r="AB107" s="9" t="n">
        <x:f>(AA107-Z107)*1000</x:f>
        <x:v>556.3035234475819</x:v>
      </x:c>
      <x:c r="AC107" s="9" t="n">
        <x:f>AB107/Inputs!$C$12</x:f>
        <x:v>312.5300693525741</x:v>
      </x:c>
      <x:c r="AD107" s="9" t="n">
        <x:f>2*AB107/Inputs!$C$21*1000000</x:f>
        <x:v>3.7112576290867327</x:v>
      </x:c>
      <x:c r="AE107" s="9" t="n">
        <x:f>DEGREES(ATAN(H107/(B107-Y107/1000)))</x:f>
        <x:v>3.737165643146335</x:v>
      </x:c>
      <x:c r="AF107" s="9" t="n">
        <x:f>DEGREES((2*PI()/Inputs!$C$13)*Inputs!$C$15*SIN(RADIANS(AE107)))</x:f>
        <x:v>23.464657948210338</x:v>
      </x:c>
      <x:c r="AG107" s="9" t="n">
        <x:f>(Z107/AA107)^4</x:f>
        <x:v>0.9944577129930591</x:v>
      </x:c>
      <x:c r="AH107" s="9" t="n">
        <x:f>10*LOG10(AG107)</x:f>
        <x:v>-0.0241367951212472</x:v>
      </x:c>
      <x:c r="AI107" s="9" t="n">
        <x:f>AC107-F107</x:f>
        <x:v>-287.5911922472732</x:v>
      </x:c>
      <x:c r="AJ107" s="9" t="n">
        <x:f>AD107-G107</x:f>
        <x:v>-3.4151114115095336</x:v>
      </x:c>
      <x:c r="AK107" s="9" t="n">
        <x:f>Y107-X107</x:f>
        <x:v>513.4879065955658</x:v>
      </x:c>
      <x:c r="AL107" s="9" t="n">
        <x:f>1000*(AA108-AA106)/(A108-A106)*Inputs!$C$11</x:f>
        <x:v>-30.21739786731814</x:v>
      </x:c>
      <x:c r="AM107" s="9" t="n">
        <x:f>-2*AL107/Inputs!$C$13</x:f>
        <x:v>12.086959146927256</x:v>
      </x:c>
      <x:c r="AN107" s="9" t="n">
        <x:f>-2*AL107/Inputs!$C$14</x:f>
        <x:v>1.8148587307698585</x:v>
      </x:c>
      <x:c r="AO107" s="9" t="n">
        <x:f>ABS(AM107)</x:f>
        <x:v>12.086959146927256</x:v>
      </x:c>
      <x:c r="AP107" s="9" t="n">
        <x:f>ABS(AN107)</x:f>
        <x:v>1.8148587307698585</x:v>
      </x:c>
      <x:c r="AQ107" s="9" t="n">
        <x:f>IF(OR(Inputs!$C$27=TRUE,Inputs!$C$27="TRUE",Inputs!$C$27=1),Inputs!$C$46/Inputs!$C$12,0)</x:f>
        <x:v>42.13483146067416</x:v>
      </x:c>
      <x:c r="AR107" s="9" t="n">
        <x:f>AC107-AQ107</x:f>
        <x:v>270.39523789189997</x:v>
      </x:c>
      <x:c r="AS107" s="9" t="n">
        <x:f>AC107+AQ107</x:f>
        <x:v>354.66490081324827</x:v>
      </x:c>
    </x:row>
    <x:row r="108">
      <x:c r="A108" s="9" t="n">
        <x:f>Inputs!$C$7+106*(Inputs!$C$8-Inputs!$C$7)/240</x:f>
        <x:v>-7</x:v>
      </x:c>
      <x:c r="B108" s="9" t="n">
        <x:f>Inputs!$C$5+Inputs!$C$9*(A108/Inputs!$C$10)^2</x:f>
        <x:v>400.05444444444447</x:v>
      </x:c>
      <x:c r="C108" s="9" t="n">
        <x:f>B108</x:f>
        <x:v>400.05444444444447</x:v>
      </x:c>
      <x:c r="D108" s="9" t="n">
        <x:f>SQRT((Inputs!$C$52+B108)^2+Inputs!$C$52^2-2*(Inputs!$C$52+B108)*Inputs!$C$52*COS(SQRT(A108^2+Inputs!$C$6^2)/Inputs!$C$52))</x:f>
        <x:v>401.11132424828133</x:v>
      </x:c>
      <x:c r="E108" s="9" t="n">
        <x:f>(D108-C108)*1000</x:f>
        <x:v>1056.879803836864</x:v>
      </x:c>
      <x:c r="F108" s="9" t="n">
        <x:f>E108/Inputs!$C$12</x:f>
        <x:v>593.7526987847551</x:v>
      </x:c>
      <x:c r="G108" s="9" t="n">
        <x:f>2*E108/Inputs!$C$21*1000000</x:f>
        <x:v>7.05074311000088</x:v>
      </x:c>
      <x:c r="H108" s="9" t="n">
        <x:f>SQRT(A108^2+Inputs!$C$6^2)</x:f>
        <x:v>25.96150997149434</x:v>
      </x:c>
      <x:c r="I108" s="9" t="n">
        <x:f>DEGREES(ATAN(H108/B108))</x:f>
        <x:v>3.7129998776451707</x:v>
      </x:c>
      <x:c r="J108" s="9" t="n">
        <x:f>DEGREES((2*PI()/Inputs!$C$13)*Inputs!$C$15*SIN(RADIANS(I108)))</x:f>
        <x:v>23.31314075897189</x:v>
      </x:c>
      <x:c r="K108" s="9" t="n">
        <x:f>(C108/D108)^4</x:f>
        <x:v>0.9895020664115125</x:v>
      </x:c>
      <x:c r="L108" s="9" t="n">
        <x:f>10*LOG10(K108)</x:f>
        <x:v>-0.045832945043963</x:v>
      </x:c>
      <x:c r="M108" s="9" t="n">
        <x:f>2*(Inputs!$C$9/(Inputs!$C$10^2))*A108</x:f>
        <x:v>-0.015555555555555555</x:v>
      </x:c>
      <x:c r="N108" s="9" t="n">
        <x:f>M108*Inputs!$C$11</x:f>
        <x:v>-0.06222222222222222</x:v>
      </x:c>
      <x:c r="O108" s="9" t="n">
        <x:f>1000*(D109-D107)/(A109-A107)*Inputs!$C$11</x:f>
        <x:v>-149.78584691539254</x:v>
      </x:c>
      <x:c r="P108" s="9" t="n">
        <x:f>-2*O108/Inputs!$C$13</x:f>
        <x:v>59.914338766157016</x:v>
      </x:c>
      <x:c r="Q108" s="9" t="n">
        <x:f>-2*O108/Inputs!$C$14</x:f>
        <x:v>8.996146961885438</x:v>
      </x:c>
      <x:c r="R108" s="9" t="n">
        <x:f>F108-Inputs!$C$16/2</x:f>
        <x:v>578.7526987847551</x:v>
      </x:c>
      <x:c r="S108" s="9" t="n">
        <x:f>F108+Inputs!$C$16/2</x:f>
        <x:v>608.7526987847551</x:v>
      </x:c>
      <x:c r="T108" s="9" t="n">
        <x:f>F108-Inputs!$C$17/2</x:f>
        <x:v>443.7526987847551</x:v>
      </x:c>
      <x:c r="U108" s="9" t="n">
        <x:f>F108+Inputs!$C$17/2</x:f>
        <x:v>743.7526987847551</x:v>
      </x:c>
      <x:c r="V108" s="9" t="n">
        <x:f>ABS(P108)</x:f>
        <x:v>59.914338766157016</x:v>
      </x:c>
      <x:c r="W108" s="9" t="n">
        <x:f>ABS(Q108)</x:f>
        <x:v>8.996146961885438</x:v>
      </x:c>
      <x:c r="X108" s="9"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x:f>
        <x:v>-48.04634011268098</x:v>
      </x:c>
      <x:c r="Y108" s="9"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x:f>
        <x:v>442.95708145426426</x:v>
      </x:c>
      <x:c r="Z108" s="9" t="n">
        <x:f>B108-X108/1000</x:f>
        <x:v>400.1024907845572</x:v>
      </x:c>
      <x:c r="AA108" s="9" t="n">
        <x:f>SQRT((Inputs!$C$52+B108)^2+(Inputs!$C$52+Y108/1000)^2-2*(Inputs!$C$52+B108)*(Inputs!$C$52+Y108/1000)*COS(SQRT(A108^2+Inputs!$C$6^2)/Inputs!$C$52))</x:f>
        <x:v>400.66983547264755</x:v>
      </x:c>
      <x:c r="AB108" s="9" t="n">
        <x:f>(AA108-Z108)*1000</x:f>
        <x:v>567.3446880903725</x:v>
      </x:c>
      <x:c r="AC108" s="9" t="n">
        <x:f>AB108/Inputs!$C$12</x:f>
        <x:v>318.73297083728795</x:v>
      </x:c>
      <x:c r="AD108" s="9" t="n">
        <x:f>2*AB108/Inputs!$C$21*1000000</x:f>
        <x:v>3.784916350966858</x:v>
      </x:c>
      <x:c r="AE108" s="9" t="n">
        <x:f>DEGREES(ATAN(H108/(B108-Y108/1000)))</x:f>
        <x:v>3.717104091851114</x:v>
      </x:c>
      <x:c r="AF108" s="9" t="n">
        <x:f>DEGREES((2*PI()/Inputs!$C$13)*Inputs!$C$15*SIN(RADIANS(AE108)))</x:f>
        <x:v>23.338874108222925</x:v>
      </x:c>
      <x:c r="AG108" s="9" t="n">
        <x:f>(Z108/AA108)^4</x:f>
        <x:v>0.994348056748381</x:v>
      </x:c>
      <x:c r="AH108" s="9" t="n">
        <x:f>10*LOG10(AG108)</x:f>
        <x:v>-0.0246157066644732</x:v>
      </x:c>
      <x:c r="AI108" s="9" t="n">
        <x:f>AC108-F108</x:f>
        <x:v>-275.0197279474672</x:v>
      </x:c>
      <x:c r="AJ108" s="9" t="n">
        <x:f>AD108-G108</x:f>
        <x:v>-3.265826759034022</x:v>
      </x:c>
      <x:c r="AK108" s="9" t="n">
        <x:f>Y108-X108</x:f>
        <x:v>491.00342156694524</x:v>
      </x:c>
      <x:c r="AL108" s="9" t="n">
        <x:f>1000*(AA109-AA107)/(A109-A107)*Inputs!$C$11</x:f>
        <x:v>-92.28828727555083</x:v>
      </x:c>
      <x:c r="AM108" s="9" t="n">
        <x:f>-2*AL108/Inputs!$C$13</x:f>
        <x:v>36.91531491022033</x:v>
      </x:c>
      <x:c r="AN108" s="9" t="n">
        <x:f>-2*AL108/Inputs!$C$14</x:f>
        <x:v>5.54284007660966</x:v>
      </x:c>
      <x:c r="AO108" s="9" t="n">
        <x:f>ABS(AM108)</x:f>
        <x:v>36.91531491022033</x:v>
      </x:c>
      <x:c r="AP108" s="9" t="n">
        <x:f>ABS(AN108)</x:f>
        <x:v>5.54284007660966</x:v>
      </x:c>
      <x:c r="AQ108" s="9" t="n">
        <x:f>IF(OR(Inputs!$C$27=TRUE,Inputs!$C$27="TRUE",Inputs!$C$27=1),Inputs!$C$46/Inputs!$C$12,0)</x:f>
        <x:v>42.13483146067416</x:v>
      </x:c>
      <x:c r="AR108" s="9" t="n">
        <x:f>AC108-AQ108</x:f>
        <x:v>276.5981393766138</x:v>
      </x:c>
      <x:c r="AS108" s="9" t="n">
        <x:f>AC108+AQ108</x:f>
        <x:v>360.8678022979621</x:v>
      </x:c>
    </x:row>
    <x:row r="109">
      <x:c r="A109" s="9" t="n">
        <x:f>Inputs!$C$7+107*(Inputs!$C$8-Inputs!$C$7)/240</x:f>
        <x:v>-6.5</x:v>
      </x:c>
      <x:c r="B109" s="9" t="n">
        <x:f>Inputs!$C$5+Inputs!$C$9*(A109/Inputs!$C$10)^2</x:f>
        <x:v>400.0469444444444</x:v>
      </x:c>
      <x:c r="C109" s="9" t="n">
        <x:f>B109</x:f>
        <x:v>400.0469444444444</x:v>
      </x:c>
      <x:c r="D109" s="9" t="n">
        <x:f>SQRT((Inputs!$C$52+B109)^2+Inputs!$C$52^2-2*(Inputs!$C$52+B109)*Inputs!$C$52*COS(SQRT(A109^2+Inputs!$C$6^2)/Inputs!$C$52))</x:f>
        <x:v>401.0932693839189</x:v>
      </x:c>
      <x:c r="E109" s="9" t="n">
        <x:f>(D109-C109)*1000</x:f>
        <x:v>1046.3249394744594</x:v>
      </x:c>
      <x:c r="F109" s="9" t="n">
        <x:f>E109/Inputs!$C$12</x:f>
        <x:v>587.8229997047524</x:v>
      </x:c>
      <x:c r="G109" s="9" t="n">
        <x:f>2*E109/Inputs!$C$21*1000000</x:f>
        <x:v>6.980328634381184</x:v>
      </x:c>
      <x:c r="H109" s="9" t="n">
        <x:f>SQRT(A109^2+Inputs!$C$6^2)</x:f>
        <x:v>25.83118270617898</x:v>
      </x:c>
      <x:c r="I109" s="9" t="n">
        <x:f>DEGREES(ATAN(H109/B109))</x:f>
        <x:v>3.694481369413298</x:v>
      </x:c>
      <x:c r="J109" s="9" t="n">
        <x:f>DEGREES((2*PI()/Inputs!$C$13)*Inputs!$C$15*SIN(RADIANS(I109)))</x:f>
        <x:v>23.19702855979598</x:v>
      </x:c>
      <x:c r="K109" s="9" t="n">
        <x:f>(C109/D109)^4</x:f>
        <x:v>0.9896060309087035</x:v>
      </x:c>
      <x:c r="L109" s="9" t="n">
        <x:f>10*LOG10(K109)</x:f>
        <x:v>-0.0453766667078119</x:v>
      </x:c>
      <x:c r="M109" s="9" t="n">
        <x:f>2*(Inputs!$C$9/(Inputs!$C$10^2))*A109</x:f>
        <x:v>-0.014444444444444444</x:v>
      </x:c>
      <x:c r="N109" s="9" t="n">
        <x:f>M109*Inputs!$C$11</x:f>
        <x:v>-0.057777777777777775</x:v>
      </x:c>
      <x:c r="O109" s="9" t="n">
        <x:f>1000*(D110-D108)/(A110-A108)*Inputs!$C$11</x:f>
        <x:v>-139.0914529733891</x:v>
      </x:c>
      <x:c r="P109" s="9" t="n">
        <x:f>-2*O109/Inputs!$C$13</x:f>
        <x:v>55.63658118935564</x:v>
      </x:c>
      <x:c r="Q109" s="9" t="n">
        <x:f>-2*O109/Inputs!$C$14</x:f>
        <x:v>8.353841019422768</x:v>
      </x:c>
      <x:c r="R109" s="9" t="n">
        <x:f>F109-Inputs!$C$16/2</x:f>
        <x:v>572.8229997047524</x:v>
      </x:c>
      <x:c r="S109" s="9" t="n">
        <x:f>F109+Inputs!$C$16/2</x:f>
        <x:v>602.8229997047524</x:v>
      </x:c>
      <x:c r="T109" s="9" t="n">
        <x:f>F109-Inputs!$C$17/2</x:f>
        <x:v>437.8229997047524</x:v>
      </x:c>
      <x:c r="U109" s="9" t="n">
        <x:f>F109+Inputs!$C$17/2</x:f>
        <x:v>737.8229997047524</x:v>
      </x:c>
      <x:c r="V109" s="9" t="n">
        <x:f>ABS(P109)</x:f>
        <x:v>55.63658118935564</x:v>
      </x:c>
      <x:c r="W109" s="9" t="n">
        <x:f>ABS(Q109)</x:f>
        <x:v>8.353841019422768</x:v>
      </x:c>
      <x:c r="X109" s="9"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x:f>
        <x:v>-59.466303655605586</x:v>
      </x:c>
      <x:c r="Y109" s="9"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x:f>
        <x:v>455.8100478474453</x:v>
      </x:c>
      <x:c r="Z109" s="9" t="n">
        <x:f>B109-X109/1000</x:f>
        <x:v>400.1064107481</x:v>
      </x:c>
      <x:c r="AA109" s="9" t="n">
        <x:f>SQRT((Inputs!$C$52+B109)^2+(Inputs!$C$52+Y109/1000)^2-2*(Inputs!$C$52+B109)*(Inputs!$C$52+Y109/1000)*COS(SQRT(A109^2+Inputs!$C$6^2)/Inputs!$C$52))</x:f>
        <x:v>400.63895526308033</x:v>
      </x:c>
      <x:c r="AB109" s="9" t="n">
        <x:f>(AA109-Z109)*1000</x:f>
        <x:v>532.5445149803159</x:v>
      </x:c>
      <x:c r="AC109" s="9" t="n">
        <x:f>AB109/Inputs!$C$12</x:f>
        <x:v>299.1823117866943</x:v>
      </x:c>
      <x:c r="AD109" s="9" t="n">
        <x:f>2*AB109/Inputs!$C$21*1000000</x:f>
        <x:v>3.5527545858429557</x:v>
      </x:c>
      <x:c r="AE109" s="9" t="n">
        <x:f>DEGREES(ATAN(H109/(B109-Y109/1000)))</x:f>
        <x:v>3.6986839398815357</x:v>
      </x:c>
      <x:c r="AF109" s="9" t="n">
        <x:f>DEGREES((2*PI()/Inputs!$C$13)*Inputs!$C$15*SIN(RADIANS(AE109)))</x:f>
        <x:v>23.223379151193264</x:v>
      </x:c>
      <x:c r="AG109" s="9" t="n">
        <x:f>(Z109/AA109)^4</x:f>
        <x:v>0.9946936399365787</x:v>
      </x:c>
      <x:c r="AH109" s="9" t="n">
        <x:f>10*LOG10(AG109)</x:f>
        <x:v>-0.023106589249457597</x:v>
      </x:c>
      <x:c r="AI109" s="9" t="n">
        <x:f>AC109-F109</x:f>
        <x:v>-288.6406879180581</x:v>
      </x:c>
      <x:c r="AJ109" s="9" t="n">
        <x:f>AD109-G109</x:f>
        <x:v>-3.4275740485382284</x:v>
      </x:c>
      <x:c r="AK109" s="9" t="n">
        <x:f>Y109-X109</x:f>
        <x:v>515.2763515030508</x:v>
      </x:c>
      <x:c r="AL109" s="9" t="n">
        <x:f>1000*(AA110-AA108)/(A110-A108)*Inputs!$C$11</x:f>
        <x:v>-158.3269913469394</x:v>
      </x:c>
      <x:c r="AM109" s="9" t="n">
        <x:f>-2*AL109/Inputs!$C$13</x:f>
        <x:v>63.33079653877576</x:v>
      </x:c>
      <x:c r="AN109" s="9" t="n">
        <x:f>-2*AL109/Inputs!$C$14</x:f>
        <x:v>9.50912860942579</x:v>
      </x:c>
      <x:c r="AO109" s="9" t="n">
        <x:f>ABS(AM109)</x:f>
        <x:v>63.33079653877576</x:v>
      </x:c>
      <x:c r="AP109" s="9" t="n">
        <x:f>ABS(AN109)</x:f>
        <x:v>9.50912860942579</x:v>
      </x:c>
      <x:c r="AQ109" s="9" t="n">
        <x:f>IF(OR(Inputs!$C$27=TRUE,Inputs!$C$27="TRUE",Inputs!$C$27=1),Inputs!$C$46/Inputs!$C$12,0)</x:f>
        <x:v>42.13483146067416</x:v>
      </x:c>
      <x:c r="AR109" s="9" t="n">
        <x:f>AC109-AQ109</x:f>
        <x:v>257.04748032602015</x:v>
      </x:c>
      <x:c r="AS109" s="9" t="n">
        <x:f>AC109+AQ109</x:f>
        <x:v>341.31714324736845</x:v>
      </x:c>
    </x:row>
    <x:row r="110">
      <x:c r="A110" s="9" t="n">
        <x:f>Inputs!$C$7+108*(Inputs!$C$8-Inputs!$C$7)/240</x:f>
        <x:v>-6</x:v>
      </x:c>
      <x:c r="B110" s="9" t="n">
        <x:f>Inputs!$C$5+Inputs!$C$9*(A110/Inputs!$C$10)^2</x:f>
        <x:v>400.04</x:v>
      </x:c>
      <x:c r="C110" s="9" t="n">
        <x:f>B110</x:f>
        <x:v>400.04</x:v>
      </x:c>
      <x:c r="D110" s="9" t="n">
        <x:f>SQRT((Inputs!$C$52+B110)^2+Inputs!$C$52^2-2*(Inputs!$C$52+B110)*Inputs!$C$52*COS(SQRT(A110^2+Inputs!$C$6^2)/Inputs!$C$52))</x:f>
        <x:v>401.076551385038</x:v>
      </x:c>
      <x:c r="E110" s="9" t="n">
        <x:f>(D110-C110)*1000</x:f>
        <x:v>1036.551385037967</x:v>
      </x:c>
      <x:c r="F110" s="9" t="n">
        <x:f>E110/Inputs!$C$12</x:f>
        <x:v>582.3322387853748</x:v>
      </x:c>
      <x:c r="G110" s="9" t="n">
        <x:f>2*E110/Inputs!$C$21*1000000</x:f>
        <x:v>6.915126497531617</x:v>
      </x:c>
      <x:c r="H110" s="9" t="n">
        <x:f>SQRT(A110^2+Inputs!$C$6^2)</x:f>
        <x:v>25.709920264364882</x:v>
      </x:c>
      <x:c r="I110" s="9" t="n">
        <x:f>DEGREES(ATAN(H110/B110))</x:f>
        <x:v>3.6772492746351846</x:v>
      </x:c>
      <x:c r="J110" s="9" t="n">
        <x:f>DEGREES((2*PI()/Inputs!$C$13)*Inputs!$C$15*SIN(RADIANS(I110)))</x:f>
        <x:v>23.0889800761876</x:v>
      </x:c>
      <x:c r="K110" s="9" t="n">
        <x:f>(C110/D110)^4</x:f>
        <x:v>0.9897023152331168</x:v>
      </x:c>
      <x:c r="L110" s="9" t="n">
        <x:f>10*LOG10(K110)</x:f>
        <x:v>-0.0449541377885459</x:v>
      </x:c>
      <x:c r="M110" s="9" t="n">
        <x:f>2*(Inputs!$C$9/(Inputs!$C$10^2))*A110</x:f>
        <x:v>-0.013333333333333332</x:v>
      </x:c>
      <x:c r="N110" s="9" t="n">
        <x:f>M110*Inputs!$C$11</x:f>
        <x:v>-0.05333333333333333</x:v>
      </x:c>
      <x:c r="O110" s="9" t="n">
        <x:f>1000*(D111-D109)/(A111-A109)*Inputs!$C$11</x:f>
        <x:v>-128.3960383966587</x:v>
      </x:c>
      <x:c r="P110" s="9" t="n">
        <x:f>-2*O110/Inputs!$C$13</x:f>
        <x:v>51.35841535866348</x:v>
      </x:c>
      <x:c r="Q110" s="9" t="n">
        <x:f>-2*O110/Inputs!$C$14</x:f>
        <x:v>7.711473777577099</x:v>
      </x:c>
      <x:c r="R110" s="9" t="n">
        <x:f>F110-Inputs!$C$16/2</x:f>
        <x:v>567.3322387853748</x:v>
      </x:c>
      <x:c r="S110" s="9" t="n">
        <x:f>F110+Inputs!$C$16/2</x:f>
        <x:v>597.3322387853748</x:v>
      </x:c>
      <x:c r="T110" s="9" t="n">
        <x:f>F110-Inputs!$C$17/2</x:f>
        <x:v>432.3322387853748</x:v>
      </x:c>
      <x:c r="U110" s="9" t="n">
        <x:f>F110+Inputs!$C$17/2</x:f>
        <x:v>732.3322387853748</x:v>
      </x:c>
      <x:c r="V110" s="9" t="n">
        <x:f>ABS(P110)</x:f>
        <x:v>51.35841535866348</x:v>
      </x:c>
      <x:c r="W110" s="9" t="n">
        <x:f>ABS(Q110)</x:f>
        <x:v>7.711473777577099</x:v>
      </x:c>
      <x:c r="X110" s="9"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x:f>
        <x:v>-61.0986453608147</x:v>
      </x:c>
      <x:c r="Y110" s="9"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x:f>
        <x:v>447.7534427220802</x:v>
      </x:c>
      <x:c r="Z110" s="9" t="n">
        <x:f>B110-X110/1000</x:f>
        <x:v>400.1010986453608</x:v>
      </x:c>
      <x:c r="AA110" s="9" t="n">
        <x:f>SQRT((Inputs!$C$52+B110)^2+(Inputs!$C$52+Y110/1000)^2-2*(Inputs!$C$52+B110)*(Inputs!$C$52+Y110/1000)*COS(SQRT(A110^2+Inputs!$C$6^2)/Inputs!$C$52))</x:f>
        <x:v>400.6302537248108</x:v>
      </x:c>
      <x:c r="AB110" s="9" t="n">
        <x:f>(AA110-Z110)*1000</x:f>
        <x:v>529.1550794499926</x:v>
      </x:c>
      <x:c r="AC110" s="9" t="n">
        <x:f>AB110/Inputs!$C$12</x:f>
        <x:v>297.2781345224678</x:v>
      </x:c>
      <x:c r="AD110" s="9" t="n">
        <x:f>2*AB110/Inputs!$C$21*1000000</x:f>
        <x:v>3.530142705924861</x:v>
      </x:c>
      <x:c r="AE110" s="9" t="n">
        <x:f>DEGREES(ATAN(H110/(B110-Y110/1000)))</x:f>
        <x:v>3.681358402884123</x:v>
      </x:c>
      <x:c r="AF110" s="9" t="n">
        <x:f>DEGREES((2*PI()/Inputs!$C$13)*Inputs!$C$15*SIN(RADIANS(AE110)))</x:f>
        <x:v>23.11474527513952</x:v>
      </x:c>
      <x:c r="AG110" s="9" t="n">
        <x:f>(Z110/AA110)^4</x:f>
        <x:v>0.9947272316048262</x:v>
      </x:c>
      <x:c r="AH110" s="9" t="n">
        <x:f>10*LOG10(AG110)</x:f>
        <x:v>-0.022959926706926502</x:v>
      </x:c>
      <x:c r="AI110" s="9" t="n">
        <x:f>AC110-F110</x:f>
        <x:v>-285.054104262907</x:v>
      </x:c>
      <x:c r="AJ110" s="9" t="n">
        <x:f>AD110-G110</x:f>
        <x:v>-3.3849837916067558</x:v>
      </x:c>
      <x:c r="AK110" s="9" t="n">
        <x:f>Y110-X110</x:f>
        <x:v>508.8520880828949</x:v>
      </x:c>
      <x:c r="AL110" s="9" t="n">
        <x:f>1000*(AA111-AA109)/(A111-A109)*Inputs!$C$11</x:f>
        <x:v>-54.43067836222326</x:v>
      </x:c>
      <x:c r="AM110" s="9" t="n">
        <x:f>-2*AL110/Inputs!$C$13</x:f>
        <x:v>21.772271344889305</x:v>
      </x:c>
      <x:c r="AN110" s="9" t="n">
        <x:f>-2*AL110/Inputs!$C$14</x:f>
        <x:v>3.269109811544941</x:v>
      </x:c>
      <x:c r="AO110" s="9" t="n">
        <x:f>ABS(AM110)</x:f>
        <x:v>21.772271344889305</x:v>
      </x:c>
      <x:c r="AP110" s="9" t="n">
        <x:f>ABS(AN110)</x:f>
        <x:v>3.269109811544941</x:v>
      </x:c>
      <x:c r="AQ110" s="9" t="n">
        <x:f>IF(OR(Inputs!$C$27=TRUE,Inputs!$C$27="TRUE",Inputs!$C$27=1),Inputs!$C$46/Inputs!$C$12,0)</x:f>
        <x:v>42.13483146067416</x:v>
      </x:c>
      <x:c r="AR110" s="9" t="n">
        <x:f>AC110-AQ110</x:f>
        <x:v>255.14330306179363</x:v>
      </x:c>
      <x:c r="AS110" s="9" t="n">
        <x:f>AC110+AQ110</x:f>
        <x:v>339.41296598314193</x:v>
      </x:c>
    </x:row>
    <x:row r="111">
      <x:c r="A111" s="9" t="n">
        <x:f>Inputs!$C$7+109*(Inputs!$C$8-Inputs!$C$7)/240</x:f>
        <x:v>-5.5</x:v>
      </x:c>
      <x:c r="B111" s="9" t="n">
        <x:f>Inputs!$C$5+Inputs!$C$9*(A111/Inputs!$C$10)^2</x:f>
        <x:v>400.0336111111111</x:v>
      </x:c>
      <x:c r="C111" s="9" t="n">
        <x:f>B111</x:f>
        <x:v>400.0336111111111</x:v>
      </x:c>
      <x:c r="D111" s="9" t="n">
        <x:f>SQRT((Inputs!$C$52+B111)^2+Inputs!$C$52^2-2*(Inputs!$C$52+B111)*Inputs!$C$52*COS(SQRT(A111^2+Inputs!$C$6^2)/Inputs!$C$52))</x:f>
        <x:v>401.0611703743197</x:v>
      </x:c>
      <x:c r="E111" s="9" t="n">
        <x:f>(D111-C111)*1000</x:f>
        <x:v>1027.559263208616</x:v>
      </x:c>
      <x:c r="F111" s="9" t="n">
        <x:f>E111/Inputs!$C$12</x:f>
        <x:v>577.2804849486606</x:v>
      </x:c>
      <x:c r="G111" s="9" t="n">
        <x:f>2*E111/Inputs!$C$21*1000000</x:f>
        <x:v>6.855137517893235</x:v>
      </x:c>
      <x:c r="H111" s="9" t="n">
        <x:f>SQRT(A111^2+Inputs!$C$6^2)</x:f>
        <x:v>25.59785147234041</x:v>
      </x:c>
      <x:c r="I111" s="9" t="n">
        <x:f>DEGREES(ATAN(H111/B111))</x:f>
        <x:v>3.6613222610928524</x:v>
      </x:c>
      <x:c r="J111" s="9" t="n">
        <x:f>DEGREES((2*PI()/Inputs!$C$13)*Inputs!$C$15*SIN(RADIANS(I111)))</x:f>
        <x:v>22.989112840565028</x:v>
      </x:c>
      <x:c r="K111" s="9" t="n">
        <x:f>(C111/D111)^4</x:f>
        <x:v>0.9897909145666158</x:v>
      </x:c>
      <x:c r="L111" s="9" t="n">
        <x:f>10*LOG10(K111)</x:f>
        <x:v>-0.0445653695817608</x:v>
      </x:c>
      <x:c r="M111" s="9" t="n">
        <x:f>2*(Inputs!$C$9/(Inputs!$C$10^2))*A111</x:f>
        <x:v>-0.012222222222222223</x:v>
      </x:c>
      <x:c r="N111" s="9" t="n">
        <x:f>M111*Inputs!$C$11</x:f>
        <x:v>-0.04888888888888889</x:v>
      </x:c>
      <x:c r="O111" s="9" t="n">
        <x:f>1000*(D112-D110)/(A112-A110)*Inputs!$C$11</x:f>
        <x:v>-117.69968152384536</x:v>
      </x:c>
      <x:c r="P111" s="9" t="n">
        <x:f>-2*O111/Inputs!$C$13</x:f>
        <x:v>47.07987260953814</x:v>
      </x:c>
      <x:c r="Q111" s="9" t="n">
        <x:f>-2*O111/Inputs!$C$14</x:f>
        <x:v>7.069049941372094</x:v>
      </x:c>
      <x:c r="R111" s="9" t="n">
        <x:f>F111-Inputs!$C$16/2</x:f>
        <x:v>562.2804849486606</x:v>
      </x:c>
      <x:c r="S111" s="9" t="n">
        <x:f>F111+Inputs!$C$16/2</x:f>
        <x:v>592.2804849486606</x:v>
      </x:c>
      <x:c r="T111" s="9" t="n">
        <x:f>F111-Inputs!$C$17/2</x:f>
        <x:v>427.2804849486606</x:v>
      </x:c>
      <x:c r="U111" s="9" t="n">
        <x:f>F111+Inputs!$C$17/2</x:f>
        <x:v>727.2804849486606</x:v>
      </x:c>
      <x:c r="V111" s="9" t="n">
        <x:f>ABS(P111)</x:f>
        <x:v>47.07987260953814</x:v>
      </x:c>
      <x:c r="W111" s="9" t="n">
        <x:f>ABS(Q111)</x:f>
        <x:v>7.069049941372094</x:v>
      </x:c>
      <x:c r="X111" s="9"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x:f>
        <x:v>-63.59054434613801</x:v>
      </x:c>
      <x:c r="Y111" s="9"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x:f>
        <x:v>437.23203216912464</x:v>
      </x:c>
      <x:c r="Z111" s="9" t="n">
        <x:f>B111-X111/1000</x:f>
        <x:v>400.09720165545724</x:v>
      </x:c>
      <x:c r="AA111" s="9" t="n">
        <x:f>SQRT((Inputs!$C$52+B111)^2+(Inputs!$C$52+Y111/1000)^2-2*(Inputs!$C$52+B111)*(Inputs!$C$52+Y111/1000)*COS(SQRT(A111^2+Inputs!$C$6^2)/Inputs!$C$52))</x:f>
        <x:v>400.6253475934898</x:v>
      </x:c>
      <x:c r="AB111" s="9" t="n">
        <x:f>(AA111-Z111)*1000</x:f>
        <x:v>528.1459380325373</x:v>
      </x:c>
      <x:c r="AC111" s="9" t="n">
        <x:f>AB111/Inputs!$C$12</x:f>
        <x:v>296.7112011418749</x:v>
      </x:c>
      <x:c r="AD111" s="9" t="n">
        <x:f>2*AB111/Inputs!$C$21*1000000</x:f>
        <x:v>3.523410439048052</x:v>
      </x:c>
      <x:c r="AE111" s="9" t="n">
        <x:f>DEGREES(ATAN(H111/(B111-Y111/1000)))</x:f>
        <x:v>3.665317506963284</x:v>
      </x:c>
      <x:c r="AF111" s="9" t="n">
        <x:f>DEGREES((2*PI()/Inputs!$C$13)*Inputs!$C$15*SIN(RADIANS(AE111)))</x:f>
        <x:v>23.014164418685684</x:v>
      </x:c>
      <x:c r="AG111" s="9" t="n">
        <x:f>(Z111/AA111)^4</x:f>
        <x:v>0.9947372029898824</x:v>
      </x:c>
      <x:c r="AH111" s="9" t="n">
        <x:f>10*LOG10(AG111)</x:f>
        <x:v>-0.0229163922015433</x:v>
      </x:c>
      <x:c r="AI111" s="9" t="n">
        <x:f>AC111-F111</x:f>
        <x:v>-280.56928380678573</x:v>
      </x:c>
      <x:c r="AJ111" s="9" t="n">
        <x:f>AD111-G111</x:f>
        <x:v>-3.331727078845183</x:v>
      </x:c>
      <x:c r="AK111" s="9" t="n">
        <x:f>Y111-X111</x:f>
        <x:v>500.82257651526265</x:v>
      </x:c>
      <x:c r="AL111" s="9" t="n">
        <x:f>1000*(AA112-AA110)/(A112-A110)*Inputs!$C$11</x:f>
        <x:v>-33.03477638928598</x:v>
      </x:c>
      <x:c r="AM111" s="9" t="n">
        <x:f>-2*AL111/Inputs!$C$13</x:f>
        <x:v>13.213910555714392</x:v>
      </x:c>
      <x:c r="AN111" s="9" t="n">
        <x:f>-2*AL111/Inputs!$C$14</x:f>
        <x:v>1.98407065401117</x:v>
      </x:c>
      <x:c r="AO111" s="9" t="n">
        <x:f>ABS(AM111)</x:f>
        <x:v>13.213910555714392</x:v>
      </x:c>
      <x:c r="AP111" s="9" t="n">
        <x:f>ABS(AN111)</x:f>
        <x:v>1.98407065401117</x:v>
      </x:c>
      <x:c r="AQ111" s="9" t="n">
        <x:f>IF(OR(Inputs!$C$27=TRUE,Inputs!$C$27="TRUE",Inputs!$C$27=1),Inputs!$C$46/Inputs!$C$12,0)</x:f>
        <x:v>42.13483146067416</x:v>
      </x:c>
      <x:c r="AR111" s="9" t="n">
        <x:f>AC111-AQ111</x:f>
        <x:v>254.57636968120073</x:v>
      </x:c>
      <x:c r="AS111" s="9" t="n">
        <x:f>AC111+AQ111</x:f>
        <x:v>338.84603260254903</x:v>
      </x:c>
    </x:row>
    <x:row r="112">
      <x:c r="A112" s="9" t="n">
        <x:f>Inputs!$C$7+110*(Inputs!$C$8-Inputs!$C$7)/240</x:f>
        <x:v>-5</x:v>
      </x:c>
      <x:c r="B112" s="9" t="n">
        <x:f>Inputs!$C$5+Inputs!$C$9*(A112/Inputs!$C$10)^2</x:f>
        <x:v>400.02777777777777</x:v>
      </x:c>
      <x:c r="C112" s="9" t="n">
        <x:f>B112</x:f>
        <x:v>400.02777777777777</x:v>
      </x:c>
      <x:c r="D112" s="9" t="n">
        <x:f>SQRT((Inputs!$C$52+B112)^2+Inputs!$C$52^2-2*(Inputs!$C$52+B112)*Inputs!$C$52*COS(SQRT(A112^2+Inputs!$C$6^2)/Inputs!$C$52))</x:f>
        <x:v>401.047126464657</x:v>
      </x:c>
      <x:c r="E112" s="9" t="n">
        <x:f>(D112-C112)*1000</x:f>
        <x:v>1019.3486868792547</x:v>
      </x:c>
      <x:c r="F112" s="9" t="n">
        <x:f>E112/Inputs!$C$12</x:f>
        <x:v>572.6678016175588</x:v>
      </x:c>
      <x:c r="G112" s="9" t="n">
        <x:f>2*E112/Inputs!$C$21*1000000</x:f>
        <x:v>6.80036244860606</x:v>
      </x:c>
      <x:c r="H112" s="9" t="n">
        <x:f>SQRT(A112^2+Inputs!$C$6^2)</x:f>
        <x:v>25.495097567963924</x:v>
      </x:c>
      <x:c r="I112" s="9" t="n">
        <x:f>DEGREES(ATAN(H112/B112))</x:f>
        <x:v>3.646717894415093</x:v>
      </x:c>
      <x:c r="J112" s="9" t="n">
        <x:f>DEGREES((2*PI()/Inputs!$C$13)*Inputs!$C$15*SIN(RADIANS(I112)))</x:f>
        <x:v>22.897537442986597</x:v>
      </x:c>
      <x:c r="K112" s="9" t="n">
        <x:f>(C112/D112)^4</x:f>
        <x:v>0.9898718244744187</x:v>
      </x:c>
      <x:c r="L112" s="9" t="n">
        <x:f>10*LOG10(K112)</x:f>
        <x:v>-0.044210372482339</x:v>
      </x:c>
      <x:c r="M112" s="9" t="n">
        <x:f>2*(Inputs!$C$9/(Inputs!$C$10^2))*A112</x:f>
        <x:v>-0.011111111111111112</x:v>
      </x:c>
      <x:c r="N112" s="9" t="n">
        <x:f>M112*Inputs!$C$11</x:f>
        <x:v>-0.044444444444444446</x:v>
      </x:c>
      <x:c r="O112" s="9" t="n">
        <x:f>1000*(D113-D111)/(A113-A111)*Inputs!$C$11</x:f>
        <x:v>-107.00246068472552</x:v>
      </x:c>
      <x:c r="P112" s="9" t="n">
        <x:f>-2*O112/Inputs!$C$13</x:f>
        <x:v>42.80098427389021</x:v>
      </x:c>
      <x:c r="Q112" s="9" t="n">
        <x:f>-2*O112/Inputs!$C$14</x:f>
        <x:v>6.426574215298831</x:v>
      </x:c>
      <x:c r="R112" s="9" t="n">
        <x:f>F112-Inputs!$C$16/2</x:f>
        <x:v>557.6678016175588</x:v>
      </x:c>
      <x:c r="S112" s="9" t="n">
        <x:f>F112+Inputs!$C$16/2</x:f>
        <x:v>587.6678016175588</x:v>
      </x:c>
      <x:c r="T112" s="9" t="n">
        <x:f>F112-Inputs!$C$17/2</x:f>
        <x:v>422.6678016175588</x:v>
      </x:c>
      <x:c r="U112" s="9" t="n">
        <x:f>F112+Inputs!$C$17/2</x:f>
        <x:v>722.6678016175588</x:v>
      </x:c>
      <x:c r="V112" s="9" t="n">
        <x:f>ABS(P112)</x:f>
        <x:v>42.80098427389021</x:v>
      </x:c>
      <x:c r="W112" s="9" t="n">
        <x:f>ABS(Q112)</x:f>
        <x:v>6.426574215298831</x:v>
      </x:c>
      <x:c r="X112" s="9"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x:f>
        <x:v>-73.64560445817172</x:v>
      </x:c>
      <x:c r="Y112" s="9"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x:f>
        <x:v>426.4950993655156</x:v>
      </x:c>
      <x:c r="Z112" s="9" t="n">
        <x:f>B112-X112/1000</x:f>
        <x:v>400.10142338223596</x:v>
      </x:c>
      <x:c r="AA112" s="9" t="n">
        <x:f>SQRT((Inputs!$C$52+B112)^2+(Inputs!$C$52+Y112/1000)^2-2*(Inputs!$C$52+B112)*(Inputs!$C$52+Y112/1000)*COS(SQRT(A112^2+Inputs!$C$6^2)/Inputs!$C$52))</x:f>
        <x:v>400.6219950307135</x:v>
      </x:c>
      <x:c r="AB112" s="9" t="n">
        <x:f>(AA112-Z112)*1000</x:f>
        <x:v>520.571648477528</x:v>
      </x:c>
      <x:c r="AC112" s="9" t="n">
        <x:f>AB112/Inputs!$C$12</x:f>
        <x:v>292.4559822907461</x:v>
      </x:c>
      <x:c r="AD112" s="9" t="n">
        <x:f>2*AB112/Inputs!$C$21*1000000</x:f>
        <x:v>3.4728802182043417</x:v>
      </x:c>
      <x:c r="AE112" s="9" t="n">
        <x:f>DEGREES(ATAN(H112/(B112-Y112/1000)))</x:f>
        <x:v>3.6505995227884935</x:v>
      </x:c>
      <x:c r="AF112" s="9" t="n">
        <x:f>DEGREES((2*PI()/Inputs!$C$13)*Inputs!$C$15*SIN(RADIANS(AE112)))</x:f>
        <x:v>22.92187699792033</x:v>
      </x:c>
      <x:c r="AG112" s="9" t="n">
        <x:f>(Z112/AA112)^4</x:f>
        <x:v>0.9948124877743065</x:v>
      </x:c>
      <x:c r="AH112" s="9" t="n">
        <x:f>10*LOG10(AG112)</x:f>
        <x:v>-0.0225877171590044</x:v>
      </x:c>
      <x:c r="AI112" s="9" t="n">
        <x:f>AC112-F112</x:f>
        <x:v>-280.2118193268127</x:v>
      </x:c>
      <x:c r="AJ112" s="9" t="n">
        <x:f>AD112-G112</x:f>
        <x:v>-3.327482230401718</x:v>
      </x:c>
      <x:c r="AK112" s="9" t="n">
        <x:f>Y112-X112</x:f>
        <x:v>500.1407038236873</x:v>
      </x:c>
      <x:c r="AL112" s="9" t="n">
        <x:f>1000*(AA113-AA111)/(A113-A111)*Inputs!$C$11</x:f>
        <x:v>-51.55954101815041</x:v>
      </x:c>
      <x:c r="AM112" s="9" t="n">
        <x:f>-2*AL112/Inputs!$C$13</x:f>
        <x:v>20.623816407260165</x:v>
      </x:c>
      <x:c r="AN112" s="9" t="n">
        <x:f>-2*AL112/Inputs!$C$14</x:f>
        <x:v>3.096669130219244</x:v>
      </x:c>
      <x:c r="AO112" s="9" t="n">
        <x:f>ABS(AM112)</x:f>
        <x:v>20.623816407260165</x:v>
      </x:c>
      <x:c r="AP112" s="9" t="n">
        <x:f>ABS(AN112)</x:f>
        <x:v>3.096669130219244</x:v>
      </x:c>
      <x:c r="AQ112" s="9" t="n">
        <x:f>IF(OR(Inputs!$C$27=TRUE,Inputs!$C$27="TRUE",Inputs!$C$27=1),Inputs!$C$46/Inputs!$C$12,0)</x:f>
        <x:v>42.13483146067416</x:v>
      </x:c>
      <x:c r="AR112" s="9" t="n">
        <x:f>AC112-AQ112</x:f>
        <x:v>250.32115083007193</x:v>
      </x:c>
      <x:c r="AS112" s="9" t="n">
        <x:f>AC112+AQ112</x:f>
        <x:v>334.5908137514202</x:v>
      </x:c>
    </x:row>
    <x:row r="113">
      <x:c r="A113" s="9" t="n">
        <x:f>Inputs!$C$7+111*(Inputs!$C$8-Inputs!$C$7)/240</x:f>
        <x:v>-4.5</x:v>
      </x:c>
      <x:c r="B113" s="9" t="n">
        <x:f>Inputs!$C$5+Inputs!$C$9*(A113/Inputs!$C$10)^2</x:f>
        <x:v>400.0225</x:v>
      </x:c>
      <x:c r="C113" s="9" t="n">
        <x:f>B113</x:f>
        <x:v>400.0225</x:v>
      </x:c>
      <x:c r="D113" s="9" t="n">
        <x:f>SQRT((Inputs!$C$52+B113)^2+Inputs!$C$52^2-2*(Inputs!$C$52+B113)*Inputs!$C$52*COS(SQRT(A113^2+Inputs!$C$6^2)/Inputs!$C$52))</x:f>
        <x:v>401.03441975914853</x:v>
      </x:c>
      <x:c r="E113" s="9" t="n">
        <x:f>(D113-C113)*1000</x:f>
        <x:v>1011.9197591485545</x:v>
      </x:c>
      <x:c r="F113" s="9" t="n">
        <x:f>E113/Inputs!$C$12</x:f>
        <x:v>568.494246712671</x:v>
      </x:c>
      <x:c r="G113" s="9" t="n">
        <x:f>2*E113/Inputs!$C$21*1000000</x:f>
        <x:v>6.75080197747039</x:v>
      </x:c>
      <x:c r="H113" s="9" t="n">
        <x:f>SQRT(A113^2+Inputs!$C$6^2)</x:f>
        <x:v>25.401771591761076</x:v>
      </x:c>
      <x:c r="I113" s="9" t="n">
        <x:f>DEGREES(ATAN(H113/B113))</x:f>
        <x:v>3.6334525503982564</x:v>
      </x:c>
      <x:c r="J113" s="9" t="n">
        <x:f>DEGREES((2*PI()/Inputs!$C$13)*Inputs!$C$15*SIN(RADIANS(I113)))</x:f>
        <x:v>22.814356979819124</x:v>
      </x:c>
      <x:c r="K113" s="9" t="n">
        <x:f>(C113/D113)^4</x:f>
        <x:v>0.989945040905614</x:v>
      </x:c>
      <x:c r="L113" s="9" t="n">
        <x:f>10*LOG10(K113)</x:f>
        <x:v>-0.0438891559837498</x:v>
      </x:c>
      <x:c r="M113" s="9" t="n">
        <x:f>2*(Inputs!$C$9/(Inputs!$C$10^2))*A113</x:f>
        <x:v>-0.01</x:v>
      </x:c>
      <x:c r="N113" s="9" t="n">
        <x:f>M113*Inputs!$C$11</x:f>
        <x:v>-0.04</x:v>
      </x:c>
      <x:c r="O113" s="9" t="n">
        <x:f>1000*(D114-D112)/(A114-A112)*Inputs!$C$11</x:f>
        <x:v>-96.30445428069834</x:v>
      </x:c>
      <x:c r="P113" s="9" t="n">
        <x:f>-2*O113/Inputs!$C$13</x:f>
        <x:v>38.521781712279335</x:v>
      </x:c>
      <x:c r="Q113" s="9" t="n">
        <x:f>-2*O113/Inputs!$C$14</x:f>
        <x:v>5.784051308150051</x:v>
      </x:c>
      <x:c r="R113" s="9" t="n">
        <x:f>F113-Inputs!$C$16/2</x:f>
        <x:v>553.494246712671</x:v>
      </x:c>
      <x:c r="S113" s="9" t="n">
        <x:f>F113+Inputs!$C$16/2</x:f>
        <x:v>583.494246712671</x:v>
      </x:c>
      <x:c r="T113" s="9" t="n">
        <x:f>F113-Inputs!$C$17/2</x:f>
        <x:v>418.49424671267104</x:v>
      </x:c>
      <x:c r="U113" s="9" t="n">
        <x:f>F113+Inputs!$C$17/2</x:f>
        <x:v>718.494246712671</x:v>
      </x:c>
      <x:c r="V113" s="9" t="n">
        <x:f>ABS(P113)</x:f>
        <x:v>38.521781712279335</x:v>
      </x:c>
      <x:c r="W113" s="9" t="n">
        <x:f>ABS(Q113)</x:f>
        <x:v>5.784051308150051</x:v>
      </x:c>
      <x:c r="X113" s="9"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x:f>
        <x:v>-73.08935088189128</x:v>
      </x:c>
      <x:c r="Y113" s="9"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x:f>
        <x:v>423.30568039510905</x:v>
      </x:c>
      <x:c r="Z113" s="9" t="n">
        <x:f>B113-X113/1000</x:f>
        <x:v>400.0955893508819</x:v>
      </x:c>
      <x:c r="AA113" s="9" t="n">
        <x:f>SQRT((Inputs!$C$52+B113)^2+(Inputs!$C$52+Y113/1000)^2-2*(Inputs!$C$52+B113)*(Inputs!$C$52+Y113/1000)*COS(SQRT(A113^2+Inputs!$C$6^2)/Inputs!$C$52))</x:f>
        <x:v>400.61245770823524</x:v>
      </x:c>
      <x:c r="AB113" s="9" t="n">
        <x:f>(AA113-Z113)*1000</x:f>
        <x:v>516.8683573533599</x:v>
      </x:c>
      <x:c r="AC113" s="9" t="n">
        <x:f>AB113/Inputs!$C$12</x:f>
        <x:v>290.37548165919094</x:v>
      </x:c>
      <x:c r="AD113" s="9" t="n">
        <x:f>2*AB113/Inputs!$C$21*1000000</x:f>
        <x:v>3.4481745191425723</x:v>
      </x:c>
      <x:c r="AE113" s="9" t="n">
        <x:f>DEGREES(ATAN(H113/(B113-Y113/1000)))</x:f>
        <x:v>3.637291232551428</x:v>
      </x:c>
      <x:c r="AF113" s="9" t="n">
        <x:f>DEGREES((2*PI()/Inputs!$C$13)*Inputs!$C$15*SIN(RADIANS(AE113)))</x:f>
        <x:v>22.8384275979384</x:v>
      </x:c>
      <x:c r="AG113" s="9" t="n">
        <x:f>(Z113/AA113)^4</x:f>
        <x:v>0.9948491973651684</x:v>
      </x:c>
      <x:c r="AH113" s="9" t="n">
        <x:f>10*LOG10(AG113)</x:f>
        <x:v>-0.0224274610424482</x:v>
      </x:c>
      <x:c r="AI113" s="9" t="n">
        <x:f>AC113-F113</x:f>
        <x:v>-278.1187650534801</x:v>
      </x:c>
      <x:c r="AJ113" s="9" t="n">
        <x:f>AD113-G113</x:f>
        <x:v>-3.3026274583278177</x:v>
      </x:c>
      <x:c r="AK113" s="9" t="n">
        <x:f>Y113-X113</x:f>
        <x:v>496.3950312770003</x:v>
      </x:c>
      <x:c r="AL113" s="9" t="n">
        <x:f>1000*(AA114-AA112)/(A114-A112)*Inputs!$C$11</x:f>
        <x:v>-94.46415557863475</x:v>
      </x:c>
      <x:c r="AM113" s="9" t="n">
        <x:f>-2*AL113/Inputs!$C$13</x:f>
        <x:v>37.7856622314539</x:v>
      </x:c>
      <x:c r="AN113" s="9" t="n">
        <x:f>-2*AL113/Inputs!$C$14</x:f>
        <x:v>5.67352285757566</x:v>
      </x:c>
      <x:c r="AO113" s="9" t="n">
        <x:f>ABS(AM113)</x:f>
        <x:v>37.7856622314539</x:v>
      </x:c>
      <x:c r="AP113" s="9" t="n">
        <x:f>ABS(AN113)</x:f>
        <x:v>5.67352285757566</x:v>
      </x:c>
      <x:c r="AQ113" s="9" t="n">
        <x:f>IF(OR(Inputs!$C$27=TRUE,Inputs!$C$27="TRUE",Inputs!$C$27=1),Inputs!$C$46/Inputs!$C$12,0)</x:f>
        <x:v>42.13483146067416</x:v>
      </x:c>
      <x:c r="AR113" s="9" t="n">
        <x:f>AC113-AQ113</x:f>
        <x:v>248.2406501985168</x:v>
      </x:c>
      <x:c r="AS113" s="9" t="n">
        <x:f>AC113+AQ113</x:f>
        <x:v>332.5103131198651</x:v>
      </x:c>
    </x:row>
    <x:row r="114">
      <x:c r="A114" s="9" t="n">
        <x:f>Inputs!$C$7+112*(Inputs!$C$8-Inputs!$C$7)/240</x:f>
        <x:v>-4</x:v>
      </x:c>
      <x:c r="B114" s="9" t="n">
        <x:f>Inputs!$C$5+Inputs!$C$9*(A114/Inputs!$C$10)^2</x:f>
        <x:v>400.0177777777778</x:v>
      </x:c>
      <x:c r="C114" s="9" t="n">
        <x:f>B114</x:f>
        <x:v>400.0177777777778</x:v>
      </x:c>
      <x:c r="D114" s="9" t="n">
        <x:f>SQRT((Inputs!$C$52+B114)^2+Inputs!$C$52^2-2*(Inputs!$C$52+B114)*Inputs!$C$52*COS(SQRT(A114^2+Inputs!$C$6^2)/Inputs!$C$52))</x:f>
        <x:v>401.02305035108685</x:v>
      </x:c>
      <x:c r="E114" s="9" t="n">
        <x:f>(D114-C114)*1000</x:f>
        <x:v>1005.272573309071</x:v>
      </x:c>
      <x:c r="F114" s="9" t="n">
        <x:f>E114/Inputs!$C$12</x:f>
        <x:v>564.7598726455456</x:v>
      </x:c>
      <x:c r="G114" s="9" t="n">
        <x:f>2*E114/Inputs!$C$21*1000000</x:f>
        <x:v>6.706456726867165</x:v>
      </x:c>
      <x:c r="H114" s="9" t="n">
        <x:f>SQRT(A114^2+Inputs!$C$6^2)</x:f>
        <x:v>25.317977802344327</x:v>
      </x:c>
      <x:c r="I114" s="9" t="n">
        <x:f>DEGREES(ATAN(H114/B114))</x:f>
        <x:v>3.62154133083556</x:v>
      </x:c>
      <x:c r="J114" s="9" t="n">
        <x:f>DEGREES((2*PI()/Inputs!$C$13)*Inputs!$C$15*SIN(RADIANS(I114)))</x:f>
        <x:v>22.739666524476903</x:v>
      </x:c>
      <x:c r="K114" s="9" t="n">
        <x:f>(C114/D114)^4</x:f>
        <x:v>0.9900105601936992</x:v>
      </x:c>
      <x:c r="L114" s="9" t="n">
        <x:f>10*LOG10(K114)</x:f>
        <x:v>-0.0436017286771152</x:v>
      </x:c>
      <x:c r="M114" s="9" t="n">
        <x:f>2*(Inputs!$C$9/(Inputs!$C$10^2))*A114</x:f>
        <x:v>-0.008888888888888889</x:v>
      </x:c>
      <x:c r="N114" s="9" t="n">
        <x:f>M114*Inputs!$C$11</x:f>
        <x:v>-0.035555555555555556</x:v>
      </x:c>
      <x:c r="O114" s="9" t="n">
        <x:f>1000*(D115-D113)/(A115-A113)*Inputs!$C$11</x:f>
        <x:v>-85.60574078887839</x:v>
      </x:c>
      <x:c r="P114" s="9" t="n">
        <x:f>-2*O114/Inputs!$C$13</x:f>
        <x:v>34.24229631555136</x:v>
      </x:c>
      <x:c r="Q114" s="9" t="n">
        <x:f>-2*O114/Inputs!$C$14</x:f>
        <x:v>5.14148593326597</x:v>
      </x:c>
      <x:c r="R114" s="9" t="n">
        <x:f>F114-Inputs!$C$16/2</x:f>
        <x:v>549.7598726455456</x:v>
      </x:c>
      <x:c r="S114" s="9" t="n">
        <x:f>F114+Inputs!$C$16/2</x:f>
        <x:v>579.7598726455456</x:v>
      </x:c>
      <x:c r="T114" s="9" t="n">
        <x:f>F114-Inputs!$C$17/2</x:f>
        <x:v>414.75987264554556</x:v>
      </x:c>
      <x:c r="U114" s="9" t="n">
        <x:f>F114+Inputs!$C$17/2</x:f>
        <x:v>714.7598726455456</x:v>
      </x:c>
      <x:c r="V114" s="9" t="n">
        <x:f>ABS(P114)</x:f>
        <x:v>34.24229631555136</x:v>
      </x:c>
      <x:c r="W114" s="9" t="n">
        <x:f>ABS(Q114)</x:f>
        <x:v>5.14148593326597</x:v>
      </x:c>
      <x:c r="X114" s="9"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x:f>
        <x:v>-74.23673097551541</x:v>
      </x:c>
      <x:c r="Y114" s="9"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x:f>
        <x:v>426.0147467563934</x:v>
      </x:c>
      <x:c r="Z114" s="9" t="n">
        <x:f>B114-X114/1000</x:f>
        <x:v>400.0920145087533</x:v>
      </x:c>
      <x:c r="AA114" s="9" t="n">
        <x:f>SQRT((Inputs!$C$52+B114)^2+(Inputs!$C$52+Y114/1000)^2-2*(Inputs!$C$52+B114)*(Inputs!$C$52+Y114/1000)*COS(SQRT(A114^2+Inputs!$C$6^2)/Inputs!$C$52))</x:f>
        <x:v>400.59837899181883</x:v>
      </x:c>
      <x:c r="AB114" s="9" t="n">
        <x:f>(AA114-Z114)*1000</x:f>
        <x:v>506.36448306551074</x:v>
      </x:c>
      <x:c r="AC114" s="9" t="n">
        <x:f>AB114/Inputs!$C$12</x:f>
        <x:v>284.4744286884892</x:v>
      </x:c>
      <x:c r="AD114" s="9" t="n">
        <x:f>2*AB114/Inputs!$C$21*1000000</x:f>
        <x:v>3.3781002126845414</x:v>
      </x:c>
      <x:c r="AE114" s="9" t="n">
        <x:f>DEGREES(ATAN(H114/(B114-Y114/1000)))</x:f>
        <x:v>3.6253920544596827</x:v>
      </x:c>
      <x:c r="AF114" s="9" t="n">
        <x:f>DEGREES((2*PI()/Inputs!$C$13)*Inputs!$C$15*SIN(RADIANS(AE114)))</x:f>
        <x:v>22.763812967390944</x:v>
      </x:c>
      <x:c r="AG114" s="9" t="n">
        <x:f>(Z114/AA114)^4</x:f>
        <x:v>0.994953497209391</x:v>
      </x:c>
      <x:c r="AH114" s="9" t="n">
        <x:f>10*LOG10(AG114)</x:f>
        <x:v>-0.0219721712091977</x:v>
      </x:c>
      <x:c r="AI114" s="9" t="n">
        <x:f>AC114-F114</x:f>
        <x:v>-280.2854439570564</x:v>
      </x:c>
      <x:c r="AJ114" s="9" t="n">
        <x:f>AD114-G114</x:f>
        <x:v>-3.3283565141826235</x:v>
      </x:c>
      <x:c r="AK114" s="9" t="n">
        <x:f>Y114-X114</x:f>
        <x:v>500.2514777319088</x:v>
      </x:c>
      <x:c r="AL114" s="9" t="n">
        <x:f>1000*(AA115-AA113)/(A115-A113)*Inputs!$C$11</x:f>
        <x:v>-12.539654399688516</x:v>
      </x:c>
      <x:c r="AM114" s="9" t="n">
        <x:f>-2*AL114/Inputs!$C$13</x:f>
        <x:v>5.015861759875406</x:v>
      </x:c>
      <x:c r="AN114" s="9" t="n">
        <x:f>-2*AL114/Inputs!$C$14</x:f>
        <x:v>0.7531323963776887</x:v>
      </x:c>
      <x:c r="AO114" s="9" t="n">
        <x:f>ABS(AM114)</x:f>
        <x:v>5.015861759875406</x:v>
      </x:c>
      <x:c r="AP114" s="9" t="n">
        <x:f>ABS(AN114)</x:f>
        <x:v>0.7531323963776887</x:v>
      </x:c>
      <x:c r="AQ114" s="9" t="n">
        <x:f>IF(OR(Inputs!$C$27=TRUE,Inputs!$C$27="TRUE",Inputs!$C$27=1),Inputs!$C$46/Inputs!$C$12,0)</x:f>
        <x:v>42.13483146067416</x:v>
      </x:c>
      <x:c r="AR114" s="9" t="n">
        <x:f>AC114-AQ114</x:f>
        <x:v>242.33959722781503</x:v>
      </x:c>
      <x:c r="AS114" s="9" t="n">
        <x:f>AC114+AQ114</x:f>
        <x:v>326.60926014916333</x:v>
      </x:c>
    </x:row>
    <x:row r="115">
      <x:c r="A115" s="9" t="n">
        <x:f>Inputs!$C$7+113*(Inputs!$C$8-Inputs!$C$7)/240</x:f>
        <x:v>-3.5</x:v>
      </x:c>
      <x:c r="B115" s="9" t="n">
        <x:f>Inputs!$C$5+Inputs!$C$9*(A115/Inputs!$C$10)^2</x:f>
        <x:v>400.0136111111111</x:v>
      </x:c>
      <x:c r="C115" s="9" t="n">
        <x:f>B115</x:f>
        <x:v>400.0136111111111</x:v>
      </x:c>
      <x:c r="D115" s="9" t="n">
        <x:f>SQRT((Inputs!$C$52+B115)^2+Inputs!$C$52^2-2*(Inputs!$C$52+B115)*Inputs!$C$52*COS(SQRT(A115^2+Inputs!$C$6^2)/Inputs!$C$52))</x:f>
        <x:v>401.0130183239513</x:v>
      </x:c>
      <x:c r="E115" s="9" t="n">
        <x:f>(D115-C115)*1000</x:f>
        <x:v>999.4072128401967</x:v>
      </x:c>
      <x:c r="F115" s="9" t="n">
        <x:f>E115/Inputs!$C$12</x:f>
        <x:v>561.4647263147173</x:v>
      </x:c>
      <x:c r="G115" s="9" t="n">
        <x:f>2*E115/Inputs!$C$21*1000000</x:f>
        <x:v>6.667327253710944</x:v>
      </x:c>
      <x:c r="H115" s="9" t="n">
        <x:f>SQRT(A115^2+Inputs!$C$6^2)</x:f>
        <x:v>25.243811122728676</x:v>
      </x:c>
      <x:c r="I115" s="9" t="n">
        <x:f>DEGREES(ATAN(H115/B115))</x:f>
        <x:v>3.6109979838002473</x:v>
      </x:c>
      <x:c r="J115" s="9" t="n">
        <x:f>DEGREES((2*PI()/Inputs!$C$13)*Inputs!$C$15*SIN(RADIANS(I115)))</x:f>
        <x:v>22.673552626173688</x:v>
      </x:c>
      <x:c r="K115" s="9" t="n">
        <x:f>(C115/D115)^4</x:f>
        <x:v>0.9900683790570275</x:v>
      </x:c>
      <x:c r="L115" s="9" t="n">
        <x:f>10*LOG10(K115)</x:f>
        <x:v>-0.0433480982505418</x:v>
      </x:c>
      <x:c r="M115" s="9" t="n">
        <x:f>2*(Inputs!$C$9/(Inputs!$C$10^2))*A115</x:f>
        <x:v>-0.0077777777777777776</x:v>
      </x:c>
      <x:c r="N115" s="9" t="n">
        <x:f>M115*Inputs!$C$11</x:f>
        <x:v>-0.03111111111111111</x:v>
      </x:c>
      <x:c r="O115" s="9" t="n">
        <x:f>1000*(D116-D114)/(A116-A114)*Inputs!$C$11</x:f>
        <x:v>-74.90639867137361</x:v>
      </x:c>
      <x:c r="P115" s="9" t="n">
        <x:f>-2*O115/Inputs!$C$13</x:f>
        <x:v>29.962559468549443</x:v>
      </x:c>
      <x:c r="Q115" s="9" t="n">
        <x:f>-2*O115/Inputs!$C$14</x:f>
        <x:v>4.498882803085502</x:v>
      </x:c>
      <x:c r="R115" s="9" t="n">
        <x:f>F115-Inputs!$C$16/2</x:f>
        <x:v>546.4647263147173</x:v>
      </x:c>
      <x:c r="S115" s="9" t="n">
        <x:f>F115+Inputs!$C$16/2</x:f>
        <x:v>576.4647263147173</x:v>
      </x:c>
      <x:c r="T115" s="9" t="n">
        <x:f>F115-Inputs!$C$17/2</x:f>
        <x:v>411.46472631471727</x:v>
      </x:c>
      <x:c r="U115" s="9" t="n">
        <x:f>F115+Inputs!$C$17/2</x:f>
        <x:v>711.4647263147173</x:v>
      </x:c>
      <x:c r="V115" s="9" t="n">
        <x:f>ABS(P115)</x:f>
        <x:v>29.962559468549443</x:v>
      </x:c>
      <x:c r="W115" s="9" t="n">
        <x:f>ABS(Q115)</x:f>
        <x:v>4.498882803085502</x:v>
      </x:c>
      <x:c r="X115" s="9"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x:f>
        <x:v>-78.64906809360804</x:v>
      </x:c>
      <x:c r="Y115" s="9"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x:f>
        <x:v>404.9650488225026</x:v>
      </x:c>
      <x:c r="Z115" s="9" t="n">
        <x:f>B115-X115/1000</x:f>
        <x:v>400.09226017920474</x:v>
      </x:c>
      <x:c r="AA115" s="9" t="n">
        <x:f>SQRT((Inputs!$C$52+B115)^2+(Inputs!$C$52+Y115/1000)^2-2*(Inputs!$C$52+B115)*(Inputs!$C$52+Y115/1000)*COS(SQRT(A115^2+Inputs!$C$6^2)/Inputs!$C$52))</x:f>
        <x:v>400.6093227946353</x:v>
      </x:c>
      <x:c r="AB115" s="9" t="n">
        <x:f>(AA115-Z115)*1000</x:f>
        <x:v>517.0626154305751</x:v>
      </x:c>
      <x:c r="AC115" s="9" t="n">
        <x:f>AB115/Inputs!$C$12</x:f>
        <x:v>290.4846154104354</x:v>
      </x:c>
      <x:c r="AD115" s="9" t="n">
        <x:f>2*AB115/Inputs!$C$21*1000000</x:f>
        <x:v>3.4494704695377965</x:v>
      </x:c>
      <x:c r="AE115" s="9" t="n">
        <x:f>DEGREES(ATAN(H115/(B115-Y115/1000)))</x:f>
        <x:v>3.6146476869659185</x:v>
      </x:c>
      <x:c r="AF115" s="9" t="n">
        <x:f>DEGREES((2*PI()/Inputs!$C$13)*Inputs!$C$15*SIN(RADIANS(AE115)))</x:f>
        <x:v>22.696438814060098</x:v>
      </x:c>
      <x:c r="AG115" s="9" t="n">
        <x:f>(Z115/AA115)^4</x:f>
        <x:v>0.9948472250094359</x:v>
      </x:c>
      <x:c r="AH115" s="9" t="n">
        <x:f>10*LOG10(AG115)</x:f>
        <x:v>-0.0224360712324385</x:v>
      </x:c>
      <x:c r="AI115" s="9" t="n">
        <x:f>AC115-F115</x:f>
        <x:v>-270.98011090428184</x:v>
      </x:c>
      <x:c r="AJ115" s="9" t="n">
        <x:f>AD115-G115</x:f>
        <x:v>-3.2178567841731476</x:v>
      </x:c>
      <x:c r="AK115" s="9" t="n">
        <x:f>Y115-X115</x:f>
        <x:v>483.6141169161106</x:v>
      </x:c>
      <x:c r="AL115" s="9" t="n">
        <x:f>1000*(AA116-AA114)/(A116-A114)*Inputs!$C$11</x:f>
        <x:v>-51.568681529261085</x:v>
      </x:c>
      <x:c r="AM115" s="9" t="n">
        <x:f>-2*AL115/Inputs!$C$13</x:f>
        <x:v>20.627472611704434</x:v>
      </x:c>
      <x:c r="AN115" s="9" t="n">
        <x:f>-2*AL115/Inputs!$C$14</x:f>
        <x:v>3.0972181098655307</x:v>
      </x:c>
      <x:c r="AO115" s="9" t="n">
        <x:f>ABS(AM115)</x:f>
        <x:v>20.627472611704434</x:v>
      </x:c>
      <x:c r="AP115" s="9" t="n">
        <x:f>ABS(AN115)</x:f>
        <x:v>3.0972181098655307</x:v>
      </x:c>
      <x:c r="AQ115" s="9" t="n">
        <x:f>IF(OR(Inputs!$C$27=TRUE,Inputs!$C$27="TRUE",Inputs!$C$27=1),Inputs!$C$46/Inputs!$C$12,0)</x:f>
        <x:v>42.13483146067416</x:v>
      </x:c>
      <x:c r="AR115" s="9" t="n">
        <x:f>AC115-AQ115</x:f>
        <x:v>248.34978394976127</x:v>
      </x:c>
      <x:c r="AS115" s="9" t="n">
        <x:f>AC115+AQ115</x:f>
        <x:v>332.6194468711096</x:v>
      </x:c>
    </x:row>
    <x:row r="116">
      <x:c r="A116" s="9" t="n">
        <x:f>Inputs!$C$7+114*(Inputs!$C$8-Inputs!$C$7)/240</x:f>
        <x:v>-3</x:v>
      </x:c>
      <x:c r="B116" s="9" t="n">
        <x:f>Inputs!$C$5+Inputs!$C$9*(A116/Inputs!$C$10)^2</x:f>
        <x:v>400.01</x:v>
      </x:c>
      <x:c r="C116" s="9" t="n">
        <x:f>B116</x:f>
        <x:v>400.01</x:v>
      </x:c>
      <x:c r="D116" s="9" t="n">
        <x:f>SQRT((Inputs!$C$52+B116)^2+Inputs!$C$52^2-2*(Inputs!$C$52+B116)*Inputs!$C$52*COS(SQRT(A116^2+Inputs!$C$6^2)/Inputs!$C$52))</x:f>
        <x:v>401.004323751419</x:v>
      </x:c>
      <x:c r="E116" s="9" t="n">
        <x:f>(D116-C116)*1000</x:f>
        <x:v>994.3237514190173</x:v>
      </x:c>
      <x:c r="F116" s="9" t="n">
        <x:f>E116/Inputs!$C$12</x:f>
        <x:v>558.6088491118074</x:v>
      </x:c>
      <x:c r="G116" s="9" t="n">
        <x:f>2*E116/Inputs!$C$21*1000000</x:f>
        <x:v>6.633414049522335</x:v>
      </x:c>
      <x:c r="H116" s="9" t="n">
        <x:f>SQRT(A116^2+Inputs!$C$6^2)</x:f>
        <x:v>25.179356624028344</x:v>
      </x:c>
      <x:c r="I116" s="9" t="n">
        <x:f>DEGREES(ATAN(H116/B116))</x:f>
        <x:v>3.601834829314978</x:v>
      </x:c>
      <x:c r="J116" s="9" t="n">
        <x:f>DEGREES((2*PI()/Inputs!$C$13)*Inputs!$C$15*SIN(RADIANS(I116)))</x:f>
        <x:v>22.616092842548554</x:v>
      </x:c>
      <x:c r="K116" s="9" t="n">
        <x:f>(C116/D116)^4</x:f>
        <x:v>0.9901184945990438</x:v>
      </x:c>
      <x:c r="L116" s="9" t="n">
        <x:f>10*LOG10(K116)</x:f>
        <x:v>-0.043128271489245</x:v>
      </x:c>
      <x:c r="M116" s="9" t="n">
        <x:f>2*(Inputs!$C$9/(Inputs!$C$10^2))*A116</x:f>
        <x:v>-0.006666666666666666</x:v>
      </x:c>
      <x:c r="N116" s="9" t="n">
        <x:f>M116*Inputs!$C$11</x:f>
        <x:v>-0.026666666666666665</x:v>
      </x:c>
      <x:c r="O116" s="9" t="n">
        <x:f>1000*(D117-D115)/(A117-A115)*Inputs!$C$11</x:f>
        <x:v>-64.20650642598957</x:v>
      </x:c>
      <x:c r="P116" s="9" t="n">
        <x:f>-2*O116/Inputs!$C$13</x:f>
        <x:v>25.68260257039583</x:v>
      </x:c>
      <x:c r="Q116" s="9" t="n">
        <x:f>-2*O116/Inputs!$C$14</x:f>
        <x:v>3.8562466321915663</x:v>
      </x:c>
      <x:c r="R116" s="9" t="n">
        <x:f>F116-Inputs!$C$16/2</x:f>
        <x:v>543.6088491118074</x:v>
      </x:c>
      <x:c r="S116" s="9" t="n">
        <x:f>F116+Inputs!$C$16/2</x:f>
        <x:v>573.6088491118074</x:v>
      </x:c>
      <x:c r="T116" s="9" t="n">
        <x:f>F116-Inputs!$C$17/2</x:f>
        <x:v>408.60884911180744</x:v>
      </x:c>
      <x:c r="U116" s="9" t="n">
        <x:f>F116+Inputs!$C$17/2</x:f>
        <x:v>708.6088491118074</x:v>
      </x:c>
      <x:c r="V116" s="9" t="n">
        <x:f>ABS(P116)</x:f>
        <x:v>25.68260257039583</x:v>
      </x:c>
      <x:c r="W116" s="9" t="n">
        <x:f>ABS(Q116)</x:f>
        <x:v>3.8562466321915663</x:v>
      </x:c>
      <x:c r="X116" s="9"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x:f>
        <x:v>-67.68197739460362</x:v>
      </x:c>
      <x:c r="Y116" s="9"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x:f>
        <x:v>420.14741895617453</x:v>
      </x:c>
      <x:c r="Z116" s="9" t="n">
        <x:f>B116-X116/1000</x:f>
        <x:v>400.0776819773946</x:v>
      </x:c>
      <x:c r="AA116" s="9" t="n">
        <x:f>SQRT((Inputs!$C$52+B116)^2+(Inputs!$C$52+Y116/1000)^2-2*(Inputs!$C$52+B116)*(Inputs!$C$52+Y116/1000)*COS(SQRT(A116^2+Inputs!$C$6^2)/Inputs!$C$52))</x:f>
        <x:v>400.5854868214365</x:v>
      </x:c>
      <x:c r="AB116" s="9" t="n">
        <x:f>(AA116-Z116)*1000</x:f>
        <x:v>507.80484404191384</x:v>
      </x:c>
      <x:c r="AC116" s="9" t="n">
        <x:f>AB116/Inputs!$C$12</x:f>
        <x:v>285.2836202482662</x:v>
      </x:c>
      <x:c r="AD116" s="9" t="n">
        <x:f>2*AB116/Inputs!$C$21*1000000</x:f>
        <x:v>3.387709266801594</x:v>
      </x:c>
      <x:c r="AE116" s="9" t="n">
        <x:f>DEGREES(ATAN(H116/(B116-Y116/1000)))</x:f>
        <x:v>3.605611981238959</x:v>
      </x:c>
      <x:c r="AF116" s="9" t="n">
        <x:f>DEGREES((2*PI()/Inputs!$C$13)*Inputs!$C$15*SIN(RADIANS(AE116)))</x:f>
        <x:v>22.639778460368408</x:v>
      </x:c>
      <x:c r="AG116" s="9" t="n">
        <x:f>(Z116/AA116)^4</x:f>
        <x:v>0.9949390070961812</x:v>
      </x:c>
      <x:c r="AH116" s="9" t="n">
        <x:f>10*LOG10(AG116)</x:f>
        <x:v>-0.0220354206178532</x:v>
      </x:c>
      <x:c r="AI116" s="9" t="n">
        <x:f>AC116-F116</x:f>
        <x:v>-273.32522886354127</x:v>
      </x:c>
      <x:c r="AJ116" s="9" t="n">
        <x:f>AD116-G116</x:f>
        <x:v>-3.245704782720741</x:v>
      </x:c>
      <x:c r="AK116" s="9" t="n">
        <x:f>Y116-X116</x:f>
        <x:v>487.82939635077815</x:v>
      </x:c>
      <x:c r="AL116" s="9" t="n">
        <x:f>1000*(AA117-AA115)/(A117-A115)*Inputs!$C$11</x:f>
        <x:v>-128.09968959595608</x:v>
      </x:c>
      <x:c r="AM116" s="9" t="n">
        <x:f>-2*AL116/Inputs!$C$13</x:f>
        <x:v>51.23987583838243</x:v>
      </x:c>
      <x:c r="AN116" s="9" t="n">
        <x:f>-2*AL116/Inputs!$C$14</x:f>
        <x:v>7.6936750508081735</x:v>
      </x:c>
      <x:c r="AO116" s="9" t="n">
        <x:f>ABS(AM116)</x:f>
        <x:v>51.23987583838243</x:v>
      </x:c>
      <x:c r="AP116" s="9" t="n">
        <x:f>ABS(AN116)</x:f>
        <x:v>7.6936750508081735</x:v>
      </x:c>
      <x:c r="AQ116" s="9" t="n">
        <x:f>IF(OR(Inputs!$C$27=TRUE,Inputs!$C$27="TRUE",Inputs!$C$27=1),Inputs!$C$46/Inputs!$C$12,0)</x:f>
        <x:v>42.13483146067416</x:v>
      </x:c>
      <x:c r="AR116" s="9" t="n">
        <x:f>AC116-AQ116</x:f>
        <x:v>243.14878878759203</x:v>
      </x:c>
      <x:c r="AS116" s="9" t="n">
        <x:f>AC116+AQ116</x:f>
        <x:v>327.4184517089403</x:v>
      </x:c>
    </x:row>
    <x:row r="117">
      <x:c r="A117" s="9" t="n">
        <x:f>Inputs!$C$7+115*(Inputs!$C$8-Inputs!$C$7)/240</x:f>
        <x:v>-2.5</x:v>
      </x:c>
      <x:c r="B117" s="9" t="n">
        <x:f>Inputs!$C$5+Inputs!$C$9*(A117/Inputs!$C$10)^2</x:f>
        <x:v>400.00694444444446</x:v>
      </x:c>
      <x:c r="C117" s="9" t="n">
        <x:f>B117</x:f>
        <x:v>400.00694444444446</x:v>
      </x:c>
      <x:c r="D117" s="9" t="n">
        <x:f>SQRT((Inputs!$C$52+B117)^2+Inputs!$C$52^2-2*(Inputs!$C$52+B117)*Inputs!$C$52*COS(SQRT(A117^2+Inputs!$C$6^2)/Inputs!$C$52))</x:f>
        <x:v>400.9969666973448</x:v>
      </x:c>
      <x:c r="E117" s="9" t="n">
        <x:f>(D117-C117)*1000</x:f>
        <x:v>990.02225290036</x:v>
      </x:c>
      <x:c r="F117" s="9" t="n">
        <x:f>E117/Inputs!$C$12</x:f>
        <x:v>556.1922769103146</x:v>
      </x:c>
      <x:c r="G117" s="9" t="n">
        <x:f>2*E117/Inputs!$C$21*1000000</x:f>
        <x:v>6.604717540294893</x:v>
      </x:c>
      <x:c r="H117" s="9" t="n">
        <x:f>SQRT(A117^2+Inputs!$C$6^2)</x:f>
        <x:v>25.124689052802225</x:v>
      </x:c>
      <x:c r="I117" s="9" t="n">
        <x:f>DEGREES(ATAN(H117/B117))</x:f>
        <x:v>3.594062691308639</x:v>
      </x:c>
      <x:c r="J117" s="9" t="n">
        <x:f>DEGREES((2*PI()/Inputs!$C$13)*Inputs!$C$15*SIN(RADIANS(I117)))</x:f>
        <x:v>22.567355311830532</x:v>
      </x:c>
      <x:c r="K117" s="9" t="n">
        <x:f>(C117/D117)^4</x:f>
        <x:v>0.9901609043087782</x:v>
      </x:c>
      <x:c r="L117" s="9" t="n">
        <x:f>10*LOG10(K117)</x:f>
        <x:v>-0.0429422542744039</x:v>
      </x:c>
      <x:c r="M117" s="9" t="n">
        <x:f>2*(Inputs!$C$9/(Inputs!$C$10^2))*A117</x:f>
        <x:v>-0.005555555555555556</x:v>
      </x:c>
      <x:c r="N117" s="9" t="n">
        <x:f>M117*Inputs!$C$11</x:f>
        <x:v>-0.022222222222222223</x:v>
      </x:c>
      <x:c r="O117" s="9" t="n">
        <x:f>1000*(D118-D116)/(A118-A116)*Inputs!$C$11</x:f>
        <x:v>-53.506142605556306</x:v>
      </x:c>
      <x:c r="P117" s="9" t="n">
        <x:f>-2*O117/Inputs!$C$13</x:f>
        <x:v>21.402457042222522</x:v>
      </x:c>
      <x:c r="Q117" s="9" t="n">
        <x:f>-2*O117/Inputs!$C$14</x:f>
        <x:v>3.2135821384718506</x:v>
      </x:c>
      <x:c r="R117" s="9" t="n">
        <x:f>F117-Inputs!$C$16/2</x:f>
        <x:v>541.1922769103146</x:v>
      </x:c>
      <x:c r="S117" s="9" t="n">
        <x:f>F117+Inputs!$C$16/2</x:f>
        <x:v>571.1922769103146</x:v>
      </x:c>
      <x:c r="T117" s="9" t="n">
        <x:f>F117-Inputs!$C$17/2</x:f>
        <x:v>406.1922769103146</x:v>
      </x:c>
      <x:c r="U117" s="9" t="n">
        <x:f>F117+Inputs!$C$17/2</x:f>
        <x:v>706.1922769103146</x:v>
      </x:c>
      <x:c r="V117" s="9" t="n">
        <x:f>ABS(P117)</x:f>
        <x:v>21.402457042222522</x:v>
      </x:c>
      <x:c r="W117" s="9" t="n">
        <x:f>ABS(Q117)</x:f>
        <x:v>3.2135821384718506</x:v>
      </x:c>
      <x:c r="X117" s="9"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x:f>
        <x:v>-49.83449295863612</x:v>
      </x:c>
      <x:c r="Y117" s="9"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x:f>
        <x:v>420.97624209793275</x:v>
      </x:c>
      <x:c r="Z117" s="9" t="n">
        <x:f>B117-X117/1000</x:f>
        <x:v>400.05677893740307</x:v>
      </x:c>
      <x:c r="AA117" s="9" t="n">
        <x:f>SQRT((Inputs!$C$52+B117)^2+(Inputs!$C$52+Y117/1000)^2-2*(Inputs!$C$52+B117)*(Inputs!$C$52+Y117/1000)*COS(SQRT(A117^2+Inputs!$C$6^2)/Inputs!$C$52))</x:f>
        <x:v>400.57729787223633</x:v>
      </x:c>
      <x:c r="AB117" s="9" t="n">
        <x:f>(AA117-Z117)*1000</x:f>
        <x:v>520.5189348332624</x:v>
      </x:c>
      <x:c r="AC117" s="9" t="n">
        <x:f>AB117/Inputs!$C$12</x:f>
        <x:v>292.4263678838553</x:v>
      </x:c>
      <x:c r="AD117" s="9" t="n">
        <x:f>2*AB117/Inputs!$C$21*1000000</x:f>
        <x:v>3.472528550623261</x:v>
      </x:c>
      <x:c r="AE117" s="9" t="n">
        <x:f>DEGREES(ATAN(H117/(B117-Y117/1000)))</x:f>
        <x:v>3.5978392075694425</x:v>
      </x:c>
      <x:c r="AF117" s="9" t="n">
        <x:f>DEGREES((2*PI()/Inputs!$C$13)*Inputs!$C$15*SIN(RADIANS(AE117)))</x:f>
        <x:v>22.591037145665354</x:v>
      </x:c>
      <x:c r="AG117" s="9" t="n">
        <x:f>(Z117/AA117)^4</x:f>
        <x:v>0.9948124343979993</x:v>
      </x:c>
      <x:c r="AH117" s="9" t="n">
        <x:f>10*LOG10(AG117)</x:f>
        <x:v>-0.022587950178157398</x:v>
      </x:c>
      <x:c r="AI117" s="9" t="n">
        <x:f>AC117-F117</x:f>
        <x:v>-263.7659090264593</x:v>
      </x:c>
      <x:c r="AJ117" s="9" t="n">
        <x:f>AD117-G117</x:f>
        <x:v>-3.1321889896716324</x:v>
      </x:c>
      <x:c r="AK117" s="9" t="n">
        <x:f>Y117-X117</x:f>
        <x:v>470.8107350565689</x:v>
      </x:c>
      <x:c r="AL117" s="9" t="n">
        <x:f>1000*(AA118-AA116)/(A118-A116)*Inputs!$C$11</x:f>
        <x:v>-116.69334565840472</x:v>
      </x:c>
      <x:c r="AM117" s="9" t="n">
        <x:f>-2*AL117/Inputs!$C$13</x:f>
        <x:v>46.67733826336189</x:v>
      </x:c>
      <x:c r="AN117" s="9" t="n">
        <x:f>-2*AL117/Inputs!$C$14</x:f>
        <x:v>7.008609348853137</x:v>
      </x:c>
      <x:c r="AO117" s="9" t="n">
        <x:f>ABS(AM117)</x:f>
        <x:v>46.67733826336189</x:v>
      </x:c>
      <x:c r="AP117" s="9" t="n">
        <x:f>ABS(AN117)</x:f>
        <x:v>7.008609348853137</x:v>
      </x:c>
      <x:c r="AQ117" s="9" t="n">
        <x:f>IF(OR(Inputs!$C$27=TRUE,Inputs!$C$27="TRUE",Inputs!$C$27=1),Inputs!$C$46/Inputs!$C$12,0)</x:f>
        <x:v>42.13483146067416</x:v>
      </x:c>
      <x:c r="AR117" s="9" t="n">
        <x:f>AC117-AQ117</x:f>
        <x:v>250.29153642318113</x:v>
      </x:c>
      <x:c r="AS117" s="9" t="n">
        <x:f>AC117+AQ117</x:f>
        <x:v>334.5611993445294</x:v>
      </x:c>
    </x:row>
    <x:row r="118">
      <x:c r="A118" s="9" t="n">
        <x:f>Inputs!$C$7+116*(Inputs!$C$8-Inputs!$C$7)/240</x:f>
        <x:v>-2</x:v>
      </x:c>
      <x:c r="B118" s="9" t="n">
        <x:f>Inputs!$C$5+Inputs!$C$9*(A118/Inputs!$C$10)^2</x:f>
        <x:v>400.00444444444446</x:v>
      </x:c>
      <x:c r="C118" s="9" t="n">
        <x:f>B118</x:f>
        <x:v>400.00444444444446</x:v>
      </x:c>
      <x:c r="D118" s="9" t="n">
        <x:f>SQRT((Inputs!$C$52+B118)^2+Inputs!$C$52^2-2*(Inputs!$C$52+B118)*Inputs!$C$52*COS(SQRT(A118^2+Inputs!$C$6^2)/Inputs!$C$52))</x:f>
        <x:v>400.9909472157676</x:v>
      </x:c>
      <x:c r="E118" s="9" t="n">
        <x:f>(D118-C118)*1000</x:f>
        <x:v>986.5027713231598</x:v>
      </x:c>
      <x:c r="F118" s="9" t="n">
        <x:f>E118/Inputs!$C$12</x:f>
        <x:v>554.2150400691909</x:v>
      </x:c>
      <x:c r="G118" s="9" t="n">
        <x:f>2*E118/Inputs!$C$21*1000000</x:f>
        <x:v>6.581238086537586</x:v>
      </x:c>
      <x:c r="H118" s="9" t="n">
        <x:f>SQRT(A118^2+Inputs!$C$6^2)</x:f>
        <x:v>25.079872407968907</x:v>
      </x:c>
      <x:c r="I118" s="9" t="n">
        <x:f>DEGREES(ATAN(H118/B118))</x:f>
        <x:v>3.5876908367118427</x:v>
      </x:c>
      <x:c r="J118" s="9" t="n">
        <x:f>DEGREES((2*PI()/Inputs!$C$13)*Inputs!$C$15*SIN(RADIANS(I118)))</x:f>
        <x:v>22.52739836989279</x:v>
      </x:c>
      <x:c r="K118" s="9" t="n">
        <x:f>(C118/D118)^4</x:f>
        <x:v>0.9901956060610456</x:v>
      </x:c>
      <x:c r="L118" s="9" t="n">
        <x:f>10*LOG10(K118)</x:f>
        <x:v>-0.042790051583174</x:v>
      </x:c>
      <x:c r="M118" s="9" t="n">
        <x:f>2*(Inputs!$C$9/(Inputs!$C$10^2))*A118</x:f>
        <x:v>-0.0044444444444444444</x:v>
      </x:c>
      <x:c r="N118" s="9" t="n">
        <x:f>M118*Inputs!$C$11</x:f>
        <x:v>-0.017777777777777778</x:v>
      </x:c>
      <x:c r="O118" s="9" t="n">
        <x:f>1000*(D119-D117)/(A119-A117)*Inputs!$C$11</x:f>
        <x:v>-42.805385754263625</x:v>
      </x:c>
      <x:c r="P118" s="9" t="n">
        <x:f>-2*O118/Inputs!$C$13</x:f>
        <x:v>17.12215430170545</x:v>
      </x:c>
      <x:c r="Q118" s="9" t="n">
        <x:f>-2*O118/Inputs!$C$14</x:f>
        <x:v>2.570894039295113</x:v>
      </x:c>
      <x:c r="R118" s="9" t="n">
        <x:f>F118-Inputs!$C$16/2</x:f>
        <x:v>539.2150400691909</x:v>
      </x:c>
      <x:c r="S118" s="9" t="n">
        <x:f>F118+Inputs!$C$16/2</x:f>
        <x:v>569.2150400691909</x:v>
      </x:c>
      <x:c r="T118" s="9" t="n">
        <x:f>F118-Inputs!$C$17/2</x:f>
        <x:v>404.2150400691909</x:v>
      </x:c>
      <x:c r="U118" s="9" t="n">
        <x:f>F118+Inputs!$C$17/2</x:f>
        <x:v>704.2150400691909</x:v>
      </x:c>
      <x:c r="V118" s="9" t="n">
        <x:f>ABS(P118)</x:f>
        <x:v>17.12215430170545</x:v>
      </x:c>
      <x:c r="W118" s="9" t="n">
        <x:f>ABS(Q118)</x:f>
        <x:v>2.570894039295113</x:v>
      </x:c>
      <x:c r="X118" s="9"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x:f>
        <x:v>-59.60727995622125</x:v>
      </x:c>
      <x:c r="Y118" s="9"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x:f>
        <x:v>435.98300826713626</x:v>
      </x:c>
      <x:c r="Z118" s="9" t="n">
        <x:f>B118-X118/1000</x:f>
        <x:v>400.06405172440066</x:v>
      </x:c>
      <x:c r="AA118" s="9" t="n">
        <x:f>SQRT((Inputs!$C$52+B118)^2+(Inputs!$C$52+Y118/1000)^2-2*(Inputs!$C$52+B118)*(Inputs!$C$52+Y118/1000)*COS(SQRT(A118^2+Inputs!$C$6^2)/Inputs!$C$52))</x:f>
        <x:v>400.5563134850219</x:v>
      </x:c>
      <x:c r="AB118" s="9" t="n">
        <x:f>(AA118-Z118)*1000</x:f>
        <x:v>492.26176062126115</x:v>
      </x:c>
      <x:c r="AC118" s="9" t="n">
        <x:f>AB118/Inputs!$C$12</x:f>
        <x:v>276.5515509108209</x:v>
      </x:c>
      <x:c r="AD118" s="9" t="n">
        <x:f>2*AB118/Inputs!$C$21*1000000</x:f>
        <x:v>3.2840169756456055</x:v>
      </x:c>
      <x:c r="AE118" s="9" t="n">
        <x:f>DEGREES(ATAN(H118/(B118-Y118/1000)))</x:f>
        <x:v>3.5915952493438987</x:v>
      </x:c>
      <x:c r="AF118" s="9" t="n">
        <x:f>DEGREES((2*PI()/Inputs!$C$13)*Inputs!$C$15*SIN(RADIANS(AE118)))</x:f>
        <x:v>22.55188238742539</x:v>
      </x:c>
      <x:c r="AG118" s="9" t="n">
        <x:f>(Z118/AA118)^4</x:f>
        <x:v>0.9950932735975251</x:v>
      </x:c>
      <x:c r="AH118" s="9" t="n">
        <x:f>10*LOG10(AG118)</x:f>
        <x:v>-0.0213620939481269</x:v>
      </x:c>
      <x:c r="AI118" s="9" t="n">
        <x:f>AC118-F118</x:f>
        <x:v>-277.66348915837</x:v>
      </x:c>
      <x:c r="AJ118" s="9" t="n">
        <x:f>AD118-G118</x:f>
        <x:v>-3.2972211108919804</x:v>
      </x:c>
      <x:c r="AK118" s="9" t="n">
        <x:f>Y118-X118</x:f>
        <x:v>495.5902882233575</x:v>
      </x:c>
      <x:c r="AL118" s="9" t="n">
        <x:f>1000*(AA119-AA117)/(A119-A117)*Inputs!$C$11</x:f>
        <x:v>-83.23139808589985</x:v>
      </x:c>
      <x:c r="AM118" s="9" t="n">
        <x:f>-2*AL118/Inputs!$C$13</x:f>
        <x:v>33.29255923435994</x:v>
      </x:c>
      <x:c r="AN118" s="9" t="n">
        <x:f>-2*AL118/Inputs!$C$14</x:f>
        <x:v>4.998882767921914</x:v>
      </x:c>
      <x:c r="AO118" s="9" t="n">
        <x:f>ABS(AM118)</x:f>
        <x:v>33.29255923435994</x:v>
      </x:c>
      <x:c r="AP118" s="9" t="n">
        <x:f>ABS(AN118)</x:f>
        <x:v>4.998882767921914</x:v>
      </x:c>
      <x:c r="AQ118" s="9" t="n">
        <x:f>IF(OR(Inputs!$C$27=TRUE,Inputs!$C$27="TRUE",Inputs!$C$27=1),Inputs!$C$46/Inputs!$C$12,0)</x:f>
        <x:v>42.13483146067416</x:v>
      </x:c>
      <x:c r="AR118" s="9" t="n">
        <x:f>AC118-AQ118</x:f>
        <x:v>234.41671945014673</x:v>
      </x:c>
      <x:c r="AS118" s="9" t="n">
        <x:f>AC118+AQ118</x:f>
        <x:v>318.68638237149503</x:v>
      </x:c>
    </x:row>
    <x:row r="119">
      <x:c r="A119" s="9" t="n">
        <x:f>Inputs!$C$7+117*(Inputs!$C$8-Inputs!$C$7)/240</x:f>
        <x:v>-1.5</x:v>
      </x:c>
      <x:c r="B119" s="9" t="n">
        <x:f>Inputs!$C$5+Inputs!$C$9*(A119/Inputs!$C$10)^2</x:f>
        <x:v>400.0025</x:v>
      </x:c>
      <x:c r="C119" s="9" t="n">
        <x:f>B119</x:f>
        <x:v>400.0025</x:v>
      </x:c>
      <x:c r="D119" s="9" t="n">
        <x:f>SQRT((Inputs!$C$52+B119)^2+Inputs!$C$52^2-2*(Inputs!$C$52+B119)*Inputs!$C$52*COS(SQRT(A119^2+Inputs!$C$6^2)/Inputs!$C$52))</x:f>
        <x:v>400.98626535090625</x:v>
      </x:c>
      <x:c r="E119" s="9" t="n">
        <x:f>(D119-C119)*1000</x:f>
        <x:v>983.7653509062534</x:v>
      </x:c>
      <x:c r="F119" s="9" t="n">
        <x:f>E119/Inputs!$C$12</x:f>
        <x:v>552.6771634304794</x:v>
      </x:c>
      <x:c r="G119" s="9" t="n">
        <x:f>2*E119/Inputs!$C$21*1000000</x:f>
        <x:v>6.562975983246739</x:v>
      </x:c>
      <x:c r="H119" s="9" t="n">
        <x:f>SQRT(A119^2+Inputs!$C$6^2)</x:f>
        <x:v>25.04495957273639</x:v>
      </x:c>
      <x:c r="I119" s="9" t="n">
        <x:f>DEGREES(ATAN(H119/B119))</x:f>
        <x:v>3.582726922473895</x:v>
      </x:c>
      <x:c r="J119" s="9" t="n">
        <x:f>DEGREES((2*PI()/Inputs!$C$13)*Inputs!$C$15*SIN(RADIANS(I119)))</x:f>
        <x:v>22.49627021711709</x:v>
      </x:c>
      <x:c r="K119" s="9" t="n">
        <x:f>(C119/D119)^4</x:f>
        <x:v>0.9902225981167069</x:v>
      </x:c>
      <x:c r="L119" s="9" t="n">
        <x:f>10*LOG10(K119)</x:f>
        <x:v>-0.0426716674882904</x:v>
      </x:c>
      <x:c r="M119" s="9" t="n">
        <x:f>2*(Inputs!$C$9/(Inputs!$C$10^2))*A119</x:f>
        <x:v>-0.003333333333333333</x:v>
      </x:c>
      <x:c r="N119" s="9" t="n">
        <x:f>M119*Inputs!$C$11</x:f>
        <x:v>-0.013333333333333332</x:v>
      </x:c>
      <x:c r="O119" s="9" t="n">
        <x:f>1000*(D120-D118)/(A120-A118)*Inputs!$C$11</x:f>
        <x:v>-32.10431447382689</x:v>
      </x:c>
      <x:c r="P119" s="9" t="n">
        <x:f>-2*O119/Inputs!$C$13</x:f>
        <x:v>12.841725789530756</x:v>
      </x:c>
      <x:c r="Q119" s="9" t="n">
        <x:f>-2*O119/Inputs!$C$14</x:f>
        <x:v>1.9281870554850986</x:v>
      </x:c>
      <x:c r="R119" s="9" t="n">
        <x:f>F119-Inputs!$C$16/2</x:f>
        <x:v>537.6771634304794</x:v>
      </x:c>
      <x:c r="S119" s="9" t="n">
        <x:f>F119+Inputs!$C$16/2</x:f>
        <x:v>567.6771634304794</x:v>
      </x:c>
      <x:c r="T119" s="9" t="n">
        <x:f>F119-Inputs!$C$17/2</x:f>
        <x:v>402.67716343047937</x:v>
      </x:c>
      <x:c r="U119" s="9" t="n">
        <x:f>F119+Inputs!$C$17/2</x:f>
        <x:v>702.6771634304794</x:v>
      </x:c>
      <x:c r="V119" s="9" t="n">
        <x:f>ABS(P119)</x:f>
        <x:v>12.841725789530756</x:v>
      </x:c>
      <x:c r="W119" s="9" t="n">
        <x:f>ABS(Q119)</x:f>
        <x:v>1.9281870554850986</x:v>
      </x:c>
      <x:c r="X119" s="9"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x:f>
        <x:v>-34.15455011761312</x:v>
      </x:c>
      <x:c r="Y119" s="9"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x:f>
        <x:v>431.10580672292525</x:v>
      </x:c>
      <x:c r="Z119" s="9" t="n">
        <x:f>B119-X119/1000</x:f>
        <x:v>400.0366545501176</x:v>
      </x:c>
      <x:c r="AA119" s="9" t="n">
        <x:f>SQRT((Inputs!$C$52+B119)^2+(Inputs!$C$52+Y119/1000)^2-2*(Inputs!$C$52+B119)*(Inputs!$C$52+Y119/1000)*COS(SQRT(A119^2+Inputs!$C$6^2)/Inputs!$C$52))</x:f>
        <x:v>400.55649002271485</x:v>
      </x:c>
      <x:c r="AB119" s="9" t="n">
        <x:f>(AA119-Z119)*1000</x:f>
        <x:v>519.8354725972649</x:v>
      </x:c>
      <x:c r="AC119" s="9" t="n">
        <x:f>AB119/Inputs!$C$12</x:f>
        <x:v>292.0424003355421</x:v>
      </x:c>
      <x:c r="AD119" s="9" t="n">
        <x:f>2*AB119/Inputs!$C$21*1000000</x:f>
        <x:v>3.467968981376209</x:v>
      </x:c>
      <x:c r="AE119" s="9" t="n">
        <x:f>DEGREES(ATAN(H119/(B119-Y119/1000)))</x:f>
        <x:v>3.5865823158301713</x:v>
      </x:c>
      <x:c r="AF119" s="9" t="n">
        <x:f>DEGREES((2*PI()/Inputs!$C$13)*Inputs!$C$15*SIN(RADIANS(AE119)))</x:f>
        <x:v>22.520446973684773</x:v>
      </x:c>
      <x:c r="AG119" s="9" t="n">
        <x:f>(Z119/AA119)^4</x:f>
        <x:v>0.9948189640146042</x:v>
      </x:c>
      <x:c r="AH119" s="9" t="n">
        <x:f>10*LOG10(AG119)</x:f>
        <x:v>-0.0225594446322281</x:v>
      </x:c>
      <x:c r="AI119" s="9" t="n">
        <x:f>AC119-F119</x:f>
        <x:v>-260.6347630949373</x:v>
      </x:c>
      <x:c r="AJ119" s="9" t="n">
        <x:f>AD119-G119</x:f>
        <x:v>-3.09500700187053</x:v>
      </x:c>
      <x:c r="AK119" s="9" t="n">
        <x:f>Y119-X119</x:f>
        <x:v>465.26035684053835</x:v>
      </x:c>
      <x:c r="AL119" s="9" t="n">
        <x:f>1000*(AA120-AA118)/(A120-A118)*Inputs!$C$11</x:f>
        <x:v>-52.11369318749348</x:v>
      </x:c>
      <x:c r="AM119" s="9" t="n">
        <x:f>-2*AL119/Inputs!$C$13</x:f>
        <x:v>20.845477274997393</x:v>
      </x:c>
      <x:c r="AN119" s="9" t="n">
        <x:f>-2*AL119/Inputs!$C$14</x:f>
        <x:v>3.1299515427924014</x:v>
      </x:c>
      <x:c r="AO119" s="9" t="n">
        <x:f>ABS(AM119)</x:f>
        <x:v>20.845477274997393</x:v>
      </x:c>
      <x:c r="AP119" s="9" t="n">
        <x:f>ABS(AN119)</x:f>
        <x:v>3.1299515427924014</x:v>
      </x:c>
      <x:c r="AQ119" s="9" t="n">
        <x:f>IF(OR(Inputs!$C$27=TRUE,Inputs!$C$27="TRUE",Inputs!$C$27=1),Inputs!$C$46/Inputs!$C$12,0)</x:f>
        <x:v>42.13483146067416</x:v>
      </x:c>
      <x:c r="AR119" s="9" t="n">
        <x:f>AC119-AQ119</x:f>
        <x:v>249.90756887486793</x:v>
      </x:c>
      <x:c r="AS119" s="9" t="n">
        <x:f>AC119+AQ119</x:f>
        <x:v>334.17723179621623</x:v>
      </x:c>
    </x:row>
    <x:row r="120">
      <x:c r="A120" s="9" t="n">
        <x:f>Inputs!$C$7+118*(Inputs!$C$8-Inputs!$C$7)/240</x:f>
        <x:v>-1</x:v>
      </x:c>
      <x:c r="B120" s="9" t="n">
        <x:f>Inputs!$C$5+Inputs!$C$9*(A120/Inputs!$C$10)^2</x:f>
        <x:v>400.00111111111113</x:v>
      </x:c>
      <x:c r="C120" s="9" t="n">
        <x:f>B120</x:f>
        <x:v>400.00111111111113</x:v>
      </x:c>
      <x:c r="D120" s="9" t="n">
        <x:f>SQRT((Inputs!$C$52+B120)^2+Inputs!$C$52^2-2*(Inputs!$C$52+B120)*Inputs!$C$52*COS(SQRT(A120^2+Inputs!$C$6^2)/Inputs!$C$52))</x:f>
        <x:v>400.98292113714916</x:v>
      </x:c>
      <x:c r="E120" s="9" t="n">
        <x:f>(D120-C120)*1000</x:f>
        <x:v>981.8100260380334</x:v>
      </x:c>
      <x:c r="F120" s="9" t="n">
        <x:f>E120/Inputs!$C$12</x:f>
        <x:v>551.5786663135019</x:v>
      </x:c>
      <x:c r="G120" s="9" t="n">
        <x:f>2*E120/Inputs!$C$21*1000000</x:f>
        <x:v>6.549931459837014</x:v>
      </x:c>
      <x:c r="H120" s="9" t="n">
        <x:f>SQRT(A120^2+Inputs!$C$6^2)</x:f>
        <x:v>25.019992006393608</x:v>
      </x:c>
      <x:c r="I120" s="9" t="n">
        <x:f>DEGREES(ATAN(H120/B120))</x:f>
        <x:v>3.5791769511981175</x:v>
      </x:c>
      <x:c r="J120" s="9" t="n">
        <x:f>DEGREES((2*PI()/Inputs!$C$13)*Inputs!$C$15*SIN(RADIANS(I120)))</x:f>
        <x:v>22.474008639448687</x:v>
      </x:c>
      <x:c r="K120" s="9" t="n">
        <x:f>(C120/D120)^4</x:f>
        <x:v>0.9902418791229507</x:v>
      </x:c>
      <x:c r="L120" s="9" t="n">
        <x:f>10*LOG10(K120)</x:f>
        <x:v>-0.042587105157445904</x:v>
      </x:c>
      <x:c r="M120" s="9" t="n">
        <x:f>2*(Inputs!$C$9/(Inputs!$C$10^2))*A120</x:f>
        <x:v>-0.0022222222222222222</x:v>
      </x:c>
      <x:c r="N120" s="9" t="n">
        <x:f>M120*Inputs!$C$11</x:f>
        <x:v>-0.008888888888888889</x:v>
      </x:c>
      <x:c r="O120" s="9" t="n">
        <x:f>1000*(D121-D119)/(A121-A119)*Inputs!$C$11</x:f>
        <x:v>-21.403007352773784</x:v>
      </x:c>
      <x:c r="P120" s="9" t="n">
        <x:f>-2*O120/Inputs!$C$13</x:f>
        <x:v>8.561202941109514</x:v>
      </x:c>
      <x:c r="Q120" s="9" t="n">
        <x:f>-2*O120/Inputs!$C$14</x:f>
        <x:v>1.2854659070735006</x:v>
      </x:c>
      <x:c r="R120" s="9" t="n">
        <x:f>F120-Inputs!$C$16/2</x:f>
        <x:v>536.5786663135019</x:v>
      </x:c>
      <x:c r="S120" s="9" t="n">
        <x:f>F120+Inputs!$C$16/2</x:f>
        <x:v>566.5786663135019</x:v>
      </x:c>
      <x:c r="T120" s="9" t="n">
        <x:f>F120-Inputs!$C$17/2</x:f>
        <x:v>401.5786663135019</x:v>
      </x:c>
      <x:c r="U120" s="9" t="n">
        <x:f>F120+Inputs!$C$17/2</x:f>
        <x:v>701.5786663135019</x:v>
      </x:c>
      <x:c r="V120" s="9" t="n">
        <x:f>ABS(P120)</x:f>
        <x:v>8.561202941109514</x:v>
      </x:c>
      <x:c r="W120" s="9" t="n">
        <x:f>ABS(Q120)</x:f>
        <x:v>1.2854659070735006</x:v>
      </x:c>
      <x:c r="X120" s="9"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x:f>
        <x:v>-38.26579288799343</x:v>
      </x:c>
      <x:c r="Y120" s="9"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x:f>
        <x:v>440.9944102420088</x:v>
      </x:c>
      <x:c r="Z120" s="9" t="n">
        <x:f>B120-X120/1000</x:f>
        <x:v>400.03937690399914</x:v>
      </x:c>
      <x:c r="AA120" s="9" t="n">
        <x:f>SQRT((Inputs!$C$52+B120)^2+(Inputs!$C$52+Y120/1000)^2-2*(Inputs!$C$52+B120)*(Inputs!$C$52+Y120/1000)*COS(SQRT(A120^2+Inputs!$C$6^2)/Inputs!$C$52))</x:f>
        <x:v>400.54328506172504</x:v>
      </x:c>
      <x:c r="AB120" s="9" t="n">
        <x:f>(AA120-Z120)*1000</x:f>
        <x:v>503.9081577259026</x:v>
      </x:c>
      <x:c r="AC120" s="9" t="n">
        <x:f>AB120/Inputs!$C$12</x:f>
        <x:v>283.0944706325295</x:v>
      </x:c>
      <x:c r="AD120" s="9" t="n">
        <x:f>2*AB120/Inputs!$C$21*1000000</x:f>
        <x:v>3.3617133738961678</x:v>
      </x:c>
      <x:c r="AE120" s="9" t="n">
        <x:f>DEGREES(ATAN(H120/(B120-Y120/1000)))</x:f>
        <x:v>3.583117002109058</x:v>
      </x:c>
      <x:c r="AF120" s="9" t="n">
        <x:f>DEGREES((2*PI()/Inputs!$C$13)*Inputs!$C$15*SIN(RADIANS(AE120)))</x:f>
        <x:v>22.498716369136744</x:v>
      </x:c>
      <x:c r="AG120" s="9" t="n">
        <x:f>(Z120/AA120)^4</x:f>
        <x:v>0.9949772416369113</x:v>
      </x:c>
      <x:c r="AH120" s="9" t="n">
        <x:f>10*LOG10(AG120)</x:f>
        <x:v>-0.0218685286688098</x:v>
      </x:c>
      <x:c r="AI120" s="9" t="n">
        <x:f>AC120-F120</x:f>
        <x:v>-268.4841956809724</x:v>
      </x:c>
      <x:c r="AJ120" s="9" t="n">
        <x:f>AD120-G120</x:f>
        <x:v>-3.188218085940846</x:v>
      </x:c>
      <x:c r="AK120" s="9" t="n">
        <x:f>Y120-X120</x:f>
        <x:v>479.26020313000225</x:v>
      </x:c>
      <x:c r="AL120" s="9" t="n">
        <x:f>1000*(AA121-AA119)/(A121-A119)*Inputs!$C$11</x:f>
        <x:v>-193.39645675700012</x:v>
      </x:c>
      <x:c r="AM120" s="9" t="n">
        <x:f>-2*AL120/Inputs!$C$13</x:f>
        <x:v>77.35858270280005</x:v>
      </x:c>
      <x:c r="AN120" s="9" t="n">
        <x:f>-2*AL120/Inputs!$C$14</x:f>
        <x:v>11.615402808228236</x:v>
      </x:c>
      <x:c r="AO120" s="9" t="n">
        <x:f>ABS(AM120)</x:f>
        <x:v>77.35858270280005</x:v>
      </x:c>
      <x:c r="AP120" s="9" t="n">
        <x:f>ABS(AN120)</x:f>
        <x:v>11.615402808228236</x:v>
      </x:c>
      <x:c r="AQ120" s="9" t="n">
        <x:f>IF(OR(Inputs!$C$27=TRUE,Inputs!$C$27="TRUE",Inputs!$C$27=1),Inputs!$C$46/Inputs!$C$12,0)</x:f>
        <x:v>42.13483146067416</x:v>
      </x:c>
      <x:c r="AR120" s="9" t="n">
        <x:f>AC120-AQ120</x:f>
        <x:v>240.95963917185537</x:v>
      </x:c>
      <x:c r="AS120" s="9" t="n">
        <x:f>AC120+AQ120</x:f>
        <x:v>325.22930209320367</x:v>
      </x:c>
    </x:row>
    <x:row r="121">
      <x:c r="A121" s="9" t="n">
        <x:f>Inputs!$C$7+119*(Inputs!$C$8-Inputs!$C$7)/240</x:f>
        <x:v>-0.5</x:v>
      </x:c>
      <x:c r="B121" s="9" t="n">
        <x:f>Inputs!$C$5+Inputs!$C$9*(A121/Inputs!$C$10)^2</x:f>
        <x:v>400.0002777777778</x:v>
      </x:c>
      <x:c r="C121" s="9" t="n">
        <x:f>B121</x:f>
        <x:v>400.0002777777778</x:v>
      </x:c>
      <x:c r="D121" s="9" t="n">
        <x:f>SQRT((Inputs!$C$52+B121)^2+Inputs!$C$52^2-2*(Inputs!$C$52+B121)*Inputs!$C$52*COS(SQRT(A121^2+Inputs!$C$6^2)/Inputs!$C$52))</x:f>
        <x:v>400.98091459906806</x:v>
      </x:c>
      <x:c r="E121" s="9" t="n">
        <x:f>(D121-C121)*1000</x:f>
        <x:v>980.6368212902612</x:v>
      </x:c>
      <x:c r="F121" s="9" t="n">
        <x:f>E121/Inputs!$C$12</x:f>
        <x:v>550.9195625226187</x:v>
      </x:c>
      <x:c r="G121" s="9" t="n">
        <x:f>2*E121/Inputs!$C$21*1000000</x:f>
        <x:v>6.542104680233558</x:v>
      </x:c>
      <x:c r="H121" s="9" t="n">
        <x:f>SQRT(A121^2+Inputs!$C$6^2)</x:f>
        <x:v>25.004999500099974</x:v>
      </x:c>
      <x:c r="I121" s="9" t="n">
        <x:f>DEGREES(ATAN(H121/B121))</x:f>
        <x:v>3.5770452359901275</x:v>
      </x:c>
      <x:c r="J121" s="9" t="n">
        <x:f>DEGREES((2*PI()/Inputs!$C$13)*Inputs!$C$15*SIN(RADIANS(I121)))</x:f>
        <x:v>22.46064078737939</x:v>
      </x:c>
      <x:c r="K121" s="9" t="n">
        <x:f>(C121/D121)^4</x:f>
        <x:v>0.9902534481132983</x:v>
      </x:c>
      <x:c r="L121" s="9" t="n">
        <x:f>10*LOG10(K121)</x:f>
        <x:v>-0.042536366853748696</x:v>
      </x:c>
      <x:c r="M121" s="9" t="n">
        <x:f>2*(Inputs!$C$9/(Inputs!$C$10^2))*A121</x:f>
        <x:v>-0.0011111111111111111</x:v>
      </x:c>
      <x:c r="N121" s="9" t="n">
        <x:f>M121*Inputs!$C$11</x:f>
        <x:v>-0.0044444444444444444</x:v>
      </x:c>
      <x:c r="O121" s="9" t="n">
        <x:f>1000*(D122-D120)/(A122-A120)*Inputs!$C$11</x:f>
        <x:v>-10.701542982587853</x:v>
      </x:c>
      <x:c r="P121" s="9" t="n">
        <x:f>-2*O121/Inputs!$C$13</x:f>
        <x:v>4.280617193035141</x:v>
      </x:c>
      <x:c r="Q121" s="9" t="n">
        <x:f>-2*O121/Inputs!$C$14</x:f>
        <x:v>0.6427353142695408</x:v>
      </x:c>
      <x:c r="R121" s="9" t="n">
        <x:f>F121-Inputs!$C$16/2</x:f>
        <x:v>535.9195625226187</x:v>
      </x:c>
      <x:c r="S121" s="9" t="n">
        <x:f>F121+Inputs!$C$16/2</x:f>
        <x:v>565.9195625226187</x:v>
      </x:c>
      <x:c r="T121" s="9" t="n">
        <x:f>F121-Inputs!$C$17/2</x:f>
        <x:v>400.91956252261866</x:v>
      </x:c>
      <x:c r="U121" s="9" t="n">
        <x:f>F121+Inputs!$C$17/2</x:f>
        <x:v>700.9195625226187</x:v>
      </x:c>
      <x:c r="V121" s="9" t="n">
        <x:f>ABS(P121)</x:f>
        <x:v>4.280617193035141</x:v>
      </x:c>
      <x:c r="W121" s="9" t="n">
        <x:f>ABS(Q121)</x:f>
        <x:v>0.6427353142695408</x:v>
      </x:c>
      <x:c r="X121" s="9"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x:f>
        <x:v>-15.949828195457984</x:v>
      </x:c>
      <x:c r="Y121" s="9"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x:f>
        <x:v>474.23278667183286</x:v>
      </x:c>
      <x:c r="Z121" s="9" t="n">
        <x:f>B121-X121/1000</x:f>
        <x:v>400.01622760597326</x:v>
      </x:c>
      <x:c r="AA121" s="9" t="n">
        <x:f>SQRT((Inputs!$C$52+B121)^2+(Inputs!$C$52+Y121/1000)^2-2*(Inputs!$C$52+B121)*(Inputs!$C$52+Y121/1000)*COS(SQRT(A121^2+Inputs!$C$6^2)/Inputs!$C$52))</x:f>
        <x:v>400.5081409085256</x:v>
      </x:c>
      <x:c r="AB121" s="9" t="n">
        <x:f>(AA121-Z121)*1000</x:f>
        <x:v>491.9133025523479</x:v>
      </x:c>
      <x:c r="AC121" s="9" t="n">
        <x:f>AB121/Inputs!$C$12</x:f>
        <x:v>276.35578795075725</x:v>
      </x:c>
      <x:c r="AD121" s="9" t="n">
        <x:f>2*AB121/Inputs!$C$21*1000000</x:f>
        <x:v>3.281692313636175</x:v>
      </x:c>
      <x:c r="AE121" s="9" t="n">
        <x:f>DEGREES(ATAN(H121/(B121-Y121/1000)))</x:f>
        <x:v>3.5812801035288904</x:v>
      </x:c>
      <x:c r="AF121" s="9" t="n">
        <x:f>DEGREES((2*PI()/Inputs!$C$13)*Inputs!$C$15*SIN(RADIANS(AE121)))</x:f>
        <x:v>22.48719734502342</x:v>
      </x:c>
      <x:c r="AG121" s="9" t="n">
        <x:f>(Z121/AA121)^4</x:f>
        <x:v>0.9950961518590505</x:v>
      </x:c>
      <x:c r="AH121" s="9" t="n">
        <x:f>10*LOG10(AG121)</x:f>
        <x:v>-0.0213495321981548</x:v>
      </x:c>
      <x:c r="AI121" s="9" t="n">
        <x:f>AC121-F121</x:f>
        <x:v>-274.5637745718614</x:v>
      </x:c>
      <x:c r="AJ121" s="9" t="n">
        <x:f>AD121-G121</x:f>
        <x:v>-3.2604123665973828</x:v>
      </x:c>
      <x:c r="AK121" s="9" t="n">
        <x:f>Y121-X121</x:f>
        <x:v>490.18261486729085</x:v>
      </x:c>
      <x:c r="AL121" s="9" t="n">
        <x:f>1000*(AA122-AA120)/(A122-A120)*Inputs!$C$11</x:f>
        <x:v>-168.03873810113146</x:v>
      </x:c>
      <x:c r="AM121" s="9" t="n">
        <x:f>-2*AL121/Inputs!$C$13</x:f>
        <x:v>67.21549524045258</x:v>
      </x:c>
      <x:c r="AN121" s="9" t="n">
        <x:f>-2*AL121/Inputs!$C$14</x:f>
        <x:v>10.09241670277066</x:v>
      </x:c>
      <x:c r="AO121" s="9" t="n">
        <x:f>ABS(AM121)</x:f>
        <x:v>67.21549524045258</x:v>
      </x:c>
      <x:c r="AP121" s="9" t="n">
        <x:f>ABS(AN121)</x:f>
        <x:v>10.09241670277066</x:v>
      </x:c>
      <x:c r="AQ121" s="9" t="n">
        <x:f>IF(OR(Inputs!$C$27=TRUE,Inputs!$C$27="TRUE",Inputs!$C$27=1),Inputs!$C$46/Inputs!$C$12,0)</x:f>
        <x:v>42.13483146067416</x:v>
      </x:c>
      <x:c r="AR121" s="9" t="n">
        <x:f>AC121-AQ121</x:f>
        <x:v>234.2209564900831</x:v>
      </x:c>
      <x:c r="AS121" s="9" t="n">
        <x:f>AC121+AQ121</x:f>
        <x:v>318.4906194114314</x:v>
      </x:c>
    </x:row>
    <x:row r="122">
      <x:c r="A122" s="9" t="n">
        <x:f>Inputs!$C$7+120*(Inputs!$C$8-Inputs!$C$7)/240</x:f>
        <x:v>0</x:v>
      </x:c>
      <x:c r="B122" s="9" t="n">
        <x:f>Inputs!$C$5+Inputs!$C$9*(A122/Inputs!$C$10)^2</x:f>
        <x:v>400</x:v>
      </x:c>
      <x:c r="C122" s="9" t="n">
        <x:f>B122</x:f>
        <x:v>400</x:v>
      </x:c>
      <x:c r="D122" s="9" t="n">
        <x:f>SQRT((Inputs!$C$52+B122)^2+Inputs!$C$52^2-2*(Inputs!$C$52+B122)*Inputs!$C$52*COS(SQRT(A122^2+Inputs!$C$6^2)/Inputs!$C$52))</x:f>
        <x:v>400.9802457514035</x:v>
      </x:c>
      <x:c r="E122" s="9" t="n">
        <x:f>(D122-C122)*1000</x:f>
        <x:v>980.2457514035154</x:v>
      </x:c>
      <x:c r="F122" s="9" t="n">
        <x:f>E122/Inputs!$C$12</x:f>
        <x:v>550.6998603390537</x:v>
      </x:c>
      <x:c r="G122" s="9" t="n">
        <x:f>2*E122/Inputs!$C$21*1000000</x:f>
        <x:v>6.5394957427749265</x:v>
      </x:c>
      <x:c r="H122" s="9" t="n">
        <x:f>SQRT(A122^2+Inputs!$C$6^2)</x:f>
        <x:v>25</x:v>
      </x:c>
      <x:c r="I122" s="9" t="n">
        <x:f>DEGREES(ATAN(H122/B122))</x:f>
        <x:v>3.5763343749973515</x:v>
      </x:c>
      <x:c r="J122" s="9" t="n">
        <x:f>DEGREES((2*PI()/Inputs!$C$13)*Inputs!$C$15*SIN(RADIANS(I122)))</x:f>
        <x:v>22.456183015864994</x:v>
      </x:c>
      <x:c r="K122" s="9" t="n">
        <x:f>(C122/D122)^4</x:f>
        <x:v>0.9902573045078467</x:v>
      </x:c>
      <x:c r="L122" s="9" t="n">
        <x:f>10*LOG10(K122)</x:f>
        <x:v>-0.042519453934996</x:v>
      </x:c>
      <x:c r="M122" s="9" t="n">
        <x:f>2*(Inputs!$C$9/(Inputs!$C$10^2))*A122</x:f>
        <x:v>0</x:v>
      </x:c>
      <x:c r="N122" s="9" t="n">
        <x:f>M122*Inputs!$C$11</x:f>
        <x:v>0</x:v>
      </x:c>
      <x:c r="O122" s="9" t="n">
        <x:f>1000*(D123-D121)/(A123-A121)*Inputs!$C$11</x:f>
        <x:v>0</x:v>
      </x:c>
      <x:c r="P122" s="9" t="n">
        <x:f>-2*O122/Inputs!$C$13</x:f>
        <x:v>0</x:v>
      </x:c>
      <x:c r="Q122" s="9" t="n">
        <x:f>-2*O122/Inputs!$C$14</x:f>
        <x:v>0</x:v>
      </x:c>
      <x:c r="R122" s="9" t="n">
        <x:f>F122-Inputs!$C$16/2</x:f>
        <x:v>535.6998603390537</x:v>
      </x:c>
      <x:c r="S122" s="9" t="n">
        <x:f>F122+Inputs!$C$16/2</x:f>
        <x:v>565.6998603390537</x:v>
      </x:c>
      <x:c r="T122" s="9" t="n">
        <x:f>F122-Inputs!$C$17/2</x:f>
        <x:v>400.69986033905366</x:v>
      </x:c>
      <x:c r="U122" s="9" t="n">
        <x:f>F122+Inputs!$C$17/2</x:f>
        <x:v>700.6998603390537</x:v>
      </x:c>
      <x:c r="V122" s="9" t="n">
        <x:f>ABS(P122)</x:f>
        <x:v>0</x:v>
      </x:c>
      <x:c r="W122" s="9" t="n">
        <x:f>ABS(Q122)</x:f>
        <x:v>0</x:v>
      </x:c>
      <x:c r="X122" s="9"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x:f>
        <x:v>-4.948127387128106</x:v>
      </x:c>
      <x:c r="Y122" s="9"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x:f>
        <x:v>480.44802858922253</x:v>
      </x:c>
      <x:c r="Z122" s="9" t="n">
        <x:f>B122-X122/1000</x:f>
        <x:v>400.00494812738714</x:v>
      </x:c>
      <x:c r="AA122" s="9" t="n">
        <x:f>SQRT((Inputs!$C$52+B122)^2+(Inputs!$C$52+Y122/1000)^2-2*(Inputs!$C$52+B122)*(Inputs!$C$52+Y122/1000)*COS(SQRT(A122^2+Inputs!$C$6^2)/Inputs!$C$52))</x:f>
        <x:v>400.50127537719976</x:v>
      </x:c>
      <x:c r="AB122" s="9" t="n">
        <x:f>(AA122-Z122)*1000</x:f>
        <x:v>496.327249812623</x:v>
      </x:c>
      <x:c r="AC122" s="9" t="n">
        <x:f>AB122/Inputs!$C$12</x:f>
        <x:v>278.8355336025972</x:v>
      </x:c>
      <x:c r="AD122" s="9" t="n">
        <x:f>2*AB122/Inputs!$C$21*1000000</x:f>
        <x:v>3.3111390001186956</x:v>
      </x:c>
      <x:c r="AE122" s="9" t="n">
        <x:f>DEGREES(ATAN(H122/(B122-Y122/1000)))</x:f>
        <x:v>3.5806239655136194</x:v>
      </x:c>
      <x:c r="AF122" s="9" t="n">
        <x:f>DEGREES((2*PI()/Inputs!$C$13)*Inputs!$C$15*SIN(RADIANS(AE122)))</x:f>
        <x:v>22.4830827575369</x:v>
      </x:c>
      <x:c r="AG122" s="9" t="n">
        <x:f>(Z122/AA122)^4</x:f>
        <x:v>0.9950521466898589</x:v>
      </x:c>
      <x:c r="AH122" s="9" t="n">
        <x:f>10*LOG10(AG122)</x:f>
        <x:v>-0.021541590269125898</x:v>
      </x:c>
      <x:c r="AI122" s="9" t="n">
        <x:f>AC122-F122</x:f>
        <x:v>-271.86432673645646</x:v>
      </x:c>
      <x:c r="AJ122" s="9" t="n">
        <x:f>AD122-G122</x:f>
        <x:v>-3.228356742656231</x:v>
      </x:c>
      <x:c r="AK122" s="9" t="n">
        <x:f>Y122-X122</x:f>
        <x:v>485.39615597635066</x:v>
      </x:c>
      <x:c r="AL122" s="9" t="n">
        <x:f>1000*(AA123-AA121)/(A123-A121)*Inputs!$C$11</x:f>
        <x:v>-33.94468967871944</x:v>
      </x:c>
      <x:c r="AM122" s="9" t="n">
        <x:f>-2*AL122/Inputs!$C$13</x:f>
        <x:v>13.577875871487777</x:v>
      </x:c>
      <x:c r="AN122" s="9" t="n">
        <x:f>-2*AL122/Inputs!$C$14</x:f>
        <x:v>2.0387201008239906</x:v>
      </x:c>
      <x:c r="AO122" s="9" t="n">
        <x:f>ABS(AM122)</x:f>
        <x:v>13.577875871487777</x:v>
      </x:c>
      <x:c r="AP122" s="9" t="n">
        <x:f>ABS(AN122)</x:f>
        <x:v>2.0387201008239906</x:v>
      </x:c>
      <x:c r="AQ122" s="9" t="n">
        <x:f>IF(OR(Inputs!$C$27=TRUE,Inputs!$C$27="TRUE",Inputs!$C$27=1),Inputs!$C$46/Inputs!$C$12,0)</x:f>
        <x:v>42.13483146067416</x:v>
      </x:c>
      <x:c r="AR122" s="9" t="n">
        <x:f>AC122-AQ122</x:f>
        <x:v>236.70070214192305</x:v>
      </x:c>
      <x:c r="AS122" s="9" t="n">
        <x:f>AC122+AQ122</x:f>
        <x:v>320.97036506327134</x:v>
      </x:c>
    </x:row>
    <x:row r="123">
      <x:c r="A123" s="9" t="n">
        <x:f>Inputs!$C$7+121*(Inputs!$C$8-Inputs!$C$7)/240</x:f>
        <x:v>0.5</x:v>
      </x:c>
      <x:c r="B123" s="9" t="n">
        <x:f>Inputs!$C$5+Inputs!$C$9*(A123/Inputs!$C$10)^2</x:f>
        <x:v>400.0002777777778</x:v>
      </x:c>
      <x:c r="C123" s="9" t="n">
        <x:f>B123</x:f>
        <x:v>400.0002777777778</x:v>
      </x:c>
      <x:c r="D123" s="9" t="n">
        <x:f>SQRT((Inputs!$C$52+B123)^2+Inputs!$C$52^2-2*(Inputs!$C$52+B123)*Inputs!$C$52*COS(SQRT(A123^2+Inputs!$C$6^2)/Inputs!$C$52))</x:f>
        <x:v>400.98091459906806</x:v>
      </x:c>
      <x:c r="E123" s="9" t="n">
        <x:f>(D123-C123)*1000</x:f>
        <x:v>980.6368212902612</x:v>
      </x:c>
      <x:c r="F123" s="9" t="n">
        <x:f>E123/Inputs!$C$12</x:f>
        <x:v>550.9195625226187</x:v>
      </x:c>
      <x:c r="G123" s="9" t="n">
        <x:f>2*E123/Inputs!$C$21*1000000</x:f>
        <x:v>6.542104680233558</x:v>
      </x:c>
      <x:c r="H123" s="9" t="n">
        <x:f>SQRT(A123^2+Inputs!$C$6^2)</x:f>
        <x:v>25.004999500099974</x:v>
      </x:c>
      <x:c r="I123" s="9" t="n">
        <x:f>DEGREES(ATAN(H123/B123))</x:f>
        <x:v>3.5770452359901275</x:v>
      </x:c>
      <x:c r="J123" s="9" t="n">
        <x:f>DEGREES((2*PI()/Inputs!$C$13)*Inputs!$C$15*SIN(RADIANS(I123)))</x:f>
        <x:v>22.46064078737939</x:v>
      </x:c>
      <x:c r="K123" s="9" t="n">
        <x:f>(C123/D123)^4</x:f>
        <x:v>0.9902534481132983</x:v>
      </x:c>
      <x:c r="L123" s="9" t="n">
        <x:f>10*LOG10(K123)</x:f>
        <x:v>-0.042536366853748696</x:v>
      </x:c>
      <x:c r="M123" s="9" t="n">
        <x:f>2*(Inputs!$C$9/(Inputs!$C$10^2))*A123</x:f>
        <x:v>0.0011111111111111111</x:v>
      </x:c>
      <x:c r="N123" s="9" t="n">
        <x:f>M123*Inputs!$C$11</x:f>
        <x:v>0.0044444444444444444</x:v>
      </x:c>
      <x:c r="O123" s="9" t="n">
        <x:f>1000*(D124-D122)/(A124-A122)*Inputs!$C$11</x:f>
        <x:v>10.701542982587853</x:v>
      </x:c>
      <x:c r="P123" s="9" t="n">
        <x:f>-2*O123/Inputs!$C$13</x:f>
        <x:v>-4.280617193035141</x:v>
      </x:c>
      <x:c r="Q123" s="9" t="n">
        <x:f>-2*O123/Inputs!$C$14</x:f>
        <x:v>-0.6427353142695408</x:v>
      </x:c>
      <x:c r="R123" s="9" t="n">
        <x:f>F123-Inputs!$C$16/2</x:f>
        <x:v>535.9195625226187</x:v>
      </x:c>
      <x:c r="S123" s="9" t="n">
        <x:f>F123+Inputs!$C$16/2</x:f>
        <x:v>565.9195625226187</x:v>
      </x:c>
      <x:c r="T123" s="9" t="n">
        <x:f>F123-Inputs!$C$17/2</x:f>
        <x:v>400.91956252261866</x:v>
      </x:c>
      <x:c r="U123" s="9" t="n">
        <x:f>F123+Inputs!$C$17/2</x:f>
        <x:v>700.9195625226187</x:v>
      </x:c>
      <x:c r="V123" s="9" t="n">
        <x:f>ABS(P123)</x:f>
        <x:v>4.280617193035141</x:v>
      </x:c>
      <x:c r="W123" s="9" t="n">
        <x:f>ABS(Q123)</x:f>
        <x:v>0.6427353142695408</x:v>
      </x:c>
      <x:c r="X123" s="9"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x:f>
        <x:v>2.259569132321303</x:v>
      </x:c>
      <x:c r="Y123" s="9"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x:f>
        <x:v>482.7451811280071</x:v>
      </x:c>
      <x:c r="Z123" s="9" t="n">
        <x:f>B123-X123/1000</x:f>
        <x:v>399.9980182086455</x:v>
      </x:c>
      <x:c r="AA123" s="9" t="n">
        <x:f>SQRT((Inputs!$C$52+B123)^2+(Inputs!$C$52+Y123/1000)^2-2*(Inputs!$C$52+B123)*(Inputs!$C$52+Y123/1000)*COS(SQRT(A123^2+Inputs!$C$6^2)/Inputs!$C$52))</x:f>
        <x:v>400.4996547361059</x:v>
      </x:c>
      <x:c r="AB123" s="9" t="n">
        <x:f>(AA123-Z123)*1000</x:f>
        <x:v>501.6365274604482</x:v>
      </x:c>
      <x:c r="AC123" s="9" t="n">
        <x:f>AB123/Inputs!$C$12</x:f>
        <x:v>281.8182738541844</x:v>
      </x:c>
      <x:c r="AD123" s="9" t="n">
        <x:f>2*AB123/Inputs!$C$21*1000000</x:f>
        <x:v>3.346558688013747</x:v>
      </x:c>
      <x:c r="AE123" s="9" t="n">
        <x:f>DEGREES(ATAN(H123/(B123-Y123/1000)))</x:f>
        <x:v>3.581356210142889</x:v>
      </x:c>
      <x:c r="AF123" s="9" t="n">
        <x:f>DEGREES((2*PI()/Inputs!$C$13)*Inputs!$C$15*SIN(RADIANS(AE123)))</x:f>
        <x:v>22.48767460314455</x:v>
      </x:c>
      <x:c r="AG123" s="9" t="n">
        <x:f>(Z123/AA123)^4</x:f>
        <x:v>0.9949992981164953</x:v>
      </x:c>
      <x:c r="AH123" s="9" t="n">
        <x:f>10*LOG10(AG123)</x:f>
        <x:v>-0.0217722561029517</x:v>
      </x:c>
      <x:c r="AI123" s="9" t="n">
        <x:f>AC123-F123</x:f>
        <x:v>-269.1012886684343</x:v>
      </x:c>
      <x:c r="AJ123" s="9" t="n">
        <x:f>AD123-G123</x:f>
        <x:v>-3.195545992219811</x:v>
      </x:c>
      <x:c r="AK123" s="9" t="n">
        <x:f>Y123-X123</x:f>
        <x:v>480.4856119956858</x:v>
      </x:c>
      <x:c r="AL123" s="9" t="n">
        <x:f>1000*(AA124-AA122)/(A124-A122)*Inputs!$C$11</x:f>
        <x:v>-57.6121768331177</x:v>
      </x:c>
      <x:c r="AM123" s="9" t="n">
        <x:f>-2*AL123/Inputs!$C$13</x:f>
        <x:v>23.04487073324708</x:v>
      </x:c>
      <x:c r="AN123" s="9" t="n">
        <x:f>-2*AL123/Inputs!$C$14</x:f>
        <x:v>3.46019080078785</x:v>
      </x:c>
      <x:c r="AO123" s="9" t="n">
        <x:f>ABS(AM123)</x:f>
        <x:v>23.04487073324708</x:v>
      </x:c>
      <x:c r="AP123" s="9" t="n">
        <x:f>ABS(AN123)</x:f>
        <x:v>3.46019080078785</x:v>
      </x:c>
      <x:c r="AQ123" s="9" t="n">
        <x:f>IF(OR(Inputs!$C$27=TRUE,Inputs!$C$27="TRUE",Inputs!$C$27=1),Inputs!$C$46/Inputs!$C$12,0)</x:f>
        <x:v>42.13483146067416</x:v>
      </x:c>
      <x:c r="AR123" s="9" t="n">
        <x:f>AC123-AQ123</x:f>
        <x:v>239.68344239351023</x:v>
      </x:c>
      <x:c r="AS123" s="9" t="n">
        <x:f>AC123+AQ123</x:f>
        <x:v>323.95310531485853</x:v>
      </x:c>
    </x:row>
    <x:row r="124">
      <x:c r="A124" s="9" t="n">
        <x:f>Inputs!$C$7+122*(Inputs!$C$8-Inputs!$C$7)/240</x:f>
        <x:v>1</x:v>
      </x:c>
      <x:c r="B124" s="9" t="n">
        <x:f>Inputs!$C$5+Inputs!$C$9*(A124/Inputs!$C$10)^2</x:f>
        <x:v>400.00111111111113</x:v>
      </x:c>
      <x:c r="C124" s="9" t="n">
        <x:f>B124</x:f>
        <x:v>400.00111111111113</x:v>
      </x:c>
      <x:c r="D124" s="9" t="n">
        <x:f>SQRT((Inputs!$C$52+B124)^2+Inputs!$C$52^2-2*(Inputs!$C$52+B124)*Inputs!$C$52*COS(SQRT(A124^2+Inputs!$C$6^2)/Inputs!$C$52))</x:f>
        <x:v>400.98292113714916</x:v>
      </x:c>
      <x:c r="E124" s="9" t="n">
        <x:f>(D124-C124)*1000</x:f>
        <x:v>981.8100260380334</x:v>
      </x:c>
      <x:c r="F124" s="9" t="n">
        <x:f>E124/Inputs!$C$12</x:f>
        <x:v>551.5786663135019</x:v>
      </x:c>
      <x:c r="G124" s="9" t="n">
        <x:f>2*E124/Inputs!$C$21*1000000</x:f>
        <x:v>6.549931459837014</x:v>
      </x:c>
      <x:c r="H124" s="9" t="n">
        <x:f>SQRT(A124^2+Inputs!$C$6^2)</x:f>
        <x:v>25.019992006393608</x:v>
      </x:c>
      <x:c r="I124" s="9" t="n">
        <x:f>DEGREES(ATAN(H124/B124))</x:f>
        <x:v>3.5791769511981175</x:v>
      </x:c>
      <x:c r="J124" s="9" t="n">
        <x:f>DEGREES((2*PI()/Inputs!$C$13)*Inputs!$C$15*SIN(RADIANS(I124)))</x:f>
        <x:v>22.474008639448687</x:v>
      </x:c>
      <x:c r="K124" s="9" t="n">
        <x:f>(C124/D124)^4</x:f>
        <x:v>0.9902418791229507</x:v>
      </x:c>
      <x:c r="L124" s="9" t="n">
        <x:f>10*LOG10(K124)</x:f>
        <x:v>-0.042587105157445904</x:v>
      </x:c>
      <x:c r="M124" s="9" t="n">
        <x:f>2*(Inputs!$C$9/(Inputs!$C$10^2))*A124</x:f>
        <x:v>0.0022222222222222222</x:v>
      </x:c>
      <x:c r="N124" s="9" t="n">
        <x:f>M124*Inputs!$C$11</x:f>
        <x:v>0.008888888888888889</x:v>
      </x:c>
      <x:c r="O124" s="9" t="n">
        <x:f>1000*(D125-D123)/(A125-A123)*Inputs!$C$11</x:f>
        <x:v>21.403007352773784</x:v>
      </x:c>
      <x:c r="P124" s="9" t="n">
        <x:f>-2*O124/Inputs!$C$13</x:f>
        <x:v>-8.561202941109514</x:v>
      </x:c>
      <x:c r="Q124" s="9" t="n">
        <x:f>-2*O124/Inputs!$C$14</x:f>
        <x:v>-1.2854659070735006</x:v>
      </x:c>
      <x:c r="R124" s="9" t="n">
        <x:f>F124-Inputs!$C$16/2</x:f>
        <x:v>536.5786663135019</x:v>
      </x:c>
      <x:c r="S124" s="9" t="n">
        <x:f>F124+Inputs!$C$16/2</x:f>
        <x:v>566.5786663135019</x:v>
      </x:c>
      <x:c r="T124" s="9" t="n">
        <x:f>F124-Inputs!$C$17/2</x:f>
        <x:v>401.5786663135019</x:v>
      </x:c>
      <x:c r="U124" s="9" t="n">
        <x:f>F124+Inputs!$C$17/2</x:f>
        <x:v>701.5786663135019</x:v>
      </x:c>
      <x:c r="V124" s="9" t="n">
        <x:f>ABS(P124)</x:f>
        <x:v>8.561202941109514</x:v>
      </x:c>
      <x:c r="W124" s="9" t="n">
        <x:f>ABS(Q124)</x:f>
        <x:v>1.2854659070735006</x:v>
      </x:c>
      <x:c r="X124" s="9"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x:f>
        <x:v>43.07644622126787</x:v>
      </x:c>
      <x:c r="Y124" s="9"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x:f>
        <x:v>497.58165314697214</x:v>
      </x:c>
      <x:c r="Z124" s="9" t="n">
        <x:f>B124-X124/1000</x:f>
        <x:v>399.95803466488985</x:v>
      </x:c>
      <x:c r="AA124" s="9" t="n">
        <x:f>SQRT((Inputs!$C$52+B124)^2+(Inputs!$C$52+Y124/1000)^2-2*(Inputs!$C$52+B124)*(Inputs!$C$52+Y124/1000)*COS(SQRT(A124^2+Inputs!$C$6^2)/Inputs!$C$52))</x:f>
        <x:v>400.4868723329915</x:v>
      </x:c>
      <x:c r="AB124" s="9" t="n">
        <x:f>(AA124-Z124)*1000</x:f>
        <x:v>528.8376681016302</x:v>
      </x:c>
      <x:c r="AC124" s="9" t="n">
        <x:f>AB124/Inputs!$C$12</x:f>
        <x:v>297.0998135402417</x:v>
      </x:c>
      <x:c r="AD124" s="9" t="n">
        <x:f>2*AB124/Inputs!$C$21*1000000</x:f>
        <x:v>3.528025165340418</x:v>
      </x:c>
      <x:c r="AE124" s="9" t="n">
        <x:f>DEGREES(ATAN(H124/(B124-Y124/1000)))</x:f>
        <x:v>3.583623206316691</x:v>
      </x:c>
      <x:c r="AF124" s="9" t="n">
        <x:f>DEGREES((2*PI()/Inputs!$C$13)*Inputs!$C$15*SIN(RADIANS(AE124)))</x:f>
        <x:v>22.50189072567005</x:v>
      </x:c>
      <x:c r="AG124" s="9" t="n">
        <x:f>(Z124/AA124)^4</x:f>
        <x:v>0.9947285053112407</x:v>
      </x:c>
      <x:c r="AH124" s="9" t="n">
        <x:f>10*LOG10(AG124)</x:f>
        <x:v>-0.022954365752167902</x:v>
      </x:c>
      <x:c r="AI124" s="9" t="n">
        <x:f>AC124-F124</x:f>
        <x:v>-254.4788527732602</x:v>
      </x:c>
      <x:c r="AJ124" s="9" t="n">
        <x:f>AD124-G124</x:f>
        <x:v>-3.0219062944965955</x:v>
      </x:c>
      <x:c r="AK124" s="9" t="n">
        <x:f>Y124-X124</x:f>
        <x:v>454.5052069257043</x:v>
      </x:c>
      <x:c r="AL124" s="9" t="n">
        <x:f>1000*(AA125-AA123)/(A125-A123)*Inputs!$C$11</x:f>
        <x:v>-114.63205463314807</x:v>
      </x:c>
      <x:c r="AM124" s="9" t="n">
        <x:f>-2*AL124/Inputs!$C$13</x:f>
        <x:v>45.85282185325923</x:v>
      </x:c>
      <x:c r="AN124" s="9" t="n">
        <x:f>-2*AL124/Inputs!$C$14</x:f>
        <x:v>6.88480808607496</x:v>
      </x:c>
      <x:c r="AO124" s="9" t="n">
        <x:f>ABS(AM124)</x:f>
        <x:v>45.85282185325923</x:v>
      </x:c>
      <x:c r="AP124" s="9" t="n">
        <x:f>ABS(AN124)</x:f>
        <x:v>6.88480808607496</x:v>
      </x:c>
      <x:c r="AQ124" s="9" t="n">
        <x:f>IF(OR(Inputs!$C$27=TRUE,Inputs!$C$27="TRUE",Inputs!$C$27=1),Inputs!$C$46/Inputs!$C$12,0)</x:f>
        <x:v>42.13483146067416</x:v>
      </x:c>
      <x:c r="AR124" s="9" t="n">
        <x:f>AC124-AQ124</x:f>
        <x:v>254.96498207956756</x:v>
      </x:c>
      <x:c r="AS124" s="9" t="n">
        <x:f>AC124+AQ124</x:f>
        <x:v>339.23464500091586</x:v>
      </x:c>
    </x:row>
    <x:row r="125">
      <x:c r="A125" s="9" t="n">
        <x:f>Inputs!$C$7+123*(Inputs!$C$8-Inputs!$C$7)/240</x:f>
        <x:v>1.5</x:v>
      </x:c>
      <x:c r="B125" s="9" t="n">
        <x:f>Inputs!$C$5+Inputs!$C$9*(A125/Inputs!$C$10)^2</x:f>
        <x:v>400.0025</x:v>
      </x:c>
      <x:c r="C125" s="9" t="n">
        <x:f>B125</x:f>
        <x:v>400.0025</x:v>
      </x:c>
      <x:c r="D125" s="9" t="n">
        <x:f>SQRT((Inputs!$C$52+B125)^2+Inputs!$C$52^2-2*(Inputs!$C$52+B125)*Inputs!$C$52*COS(SQRT(A125^2+Inputs!$C$6^2)/Inputs!$C$52))</x:f>
        <x:v>400.98626535090625</x:v>
      </x:c>
      <x:c r="E125" s="9" t="n">
        <x:f>(D125-C125)*1000</x:f>
        <x:v>983.7653509062534</x:v>
      </x:c>
      <x:c r="F125" s="9" t="n">
        <x:f>E125/Inputs!$C$12</x:f>
        <x:v>552.6771634304794</x:v>
      </x:c>
      <x:c r="G125" s="9" t="n">
        <x:f>2*E125/Inputs!$C$21*1000000</x:f>
        <x:v>6.562975983246739</x:v>
      </x:c>
      <x:c r="H125" s="9" t="n">
        <x:f>SQRT(A125^2+Inputs!$C$6^2)</x:f>
        <x:v>25.04495957273639</x:v>
      </x:c>
      <x:c r="I125" s="9" t="n">
        <x:f>DEGREES(ATAN(H125/B125))</x:f>
        <x:v>3.582726922473895</x:v>
      </x:c>
      <x:c r="J125" s="9" t="n">
        <x:f>DEGREES((2*PI()/Inputs!$C$13)*Inputs!$C$15*SIN(RADIANS(I125)))</x:f>
        <x:v>22.49627021711709</x:v>
      </x:c>
      <x:c r="K125" s="9" t="n">
        <x:f>(C125/D125)^4</x:f>
        <x:v>0.9902225981167069</x:v>
      </x:c>
      <x:c r="L125" s="9" t="n">
        <x:f>10*LOG10(K125)</x:f>
        <x:v>-0.0426716674882904</x:v>
      </x:c>
      <x:c r="M125" s="9" t="n">
        <x:f>2*(Inputs!$C$9/(Inputs!$C$10^2))*A125</x:f>
        <x:v>0.003333333333333333</x:v>
      </x:c>
      <x:c r="N125" s="9" t="n">
        <x:f>M125*Inputs!$C$11</x:f>
        <x:v>0.013333333333333332</x:v>
      </x:c>
      <x:c r="O125" s="9" t="n">
        <x:f>1000*(D126-D124)/(A126-A124)*Inputs!$C$11</x:f>
        <x:v>32.10431447382689</x:v>
      </x:c>
      <x:c r="P125" s="9" t="n">
        <x:f>-2*O125/Inputs!$C$13</x:f>
        <x:v>-12.841725789530756</x:v>
      </x:c>
      <x:c r="Q125" s="9" t="n">
        <x:f>-2*O125/Inputs!$C$14</x:f>
        <x:v>-1.9281870554850986</x:v>
      </x:c>
      <x:c r="R125" s="9" t="n">
        <x:f>F125-Inputs!$C$16/2</x:f>
        <x:v>537.6771634304794</x:v>
      </x:c>
      <x:c r="S125" s="9" t="n">
        <x:f>F125+Inputs!$C$16/2</x:f>
        <x:v>567.6771634304794</x:v>
      </x:c>
      <x:c r="T125" s="9" t="n">
        <x:f>F125-Inputs!$C$17/2</x:f>
        <x:v>402.67716343047937</x:v>
      </x:c>
      <x:c r="U125" s="9" t="n">
        <x:f>F125+Inputs!$C$17/2</x:f>
        <x:v>702.6771634304794</x:v>
      </x:c>
      <x:c r="V125" s="9" t="n">
        <x:f>ABS(P125)</x:f>
        <x:v>12.841725789530756</x:v>
      </x:c>
      <x:c r="W125" s="9" t="n">
        <x:f>ABS(Q125)</x:f>
        <x:v>1.9281870554850986</x:v>
      </x:c>
      <x:c r="X125" s="9"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x:f>
        <x:v>46.8149548284789</x:v>
      </x:c>
      <x:c r="Y125" s="9"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x:f>
        <x:v>516.864115303311</x:v>
      </x:c>
      <x:c r="Z125" s="9" t="n">
        <x:f>B125-X125/1000</x:f>
        <x:v>399.9556850451715</x:v>
      </x:c>
      <x:c r="AA125" s="9" t="n">
        <x:f>SQRT((Inputs!$C$52+B125)^2+(Inputs!$C$52+Y125/1000)^2-2*(Inputs!$C$52+B125)*(Inputs!$C$52+Y125/1000)*COS(SQRT(A125^2+Inputs!$C$6^2)/Inputs!$C$52))</x:f>
        <x:v>400.47099672244764</x:v>
      </x:c>
      <x:c r="AB125" s="9" t="n">
        <x:f>(AA125-Z125)*1000</x:f>
        <x:v>515.311677276145</x:v>
      </x:c>
      <x:c r="AC125" s="9" t="n">
        <x:f>AB125/Inputs!$C$12</x:f>
        <x:v>289.5009422899691</x:v>
      </x:c>
      <x:c r="AD125" s="9" t="n">
        <x:f>2*AB125/Inputs!$C$21*1000000</x:f>
        <x:v>3.437789467513189</x:v>
      </x:c>
      <x:c r="AE125" s="9" t="n">
        <x:f>DEGREES(ATAN(H125/(B125-Y125/1000)))</x:f>
        <x:v>3.5873502435956905</x:v>
      </x:c>
      <x:c r="AF125" s="9" t="n">
        <x:f>DEGREES((2*PI()/Inputs!$C$13)*Inputs!$C$15*SIN(RADIANS(AE125)))</x:f>
        <x:v>22.52526255383323</x:v>
      </x:c>
      <x:c r="AG125" s="9" t="n">
        <x:f>(Z125/AA125)^4</x:f>
        <x:v>0.9948628698942851</x:v>
      </x:c>
      <x:c r="AH125" s="9" t="n">
        <x:f>10*LOG10(AG125)</x:f>
        <x:v>-0.022367774979858302</x:v>
      </x:c>
      <x:c r="AI125" s="9" t="n">
        <x:f>AC125-F125</x:f>
        <x:v>-263.1762211405103</x:v>
      </x:c>
      <x:c r="AJ125" s="9" t="n">
        <x:f>AD125-G125</x:f>
        <x:v>-3.12518651573355</x:v>
      </x:c>
      <x:c r="AK125" s="9" t="n">
        <x:f>Y125-X125</x:f>
        <x:v>470.0491604748321</x:v>
      </x:c>
      <x:c r="AL125" s="9" t="n">
        <x:f>1000*(AA126-AA124)/(A126-A124)*Inputs!$C$11</x:f>
        <x:v>-115.1080303402523</x:v>
      </x:c>
      <x:c r="AM125" s="9" t="n">
        <x:f>-2*AL125/Inputs!$C$13</x:f>
        <x:v>46.04321213610092</x:v>
      </x:c>
      <x:c r="AN125" s="9" t="n">
        <x:f>-2*AL125/Inputs!$C$14</x:f>
        <x:v>6.91339521563077</x:v>
      </x:c>
      <x:c r="AO125" s="9" t="n">
        <x:f>ABS(AM125)</x:f>
        <x:v>46.04321213610092</x:v>
      </x:c>
      <x:c r="AP125" s="9" t="n">
        <x:f>ABS(AN125)</x:f>
        <x:v>6.91339521563077</x:v>
      </x:c>
      <x:c r="AQ125" s="9" t="n">
        <x:f>IF(OR(Inputs!$C$27=TRUE,Inputs!$C$27="TRUE",Inputs!$C$27=1),Inputs!$C$46/Inputs!$C$12,0)</x:f>
        <x:v>42.13483146067416</x:v>
      </x:c>
      <x:c r="AR125" s="9" t="n">
        <x:f>AC125-AQ125</x:f>
        <x:v>247.36611082929494</x:v>
      </x:c>
      <x:c r="AS125" s="9" t="n">
        <x:f>AC125+AQ125</x:f>
        <x:v>331.63577375064324</x:v>
      </x:c>
    </x:row>
    <x:row r="126">
      <x:c r="A126" s="9" t="n">
        <x:f>Inputs!$C$7+124*(Inputs!$C$8-Inputs!$C$7)/240</x:f>
        <x:v>2</x:v>
      </x:c>
      <x:c r="B126" s="9" t="n">
        <x:f>Inputs!$C$5+Inputs!$C$9*(A126/Inputs!$C$10)^2</x:f>
        <x:v>400.00444444444446</x:v>
      </x:c>
      <x:c r="C126" s="9" t="n">
        <x:f>B126</x:f>
        <x:v>400.00444444444446</x:v>
      </x:c>
      <x:c r="D126" s="9" t="n">
        <x:f>SQRT((Inputs!$C$52+B126)^2+Inputs!$C$52^2-2*(Inputs!$C$52+B126)*Inputs!$C$52*COS(SQRT(A126^2+Inputs!$C$6^2)/Inputs!$C$52))</x:f>
        <x:v>400.9909472157676</x:v>
      </x:c>
      <x:c r="E126" s="9" t="n">
        <x:f>(D126-C126)*1000</x:f>
        <x:v>986.5027713231598</x:v>
      </x:c>
      <x:c r="F126" s="9" t="n">
        <x:f>E126/Inputs!$C$12</x:f>
        <x:v>554.2150400691909</x:v>
      </x:c>
      <x:c r="G126" s="9" t="n">
        <x:f>2*E126/Inputs!$C$21*1000000</x:f>
        <x:v>6.581238086537586</x:v>
      </x:c>
      <x:c r="H126" s="9" t="n">
        <x:f>SQRT(A126^2+Inputs!$C$6^2)</x:f>
        <x:v>25.079872407968907</x:v>
      </x:c>
      <x:c r="I126" s="9" t="n">
        <x:f>DEGREES(ATAN(H126/B126))</x:f>
        <x:v>3.5876908367118427</x:v>
      </x:c>
      <x:c r="J126" s="9" t="n">
        <x:f>DEGREES((2*PI()/Inputs!$C$13)*Inputs!$C$15*SIN(RADIANS(I126)))</x:f>
        <x:v>22.52739836989279</x:v>
      </x:c>
      <x:c r="K126" s="9" t="n">
        <x:f>(C126/D126)^4</x:f>
        <x:v>0.9901956060610456</x:v>
      </x:c>
      <x:c r="L126" s="9" t="n">
        <x:f>10*LOG10(K126)</x:f>
        <x:v>-0.042790051583174</x:v>
      </x:c>
      <x:c r="M126" s="9" t="n">
        <x:f>2*(Inputs!$C$9/(Inputs!$C$10^2))*A126</x:f>
        <x:v>0.0044444444444444444</x:v>
      </x:c>
      <x:c r="N126" s="9" t="n">
        <x:f>M126*Inputs!$C$11</x:f>
        <x:v>0.017777777777777778</x:v>
      </x:c>
      <x:c r="O126" s="9" t="n">
        <x:f>1000*(D127-D125)/(A127-A125)*Inputs!$C$11</x:f>
        <x:v>42.805385754263625</x:v>
      </x:c>
      <x:c r="P126" s="9" t="n">
        <x:f>-2*O126/Inputs!$C$13</x:f>
        <x:v>-17.12215430170545</x:v>
      </x:c>
      <x:c r="Q126" s="9" t="n">
        <x:f>-2*O126/Inputs!$C$14</x:f>
        <x:v>-2.570894039295113</x:v>
      </x:c>
      <x:c r="R126" s="9" t="n">
        <x:f>F126-Inputs!$C$16/2</x:f>
        <x:v>539.2150400691909</x:v>
      </x:c>
      <x:c r="S126" s="9" t="n">
        <x:f>F126+Inputs!$C$16/2</x:f>
        <x:v>569.2150400691909</x:v>
      </x:c>
      <x:c r="T126" s="9" t="n">
        <x:f>F126-Inputs!$C$17/2</x:f>
        <x:v>404.2150400691909</x:v>
      </x:c>
      <x:c r="U126" s="9" t="n">
        <x:f>F126+Inputs!$C$17/2</x:f>
        <x:v>704.2150400691909</x:v>
      </x:c>
      <x:c r="V126" s="9" t="n">
        <x:f>ABS(P126)</x:f>
        <x:v>17.12215430170545</x:v>
      </x:c>
      <x:c r="W126" s="9" t="n">
        <x:f>ABS(Q126)</x:f>
        <x:v>2.570894039295113</x:v>
      </x:c>
      <x:c r="X126" s="9"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x:f>
        <x:v>65.55817790320465</x:v>
      </x:c>
      <x:c r="Y126" s="9"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x:f>
        <x:v>534.5064840723982</x:v>
      </x:c>
      <x:c r="Z126" s="9" t="n">
        <x:f>B126-X126/1000</x:f>
        <x:v>399.93888626654126</x:v>
      </x:c>
      <x:c r="AA126" s="9" t="n">
        <x:f>SQRT((Inputs!$C$52+B126)^2+(Inputs!$C$52+Y126/1000)^2-2*(Inputs!$C$52+B126)*(Inputs!$C$52+Y126/1000)*COS(SQRT(A126^2+Inputs!$C$6^2)/Inputs!$C$52))</x:f>
        <x:v>400.4580953254064</x:v>
      </x:c>
      <x:c r="AB126" s="9" t="n">
        <x:f>(AA126-Z126)*1000</x:f>
        <x:v>519.2090588651581</x:v>
      </x:c>
      <x:c r="AC126" s="9" t="n">
        <x:f>AB126/Inputs!$C$12</x:f>
        <x:v>291.6904825085158</x:v>
      </x:c>
      <x:c r="AD126" s="9" t="n">
        <x:f>2*AB126/Inputs!$C$21*1000000</x:f>
        <x:v>3.4637899987808107</x:v>
      </x:c>
      <x:c r="AE126" s="9" t="n">
        <x:f>DEGREES(ATAN(H126/(B126-Y126/1000)))</x:f>
        <x:v>3.5924787447746764</x:v>
      </x:c>
      <x:c r="AF126" s="9" t="n">
        <x:f>DEGREES((2*PI()/Inputs!$C$13)*Inputs!$C$15*SIN(RADIANS(AE126)))</x:f>
        <x:v>22.55742264736752</x:v>
      </x:c>
      <x:c r="AG126" s="9" t="n">
        <x:f>(Z126/AA126)^4</x:f>
        <x:v>0.9948239261369038</x:v>
      </x:c>
      <x:c r="AH126" s="9" t="n">
        <x:f>10*LOG10(AG126)</x:f>
        <x:v>-0.022537782228950403</x:v>
      </x:c>
      <x:c r="AI126" s="9" t="n">
        <x:f>AC126-F126</x:f>
        <x:v>-262.5245575606751</x:v>
      </x:c>
      <x:c r="AJ126" s="9" t="n">
        <x:f>AD126-G126</x:f>
        <x:v>-3.117448087756775</x:v>
      </x:c>
      <x:c r="AK126" s="9" t="n">
        <x:f>Y126-X126</x:f>
        <x:v>468.94830616919353</x:v>
      </x:c>
      <x:c r="AL126" s="9" t="n">
        <x:f>1000*(AA127-AA125)/(A127-A125)*Inputs!$C$11</x:f>
        <x:v>-88.2120182025119</x:v>
      </x:c>
      <x:c r="AM126" s="9" t="n">
        <x:f>-2*AL126/Inputs!$C$13</x:f>
        <x:v>35.28480728100476</x:v>
      </x:c>
      <x:c r="AN126" s="9" t="n">
        <x:f>-2*AL126/Inputs!$C$14</x:f>
        <x:v>5.2980191112619766</x:v>
      </x:c>
      <x:c r="AO126" s="9" t="n">
        <x:f>ABS(AM126)</x:f>
        <x:v>35.28480728100476</x:v>
      </x:c>
      <x:c r="AP126" s="9" t="n">
        <x:f>ABS(AN126)</x:f>
        <x:v>5.2980191112619766</x:v>
      </x:c>
      <x:c r="AQ126" s="9" t="n">
        <x:f>IF(OR(Inputs!$C$27=TRUE,Inputs!$C$27="TRUE",Inputs!$C$27=1),Inputs!$C$46/Inputs!$C$12,0)</x:f>
        <x:v>42.13483146067416</x:v>
      </x:c>
      <x:c r="AR126" s="9" t="n">
        <x:f>AC126-AQ126</x:f>
        <x:v>249.55565104784165</x:v>
      </x:c>
      <x:c r="AS126" s="9" t="n">
        <x:f>AC126+AQ126</x:f>
        <x:v>333.82531396918995</x:v>
      </x:c>
    </x:row>
    <x:row r="127">
      <x:c r="A127" s="9" t="n">
        <x:f>Inputs!$C$7+125*(Inputs!$C$8-Inputs!$C$7)/240</x:f>
        <x:v>2.5</x:v>
      </x:c>
      <x:c r="B127" s="9" t="n">
        <x:f>Inputs!$C$5+Inputs!$C$9*(A127/Inputs!$C$10)^2</x:f>
        <x:v>400.00694444444446</x:v>
      </x:c>
      <x:c r="C127" s="9" t="n">
        <x:f>B127</x:f>
        <x:v>400.00694444444446</x:v>
      </x:c>
      <x:c r="D127" s="9" t="n">
        <x:f>SQRT((Inputs!$C$52+B127)^2+Inputs!$C$52^2-2*(Inputs!$C$52+B127)*Inputs!$C$52*COS(SQRT(A127^2+Inputs!$C$6^2)/Inputs!$C$52))</x:f>
        <x:v>400.9969666973448</x:v>
      </x:c>
      <x:c r="E127" s="9" t="n">
        <x:f>(D127-C127)*1000</x:f>
        <x:v>990.02225290036</x:v>
      </x:c>
      <x:c r="F127" s="9" t="n">
        <x:f>E127/Inputs!$C$12</x:f>
        <x:v>556.1922769103146</x:v>
      </x:c>
      <x:c r="G127" s="9" t="n">
        <x:f>2*E127/Inputs!$C$21*1000000</x:f>
        <x:v>6.604717540294893</x:v>
      </x:c>
      <x:c r="H127" s="9" t="n">
        <x:f>SQRT(A127^2+Inputs!$C$6^2)</x:f>
        <x:v>25.124689052802225</x:v>
      </x:c>
      <x:c r="I127" s="9" t="n">
        <x:f>DEGREES(ATAN(H127/B127))</x:f>
        <x:v>3.594062691308639</x:v>
      </x:c>
      <x:c r="J127" s="9" t="n">
        <x:f>DEGREES((2*PI()/Inputs!$C$13)*Inputs!$C$15*SIN(RADIANS(I127)))</x:f>
        <x:v>22.567355311830532</x:v>
      </x:c>
      <x:c r="K127" s="9" t="n">
        <x:f>(C127/D127)^4</x:f>
        <x:v>0.9901609043087782</x:v>
      </x:c>
      <x:c r="L127" s="9" t="n">
        <x:f>10*LOG10(K127)</x:f>
        <x:v>-0.0429422542744039</x:v>
      </x:c>
      <x:c r="M127" s="9" t="n">
        <x:f>2*(Inputs!$C$9/(Inputs!$C$10^2))*A127</x:f>
        <x:v>0.005555555555555556</x:v>
      </x:c>
      <x:c r="N127" s="9" t="n">
        <x:f>M127*Inputs!$C$11</x:f>
        <x:v>0.022222222222222223</x:v>
      </x:c>
      <x:c r="O127" s="9" t="n">
        <x:f>1000*(D128-D126)/(A128-A126)*Inputs!$C$11</x:f>
        <x:v>53.506142605556306</x:v>
      </x:c>
      <x:c r="P127" s="9" t="n">
        <x:f>-2*O127/Inputs!$C$13</x:f>
        <x:v>-21.402457042222522</x:v>
      </x:c>
      <x:c r="Q127" s="9" t="n">
        <x:f>-2*O127/Inputs!$C$14</x:f>
        <x:v>-3.2135821384718506</x:v>
      </x:c>
      <x:c r="R127" s="9" t="n">
        <x:f>F127-Inputs!$C$16/2</x:f>
        <x:v>541.1922769103146</x:v>
      </x:c>
      <x:c r="S127" s="9" t="n">
        <x:f>F127+Inputs!$C$16/2</x:f>
        <x:v>571.1922769103146</x:v>
      </x:c>
      <x:c r="T127" s="9" t="n">
        <x:f>F127-Inputs!$C$17/2</x:f>
        <x:v>406.1922769103146</x:v>
      </x:c>
      <x:c r="U127" s="9" t="n">
        <x:f>F127+Inputs!$C$17/2</x:f>
        <x:v>706.1922769103146</x:v>
      </x:c>
      <x:c r="V127" s="9" t="n">
        <x:f>ABS(P127)</x:f>
        <x:v>21.402457042222522</x:v>
      </x:c>
      <x:c r="W127" s="9" t="n">
        <x:f>ABS(Q127)</x:f>
        <x:v>3.2135821384718506</x:v>
      </x:c>
      <x:c r="X127" s="9"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x:f>
        <x:v>70.90088362648228</x:v>
      </x:c>
      <x:c r="Y127" s="9"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x:f>
        <x:v>549.7308148691991</x:v>
      </x:c>
      <x:c r="Z127" s="9" t="n">
        <x:f>B127-X127/1000</x:f>
        <x:v>399.93604356081795</x:v>
      </x:c>
      <x:c r="AA127" s="9" t="n">
        <x:f>SQRT((Inputs!$C$52+B127)^2+(Inputs!$C$52+Y127/1000)^2-2*(Inputs!$C$52+B127)*(Inputs!$C$52+Y127/1000)*COS(SQRT(A127^2+Inputs!$C$6^2)/Inputs!$C$52))</x:f>
        <x:v>400.448943717897</x:v>
      </x:c>
      <x:c r="AB127" s="9" t="n">
        <x:f>(AA127-Z127)*1000</x:f>
        <x:v>512.9001570790592</x:v>
      </x:c>
      <x:c r="AC127" s="9" t="n">
        <x:f>AB127/Inputs!$C$12</x:f>
        <x:v>288.1461556623928</x:v>
      </x:c>
      <x:c r="AD127" s="9" t="n">
        <x:f>2*AB127/Inputs!$C$21*1000000</x:f>
        <x:v>3.4217015364613292</x:v>
      </x:c>
      <x:c r="AE127" s="9" t="n">
        <x:f>DEGREES(ATAN(H127/(B127-Y127/1000)))</x:f>
        <x:v>3.5989958292968733</x:v>
      </x:c>
      <x:c r="AF127" s="9" t="n">
        <x:f>DEGREES((2*PI()/Inputs!$C$13)*Inputs!$C$15*SIN(RADIANS(AE127)))</x:f>
        <x:v>22.598290086614817</x:v>
      </x:c>
      <x:c r="AG127" s="9" t="n">
        <x:f>(Z127/AA127)^4</x:f>
        <x:v>0.9948865830456775</x:v>
      </x:c>
      <x:c r="AH127" s="9" t="n">
        <x:f>10*LOG10(AG127)</x:f>
        <x:v>-0.022264259526859696</x:v>
      </x:c>
      <x:c r="AI127" s="9" t="n">
        <x:f>AC127-F127</x:f>
        <x:v>-268.0461212479218</x:v>
      </x:c>
      <x:c r="AJ127" s="9" t="n">
        <x:f>AD127-G127</x:f>
        <x:v>-3.183016003833564</x:v>
      </x:c>
      <x:c r="AK127" s="9" t="n">
        <x:f>Y127-X127</x:f>
        <x:v>478.82993124271684</x:v>
      </x:c>
      <x:c r="AL127" s="9" t="n">
        <x:f>1000*(AA128-AA126)/(A128-A126)*Inputs!$C$11</x:f>
        <x:v>44.24114223934339</x:v>
      </x:c>
      <x:c r="AM127" s="9" t="n">
        <x:f>-2*AL127/Inputs!$C$13</x:f>
        <x:v>-17.696456895737356</x:v>
      </x:c>
      <x:c r="AN127" s="9" t="n">
        <x:f>-2*AL127/Inputs!$C$14</x:f>
        <x:v>-2.657125660020624</x:v>
      </x:c>
      <x:c r="AO127" s="9" t="n">
        <x:f>ABS(AM127)</x:f>
        <x:v>17.696456895737356</x:v>
      </x:c>
      <x:c r="AP127" s="9" t="n">
        <x:f>ABS(AN127)</x:f>
        <x:v>2.657125660020624</x:v>
      </x:c>
      <x:c r="AQ127" s="9" t="n">
        <x:f>IF(OR(Inputs!$C$27=TRUE,Inputs!$C$27="TRUE",Inputs!$C$27=1),Inputs!$C$46/Inputs!$C$12,0)</x:f>
        <x:v>42.13483146067416</x:v>
      </x:c>
      <x:c r="AR127" s="9" t="n">
        <x:f>AC127-AQ127</x:f>
        <x:v>246.01132420171865</x:v>
      </x:c>
      <x:c r="AS127" s="9" t="n">
        <x:f>AC127+AQ127</x:f>
        <x:v>330.28098712306695</x:v>
      </x:c>
    </x:row>
    <x:row r="128">
      <x:c r="A128" s="9" t="n">
        <x:f>Inputs!$C$7+126*(Inputs!$C$8-Inputs!$C$7)/240</x:f>
        <x:v>3</x:v>
      </x:c>
      <x:c r="B128" s="9" t="n">
        <x:f>Inputs!$C$5+Inputs!$C$9*(A128/Inputs!$C$10)^2</x:f>
        <x:v>400.01</x:v>
      </x:c>
      <x:c r="C128" s="9" t="n">
        <x:f>B128</x:f>
        <x:v>400.01</x:v>
      </x:c>
      <x:c r="D128" s="9" t="n">
        <x:f>SQRT((Inputs!$C$52+B128)^2+Inputs!$C$52^2-2*(Inputs!$C$52+B128)*Inputs!$C$52*COS(SQRT(A128^2+Inputs!$C$6^2)/Inputs!$C$52))</x:f>
        <x:v>401.004323751419</x:v>
      </x:c>
      <x:c r="E128" s="9" t="n">
        <x:f>(D128-C128)*1000</x:f>
        <x:v>994.3237514190173</x:v>
      </x:c>
      <x:c r="F128" s="9" t="n">
        <x:f>E128/Inputs!$C$12</x:f>
        <x:v>558.6088491118074</x:v>
      </x:c>
      <x:c r="G128" s="9" t="n">
        <x:f>2*E128/Inputs!$C$21*1000000</x:f>
        <x:v>6.633414049522335</x:v>
      </x:c>
      <x:c r="H128" s="9" t="n">
        <x:f>SQRT(A128^2+Inputs!$C$6^2)</x:f>
        <x:v>25.179356624028344</x:v>
      </x:c>
      <x:c r="I128" s="9" t="n">
        <x:f>DEGREES(ATAN(H128/B128))</x:f>
        <x:v>3.601834829314978</x:v>
      </x:c>
      <x:c r="J128" s="9" t="n">
        <x:f>DEGREES((2*PI()/Inputs!$C$13)*Inputs!$C$15*SIN(RADIANS(I128)))</x:f>
        <x:v>22.616092842548554</x:v>
      </x:c>
      <x:c r="K128" s="9" t="n">
        <x:f>(C128/D128)^4</x:f>
        <x:v>0.9901184945990438</x:v>
      </x:c>
      <x:c r="L128" s="9" t="n">
        <x:f>10*LOG10(K128)</x:f>
        <x:v>-0.043128271489245</x:v>
      </x:c>
      <x:c r="M128" s="9" t="n">
        <x:f>2*(Inputs!$C$9/(Inputs!$C$10^2))*A128</x:f>
        <x:v>0.006666666666666666</x:v>
      </x:c>
      <x:c r="N128" s="9" t="n">
        <x:f>M128*Inputs!$C$11</x:f>
        <x:v>0.026666666666666665</x:v>
      </x:c>
      <x:c r="O128" s="9" t="n">
        <x:f>1000*(D129-D127)/(A129-A127)*Inputs!$C$11</x:f>
        <x:v>64.20650642598957</x:v>
      </x:c>
      <x:c r="P128" s="9" t="n">
        <x:f>-2*O128/Inputs!$C$13</x:f>
        <x:v>-25.68260257039583</x:v>
      </x:c>
      <x:c r="Q128" s="9" t="n">
        <x:f>-2*O128/Inputs!$C$14</x:f>
        <x:v>-3.8562466321915663</x:v>
      </x:c>
      <x:c r="R128" s="9" t="n">
        <x:f>F128-Inputs!$C$16/2</x:f>
        <x:v>543.6088491118074</x:v>
      </x:c>
      <x:c r="S128" s="9" t="n">
        <x:f>F128+Inputs!$C$16/2</x:f>
        <x:v>573.6088491118074</x:v>
      </x:c>
      <x:c r="T128" s="9" t="n">
        <x:f>F128-Inputs!$C$17/2</x:f>
        <x:v>408.60884911180744</x:v>
      </x:c>
      <x:c r="U128" s="9" t="n">
        <x:f>F128+Inputs!$C$17/2</x:f>
        <x:v>708.6088491118074</x:v>
      </x:c>
      <x:c r="V128" s="9" t="n">
        <x:f>ABS(P128)</x:f>
        <x:v>25.68260257039583</x:v>
      </x:c>
      <x:c r="W128" s="9" t="n">
        <x:f>ABS(Q128)</x:f>
        <x:v>3.8562466321915663</x:v>
      </x:c>
      <x:c r="X128" s="9"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x:f>
        <x:v>82.12086586426281</x:v>
      </x:c>
      <x:c r="Y128" s="9"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x:f>
        <x:v>536.8431041026216</x:v>
      </x:c>
      <x:c r="Z128" s="9" t="n">
        <x:f>B128-X128/1000</x:f>
        <x:v>399.9278791341357</x:v>
      </x:c>
      <x:c r="AA128" s="9" t="n">
        <x:f>SQRT((Inputs!$C$52+B128)^2+(Inputs!$C$52+Y128/1000)^2-2*(Inputs!$C$52+B128)*(Inputs!$C$52+Y128/1000)*COS(SQRT(A128^2+Inputs!$C$6^2)/Inputs!$C$52))</x:f>
        <x:v>400.46915561096625</x:v>
      </x:c>
      <x:c r="AB128" s="9" t="n">
        <x:f>(AA128-Z128)*1000</x:f>
        <x:v>541.2764768305465</x:v>
      </x:c>
      <x:c r="AC128" s="9" t="n">
        <x:f>AB128/Inputs!$C$12</x:f>
        <x:v>304.08790833176766</x:v>
      </x:c>
      <x:c r="AD128" s="9" t="n">
        <x:f>2*AB128/Inputs!$C$21*1000000</x:f>
        <x:v>3.611007964920495</x:v>
      </x:c>
      <x:c r="AE128" s="9" t="n">
        <x:f>DEGREES(ATAN(H128/(B128-Y128/1000)))</x:f>
        <x:v>3.606662487132426</x:v>
      </x:c>
      <x:c r="AF128" s="9" t="n">
        <x:f>DEGREES((2*PI()/Inputs!$C$13)*Inputs!$C$15*SIN(RADIANS(AE128)))</x:f>
        <x:v>22.646365914506866</x:v>
      </x:c>
      <x:c r="AG128" s="9" t="n">
        <x:f>(Z128/AA128)^4</x:f>
        <x:v>0.9946045275245149</x:v>
      </x:c>
      <x:c r="AH128" s="9" t="n">
        <x:f>10*LOG10(AG128)</x:f>
        <x:v>-0.023495681538258803</x:v>
      </x:c>
      <x:c r="AI128" s="9" t="n">
        <x:f>AC128-F128</x:f>
        <x:v>-254.52094078003978</x:v>
      </x:c>
      <x:c r="AJ128" s="9" t="n">
        <x:f>AD128-G128</x:f>
        <x:v>-3.02240608460184</x:v>
      </x:c>
      <x:c r="AK128" s="9" t="n">
        <x:f>Y128-X128</x:f>
        <x:v>454.72223823835884</x:v>
      </x:c>
      <x:c r="AL128" s="9" t="n">
        <x:f>1000*(AA129-AA127)/(A129-A127)*Inputs!$C$11</x:f>
        <x:v>11.68387457710196</x:v>
      </x:c>
      <x:c r="AM128" s="9" t="n">
        <x:f>-2*AL128/Inputs!$C$13</x:f>
        <x:v>-4.673549830840784</x:v>
      </x:c>
      <x:c r="AN128" s="9" t="n">
        <x:f>-2*AL128/Inputs!$C$14</x:f>
        <x:v>-0.7017342088349526</x:v>
      </x:c>
      <x:c r="AO128" s="9" t="n">
        <x:f>ABS(AM128)</x:f>
        <x:v>4.673549830840784</x:v>
      </x:c>
      <x:c r="AP128" s="9" t="n">
        <x:f>ABS(AN128)</x:f>
        <x:v>0.7017342088349526</x:v>
      </x:c>
      <x:c r="AQ128" s="9" t="n">
        <x:f>IF(OR(Inputs!$C$27=TRUE,Inputs!$C$27="TRUE",Inputs!$C$27=1),Inputs!$C$46/Inputs!$C$12,0)</x:f>
        <x:v>42.13483146067416</x:v>
      </x:c>
      <x:c r="AR128" s="9" t="n">
        <x:f>AC128-AQ128</x:f>
        <x:v>261.9530768710935</x:v>
      </x:c>
      <x:c r="AS128" s="9" t="n">
        <x:f>AC128+AQ128</x:f>
        <x:v>346.2227397924418</x:v>
      </x:c>
    </x:row>
    <x:row r="129">
      <x:c r="A129" s="9" t="n">
        <x:f>Inputs!$C$7+127*(Inputs!$C$8-Inputs!$C$7)/240</x:f>
        <x:v>3.5</x:v>
      </x:c>
      <x:c r="B129" s="9" t="n">
        <x:f>Inputs!$C$5+Inputs!$C$9*(A129/Inputs!$C$10)^2</x:f>
        <x:v>400.0136111111111</x:v>
      </x:c>
      <x:c r="C129" s="9" t="n">
        <x:f>B129</x:f>
        <x:v>400.0136111111111</x:v>
      </x:c>
      <x:c r="D129" s="9" t="n">
        <x:f>SQRT((Inputs!$C$52+B129)^2+Inputs!$C$52^2-2*(Inputs!$C$52+B129)*Inputs!$C$52*COS(SQRT(A129^2+Inputs!$C$6^2)/Inputs!$C$52))</x:f>
        <x:v>401.0130183239513</x:v>
      </x:c>
      <x:c r="E129" s="9" t="n">
        <x:f>(D129-C129)*1000</x:f>
        <x:v>999.4072128401967</x:v>
      </x:c>
      <x:c r="F129" s="9" t="n">
        <x:f>E129/Inputs!$C$12</x:f>
        <x:v>561.4647263147173</x:v>
      </x:c>
      <x:c r="G129" s="9" t="n">
        <x:f>2*E129/Inputs!$C$21*1000000</x:f>
        <x:v>6.667327253710944</x:v>
      </x:c>
      <x:c r="H129" s="9" t="n">
        <x:f>SQRT(A129^2+Inputs!$C$6^2)</x:f>
        <x:v>25.243811122728676</x:v>
      </x:c>
      <x:c r="I129" s="9" t="n">
        <x:f>DEGREES(ATAN(H129/B129))</x:f>
        <x:v>3.6109979838002473</x:v>
      </x:c>
      <x:c r="J129" s="9" t="n">
        <x:f>DEGREES((2*PI()/Inputs!$C$13)*Inputs!$C$15*SIN(RADIANS(I129)))</x:f>
        <x:v>22.673552626173688</x:v>
      </x:c>
      <x:c r="K129" s="9" t="n">
        <x:f>(C129/D129)^4</x:f>
        <x:v>0.9900683790570275</x:v>
      </x:c>
      <x:c r="L129" s="9" t="n">
        <x:f>10*LOG10(K129)</x:f>
        <x:v>-0.0433480982505418</x:v>
      </x:c>
      <x:c r="M129" s="9" t="n">
        <x:f>2*(Inputs!$C$9/(Inputs!$C$10^2))*A129</x:f>
        <x:v>0.0077777777777777776</x:v>
      </x:c>
      <x:c r="N129" s="9" t="n">
        <x:f>M129*Inputs!$C$11</x:f>
        <x:v>0.03111111111111111</x:v>
      </x:c>
      <x:c r="O129" s="9" t="n">
        <x:f>1000*(D130-D128)/(A130-A128)*Inputs!$C$11</x:f>
        <x:v>74.90639867137361</x:v>
      </x:c>
      <x:c r="P129" s="9" t="n">
        <x:f>-2*O129/Inputs!$C$13</x:f>
        <x:v>-29.962559468549443</x:v>
      </x:c>
      <x:c r="Q129" s="9" t="n">
        <x:f>-2*O129/Inputs!$C$14</x:f>
        <x:v>-4.498882803085502</x:v>
      </x:c>
      <x:c r="R129" s="9" t="n">
        <x:f>F129-Inputs!$C$16/2</x:f>
        <x:v>546.4647263147173</x:v>
      </x:c>
      <x:c r="S129" s="9" t="n">
        <x:f>F129+Inputs!$C$16/2</x:f>
        <x:v>576.4647263147173</x:v>
      </x:c>
      <x:c r="T129" s="9" t="n">
        <x:f>F129-Inputs!$C$17/2</x:f>
        <x:v>411.46472631471727</x:v>
      </x:c>
      <x:c r="U129" s="9" t="n">
        <x:f>F129+Inputs!$C$17/2</x:f>
        <x:v>711.4647263147173</x:v>
      </x:c>
      <x:c r="V129" s="9" t="n">
        <x:f>ABS(P129)</x:f>
        <x:v>29.962559468549443</x:v>
      </x:c>
      <x:c r="W129" s="9" t="n">
        <x:f>ABS(Q129)</x:f>
        <x:v>4.498882803085502</x:v>
      </x:c>
      <x:c r="X129" s="9"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x:f>
        <x:v>98.61636326587373</x:v>
      </x:c>
      <x:c r="Y129" s="9"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x:f>
        <x:v>562.919019674553</x:v>
      </x:c>
      <x:c r="Z129" s="9" t="n">
        <x:f>B129-X129/1000</x:f>
        <x:v>399.91499474784524</x:v>
      </x:c>
      <x:c r="AA129" s="9" t="n">
        <x:f>SQRT((Inputs!$C$52+B129)^2+(Inputs!$C$52+Y129/1000)^2-2*(Inputs!$C$52+B129)*(Inputs!$C$52+Y129/1000)*COS(SQRT(A129^2+Inputs!$C$6^2)/Inputs!$C$52))</x:f>
        <x:v>400.4518646865413</x:v>
      </x:c>
      <x:c r="AB129" s="9" t="n">
        <x:f>(AA129-Z129)*1000</x:f>
        <x:v>536.8699386960429</x:v>
      </x:c>
      <x:c r="AC129" s="9" t="n">
        <x:f>AB129/Inputs!$C$12</x:f>
        <x:v>301.61232511013645</x:v>
      </x:c>
      <x:c r="AD129" s="9" t="n">
        <x:f>2*AB129/Inputs!$C$21*1000000</x:f>
        <x:v>3.5816107068046583</x:v>
      </x:c>
      <x:c r="AE129" s="9" t="n">
        <x:f>DEGREES(ATAN(H129/(B129-Y129/1000)))</x:f>
        <x:v>3.616073227962962</x:v>
      </x:c>
      <x:c r="AF129" s="9" t="n">
        <x:f>DEGREES((2*PI()/Inputs!$C$13)*Inputs!$C$15*SIN(RADIANS(AE129)))</x:f>
        <x:v>22.705377926737395</x:v>
      </x:c>
      <x:c r="AG129" s="9" t="n">
        <x:f>(Z129/AA129)^4</x:f>
        <x:v>0.9946481331694348</x:v>
      </x:c>
      <x:c r="AH129" s="9" t="n">
        <x:f>10*LOG10(AG129)</x:f>
        <x:v>-0.0233052814815362</x:v>
      </x:c>
      <x:c r="AI129" s="9" t="n">
        <x:f>AC129-F129</x:f>
        <x:v>-259.8524012045808</x:v>
      </x:c>
      <x:c r="AJ129" s="9" t="n">
        <x:f>AD129-G129</x:f>
        <x:v>-3.0857165469062857</x:v>
      </x:c>
      <x:c r="AK129" s="9" t="n">
        <x:f>Y129-X129</x:f>
        <x:v>464.30265640867935</x:v>
      </x:c>
      <x:c r="AL129" s="9" t="n">
        <x:f>1000*(AA130-AA128)/(A130-A128)*Inputs!$C$11</x:f>
        <x:v>-24.01308093726584</x:v>
      </x:c>
      <x:c r="AM129" s="9" t="n">
        <x:f>-2*AL129/Inputs!$C$13</x:f>
        <x:v>9.605232374906336</x:v>
      </x:c>
      <x:c r="AN129" s="9" t="n">
        <x:f>-2*AL129/Inputs!$C$14</x:f>
        <x:v>1.4422270833192699</x:v>
      </x:c>
      <x:c r="AO129" s="9" t="n">
        <x:f>ABS(AM129)</x:f>
        <x:v>9.605232374906336</x:v>
      </x:c>
      <x:c r="AP129" s="9" t="n">
        <x:f>ABS(AN129)</x:f>
        <x:v>1.4422270833192699</x:v>
      </x:c>
      <x:c r="AQ129" s="9" t="n">
        <x:f>IF(OR(Inputs!$C$27=TRUE,Inputs!$C$27="TRUE",Inputs!$C$27=1),Inputs!$C$46/Inputs!$C$12,0)</x:f>
        <x:v>42.13483146067416</x:v>
      </x:c>
      <x:c r="AR129" s="9" t="n">
        <x:f>AC129-AQ129</x:f>
        <x:v>259.4774936494623</x:v>
      </x:c>
      <x:c r="AS129" s="9" t="n">
        <x:f>AC129+AQ129</x:f>
        <x:v>343.7471565708106</x:v>
      </x:c>
    </x:row>
    <x:row r="130">
      <x:c r="A130" s="9" t="n">
        <x:f>Inputs!$C$7+128*(Inputs!$C$8-Inputs!$C$7)/240</x:f>
        <x:v>4</x:v>
      </x:c>
      <x:c r="B130" s="9" t="n">
        <x:f>Inputs!$C$5+Inputs!$C$9*(A130/Inputs!$C$10)^2</x:f>
        <x:v>400.0177777777778</x:v>
      </x:c>
      <x:c r="C130" s="9" t="n">
        <x:f>B130</x:f>
        <x:v>400.0177777777778</x:v>
      </x:c>
      <x:c r="D130" s="9" t="n">
        <x:f>SQRT((Inputs!$C$52+B130)^2+Inputs!$C$52^2-2*(Inputs!$C$52+B130)*Inputs!$C$52*COS(SQRT(A130^2+Inputs!$C$6^2)/Inputs!$C$52))</x:f>
        <x:v>401.02305035108685</x:v>
      </x:c>
      <x:c r="E130" s="9" t="n">
        <x:f>(D130-C130)*1000</x:f>
        <x:v>1005.272573309071</x:v>
      </x:c>
      <x:c r="F130" s="9" t="n">
        <x:f>E130/Inputs!$C$12</x:f>
        <x:v>564.7598726455456</x:v>
      </x:c>
      <x:c r="G130" s="9" t="n">
        <x:f>2*E130/Inputs!$C$21*1000000</x:f>
        <x:v>6.706456726867165</x:v>
      </x:c>
      <x:c r="H130" s="9" t="n">
        <x:f>SQRT(A130^2+Inputs!$C$6^2)</x:f>
        <x:v>25.317977802344327</x:v>
      </x:c>
      <x:c r="I130" s="9" t="n">
        <x:f>DEGREES(ATAN(H130/B130))</x:f>
        <x:v>3.62154133083556</x:v>
      </x:c>
      <x:c r="J130" s="9" t="n">
        <x:f>DEGREES((2*PI()/Inputs!$C$13)*Inputs!$C$15*SIN(RADIANS(I130)))</x:f>
        <x:v>22.739666524476903</x:v>
      </x:c>
      <x:c r="K130" s="9" t="n">
        <x:f>(C130/D130)^4</x:f>
        <x:v>0.9900105601936992</x:v>
      </x:c>
      <x:c r="L130" s="9" t="n">
        <x:f>10*LOG10(K130)</x:f>
        <x:v>-0.0436017286771152</x:v>
      </x:c>
      <x:c r="M130" s="9" t="n">
        <x:f>2*(Inputs!$C$9/(Inputs!$C$10^2))*A130</x:f>
        <x:v>0.008888888888888889</x:v>
      </x:c>
      <x:c r="N130" s="9" t="n">
        <x:f>M130*Inputs!$C$11</x:f>
        <x:v>0.035555555555555556</x:v>
      </x:c>
      <x:c r="O130" s="9" t="n">
        <x:f>1000*(D131-D129)/(A131-A129)*Inputs!$C$11</x:f>
        <x:v>85.60574078887839</x:v>
      </x:c>
      <x:c r="P130" s="9" t="n">
        <x:f>-2*O130/Inputs!$C$13</x:f>
        <x:v>-34.24229631555136</x:v>
      </x:c>
      <x:c r="Q130" s="9" t="n">
        <x:f>-2*O130/Inputs!$C$14</x:f>
        <x:v>-5.14148593326597</x:v>
      </x:c>
      <x:c r="R130" s="9" t="n">
        <x:f>F130-Inputs!$C$16/2</x:f>
        <x:v>549.7598726455456</x:v>
      </x:c>
      <x:c r="S130" s="9" t="n">
        <x:f>F130+Inputs!$C$16/2</x:f>
        <x:v>579.7598726455456</x:v>
      </x:c>
      <x:c r="T130" s="9" t="n">
        <x:f>F130-Inputs!$C$17/2</x:f>
        <x:v>414.75987264554556</x:v>
      </x:c>
      <x:c r="U130" s="9" t="n">
        <x:f>F130+Inputs!$C$17/2</x:f>
        <x:v>714.7598726455456</x:v>
      </x:c>
      <x:c r="V130" s="9" t="n">
        <x:f>ABS(P130)</x:f>
        <x:v>34.24229631555136</x:v>
      </x:c>
      <x:c r="W130" s="9" t="n">
        <x:f>ABS(Q130)</x:f>
        <x:v>5.14148593326597</x:v>
      </x:c>
      <x:c r="X130" s="9"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x:f>
        <x:v>96.36311355528144</x:v>
      </x:c>
      <x:c r="Y130" s="9"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x:f>
        <x:v>561.6697690573507</x:v>
      </x:c>
      <x:c r="Z130" s="9" t="n">
        <x:f>B130-X130/1000</x:f>
        <x:v>399.9214146642225</x:v>
      </x:c>
      <x:c r="AA130" s="9" t="n">
        <x:f>SQRT((Inputs!$C$52+B130)^2+(Inputs!$C$52+Y130/1000)^2-2*(Inputs!$C$52+B130)*(Inputs!$C$52+Y130/1000)*COS(SQRT(A130^2+Inputs!$C$6^2)/Inputs!$C$52))</x:f>
        <x:v>400.46315234073194</x:v>
      </x:c>
      <x:c r="AB130" s="9" t="n">
        <x:f>(AA130-Z130)*1000</x:f>
        <x:v>541.7376765094559</x:v>
      </x:c>
      <x:c r="AC130" s="9" t="n">
        <x:f>AB130/Inputs!$C$12</x:f>
        <x:v>304.3470092749752</x:v>
      </x:c>
      <x:c r="AD130" s="9" t="n">
        <x:f>2*AB130/Inputs!$C$21*1000000</x:f>
        <x:v>3.6140847579925173</x:v>
      </x:c>
      <x:c r="AE130" s="9" t="n">
        <x:f>DEGREES(ATAN(H130/(B130-Y130/1000)))</x:f>
        <x:v>3.626619949886558</x:v>
      </x:c>
      <x:c r="AF130" s="9" t="n">
        <x:f>DEGREES((2*PI()/Inputs!$C$13)*Inputs!$C$15*SIN(RADIANS(AE130)))</x:f>
        <x:v>22.771512617245605</x:v>
      </x:c>
      <x:c r="AG130" s="9" t="n">
        <x:f>(Z130/AA130)^4</x:f>
        <x:v>0.9945998588053261</x:v>
      </x:c>
      <x:c r="AH130" s="9" t="n">
        <x:f>10*LOG10(AG130)</x:f>
        <x:v>-0.0235160675679216</x:v>
      </x:c>
      <x:c r="AI130" s="9" t="n">
        <x:f>AC130-F130</x:f>
        <x:v>-260.41286337057034</x:v>
      </x:c>
      <x:c r="AJ130" s="9" t="n">
        <x:f>AD130-G130</x:f>
        <x:v>-3.0923719688746476</x:v>
      </x:c>
      <x:c r="AK130" s="9" t="n">
        <x:f>Y130-X130</x:f>
        <x:v>465.30665550206925</x:v>
      </x:c>
      <x:c r="AL130" s="9" t="n">
        <x:f>1000*(AA131-AA129)/(A131-A129)*Inputs!$C$11</x:f>
        <x:v>62.86816085889768</x:v>
      </x:c>
      <x:c r="AM130" s="9" t="n">
        <x:f>-2*AL130/Inputs!$C$13</x:f>
        <x:v>-25.147264343559073</x:v>
      </x:c>
      <x:c r="AN130" s="9" t="n">
        <x:f>-2*AL130/Inputs!$C$14</x:f>
        <x:v>-3.7758655170509123</x:v>
      </x:c>
      <x:c r="AO130" s="9" t="n">
        <x:f>ABS(AM130)</x:f>
        <x:v>25.147264343559073</x:v>
      </x:c>
      <x:c r="AP130" s="9" t="n">
        <x:f>ABS(AN130)</x:f>
        <x:v>3.7758655170509123</x:v>
      </x:c>
      <x:c r="AQ130" s="9" t="n">
        <x:f>IF(OR(Inputs!$C$27=TRUE,Inputs!$C$27="TRUE",Inputs!$C$27=1),Inputs!$C$46/Inputs!$C$12,0)</x:f>
        <x:v>42.13483146067416</x:v>
      </x:c>
      <x:c r="AR130" s="9" t="n">
        <x:f>AC130-AQ130</x:f>
        <x:v>262.21217781430107</x:v>
      </x:c>
      <x:c r="AS130" s="9" t="n">
        <x:f>AC130+AQ130</x:f>
        <x:v>346.48184073564937</x:v>
      </x:c>
    </x:row>
    <x:row r="131">
      <x:c r="A131" s="9" t="n">
        <x:f>Inputs!$C$7+129*(Inputs!$C$8-Inputs!$C$7)/240</x:f>
        <x:v>4.5</x:v>
      </x:c>
      <x:c r="B131" s="9" t="n">
        <x:f>Inputs!$C$5+Inputs!$C$9*(A131/Inputs!$C$10)^2</x:f>
        <x:v>400.0225</x:v>
      </x:c>
      <x:c r="C131" s="9" t="n">
        <x:f>B131</x:f>
        <x:v>400.0225</x:v>
      </x:c>
      <x:c r="D131" s="9" t="n">
        <x:f>SQRT((Inputs!$C$52+B131)^2+Inputs!$C$52^2-2*(Inputs!$C$52+B131)*Inputs!$C$52*COS(SQRT(A131^2+Inputs!$C$6^2)/Inputs!$C$52))</x:f>
        <x:v>401.03441975914853</x:v>
      </x:c>
      <x:c r="E131" s="9" t="n">
        <x:f>(D131-C131)*1000</x:f>
        <x:v>1011.9197591485545</x:v>
      </x:c>
      <x:c r="F131" s="9" t="n">
        <x:f>E131/Inputs!$C$12</x:f>
        <x:v>568.494246712671</x:v>
      </x:c>
      <x:c r="G131" s="9" t="n">
        <x:f>2*E131/Inputs!$C$21*1000000</x:f>
        <x:v>6.75080197747039</x:v>
      </x:c>
      <x:c r="H131" s="9" t="n">
        <x:f>SQRT(A131^2+Inputs!$C$6^2)</x:f>
        <x:v>25.401771591761076</x:v>
      </x:c>
      <x:c r="I131" s="9" t="n">
        <x:f>DEGREES(ATAN(H131/B131))</x:f>
        <x:v>3.6334525503982564</x:v>
      </x:c>
      <x:c r="J131" s="9" t="n">
        <x:f>DEGREES((2*PI()/Inputs!$C$13)*Inputs!$C$15*SIN(RADIANS(I131)))</x:f>
        <x:v>22.814356979819124</x:v>
      </x:c>
      <x:c r="K131" s="9" t="n">
        <x:f>(C131/D131)^4</x:f>
        <x:v>0.989945040905614</x:v>
      </x:c>
      <x:c r="L131" s="9" t="n">
        <x:f>10*LOG10(K131)</x:f>
        <x:v>-0.0438891559837498</x:v>
      </x:c>
      <x:c r="M131" s="9" t="n">
        <x:f>2*(Inputs!$C$9/(Inputs!$C$10^2))*A131</x:f>
        <x:v>0.01</x:v>
      </x:c>
      <x:c r="N131" s="9" t="n">
        <x:f>M131*Inputs!$C$11</x:f>
        <x:v>0.04</x:v>
      </x:c>
      <x:c r="O131" s="9" t="n">
        <x:f>1000*(D132-D130)/(A132-A130)*Inputs!$C$11</x:f>
        <x:v>96.30445428069834</x:v>
      </x:c>
      <x:c r="P131" s="9" t="n">
        <x:f>-2*O131/Inputs!$C$13</x:f>
        <x:v>-38.521781712279335</x:v>
      </x:c>
      <x:c r="Q131" s="9" t="n">
        <x:f>-2*O131/Inputs!$C$14</x:f>
        <x:v>-5.784051308150051</x:v>
      </x:c>
      <x:c r="R131" s="9" t="n">
        <x:f>F131-Inputs!$C$16/2</x:f>
        <x:v>553.494246712671</x:v>
      </x:c>
      <x:c r="S131" s="9" t="n">
        <x:f>F131+Inputs!$C$16/2</x:f>
        <x:v>583.494246712671</x:v>
      </x:c>
      <x:c r="T131" s="9" t="n">
        <x:f>F131-Inputs!$C$17/2</x:f>
        <x:v>418.49424671267104</x:v>
      </x:c>
      <x:c r="U131" s="9" t="n">
        <x:f>F131+Inputs!$C$17/2</x:f>
        <x:v>718.494246712671</x:v>
      </x:c>
      <x:c r="V131" s="9" t="n">
        <x:f>ABS(P131)</x:f>
        <x:v>38.521781712279335</x:v>
      </x:c>
      <x:c r="W131" s="9" t="n">
        <x:f>ABS(Q131)</x:f>
        <x:v>5.784051308150051</x:v>
      </x:c>
      <x:c r="X131" s="9"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x:f>
        <x:v>82.51998590748882</x:v>
      </x:c>
      <x:c r="Y131" s="9"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x:f>
        <x:v>568.6436382247327</x:v>
      </x:c>
      <x:c r="Z131" s="9" t="n">
        <x:f>B131-X131/1000</x:f>
        <x:v>399.9399800140925</x:v>
      </x:c>
      <x:c r="AA131" s="9" t="n">
        <x:f>SQRT((Inputs!$C$52+B131)^2+(Inputs!$C$52+Y131/1000)^2-2*(Inputs!$C$52+B131)*(Inputs!$C$52+Y131/1000)*COS(SQRT(A131^2+Inputs!$C$6^2)/Inputs!$C$52))</x:f>
        <x:v>400.467581726756</x:v>
      </x:c>
      <x:c r="AB131" s="9" t="n">
        <x:f>(AA131-Z131)*1000</x:f>
        <x:v>527.6017126635111</x:v>
      </x:c>
      <x:c r="AC131" s="9" t="n">
        <x:f>AB131/Inputs!$C$12</x:f>
        <x:v>296.4054565525343</x:v>
      </x:c>
      <x:c r="AD131" s="9" t="n">
        <x:f>2*AB131/Inputs!$C$21*1000000</x:f>
        <x:v>3.5197797581919894</x:v>
      </x:c>
      <x:c r="AE131" s="9" t="n">
        <x:f>DEGREES(ATAN(H131/(B131-Y131/1000)))</x:f>
        <x:v>3.6386110760189014</x:v>
      </x:c>
      <x:c r="AF131" s="9" t="n">
        <x:f>DEGREES((2*PI()/Inputs!$C$13)*Inputs!$C$15*SIN(RADIANS(AE131)))</x:f>
        <x:v>22.84670370831276</x:v>
      </x:c>
      <x:c r="AG131" s="9" t="n">
        <x:f>(Z131/AA131)^4</x:f>
        <x:v>0.994740548223325</x:v>
      </x:c>
      <x:c r="AH131" s="9" t="n">
        <x:f>10*LOG10(AG131)</x:f>
        <x:v>-0.0229017871985579</x:v>
      </x:c>
      <x:c r="AI131" s="9" t="n">
        <x:f>AC131-F131</x:f>
        <x:v>-272.08879016013674</x:v>
      </x:c>
      <x:c r="AJ131" s="9" t="n">
        <x:f>AD131-G131</x:f>
        <x:v>-3.2310222192784006</x:v>
      </x:c>
      <x:c r="AK131" s="9" t="n">
        <x:f>Y131-X131</x:f>
        <x:v>486.1236523172439</x:v>
      </x:c>
      <x:c r="AL131" s="9" t="n">
        <x:f>1000*(AA132-AA130)/(A132-A130)*Inputs!$C$11</x:f>
        <x:v>147.65893651724582</x:v>
      </x:c>
      <x:c r="AM131" s="9" t="n">
        <x:f>-2*AL131/Inputs!$C$13</x:f>
        <x:v>-59.06357460689833</x:v>
      </x:c>
      <x:c r="AN131" s="9" t="n">
        <x:f>-2*AL131/Inputs!$C$14</x:f>
        <x:v>-8.86840459563038</x:v>
      </x:c>
      <x:c r="AO131" s="9" t="n">
        <x:f>ABS(AM131)</x:f>
        <x:v>59.06357460689833</x:v>
      </x:c>
      <x:c r="AP131" s="9" t="n">
        <x:f>ABS(AN131)</x:f>
        <x:v>8.86840459563038</x:v>
      </x:c>
      <x:c r="AQ131" s="9" t="n">
        <x:f>IF(OR(Inputs!$C$27=TRUE,Inputs!$C$27="TRUE",Inputs!$C$27=1),Inputs!$C$46/Inputs!$C$12,0)</x:f>
        <x:v>42.13483146067416</x:v>
      </x:c>
      <x:c r="AR131" s="9" t="n">
        <x:f>AC131-AQ131</x:f>
        <x:v>254.27062509186015</x:v>
      </x:c>
      <x:c r="AS131" s="9" t="n">
        <x:f>AC131+AQ131</x:f>
        <x:v>338.54028801320845</x:v>
      </x:c>
    </x:row>
    <x:row r="132">
      <x:c r="A132" s="9" t="n">
        <x:f>Inputs!$C$7+130*(Inputs!$C$8-Inputs!$C$7)/240</x:f>
        <x:v>5</x:v>
      </x:c>
      <x:c r="B132" s="9" t="n">
        <x:f>Inputs!$C$5+Inputs!$C$9*(A132/Inputs!$C$10)^2</x:f>
        <x:v>400.02777777777777</x:v>
      </x:c>
      <x:c r="C132" s="9" t="n">
        <x:f>B132</x:f>
        <x:v>400.02777777777777</x:v>
      </x:c>
      <x:c r="D132" s="9" t="n">
        <x:f>SQRT((Inputs!$C$52+B132)^2+Inputs!$C$52^2-2*(Inputs!$C$52+B132)*Inputs!$C$52*COS(SQRT(A132^2+Inputs!$C$6^2)/Inputs!$C$52))</x:f>
        <x:v>401.047126464657</x:v>
      </x:c>
      <x:c r="E132" s="9" t="n">
        <x:f>(D132-C132)*1000</x:f>
        <x:v>1019.3486868792547</x:v>
      </x:c>
      <x:c r="F132" s="9" t="n">
        <x:f>E132/Inputs!$C$12</x:f>
        <x:v>572.6678016175588</x:v>
      </x:c>
      <x:c r="G132" s="9" t="n">
        <x:f>2*E132/Inputs!$C$21*1000000</x:f>
        <x:v>6.80036244860606</x:v>
      </x:c>
      <x:c r="H132" s="9" t="n">
        <x:f>SQRT(A132^2+Inputs!$C$6^2)</x:f>
        <x:v>25.495097567963924</x:v>
      </x:c>
      <x:c r="I132" s="9" t="n">
        <x:f>DEGREES(ATAN(H132/B132))</x:f>
        <x:v>3.646717894415093</x:v>
      </x:c>
      <x:c r="J132" s="9" t="n">
        <x:f>DEGREES((2*PI()/Inputs!$C$13)*Inputs!$C$15*SIN(RADIANS(I132)))</x:f>
        <x:v>22.897537442986597</x:v>
      </x:c>
      <x:c r="K132" s="9" t="n">
        <x:f>(C132/D132)^4</x:f>
        <x:v>0.9898718244744187</x:v>
      </x:c>
      <x:c r="L132" s="9" t="n">
        <x:f>10*LOG10(K132)</x:f>
        <x:v>-0.044210372482339</x:v>
      </x:c>
      <x:c r="M132" s="9" t="n">
        <x:f>2*(Inputs!$C$9/(Inputs!$C$10^2))*A132</x:f>
        <x:v>0.011111111111111112</x:v>
      </x:c>
      <x:c r="N132" s="9" t="n">
        <x:f>M132*Inputs!$C$11</x:f>
        <x:v>0.044444444444444446</x:v>
      </x:c>
      <x:c r="O132" s="9" t="n">
        <x:f>1000*(D133-D131)/(A133-A131)*Inputs!$C$11</x:f>
        <x:v>107.00246068472552</x:v>
      </x:c>
      <x:c r="P132" s="9" t="n">
        <x:f>-2*O132/Inputs!$C$13</x:f>
        <x:v>-42.80098427389021</x:v>
      </x:c>
      <x:c r="Q132" s="9" t="n">
        <x:f>-2*O132/Inputs!$C$14</x:f>
        <x:v>-6.426574215298831</x:v>
      </x:c>
      <x:c r="R132" s="9" t="n">
        <x:f>F132-Inputs!$C$16/2</x:f>
        <x:v>557.6678016175588</x:v>
      </x:c>
      <x:c r="S132" s="9" t="n">
        <x:f>F132+Inputs!$C$16/2</x:f>
        <x:v>587.6678016175588</x:v>
      </x:c>
      <x:c r="T132" s="9" t="n">
        <x:f>F132-Inputs!$C$17/2</x:f>
        <x:v>422.6678016175588</x:v>
      </x:c>
      <x:c r="U132" s="9" t="n">
        <x:f>F132+Inputs!$C$17/2</x:f>
        <x:v>722.6678016175588</x:v>
      </x:c>
      <x:c r="V132" s="9" t="n">
        <x:f>ABS(P132)</x:f>
        <x:v>42.80098427389021</x:v>
      </x:c>
      <x:c r="W132" s="9" t="n">
        <x:f>ABS(Q132)</x:f>
        <x:v>6.426574215298831</x:v>
      </x:c>
      <x:c r="X132" s="9"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x:f>
        <x:v>98.94976350623145</x:v>
      </x:c>
      <x:c r="Y132" s="9"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x:f>
        <x:v>548.8146920903409</x:v>
      </x:c>
      <x:c r="Z132" s="9" t="n">
        <x:f>B132-X132/1000</x:f>
        <x:v>399.9288280142715</x:v>
      </x:c>
      <x:c r="AA132" s="9" t="n">
        <x:f>SQRT((Inputs!$C$52+B132)^2+(Inputs!$C$52+Y132/1000)^2-2*(Inputs!$C$52+B132)*(Inputs!$C$52+Y132/1000)*COS(SQRT(A132^2+Inputs!$C$6^2)/Inputs!$C$52))</x:f>
        <x:v>400.50006707486125</x:v>
      </x:c>
      <x:c r="AB132" s="9" t="n">
        <x:f>(AA132-Z132)*1000</x:f>
        <x:v>571.2390605897326</x:v>
      </x:c>
      <x:c r="AC132" s="9" t="n">
        <x:f>AB132/Inputs!$C$12</x:f>
        <x:v>320.9208205560296</x:v>
      </x:c>
      <x:c r="AD132" s="9" t="n">
        <x:f>2*AB132/Inputs!$C$21*1000000</x:f>
        <x:v>3.8108968077491303</x:v>
      </x:c>
      <x:c r="AE132" s="9" t="n">
        <x:f>DEGREES(ATAN(H132/(B132-Y132/1000)))</x:f>
        <x:v>3.6517143042935203</x:v>
      </x:c>
      <x:c r="AF132" s="9" t="n">
        <x:f>DEGREES((2*PI()/Inputs!$C$13)*Inputs!$C$15*SIN(RADIANS(AE132)))</x:f>
        <x:v>22.928867159679463</x:v>
      </x:c>
      <x:c r="AG132" s="9" t="n">
        <x:f>(Z132/AA132)^4</x:f>
        <x:v>0.9943069365595573</x:v>
      </x:c>
      <x:c r="AH132" s="9" t="n">
        <x:f>10*LOG10(AG132)</x:f>
        <x:v>-0.024795308165624603</x:v>
      </x:c>
      <x:c r="AI132" s="9" t="n">
        <x:f>AC132-F132</x:f>
        <x:v>-251.7469810615292</x:v>
      </x:c>
      <x:c r="AJ132" s="9" t="n">
        <x:f>AD132-G132</x:f>
        <x:v>-2.9894656408569293</x:v>
      </x:c>
      <x:c r="AK132" s="9" t="n">
        <x:f>Y132-X132</x:f>
        <x:v>449.8649285841095</x:v>
      </x:c>
      <x:c r="AL132" s="9" t="n">
        <x:f>1000*(AA133-AA131)/(A133-A131)*Inputs!$C$11</x:f>
        <x:v>223.22699008077507</x:v>
      </x:c>
      <x:c r="AM132" s="9" t="n">
        <x:f>-2*AL132/Inputs!$C$13</x:f>
        <x:v>-89.29079603231003</x:v>
      </x:c>
      <x:c r="AN132" s="9" t="n">
        <x:f>-2*AL132/Inputs!$C$14</x:f>
        <x:v>-13.407026431277783</x:v>
      </x:c>
      <x:c r="AO132" s="9" t="n">
        <x:f>ABS(AM132)</x:f>
        <x:v>89.29079603231003</x:v>
      </x:c>
      <x:c r="AP132" s="9" t="n">
        <x:f>ABS(AN132)</x:f>
        <x:v>13.407026431277783</x:v>
      </x:c>
      <x:c r="AQ132" s="9" t="n">
        <x:f>IF(OR(Inputs!$C$27=TRUE,Inputs!$C$27="TRUE",Inputs!$C$27=1),Inputs!$C$46/Inputs!$C$12,0)</x:f>
        <x:v>42.13483146067416</x:v>
      </x:c>
      <x:c r="AR132" s="9" t="n">
        <x:f>AC132-AQ132</x:f>
        <x:v>278.78598909535543</x:v>
      </x:c>
      <x:c r="AS132" s="9" t="n">
        <x:f>AC132+AQ132</x:f>
        <x:v>363.05565201670373</x:v>
      </x:c>
    </x:row>
    <x:row r="133">
      <x:c r="A133" s="9" t="n">
        <x:f>Inputs!$C$7+131*(Inputs!$C$8-Inputs!$C$7)/240</x:f>
        <x:v>5.5</x:v>
      </x:c>
      <x:c r="B133" s="9" t="n">
        <x:f>Inputs!$C$5+Inputs!$C$9*(A133/Inputs!$C$10)^2</x:f>
        <x:v>400.0336111111111</x:v>
      </x:c>
      <x:c r="C133" s="9" t="n">
        <x:f>B133</x:f>
        <x:v>400.0336111111111</x:v>
      </x:c>
      <x:c r="D133" s="9" t="n">
        <x:f>SQRT((Inputs!$C$52+B133)^2+Inputs!$C$52^2-2*(Inputs!$C$52+B133)*Inputs!$C$52*COS(SQRT(A133^2+Inputs!$C$6^2)/Inputs!$C$52))</x:f>
        <x:v>401.0611703743197</x:v>
      </x:c>
      <x:c r="E133" s="9" t="n">
        <x:f>(D133-C133)*1000</x:f>
        <x:v>1027.559263208616</x:v>
      </x:c>
      <x:c r="F133" s="9" t="n">
        <x:f>E133/Inputs!$C$12</x:f>
        <x:v>577.2804849486606</x:v>
      </x:c>
      <x:c r="G133" s="9" t="n">
        <x:f>2*E133/Inputs!$C$21*1000000</x:f>
        <x:v>6.855137517893235</x:v>
      </x:c>
      <x:c r="H133" s="9" t="n">
        <x:f>SQRT(A133^2+Inputs!$C$6^2)</x:f>
        <x:v>25.59785147234041</x:v>
      </x:c>
      <x:c r="I133" s="9" t="n">
        <x:f>DEGREES(ATAN(H133/B133))</x:f>
        <x:v>3.6613222610928524</x:v>
      </x:c>
      <x:c r="J133" s="9" t="n">
        <x:f>DEGREES((2*PI()/Inputs!$C$13)*Inputs!$C$15*SIN(RADIANS(I133)))</x:f>
        <x:v>22.989112840565028</x:v>
      </x:c>
      <x:c r="K133" s="9" t="n">
        <x:f>(C133/D133)^4</x:f>
        <x:v>0.9897909145666158</x:v>
      </x:c>
      <x:c r="L133" s="9" t="n">
        <x:f>10*LOG10(K133)</x:f>
        <x:v>-0.0445653695817608</x:v>
      </x:c>
      <x:c r="M133" s="9" t="n">
        <x:f>2*(Inputs!$C$9/(Inputs!$C$10^2))*A133</x:f>
        <x:v>0.012222222222222223</x:v>
      </x:c>
      <x:c r="N133" s="9" t="n">
        <x:f>M133*Inputs!$C$11</x:f>
        <x:v>0.04888888888888889</x:v>
      </x:c>
      <x:c r="O133" s="9" t="n">
        <x:f>1000*(D134-D132)/(A134-A132)*Inputs!$C$11</x:f>
        <x:v>117.69968152384536</x:v>
      </x:c>
      <x:c r="P133" s="9" t="n">
        <x:f>-2*O133/Inputs!$C$13</x:f>
        <x:v>-47.07987260953814</x:v>
      </x:c>
      <x:c r="Q133" s="9" t="n">
        <x:f>-2*O133/Inputs!$C$14</x:f>
        <x:v>-7.069049941372094</x:v>
      </x:c>
      <x:c r="R133" s="9" t="n">
        <x:f>F133-Inputs!$C$16/2</x:f>
        <x:v>562.2804849486606</x:v>
      </x:c>
      <x:c r="S133" s="9" t="n">
        <x:f>F133+Inputs!$C$16/2</x:f>
        <x:v>592.2804849486606</x:v>
      </x:c>
      <x:c r="T133" s="9" t="n">
        <x:f>F133-Inputs!$C$17/2</x:f>
        <x:v>427.2804849486606</x:v>
      </x:c>
      <x:c r="U133" s="9" t="n">
        <x:f>F133+Inputs!$C$17/2</x:f>
        <x:v>727.2804849486606</x:v>
      </x:c>
      <x:c r="V133" s="9" t="n">
        <x:f>ABS(P133)</x:f>
        <x:v>47.07987260953814</x:v>
      </x:c>
      <x:c r="W133" s="9" t="n">
        <x:f>ABS(Q133)</x:f>
        <x:v>7.069049941372094</x:v>
      </x:c>
      <x:c r="X133" s="9"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x:f>
        <x:v>97.11441747768895</x:v>
      </x:c>
      <x:c r="Y133" s="9"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x:f>
        <x:v>539.5212853164131</x:v>
      </x:c>
      <x:c r="Z133" s="9" t="n">
        <x:f>B133-X133/1000</x:f>
        <x:v>399.9364966936334</x:v>
      </x:c>
      <x:c r="AA133" s="9" t="n">
        <x:f>SQRT((Inputs!$C$52+B133)^2+(Inputs!$C$52+Y133/1000)^2-2*(Inputs!$C$52+B133)*(Inputs!$C$52+Y133/1000)*COS(SQRT(A133^2+Inputs!$C$6^2)/Inputs!$C$52))</x:f>
        <x:v>400.5233884742762</x:v>
      </x:c>
      <x:c r="AB133" s="9" t="n">
        <x:f>(AA133-Z133)*1000</x:f>
        <x:v>586.8917806428158</x:v>
      </x:c>
      <x:c r="AC133" s="9" t="n">
        <x:f>AB133/Inputs!$C$12</x:f>
        <x:v>329.7144835071999</x:v>
      </x:c>
      <x:c r="AD133" s="9" t="n">
        <x:f>2*AB133/Inputs!$C$21*1000000</x:f>
        <x:v>3.9153205157870636</x:v>
      </x:c>
      <x:c r="AE133" s="9" t="n">
        <x:f>DEGREES(ATAN(H133/(B133-Y133/1000)))</x:f>
        <x:v>3.6662534410783953</x:v>
      </x:c>
      <x:c r="AF133" s="9" t="n">
        <x:f>DEGREES((2*PI()/Inputs!$C$13)*Inputs!$C$15*SIN(RADIANS(AE133)))</x:f>
        <x:v>23.020033034221512</x:v>
      </x:c>
      <x:c r="AG133" s="9" t="n">
        <x:f>(Z133/AA133)^4</x:f>
        <x:v>0.9941516217259596</x:v>
      </x:c>
      <x:c r="AH133" s="9" t="n">
        <x:f>10*LOG10(AG133)</x:f>
        <x:v>-0.0254737470000201</x:v>
      </x:c>
      <x:c r="AI133" s="9" t="n">
        <x:f>AC133-F133</x:f>
        <x:v>-247.56600144146074</x:v>
      </x:c>
      <x:c r="AJ133" s="9" t="n">
        <x:f>AD133-G133</x:f>
        <x:v>-2.9398170021061714</x:v>
      </x:c>
      <x:c r="AK133" s="9" t="n">
        <x:f>Y133-X133</x:f>
        <x:v>442.40686783872417</x:v>
      </x:c>
      <x:c r="AL133" s="9" t="n">
        <x:f>1000*(AA134-AA132)/(A134-A132)*Inputs!$C$11</x:f>
        <x:v>178.11125931257266</x:v>
      </x:c>
      <x:c r="AM133" s="9" t="n">
        <x:f>-2*AL133/Inputs!$C$13</x:f>
        <x:v>-71.24450372502906</x:v>
      </x:c>
      <x:c r="AN133" s="9" t="n">
        <x:f>-2*AL133/Inputs!$C$14</x:f>
        <x:v>-10.697372931686047</x:v>
      </x:c>
      <x:c r="AO133" s="9" t="n">
        <x:f>ABS(AM133)</x:f>
        <x:v>71.24450372502906</x:v>
      </x:c>
      <x:c r="AP133" s="9" t="n">
        <x:f>ABS(AN133)</x:f>
        <x:v>10.697372931686047</x:v>
      </x:c>
      <x:c r="AQ133" s="9" t="n">
        <x:f>IF(OR(Inputs!$C$27=TRUE,Inputs!$C$27="TRUE",Inputs!$C$27=1),Inputs!$C$46/Inputs!$C$12,0)</x:f>
        <x:v>42.13483146067416</x:v>
      </x:c>
      <x:c r="AR133" s="9" t="n">
        <x:f>AC133-AQ133</x:f>
        <x:v>287.5796520465257</x:v>
      </x:c>
      <x:c r="AS133" s="9" t="n">
        <x:f>AC133+AQ133</x:f>
        <x:v>371.849314967874</x:v>
      </x:c>
    </x:row>
    <x:row r="134">
      <x:c r="A134" s="9" t="n">
        <x:f>Inputs!$C$7+132*(Inputs!$C$8-Inputs!$C$7)/240</x:f>
        <x:v>6</x:v>
      </x:c>
      <x:c r="B134" s="9" t="n">
        <x:f>Inputs!$C$5+Inputs!$C$9*(A134/Inputs!$C$10)^2</x:f>
        <x:v>400.04</x:v>
      </x:c>
      <x:c r="C134" s="9" t="n">
        <x:f>B134</x:f>
        <x:v>400.04</x:v>
      </x:c>
      <x:c r="D134" s="9" t="n">
        <x:f>SQRT((Inputs!$C$52+B134)^2+Inputs!$C$52^2-2*(Inputs!$C$52+B134)*Inputs!$C$52*COS(SQRT(A134^2+Inputs!$C$6^2)/Inputs!$C$52))</x:f>
        <x:v>401.076551385038</x:v>
      </x:c>
      <x:c r="E134" s="9" t="n">
        <x:f>(D134-C134)*1000</x:f>
        <x:v>1036.551385037967</x:v>
      </x:c>
      <x:c r="F134" s="9" t="n">
        <x:f>E134/Inputs!$C$12</x:f>
        <x:v>582.3322387853748</x:v>
      </x:c>
      <x:c r="G134" s="9" t="n">
        <x:f>2*E134/Inputs!$C$21*1000000</x:f>
        <x:v>6.915126497531617</x:v>
      </x:c>
      <x:c r="H134" s="9" t="n">
        <x:f>SQRT(A134^2+Inputs!$C$6^2)</x:f>
        <x:v>25.709920264364882</x:v>
      </x:c>
      <x:c r="I134" s="9" t="n">
        <x:f>DEGREES(ATAN(H134/B134))</x:f>
        <x:v>3.6772492746351846</x:v>
      </x:c>
      <x:c r="J134" s="9" t="n">
        <x:f>DEGREES((2*PI()/Inputs!$C$13)*Inputs!$C$15*SIN(RADIANS(I134)))</x:f>
        <x:v>23.0889800761876</x:v>
      </x:c>
      <x:c r="K134" s="9" t="n">
        <x:f>(C134/D134)^4</x:f>
        <x:v>0.9897023152331168</x:v>
      </x:c>
      <x:c r="L134" s="9" t="n">
        <x:f>10*LOG10(K134)</x:f>
        <x:v>-0.0449541377885459</x:v>
      </x:c>
      <x:c r="M134" s="9" t="n">
        <x:f>2*(Inputs!$C$9/(Inputs!$C$10^2))*A134</x:f>
        <x:v>0.013333333333333332</x:v>
      </x:c>
      <x:c r="N134" s="9" t="n">
        <x:f>M134*Inputs!$C$11</x:f>
        <x:v>0.05333333333333333</x:v>
      </x:c>
      <x:c r="O134" s="9" t="n">
        <x:f>1000*(D135-D133)/(A135-A133)*Inputs!$C$11</x:f>
        <x:v>128.3960383966587</x:v>
      </x:c>
      <x:c r="P134" s="9" t="n">
        <x:f>-2*O134/Inputs!$C$13</x:f>
        <x:v>-51.35841535866348</x:v>
      </x:c>
      <x:c r="Q134" s="9" t="n">
        <x:f>-2*O134/Inputs!$C$14</x:f>
        <x:v>-7.711473777577099</x:v>
      </x:c>
      <x:c r="R134" s="9" t="n">
        <x:f>F134-Inputs!$C$16/2</x:f>
        <x:v>567.3322387853748</x:v>
      </x:c>
      <x:c r="S134" s="9" t="n">
        <x:f>F134+Inputs!$C$16/2</x:f>
        <x:v>597.3322387853748</x:v>
      </x:c>
      <x:c r="T134" s="9" t="n">
        <x:f>F134-Inputs!$C$17/2</x:f>
        <x:v>432.3322387853748</x:v>
      </x:c>
      <x:c r="U134" s="9" t="n">
        <x:f>F134+Inputs!$C$17/2</x:f>
        <x:v>732.3322387853748</x:v>
      </x:c>
      <x:c r="V134" s="9" t="n">
        <x:f>ABS(P134)</x:f>
        <x:v>51.35841535866348</x:v>
      </x:c>
      <x:c r="W134" s="9" t="n">
        <x:f>ABS(Q134)</x:f>
        <x:v>7.711473777577099</x:v>
      </x:c>
      <x:c r="X134" s="9"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x:f>
        <x:v>70.34255347941284</x:v>
      </x:c>
      <x:c r="Y134" s="9"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x:f>
        <x:v>533.6920620973987</x:v>
      </x:c>
      <x:c r="Z134" s="9" t="n">
        <x:f>B134-X134/1000</x:f>
        <x:v>399.9696574465206</x:v>
      </x:c>
      <x:c r="AA134" s="9" t="n">
        <x:f>SQRT((Inputs!$C$52+B134)^2+(Inputs!$C$52+Y134/1000)^2-2*(Inputs!$C$52+B134)*(Inputs!$C$52+Y134/1000)*COS(SQRT(A134^2+Inputs!$C$6^2)/Inputs!$C$52))</x:f>
        <x:v>400.5445948896894</x:v>
      </x:c>
      <x:c r="AB134" s="9" t="n">
        <x:f>(AA134-Z134)*1000</x:f>
        <x:v>574.9374431687784</x:v>
      </x:c>
      <x:c r="AC134" s="9" t="n">
        <x:f>AB134/Inputs!$C$12</x:f>
        <x:v>322.9985635779654</x:v>
      </x:c>
      <x:c r="AD134" s="9" t="n">
        <x:f>2*AB134/Inputs!$C$21*1000000</x:f>
        <x:v>3.83556976052265</x:v>
      </x:c>
      <x:c r="AE134" s="9" t="n">
        <x:f>DEGREES(ATAN(H134/(B134-Y134/1000)))</x:f>
        <x:v>3.6821481290433065</x:v>
      </x:c>
      <x:c r="AF134" s="9" t="n">
        <x:f>DEGREES((2*PI()/Inputs!$C$13)*Inputs!$C$15*SIN(RADIANS(AE134)))</x:f>
        <x:v>23.11969702997064</x:v>
      </x:c>
      <x:c r="AG134" s="9" t="n">
        <x:f>(Z134/AA134)^4</x:f>
        <x:v>0.9942707928554027</x:v>
      </x:c>
      <x:c r="AH134" s="9" t="n">
        <x:f>10*LOG10(AG134)</x:f>
        <x:v>-0.0249531799052044</x:v>
      </x:c>
      <x:c r="AI134" s="9" t="n">
        <x:f>AC134-F134</x:f>
        <x:v>-259.3336752074094</x:v>
      </x:c>
      <x:c r="AJ134" s="9" t="n">
        <x:f>AD134-G134</x:f>
        <x:v>-3.0795567370089665</x:v>
      </x:c>
      <x:c r="AK134" s="9" t="n">
        <x:f>Y134-X134</x:f>
        <x:v>463.3495086179858</x:v>
      </x:c>
      <x:c r="AL134" s="9" t="n">
        <x:f>1000*(AA135-AA133)/(A135-A133)*Inputs!$C$11</x:f>
        <x:v>188.70375494384461</x:v>
      </x:c>
      <x:c r="AM134" s="9" t="n">
        <x:f>-2*AL134/Inputs!$C$13</x:f>
        <x:v>-75.48150197753785</x:v>
      </x:c>
      <x:c r="AN134" s="9" t="n">
        <x:f>-2*AL134/Inputs!$C$14</x:f>
        <x:v>-11.333558855486164</x:v>
      </x:c>
      <x:c r="AO134" s="9" t="n">
        <x:f>ABS(AM134)</x:f>
        <x:v>75.48150197753785</x:v>
      </x:c>
      <x:c r="AP134" s="9" t="n">
        <x:f>ABS(AN134)</x:f>
        <x:v>11.333558855486164</x:v>
      </x:c>
      <x:c r="AQ134" s="9" t="n">
        <x:f>IF(OR(Inputs!$C$27=TRUE,Inputs!$C$27="TRUE",Inputs!$C$27=1),Inputs!$C$46/Inputs!$C$12,0)</x:f>
        <x:v>42.13483146067416</x:v>
      </x:c>
      <x:c r="AR134" s="9" t="n">
        <x:f>AC134-AQ134</x:f>
        <x:v>280.86373211729125</x:v>
      </x:c>
      <x:c r="AS134" s="9" t="n">
        <x:f>AC134+AQ134</x:f>
        <x:v>365.13339503863955</x:v>
      </x:c>
    </x:row>
    <x:row r="135">
      <x:c r="A135" s="9" t="n">
        <x:f>Inputs!$C$7+133*(Inputs!$C$8-Inputs!$C$7)/240</x:f>
        <x:v>6.5</x:v>
      </x:c>
      <x:c r="B135" s="9" t="n">
        <x:f>Inputs!$C$5+Inputs!$C$9*(A135/Inputs!$C$10)^2</x:f>
        <x:v>400.0469444444444</x:v>
      </x:c>
      <x:c r="C135" s="9" t="n">
        <x:f>B135</x:f>
        <x:v>400.0469444444444</x:v>
      </x:c>
      <x:c r="D135" s="9" t="n">
        <x:f>SQRT((Inputs!$C$52+B135)^2+Inputs!$C$52^2-2*(Inputs!$C$52+B135)*Inputs!$C$52*COS(SQRT(A135^2+Inputs!$C$6^2)/Inputs!$C$52))</x:f>
        <x:v>401.0932693839189</x:v>
      </x:c>
      <x:c r="E135" s="9" t="n">
        <x:f>(D135-C135)*1000</x:f>
        <x:v>1046.3249394744594</x:v>
      </x:c>
      <x:c r="F135" s="9" t="n">
        <x:f>E135/Inputs!$C$12</x:f>
        <x:v>587.8229997047524</x:v>
      </x:c>
      <x:c r="G135" s="9" t="n">
        <x:f>2*E135/Inputs!$C$21*1000000</x:f>
        <x:v>6.980328634381184</x:v>
      </x:c>
      <x:c r="H135" s="9" t="n">
        <x:f>SQRT(A135^2+Inputs!$C$6^2)</x:f>
        <x:v>25.83118270617898</x:v>
      </x:c>
      <x:c r="I135" s="9" t="n">
        <x:f>DEGREES(ATAN(H135/B135))</x:f>
        <x:v>3.694481369413298</x:v>
      </x:c>
      <x:c r="J135" s="9" t="n">
        <x:f>DEGREES((2*PI()/Inputs!$C$13)*Inputs!$C$15*SIN(RADIANS(I135)))</x:f>
        <x:v>23.19702855979598</x:v>
      </x:c>
      <x:c r="K135" s="9" t="n">
        <x:f>(C135/D135)^4</x:f>
        <x:v>0.9896060309087035</x:v>
      </x:c>
      <x:c r="L135" s="9" t="n">
        <x:f>10*LOG10(K135)</x:f>
        <x:v>-0.0453766667078119</x:v>
      </x:c>
      <x:c r="M135" s="9" t="n">
        <x:f>2*(Inputs!$C$9/(Inputs!$C$10^2))*A135</x:f>
        <x:v>0.014444444444444444</x:v>
      </x:c>
      <x:c r="N135" s="9" t="n">
        <x:f>M135*Inputs!$C$11</x:f>
        <x:v>0.057777777777777775</x:v>
      </x:c>
      <x:c r="O135" s="9" t="n">
        <x:f>1000*(D136-D134)/(A136-A134)*Inputs!$C$11</x:f>
        <x:v>139.0914529733891</x:v>
      </x:c>
      <x:c r="P135" s="9" t="n">
        <x:f>-2*O135/Inputs!$C$13</x:f>
        <x:v>-55.63658118935564</x:v>
      </x:c>
      <x:c r="Q135" s="9" t="n">
        <x:f>-2*O135/Inputs!$C$14</x:f>
        <x:v>-8.353841019422768</x:v>
      </x:c>
      <x:c r="R135" s="9" t="n">
        <x:f>F135-Inputs!$C$16/2</x:f>
        <x:v>572.8229997047524</x:v>
      </x:c>
      <x:c r="S135" s="9" t="n">
        <x:f>F135+Inputs!$C$16/2</x:f>
        <x:v>602.8229997047524</x:v>
      </x:c>
      <x:c r="T135" s="9" t="n">
        <x:f>F135-Inputs!$C$17/2</x:f>
        <x:v>437.8229997047524</x:v>
      </x:c>
      <x:c r="U135" s="9" t="n">
        <x:f>F135+Inputs!$C$17/2</x:f>
        <x:v>737.8229997047524</x:v>
      </x:c>
      <x:c r="V135" s="9" t="n">
        <x:f>ABS(P135)</x:f>
        <x:v>55.63658118935564</x:v>
      </x:c>
      <x:c r="W135" s="9" t="n">
        <x:f>ABS(Q135)</x:f>
        <x:v>8.353841019422768</x:v>
      </x:c>
      <x:c r="X135" s="9"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x:f>
        <x:v>77.64795080795966</x:v>
      </x:c>
      <x:c r="Y135" s="9"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x:f>
        <x:v>524.4263848132822</x:v>
      </x:c>
      <x:c r="Z135" s="9" t="n">
        <x:f>B135-X135/1000</x:f>
        <x:v>399.9692964936365</x:v>
      </x:c>
      <x:c r="AA135" s="9" t="n">
        <x:f>SQRT((Inputs!$C$52+B135)^2+(Inputs!$C$52+Y135/1000)^2-2*(Inputs!$C$52+B135)*(Inputs!$C$52+Y135/1000)*COS(SQRT(A135^2+Inputs!$C$6^2)/Inputs!$C$52))</x:f>
        <x:v>400.57056441301216</x:v>
      </x:c>
      <x:c r="AB135" s="9" t="n">
        <x:f>(AA135-Z135)*1000</x:f>
        <x:v>601.2679193756867</x:v>
      </x:c>
      <x:c r="AC135" s="9" t="n">
        <x:f>AB135/Inputs!$C$12</x:f>
        <x:v>337.790965941397</x:v>
      </x:c>
      <x:c r="AD135" s="9" t="n">
        <x:f>2*AB135/Inputs!$C$21*1000000</x:f>
        <x:v>4.0112277899645274</x:v>
      </x:c>
      <x:c r="AE135" s="9" t="n">
        <x:f>DEGREES(ATAN(H135/(B135-Y135/1000)))</x:f>
        <x:v>3.6993174097559924</x:v>
      </x:c>
      <x:c r="AF135" s="9" t="n">
        <x:f>DEGREES((2*PI()/Inputs!$C$13)*Inputs!$C$15*SIN(RADIANS(AE135)))</x:f>
        <x:v>23.22735106800616</x:v>
      </x:c>
      <x:c r="AG135" s="9" t="n">
        <x:f>(Z135/AA135)^4</x:f>
        <x:v>0.9940093901424104</x:v>
      </x:c>
      <x:c r="AH135" s="9" t="n">
        <x:f>10*LOG10(AG135)</x:f>
        <x:v>-0.0260951291881268</x:v>
      </x:c>
      <x:c r="AI135" s="9" t="n">
        <x:f>AC135-F135</x:f>
        <x:v>-250.0320337633554</x:v>
      </x:c>
      <x:c r="AJ135" s="9" t="n">
        <x:f>AD135-G135</x:f>
        <x:v>-2.9691008444166567</x:v>
      </x:c>
      <x:c r="AK135" s="9" t="n">
        <x:f>Y135-X135</x:f>
        <x:v>446.77843400532254</x:v>
      </x:c>
      <x:c r="AL135" s="9" t="n">
        <x:f>1000*(AA136-AA134)/(A136-A134)*Inputs!$C$11</x:f>
        <x:v>136.37350204294307</x:v>
      </x:c>
      <x:c r="AM135" s="9" t="n">
        <x:f>-2*AL135/Inputs!$C$13</x:f>
        <x:v>-54.54940081717723</x:v>
      </x:c>
      <x:c r="AN135" s="9" t="n">
        <x:f>-2*AL135/Inputs!$C$14</x:f>
        <x:v>-8.190600723299886</x:v>
      </x:c>
      <x:c r="AO135" s="9" t="n">
        <x:f>ABS(AM135)</x:f>
        <x:v>54.54940081717723</x:v>
      </x:c>
      <x:c r="AP135" s="9" t="n">
        <x:f>ABS(AN135)</x:f>
        <x:v>8.190600723299886</x:v>
      </x:c>
      <x:c r="AQ135" s="9" t="n">
        <x:f>IF(OR(Inputs!$C$27=TRUE,Inputs!$C$27="TRUE",Inputs!$C$27=1),Inputs!$C$46/Inputs!$C$12,0)</x:f>
        <x:v>42.13483146067416</x:v>
      </x:c>
      <x:c r="AR135" s="9" t="n">
        <x:f>AC135-AQ135</x:f>
        <x:v>295.65613448072287</x:v>
      </x:c>
      <x:c r="AS135" s="9" t="n">
        <x:f>AC135+AQ135</x:f>
        <x:v>379.92579740207117</x:v>
      </x:c>
    </x:row>
    <x:row r="136">
      <x:c r="A136" s="9" t="n">
        <x:f>Inputs!$C$7+134*(Inputs!$C$8-Inputs!$C$7)/240</x:f>
        <x:v>7</x:v>
      </x:c>
      <x:c r="B136" s="9" t="n">
        <x:f>Inputs!$C$5+Inputs!$C$9*(A136/Inputs!$C$10)^2</x:f>
        <x:v>400.05444444444447</x:v>
      </x:c>
      <x:c r="C136" s="9" t="n">
        <x:f>B136</x:f>
        <x:v>400.05444444444447</x:v>
      </x:c>
      <x:c r="D136" s="9" t="n">
        <x:f>SQRT((Inputs!$C$52+B136)^2+Inputs!$C$52^2-2*(Inputs!$C$52+B136)*Inputs!$C$52*COS(SQRT(A136^2+Inputs!$C$6^2)/Inputs!$C$52))</x:f>
        <x:v>401.11132424828133</x:v>
      </x:c>
      <x:c r="E136" s="9" t="n">
        <x:f>(D136-C136)*1000</x:f>
        <x:v>1056.879803836864</x:v>
      </x:c>
      <x:c r="F136" s="9" t="n">
        <x:f>E136/Inputs!$C$12</x:f>
        <x:v>593.7526987847551</x:v>
      </x:c>
      <x:c r="G136" s="9" t="n">
        <x:f>2*E136/Inputs!$C$21*1000000</x:f>
        <x:v>7.05074311000088</x:v>
      </x:c>
      <x:c r="H136" s="9" t="n">
        <x:f>SQRT(A136^2+Inputs!$C$6^2)</x:f>
        <x:v>25.96150997149434</x:v>
      </x:c>
      <x:c r="I136" s="9" t="n">
        <x:f>DEGREES(ATAN(H136/B136))</x:f>
        <x:v>3.7129998776451707</x:v>
      </x:c>
      <x:c r="J136" s="9" t="n">
        <x:f>DEGREES((2*PI()/Inputs!$C$13)*Inputs!$C$15*SIN(RADIANS(I136)))</x:f>
        <x:v>23.31314075897189</x:v>
      </x:c>
      <x:c r="K136" s="9" t="n">
        <x:f>(C136/D136)^4</x:f>
        <x:v>0.9895020664115125</x:v>
      </x:c>
      <x:c r="L136" s="9" t="n">
        <x:f>10*LOG10(K136)</x:f>
        <x:v>-0.045832945043963</x:v>
      </x:c>
      <x:c r="M136" s="9" t="n">
        <x:f>2*(Inputs!$C$9/(Inputs!$C$10^2))*A136</x:f>
        <x:v>0.015555555555555555</x:v>
      </x:c>
      <x:c r="N136" s="9" t="n">
        <x:f>M136*Inputs!$C$11</x:f>
        <x:v>0.06222222222222222</x:v>
      </x:c>
      <x:c r="O136" s="9" t="n">
        <x:f>1000*(D137-D135)/(A137-A135)*Inputs!$C$11</x:f>
        <x:v>149.78584691539254</x:v>
      </x:c>
      <x:c r="P136" s="9" t="n">
        <x:f>-2*O136/Inputs!$C$13</x:f>
        <x:v>-59.914338766157016</x:v>
      </x:c>
      <x:c r="Q136" s="9" t="n">
        <x:f>-2*O136/Inputs!$C$14</x:f>
        <x:v>-8.996146961885438</x:v>
      </x:c>
      <x:c r="R136" s="9" t="n">
        <x:f>F136-Inputs!$C$16/2</x:f>
        <x:v>578.7526987847551</x:v>
      </x:c>
      <x:c r="S136" s="9" t="n">
        <x:f>F136+Inputs!$C$16/2</x:f>
        <x:v>608.7526987847551</x:v>
      </x:c>
      <x:c r="T136" s="9" t="n">
        <x:f>F136-Inputs!$C$17/2</x:f>
        <x:v>443.7526987847551</x:v>
      </x:c>
      <x:c r="U136" s="9" t="n">
        <x:f>F136+Inputs!$C$17/2</x:f>
        <x:v>743.7526987847551</x:v>
      </x:c>
      <x:c r="V136" s="9" t="n">
        <x:f>ABS(P136)</x:f>
        <x:v>59.914338766157016</x:v>
      </x:c>
      <x:c r="W136" s="9" t="n">
        <x:f>ABS(Q136)</x:f>
        <x:v>8.996146961885438</x:v>
      </x:c>
      <x:c r="X136" s="9"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x:f>
        <x:v>66.91550989906084</x:v>
      </x:c>
      <x:c r="Y136" s="9"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x:f>
        <x:v>534.4078318791427</x:v>
      </x:c>
      <x:c r="Z136" s="9" t="n">
        <x:f>B136-X136/1000</x:f>
        <x:v>399.9875289345454</x:v>
      </x:c>
      <x:c r="AA136" s="9" t="n">
        <x:f>SQRT((Inputs!$C$52+B136)^2+(Inputs!$C$52+Y136/1000)^2-2*(Inputs!$C$52+B136)*(Inputs!$C$52+Y136/1000)*COS(SQRT(A136^2+Inputs!$C$6^2)/Inputs!$C$52))</x:f>
        <x:v>400.5786882652001</x:v>
      </x:c>
      <x:c r="AB136" s="9" t="n">
        <x:f>(AA136-Z136)*1000</x:f>
        <x:v>591.1593306547047</x:v>
      </x:c>
      <x:c r="AC136" s="9" t="n">
        <x:f>AB136/Inputs!$C$12</x:f>
        <x:v>332.11198351387907</x:v>
      </x:c>
      <x:c r="AD136" s="9" t="n">
        <x:f>2*AB136/Inputs!$C$21*1000000</x:f>
        <x:v>3.943790544955635</x:v>
      </x:c>
      <x:c r="AE136" s="9" t="n">
        <x:f>DEGREES(ATAN(H136/(B136-Y136/1000)))</x:f>
        <x:v>3.717952556476865</x:v>
      </x:c>
      <x:c r="AF136" s="9" t="n">
        <x:f>DEGREES((2*PI()/Inputs!$C$13)*Inputs!$C$15*SIN(RADIANS(AE136)))</x:f>
        <x:v>23.34419395123235</x:v>
      </x:c>
      <x:c r="AG136" s="9" t="n">
        <x:f>(Z136/AA136)^4</x:f>
        <x:v>0.9941100011752353</x:v>
      </x:c>
      <x:c r="AH136" s="9" t="n">
        <x:f>10*LOG10(AG136)</x:f>
        <x:v>-0.0256555699081102</x:v>
      </x:c>
      <x:c r="AI136" s="9" t="n">
        <x:f>AC136-F136</x:f>
        <x:v>-261.64071527087606</x:v>
      </x:c>
      <x:c r="AJ136" s="9" t="n">
        <x:f>AD136-G136</x:f>
        <x:v>-3.106952565045245</x:v>
      </x:c>
      <x:c r="AK136" s="9" t="n">
        <x:f>Y136-X136</x:f>
        <x:v>467.49232198008184</x:v>
      </x:c>
      <x:c r="AL136" s="9" t="n">
        <x:f>1000*(AA137-AA135)/(A137-A135)*Inputs!$C$11</x:f>
        <x:v>233.41861818516918</x:v>
      </x:c>
      <x:c r="AM136" s="9" t="n">
        <x:f>-2*AL136/Inputs!$C$13</x:f>
        <x:v>-93.36744727406767</x:v>
      </x:c>
      <x:c r="AN136" s="9" t="n">
        <x:f>-2*AL136/Inputs!$C$14</x:f>
        <x:v>-14.019136227337489</x:v>
      </x:c>
      <x:c r="AO136" s="9" t="n">
        <x:f>ABS(AM136)</x:f>
        <x:v>93.36744727406767</x:v>
      </x:c>
      <x:c r="AP136" s="9" t="n">
        <x:f>ABS(AN136)</x:f>
        <x:v>14.019136227337489</x:v>
      </x:c>
      <x:c r="AQ136" s="9" t="n">
        <x:f>IF(OR(Inputs!$C$27=TRUE,Inputs!$C$27="TRUE",Inputs!$C$27=1),Inputs!$C$46/Inputs!$C$12,0)</x:f>
        <x:v>42.13483146067416</x:v>
      </x:c>
      <x:c r="AR136" s="9" t="n">
        <x:f>AC136-AQ136</x:f>
        <x:v>289.9771520532049</x:v>
      </x:c>
      <x:c r="AS136" s="9" t="n">
        <x:f>AC136+AQ136</x:f>
        <x:v>374.2468149745532</x:v>
      </x:c>
    </x:row>
    <x:row r="137">
      <x:c r="A137" s="9" t="n">
        <x:f>Inputs!$C$7+135*(Inputs!$C$8-Inputs!$C$7)/240</x:f>
        <x:v>7.5</x:v>
      </x:c>
      <x:c r="B137" s="9" t="n">
        <x:f>Inputs!$C$5+Inputs!$C$9*(A137/Inputs!$C$10)^2</x:f>
        <x:v>400.0625</x:v>
      </x:c>
      <x:c r="C137" s="9" t="n">
        <x:f>B137</x:f>
        <x:v>400.0625</x:v>
      </x:c>
      <x:c r="D137" s="9" t="n">
        <x:f>SQRT((Inputs!$C$52+B137)^2+Inputs!$C$52^2-2*(Inputs!$C$52+B137)*Inputs!$C$52*COS(SQRT(A137^2+Inputs!$C$6^2)/Inputs!$C$52))</x:f>
        <x:v>401.1307158456477</x:v>
      </x:c>
      <x:c r="E137" s="9" t="n">
        <x:f>(D137-C137)*1000</x:f>
        <x:v>1068.2158456477282</x:v>
      </x:c>
      <x:c r="F137" s="9" t="n">
        <x:f>E137/Inputs!$C$12</x:f>
        <x:v>600.1212615998473</x:v>
      </x:c>
      <x:c r="G137" s="9" t="n">
        <x:f>2*E137/Inputs!$C$21*1000000</x:f>
        <x:v>7.126369040596266</x:v>
      </x:c>
      <x:c r="H137" s="9" t="n">
        <x:f>SQRT(A137^2+Inputs!$C$6^2)</x:f>
        <x:v>26.100766272276374</x:v>
      </x:c>
      <x:c r="I137" s="9" t="n">
        <x:f>DEGREES(ATAN(H137/B137))</x:f>
        <x:v>3.7327851196426796</x:v>
      </x:c>
      <x:c r="J137" s="9" t="n">
        <x:f>DEGREES((2*PI()/Inputs!$C$13)*Inputs!$C$15*SIN(RADIANS(I137)))</x:f>
        <x:v>23.437192766426364</x:v>
      </x:c>
      <x:c r="K137" s="9" t="n">
        <x:f>(C137/D137)^4</x:f>
        <x:v>0.9893904269426156</x:v>
      </x:c>
      <x:c r="L137" s="9" t="n">
        <x:f>10*LOG10(K137)</x:f>
        <x:v>-0.0463229606008344</x:v>
      </x:c>
      <x:c r="M137" s="9" t="n">
        <x:f>2*(Inputs!$C$9/(Inputs!$C$10^2))*A137</x:f>
        <x:v>0.016666666666666666</x:v>
      </x:c>
      <x:c r="N137" s="9" t="n">
        <x:f>M137*Inputs!$C$11</x:f>
        <x:v>0.06666666666666667</x:v>
      </x:c>
      <x:c r="O137" s="9" t="n">
        <x:f>1000*(D138-D136)/(A138-A136)*Inputs!$C$11</x:f>
        <x:v>160.4791419626963</x:v>
      </x:c>
      <x:c r="P137" s="9" t="n">
        <x:f>-2*O137/Inputs!$C$13</x:f>
        <x:v>-64.19165678507852</x:v>
      </x:c>
      <x:c r="Q137" s="9" t="n">
        <x:f>-2*O137/Inputs!$C$14</x:f>
        <x:v>-9.638386904666445</x:v>
      </x:c>
      <x:c r="R137" s="9" t="n">
        <x:f>F137-Inputs!$C$16/2</x:f>
        <x:v>585.1212615998473</x:v>
      </x:c>
      <x:c r="S137" s="9" t="n">
        <x:f>F137+Inputs!$C$16/2</x:f>
        <x:v>615.1212615998473</x:v>
      </x:c>
      <x:c r="T137" s="9" t="n">
        <x:f>F137-Inputs!$C$17/2</x:f>
        <x:v>450.12126159984734</x:v>
      </x:c>
      <x:c r="U137" s="9" t="n">
        <x:f>F137+Inputs!$C$17/2</x:f>
        <x:v>750.1212615998473</x:v>
      </x:c>
      <x:c r="V137" s="9" t="n">
        <x:f>ABS(P137)</x:f>
        <x:v>64.19165678507852</x:v>
      </x:c>
      <x:c r="W137" s="9" t="n">
        <x:f>ABS(Q137)</x:f>
        <x:v>9.638386904666445</x:v>
      </x:c>
      <x:c r="X137" s="9"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x:f>
        <x:v>56.202037436945574</x:v>
      </x:c>
      <x:c r="Y137" s="9"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x:f>
        <x:v>503.48380224840304</x:v>
      </x:c>
      <x:c r="Z137" s="9" t="n">
        <x:f>B137-X137/1000</x:f>
        <x:v>400.00629796256305</x:v>
      </x:c>
      <x:c r="AA137" s="9" t="n">
        <x:f>SQRT((Inputs!$C$52+B137)^2+(Inputs!$C$52+Y137/1000)^2-2*(Inputs!$C$52+B137)*(Inputs!$C$52+Y137/1000)*COS(SQRT(A137^2+Inputs!$C$6^2)/Inputs!$C$52))</x:f>
        <x:v>400.62891906755846</x:v>
      </x:c>
      <x:c r="AB137" s="9" t="n">
        <x:f>(AA137-Z137)*1000</x:f>
        <x:v>622.6211049954031</x:v>
      </x:c>
      <x:c r="AC137" s="9" t="n">
        <x:f>AB137/Inputs!$C$12</x:f>
        <x:v>349.7871376378669</x:v>
      </x:c>
      <x:c r="AD137" s="9" t="n">
        <x:f>2*AB137/Inputs!$C$21*1000000</x:f>
        <x:v>4.153680910781305</x:v>
      </x:c>
      <x:c r="AE137" s="9" t="n">
        <x:f>DEGREES(ATAN(H137/(B137-Y137/1000)))</x:f>
        <x:v>3.7374754739406755</x:v>
      </x:c>
      <x:c r="AF137" s="9" t="n">
        <x:f>DEGREES((2*PI()/Inputs!$C$13)*Inputs!$C$15*SIN(RADIANS(AE137)))</x:f>
        <x:v>23.466600532547403</x:v>
      </x:c>
      <x:c r="AG137" s="9" t="n">
        <x:f>(Z137/AA137)^4</x:f>
        <x:v>0.9937980395641197</x:v>
      </x:c>
      <x:c r="AH137" s="9" t="n">
        <x:f>10*LOG10(AG137)</x:f>
        <x:v>-0.027018643094684002</x:v>
      </x:c>
      <x:c r="AI137" s="9" t="n">
        <x:f>AC137-F137</x:f>
        <x:v>-250.33412396198042</x:v>
      </x:c>
      <x:c r="AJ137" s="9" t="n">
        <x:f>AD137-G137</x:f>
        <x:v>-2.9726881298149612</x:v>
      </x:c>
      <x:c r="AK137" s="9" t="n">
        <x:f>Y137-X137</x:f>
        <x:v>447.2817648114575</x:v>
      </x:c>
      <x:c r="AL137" s="9" t="n">
        <x:f>1000*(AA138-AA136)/(A138-A136)*Inputs!$C$11</x:f>
        <x:v>308.8566818282743</x:v>
      </x:c>
      <x:c r="AM137" s="9" t="n">
        <x:f>-2*AL137/Inputs!$C$13</x:f>
        <x:v>-123.54267273130972</x:v>
      </x:c>
      <x:c r="AN137" s="9" t="n">
        <x:f>-2*AL137/Inputs!$C$14</x:f>
        <x:v>-18.54995086055702</x:v>
      </x:c>
      <x:c r="AO137" s="9" t="n">
        <x:f>ABS(AM137)</x:f>
        <x:v>123.54267273130972</x:v>
      </x:c>
      <x:c r="AP137" s="9" t="n">
        <x:f>ABS(AN137)</x:f>
        <x:v>18.54995086055702</x:v>
      </x:c>
      <x:c r="AQ137" s="9" t="n">
        <x:f>IF(OR(Inputs!$C$27=TRUE,Inputs!$C$27="TRUE",Inputs!$C$27=1),Inputs!$C$46/Inputs!$C$12,0)</x:f>
        <x:v>42.13483146067416</x:v>
      </x:c>
      <x:c r="AR137" s="9" t="n">
        <x:f>AC137-AQ137</x:f>
        <x:v>307.65230617719277</x:v>
      </x:c>
      <x:c r="AS137" s="9" t="n">
        <x:f>AC137+AQ137</x:f>
        <x:v>391.92196909854107</x:v>
      </x:c>
    </x:row>
    <x:row r="138">
      <x:c r="A138" s="9" t="n">
        <x:f>Inputs!$C$7+136*(Inputs!$C$8-Inputs!$C$7)/240</x:f>
        <x:v>8</x:v>
      </x:c>
      <x:c r="B138" s="9" t="n">
        <x:f>Inputs!$C$5+Inputs!$C$9*(A138/Inputs!$C$10)^2</x:f>
        <x:v>400.0711111111111</x:v>
      </x:c>
      <x:c r="C138" s="9" t="n">
        <x:f>B138</x:f>
        <x:v>400.0711111111111</x:v>
      </x:c>
      <x:c r="D138" s="9" t="n">
        <x:f>SQRT((Inputs!$C$52+B138)^2+Inputs!$C$52^2-2*(Inputs!$C$52+B138)*Inputs!$C$52*COS(SQRT(A138^2+Inputs!$C$6^2)/Inputs!$C$52))</x:f>
        <x:v>401.151444033772</x:v>
      </x:c>
      <x:c r="E138" s="9" t="n">
        <x:f>(D138-C138)*1000</x:f>
        <x:v>1080.3329226608867</x:v>
      </x:c>
      <x:c r="F138" s="9" t="n">
        <x:f>E138/Inputs!$C$12</x:f>
        <x:v>606.9286082364532</x:v>
      </x:c>
      <x:c r="G138" s="9" t="n">
        <x:f>2*E138/Inputs!$C$21*1000000</x:f>
        <x:v>7.207205477203076</x:v>
      </x:c>
      <x:c r="H138" s="9" t="n">
        <x:f>SQRT(A138^2+Inputs!$C$6^2)</x:f>
        <x:v>26.248809496813376</x:v>
      </x:c>
      <x:c r="I138" s="9" t="n">
        <x:f>DEGREES(ATAN(H138/B138))</x:f>
        <x:v>3.75381649570681</x:v>
      </x:c>
      <x:c r="J138" s="9" t="n">
        <x:f>DEGREES((2*PI()/Inputs!$C$13)*Inputs!$C$15*SIN(RADIANS(I138)))</x:f>
        <x:v>23.56905487786457</x:v>
      </x:c>
      <x:c r="K138" s="9" t="n">
        <x:f>(C138/D138)^4</x:f>
        <x:v>0.989271118085209</x:v>
      </x:c>
      <x:c r="L138" s="9" t="n">
        <x:f>10*LOG10(K138)</x:f>
        <x:v>-0.0468467002834181</x:v>
      </x:c>
      <x:c r="M138" s="9" t="n">
        <x:f>2*(Inputs!$C$9/(Inputs!$C$10^2))*A138</x:f>
        <x:v>0.017777777777777778</x:v>
      </x:c>
      <x:c r="N138" s="9" t="n">
        <x:f>M138*Inputs!$C$11</x:f>
        <x:v>0.07111111111111111</x:v>
      </x:c>
      <x:c r="O138" s="9" t="n">
        <x:f>1000*(D139-D137)/(A139-A137)*Inputs!$C$11</x:f>
        <x:v>171.1712599292241</x:v>
      </x:c>
      <x:c r="P138" s="9" t="n">
        <x:f>-2*O138/Inputs!$C$13</x:f>
        <x:v>-68.46850397168964</x:v>
      </x:c>
      <x:c r="Q138" s="9" t="n">
        <x:f>-2*O138/Inputs!$C$14</x:f>
        <x:v>-10.280556151905353</x:v>
      </x:c>
      <x:c r="R138" s="9" t="n">
        <x:f>F138-Inputs!$C$16/2</x:f>
        <x:v>591.9286082364532</x:v>
      </x:c>
      <x:c r="S138" s="9" t="n">
        <x:f>F138+Inputs!$C$16/2</x:f>
        <x:v>621.9286082364532</x:v>
      </x:c>
      <x:c r="T138" s="9" t="n">
        <x:f>F138-Inputs!$C$17/2</x:f>
        <x:v>456.9286082364532</x:v>
      </x:c>
      <x:c r="U138" s="9" t="n">
        <x:f>F138+Inputs!$C$17/2</x:f>
        <x:v>756.9286082364532</x:v>
      </x:c>
      <x:c r="V138" s="9" t="n">
        <x:f>ABS(P138)</x:f>
        <x:v>68.46850397168964</x:v>
      </x:c>
      <x:c r="W138" s="9" t="n">
        <x:f>ABS(Q138)</x:f>
        <x:v>10.280556151905353</x:v>
      </x:c>
      <x:c r="X138" s="9"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x:f>
        <x:v>45.99320506201067</x:v>
      </x:c>
      <x:c r="Y138" s="9"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x:f>
        <x:v>497.2264534493298</x:v>
      </x:c>
      <x:c r="Z138" s="9" t="n">
        <x:f>B138-X138/1000</x:f>
        <x:v>400.0251179060491</x:v>
      </x:c>
      <x:c r="AA138" s="9" t="n">
        <x:f>SQRT((Inputs!$C$52+B138)^2+(Inputs!$C$52+Y138/1000)^2-2*(Inputs!$C$52+B138)*(Inputs!$C$52+Y138/1000)*COS(SQRT(A138^2+Inputs!$C$6^2)/Inputs!$C$52))</x:f>
        <x:v>400.6559024356572</x:v>
      </x:c>
      <x:c r="AB138" s="9" t="n">
        <x:f>(AA138-Z138)*1000</x:f>
        <x:v>630.7845296080927</x:v>
      </x:c>
      <x:c r="AC138" s="9" t="n">
        <x:f>AB138/Inputs!$C$12</x:f>
        <x:v>354.3733312405015</x:v>
      </x:c>
      <x:c r="AD138" s="9" t="n">
        <x:f>2*AB138/Inputs!$C$21*1000000</x:f>
        <x:v>4.208141417674308</x:v>
      </x:c>
      <x:c r="AE138" s="9" t="n">
        <x:f>DEGREES(ATAN(H138/(B138-Y138/1000)))</x:f>
        <x:v>3.7584743334978383</x:v>
      </x:c>
      <x:c r="AF138" s="9" t="n">
        <x:f>DEGREES((2*PI()/Inputs!$C$13)*Inputs!$C$15*SIN(RADIANS(AE138)))</x:f>
        <x:v>23.59825806948263</x:v>
      </x:c>
      <x:c r="AG138" s="9" t="n">
        <x:f>(Z138/AA138)^4</x:f>
        <x:v>0.993717337524663</x:v>
      </x:c>
      <x:c r="AH138" s="9" t="n">
        <x:f>10*LOG10(AG138)</x:f>
        <x:v>-0.0273713291753825</x:v>
      </x:c>
      <x:c r="AI138" s="9" t="n">
        <x:f>AC138-F138</x:f>
        <x:v>-252.55527699595171</x:v>
      </x:c>
      <x:c r="AJ138" s="9" t="n">
        <x:f>AD138-G138</x:f>
        <x:v>-2.9990640595287683</x:v>
      </x:c>
      <x:c r="AK138" s="9" t="n">
        <x:f>Y138-X138</x:f>
        <x:v>451.2332483873192</x:v>
      </x:c>
      <x:c r="AL138" s="9" t="n">
        <x:f>1000*(AA139-AA137)/(A139-A137)*Inputs!$C$11</x:f>
        <x:v>266.5280326054926</x:v>
      </x:c>
      <x:c r="AM138" s="9" t="n">
        <x:f>-2*AL138/Inputs!$C$13</x:f>
        <x:v>-106.61121304219705</x:v>
      </x:c>
      <x:c r="AN138" s="9" t="n">
        <x:f>-2*AL138/Inputs!$C$14</x:f>
        <x:v>-16.007689645975535</x:v>
      </x:c>
      <x:c r="AO138" s="9" t="n">
        <x:f>ABS(AM138)</x:f>
        <x:v>106.61121304219705</x:v>
      </x:c>
      <x:c r="AP138" s="9" t="n">
        <x:f>ABS(AN138)</x:f>
        <x:v>16.007689645975535</x:v>
      </x:c>
      <x:c r="AQ138" s="9" t="n">
        <x:f>IF(OR(Inputs!$C$27=TRUE,Inputs!$C$27="TRUE",Inputs!$C$27=1),Inputs!$C$46/Inputs!$C$12,0)</x:f>
        <x:v>42.13483146067416</x:v>
      </x:c>
      <x:c r="AR138" s="9" t="n">
        <x:f>AC138-AQ138</x:f>
        <x:v>312.23849977982735</x:v>
      </x:c>
      <x:c r="AS138" s="9" t="n">
        <x:f>AC138+AQ138</x:f>
        <x:v>396.50816270117565</x:v>
      </x:c>
    </x:row>
    <x:row r="139">
      <x:c r="A139" s="9" t="n">
        <x:f>Inputs!$C$7+137*(Inputs!$C$8-Inputs!$C$7)/240</x:f>
        <x:v>8.5</x:v>
      </x:c>
      <x:c r="B139" s="9" t="n">
        <x:f>Inputs!$C$5+Inputs!$C$9*(A139/Inputs!$C$10)^2</x:f>
        <x:v>400.0802777777778</x:v>
      </x:c>
      <x:c r="C139" s="9" t="n">
        <x:f>B139</x:f>
        <x:v>400.0802777777778</x:v>
      </x:c>
      <x:c r="D139" s="9" t="n">
        <x:f>SQRT((Inputs!$C$52+B139)^2+Inputs!$C$52^2-2*(Inputs!$C$52+B139)*Inputs!$C$52*COS(SQRT(A139^2+Inputs!$C$6^2)/Inputs!$C$52))</x:f>
        <x:v>401.17350866063003</x:v>
      </x:c>
      <x:c r="E139" s="9" t="n">
        <x:f>(D139-C139)*1000</x:f>
        <x:v>1093.2308828522537</x:v>
      </x:c>
      <x:c r="F139" s="9" t="n">
        <x:f>E139/Inputs!$C$12</x:f>
        <x:v>614.1746532877829</x:v>
      </x:c>
      <x:c r="G139" s="9" t="n">
        <x:f>2*E139/Inputs!$C$21*1000000</x:f>
        <x:v>7.29325140562578</x:v>
      </x:c>
      <x:c r="H139" s="9" t="n">
        <x:f>SQRT(A139^2+Inputs!$C$6^2)</x:f>
        <x:v>26.405491853021786</x:v>
      </x:c>
      <x:c r="I139" s="9" t="n">
        <x:f>DEGREES(ATAN(H139/B139))</x:f>
        <x:v>3.776072578786574</x:v>
      </x:c>
      <x:c r="J139" s="9" t="n">
        <x:f>DEGREES((2*PI()/Inputs!$C$13)*Inputs!$C$15*SIN(RADIANS(I139)))</x:f>
        <x:v>23.708592174666432</x:v>
      </x:c>
      <x:c r="K139" s="9" t="n">
        <x:f>(C139/D139)^4</x:f>
        <x:v>0.989144145804127</x:v>
      </x:c>
      <x:c r="L139" s="9" t="n">
        <x:f>10*LOG10(K139)</x:f>
        <x:v>-0.0474041500980325</x:v>
      </x:c>
      <x:c r="M139" s="9" t="n">
        <x:f>2*(Inputs!$C$9/(Inputs!$C$10^2))*A139</x:f>
        <x:v>0.01888888888888889</x:v>
      </x:c>
      <x:c r="N139" s="9" t="n">
        <x:f>M139*Inputs!$C$11</x:f>
        <x:v>0.07555555555555556</x:v>
      </x:c>
      <x:c r="O139" s="9" t="n">
        <x:f>1000*(D140-D138)/(A140-A138)*Inputs!$C$11</x:f>
        <x:v>181.8621226407231</x:v>
      </x:c>
      <x:c r="P139" s="9" t="n">
        <x:f>-2*O139/Inputs!$C$13</x:f>
        <x:v>-72.74484905628924</x:v>
      </x:c>
      <x:c r="Q139" s="9" t="n">
        <x:f>-2*O139/Inputs!$C$14</x:f>
        <x:v>-10.92265000845184</x:v>
      </x:c>
      <x:c r="R139" s="9" t="n">
        <x:f>F139-Inputs!$C$16/2</x:f>
        <x:v>599.1746532877829</x:v>
      </x:c>
      <x:c r="S139" s="9" t="n">
        <x:f>F139+Inputs!$C$16/2</x:f>
        <x:v>629.1746532877829</x:v>
      </x:c>
      <x:c r="T139" s="9" t="n">
        <x:f>F139-Inputs!$C$17/2</x:f>
        <x:v>464.1746532877829</x:v>
      </x:c>
      <x:c r="U139" s="9" t="n">
        <x:f>F139+Inputs!$C$17/2</x:f>
        <x:v>764.1746532877829</x:v>
      </x:c>
      <x:c r="V139" s="9" t="n">
        <x:f>ABS(P139)</x:f>
        <x:v>72.74484905628924</x:v>
      </x:c>
      <x:c r="W139" s="9" t="n">
        <x:f>ABS(Q139)</x:f>
        <x:v>10.92265000845184</x:v>
      </x:c>
      <x:c r="X139" s="9"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x:f>
        <x:v>35.42120810065494</x:v>
      </x:c>
      <x:c r="Y139" s="9"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x:f>
        <x:v>479.6019721372586</x:v>
      </x:c>
      <x:c r="Z139" s="9" t="n">
        <x:f>B139-X139/1000</x:f>
        <x:v>400.0448565696771</x:v>
      </x:c>
      <x:c r="AA139" s="9" t="n">
        <x:f>SQRT((Inputs!$C$52+B139)^2+(Inputs!$C$52+Y139/1000)^2-2*(Inputs!$C$52+B139)*(Inputs!$C$52+Y139/1000)*COS(SQRT(A139^2+Inputs!$C$6^2)/Inputs!$C$52))</x:f>
        <x:v>400.69555107570983</x:v>
      </x:c>
      <x:c r="AB139" s="9" t="n">
        <x:f>(AA139-Z139)*1000</x:f>
        <x:v>650.6945060327212</x:v>
      </x:c>
      <x:c r="AC139" s="9" t="n">
        <x:f>AB139/Inputs!$C$12</x:f>
        <x:v>365.5587112543377</x:v>
      </x:c>
      <x:c r="AD139" s="9" t="n">
        <x:f>2*AB139/Inputs!$C$21*1000000</x:f>
        <x:v>4.340966483104262</x:v>
      </x:c>
      <x:c r="AE139" s="9" t="n">
        <x:f>DEGREES(ATAN(H139/(B139-Y139/1000)))</x:f>
        <x:v>3.78059149750157</x:v>
      </x:c>
      <x:c r="AF139" s="9" t="n">
        <x:f>DEGREES((2*PI()/Inputs!$C$13)*Inputs!$C$15*SIN(RADIANS(AE139)))</x:f>
        <x:v>23.736923664575894</x:v>
      </x:c>
      <x:c r="AG139" s="9" t="n">
        <x:f>(Z139/AA139)^4</x:f>
        <x:v>0.9935201555081793</x:v>
      </x:c>
      <x:c r="AH139" s="9" t="n">
        <x:f>10*LOG10(AG139)</x:f>
        <x:v>-0.0282331794803479</x:v>
      </x:c>
      <x:c r="AI139" s="9" t="n">
        <x:f>AC139-F139</x:f>
        <x:v>-248.6159420334452</x:v>
      </x:c>
      <x:c r="AJ139" s="9" t="n">
        <x:f>AD139-G139</x:f>
        <x:v>-2.9522849225215175</x:v>
      </x:c>
      <x:c r="AK139" s="9" t="n">
        <x:f>Y139-X139</x:f>
        <x:v>444.18076403660365</x:v>
      </x:c>
      <x:c r="AL139" s="9" t="n">
        <x:f>1000*(AA140-AA138)/(A140-A138)*Inputs!$C$11</x:f>
        <x:v>245.80708797611805</x:v>
      </x:c>
      <x:c r="AM139" s="9" t="n">
        <x:f>-2*AL139/Inputs!$C$13</x:f>
        <x:v>-98.32283519044722</x:v>
      </x:c>
      <x:c r="AN139" s="9" t="n">
        <x:f>-2*AL139/Inputs!$C$14</x:f>
        <x:v>-14.76318846703412</x:v>
      </x:c>
      <x:c r="AO139" s="9" t="n">
        <x:f>ABS(AM139)</x:f>
        <x:v>98.32283519044722</x:v>
      </x:c>
      <x:c r="AP139" s="9" t="n">
        <x:f>ABS(AN139)</x:f>
        <x:v>14.76318846703412</x:v>
      </x:c>
      <x:c r="AQ139" s="9" t="n">
        <x:f>IF(OR(Inputs!$C$27=TRUE,Inputs!$C$27="TRUE",Inputs!$C$27=1),Inputs!$C$46/Inputs!$C$12,0)</x:f>
        <x:v>42.13483146067416</x:v>
      </x:c>
      <x:c r="AR139" s="9" t="n">
        <x:f>AC139-AQ139</x:f>
        <x:v>323.42387979366356</x:v>
      </x:c>
      <x:c r="AS139" s="9" t="n">
        <x:f>AC139+AQ139</x:f>
        <x:v>407.69354271501186</x:v>
      </x:c>
    </x:row>
    <x:row r="140">
      <x:c r="A140" s="9" t="n">
        <x:f>Inputs!$C$7+138*(Inputs!$C$8-Inputs!$C$7)/240</x:f>
        <x:v>9</x:v>
      </x:c>
      <x:c r="B140" s="9" t="n">
        <x:f>Inputs!$C$5+Inputs!$C$9*(A140/Inputs!$C$10)^2</x:f>
        <x:v>400.09</x:v>
      </x:c>
      <x:c r="C140" s="9" t="n">
        <x:f>B140</x:f>
        <x:v>400.09</x:v>
      </x:c>
      <x:c r="D140" s="9" t="n">
        <x:f>SQRT((Inputs!$C$52+B140)^2+Inputs!$C$52^2-2*(Inputs!$C$52+B140)*Inputs!$C$52*COS(SQRT(A140^2+Inputs!$C$6^2)/Inputs!$C$52))</x:f>
        <x:v>401.1969095644322</x:v>
      </x:c>
      <x:c r="E140" s="9" t="n">
        <x:f>(D140-C140)*1000</x:f>
        <x:v>1106.9095644322147</x:v>
      </x:c>
      <x:c r="F140" s="9" t="n">
        <x:f>E140/Inputs!$C$12</x:f>
        <x:v>621.8593058607947</x:v>
      </x:c>
      <x:c r="G140" s="9" t="n">
        <x:f>2*E140/Inputs!$C$21*1000000</x:f>
        <x:v>7.3845057465202455</x:v>
      </x:c>
      <x:c r="H140" s="9" t="n">
        <x:f>SQRT(A140^2+Inputs!$C$6^2)</x:f>
        <x:v>26.570660511172846</x:v>
      </x:c>
      <x:c r="I140" s="9" t="n">
        <x:f>DEGREES(ATAN(H140/B140))</x:f>
        <x:v>3.79953120706518</x:v>
      </x:c>
      <x:c r="J140" s="9" t="n">
        <x:f>DEGREES((2*PI()/Inputs!$C$13)*Inputs!$C$15*SIN(RADIANS(I140)))</x:f>
        <x:v>23.85566510612477</x:v>
      </x:c>
      <x:c r="K140" s="9" t="n">
        <x:f>(C140/D140)^4</x:f>
        <x:v>0.9890095164451073</x:v>
      </x:c>
      <x:c r="L140" s="9" t="n">
        <x:f>10*LOG10(K140)</x:f>
        <x:v>-0.0479952951534499</x:v>
      </x:c>
      <x:c r="M140" s="9" t="n">
        <x:f>2*(Inputs!$C$9/(Inputs!$C$10^2))*A140</x:f>
        <x:v>0.02</x:v>
      </x:c>
      <x:c r="N140" s="9" t="n">
        <x:f>M140*Inputs!$C$11</x:f>
        <x:v>0.08</x:v>
      </x:c>
      <x:c r="O140" s="9" t="n">
        <x:f>1000*(D141-D139)/(A141-A139)*Inputs!$C$11</x:f>
        <x:v>192.55165201866475</x:v>
      </x:c>
      <x:c r="P140" s="9" t="n">
        <x:f>-2*O140/Inputs!$C$13</x:f>
        <x:v>-77.0206608074659</x:v>
      </x:c>
      <x:c r="Q140" s="9" t="n">
        <x:f>-2*O140/Inputs!$C$14</x:f>
        <x:v>-11.564663784904791</x:v>
      </x:c>
      <x:c r="R140" s="9" t="n">
        <x:f>F140-Inputs!$C$16/2</x:f>
        <x:v>606.8593058607947</x:v>
      </x:c>
      <x:c r="S140" s="9" t="n">
        <x:f>F140+Inputs!$C$16/2</x:f>
        <x:v>636.8593058607947</x:v>
      </x:c>
      <x:c r="T140" s="9" t="n">
        <x:f>F140-Inputs!$C$17/2</x:f>
        <x:v>471.85930586079473</x:v>
      </x:c>
      <x:c r="U140" s="9" t="n">
        <x:f>F140+Inputs!$C$17/2</x:f>
        <x:v>771.8593058607947</x:v>
      </x:c>
      <x:c r="V140" s="9" t="n">
        <x:f>ABS(P140)</x:f>
        <x:v>77.0206608074659</x:v>
      </x:c>
      <x:c r="W140" s="9" t="n">
        <x:f>ABS(Q140)</x:f>
        <x:v>11.564663784904791</x:v>
      </x:c>
      <x:c r="X140" s="9"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x:f>
        <x:v>29.628149721243545</x:v>
      </x:c>
      <x:c r="Y140" s="9"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x:f>
        <x:v>481.22587957439987</x:v>
      </x:c>
      <x:c r="Z140" s="9" t="n">
        <x:f>B140-X140/1000</x:f>
        <x:v>400.0603718502787</x:v>
      </x:c>
      <x:c r="AA140" s="9" t="n">
        <x:f>SQRT((Inputs!$C$52+B140)^2+(Inputs!$C$52+Y140/1000)^2-2*(Inputs!$C$52+B140)*(Inputs!$C$52+Y140/1000)*COS(SQRT(A140^2+Inputs!$C$6^2)/Inputs!$C$52))</x:f>
        <x:v>400.7173542076512</x:v>
      </x:c>
      <x:c r="AB140" s="9" t="n">
        <x:f>(AA140-Z140)*1000</x:f>
        <x:v>656.9823573724989</x:v>
      </x:c>
      <x:c r="AC140" s="9" t="n">
        <x:f>AB140/Inputs!$C$12</x:f>
        <x:v>369.09121200702185</x:v>
      </x:c>
      <x:c r="AD140" s="9" t="n">
        <x:f>2*AB140/Inputs!$C$21*1000000</x:f>
        <x:v>4.382914511962131</x:v>
      </x:c>
      <x:c r="AE140" s="9" t="n">
        <x:f>DEGREES(ATAN(H140/(B140-Y140/1000)))</x:f>
        <x:v>3.8040933374991006</x:v>
      </x:c>
      <x:c r="AF140" s="9" t="n">
        <x:f>DEGREES((2*PI()/Inputs!$C$13)*Inputs!$C$15*SIN(RADIANS(AE140)))</x:f>
        <x:v>23.884266736650474</x:v>
      </x:c>
      <x:c r="AG140" s="9" t="n">
        <x:f>(Z140/AA140)^4</x:f>
        <x:v>0.9934580480081765</x:v>
      </x:c>
      <x:c r="AH140" s="9" t="n">
        <x:f>10*LOG10(AG140)</x:f>
        <x:v>-0.0285046766160192</x:v>
      </x:c>
      <x:c r="AI140" s="9" t="n">
        <x:f>AC140-F140</x:f>
        <x:v>-252.76809385377288</x:v>
      </x:c>
      <x:c r="AJ140" s="9" t="n">
        <x:f>AD140-G140</x:f>
        <x:v>-3.0015912345581146</x:v>
      </x:c>
      <x:c r="AK140" s="9" t="n">
        <x:f>Y140-X140</x:f>
        <x:v>451.59772985315635</x:v>
      </x:c>
      <x:c r="AL140" s="9" t="n">
        <x:f>1000*(AA141-AA139)/(A141-A139)*Inputs!$C$11</x:f>
        <x:v>197.9920210169439</x:v>
      </x:c>
      <x:c r="AM140" s="9" t="n">
        <x:f>-2*AL140/Inputs!$C$13</x:f>
        <x:v>-79.19680840677756</x:v>
      </x:c>
      <x:c r="AN140" s="9" t="n">
        <x:f>-2*AL140/Inputs!$C$14</x:f>
        <x:v>-11.891412673690326</x:v>
      </x:c>
      <x:c r="AO140" s="9" t="n">
        <x:f>ABS(AM140)</x:f>
        <x:v>79.19680840677756</x:v>
      </x:c>
      <x:c r="AP140" s="9" t="n">
        <x:f>ABS(AN140)</x:f>
        <x:v>11.891412673690326</x:v>
      </x:c>
      <x:c r="AQ140" s="9" t="n">
        <x:f>IF(OR(Inputs!$C$27=TRUE,Inputs!$C$27="TRUE",Inputs!$C$27=1),Inputs!$C$46/Inputs!$C$12,0)</x:f>
        <x:v>42.13483146067416</x:v>
      </x:c>
      <x:c r="AR140" s="9" t="n">
        <x:f>AC140-AQ140</x:f>
        <x:v>326.9563805463477</x:v>
      </x:c>
      <x:c r="AS140" s="9" t="n">
        <x:f>AC140+AQ140</x:f>
        <x:v>411.226043467696</x:v>
      </x:c>
    </x:row>
    <x:row r="141">
      <x:c r="A141" s="9" t="n">
        <x:f>Inputs!$C$7+139*(Inputs!$C$8-Inputs!$C$7)/240</x:f>
        <x:v>9.5</x:v>
      </x:c>
      <x:c r="B141" s="9" t="n">
        <x:f>Inputs!$C$5+Inputs!$C$9*(A141/Inputs!$C$10)^2</x:f>
        <x:v>400.10027777777776</x:v>
      </x:c>
      <x:c r="C141" s="9" t="n">
        <x:f>B141</x:f>
        <x:v>400.10027777777776</x:v>
      </x:c>
      <x:c r="D141" s="9" t="n">
        <x:f>SQRT((Inputs!$C$52+B141)^2+Inputs!$C$52^2-2*(Inputs!$C$52+B141)*Inputs!$C$52*COS(SQRT(A141^2+Inputs!$C$6^2)/Inputs!$C$52))</x:f>
        <x:v>401.2216465736347</x:v>
      </x:c>
      <x:c r="E141" s="9" t="n">
        <x:f>(D141-C141)*1000</x:f>
        <x:v>1121.368795856938</x:v>
      </x:c>
      <x:c r="F141" s="9" t="n">
        <x:f>E141/Inputs!$C$12</x:f>
        <x:v>629.9824695825495</x:v>
      </x:c>
      <x:c r="G141" s="9" t="n">
        <x:f>2*E141/Inputs!$C$21*1000000</x:f>
        <x:v>7.4809673554692155</x:v>
      </x:c>
      <x:c r="H141" s="9" t="n">
        <x:f>SQRT(A141^2+Inputs!$C$6^2)</x:f>
        <x:v>26.744158240632665</x:v>
      </x:c>
      <x:c r="I141" s="9" t="n">
        <x:f>DEGREES(ATAN(H141/B141))</x:f>
        <x:v>3.8241695756954894</x:v>
      </x:c>
      <x:c r="J141" s="9" t="n">
        <x:f>DEGREES((2*PI()/Inputs!$C$13)*Inputs!$C$15*SIN(RADIANS(I141)))</x:f>
        <x:v>24.010130066350158</x:v>
      </x:c>
      <x:c r="K141" s="9" t="n">
        <x:f>(C141/D141)^4</x:f>
        <x:v>0.9888672367340193</x:v>
      </x:c>
      <x:c r="L141" s="9" t="n">
        <x:f>10*LOG10(K141)</x:f>
        <x:v>-0.04862011966205031</x:v>
      </x:c>
      <x:c r="M141" s="9" t="n">
        <x:f>2*(Inputs!$C$9/(Inputs!$C$10^2))*A141</x:f>
        <x:v>0.021111111111111112</x:v>
      </x:c>
      <x:c r="N141" s="9" t="n">
        <x:f>M141*Inputs!$C$11</x:f>
        <x:v>0.08444444444444445</x:v>
      </x:c>
      <x:c r="O141" s="9" t="n">
        <x:f>1000*(D142-D140)/(A142-A140)*Inputs!$C$11</x:f>
        <x:v>203.23977003636173</x:v>
      </x:c>
      <x:c r="P141" s="9" t="n">
        <x:f>-2*O141/Inputs!$C$13</x:f>
        <x:v>-81.2959080145447</x:v>
      </x:c>
      <x:c r="Q141" s="9" t="n">
        <x:f>-2*O141/Inputs!$C$14</x:f>
        <x:v>-12.206592794976682</x:v>
      </x:c>
      <x:c r="R141" s="9" t="n">
        <x:f>F141-Inputs!$C$16/2</x:f>
        <x:v>614.9824695825495</x:v>
      </x:c>
      <x:c r="S141" s="9" t="n">
        <x:f>F141+Inputs!$C$16/2</x:f>
        <x:v>644.9824695825495</x:v>
      </x:c>
      <x:c r="T141" s="9" t="n">
        <x:f>F141-Inputs!$C$17/2</x:f>
        <x:v>479.98246958254947</x:v>
      </x:c>
      <x:c r="U141" s="9" t="n">
        <x:f>F141+Inputs!$C$17/2</x:f>
        <x:v>779.9824695825495</x:v>
      </x:c>
      <x:c r="V141" s="9" t="n">
        <x:f>ABS(P141)</x:f>
        <x:v>81.2959080145447</x:v>
      </x:c>
      <x:c r="W141" s="9" t="n">
        <x:f>ABS(Q141)</x:f>
        <x:v>12.206592794976682</x:v>
      </x:c>
      <x:c r="X141" s="9"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x:f>
        <x:v>5.649927018638348</x:v>
      </x:c>
      <x:c r="Y141" s="9"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x:f>
        <x:v>478.27937371872196</x:v>
      </x:c>
      <x:c r="Z141" s="9" t="n">
        <x:f>B141-X141/1000</x:f>
        <x:v>400.09462785075914</x:v>
      </x:c>
      <x:c r="AA141" s="9" t="n">
        <x:f>SQRT((Inputs!$C$52+B141)^2+(Inputs!$C$52+Y141/1000)^2-2*(Inputs!$C$52+B141)*(Inputs!$C$52+Y141/1000)*COS(SQRT(A141^2+Inputs!$C$6^2)/Inputs!$C$52))</x:f>
        <x:v>400.74504908096407</x:v>
      </x:c>
      <x:c r="AB141" s="9" t="n">
        <x:f>(AA141-Z141)*1000</x:f>
        <x:v>650.4212302049268</x:v>
      </x:c>
      <x:c r="AC141" s="9" t="n">
        <x:f>AB141/Inputs!$C$12</x:f>
        <x:v>365.40518550838584</x:v>
      </x:c>
      <x:c r="AD141" s="9" t="n">
        <x:f>2*AB141/Inputs!$C$21*1000000</x:f>
        <x:v>4.339143383019507</x:v>
      </x:c>
      <x:c r="AE141" s="9" t="n">
        <x:f>DEGREES(ATAN(H141/(B141-Y141/1000)))</x:f>
        <x:v>3.828732849495572</x:v>
      </x:c>
      <x:c r="AF141" s="9" t="n">
        <x:f>DEGREES((2*PI()/Inputs!$C$13)*Inputs!$C$15*SIN(RADIANS(AE141)))</x:f>
        <x:v>24.038738044870204</x:v>
      </x:c>
      <x:c r="AG141" s="9" t="n">
        <x:f>(Z141/AA141)^4</x:f>
        <x:v>0.9935236683311037</x:v>
      </x:c>
      <x:c r="AH141" s="9" t="n">
        <x:f>10*LOG10(AG141)</x:f>
        <x:v>-0.0282178240101395</x:v>
      </x:c>
      <x:c r="AI141" s="9" t="n">
        <x:f>AC141-F141</x:f>
        <x:v>-264.57728407416363</x:v>
      </x:c>
      <x:c r="AJ141" s="9" t="n">
        <x:f>AD141-G141</x:f>
        <x:v>-3.141823972449709</x:v>
      </x:c>
      <x:c r="AK141" s="9" t="n">
        <x:f>Y141-X141</x:f>
        <x:v>472.62944670008363</x:v>
      </x:c>
      <x:c r="AL141" s="9" t="n">
        <x:f>1000*(AA142-AA140)/(A142-A140)*Inputs!$C$11</x:f>
        <x:v>311.1273231927498</x:v>
      </x:c>
      <x:c r="AM141" s="9" t="n">
        <x:f>-2*AL141/Inputs!$C$13</x:f>
        <x:v>-124.45092927709993</x:v>
      </x:c>
      <x:c r="AN141" s="9" t="n">
        <x:f>-2*AL141/Inputs!$C$14</x:f>
        <x:v>-18.686325717282273</x:v>
      </x:c>
      <x:c r="AO141" s="9" t="n">
        <x:f>ABS(AM141)</x:f>
        <x:v>124.45092927709993</x:v>
      </x:c>
      <x:c r="AP141" s="9" t="n">
        <x:f>ABS(AN141)</x:f>
        <x:v>18.686325717282273</x:v>
      </x:c>
      <x:c r="AQ141" s="9" t="n">
        <x:f>IF(OR(Inputs!$C$27=TRUE,Inputs!$C$27="TRUE",Inputs!$C$27=1),Inputs!$C$46/Inputs!$C$12,0)</x:f>
        <x:v>42.13483146067416</x:v>
      </x:c>
      <x:c r="AR141" s="9" t="n">
        <x:f>AC141-AQ141</x:f>
        <x:v>323.2703540477117</x:v>
      </x:c>
      <x:c r="AS141" s="9" t="n">
        <x:f>AC141+AQ141</x:f>
        <x:v>407.54001696906</x:v>
      </x:c>
    </x:row>
    <x:row r="142">
      <x:c r="A142" s="9" t="n">
        <x:f>Inputs!$C$7+140*(Inputs!$C$8-Inputs!$C$7)/240</x:f>
        <x:v>10</x:v>
      </x:c>
      <x:c r="B142" s="9" t="n">
        <x:f>Inputs!$C$5+Inputs!$C$9*(A142/Inputs!$C$10)^2</x:f>
        <x:v>400.1111111111111</x:v>
      </x:c>
      <x:c r="C142" s="9" t="n">
        <x:f>B142</x:f>
        <x:v>400.1111111111111</x:v>
      </x:c>
      <x:c r="D142" s="9" t="n">
        <x:f>SQRT((Inputs!$C$52+B142)^2+Inputs!$C$52^2-2*(Inputs!$C$52+B142)*Inputs!$C$52*COS(SQRT(A142^2+Inputs!$C$6^2)/Inputs!$C$52))</x:f>
        <x:v>401.2477195069413</x:v>
      </x:c>
      <x:c r="E142" s="9" t="n">
        <x:f>(D142-C142)*1000</x:f>
        <x:v>1136.6083958301942</x:v>
      </x:c>
      <x:c r="F142" s="9" t="n">
        <x:f>E142/Inputs!$C$12</x:f>
        <x:v>638.5440426012327</x:v>
      </x:c>
      <x:c r="G142" s="9" t="n">
        <x:f>2*E142/Inputs!$C$21*1000000</x:f>
        <x:v>7.5826350229944355</x:v>
      </x:c>
      <x:c r="H142" s="9" t="n">
        <x:f>SQRT(A142^2+Inputs!$C$6^2)</x:f>
        <x:v>26.92582403567252</x:v>
      </x:c>
      <x:c r="I142" s="9" t="n">
        <x:f>DEGREES(ATAN(H142/B142))</x:f>
        <x:v>3.8499643269735215</x:v>
      </x:c>
      <x:c r="J142" s="9" t="n">
        <x:f>DEGREES((2*PI()/Inputs!$C$13)*Inputs!$C$15*SIN(RADIANS(I142)))</x:f>
        <x:v>24.171839961370843</x:v>
      </x:c>
      <x:c r="K142" s="9" t="n">
        <x:f>(C142/D142)^4</x:f>
        <x:v>0.9887173137761573</x:v>
      </x:c>
      <x:c r="L142" s="9" t="n">
        <x:f>10*LOG10(K142)</x:f>
        <x:v>-0.049278606940564004</x:v>
      </x:c>
      <x:c r="M142" s="9" t="n">
        <x:f>2*(Inputs!$C$9/(Inputs!$C$10^2))*A142</x:f>
        <x:v>0.022222222222222223</x:v>
      </x:c>
      <x:c r="N142" s="9" t="n">
        <x:f>M142*Inputs!$C$11</x:f>
        <x:v>0.08888888888888889</x:v>
      </x:c>
      <x:c r="O142" s="9" t="n">
        <x:f>1000*(D143-D141)/(A143-A141)*Inputs!$C$11</x:f>
        <x:v>213.92639874261477</x:v>
      </x:c>
      <x:c r="P142" s="9" t="n">
        <x:f>-2*O142/Inputs!$C$13</x:f>
        <x:v>-85.5705594970459</x:v>
      </x:c>
      <x:c r="Q142" s="9" t="n">
        <x:f>-2*O142/Inputs!$C$14</x:f>
        <x:v>-12.8484323569138</x:v>
      </x:c>
      <x:c r="R142" s="9" t="n">
        <x:f>F142-Inputs!$C$16/2</x:f>
        <x:v>623.5440426012327</x:v>
      </x:c>
      <x:c r="S142" s="9" t="n">
        <x:f>F142+Inputs!$C$16/2</x:f>
        <x:v>653.5440426012327</x:v>
      </x:c>
      <x:c r="T142" s="9" t="n">
        <x:f>F142-Inputs!$C$17/2</x:f>
        <x:v>488.5440426012327</x:v>
      </x:c>
      <x:c r="U142" s="9" t="n">
        <x:f>F142+Inputs!$C$17/2</x:f>
        <x:v>788.5440426012327</x:v>
      </x:c>
      <x:c r="V142" s="9" t="n">
        <x:f>ABS(P142)</x:f>
        <x:v>85.5705594970459</x:v>
      </x:c>
      <x:c r="W142" s="9" t="n">
        <x:f>ABS(Q142)</x:f>
        <x:v>12.8484323569138</x:v>
      </x:c>
      <x:c r="X142" s="9"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x:f>
        <x:v>-8.569441618173819</x:v>
      </x:c>
      <x:c r="Y142" s="9"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x:f>
        <x:v>454.2022007690729</x:v>
      </x:c>
      <x:c r="Z142" s="9" t="n">
        <x:f>B142-X142/1000</x:f>
        <x:v>400.1196805527293</x:v>
      </x:c>
      <x:c r="AA142" s="9" t="n">
        <x:f>SQRT((Inputs!$C$52+B142)^2+(Inputs!$C$52+Y142/1000)^2-2*(Inputs!$C$52+B142)*(Inputs!$C$52+Y142/1000)*COS(SQRT(A142^2+Inputs!$C$6^2)/Inputs!$C$52))</x:f>
        <x:v>400.7951360384494</x:v>
      </x:c>
      <x:c r="AB142" s="9" t="n">
        <x:f>(AA142-Z142)*1000</x:f>
        <x:v>675.4554857201356</x:v>
      </x:c>
      <x:c r="AC142" s="9" t="n">
        <x:f>AB142/Inputs!$C$12</x:f>
        <x:v>379.4693740000762</x:v>
      </x:c>
      <x:c r="AD142" s="9" t="n">
        <x:f>2*AB142/Inputs!$C$21*1000000</x:f>
        <x:v>4.506153958817307</x:v>
      </x:c>
      <x:c r="AE142" s="9" t="n">
        <x:f>DEGREES(ATAN(H142/(B142-Y142/1000)))</x:f>
        <x:v>3.8543265547924417</x:v>
      </x:c>
      <x:c r="AF142" s="9" t="n">
        <x:f>DEGREES((2*PI()/Inputs!$C$13)*Inputs!$C$15*SIN(RADIANS(AE142)))</x:f>
        <x:v>24.199186723715453</x:v>
      </x:c>
      <x:c r="AG142" s="9" t="n">
        <x:f>(Z142/AA142)^4</x:f>
        <x:v>0.9932758675285006</x:v>
      </x:c>
      <x:c r="AH142" s="9" t="n">
        <x:f>10*LOG10(AG142)</x:f>
        <x:v>-0.029301159493134797</x:v>
      </x:c>
      <x:c r="AI142" s="9" t="n">
        <x:f>AC142-F142</x:f>
        <x:v>-259.07466860115653</x:v>
      </x:c>
      <x:c r="AJ142" s="9" t="n">
        <x:f>AD142-G142</x:f>
        <x:v>-3.0764810641771287</x:v>
      </x:c>
      <x:c r="AK142" s="9" t="n">
        <x:f>Y142-X142</x:f>
        <x:v>462.7716423872467</x:v>
      </x:c>
      <x:c r="AL142" s="9" t="n">
        <x:f>1000*(AA143-AA141)/(A143-A141)*Inputs!$C$11</x:f>
        <x:v>374.89439989667517</x:v>
      </x:c>
      <x:c r="AM142" s="9" t="n">
        <x:f>-2*AL142/Inputs!$C$13</x:f>
        <x:v>-149.95775995867007</x:v>
      </x:c>
      <x:c r="AN142" s="9" t="n">
        <x:f>-2*AL142/Inputs!$C$14</x:f>
        <x:v>-22.516180173974487</x:v>
      </x:c>
      <x:c r="AO142" s="9" t="n">
        <x:f>ABS(AM142)</x:f>
        <x:v>149.95775995867007</x:v>
      </x:c>
      <x:c r="AP142" s="9" t="n">
        <x:f>ABS(AN142)</x:f>
        <x:v>22.516180173974487</x:v>
      </x:c>
      <x:c r="AQ142" s="9" t="n">
        <x:f>IF(OR(Inputs!$C$27=TRUE,Inputs!$C$27="TRUE",Inputs!$C$27=1),Inputs!$C$46/Inputs!$C$12,0)</x:f>
        <x:v>42.13483146067416</x:v>
      </x:c>
      <x:c r="AR142" s="9" t="n">
        <x:f>AC142-AQ142</x:f>
        <x:v>337.33454253940204</x:v>
      </x:c>
      <x:c r="AS142" s="9" t="n">
        <x:f>AC142+AQ142</x:f>
        <x:v>421.60420546075034</x:v>
      </x:c>
    </x:row>
    <x:row r="143">
      <x:c r="A143" s="9" t="n">
        <x:f>Inputs!$C$7+141*(Inputs!$C$8-Inputs!$C$7)/240</x:f>
        <x:v>10.5</x:v>
      </x:c>
      <x:c r="B143" s="9" t="n">
        <x:f>Inputs!$C$5+Inputs!$C$9*(A143/Inputs!$C$10)^2</x:f>
        <x:v>400.1225</x:v>
      </x:c>
      <x:c r="C143" s="9" t="n">
        <x:f>B143</x:f>
        <x:v>400.1225</x:v>
      </x:c>
      <x:c r="D143" s="9" t="n">
        <x:f>SQRT((Inputs!$C$52+B143)^2+Inputs!$C$52^2-2*(Inputs!$C$52+B143)*Inputs!$C$52*COS(SQRT(A143^2+Inputs!$C$6^2)/Inputs!$C$52))</x:f>
        <x:v>401.27512817332035</x:v>
      </x:c>
      <x:c r="E143" s="9" t="n">
        <x:f>(D143-C143)*1000</x:f>
        <x:v>1152.6281733203518</x:v>
      </x:c>
      <x:c r="F143" s="9" t="n">
        <x:f>E143/Inputs!$C$12</x:f>
        <x:v>647.5439175957033</x:v>
      </x:c>
      <x:c r="G143" s="9" t="n">
        <x:f>2*E143/Inputs!$C$21*1000000</x:f>
        <x:v>7.689507474670039</x:v>
      </x:c>
      <x:c r="H143" s="9" t="n">
        <x:f>SQRT(A143^2+Inputs!$C$6^2)</x:f>
        <x:v>27.115493725912497</x:v>
      </x:c>
      <x:c r="I143" s="9" t="n">
        <x:f>DEGREES(ATAN(H143/B143))</x:f>
        <x:v>3.8768916383114713</x:v>
      </x:c>
      <x:c r="J143" s="9" t="n">
        <x:f>DEGREES((2*PI()/Inputs!$C$13)*Inputs!$C$15*SIN(RADIANS(I143)))</x:f>
        <x:v>24.340644762413287</x:v>
      </x:c>
      <x:c r="K143" s="9" t="n">
        <x:f>(C143/D143)^4</x:f>
        <x:v>0.9885597550553369</x:v>
      </x:c>
      <x:c r="L143" s="9" t="n">
        <x:f>10*LOG10(K143)</x:f>
        <x:v>-0.0499707394115416</x:v>
      </x:c>
      <x:c r="M143" s="9" t="n">
        <x:f>2*(Inputs!$C$9/(Inputs!$C$10^2))*A143</x:f>
        <x:v>0.023333333333333334</x:v>
      </x:c>
      <x:c r="N143" s="9" t="n">
        <x:f>M143*Inputs!$C$11</x:f>
        <x:v>0.09333333333333334</x:v>
      </x:c>
      <x:c r="O143" s="9" t="n">
        <x:f>1000*(D144-D142)/(A144-A142)*Inputs!$C$11</x:f>
        <x:v>224.61146028399526</x:v>
      </x:c>
      <x:c r="P143" s="9" t="n">
        <x:f>-2*O143/Inputs!$C$13</x:f>
        <x:v>-89.8445841135981</x:v>
      </x:c>
      <x:c r="Q143" s="9" t="n">
        <x:f>-2*O143/Inputs!$C$14</x:f>
        <x:v>-13.490177794834551</x:v>
      </x:c>
      <x:c r="R143" s="9" t="n">
        <x:f>F143-Inputs!$C$16/2</x:f>
        <x:v>632.5439175957033</x:v>
      </x:c>
      <x:c r="S143" s="9" t="n">
        <x:f>F143+Inputs!$C$16/2</x:f>
        <x:v>662.5439175957033</x:v>
      </x:c>
      <x:c r="T143" s="9" t="n">
        <x:f>F143-Inputs!$C$17/2</x:f>
        <x:v>497.5439175957033</x:v>
      </x:c>
      <x:c r="U143" s="9" t="n">
        <x:f>F143+Inputs!$C$17/2</x:f>
        <x:v>797.5439175957033</x:v>
      </x:c>
      <x:c r="V143" s="9" t="n">
        <x:f>ABS(P143)</x:f>
        <x:v>89.8445841135981</x:v>
      </x:c>
      <x:c r="W143" s="9" t="n">
        <x:f>ABS(Q143)</x:f>
        <x:v>13.490177794834551</x:v>
      </x:c>
      <x:c r="X143" s="9"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x:f>
        <x:v>4.936290407774814</x:v>
      </x:c>
      <x:c r="Y143" s="9"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x:f>
        <x:v>437.9381023255588</x:v>
      </x:c>
      <x:c r="Z143" s="9" t="n">
        <x:f>B143-X143/1000</x:f>
        <x:v>400.1175637095922</x:v>
      </x:c>
      <x:c r="AA143" s="9" t="n">
        <x:f>SQRT((Inputs!$C$52+B143)^2+(Inputs!$C$52+Y143/1000)^2-2*(Inputs!$C$52+B143)*(Inputs!$C$52+Y143/1000)*COS(SQRT(A143^2+Inputs!$C$6^2)/Inputs!$C$52))</x:f>
        <x:v>400.83877268093823</x:v>
      </x:c>
      <x:c r="AB143" s="9" t="n">
        <x:f>(AA143-Z143)*1000</x:f>
        <x:v>721.2089713460159</x:v>
      </x:c>
      <x:c r="AC143" s="9" t="n">
        <x:f>AB143/Inputs!$C$12</x:f>
        <x:v>405.1735794078741</x:v>
      </x:c>
      <x:c r="AD143" s="9" t="n">
        <x:f>2*AB143/Inputs!$C$21*1000000</x:f>
        <x:v>4.811388359516475</x:v>
      </x:c>
      <x:c r="AE143" s="9" t="n">
        <x:f>DEGREES(ATAN(H143/(B143-Y143/1000)))</x:f>
        <x:v>3.8811266091727297</x:v>
      </x:c>
      <x:c r="AF143" s="9" t="n">
        <x:f>DEGREES((2*PI()/Inputs!$C$13)*Inputs!$C$15*SIN(RADIANS(AE143)))</x:f>
        <x:v>24.367192911093618</x:v>
      </x:c>
      <x:c r="AG143" s="9" t="n">
        <x:f>(Z143/AA143)^4</x:f>
        <x:v>0.9928224024047829</x:v>
      </x:c>
      <x:c r="AH143" s="9" t="n">
        <x:f>10*LOG10(AG143)</x:f>
        <x:v>-0.0312843182055674</x:v>
      </x:c>
      <x:c r="AI143" s="9" t="n">
        <x:f>AC143-F143</x:f>
        <x:v>-242.3703381878292</x:v>
      </x:c>
      <x:c r="AJ143" s="9" t="n">
        <x:f>AD143-G143</x:f>
        <x:v>-2.878119115153564</x:v>
      </x:c>
      <x:c r="AK143" s="9" t="n">
        <x:f>Y143-X143</x:f>
        <x:v>433.001811917784</x:v>
      </x:c>
      <x:c r="AL143" s="9" t="n">
        <x:f>1000*(AA144-AA142)/(A144-A142)*Inputs!$C$11</x:f>
        <x:v>261.7159917085701</x:v>
      </x:c>
      <x:c r="AM143" s="9" t="n">
        <x:f>-2*AL143/Inputs!$C$13</x:f>
        <x:v>-104.68639668342803</x:v>
      </x:c>
      <x:c r="AN143" s="9" t="n">
        <x:f>-2*AL143/Inputs!$C$14</x:f>
        <x:v>-15.718678180694901</x:v>
      </x:c>
      <x:c r="AO143" s="9" t="n">
        <x:f>ABS(AM143)</x:f>
        <x:v>104.68639668342803</x:v>
      </x:c>
      <x:c r="AP143" s="9" t="n">
        <x:f>ABS(AN143)</x:f>
        <x:v>15.718678180694901</x:v>
      </x:c>
      <x:c r="AQ143" s="9" t="n">
        <x:f>IF(OR(Inputs!$C$27=TRUE,Inputs!$C$27="TRUE",Inputs!$C$27=1),Inputs!$C$46/Inputs!$C$12,0)</x:f>
        <x:v>42.13483146067416</x:v>
      </x:c>
      <x:c r="AR143" s="9" t="n">
        <x:f>AC143-AQ143</x:f>
        <x:v>363.03874794719997</x:v>
      </x:c>
      <x:c r="AS143" s="9" t="n">
        <x:f>AC143+AQ143</x:f>
        <x:v>447.30841086854826</x:v>
      </x:c>
    </x:row>
    <x:row r="144">
      <x:c r="A144" s="9" t="n">
        <x:f>Inputs!$C$7+142*(Inputs!$C$8-Inputs!$C$7)/240</x:f>
        <x:v>11</x:v>
      </x:c>
      <x:c r="B144" s="9" t="n">
        <x:f>Inputs!$C$5+Inputs!$C$9*(A144/Inputs!$C$10)^2</x:f>
        <x:v>400.13444444444445</x:v>
      </x:c>
      <x:c r="C144" s="9" t="n">
        <x:f>B144</x:f>
        <x:v>400.13444444444445</x:v>
      </x:c>
      <x:c r="D144" s="9" t="n">
        <x:f>SQRT((Inputs!$C$52+B144)^2+Inputs!$C$52^2-2*(Inputs!$C$52+B144)*Inputs!$C$52*COS(SQRT(A144^2+Inputs!$C$6^2)/Inputs!$C$52))</x:f>
        <x:v>401.3038723720123</x:v>
      </x:c>
      <x:c r="E144" s="9" t="n">
        <x:f>(D144-C144)*1000</x:f>
        <x:v>1169.427927567824</x:v>
      </x:c>
      <x:c r="F144" s="9" t="n">
        <x:f>E144/Inputs!$C$12</x:f>
        <x:v>656.9819817796764</x:v>
      </x:c>
      <x:c r="G144" s="9" t="n">
        <x:f>2*E144/Inputs!$C$21*1000000</x:f>
        <x:v>7.801583371172226</x:v>
      </x:c>
      <x:c r="H144" s="9" t="n">
        <x:f>SQRT(A144^2+Inputs!$C$6^2)</x:f>
        <x:v>27.313000567495326</x:v>
      </x:c>
      <x:c r="I144" s="9" t="n">
        <x:f>DEGREES(ATAN(H144/B144))</x:f>
        <x:v>3.904927307448456</x:v>
      </x:c>
      <x:c r="J144" s="9" t="n">
        <x:f>DEGREES((2*PI()/Inputs!$C$13)*Inputs!$C$15*SIN(RADIANS(I144)))</x:f>
        <x:v>24.516392041831022</x:v>
      </x:c>
      <x:c r="K144" s="9" t="n">
        <x:f>(C144/D144)^4</x:f>
        <x:v>0.9883945684330527</x:v>
      </x:c>
      <x:c r="L144" s="9" t="n">
        <x:f>10*LOG10(K144)</x:f>
        <x:v>-0.050696498604425905</x:v>
      </x:c>
      <x:c r="M144" s="9" t="n">
        <x:f>2*(Inputs!$C$9/(Inputs!$C$10^2))*A144</x:f>
        <x:v>0.024444444444444446</x:v>
      </x:c>
      <x:c r="N144" s="9" t="n">
        <x:f>M144*Inputs!$C$11</x:f>
        <x:v>0.09777777777777778</x:v>
      </x:c>
      <x:c r="O144" s="9" t="n">
        <x:f>1000*(D145-D143)/(A145-A143)*Inputs!$C$11</x:f>
        <x:v>235.2948768477745</x:v>
      </x:c>
      <x:c r="P144" s="9" t="n">
        <x:f>-2*O144/Inputs!$C$13</x:f>
        <x:v>-94.1179507391098</x:v>
      </x:c>
      <x:c r="Q144" s="9" t="n">
        <x:f>-2*O144/Inputs!$C$14</x:f>
        <x:v>-14.131824435301773</x:v>
      </x:c>
      <x:c r="R144" s="9" t="n">
        <x:f>F144-Inputs!$C$16/2</x:f>
        <x:v>641.9819817796764</x:v>
      </x:c>
      <x:c r="S144" s="9" t="n">
        <x:f>F144+Inputs!$C$16/2</x:f>
        <x:v>671.9819817796764</x:v>
      </x:c>
      <x:c r="T144" s="9" t="n">
        <x:f>F144-Inputs!$C$17/2</x:f>
        <x:v>506.9819817796764</x:v>
      </x:c>
      <x:c r="U144" s="9" t="n">
        <x:f>F144+Inputs!$C$17/2</x:f>
        <x:v>806.9819817796764</x:v>
      </x:c>
      <x:c r="V144" s="9" t="n">
        <x:f>ABS(P144)</x:f>
        <x:v>94.1179507391098</x:v>
      </x:c>
      <x:c r="W144" s="9" t="n">
        <x:f>ABS(Q144)</x:f>
        <x:v>14.131824435301773</x:v>
      </x:c>
      <x:c r="X144" s="9"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x:f>
        <x:v>1.9403678384373038</x:v>
      </x:c>
      <x:c r="Y144" s="9"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x:f>
        <x:v>444.9386077034983</x:v>
      </x:c>
      <x:c r="Z144" s="9" t="n">
        <x:f>B144-X144/1000</x:f>
        <x:v>400.13250407660604</x:v>
      </x:c>
      <x:c r="AA144" s="9" t="n">
        <x:f>SQRT((Inputs!$C$52+B144)^2+(Inputs!$C$52+Y144/1000)^2-2*(Inputs!$C$52+B144)*(Inputs!$C$52+Y144/1000)*COS(SQRT(A144^2+Inputs!$C$6^2)/Inputs!$C$52))</x:f>
        <x:v>400.86056503637656</x:v>
      </x:c>
      <x:c r="AB144" s="9" t="n">
        <x:f>(AA144-Z144)*1000</x:f>
        <x:v>728.0609597705165</x:v>
      </x:c>
      <x:c r="AC144" s="9" t="n">
        <x:f>AB144/Inputs!$C$12</x:f>
        <x:v>409.0230111070318</x:v>
      </x:c>
      <x:c r="AD144" s="9" t="n">
        <x:f>2*AB144/Inputs!$C$21*1000000</x:f>
        <x:v>4.857099905899011</x:v>
      </x:c>
      <x:c r="AE144" s="9" t="n">
        <x:f>DEGREES(ATAN(H144/(B144-Y144/1000)))</x:f>
        <x:v>3.909260843092401</x:v>
      </x:c>
      <x:c r="AF144" s="9" t="n">
        <x:f>DEGREES((2*PI()/Inputs!$C$13)*Inputs!$C$15*SIN(RADIANS(AE144)))</x:f>
        <x:v>24.543557166404117</x:v>
      </x:c>
      <x:c r="AG144" s="9" t="n">
        <x:f>(Z144/AA144)^4</x:f>
        <x:v>0.9927547888898829</x:v>
      </x:c>
      <x:c r="AH144" s="9" t="n">
        <x:f>10*LOG10(AG144)</x:f>
        <x:v>-0.0315800929209827</x:v>
      </x:c>
      <x:c r="AI144" s="9" t="n">
        <x:f>AC144-F144</x:f>
        <x:v>-247.95897067264463</x:v>
      </x:c>
      <x:c r="AJ144" s="9" t="n">
        <x:f>AD144-G144</x:f>
        <x:v>-2.9444834652732155</x:v>
      </x:c>
      <x:c r="AK144" s="9" t="n">
        <x:f>Y144-X144</x:f>
        <x:v>442.998239865061</x:v>
      </x:c>
      <x:c r="AL144" s="9" t="n">
        <x:f>1000*(AA145-AA143)/(A145-A143)*Inputs!$C$11</x:f>
        <x:v>249.4045151499904</x:v>
      </x:c>
      <x:c r="AM144" s="9" t="n">
        <x:f>-2*AL144/Inputs!$C$13</x:f>
        <x:v>-99.76180605999616</x:v>
      </x:c>
      <x:c r="AN144" s="9" t="n">
        <x:f>-2*AL144/Inputs!$C$14</x:f>
        <x:v>-14.979250159158584</x:v>
      </x:c>
      <x:c r="AO144" s="9" t="n">
        <x:f>ABS(AM144)</x:f>
        <x:v>99.76180605999616</x:v>
      </x:c>
      <x:c r="AP144" s="9" t="n">
        <x:f>ABS(AN144)</x:f>
        <x:v>14.979250159158584</x:v>
      </x:c>
      <x:c r="AQ144" s="9" t="n">
        <x:f>IF(OR(Inputs!$C$27=TRUE,Inputs!$C$27="TRUE",Inputs!$C$27=1),Inputs!$C$46/Inputs!$C$12,0)</x:f>
        <x:v>42.13483146067416</x:v>
      </x:c>
      <x:c r="AR144" s="9" t="n">
        <x:f>AC144-AQ144</x:f>
        <x:v>366.8881796463576</x:v>
      </x:c>
      <x:c r="AS144" s="9" t="n">
        <x:f>AC144+AQ144</x:f>
        <x:v>451.1578425677059</x:v>
      </x:c>
    </x:row>
    <x:row r="145">
      <x:c r="A145" s="9" t="n">
        <x:f>Inputs!$C$7+143*(Inputs!$C$8-Inputs!$C$7)/240</x:f>
        <x:v>11.5</x:v>
      </x:c>
      <x:c r="B145" s="9" t="n">
        <x:f>Inputs!$C$5+Inputs!$C$9*(A145/Inputs!$C$10)^2</x:f>
        <x:v>400.14694444444444</x:v>
      </x:c>
      <x:c r="C145" s="9" t="n">
        <x:f>B145</x:f>
        <x:v>400.14694444444444</x:v>
      </x:c>
      <x:c r="D145" s="9" t="n">
        <x:f>SQRT((Inputs!$C$52+B145)^2+Inputs!$C$52^2-2*(Inputs!$C$52+B145)*Inputs!$C$52*COS(SQRT(A145^2+Inputs!$C$6^2)/Inputs!$C$52))</x:f>
        <x:v>401.3339518925323</x:v>
      </x:c>
      <x:c r="E145" s="9" t="n">
        <x:f>(D145-C145)*1000</x:f>
        <x:v>1187.0074480878543</x:v>
      </x:c>
      <x:c r="F145" s="9" t="n">
        <x:f>E145/Inputs!$C$12</x:f>
        <x:v>666.8581169032889</x:v>
      </x:c>
      <x:c r="G145" s="9" t="n">
        <x:f>2*E145/Inputs!$C$21*1000000</x:f>
        <x:v>7.918861308297851</x:v>
      </x:c>
      <x:c r="H145" s="9" t="n">
        <x:f>SQRT(A145^2+Inputs!$C$6^2)</x:f>
        <x:v>27.518175811634027</x:v>
      </x:c>
      <x:c r="I145" s="9" t="n">
        <x:f>DEGREES(ATAN(H145/B145))</x:f>
        <x:v>3.934046834415676</x:v>
      </x:c>
      <x:c r="J145" s="9" t="n">
        <x:f>DEGREES((2*PI()/Inputs!$C$13)*Inputs!$C$15*SIN(RADIANS(I145)))</x:f>
        <x:v>24.69892748864289</x:v>
      </x:c>
      <x:c r="K145" s="9" t="n">
        <x:f>(C145/D145)^4</x:f>
        <x:v>0.988221762147641</x:v>
      </x:c>
      <x:c r="L145" s="9" t="n">
        <x:f>10*LOG10(K145)</x:f>
        <x:v>-0.051455865156473594</x:v>
      </x:c>
      <x:c r="M145" s="9" t="n">
        <x:f>2*(Inputs!$C$9/(Inputs!$C$10^2))*A145</x:f>
        <x:v>0.025555555555555557</x:v>
      </x:c>
      <x:c r="N145" s="9" t="n">
        <x:f>M145*Inputs!$C$11</x:f>
        <x:v>0.10222222222222223</x:v>
      </x:c>
      <x:c r="O145" s="9" t="n">
        <x:f>1000*(D146-D144)/(A146-A144)*Inputs!$C$11</x:f>
        <x:v>245.97657072126822</x:v>
      </x:c>
      <x:c r="P145" s="9" t="n">
        <x:f>-2*O145/Inputs!$C$13</x:f>
        <x:v>-98.39062828850729</x:v>
      </x:c>
      <x:c r="Q145" s="9" t="n">
        <x:f>-2*O145/Inputs!$C$14</x:f>
        <x:v>-14.77336761088698</x:v>
      </x:c>
      <x:c r="R145" s="9" t="n">
        <x:f>F145-Inputs!$C$16/2</x:f>
        <x:v>651.8581169032889</x:v>
      </x:c>
      <x:c r="S145" s="9" t="n">
        <x:f>F145+Inputs!$C$16/2</x:f>
        <x:v>681.8581169032889</x:v>
      </x:c>
      <x:c r="T145" s="9" t="n">
        <x:f>F145-Inputs!$C$17/2</x:f>
        <x:v>516.8581169032889</x:v>
      </x:c>
      <x:c r="U145" s="9" t="n">
        <x:f>F145+Inputs!$C$17/2</x:f>
        <x:v>816.8581169032889</x:v>
      </x:c>
      <x:c r="V145" s="9" t="n">
        <x:f>ABS(P145)</x:f>
        <x:v>98.39062828850729</x:v>
      </x:c>
      <x:c r="W145" s="9" t="n">
        <x:f>ABS(Q145)</x:f>
        <x:v>14.77336761088698</x:v>
      </x:c>
      <x:c r="X145" s="9"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x:f>
        <x:v>4.044824683821267</x:v>
      </x:c>
      <x:c r="Y145" s="9"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x:f>
        <x:v>434.44467895572086</x:v>
      </x:c>
      <x:c r="Z145" s="9" t="n">
        <x:f>B145-X145/1000</x:f>
        <x:v>400.1428996197606</x:v>
      </x:c>
      <x:c r="AA145" s="9" t="n">
        <x:f>SQRT((Inputs!$C$52+B145)^2+(Inputs!$C$52+Y145/1000)^2-2*(Inputs!$C$52+B145)*(Inputs!$C$52+Y145/1000)*COS(SQRT(A145^2+Inputs!$C$6^2)/Inputs!$C$52))</x:f>
        <x:v>400.90112380972573</x:v>
      </x:c>
      <x:c r="AB145" s="9" t="n">
        <x:f>(AA145-Z145)*1000</x:f>
        <x:v>758.2241899651194</x:v>
      </x:c>
      <x:c r="AC145" s="9" t="n">
        <x:f>AB145/Inputs!$C$12</x:f>
        <x:v>425.9686460478199</x:v>
      </x:c>
      <x:c r="AD145" s="9" t="n">
        <x:f>2*AB145/Inputs!$C$21*1000000</x:f>
        <x:v>5.058327317661337</x:v>
      </x:c>
      <x:c r="AE145" s="9" t="n">
        <x:f>DEGREES(ATAN(H145/(B145-Y145/1000)))</x:f>
        <x:v>3.938309273791066</x:v>
      </x:c>
      <x:c r="AF145" s="9" t="n">
        <x:f>DEGREES((2*PI()/Inputs!$C$13)*Inputs!$C$15*SIN(RADIANS(AE145)))</x:f>
        <x:v>24.725646010641427</x:v>
      </x:c>
      <x:c r="AG145" s="9" t="n">
        <x:f>(Z145/AA145)^4</x:f>
        <x:v>0.9924562360927257</x:v>
      </x:c>
      <x:c r="AH145" s="9" t="n">
        <x:f>10*LOG10(AG145)</x:f>
        <x:v>-0.0328863503586853</x:v>
      </x:c>
      <x:c r="AI145" s="9" t="n">
        <x:f>AC145-F145</x:f>
        <x:v>-240.88947085546897</x:v>
      </x:c>
      <x:c r="AJ145" s="9" t="n">
        <x:f>AD145-G145</x:f>
        <x:v>-2.8605339906365144</x:v>
      </x:c>
      <x:c r="AK145" s="9" t="n">
        <x:f>Y145-X145</x:f>
        <x:v>430.3998542718996</x:v>
      </x:c>
      <x:c r="AL145" s="9" t="n">
        <x:f>1000*(AA146-AA144)/(A146-A144)*Inputs!$C$11</x:f>
        <x:v>334.2414058236045</x:v>
      </x:c>
      <x:c r="AM145" s="9" t="n">
        <x:f>-2*AL145/Inputs!$C$13</x:f>
        <x:v>-133.6965623294418</x:v>
      </x:c>
      <x:c r="AN145" s="9" t="n">
        <x:f>-2*AL145/Inputs!$C$14</x:f>
        <x:v>-20.074558908324597</x:v>
      </x:c>
      <x:c r="AO145" s="9" t="n">
        <x:f>ABS(AM145)</x:f>
        <x:v>133.6965623294418</x:v>
      </x:c>
      <x:c r="AP145" s="9" t="n">
        <x:f>ABS(AN145)</x:f>
        <x:v>20.074558908324597</x:v>
      </x:c>
      <x:c r="AQ145" s="9" t="n">
        <x:f>IF(OR(Inputs!$C$27=TRUE,Inputs!$C$27="TRUE",Inputs!$C$27=1),Inputs!$C$46/Inputs!$C$12,0)</x:f>
        <x:v>42.13483146067416</x:v>
      </x:c>
      <x:c r="AR145" s="9" t="n">
        <x:f>AC145-AQ145</x:f>
        <x:v>383.83381458714575</x:v>
      </x:c>
      <x:c r="AS145" s="9" t="n">
        <x:f>AC145+AQ145</x:f>
        <x:v>468.10347750849405</x:v>
      </x:c>
    </x:row>
    <x:row r="146">
      <x:c r="A146" s="9" t="n">
        <x:f>Inputs!$C$7+144*(Inputs!$C$8-Inputs!$C$7)/240</x:f>
        <x:v>12</x:v>
      </x:c>
      <x:c r="B146" s="9" t="n">
        <x:f>Inputs!$C$5+Inputs!$C$9*(A146/Inputs!$C$10)^2</x:f>
        <x:v>400.16</x:v>
      </x:c>
      <x:c r="C146" s="9" t="n">
        <x:f>B146</x:f>
        <x:v>400.16</x:v>
      </x:c>
      <x:c r="D146" s="9" t="n">
        <x:f>SQRT((Inputs!$C$52+B146)^2+Inputs!$C$52^2-2*(Inputs!$C$52+B146)*Inputs!$C$52*COS(SQRT(A146^2+Inputs!$C$6^2)/Inputs!$C$52))</x:f>
        <x:v>401.3653665146926</x:v>
      </x:c>
      <x:c r="E146" s="9" t="n">
        <x:f>(D146-C146)*1000</x:f>
        <x:v>1205.366514692571</x:v>
      </x:c>
      <x:c r="F146" s="9" t="n">
        <x:f>E146/Inputs!$C$12</x:f>
        <x:v>677.1721992654893</x:v>
      </x:c>
      <x:c r="G146" s="9" t="n">
        <x:f>2*E146/Inputs!$C$21*1000000</x:f>
        <x:v>8.041339817111549</x:v>
      </x:c>
      <x:c r="H146" s="9" t="n">
        <x:f>SQRT(A146^2+Inputs!$C$6^2)</x:f>
        <x:v>27.730849247724095</x:v>
      </x:c>
      <x:c r="I146" s="9" t="n">
        <x:f>DEGREES(ATAN(H146/B146))</x:f>
        <x:v>3.964225499851384</x:v>
      </x:c>
      <x:c r="J146" s="9" t="n">
        <x:f>DEGREES((2*PI()/Inputs!$C$13)*Inputs!$C$15*SIN(RADIANS(I146)))</x:f>
        <x:v>24.888095401136177</x:v>
      </x:c>
      <x:c r="K146" s="9" t="n">
        <x:f>(C146/D146)^4</x:f>
        <x:v>0.9880413448132133</x:v>
      </x:c>
      <x:c r="L146" s="9" t="n">
        <x:f>10*LOG10(K146)</x:f>
        <x:v>-0.0522488188145504</x:v>
      </x:c>
      <x:c r="M146" s="9" t="n">
        <x:f>2*(Inputs!$C$9/(Inputs!$C$10^2))*A146</x:f>
        <x:v>0.026666666666666665</x:v>
      </x:c>
      <x:c r="N146" s="9" t="n">
        <x:f>M146*Inputs!$C$11</x:f>
        <x:v>0.10666666666666666</x:v>
      </x:c>
      <x:c r="O146" s="9" t="n">
        <x:f>1000*(D147-D145)/(A147-A145)*Inputs!$C$11</x:f>
        <x:v>256.65646427364663</x:v>
      </x:c>
      <x:c r="P146" s="9" t="n">
        <x:f>-2*O146/Inputs!$C$13</x:f>
        <x:v>-102.66258570945865</x:v>
      </x:c>
      <x:c r="Q146" s="9" t="n">
        <x:f>-2*O146/Inputs!$C$14</x:f>
        <x:v>-15.414802659077877</x:v>
      </x:c>
      <x:c r="R146" s="9" t="n">
        <x:f>F146-Inputs!$C$16/2</x:f>
        <x:v>662.1721992654893</x:v>
      </x:c>
      <x:c r="S146" s="9" t="n">
        <x:f>F146+Inputs!$C$16/2</x:f>
        <x:v>692.1721992654893</x:v>
      </x:c>
      <x:c r="T146" s="9" t="n">
        <x:f>F146-Inputs!$C$17/2</x:f>
        <x:v>527.1721992654893</x:v>
      </x:c>
      <x:c r="U146" s="9" t="n">
        <x:f>F146+Inputs!$C$17/2</x:f>
        <x:v>827.1721992654893</x:v>
      </x:c>
      <x:c r="V146" s="9" t="n">
        <x:f>ABS(P146)</x:f>
        <x:v>102.66258570945865</x:v>
      </x:c>
      <x:c r="W146" s="9" t="n">
        <x:f>ABS(Q146)</x:f>
        <x:v>15.414802659077877</x:v>
      </x:c>
      <x:c r="X146" s="9"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x:f>
        <x:v>7.0738918061296845</x:v>
      </x:c>
      <x:c r="Y146" s="9"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x:f>
        <x:v>422.8387186345762</x:v>
      </x:c>
      <x:c r="Z146" s="9" t="n">
        <x:f>B146-X146/1000</x:f>
        <x:v>400.15292610819387</x:v>
      </x:c>
      <x:c r="AA146" s="9" t="n">
        <x:f>SQRT((Inputs!$C$52+B146)^2+(Inputs!$C$52+Y146/1000)^2-2*(Inputs!$C$52+B146)*(Inputs!$C$52+Y146/1000)*COS(SQRT(A146^2+Inputs!$C$6^2)/Inputs!$C$52))</x:f>
        <x:v>400.94412538783246</x:v>
      </x:c>
      <x:c r="AB146" s="9" t="n">
        <x:f>(AA146-Z146)*1000</x:f>
        <x:v>791.1992796385903</x:v>
      </x:c>
      <x:c r="AC146" s="9" t="n">
        <x:f>AB146/Inputs!$C$12</x:f>
        <x:v>444.4939773250507</x:v>
      </x:c>
      <x:c r="AD146" s="9" t="n">
        <x:f>2*AB146/Inputs!$C$21*1000000</x:f>
        <x:v>5.278313436681521</x:v>
      </x:c>
      <x:c r="AE146" s="9" t="n">
        <x:f>DEGREES(ATAN(H146/(B146-Y146/1000)))</x:f>
        <x:v>3.9684054344698065</x:v>
      </x:c>
      <x:c r="AF146" s="9" t="n">
        <x:f>DEGREES((2*PI()/Inputs!$C$13)*Inputs!$C$15*SIN(RADIANS(AE146)))</x:f>
        <x:v>24.914295801358694</x:v>
      </x:c>
      <x:c r="AG146" s="9" t="n">
        <x:f>(Z146/AA146)^4</x:f>
        <x:v>0.9921299717263737</x:v>
      </x:c>
      <x:c r="AH146" s="9" t="n">
        <x:f>10*LOG10(AG146)</x:f>
        <x:v>-0.0343143035981726</x:v>
      </x:c>
      <x:c r="AI146" s="9" t="n">
        <x:f>AC146-F146</x:f>
        <x:v>-232.67822194043862</x:v>
      </x:c>
      <x:c r="AJ146" s="9" t="n">
        <x:f>AD146-G146</x:f>
        <x:v>-2.763026380430028</x:v>
      </x:c>
      <x:c r="AK146" s="9" t="n">
        <x:f>Y146-X146</x:f>
        <x:v>415.76482682844653</x:v>
      </x:c>
      <x:c r="AL146" s="9" t="n">
        <x:f>1000*(AA147-AA145)/(A147-A145)*Inputs!$C$11</x:f>
        <x:v>258.13667437319054</x:v>
      </x:c>
      <x:c r="AM146" s="9" t="n">
        <x:f>-2*AL146/Inputs!$C$13</x:f>
        <x:v>-103.25466974927622</x:v>
      </x:c>
      <x:c r="AN146" s="9" t="n">
        <x:f>-2*AL146/Inputs!$C$14</x:f>
        <x:v>-15.503704166557991</x:v>
      </x:c>
      <x:c r="AO146" s="9" t="n">
        <x:f>ABS(AM146)</x:f>
        <x:v>103.25466974927622</x:v>
      </x:c>
      <x:c r="AP146" s="9" t="n">
        <x:f>ABS(AN146)</x:f>
        <x:v>15.503704166557991</x:v>
      </x:c>
      <x:c r="AQ146" s="9" t="n">
        <x:f>IF(OR(Inputs!$C$27=TRUE,Inputs!$C$27="TRUE",Inputs!$C$27=1),Inputs!$C$46/Inputs!$C$12,0)</x:f>
        <x:v>42.13483146067416</x:v>
      </x:c>
      <x:c r="AR146" s="9" t="n">
        <x:f>AC146-AQ146</x:f>
        <x:v>402.35914586437656</x:v>
      </x:c>
      <x:c r="AS146" s="9" t="n">
        <x:f>AC146+AQ146</x:f>
        <x:v>486.62880878572486</x:v>
      </x:c>
    </x:row>
    <x:row r="147">
      <x:c r="A147" s="9" t="n">
        <x:f>Inputs!$C$7+145*(Inputs!$C$8-Inputs!$C$7)/240</x:f>
        <x:v>12.5</x:v>
      </x:c>
      <x:c r="B147" s="9" t="n">
        <x:f>Inputs!$C$5+Inputs!$C$9*(A147/Inputs!$C$10)^2</x:f>
        <x:v>400.1736111111111</x:v>
      </x:c>
      <x:c r="C147" s="9" t="n">
        <x:f>B147</x:f>
        <x:v>400.1736111111111</x:v>
      </x:c>
      <x:c r="D147" s="9" t="n">
        <x:f>SQRT((Inputs!$C$52+B147)^2+Inputs!$C$52^2-2*(Inputs!$C$52+B147)*Inputs!$C$52*COS(SQRT(A147^2+Inputs!$C$6^2)/Inputs!$C$52))</x:f>
        <x:v>401.3981160086007</x:v>
      </x:c>
      <x:c r="E147" s="9" t="n">
        <x:f>(D147-C147)*1000</x:f>
        <x:v>1224.5048974896235</x:v>
      </x:c>
      <x:c r="F147" s="9" t="n">
        <x:f>E147/Inputs!$C$12</x:f>
        <x:v>687.9240997132716</x:v>
      </x:c>
      <x:c r="G147" s="9" t="n">
        <x:f>2*E147/Inputs!$C$21*1000000</x:f>
        <x:v>8.169017363936645</x:v>
      </x:c>
      <x:c r="H147" s="9" t="n">
        <x:f>SQRT(A147^2+Inputs!$C$6^2)</x:f>
        <x:v>27.95084971874737</x:v>
      </x:c>
      <x:c r="I147" s="9" t="n">
        <x:f>DEGREES(ATAN(H147/B147))</x:f>
        <x:v>3.9954384393380815</x:v>
      </x:c>
      <x:c r="J147" s="9" t="n">
        <x:f>DEGREES((2*PI()/Inputs!$C$13)*Inputs!$C$15*SIN(RADIANS(I147)))</x:f>
        <x:v>25.083739154474607</x:v>
      </x:c>
      <x:c r="K147" s="9" t="n">
        <x:f>(C147/D147)^4</x:f>
        <x:v>0.987853325418788</x:v>
      </x:c>
      <x:c r="L147" s="9" t="n">
        <x:f>10*LOG10(K147)</x:f>
        <x:v>-0.0530753384359283</x:v>
      </x:c>
      <x:c r="M147" s="9" t="n">
        <x:f>2*(Inputs!$C$9/(Inputs!$C$10^2))*A147</x:f>
        <x:v>0.027777777777777776</x:v>
      </x:c>
      <x:c r="N147" s="9" t="n">
        <x:f>M147*Inputs!$C$11</x:f>
        <x:v>0.1111111111111111</x:v>
      </x:c>
      <x:c r="O147" s="9" t="n">
        <x:f>1000*(D148-D146)/(A148-A146)*Inputs!$C$11</x:f>
        <x:v>267.334479958663</x:v>
      </x:c>
      <x:c r="P147" s="9" t="n">
        <x:f>-2*O147/Inputs!$C$13</x:f>
        <x:v>-106.9337919834652</x:v>
      </x:c>
      <x:c r="Q147" s="9" t="n">
        <x:f>-2*O147/Inputs!$C$14</x:f>
        <x:v>-16.056124922442223</x:v>
      </x:c>
      <x:c r="R147" s="9" t="n">
        <x:f>F147-Inputs!$C$16/2</x:f>
        <x:v>672.9240997132716</x:v>
      </x:c>
      <x:c r="S147" s="9" t="n">
        <x:f>F147+Inputs!$C$16/2</x:f>
        <x:v>702.9240997132716</x:v>
      </x:c>
      <x:c r="T147" s="9" t="n">
        <x:f>F147-Inputs!$C$17/2</x:f>
        <x:v>537.9240997132716</x:v>
      </x:c>
      <x:c r="U147" s="9" t="n">
        <x:f>F147+Inputs!$C$17/2</x:f>
        <x:v>837.9240997132716</x:v>
      </x:c>
      <x:c r="V147" s="9" t="n">
        <x:f>ABS(P147)</x:f>
        <x:v>106.9337919834652</x:v>
      </x:c>
      <x:c r="W147" s="9" t="n">
        <x:f>ABS(Q147)</x:f>
        <x:v>16.056124922442223</x:v>
      </x:c>
      <x:c r="X147" s="9"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x:f>
        <x:v>-5.687454175445142</x:v>
      </x:c>
      <x:c r="Y147" s="9"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x:f>
        <x:v>434.12423495839124</x:v>
      </x:c>
      <x:c r="Z147" s="9" t="n">
        <x:f>B147-X147/1000</x:f>
        <x:v>400.17929856528656</x:v>
      </x:c>
      <x:c r="AA147" s="9" t="n">
        <x:f>SQRT((Inputs!$C$52+B147)^2+(Inputs!$C$52+Y147/1000)^2-2*(Inputs!$C$52+B147)*(Inputs!$C$52+Y147/1000)*COS(SQRT(A147^2+Inputs!$C$6^2)/Inputs!$C$52))</x:f>
        <x:v>400.96565797831903</x:v>
      </x:c>
      <x:c r="AB147" s="9" t="n">
        <x:f>(AA147-Z147)*1000</x:f>
        <x:v>786.3594130324714</x:v>
      </x:c>
      <x:c r="AC147" s="9" t="n">
        <x:f>AB147/Inputs!$C$12</x:f>
        <x:v>441.77495114183785</x:v>
      </x:c>
      <x:c r="AD147" s="9" t="n">
        <x:f>2*AB147/Inputs!$C$21*1000000</x:f>
        <x:v>5.246025322174525</x:v>
      </x:c>
      <x:c r="AE147" s="9" t="n">
        <x:f>DEGREES(ATAN(H147/(B147-Y147/1000)))</x:f>
        <x:v>3.999763481082064</x:v>
      </x:c>
      <x:c r="AF147" s="9" t="n">
        <x:f>DEGREES((2*PI()/Inputs!$C$13)*Inputs!$C$15*SIN(RADIANS(AE147)))</x:f>
        <x:v>25.110848075526988</x:v>
      </x:c>
      <x:c r="AG147" s="9" t="n">
        <x:f>(Z147/AA147)^4</x:f>
        <x:v>0.9921783908346241</x:v>
      </x:c>
      <x:c r="AH147" s="9" t="n">
        <x:f>10*LOG10(AG147)</x:f>
        <x:v>-0.0341023592055295</x:v>
      </x:c>
      <x:c r="AI147" s="9" t="n">
        <x:f>AC147-F147</x:f>
        <x:v>-246.14914857143378</x:v>
      </x:c>
      <x:c r="AJ147" s="9" t="n">
        <x:f>AD147-G147</x:f>
        <x:v>-2.92299204176212</x:v>
      </x:c>
      <x:c r="AK147" s="9" t="n">
        <x:f>Y147-X147</x:f>
        <x:v>439.8116891338364</x:v>
      </x:c>
      <x:c r="AL147" s="9" t="n">
        <x:f>1000*(AA148-AA146)/(A148-A146)*Inputs!$C$11</x:f>
        <x:v>243.6483230324029</x:v>
      </x:c>
      <x:c r="AM147" s="9" t="n">
        <x:f>-2*AL147/Inputs!$C$13</x:f>
        <x:v>-97.45932921296117</x:v>
      </x:c>
      <x:c r="AN147" s="9" t="n">
        <x:f>-2*AL147/Inputs!$C$14</x:f>
        <x:v>-14.633532914859035</x:v>
      </x:c>
      <x:c r="AO147" s="9" t="n">
        <x:f>ABS(AM147)</x:f>
        <x:v>97.45932921296117</x:v>
      </x:c>
      <x:c r="AP147" s="9" t="n">
        <x:f>ABS(AN147)</x:f>
        <x:v>14.633532914859035</x:v>
      </x:c>
      <x:c r="AQ147" s="9" t="n">
        <x:f>IF(OR(Inputs!$C$27=TRUE,Inputs!$C$27="TRUE",Inputs!$C$27=1),Inputs!$C$46/Inputs!$C$12,0)</x:f>
        <x:v>42.13483146067416</x:v>
      </x:c>
      <x:c r="AR147" s="9" t="n">
        <x:f>AC147-AQ147</x:f>
        <x:v>399.6401196811637</x:v>
      </x:c>
      <x:c r="AS147" s="9" t="n">
        <x:f>AC147+AQ147</x:f>
        <x:v>483.909782602512</x:v>
      </x:c>
    </x:row>
    <x:row r="148">
      <x:c r="A148" s="9" t="n">
        <x:f>Inputs!$C$7+146*(Inputs!$C$8-Inputs!$C$7)/240</x:f>
        <x:v>13</x:v>
      </x:c>
      <x:c r="B148" s="9" t="n">
        <x:f>Inputs!$C$5+Inputs!$C$9*(A148/Inputs!$C$10)^2</x:f>
        <x:v>400.1877777777778</x:v>
      </x:c>
      <x:c r="C148" s="9" t="n">
        <x:f>B148</x:f>
        <x:v>400.1877777777778</x:v>
      </x:c>
      <x:c r="D148" s="9" t="n">
        <x:f>SQRT((Inputs!$C$52+B148)^2+Inputs!$C$52^2-2*(Inputs!$C$52+B148)*Inputs!$C$52*COS(SQRT(A148^2+Inputs!$C$6^2)/Inputs!$C$52))</x:f>
        <x:v>401.43220013468226</x:v>
      </x:c>
      <x:c r="E148" s="9" t="n">
        <x:f>(D148-C148)*1000</x:f>
        <x:v>1244.4223569044652</x:v>
      </x:c>
      <x:c r="F148" s="9" t="n">
        <x:f>E148/Inputs!$C$12</x:f>
        <x:v>699.1136836541939</x:v>
      </x:c>
      <x:c r="G148" s="9" t="n">
        <x:f>2*E148/Inputs!$C$21*1000000</x:f>
        <x:v>8.301892350503795</x:v>
      </x:c>
      <x:c r="H148" s="9" t="n">
        <x:f>SQRT(A148^2+Inputs!$C$6^2)</x:f>
        <x:v>28.178005607210743</x:v>
      </x:c>
      <x:c r="I148" s="9" t="n">
        <x:f>DEGREES(ATAN(H148/B148))</x:f>
        <x:v>4.027660713508556</x:v>
      </x:c>
      <x:c r="J148" s="9" t="n">
        <x:f>DEGREES((2*PI()/Inputs!$C$13)*Inputs!$C$15*SIN(RADIANS(I148)))</x:f>
        <x:v>25.285701641717207</x:v>
      </x:c>
      <x:c r="K148" s="9" t="n">
        <x:f>(C148/D148)^4</x:f>
        <x:v>0.9876577133271429</x:v>
      </x:c>
      <x:c r="L148" s="9" t="n">
        <x:f>10*LOG10(K148)</x:f>
        <x:v>-0.053935401990183</x:v>
      </x:c>
      <x:c r="M148" s="9" t="n">
        <x:f>2*(Inputs!$C$9/(Inputs!$C$10^2))*A148</x:f>
        <x:v>0.028888888888888888</x:v>
      </x:c>
      <x:c r="N148" s="9" t="n">
        <x:f>M148*Inputs!$C$11</x:f>
        <x:v>0.11555555555555555</x:v>
      </x:c>
      <x:c r="O148" s="9" t="n">
        <x:f>1000*(D149-D147)/(A149-A147)*Inputs!$C$11</x:f>
        <x:v>278.01054033716355</x:v>
      </x:c>
      <x:c r="P148" s="9" t="n">
        <x:f>-2*O148/Inputs!$C$13</x:f>
        <x:v>-111.20421613486542</x:v>
      </x:c>
      <x:c r="Q148" s="9" t="n">
        <x:f>-2*O148/Inputs!$C$14</x:f>
        <x:v>-16.697329749979794</x:v>
      </x:c>
      <x:c r="R148" s="9" t="n">
        <x:f>F148-Inputs!$C$16/2</x:f>
        <x:v>684.1136836541939</x:v>
      </x:c>
      <x:c r="S148" s="9" t="n">
        <x:f>F148+Inputs!$C$16/2</x:f>
        <x:v>714.1136836541939</x:v>
      </x:c>
      <x:c r="T148" s="9" t="n">
        <x:f>F148-Inputs!$C$17/2</x:f>
        <x:v>549.1136836541939</x:v>
      </x:c>
      <x:c r="U148" s="9" t="n">
        <x:f>F148+Inputs!$C$17/2</x:f>
        <x:v>849.1136836541939</x:v>
      </x:c>
      <x:c r="V148" s="9" t="n">
        <x:f>ABS(P148)</x:f>
        <x:v>111.20421613486542</x:v>
      </x:c>
      <x:c r="W148" s="9" t="n">
        <x:f>ABS(Q148)</x:f>
        <x:v>16.697329749979794</x:v>
      </x:c>
      <x:c r="X148" s="9"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x:f>
        <x:v>-3.618490966575764</x:v>
      </x:c>
      <x:c r="Y148" s="9"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x:f>
        <x:v>428.8351991704085</x:v>
      </x:c>
      <x:c r="Z148" s="9" t="n">
        <x:f>B148-X148/1000</x:f>
        <x:v>400.19139626874437</x:v>
      </x:c>
      <x:c r="AA148" s="9" t="n">
        <x:f>SQRT((Inputs!$C$52+B148)^2+(Inputs!$C$52+Y148/1000)^2-2*(Inputs!$C$52+B148)*(Inputs!$C$52+Y148/1000)*COS(SQRT(A148^2+Inputs!$C$6^2)/Inputs!$C$52))</x:f>
        <x:v>401.00503746859056</x:v>
      </x:c>
      <x:c r="AB148" s="9" t="n">
        <x:f>(AA148-Z148)*1000</x:f>
        <x:v>813.6411998461881</x:v>
      </x:c>
      <x:c r="AC148" s="9" t="n">
        <x:f>AB148/Inputs!$C$12</x:f>
        <x:v>457.10179766639783</x:v>
      </x:c>
      <x:c r="AD148" s="9" t="n">
        <x:f>2*AB148/Inputs!$C$21*1000000</x:f>
        <x:v>5.428029812852651</x:v>
      </x:c>
      <x:c r="AE148" s="9" t="n">
        <x:f>DEGREES(ATAN(H148/(B148-Y148/1000)))</x:f>
        <x:v>4.0319670816827795</x:v>
      </x:c>
      <x:c r="AF148" s="9" t="n">
        <x:f>DEGREES((2*PI()/Inputs!$C$13)*Inputs!$C$15*SIN(RADIANS(AE148)))</x:f>
        <x:v>25.312692453940397</x:v>
      </x:c>
      <x:c r="AG148" s="9" t="n">
        <x:f>(Z148/AA148)^4</x:f>
        <x:v>0.9919086480319432</x:v>
      </x:c>
      <x:c r="AH148" s="9" t="n">
        <x:f>10*LOG10(AG148)</x:f>
        <x:v>-0.035283232918873204</x:v>
      </x:c>
      <x:c r="AI148" s="9" t="n">
        <x:f>AC148-F148</x:f>
        <x:v>-242.01188598779606</x:v>
      </x:c>
      <x:c r="AJ148" s="9" t="n">
        <x:f>AD148-G148</x:f>
        <x:v>-2.873862537651144</x:v>
      </x:c>
      <x:c r="AK148" s="9" t="n">
        <x:f>Y148-X148</x:f>
        <x:v>432.4536901369843</x:v>
      </x:c>
      <x:c r="AL148" s="9" t="n">
        <x:f>1000*(AA149-AA147)/(A149-A147)*Inputs!$C$11</x:f>
        <x:v>378.94144782217154</x:v>
      </x:c>
      <x:c r="AM148" s="9" t="n">
        <x:f>-2*AL148/Inputs!$C$13</x:f>
        <x:v>-151.57657912886862</x:v>
      </x:c>
      <x:c r="AN148" s="9" t="n">
        <x:f>-2*AL148/Inputs!$C$14</x:f>
        <x:v>-22.75924611544574</x:v>
      </x:c>
      <x:c r="AO148" s="9" t="n">
        <x:f>ABS(AM148)</x:f>
        <x:v>151.57657912886862</x:v>
      </x:c>
      <x:c r="AP148" s="9" t="n">
        <x:f>ABS(AN148)</x:f>
        <x:v>22.75924611544574</x:v>
      </x:c>
      <x:c r="AQ148" s="9" t="n">
        <x:f>IF(OR(Inputs!$C$27=TRUE,Inputs!$C$27="TRUE",Inputs!$C$27=1),Inputs!$C$46/Inputs!$C$12,0)</x:f>
        <x:v>42.13483146067416</x:v>
      </x:c>
      <x:c r="AR148" s="9" t="n">
        <x:f>AC148-AQ148</x:f>
        <x:v>414.9669662057237</x:v>
      </x:c>
      <x:c r="AS148" s="9" t="n">
        <x:f>AC148+AQ148</x:f>
        <x:v>499.236629127072</x:v>
      </x:c>
    </x:row>
    <x:row r="149">
      <x:c r="A149" s="9" t="n">
        <x:f>Inputs!$C$7+147*(Inputs!$C$8-Inputs!$C$7)/240</x:f>
        <x:v>13.5</x:v>
      </x:c>
      <x:c r="B149" s="9" t="n">
        <x:f>Inputs!$C$5+Inputs!$C$9*(A149/Inputs!$C$10)^2</x:f>
        <x:v>400.2025</x:v>
      </x:c>
      <x:c r="C149" s="9" t="n">
        <x:f>B149</x:f>
        <x:v>400.2025</x:v>
      </x:c>
      <x:c r="D149" s="9" t="n">
        <x:f>SQRT((Inputs!$C$52+B149)^2+Inputs!$C$52^2-2*(Inputs!$C$52+B149)*Inputs!$C$52*COS(SQRT(A149^2+Inputs!$C$6^2)/Inputs!$C$52))</x:f>
        <x:v>401.467618643685</x:v>
      </x:c>
      <x:c r="E149" s="9" t="n">
        <x:f>(D149-C149)*1000</x:f>
        <x:v>1265.118643685014</x:v>
      </x:c>
      <x:c r="F149" s="9" t="n">
        <x:f>E149/Inputs!$C$12</x:f>
        <x:v>710.7408110589965</x:v>
      </x:c>
      <x:c r="G149" s="9" t="n">
        <x:f>2*E149/Inputs!$C$21*1000000</x:f>
        <x:v>8.439963113982099</x:v>
      </x:c>
      <x:c r="H149" s="9" t="n">
        <x:f>SQRT(A149^2+Inputs!$C$6^2)</x:f>
        <x:v>28.412145290350743</x:v>
      </x:c>
      <x:c r="I149" s="9" t="n">
        <x:f>DEGREES(ATAN(H149/B149))</x:f>
        <x:v>4.060867373737527</x:v>
      </x:c>
      <x:c r="J149" s="9" t="n">
        <x:f>DEGREES((2*PI()/Inputs!$C$13)*Inputs!$C$15*SIN(RADIANS(I149)))</x:f>
        <x:v>25.49382568709516</x:v>
      </x:c>
      <x:c r="K149" s="9" t="n">
        <x:f>(C149/D149)^4</x:f>
        <x:v>0.9874545182738117</x:v>
      </x:c>
      <x:c r="L149" s="9" t="n">
        <x:f>10*LOG10(K149)</x:f>
        <x:v>-0.054828986560327496</x:v>
      </x:c>
      <x:c r="M149" s="9" t="n">
        <x:f>2*(Inputs!$C$9/(Inputs!$C$10^2))*A149</x:f>
        <x:v>0.03</x:v>
      </x:c>
      <x:c r="N149" s="9" t="n">
        <x:f>M149*Inputs!$C$11</x:f>
        <x:v>0.12</x:v>
      </x:c>
      <x:c r="O149" s="9" t="n">
        <x:f>1000*(D150-D148)/(A150-A148)*Inputs!$C$11</x:f>
        <x:v>288.68456805867027</x:v>
      </x:c>
      <x:c r="P149" s="9" t="n">
        <x:f>-2*O149/Inputs!$C$13</x:f>
        <x:v>-115.4738272234681</x:v>
      </x:c>
      <x:c r="Q149" s="9" t="n">
        <x:f>-2*O149/Inputs!$C$14</x:f>
        <x:v>-17.338412496016232</x:v>
      </x:c>
      <x:c r="R149" s="9" t="n">
        <x:f>F149-Inputs!$C$16/2</x:f>
        <x:v>695.7408110589965</x:v>
      </x:c>
      <x:c r="S149" s="9" t="n">
        <x:f>F149+Inputs!$C$16/2</x:f>
        <x:v>725.7408110589965</x:v>
      </x:c>
      <x:c r="T149" s="9" t="n">
        <x:f>F149-Inputs!$C$17/2</x:f>
        <x:v>560.7408110589965</x:v>
      </x:c>
      <x:c r="U149" s="9" t="n">
        <x:f>F149+Inputs!$C$17/2</x:f>
        <x:v>860.7408110589965</x:v>
      </x:c>
      <x:c r="V149" s="9" t="n">
        <x:f>ABS(P149)</x:f>
        <x:v>115.4738272234681</x:v>
      </x:c>
      <x:c r="W149" s="9" t="n">
        <x:f>ABS(Q149)</x:f>
        <x:v>17.338412496016232</x:v>
      </x:c>
      <x:c r="X149" s="9"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x:f>
        <x:v>0.04576132524433074</x:v>
      </x:c>
      <x:c r="Y149" s="9"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x:f>
        <x:v>408.84619240872695</x:v>
      </x:c>
      <x:c r="Z149" s="9" t="n">
        <x:f>B149-X149/1000</x:f>
        <x:v>400.20245423867476</x:v>
      </x:c>
      <x:c r="AA149" s="9" t="n">
        <x:f>SQRT((Inputs!$C$52+B149)^2+(Inputs!$C$52+Y149/1000)^2-2*(Inputs!$C$52+B149)*(Inputs!$C$52+Y149/1000)*COS(SQRT(A149^2+Inputs!$C$6^2)/Inputs!$C$52))</x:f>
        <x:v>401.0603933402746</x:v>
      </x:c>
      <x:c r="AB149" s="9" t="n">
        <x:f>(AA149-Z149)*1000</x:f>
        <x:v>857.9391015998112</x:v>
      </x:c>
      <x:c r="AC149" s="9" t="n">
        <x:f>AB149/Inputs!$C$12</x:f>
        <x:v>481.98825932573664</x:v>
      </x:c>
      <x:c r="AD149" s="9" t="n">
        <x:f>2*AB149/Inputs!$C$21*1000000</x:f>
        <x:v>5.723553603205129</x:v>
      </x:c>
      <x:c r="AE149" s="9" t="n">
        <x:f>DEGREES(ATAN(H149/(B149-Y149/1000)))</x:f>
        <x:v>4.065006276837715</x:v>
      </x:c>
      <x:c r="AF149" s="9" t="n">
        <x:f>DEGREES((2*PI()/Inputs!$C$13)*Inputs!$C$15*SIN(RADIANS(AE149)))</x:f>
        <x:v>25.519765825853014</x:v>
      </x:c>
      <x:c r="AG149" s="9" t="n">
        <x:f>(Z149/AA149)^4</x:f>
        <x:v>0.9914707100025549</x:v>
      </x:c>
      <x:c r="AH149" s="9" t="n">
        <x:f>10*LOG10(AG149)</x:f>
        <x:v>-0.0372011118349706</x:v>
      </x:c>
      <x:c r="AI149" s="9" t="n">
        <x:f>AC149-F149</x:f>
        <x:v>-228.7525517332599</x:v>
      </x:c>
      <x:c r="AJ149" s="9" t="n">
        <x:f>AD149-G149</x:f>
        <x:v>-2.7164095107769697</x:v>
      </x:c>
      <x:c r="AK149" s="9" t="n">
        <x:f>Y149-X149</x:f>
        <x:v>408.80043108348264</x:v>
      </x:c>
      <x:c r="AL149" s="9" t="n">
        <x:f>1000*(AA150-AA148)/(A150-A148)*Inputs!$C$11</x:f>
        <x:v>353.78412979207496</x:v>
      </x:c>
      <x:c r="AM149" s="9" t="n">
        <x:f>-2*AL149/Inputs!$C$13</x:f>
        <x:v>-141.51365191682999</x:v>
      </x:c>
      <x:c r="AN149" s="9" t="n">
        <x:f>-2*AL149/Inputs!$C$14</x:f>
        <x:v>-21.248296083608107</x:v>
      </x:c>
      <x:c r="AO149" s="9" t="n">
        <x:f>ABS(AM149)</x:f>
        <x:v>141.51365191682999</x:v>
      </x:c>
      <x:c r="AP149" s="9" t="n">
        <x:f>ABS(AN149)</x:f>
        <x:v>21.248296083608107</x:v>
      </x:c>
      <x:c r="AQ149" s="9" t="n">
        <x:f>IF(OR(Inputs!$C$27=TRUE,Inputs!$C$27="TRUE",Inputs!$C$27=1),Inputs!$C$46/Inputs!$C$12,0)</x:f>
        <x:v>42.13483146067416</x:v>
      </x:c>
      <x:c r="AR149" s="9" t="n">
        <x:f>AC149-AQ149</x:f>
        <x:v>439.8534278650625</x:v>
      </x:c>
      <x:c r="AS149" s="9" t="n">
        <x:f>AC149+AQ149</x:f>
        <x:v>524.1230907864108</x:v>
      </x:c>
    </x:row>
    <x:row r="150">
      <x:c r="A150" s="9" t="n">
        <x:f>Inputs!$C$7+148*(Inputs!$C$8-Inputs!$C$7)/240</x:f>
        <x:v>14</x:v>
      </x:c>
      <x:c r="B150" s="9" t="n">
        <x:f>Inputs!$C$5+Inputs!$C$9*(A150/Inputs!$C$10)^2</x:f>
        <x:v>400.21777777777777</x:v>
      </x:c>
      <x:c r="C150" s="9" t="n">
        <x:f>B150</x:f>
        <x:v>400.21777777777777</x:v>
      </x:c>
      <x:c r="D150" s="9" t="n">
        <x:f>SQRT((Inputs!$C$52+B150)^2+Inputs!$C$52^2-2*(Inputs!$C$52+B150)*Inputs!$C$52*COS(SQRT(A150^2+Inputs!$C$6^2)/Inputs!$C$52))</x:f>
        <x:v>401.50437127669693</x:v>
      </x:c>
      <x:c r="E150" s="9" t="n">
        <x:f>(D150-C150)*1000</x:f>
        <x:v>1286.59349891916</x:v>
      </x:c>
      <x:c r="F150" s="9" t="n">
        <x:f>E150/Inputs!$C$12</x:f>
        <x:v>722.8053364714383</x:v>
      </x:c>
      <x:c r="G150" s="9" t="n">
        <x:f>2*E150/Inputs!$C$21*1000000</x:f>
        <x:v>8.583227927095885</x:v>
      </x:c>
      <x:c r="H150" s="9" t="n">
        <x:f>SQRT(A150^2+Inputs!$C$6^2)</x:f>
        <x:v>28.653097563788805</x:v>
      </x:c>
      <x:c r="I150" s="9" t="n">
        <x:f>DEGREES(ATAN(H150/B150))</x:f>
        <x:v>4.095033523300829</x:v>
      </x:c>
      <x:c r="J150" s="9" t="n">
        <x:f>DEGREES((2*PI()/Inputs!$C$13)*Inputs!$C$15*SIN(RADIANS(I150)))</x:f>
        <x:v>25.707954430803454</x:v>
      </x:c>
      <x:c r="K150" s="9" t="n">
        <x:f>(C150/D150)^4</x:f>
        <x:v>0.9872437503659116</x:v>
      </x:c>
      <x:c r="L150" s="9" t="n">
        <x:f>10*LOG10(K150)</x:f>
        <x:v>-0.0557560683445633</x:v>
      </x:c>
      <x:c r="M150" s="9" t="n">
        <x:f>2*(Inputs!$C$9/(Inputs!$C$10^2))*A150</x:f>
        <x:v>0.03111111111111111</x:v>
      </x:c>
      <x:c r="N150" s="9" t="n">
        <x:f>M150*Inputs!$C$11</x:f>
        <x:v>0.12444444444444444</x:v>
      </x:c>
      <x:c r="O150" s="9" t="n">
        <x:f>1000*(D151-D149)/(A151-A149)*Inputs!$C$11</x:f>
        <x:v>299.356485882754</x:v>
      </x:c>
      <x:c r="P150" s="9" t="n">
        <x:f>-2*O150/Inputs!$C$13</x:f>
        <x:v>-119.7425943531016</x:v>
      </x:c>
      <x:c r="Q150" s="9" t="n">
        <x:f>-2*O150/Inputs!$C$14</x:f>
        <x:v>-17.979368521486727</x:v>
      </x:c>
      <x:c r="R150" s="9" t="n">
        <x:f>F150-Inputs!$C$16/2</x:f>
        <x:v>707.8053364714383</x:v>
      </x:c>
      <x:c r="S150" s="9" t="n">
        <x:f>F150+Inputs!$C$16/2</x:f>
        <x:v>737.8053364714383</x:v>
      </x:c>
      <x:c r="T150" s="9" t="n">
        <x:f>F150-Inputs!$C$17/2</x:f>
        <x:v>572.8053364714383</x:v>
      </x:c>
      <x:c r="U150" s="9" t="n">
        <x:f>F150+Inputs!$C$17/2</x:f>
        <x:v>872.8053364714383</x:v>
      </x:c>
      <x:c r="V150" s="9" t="n">
        <x:f>ABS(P150)</x:f>
        <x:v>119.7425943531016</x:v>
      </x:c>
      <x:c r="W150" s="9" t="n">
        <x:f>ABS(Q150)</x:f>
        <x:v>17.979368521486727</x:v>
      </x:c>
      <x:c r="X150" s="9"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x:f>
        <x:v>17.14805919414721</x:v>
      </x:c>
      <x:c r="Y150" s="9"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x:f>
        <x:v>412.55100068044544</x:v>
      </x:c>
      <x:c r="Z150" s="9" t="n">
        <x:f>B150-X150/1000</x:f>
        <x:v>400.2006297185836</x:v>
      </x:c>
      <x:c r="AA150" s="9" t="n">
        <x:f>SQRT((Inputs!$C$52+B150)^2+(Inputs!$C$52+Y150/1000)^2-2*(Inputs!$C$52+B150)*(Inputs!$C$52+Y150/1000)*COS(SQRT(A150^2+Inputs!$C$6^2)/Inputs!$C$52))</x:f>
        <x:v>401.0934835010386</x:v>
      </x:c>
      <x:c r="AB150" s="9" t="n">
        <x:f>(AA150-Z150)*1000</x:f>
        <x:v>892.8537824549494</x:v>
      </x:c>
      <x:c r="AC150" s="9" t="n">
        <x:f>AB150/Inputs!$C$12</x:f>
        <x:v>501.6032485701963</x:v>
      </x:c>
      <x:c r="AD150" s="9" t="n">
        <x:f>2*AB150/Inputs!$C$21*1000000</x:f>
        <x:v>5.956479281776657</x:v>
      </x:c>
      <x:c r="AE150" s="9" t="n">
        <x:f>DEGREES(ATAN(H150/(B150-Y150/1000)))</x:f>
        <x:v>4.0992447087081025</x:v>
      </x:c>
      <x:c r="AF150" s="9" t="n">
        <x:f>DEGREES((2*PI()/Inputs!$C$13)*Inputs!$C$15*SIN(RADIANS(AE150)))</x:f>
        <x:v>25.734346467493268</x:v>
      </x:c>
      <x:c r="AG150" s="9" t="n">
        <x:f>(Z150/AA150)^4</x:f>
        <x:v>0.99112549132378</x:v>
      </x:c>
      <x:c r="AH150" s="9" t="n">
        <x:f>10*LOG10(AG150)</x:f>
        <x:v>-0.0387135385071976</x:v>
      </x:c>
      <x:c r="AI150" s="9" t="n">
        <x:f>AC150-F150</x:f>
        <x:v>-221.202087901242</x:v>
      </x:c>
      <x:c r="AJ150" s="9" t="n">
        <x:f>AD150-G150</x:f>
        <x:v>-2.6267486453192284</x:v>
      </x:c>
      <x:c r="AK150" s="9" t="n">
        <x:f>Y150-X150</x:f>
        <x:v>395.40294148629823</x:v>
      </x:c>
      <x:c r="AL150" s="9" t="n">
        <x:f>1000*(AA151-AA149)/(A151-A149)*Inputs!$C$11</x:f>
        <x:v>272.8045422352352</x:v>
      </x:c>
      <x:c r="AM150" s="9" t="n">
        <x:f>-2*AL150/Inputs!$C$13</x:f>
        <x:v>-109.12181689409408</x:v>
      </x:c>
      <x:c r="AN150" s="9" t="n">
        <x:f>-2*AL150/Inputs!$C$14</x:f>
        <x:v>-16.38465719130542</x:v>
      </x:c>
      <x:c r="AO150" s="9" t="n">
        <x:f>ABS(AM150)</x:f>
        <x:v>109.12181689409408</x:v>
      </x:c>
      <x:c r="AP150" s="9" t="n">
        <x:f>ABS(AN150)</x:f>
        <x:v>16.38465719130542</x:v>
      </x:c>
      <x:c r="AQ150" s="9" t="n">
        <x:f>IF(OR(Inputs!$C$27=TRUE,Inputs!$C$27="TRUE",Inputs!$C$27=1),Inputs!$C$46/Inputs!$C$12,0)</x:f>
        <x:v>42.13483146067416</x:v>
      </x:c>
      <x:c r="AR150" s="9" t="n">
        <x:f>AC150-AQ150</x:f>
        <x:v>459.46841710952214</x:v>
      </x:c>
      <x:c r="AS150" s="9" t="n">
        <x:f>AC150+AQ150</x:f>
        <x:v>543.7380800308705</x:v>
      </x:c>
    </x:row>
    <x:row r="151">
      <x:c r="A151" s="9" t="n">
        <x:f>Inputs!$C$7+149*(Inputs!$C$8-Inputs!$C$7)/240</x:f>
        <x:v>14.5</x:v>
      </x:c>
      <x:c r="B151" s="9" t="n">
        <x:f>Inputs!$C$5+Inputs!$C$9*(A151/Inputs!$C$10)^2</x:f>
        <x:v>400.2336111111111</x:v>
      </x:c>
      <x:c r="C151" s="9" t="n">
        <x:f>B151</x:f>
        <x:v>400.2336111111111</x:v>
      </x:c>
      <x:c r="D151" s="9" t="n">
        <x:f>SQRT((Inputs!$C$52+B151)^2+Inputs!$C$52^2-2*(Inputs!$C$52+B151)*Inputs!$C$52*COS(SQRT(A151^2+Inputs!$C$6^2)/Inputs!$C$52))</x:f>
        <x:v>401.5424577651557</x:v>
      </x:c>
      <x:c r="E151" s="9" t="n">
        <x:f>(D151-C151)*1000</x:f>
        <x:v>1308.8466540446007</x:v>
      </x:c>
      <x:c r="F151" s="9" t="n">
        <x:f>E151/Inputs!$C$12</x:f>
        <x:v>735.3071090138205</x:v>
      </x:c>
      <x:c r="G151" s="9" t="n">
        <x:f>2*E151/Inputs!$C$21*1000000</x:f>
        <x:v>8.73168499819032</x:v>
      </x:c>
      <x:c r="H151" s="9" t="n">
        <x:f>SQRT(A151^2+Inputs!$C$6^2)</x:f>
        <x:v>28.90069203323685</x:v>
      </x:c>
      <x:c r="I151" s="9" t="n">
        <x:f>DEGREES(ATAN(H151/B151))</x:f>
        <x:v>4.130134373943814</x:v>
      </x:c>
      <x:c r="J151" s="9" t="n">
        <x:f>DEGREES((2*PI()/Inputs!$C$13)*Inputs!$C$15*SIN(RADIANS(I151)))</x:f>
        <x:v>25.927931684939455</x:v>
      </x:c>
      <x:c r="K151" s="9" t="n">
        <x:f>(C151/D151)^4</x:f>
        <x:v>0.9870254200810124</x:v>
      </x:c>
      <x:c r="L151" s="9" t="n">
        <x:f>10*LOG10(K151)</x:f>
        <x:v>-0.056716622657723995</x:v>
      </x:c>
      <x:c r="M151" s="9" t="n">
        <x:f>2*(Inputs!$C$9/(Inputs!$C$10^2))*A151</x:f>
        <x:v>0.03222222222222222</x:v>
      </x:c>
      <x:c r="N151" s="9" t="n">
        <x:f>M151*Inputs!$C$11</x:f>
        <x:v>0.1288888888888889</x:v>
      </x:c>
      <x:c r="O151" s="9" t="n">
        <x:f>1000*(D152-D150)/(A152-A150)*Inputs!$C$11</x:f>
        <x:v>310.026216641063</x:v>
      </x:c>
      <x:c r="P151" s="9" t="n">
        <x:f>-2*O151/Inputs!$C$13</x:f>
        <x:v>-124.0104866564252</x:v>
      </x:c>
      <x:c r="Q151" s="9" t="n">
        <x:f>-2*O151/Inputs!$C$14</x:f>
        <x:v>-18.62019319165544</x:v>
      </x:c>
      <x:c r="R151" s="9" t="n">
        <x:f>F151-Inputs!$C$16/2</x:f>
        <x:v>720.3071090138205</x:v>
      </x:c>
      <x:c r="S151" s="9" t="n">
        <x:f>F151+Inputs!$C$16/2</x:f>
        <x:v>750.3071090138205</x:v>
      </x:c>
      <x:c r="T151" s="9" t="n">
        <x:f>F151-Inputs!$C$17/2</x:f>
        <x:v>585.3071090138205</x:v>
      </x:c>
      <x:c r="U151" s="9" t="n">
        <x:f>F151+Inputs!$C$17/2</x:f>
        <x:v>885.3071090138205</x:v>
      </x:c>
      <x:c r="V151" s="9" t="n">
        <x:f>ABS(P151)</x:f>
        <x:v>124.0104866564252</x:v>
      </x:c>
      <x:c r="W151" s="9" t="n">
        <x:f>ABS(Q151)</x:f>
        <x:v>18.62019319165544</x:v>
      </x:c>
      <x:c r="X151" s="9"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x:f>
        <x:v>27.325427950737776</x:v>
      </x:c>
      <x:c r="Y151" s="9"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x:f>
        <x:v>415.5675277705944</x:v>
      </x:c>
      <x:c r="Z151" s="9" t="n">
        <x:f>B151-X151/1000</x:f>
        <x:v>400.20628568316033</x:v>
      </x:c>
      <x:c r="AA151" s="9" t="n">
        <x:f>SQRT((Inputs!$C$52+B151)^2+(Inputs!$C$52+Y151/1000)^2-2*(Inputs!$C$52+B151)*(Inputs!$C$52+Y151/1000)*COS(SQRT(A151^2+Inputs!$C$6^2)/Inputs!$C$52))</x:f>
        <x:v>401.1285944758334</x:v>
      </x:c>
      <x:c r="AB151" s="9" t="n">
        <x:f>(AA151-Z151)*1000</x:f>
        <x:v>922.30879267305</x:v>
      </x:c>
      <x:c r="AC151" s="9" t="n">
        <x:f>AB151/Inputs!$C$12</x:f>
        <x:v>518.151007119691</x:v>
      </x:c>
      <x:c r="AD151" s="9" t="n">
        <x:f>2*AB151/Inputs!$C$21*1000000</x:f>
        <x:v>6.152981958425719</x:v>
      </x:c>
      <x:c r="AE151" s="9" t="n">
        <x:f>DEGREES(ATAN(H151/(B151-Y151/1000)))</x:f>
        <x:v>4.1344123225834135</x:v>
      </x:c>
      <x:c r="AF151" s="9" t="n">
        <x:f>DEGREES((2*PI()/Inputs!$C$13)*Inputs!$C$15*SIN(RADIANS(AE151)))</x:f>
        <x:v>25.95474095265446</x:v>
      </x:c>
      <x:c r="AG151" s="9" t="n">
        <x:f>(Z151/AA151)^4</x:f>
        <x:v>0.9908345333349294</x:v>
      </x:c>
      <x:c r="AH151" s="9" t="n">
        <x:f>10*LOG10(AG151)</x:f>
        <x:v>-0.0399886545373808</x:v>
      </x:c>
      <x:c r="AI151" s="9" t="n">
        <x:f>AC151-F151</x:f>
        <x:v>-217.1561018941295</x:v>
      </x:c>
      <x:c r="AJ151" s="9" t="n">
        <x:f>AD151-G151</x:f>
        <x:v>-2.5787030397646005</x:v>
      </x:c>
      <x:c r="AK151" s="9" t="n">
        <x:f>Y151-X151</x:f>
        <x:v>388.2420998198566</x:v>
      </x:c>
      <x:c r="AL151" s="9" t="n">
        <x:f>1000*(AA152-AA150)/(A152-A150)*Inputs!$C$11</x:f>
        <x:v>362.8588907949961</x:v>
      </x:c>
      <x:c r="AM151" s="9" t="n">
        <x:f>-2*AL151/Inputs!$C$13</x:f>
        <x:v>-145.14355631799845</x:v>
      </x:c>
      <x:c r="AN151" s="9" t="n">
        <x:f>-2*AL151/Inputs!$C$14</x:f>
        <x:v>-21.79332677447424</x:v>
      </x:c>
      <x:c r="AO151" s="9" t="n">
        <x:f>ABS(AM151)</x:f>
        <x:v>145.14355631799845</x:v>
      </x:c>
      <x:c r="AP151" s="9" t="n">
        <x:f>ABS(AN151)</x:f>
        <x:v>21.79332677447424</x:v>
      </x:c>
      <x:c r="AQ151" s="9" t="n">
        <x:f>IF(OR(Inputs!$C$27=TRUE,Inputs!$C$27="TRUE",Inputs!$C$27=1),Inputs!$C$46/Inputs!$C$12,0)</x:f>
        <x:v>42.13483146067416</x:v>
      </x:c>
      <x:c r="AR151" s="9" t="n">
        <x:f>AC151-AQ151</x:f>
        <x:v>476.0161756590169</x:v>
      </x:c>
      <x:c r="AS151" s="9" t="n">
        <x:f>AC151+AQ151</x:f>
        <x:v>560.2858385803652</x:v>
      </x:c>
    </x:row>
    <x:row r="152">
      <x:c r="A152" s="9" t="n">
        <x:f>Inputs!$C$7+150*(Inputs!$C$8-Inputs!$C$7)/240</x:f>
        <x:v>15</x:v>
      </x:c>
      <x:c r="B152" s="9" t="n">
        <x:f>Inputs!$C$5+Inputs!$C$9*(A152/Inputs!$C$10)^2</x:f>
        <x:v>400.25</x:v>
      </x:c>
      <x:c r="C152" s="9" t="n">
        <x:f>B152</x:f>
        <x:v>400.25</x:v>
      </x:c>
      <x:c r="D152" s="9" t="n">
        <x:f>SQRT((Inputs!$C$52+B152)^2+Inputs!$C$52^2-2*(Inputs!$C$52+B152)*Inputs!$C$52*COS(SQRT(A152^2+Inputs!$C$6^2)/Inputs!$C$52))</x:f>
        <x:v>401.5818778308572</x:v>
      </x:c>
      <x:c r="E152" s="9" t="n">
        <x:f>(D152-C152)*1000</x:f>
        <x:v>1331.877830857195</x:v>
      </x:c>
      <x:c r="F152" s="9" t="n">
        <x:f>E152/Inputs!$C$12</x:f>
        <x:v>748.2459723916826</x:v>
      </x:c>
      <x:c r="G152" s="9" t="n">
        <x:f>2*E152/Inputs!$C$21*1000000</x:f>
        <x:v>8.885332471287153</x:v>
      </x:c>
      <x:c r="H152" s="9" t="n">
        <x:f>SQRT(A152^2+Inputs!$C$6^2)</x:f>
        <x:v>29.154759474226502</x:v>
      </x:c>
      <x:c r="I152" s="9" t="n">
        <x:f>DEGREES(ATAN(H152/B152))</x:f>
        <x:v>4.1661452978543005</x:v>
      </x:c>
      <x:c r="J152" s="9" t="n">
        <x:f>DEGREES((2*PI()/Inputs!$C$13)*Inputs!$C$15*SIN(RADIANS(I152)))</x:f>
        <x:v>26.153602260558017</x:v>
      </x:c>
      <x:c r="K152" s="9" t="n">
        <x:f>(C152/D152)^4</x:f>
        <x:v>0.9867995382659787</x:v>
      </x:c>
      <x:c r="L152" s="9" t="n">
        <x:f>10*LOG10(K152)</x:f>
        <x:v>-0.0577106239327086</x:v>
      </x:c>
      <x:c r="M152" s="9" t="n">
        <x:f>2*(Inputs!$C$9/(Inputs!$C$10^2))*A152</x:f>
        <x:v>0.03333333333333333</x:v>
      </x:c>
      <x:c r="N152" s="9" t="n">
        <x:f>M152*Inputs!$C$11</x:f>
        <x:v>0.13333333333333333</x:v>
      </x:c>
      <x:c r="O152" s="9" t="n">
        <x:f>1000*(D153-D151)/(A153-A151)*Inputs!$C$11</x:f>
        <x:v>320.69368331076475</x:v>
      </x:c>
      <x:c r="P152" s="9" t="n">
        <x:f>-2*O152/Inputs!$C$13</x:f>
        <x:v>-128.2774733243059</x:v>
      </x:c>
      <x:c r="Q152" s="9" t="n">
        <x:f>-2*O152/Inputs!$C$14</x:f>
        <x:v>-19.260881880526412</x:v>
      </x:c>
      <x:c r="R152" s="9" t="n">
        <x:f>F152-Inputs!$C$16/2</x:f>
        <x:v>733.2459723916826</x:v>
      </x:c>
      <x:c r="S152" s="9" t="n">
        <x:f>F152+Inputs!$C$16/2</x:f>
        <x:v>763.2459723916826</x:v>
      </x:c>
      <x:c r="T152" s="9" t="n">
        <x:f>F152-Inputs!$C$17/2</x:f>
        <x:v>598.2459723916826</x:v>
      </x:c>
      <x:c r="U152" s="9" t="n">
        <x:f>F152+Inputs!$C$17/2</x:f>
        <x:v>898.2459723916826</x:v>
      </x:c>
      <x:c r="V152" s="9" t="n">
        <x:f>ABS(P152)</x:f>
        <x:v>128.2774733243059</x:v>
      </x:c>
      <x:c r="W152" s="9" t="n">
        <x:f>ABS(Q152)</x:f>
        <x:v>19.260881880526412</x:v>
      </x:c>
      <x:c r="X152" s="9"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x:f>
        <x:v>45.362905639140564</x:v>
      </x:c>
      <x:c r="Y152" s="9"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x:f>
        <x:v>399.34593170493116</x:v>
      </x:c>
      <x:c r="Z152" s="9" t="n">
        <x:f>B152-X152/1000</x:f>
        <x:v>400.20463709436086</x:v>
      </x:c>
      <x:c r="AA152" s="9" t="n">
        <x:f>SQRT((Inputs!$C$52+B152)^2+(Inputs!$C$52+Y152/1000)^2-2*(Inputs!$C$52+B152)*(Inputs!$C$52+Y152/1000)*COS(SQRT(A152^2+Inputs!$C$6^2)/Inputs!$C$52))</x:f>
        <x:v>401.1841982237373</x:v>
      </x:c>
      <x:c r="AB152" s="9" t="n">
        <x:f>(AA152-Z152)*1000</x:f>
        <x:v>979.5611293764637</x:v>
      </x:c>
      <x:c r="AC152" s="9" t="n">
        <x:f>AB152/Inputs!$C$12</x:f>
        <x:v>550.3152412227324</x:v>
      </x:c>
      <x:c r="AD152" s="9" t="n">
        <x:f>2*AB152/Inputs!$C$21*1000000</x:f>
        <x:v>6.534928436234801</x:v>
      </x:c>
      <x:c r="AE152" s="9" t="n">
        <x:f>DEGREES(ATAN(H152/(B152-Y152/1000)))</x:f>
        <x:v>4.1702915117409125</x:v>
      </x:c>
      <x:c r="AF152" s="9" t="n">
        <x:f>DEGREES((2*PI()/Inputs!$C$13)*Inputs!$C$15*SIN(RADIANS(AE152)))</x:f>
        <x:v>26.179584783351807</x:v>
      </x:c>
      <x:c r="AG152" s="9" t="n">
        <x:f>(Z152/AA152)^4</x:f>
        <x:v>0.9902690154172167</x:v>
      </x:c>
      <x:c r="AH152" s="9" t="n">
        <x:f>10*LOG10(AG152)</x:f>
        <x:v>-0.0424680940185298</x:v>
      </x:c>
      <x:c r="AI152" s="9" t="n">
        <x:f>AC152-F152</x:f>
        <x:v>-197.93073116895016</x:v>
      </x:c>
      <x:c r="AJ152" s="9" t="n">
        <x:f>AD152-G152</x:f>
        <x:v>-2.3504040350523523</x:v>
      </x:c>
      <x:c r="AK152" s="9" t="n">
        <x:f>Y152-X152</x:f>
        <x:v>353.98302606579057</x:v>
      </x:c>
      <x:c r="AL152" s="9" t="n">
        <x:f>1000*(AA153-AA151)/(A153-A151)*Inputs!$C$11</x:f>
        <x:v>400.40183724022427</x:v>
      </x:c>
      <x:c r="AM152" s="9" t="n">
        <x:f>-2*AL152/Inputs!$C$13</x:f>
        <x:v>-160.1607348960897</x:v>
      </x:c>
      <x:c r="AN152" s="9" t="n">
        <x:f>-2*AL152/Inputs!$C$14</x:f>
        <x:v>-24.048158392806265</x:v>
      </x:c>
      <x:c r="AO152" s="9" t="n">
        <x:f>ABS(AM152)</x:f>
        <x:v>160.1607348960897</x:v>
      </x:c>
      <x:c r="AP152" s="9" t="n">
        <x:f>ABS(AN152)</x:f>
        <x:v>24.048158392806265</x:v>
      </x:c>
      <x:c r="AQ152" s="9" t="n">
        <x:f>IF(OR(Inputs!$C$27=TRUE,Inputs!$C$27="TRUE",Inputs!$C$27=1),Inputs!$C$46/Inputs!$C$12,0)</x:f>
        <x:v>42.13483146067416</x:v>
      </x:c>
      <x:c r="AR152" s="9" t="n">
        <x:f>AC152-AQ152</x:f>
        <x:v>508.1804097620583</x:v>
      </x:c>
      <x:c r="AS152" s="9" t="n">
        <x:f>AC152+AQ152</x:f>
        <x:v>592.4500726834066</x:v>
      </x:c>
    </x:row>
    <x:row r="153">
      <x:c r="A153" s="9" t="n">
        <x:f>Inputs!$C$7+151*(Inputs!$C$8-Inputs!$C$7)/240</x:f>
        <x:v>15.5</x:v>
      </x:c>
      <x:c r="B153" s="9" t="n">
        <x:f>Inputs!$C$5+Inputs!$C$9*(A153/Inputs!$C$10)^2</x:f>
        <x:v>400.26694444444445</x:v>
      </x:c>
      <x:c r="C153" s="9" t="n">
        <x:f>B153</x:f>
        <x:v>400.26694444444445</x:v>
      </x:c>
      <x:c r="D153" s="9" t="n">
        <x:f>SQRT((Inputs!$C$52+B153)^2+Inputs!$C$52^2-2*(Inputs!$C$52+B153)*Inputs!$C$52*COS(SQRT(A153^2+Inputs!$C$6^2)/Inputs!$C$52))</x:f>
        <x:v>401.6226311859834</x:v>
      </x:c>
      <x:c r="E153" s="9" t="n">
        <x:f>(D153-C153)*1000</x:f>
        <x:v>1355.686741538932</x:v>
      </x:c>
      <x:c r="F153" s="9" t="n">
        <x:f>E153/Inputs!$C$12</x:f>
        <x:v>761.6217649095123</x:v>
      </x:c>
      <x:c r="G153" s="9" t="n">
        <x:f>2*E153/Inputs!$C$21*1000000</x:f>
        <x:v>9.044168426271296</x:v>
      </x:c>
      <x:c r="H153" s="9" t="n">
        <x:f>SQRT(A153^2+Inputs!$C$6^2)</x:f>
        <x:v>29.415132160165456</x:v>
      </x:c>
      <x:c r="I153" s="9" t="n">
        <x:f>DEGREES(ATAN(H153/B153))</x:f>
        <x:v>4.203041875082947</x:v>
      </x:c>
      <x:c r="J153" s="9" t="n">
        <x:f>DEGREES((2*PI()/Inputs!$C$13)*Inputs!$C$15*SIN(RADIANS(I153)))</x:f>
        <x:v>26.38481226611161</x:v>
      </x:c>
      <x:c r="K153" s="9" t="n">
        <x:f>(C153/D153)^4</x:f>
        <x:v>0.9865661161355888</x:v>
      </x:c>
      <x:c r="L153" s="9" t="n">
        <x:f>10*LOG10(K153)</x:f>
        <x:v>-0.058738045722777</x:v>
      </x:c>
      <x:c r="M153" s="9" t="n">
        <x:f>2*(Inputs!$C$9/(Inputs!$C$10^2))*A153</x:f>
        <x:v>0.034444444444444444</x:v>
      </x:c>
      <x:c r="N153" s="9" t="n">
        <x:f>M153*Inputs!$C$11</x:f>
        <x:v>0.13777777777777778</x:v>
      </x:c>
      <x:c r="O153" s="9" t="n">
        <x:f>1000*(D154-D152)/(A154-A152)*Inputs!$C$11</x:f>
        <x:v>331.3588089863515</x:v>
      </x:c>
      <x:c r="P153" s="9" t="n">
        <x:f>-2*O153/Inputs!$C$13</x:f>
        <x:v>-132.5435235945406</x:v>
      </x:c>
      <x:c r="Q153" s="9" t="n">
        <x:f>-2*O153/Inputs!$C$14</x:f>
        <x:v>-19.901429969150243</x:v>
      </x:c>
      <x:c r="R153" s="9" t="n">
        <x:f>F153-Inputs!$C$16/2</x:f>
        <x:v>746.6217649095123</x:v>
      </x:c>
      <x:c r="S153" s="9" t="n">
        <x:f>F153+Inputs!$C$16/2</x:f>
        <x:v>776.6217649095123</x:v>
      </x:c>
      <x:c r="T153" s="9" t="n">
        <x:f>F153-Inputs!$C$17/2</x:f>
        <x:v>611.6217649095123</x:v>
      </x:c>
      <x:c r="U153" s="9" t="n">
        <x:f>F153+Inputs!$C$17/2</x:f>
        <x:v>911.6217649095123</x:v>
      </x:c>
      <x:c r="V153" s="9" t="n">
        <x:f>ABS(P153)</x:f>
        <x:v>132.5435235945406</x:v>
      </x:c>
      <x:c r="W153" s="9" t="n">
        <x:f>ABS(Q153)</x:f>
        <x:v>19.901429969150243</x:v>
      </x:c>
      <x:c r="X153" s="9"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x:f>
        <x:v>49.090179641950456</x:v>
      </x:c>
      <x:c r="Y153" s="9"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x:f>
        <x:v>395.616361037493</x:v>
      </x:c>
      <x:c r="Z153" s="9" t="n">
        <x:f>B153-X153/1000</x:f>
        <x:v>400.2178542648025</x:v>
      </x:c>
      <x:c r="AA153" s="9" t="n">
        <x:f>SQRT((Inputs!$C$52+B153)^2+(Inputs!$C$52+Y153/1000)^2-2*(Inputs!$C$52+B153)*(Inputs!$C$52+Y153/1000)*COS(SQRT(A153^2+Inputs!$C$6^2)/Inputs!$C$52))</x:f>
        <x:v>401.22869493514344</x:v>
      </x:c>
      <x:c r="AB153" s="9" t="n">
        <x:f>(AA153-Z153)*1000</x:f>
        <x:v>1010.84067034094</x:v>
      </x:c>
      <x:c r="AC153" s="9" t="n">
        <x:f>AB153/Inputs!$C$12</x:f>
        <x:v>567.8880170454719</x:v>
      </x:c>
      <x:c r="AD153" s="9" t="n">
        <x:f>2*AB153/Inputs!$C$21*1000000</x:f>
        <x:v>6.743603071835383</x:v>
      </x:c>
      <x:c r="AE153" s="9" t="n">
        <x:f>DEGREES(ATAN(H153/(B153-Y153/1000)))</x:f>
        <x:v>4.207185269148323</x:v>
      </x:c>
      <x:c r="AF153" s="9" t="n">
        <x:f>DEGREES((2*PI()/Inputs!$C$13)*Inputs!$C$15*SIN(RADIANS(AE153)))</x:f>
        <x:v>26.410775894420482</x:v>
      </x:c>
      <x:c r="AG153" s="9" t="n">
        <x:f>(Z153/AA153)^4</x:f>
        <x:v>0.9899605677923509</x:v>
      </x:c>
      <x:c r="AH153" s="9" t="n">
        <x:f>10*LOG10(AG153)</x:f>
        <x:v>-0.0438210391886715</x:v>
      </x:c>
      <x:c r="AI153" s="9" t="n">
        <x:f>AC153-F153</x:f>
        <x:v>-193.73374786404042</x:v>
      </x:c>
      <x:c r="AJ153" s="9" t="n">
        <x:f>AD153-G153</x:f>
        <x:v>-2.3005653544359133</x:v>
      </x:c>
      <x:c r="AK153" s="9" t="n">
        <x:f>Y153-X153</x:f>
        <x:v>346.52618139554255</x:v>
      </x:c>
      <x:c r="AL153" s="9" t="n">
        <x:f>1000*(AA154-AA152)/(A154-A152)*Inputs!$C$11</x:f>
        <x:v>327.76450689675585</x:v>
      </x:c>
      <x:c r="AM153" s="9" t="n">
        <x:f>-2*AL153/Inputs!$C$13</x:f>
        <x:v>-131.10580275870234</x:v>
      </x:c>
      <x:c r="AN153" s="9" t="n">
        <x:f>-2*AL153/Inputs!$C$14</x:f>
        <x:v>-19.685555969775127</x:v>
      </x:c>
      <x:c r="AO153" s="9" t="n">
        <x:f>ABS(AM153)</x:f>
        <x:v>131.10580275870234</x:v>
      </x:c>
      <x:c r="AP153" s="9" t="n">
        <x:f>ABS(AN153)</x:f>
        <x:v>19.685555969775127</x:v>
      </x:c>
      <x:c r="AQ153" s="9" t="n">
        <x:f>IF(OR(Inputs!$C$27=TRUE,Inputs!$C$27="TRUE",Inputs!$C$27=1),Inputs!$C$46/Inputs!$C$12,0)</x:f>
        <x:v>42.13483146067416</x:v>
      </x:c>
      <x:c r="AR153" s="9" t="n">
        <x:f>AC153-AQ153</x:f>
        <x:v>525.7531855847977</x:v>
      </x:c>
      <x:c r="AS153" s="9" t="n">
        <x:f>AC153+AQ153</x:f>
        <x:v>610.022848506146</x:v>
      </x:c>
    </x:row>
    <x:row r="154">
      <x:c r="A154" s="9" t="n">
        <x:f>Inputs!$C$7+152*(Inputs!$C$8-Inputs!$C$7)/240</x:f>
        <x:v>16</x:v>
      </x:c>
      <x:c r="B154" s="9" t="n">
        <x:f>Inputs!$C$5+Inputs!$C$9*(A154/Inputs!$C$10)^2</x:f>
        <x:v>400.28444444444443</x:v>
      </x:c>
      <x:c r="C154" s="9" t="n">
        <x:f>B154</x:f>
        <x:v>400.28444444444443</x:v>
      </x:c>
      <x:c r="D154" s="9" t="n">
        <x:f>SQRT((Inputs!$C$52+B154)^2+Inputs!$C$52^2-2*(Inputs!$C$52+B154)*Inputs!$C$52*COS(SQRT(A154^2+Inputs!$C$6^2)/Inputs!$C$52))</x:f>
        <x:v>401.6647175331038</x:v>
      </x:c>
      <x:c r="E154" s="9" t="n">
        <x:f>(D154-C154)*1000</x:f>
        <x:v>1380.2730886593508</x:v>
      </x:c>
      <x:c r="F154" s="9" t="n">
        <x:f>E154/Inputs!$C$12</x:f>
        <x:v>775.4343194715455</x:v>
      </x:c>
      <x:c r="G154" s="9" t="n">
        <x:f>2*E154/Inputs!$C$21*1000000</x:f>
        <x:v>9.2081908789003</x:v>
      </x:c>
      <x:c r="H154" s="9" t="n">
        <x:f>SQRT(A154^2+Inputs!$C$6^2)</x:f>
        <x:v>29.68164415931166</x:v>
      </x:c>
      <x:c r="I154" s="9" t="n">
        <x:f>DEGREES(ATAN(H154/B154))</x:f>
        <x:v>4.240799936495226</x:v>
      </x:c>
      <x:c r="J154" s="9" t="n">
        <x:f>DEGREES((2*PI()/Inputs!$C$13)*Inputs!$C$15*SIN(RADIANS(I154)))</x:f>
        <x:v>26.621409377803502</x:v>
      </x:c>
      <x:c r="K154" s="9" t="n">
        <x:f>(C154/D154)^4</x:f>
        <x:v>0.986325165271373</x:v>
      </x:c>
      <x:c r="L154" s="9" t="n">
        <x:f>10*LOG10(K154)</x:f>
        <x:v>-0.0597988607027526</x:v>
      </x:c>
      <x:c r="M154" s="9" t="n">
        <x:f>2*(Inputs!$C$9/(Inputs!$C$10^2))*A154</x:f>
        <x:v>0.035555555555555556</x:v>
      </x:c>
      <x:c r="N154" s="9" t="n">
        <x:f>M154*Inputs!$C$11</x:f>
        <x:v>0.14222222222222222</x:v>
      </x:c>
      <x:c r="O154" s="9" t="n">
        <x:f>1000*(D155-D153)/(A155-A153)*Inputs!$C$11</x:f>
        <x:v>342.02151684144155</x:v>
      </x:c>
      <x:c r="P154" s="9" t="n">
        <x:f>-2*O154/Inputs!$C$13</x:f>
        <x:v>-136.80860673657662</x:v>
      </x:c>
      <x:c r="Q154" s="9" t="n">
        <x:f>-2*O154/Inputs!$C$14</x:f>
        <x:v>-20.541832843329825</x:v>
      </x:c>
      <x:c r="R154" s="9" t="n">
        <x:f>F154-Inputs!$C$16/2</x:f>
        <x:v>760.4343194715455</x:v>
      </x:c>
      <x:c r="S154" s="9" t="n">
        <x:f>F154+Inputs!$C$16/2</x:f>
        <x:v>790.4343194715455</x:v>
      </x:c>
      <x:c r="T154" s="9" t="n">
        <x:f>F154-Inputs!$C$17/2</x:f>
        <x:v>625.4343194715455</x:v>
      </x:c>
      <x:c r="U154" s="9" t="n">
        <x:f>F154+Inputs!$C$17/2</x:f>
        <x:v>925.4343194715455</x:v>
      </x:c>
      <x:c r="V154" s="9" t="n">
        <x:f>ABS(P154)</x:f>
        <x:v>136.80860673657662</x:v>
      </x:c>
      <x:c r="W154" s="9" t="n">
        <x:f>ABS(Q154)</x:f>
        <x:v>20.541832843329825</x:v>
      </x:c>
      <x:c r="X154" s="9"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x:f>
        <x:v>69.7201880441823</x:v>
      </x:c>
      <x:c r="Y154" s="9"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x:f>
        <x:v>400.30891755789503</x:v>
      </x:c>
      <x:c r="Z154" s="9" t="n">
        <x:f>B154-X154/1000</x:f>
        <x:v>400.21472425640025</x:v>
      </x:c>
      <x:c r="AA154" s="9" t="n">
        <x:f>SQRT((Inputs!$C$52+B154)^2+(Inputs!$C$52+Y154/1000)^2-2*(Inputs!$C$52+B154)*(Inputs!$C$52+Y154/1000)*COS(SQRT(A154^2+Inputs!$C$6^2)/Inputs!$C$52))</x:f>
        <x:v>401.2661393504615</x:v>
      </x:c>
      <x:c r="AB154" s="9" t="n">
        <x:f>(AA154-Z154)*1000</x:f>
        <x:v>1051.4150940612694</x:v>
      </x:c>
      <x:c r="AC154" s="9" t="n">
        <x:f>AB154/Inputs!$C$12</x:f>
        <x:v>590.6826371130727</x:v>
      </x:c>
      <x:c r="AD154" s="9" t="n">
        <x:f>2*AB154/Inputs!$C$21*1000000</x:f>
        <x:v>7.014286490564546</x:v>
      </x:c>
      <x:c r="AE154" s="9" t="n">
        <x:f>DEGREES(ATAN(H154/(B154-Y154/1000)))</x:f>
        <x:v>4.24502973023017</x:v>
      </x:c>
      <x:c r="AF154" s="9" t="n">
        <x:f>DEGREES((2*PI()/Inputs!$C$13)*Inputs!$C$15*SIN(RADIANS(AE154)))</x:f>
        <x:v>26.647913118326414</x:v>
      </x:c>
      <x:c r="AG154" s="9" t="n">
        <x:f>(Z154/AA154)^4</x:f>
        <x:v>0.9895601471486235</x:v>
      </x:c>
      <x:c r="AH154" s="9" t="n">
        <x:f>10*LOG10(AG154)</x:f>
        <x:v>-0.0455780349813425</x:v>
      </x:c>
      <x:c r="AI154" s="9" t="n">
        <x:f>AC154-F154</x:f>
        <x:v>-184.75168235847275</x:v>
      </x:c>
      <x:c r="AJ154" s="9" t="n">
        <x:f>AD154-G154</x:f>
        <x:v>-2.1939043883357545</x:v>
      </x:c>
      <x:c r="AK154" s="9" t="n">
        <x:f>Y154-X154</x:f>
        <x:v>330.58872951371274</x:v>
      </x:c>
      <x:c r="AL154" s="9" t="n">
        <x:f>1000*(AA155-AA153)/(A155-A153)*Inputs!$C$11</x:f>
        <x:v>300.1127662851104</x:v>
      </x:c>
      <x:c r="AM154" s="9" t="n">
        <x:f>-2*AL154/Inputs!$C$13</x:f>
        <x:v>-120.04510651404416</x:v>
      </x:c>
      <x:c r="AN154" s="9" t="n">
        <x:f>-2*AL154/Inputs!$C$14</x:f>
        <x:v>-18.0247907678745</x:v>
      </x:c>
      <x:c r="AO154" s="9" t="n">
        <x:f>ABS(AM154)</x:f>
        <x:v>120.04510651404416</x:v>
      </x:c>
      <x:c r="AP154" s="9" t="n">
        <x:f>ABS(AN154)</x:f>
        <x:v>18.0247907678745</x:v>
      </x:c>
      <x:c r="AQ154" s="9" t="n">
        <x:f>IF(OR(Inputs!$C$27=TRUE,Inputs!$C$27="TRUE",Inputs!$C$27=1),Inputs!$C$46/Inputs!$C$12,0)</x:f>
        <x:v>42.13483146067416</x:v>
      </x:c>
      <x:c r="AR154" s="9" t="n">
        <x:f>AC154-AQ154</x:f>
        <x:v>548.5478056523986</x:v>
      </x:c>
      <x:c r="AS154" s="9" t="n">
        <x:f>AC154+AQ154</x:f>
        <x:v>632.8174685737469</x:v>
      </x:c>
    </x:row>
    <x:row r="155">
      <x:c r="A155" s="9" t="n">
        <x:f>Inputs!$C$7+153*(Inputs!$C$8-Inputs!$C$7)/240</x:f>
        <x:v>16.5</x:v>
      </x:c>
      <x:c r="B155" s="9" t="n">
        <x:f>Inputs!$C$5+Inputs!$C$9*(A155/Inputs!$C$10)^2</x:f>
        <x:v>400.3025</x:v>
      </x:c>
      <x:c r="C155" s="9" t="n">
        <x:f>B155</x:f>
        <x:v>400.3025</x:v>
      </x:c>
      <x:c r="D155" s="9" t="n">
        <x:f>SQRT((Inputs!$C$52+B155)^2+Inputs!$C$52^2-2*(Inputs!$C$52+B155)*Inputs!$C$52*COS(SQRT(A155^2+Inputs!$C$6^2)/Inputs!$C$52))</x:f>
        <x:v>401.70813656519374</x:v>
      </x:c>
      <x:c r="E155" s="9" t="n">
        <x:f>(D155-C155)*1000</x:f>
        <x:v>1405.6365651937313</x:v>
      </x:c>
      <x:c r="F155" s="9" t="n">
        <x:f>E155/Inputs!$C$12</x:f>
        <x:v>789.6834635919838</x:v>
      </x:c>
      <x:c r="G155" s="9" t="n">
        <x:f>2*E155/Inputs!$C$21*1000000</x:f>
        <x:v>9.377397780925705</x:v>
      </x:c>
      <x:c r="H155" s="9" t="n">
        <x:f>SQRT(A155^2+Inputs!$C$6^2)</x:f>
        <x:v>29.95413160150032</x:v>
      </x:c>
      <x:c r="I155" s="9" t="n">
        <x:f>DEGREES(ATAN(H155/B155))</x:f>
        <x:v>4.2793956023743185</x:v>
      </x:c>
      <x:c r="J155" s="9" t="n">
        <x:f>DEGREES((2*PI()/Inputs!$C$13)*Inputs!$C$15*SIN(RADIANS(I155)))</x:f>
        <x:v>26.863243082603024</x:v>
      </x:c>
      <x:c r="K155" s="9" t="n">
        <x:f>(C155/D155)^4</x:f>
        <x:v>0.986076697620253</x:v>
      </x:c>
      <x:c r="L155" s="9" t="n">
        <x:f>10*LOG10(K155)</x:f>
        <x:v>-0.060893040670981904</x:v>
      </x:c>
      <x:c r="M155" s="9" t="n">
        <x:f>2*(Inputs!$C$9/(Inputs!$C$10^2))*A155</x:f>
        <x:v>0.03666666666666667</x:v>
      </x:c>
      <x:c r="N155" s="9" t="n">
        <x:f>M155*Inputs!$C$11</x:f>
        <x:v>0.14666666666666667</x:v>
      </x:c>
      <x:c r="O155" s="9" t="n">
        <x:f>1000*(D156-D154)/(A156-A154)*Inputs!$C$11</x:f>
        <x:v>352.68173018312154</x:v>
      </x:c>
      <x:c r="P155" s="9" t="n">
        <x:f>-2*O155/Inputs!$C$13</x:f>
        <x:v>-141.07269207324862</x:v>
      </x:c>
      <x:c r="Q155" s="9" t="n">
        <x:f>-2*O155/Inputs!$C$14</x:f>
        <x:v>-21.18208589688418</x:v>
      </x:c>
      <x:c r="R155" s="9" t="n">
        <x:f>F155-Inputs!$C$16/2</x:f>
        <x:v>774.6834635919838</x:v>
      </x:c>
      <x:c r="S155" s="9" t="n">
        <x:f>F155+Inputs!$C$16/2</x:f>
        <x:v>804.6834635919838</x:v>
      </x:c>
      <x:c r="T155" s="9" t="n">
        <x:f>F155-Inputs!$C$17/2</x:f>
        <x:v>639.6834635919838</x:v>
      </x:c>
      <x:c r="U155" s="9" t="n">
        <x:f>F155+Inputs!$C$17/2</x:f>
        <x:v>939.6834635919838</x:v>
      </x:c>
      <x:c r="V155" s="9" t="n">
        <x:f>ABS(P155)</x:f>
        <x:v>141.07269207324862</x:v>
      </x:c>
      <x:c r="W155" s="9" t="n">
        <x:f>ABS(Q155)</x:f>
        <x:v>21.18208589688418</x:v>
      </x:c>
      <x:c r="X155" s="9"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x:f>
        <x:v>71.50919840907298</x:v>
      </x:c>
      <x:c r="Y155" s="9"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x:f>
        <x:v>406.20178346502695</x:v>
      </x:c>
      <x:c r="Z155" s="9" t="n">
        <x:f>B155-X155/1000</x:f>
        <x:v>400.23099080159096</x:v>
      </x:c>
      <x:c r="AA155" s="9" t="n">
        <x:f>SQRT((Inputs!$C$52+B155)^2+(Inputs!$C$52+Y155/1000)^2-2*(Inputs!$C$52+B155)*(Inputs!$C$52+Y155/1000)*COS(SQRT(A155^2+Inputs!$C$6^2)/Inputs!$C$52))</x:f>
        <x:v>401.3037231267147</x:v>
      </x:c>
      <x:c r="AB155" s="9" t="n">
        <x:f>(AA155-Z155)*1000</x:f>
        <x:v>1072.7323251237522</x:v>
      </x:c>
      <x:c r="AC155" s="9" t="n">
        <x:f>AB155/Inputs!$C$12</x:f>
        <x:v>602.6586096200855</x:v>
      </x:c>
      <x:c r="AD155" s="9" t="n">
        <x:f>2*AB155/Inputs!$C$21*1000000</x:f>
        <x:v>7.1564997483942845</x:v>
      </x:c>
      <x:c r="AE155" s="9" t="n">
        <x:f>DEGREES(ATAN(H155/(B155-Y155/1000)))</x:f>
        <x:v>4.283726302060733</x:v>
      </x:c>
      <x:c r="AF155" s="9" t="n">
        <x:f>DEGREES((2*PI()/Inputs!$C$13)*Inputs!$C$15*SIN(RADIANS(AE155)))</x:f>
        <x:v>26.890377732243543</x:v>
      </x:c>
      <x:c r="AG155" s="9" t="n">
        <x:f>(Z155/AA155)^4</x:f>
        <x:v>0.9893503238261386</x:v>
      </x:c>
      <x:c r="AH155" s="9" t="n">
        <x:f>10*LOG10(AG155)</x:f>
        <x:v>-0.046498997428182094</x:v>
      </x:c>
      <x:c r="AI155" s="9" t="n">
        <x:f>AC155-F155</x:f>
        <x:v>-187.02485397189832</x:v>
      </x:c>
      <x:c r="AJ155" s="9" t="n">
        <x:f>AD155-G155</x:f>
        <x:v>-2.2208980325314203</x:v>
      </x:c>
      <x:c r="AK155" s="9" t="n">
        <x:f>Y155-X155</x:f>
        <x:v>334.69258505595394</x:v>
      </x:c>
      <x:c r="AL155" s="9" t="n">
        <x:f>1000*(AA156-AA154)/(A156-A154)*Inputs!$C$11</x:f>
        <x:v>342.63141293536137</x:v>
      </x:c>
      <x:c r="AM155" s="9" t="n">
        <x:f>-2*AL155/Inputs!$C$13</x:f>
        <x:v>-137.05256517414455</x:v>
      </x:c>
      <x:c r="AN155" s="9" t="n">
        <x:f>-2*AL155/Inputs!$C$14</x:f>
        <x:v>-20.578463239361046</x:v>
      </x:c>
      <x:c r="AO155" s="9" t="n">
        <x:f>ABS(AM155)</x:f>
        <x:v>137.05256517414455</x:v>
      </x:c>
      <x:c r="AP155" s="9" t="n">
        <x:f>ABS(AN155)</x:f>
        <x:v>20.578463239361046</x:v>
      </x:c>
      <x:c r="AQ155" s="9" t="n">
        <x:f>IF(OR(Inputs!$C$27=TRUE,Inputs!$C$27="TRUE",Inputs!$C$27=1),Inputs!$C$46/Inputs!$C$12,0)</x:f>
        <x:v>42.13483146067416</x:v>
      </x:c>
      <x:c r="AR155" s="9" t="n">
        <x:f>AC155-AQ155</x:f>
        <x:v>560.5237781594113</x:v>
      </x:c>
      <x:c r="AS155" s="9" t="n">
        <x:f>AC155+AQ155</x:f>
        <x:v>644.7934410807596</x:v>
      </x:c>
    </x:row>
    <x:row r="156">
      <x:c r="A156" s="9" t="n">
        <x:f>Inputs!$C$7+154*(Inputs!$C$8-Inputs!$C$7)/240</x:f>
        <x:v>17</x:v>
      </x:c>
      <x:c r="B156" s="9" t="n">
        <x:f>Inputs!$C$5+Inputs!$C$9*(A156/Inputs!$C$10)^2</x:f>
        <x:v>400.3211111111111</x:v>
      </x:c>
      <x:c r="C156" s="9" t="n">
        <x:f>B156</x:f>
        <x:v>400.3211111111111</x:v>
      </x:c>
      <x:c r="D156" s="9" t="n">
        <x:f>SQRT((Inputs!$C$52+B156)^2+Inputs!$C$52^2-2*(Inputs!$C$52+B156)*Inputs!$C$52*COS(SQRT(A156^2+Inputs!$C$6^2)/Inputs!$C$52))</x:f>
        <x:v>401.75288796564956</x:v>
      </x:c>
      <x:c r="E156" s="9" t="n">
        <x:f>(D156-C156)*1000</x:f>
        <x:v>1431.776854538441</x:v>
      </x:c>
      <x:c r="F156" s="9" t="n">
        <x:f>E156/Inputs!$C$12</x:f>
        <x:v>804.3690194036186</x:v>
      </x:c>
      <x:c r="G156" s="9" t="n">
        <x:f>2*E156/Inputs!$C$21*1000000</x:f>
        <x:v>9.551787020195425</x:v>
      </x:c>
      <x:c r="H156" s="9" t="n">
        <x:f>SQRT(A156^2+Inputs!$C$6^2)</x:f>
        <x:v>30.23243291566195</x:v>
      </x:c>
      <x:c r="I156" s="9" t="n">
        <x:f>DEGREES(ATAN(H156/B156))</x:f>
        <x:v>4.3188053168235525</x:v>
      </x:c>
      <x:c r="J156" s="9" t="n">
        <x:f>DEGREES((2*PI()/Inputs!$C$13)*Inputs!$C$15*SIN(RADIANS(I156)))</x:f>
        <x:v>27.110164894856272</x:v>
      </x:c>
      <x:c r="K156" s="9" t="n">
        <x:f>(C156/D156)^4</x:f>
        <x:v>0.9858207254931723</x:v>
      </x:c>
      <x:c r="L156" s="9" t="n">
        <x:f>10*LOG10(K156)</x:f>
        <x:v>-0.0620205565512049</x:v>
      </x:c>
      <x:c r="M156" s="9" t="n">
        <x:f>2*(Inputs!$C$9/(Inputs!$C$10^2))*A156</x:f>
        <x:v>0.03777777777777778</x:v>
      </x:c>
      <x:c r="N156" s="9" t="n">
        <x:f>M156*Inputs!$C$11</x:f>
        <x:v>0.1511111111111111</x:v>
      </x:c>
      <x:c r="O156" s="9" t="n">
        <x:f>1000*(D157-D155)/(A157-A155)*Inputs!$C$11</x:f>
        <x:v>363.33937246513415</x:v>
      </x:c>
      <x:c r="P156" s="9" t="n">
        <x:f>-2*O156/Inputs!$C$13</x:f>
        <x:v>-145.33574898605366</x:v>
      </x:c>
      <x:c r="Q156" s="9" t="n">
        <x:f>-2*O156/Inputs!$C$14</x:f>
        <x:v>-21.82218453244049</x:v>
      </x:c>
      <x:c r="R156" s="9" t="n">
        <x:f>F156-Inputs!$C$16/2</x:f>
        <x:v>789.3690194036186</x:v>
      </x:c>
      <x:c r="S156" s="9" t="n">
        <x:f>F156+Inputs!$C$16/2</x:f>
        <x:v>819.3690194036186</x:v>
      </x:c>
      <x:c r="T156" s="9" t="n">
        <x:f>F156-Inputs!$C$17/2</x:f>
        <x:v>654.3690194036186</x:v>
      </x:c>
      <x:c r="U156" s="9" t="n">
        <x:f>F156+Inputs!$C$17/2</x:f>
        <x:v>954.3690194036186</x:v>
      </x:c>
      <x:c r="V156" s="9" t="n">
        <x:f>ABS(P156)</x:f>
        <x:v>145.33574898605366</x:v>
      </x:c>
      <x:c r="W156" s="9" t="n">
        <x:f>ABS(Q156)</x:f>
        <x:v>21.82218453244049</x:v>
      </x:c>
      <x:c r="X156" s="9"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x:f>
        <x:v>58.586187093984584</x:v>
      </x:c>
      <x:c r="Y156" s="9"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x:f>
        <x:v>402.8973585501548</x:v>
      </x:c>
      <x:c r="Z156" s="9" t="n">
        <x:f>B156-X156/1000</x:f>
        <x:v>400.26252492401716</x:v>
      </x:c>
      <x:c r="AA156" s="9" t="n">
        <x:f>SQRT((Inputs!$C$52+B156)^2+(Inputs!$C$52+Y156/1000)^2-2*(Inputs!$C$52+B156)*(Inputs!$C$52+Y156/1000)*COS(SQRT(A156^2+Inputs!$C$6^2)/Inputs!$C$52))</x:f>
        <x:v>401.35179720369536</x:v>
      </x:c>
      <x:c r="AB156" s="9" t="n">
        <x:f>(AA156-Z156)*1000</x:f>
        <x:v>1089.2722796781982</x:v>
      </x:c>
      <x:c r="AC156" s="9" t="n">
        <x:f>AB156/Inputs!$C$12</x:f>
        <x:v>611.950718920336</x:v>
      </x:c>
      <x:c r="AD156" s="9" t="n">
        <x:f>2*AB156/Inputs!$C$21*1000000</x:f>
        <x:v>7.2668424479057325</x:v>
      </x:c>
      <x:c r="AE156" s="9" t="n">
        <x:f>DEGREES(ATAN(H156/(B156-Y156/1000)))</x:f>
        <x:v>4.323139807756409</x:v>
      </x:c>
      <x:c r="AF156" s="9" t="n">
        <x:f>DEGREES((2*PI()/Inputs!$C$13)*Inputs!$C$15*SIN(RADIANS(AE156)))</x:f>
        <x:v>27.1373218940922</x:v>
      </x:c>
      <x:c r="AG156" s="9" t="n">
        <x:f>(Z156/AA156)^4</x:f>
        <x:v>0.9891880802478612</x:v>
      </x:c>
      <x:c r="AH156" s="9" t="n">
        <x:f>10*LOG10(AG156)</x:f>
        <x:v>-0.047211255434223</x:v>
      </x:c>
      <x:c r="AI156" s="9" t="n">
        <x:f>AC156-F156</x:f>
        <x:v>-192.41830048328256</x:v>
      </x:c>
      <x:c r="AJ156" s="9" t="n">
        <x:f>AD156-G156</x:f>
        <x:v>-2.2849445722896924</x:v>
      </x:c>
      <x:c r="AK156" s="9" t="n">
        <x:f>Y156-X156</x:f>
        <x:v>344.31117145617026</x:v>
      </x:c>
      <x:c r="AL156" s="9" t="n">
        <x:f>1000*(AA157-AA155)/(A157-A155)*Inputs!$C$11</x:f>
        <x:v>338.145091799106</x:v>
      </x:c>
      <x:c r="AM156" s="9" t="n">
        <x:f>-2*AL156/Inputs!$C$13</x:f>
        <x:v>-135.2580367196424</x:v>
      </x:c>
      <x:c r="AN156" s="9" t="n">
        <x:f>-2*AL156/Inputs!$C$14</x:f>
        <x:v>-20.309014522468832</x:v>
      </x:c>
      <x:c r="AO156" s="9" t="n">
        <x:f>ABS(AM156)</x:f>
        <x:v>135.2580367196424</x:v>
      </x:c>
      <x:c r="AP156" s="9" t="n">
        <x:f>ABS(AN156)</x:f>
        <x:v>20.309014522468832</x:v>
      </x:c>
      <x:c r="AQ156" s="9" t="n">
        <x:f>IF(OR(Inputs!$C$27=TRUE,Inputs!$C$27="TRUE",Inputs!$C$27=1),Inputs!$C$46/Inputs!$C$12,0)</x:f>
        <x:v>42.13483146067416</x:v>
      </x:c>
      <x:c r="AR156" s="9" t="n">
        <x:f>AC156-AQ156</x:f>
        <x:v>569.8158874596619</x:v>
      </x:c>
      <x:c r="AS156" s="9" t="n">
        <x:f>AC156+AQ156</x:f>
        <x:v>654.0855503810102</x:v>
      </x:c>
    </x:row>
    <x:row r="157">
      <x:c r="A157" s="9" t="n">
        <x:f>Inputs!$C$7+155*(Inputs!$C$8-Inputs!$C$7)/240</x:f>
        <x:v>17.5</x:v>
      </x:c>
      <x:c r="B157" s="9" t="n">
        <x:f>Inputs!$C$5+Inputs!$C$9*(A157/Inputs!$C$10)^2</x:f>
        <x:v>400.34027777777777</x:v>
      </x:c>
      <x:c r="C157" s="9" t="n">
        <x:f>B157</x:f>
        <x:v>400.34027777777777</x:v>
      </x:c>
      <x:c r="D157" s="9" t="n">
        <x:f>SQRT((Inputs!$C$52+B157)^2+Inputs!$C$52^2-2*(Inputs!$C$52+B157)*Inputs!$C$52*COS(SQRT(A157^2+Inputs!$C$6^2)/Inputs!$C$52))</x:f>
        <x:v>401.79897140831</x:v>
      </x:c>
      <x:c r="E157" s="9" t="n">
        <x:f>(D157-C157)*1000</x:f>
        <x:v>1458.6936305322524</x:v>
      </x:c>
      <x:c r="F157" s="9" t="n">
        <x:f>E157/Inputs!$C$12</x:f>
        <x:v>819.4908036698047</x:v>
      </x:c>
      <x:c r="G157" s="9" t="n">
        <x:f>2*E157/Inputs!$C$21*1000000</x:f>
        <x:v>9.731356420795965</x:v>
      </x:c>
      <x:c r="H157" s="9" t="n">
        <x:f>SQRT(A157^2+Inputs!$C$6^2)</x:f>
        <x:v>30.516389039334257</x:v>
      </x:c>
      <x:c r="I157" s="9" t="n">
        <x:f>DEGREES(ATAN(H157/B157))</x:f>
        <x:v>4.359005878140658</x:v>
      </x:c>
      <x:c r="J157" s="9" t="n">
        <x:f>DEGREES((2*PI()/Inputs!$C$13)*Inputs!$C$15*SIN(RADIANS(I157)))</x:f>
        <x:v>27.3620285475742</x:v>
      </x:c>
      <x:c r="K157" s="9" t="n">
        <x:f>(C157/D157)^4</x:f>
        <x:v>0.9855572615636342</x:v>
      </x:c>
      <x:c r="L157" s="9" t="n">
        <x:f>10*LOG10(K157)</x:f>
        <x:v>-0.0631813783947216</x:v>
      </x:c>
      <x:c r="M157" s="9" t="n">
        <x:f>2*(Inputs!$C$9/(Inputs!$C$10^2))*A157</x:f>
        <x:v>0.03888888888888889</x:v>
      </x:c>
      <x:c r="N157" s="9" t="n">
        <x:f>M157*Inputs!$C$11</x:f>
        <x:v>0.15555555555555556</x:v>
      </x:c>
      <x:c r="O157" s="9" t="n">
        <x:f>1000*(D158-D156)/(A158-A156)*Inputs!$C$11</x:f>
        <x:v>373.9943672410391</x:v>
      </x:c>
      <x:c r="P157" s="9" t="n">
        <x:f>-2*O157/Inputs!$C$13</x:f>
        <x:v>-149.59774689641563</x:v>
      </x:c>
      <x:c r="Q157" s="9" t="n">
        <x:f>-2*O157/Inputs!$C$14</x:f>
        <x:v>-22.462124158620966</x:v>
      </x:c>
      <x:c r="R157" s="9" t="n">
        <x:f>F157-Inputs!$C$16/2</x:f>
        <x:v>804.4908036698047</x:v>
      </x:c>
      <x:c r="S157" s="9" t="n">
        <x:f>F157+Inputs!$C$16/2</x:f>
        <x:v>834.4908036698047</x:v>
      </x:c>
      <x:c r="T157" s="9" t="n">
        <x:f>F157-Inputs!$C$17/2</x:f>
        <x:v>669.4908036698047</x:v>
      </x:c>
      <x:c r="U157" s="9" t="n">
        <x:f>F157+Inputs!$C$17/2</x:f>
        <x:v>969.4908036698047</x:v>
      </x:c>
      <x:c r="V157" s="9" t="n">
        <x:f>ABS(P157)</x:f>
        <x:v>149.59774689641563</x:v>
      </x:c>
      <x:c r="W157" s="9" t="n">
        <x:f>ABS(Q157)</x:f>
        <x:v>22.462124158620966</x:v>
      </x:c>
      <x:c r="X157" s="9"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x:f>
        <x:v>65.71226511619231</x:v>
      </x:c>
      <x:c r="Y157" s="9"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x:f>
        <x:v>412.59673853506814</x:v>
      </x:c>
      <x:c r="Z157" s="9" t="n">
        <x:f>B157-X157/1000</x:f>
        <x:v>400.2745655126616</x:v>
      </x:c>
      <x:c r="AA157" s="9" t="n">
        <x:f>SQRT((Inputs!$C$52+B157)^2+(Inputs!$C$52+Y157/1000)^2-2*(Inputs!$C$52+B157)*(Inputs!$C$52+Y157/1000)*COS(SQRT(A157^2+Inputs!$C$6^2)/Inputs!$C$52))</x:f>
        <x:v>401.3882593996645</x:v>
      </x:c>
      <x:c r="AB157" s="9" t="n">
        <x:f>(AA157-Z157)*1000</x:f>
        <x:v>1113.6938870029098</x:v>
      </x:c>
      <x:c r="AC157" s="9" t="n">
        <x:f>AB157/Inputs!$C$12</x:f>
        <x:v>625.6707230353426</x:v>
      </x:c>
      <x:c r="AD157" s="9" t="n">
        <x:f>2*AB157/Inputs!$C$21*1000000</x:f>
        <x:v>7.429765874916772</x:v>
      </x:c>
      <x:c r="AE157" s="9" t="n">
        <x:f>DEGREES(ATAN(H157/(B157-Y157/1000)))</x:f>
        <x:v>4.363485610769421</x:v>
      </x:c>
      <x:c r="AF157" s="9" t="n">
        <x:f>DEGREES((2*PI()/Inputs!$C$13)*Inputs!$C$15*SIN(RADIANS(AE157)))</x:f>
        <x:v>27.390094035827868</x:v>
      </x:c>
      <x:c r="AG157" s="9" t="n">
        <x:f>(Z157/AA157)^4</x:f>
        <x:v>0.9889476850627691</x:v>
      </x:c>
      <x:c r="AH157" s="9" t="n">
        <x:f>10*LOG10(AG157)</x:f>
        <x:v>-0.048266817996777296</x:v>
      </x:c>
      <x:c r="AI157" s="9" t="n">
        <x:f>AC157-F157</x:f>
        <x:v>-193.8200806344621</x:v>
      </x:c>
      <x:c r="AJ157" s="9" t="n">
        <x:f>AD157-G157</x:f>
        <x:v>-2.3015905458791934</x:v>
      </x:c>
      <x:c r="AK157" s="9" t="n">
        <x:f>Y157-X157</x:f>
        <x:v>346.8844734188758</x:v>
      </x:c>
      <x:c r="AL157" s="9" t="n">
        <x:f>1000*(AA158-AA156)/(A158-A156)*Inputs!$C$11</x:f>
        <x:v>316.65908526474595</x:v>
      </x:c>
      <x:c r="AM157" s="9" t="n">
        <x:f>-2*AL157/Inputs!$C$13</x:f>
        <x:v>-126.66363410589838</x:v>
      </x:c>
      <x:c r="AN157" s="9" t="n">
        <x:f>-2*AL157/Inputs!$C$14</x:f>
        <x:v>-19.018563679564323</x:v>
      </x:c>
      <x:c r="AO157" s="9" t="n">
        <x:f>ABS(AM157)</x:f>
        <x:v>126.66363410589838</x:v>
      </x:c>
      <x:c r="AP157" s="9" t="n">
        <x:f>ABS(AN157)</x:f>
        <x:v>19.018563679564323</x:v>
      </x:c>
      <x:c r="AQ157" s="9" t="n">
        <x:f>IF(OR(Inputs!$C$27=TRUE,Inputs!$C$27="TRUE",Inputs!$C$27=1),Inputs!$C$46/Inputs!$C$12,0)</x:f>
        <x:v>42.13483146067416</x:v>
      </x:c>
      <x:c r="AR157" s="9" t="n">
        <x:f>AC157-AQ157</x:f>
        <x:v>583.5358915746684</x:v>
      </x:c>
      <x:c r="AS157" s="9" t="n">
        <x:f>AC157+AQ157</x:f>
        <x:v>667.8055544960167</x:v>
      </x:c>
    </x:row>
    <x:row r="158">
      <x:c r="A158" s="9" t="n">
        <x:f>Inputs!$C$7+156*(Inputs!$C$8-Inputs!$C$7)/240</x:f>
        <x:v>18</x:v>
      </x:c>
      <x:c r="B158" s="9" t="n">
        <x:f>Inputs!$C$5+Inputs!$C$9*(A158/Inputs!$C$10)^2</x:f>
        <x:v>400.36</x:v>
      </x:c>
      <x:c r="C158" s="9" t="n">
        <x:f>B158</x:f>
        <x:v>400.36</x:v>
      </x:c>
      <x:c r="D158" s="9" t="n">
        <x:f>SQRT((Inputs!$C$52+B158)^2+Inputs!$C$52^2-2*(Inputs!$C$52+B158)*Inputs!$C$52*COS(SQRT(A158^2+Inputs!$C$6^2)/Inputs!$C$52))</x:f>
        <x:v>401.8463865574598</x:v>
      </x:c>
      <x:c r="E158" s="9" t="n">
        <x:f>(D158-C158)*1000</x:f>
        <x:v>1486.3865574598094</x:v>
      </x:c>
      <x:c r="F158" s="9" t="n">
        <x:f>E158/Inputs!$C$12</x:f>
        <x:v>835.0486277864097</x:v>
      </x:c>
      <x:c r="G158" s="9" t="n">
        <x:f>2*E158/Inputs!$C$21*1000000</x:f>
        <x:v>9.916103743075547</x:v>
      </x:c>
      <x:c r="H158" s="9" t="n">
        <x:f>SQRT(A158^2+Inputs!$C$6^2)</x:f>
        <x:v>30.805843601498726</x:v>
      </x:c>
      <x:c r="I158" s="9" t="n">
        <x:f>DEGREES(ATAN(H158/B158))</x:f>
        <x:v>4.3999744653546005</x:v>
      </x:c>
      <x:c r="J158" s="9" t="n">
        <x:f>DEGREES((2*PI()/Inputs!$C$13)*Inputs!$C$15*SIN(RADIANS(I158)))</x:f>
        <x:v>27.618690159596383</x:v>
      </x:c>
      <x:c r="K158" s="9" t="n">
        <x:f>(C158/D158)^4</x:f>
        <x:v>0.9852863188663767</x:v>
      </x:c>
      <x:c r="L158" s="9" t="n">
        <x:f>10*LOG10(K158)</x:f>
        <x:v>-0.0643754753818252</x:v>
      </x:c>
      <x:c r="M158" s="9" t="n">
        <x:f>2*(Inputs!$C$9/(Inputs!$C$10^2))*A158</x:f>
        <x:v>0.04</x:v>
      </x:c>
      <x:c r="N158" s="9" t="n">
        <x:f>M158*Inputs!$C$11</x:f>
        <x:v>0.16</x:v>
      </x:c>
      <x:c r="O158" s="9" t="n">
        <x:f>1000*(D159-D157)/(A159-A157)*Inputs!$C$11</x:f>
        <x:v>384.64663819468115</x:v>
      </x:c>
      <x:c r="P158" s="9" t="n">
        <x:f>-2*O158/Inputs!$C$13</x:f>
        <x:v>-153.85865527787246</x:v>
      </x:c>
      <x:c r="Q158" s="9" t="n">
        <x:f>-2*O158/Inputs!$C$14</x:f>
        <x:v>-23.101900191872744</x:v>
      </x:c>
      <x:c r="R158" s="9" t="n">
        <x:f>F158-Inputs!$C$16/2</x:f>
        <x:v>820.0486277864097</x:v>
      </x:c>
      <x:c r="S158" s="9" t="n">
        <x:f>F158+Inputs!$C$16/2</x:f>
        <x:v>850.0486277864097</x:v>
      </x:c>
      <x:c r="T158" s="9" t="n">
        <x:f>F158-Inputs!$C$17/2</x:f>
        <x:v>685.0486277864097</x:v>
      </x:c>
      <x:c r="U158" s="9" t="n">
        <x:f>F158+Inputs!$C$17/2</x:f>
        <x:v>985.0486277864097</x:v>
      </x:c>
      <x:c r="V158" s="9" t="n">
        <x:f>ABS(P158)</x:f>
        <x:v>153.85865527787246</x:v>
      </x:c>
      <x:c r="W158" s="9" t="n">
        <x:f>ABS(Q158)</x:f>
        <x:v>23.101900191872744</x:v>
      </x:c>
      <x:c r="X158" s="9"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x:f>
        <x:v>70.50298613715029</x:v>
      </x:c>
      <x:c r="Y158" s="9"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x:f>
        <x:v>417.3671248555401</x:v>
      </x:c>
      <x:c r="Z158" s="9" t="n">
        <x:f>B158-X158/1000</x:f>
        <x:v>400.28949701386284</x:v>
      </x:c>
      <x:c r="AA158" s="9" t="n">
        <x:f>SQRT((Inputs!$C$52+B158)^2+(Inputs!$C$52+Y158/1000)^2-2*(Inputs!$C$52+B158)*(Inputs!$C$52+Y158/1000)*COS(SQRT(A158^2+Inputs!$C$6^2)/Inputs!$C$52))</x:f>
        <x:v>401.43096197501154</x:v>
      </x:c>
      <x:c r="AB158" s="9" t="n">
        <x:f>(AA158-Z158)*1000</x:f>
        <x:v>1141.4649611486993</x:v>
      </x:c>
      <x:c r="AC158" s="9" t="n">
        <x:f>AB158/Inputs!$C$12</x:f>
        <x:v>641.272450083539</x:v>
      </x:c>
      <x:c r="AD158" s="9" t="n">
        <x:f>2*AB158/Inputs!$C$21*1000000</x:f>
        <x:v>7.615034539319193</x:v>
      </x:c>
      <x:c r="AE158" s="9" t="n">
        <x:f>DEGREES(ATAN(H158/(B158-Y158/1000)))</x:f>
        <x:v>4.404548076410021</x:v>
      </x:c>
      <x:c r="AF158" s="9" t="n">
        <x:f>DEGREES((2*PI()/Inputs!$C$13)*Inputs!$C$15*SIN(RADIANS(AE158)))</x:f>
        <x:v>27.647342223735293</x:v>
      </x:c>
      <x:c r="AG158" s="9" t="n">
        <x:f>(Z158/AA158)^4</x:f>
        <x:v>0.9886744603676367</x:v>
      </x:c>
      <x:c r="AH158" s="9" t="n">
        <x:f>10*LOG10(AG158)</x:f>
        <x:v>-0.049466844791024506</x:v>
      </x:c>
      <x:c r="AI158" s="9" t="n">
        <x:f>AC158-F158</x:f>
        <x:v>-193.77617770287077</x:v>
      </x:c>
      <x:c r="AJ158" s="9" t="n">
        <x:f>AD158-G158</x:f>
        <x:v>-2.301069203756354</x:v>
      </x:c>
      <x:c r="AK158" s="9" t="n">
        <x:f>Y158-X158</x:f>
        <x:v>346.8641387183898</x:v>
      </x:c>
      <x:c r="AL158" s="9" t="n">
        <x:f>1000*(AA159-AA157)/(A159-A157)*Inputs!$C$11</x:f>
        <x:v>379.2263461082257</x:v>
      </x:c>
      <x:c r="AM158" s="9" t="n">
        <x:f>-2*AL158/Inputs!$C$13</x:f>
        <x:v>-151.69053844329028</x:v>
      </x:c>
      <x:c r="AN158" s="9" t="n">
        <x:f>-2*AL158/Inputs!$C$14</x:f>
        <x:v>-22.77635712361716</x:v>
      </x:c>
      <x:c r="AO158" s="9" t="n">
        <x:f>ABS(AM158)</x:f>
        <x:v>151.69053844329028</x:v>
      </x:c>
      <x:c r="AP158" s="9" t="n">
        <x:f>ABS(AN158)</x:f>
        <x:v>22.77635712361716</x:v>
      </x:c>
      <x:c r="AQ158" s="9" t="n">
        <x:f>IF(OR(Inputs!$C$27=TRUE,Inputs!$C$27="TRUE",Inputs!$C$27=1),Inputs!$C$46/Inputs!$C$12,0)</x:f>
        <x:v>42.13483146067416</x:v>
      </x:c>
      <x:c r="AR158" s="9" t="n">
        <x:f>AC158-AQ158</x:f>
        <x:v>599.1376186228648</x:v>
      </x:c>
      <x:c r="AS158" s="9" t="n">
        <x:f>AC158+AQ158</x:f>
        <x:v>683.4072815442131</x:v>
      </x:c>
    </x:row>
    <x:row r="159">
      <x:c r="A159" s="9" t="n">
        <x:f>Inputs!$C$7+157*(Inputs!$C$8-Inputs!$C$7)/240</x:f>
        <x:v>18.5</x:v>
      </x:c>
      <x:c r="B159" s="9" t="n">
        <x:f>Inputs!$C$5+Inputs!$C$9*(A159/Inputs!$C$10)^2</x:f>
        <x:v>400.3802777777778</x:v>
      </x:c>
      <x:c r="C159" s="9" t="n">
        <x:f>B159</x:f>
        <x:v>400.3802777777778</x:v>
      </x:c>
      <x:c r="D159" s="9" t="n">
        <x:f>SQRT((Inputs!$C$52+B159)^2+Inputs!$C$52^2-2*(Inputs!$C$52+B159)*Inputs!$C$52*COS(SQRT(A159^2+Inputs!$C$6^2)/Inputs!$C$52))</x:f>
        <x:v>401.8951330678587</x:v>
      </x:c>
      <x:c r="E159" s="9" t="n">
        <x:f>(D159-C159)*1000</x:f>
        <x:v>1514.8552900809023</x:v>
      </x:c>
      <x:c r="F159" s="9" t="n">
        <x:f>E159/Inputs!$C$12</x:f>
        <x:v>851.0422977982597</x:v>
      </x:c>
      <x:c r="G159" s="9" t="n">
        <x:f>2*E159/Inputs!$C$21*1000000</x:f>
        <x:v>10.106026683839406</x:v>
      </x:c>
      <x:c r="H159" s="9" t="n">
        <x:f>SQRT(A159^2+Inputs!$C$6^2)</x:f>
        <x:v>31.100643080167973</x:v>
      </x:c>
      <x:c r="I159" s="9" t="n">
        <x:f>DEGREES(ATAN(H159/B159))</x:f>
        <x:v>4.441688661129496</x:v>
      </x:c>
      <x:c r="J159" s="9" t="n">
        <x:f>DEGREES((2*PI()/Inputs!$C$13)*Inputs!$C$15*SIN(RADIANS(I159)))</x:f>
        <x:v>27.88000837991527</x:v>
      </x:c>
      <x:c r="K159" s="9" t="n">
        <x:f>(C159/D159)^4</x:f>
        <x:v>0.9850079107957616</x:v>
      </x:c>
      <x:c r="L159" s="9" t="n">
        <x:f>10*LOG10(K159)</x:f>
        <x:v>-0.0656028158243841</x:v>
      </x:c>
      <x:c r="M159" s="9" t="n">
        <x:f>2*(Inputs!$C$9/(Inputs!$C$10^2))*A159</x:f>
        <x:v>0.04111111111111111</x:v>
      </x:c>
      <x:c r="N159" s="9" t="n">
        <x:f>M159*Inputs!$C$11</x:f>
        <x:v>0.16444444444444445</x:v>
      </x:c>
      <x:c r="O159" s="9" t="n">
        <x:f>1000*(D160-D158)/(A160-A158)*Inputs!$C$11</x:f>
        <x:v>395.2961091731595</x:v>
      </x:c>
      <x:c r="P159" s="9" t="n">
        <x:f>-2*O159/Inputs!$C$13</x:f>
        <x:v>-158.1184436692638</x:v>
      </x:c>
      <x:c r="Q159" s="9" t="n">
        <x:f>-2*O159/Inputs!$C$14</x:f>
        <x:v>-23.74150805844802</x:v>
      </x:c>
      <x:c r="R159" s="9" t="n">
        <x:f>F159-Inputs!$C$16/2</x:f>
        <x:v>836.0422977982597</x:v>
      </x:c>
      <x:c r="S159" s="9" t="n">
        <x:f>F159+Inputs!$C$16/2</x:f>
        <x:v>866.0422977982597</x:v>
      </x:c>
      <x:c r="T159" s="9" t="n">
        <x:f>F159-Inputs!$C$17/2</x:f>
        <x:v>701.0422977982597</x:v>
      </x:c>
      <x:c r="U159" s="9" t="n">
        <x:f>F159+Inputs!$C$17/2</x:f>
        <x:v>1001.0422977982597</x:v>
      </x:c>
      <x:c r="V159" s="9" t="n">
        <x:f>ABS(P159)</x:f>
        <x:v>158.1184436692638</x:v>
      </x:c>
      <x:c r="W159" s="9" t="n">
        <x:f>ABS(Q159)</x:f>
        <x:v>23.74150805844802</x:v>
      </x:c>
      <x:c r="X159" s="9"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x:f>
        <x:v>84.15381309689964</x:v>
      </x:c>
      <x:c r="Y159" s="9"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x:f>
        <x:v>414.03078360208366</x:v>
      </x:c>
      <x:c r="Z159" s="9" t="n">
        <x:f>B159-X159/1000</x:f>
        <x:v>400.2961239646809</x:v>
      </x:c>
      <x:c r="AA159" s="9" t="n">
        <x:f>SQRT((Inputs!$C$52+B159)^2+(Inputs!$C$52+Y159/1000)^2-2*(Inputs!$C$52+B159)*(Inputs!$C$52+Y159/1000)*COS(SQRT(A159^2+Inputs!$C$6^2)/Inputs!$C$52))</x:f>
        <x:v>401.48306598619155</x:v>
      </x:c>
      <x:c r="AB159" s="9" t="n">
        <x:f>(AA159-Z159)*1000</x:f>
        <x:v>1186.9420215106743</x:v>
      </x:c>
      <x:c r="AC159" s="9" t="n">
        <x:f>AB159/Inputs!$C$12</x:f>
        <x:v>666.8213603992552</x:v>
      </x:c>
      <x:c r="AD159" s="9" t="n">
        <x:f>2*AB159/Inputs!$C$21*1000000</x:f>
        <x:v>7.9184248291574715</x:v>
      </x:c>
      <x:c r="AE159" s="9" t="n">
        <x:f>DEGREES(ATAN(H159/(B159-Y159/1000)))</x:f>
        <x:v>4.446268111223477</x:v>
      </x:c>
      <x:c r="AF159" s="9" t="n">
        <x:f>DEGREES((2*PI()/Inputs!$C$13)*Inputs!$C$15*SIN(RADIANS(AE159)))</x:f>
        <x:v>27.90869540788116</x:v>
      </x:c>
      <x:c r="AG159" s="9" t="n">
        <x:f>(Z159/AA159)^4</x:f>
        <x:v>0.9882267633561046</x:v>
      </x:c>
      <x:c r="AH159" s="9" t="n">
        <x:f>10*LOG10(AG159)</x:f>
        <x:v>-0.0514338863676454</x:v>
      </x:c>
      <x:c r="AI159" s="9" t="n">
        <x:f>AC159-F159</x:f>
        <x:v>-184.22093739900447</x:v>
      </x:c>
      <x:c r="AJ159" s="9" t="n">
        <x:f>AD159-G159</x:f>
        <x:v>-2.187601854681935</x:v>
      </x:c>
      <x:c r="AK159" s="9" t="n">
        <x:f>Y159-X159</x:f>
        <x:v>329.87697050518403</x:v>
      </x:c>
      <x:c r="AL159" s="9" t="n">
        <x:f>1000*(AA160-AA158)/(A160-A158)*Inputs!$C$11</x:f>
        <x:v>347.93929193369877</x:v>
      </x:c>
      <x:c r="AM159" s="9" t="n">
        <x:f>-2*AL159/Inputs!$C$13</x:f>
        <x:v>-139.1757167734795</x:v>
      </x:c>
      <x:c r="AN159" s="9" t="n">
        <x:f>-2*AL159/Inputs!$C$14</x:f>
        <x:v>-20.89725477079272</x:v>
      </x:c>
      <x:c r="AO159" s="9" t="n">
        <x:f>ABS(AM159)</x:f>
        <x:v>139.1757167734795</x:v>
      </x:c>
      <x:c r="AP159" s="9" t="n">
        <x:f>ABS(AN159)</x:f>
        <x:v>20.89725477079272</x:v>
      </x:c>
      <x:c r="AQ159" s="9" t="n">
        <x:f>IF(OR(Inputs!$C$27=TRUE,Inputs!$C$27="TRUE",Inputs!$C$27=1),Inputs!$C$46/Inputs!$C$12,0)</x:f>
        <x:v>42.13483146067416</x:v>
      </x:c>
      <x:c r="AR159" s="9" t="n">
        <x:f>AC159-AQ159</x:f>
        <x:v>624.6865289385811</x:v>
      </x:c>
      <x:c r="AS159" s="9" t="n">
        <x:f>AC159+AQ159</x:f>
        <x:v>708.9561918599294</x:v>
      </x:c>
    </x:row>
    <x:row r="160">
      <x:c r="A160" s="9" t="n">
        <x:f>Inputs!$C$7+158*(Inputs!$C$8-Inputs!$C$7)/240</x:f>
        <x:v>19</x:v>
      </x:c>
      <x:c r="B160" s="9" t="n">
        <x:f>Inputs!$C$5+Inputs!$C$9*(A160/Inputs!$C$10)^2</x:f>
        <x:v>400.4011111111111</x:v>
      </x:c>
      <x:c r="C160" s="9" t="n">
        <x:f>B160</x:f>
        <x:v>400.4011111111111</x:v>
      </x:c>
      <x:c r="D160" s="9" t="n">
        <x:f>SQRT((Inputs!$C$52+B160)^2+Inputs!$C$52^2-2*(Inputs!$C$52+B160)*Inputs!$C$52*COS(SQRT(A160^2+Inputs!$C$6^2)/Inputs!$C$52))</x:f>
        <x:v>401.9452105847531</x:v>
      </x:c>
      <x:c r="E160" s="9" t="n">
        <x:f>(D160-C160)*1000</x:f>
        <x:v>1544.0994736420066</x:v>
      </x:c>
      <x:c r="F160" s="9" t="n">
        <x:f>E160/Inputs!$C$12</x:f>
        <x:v>867.4716144056217</x:v>
      </x:c>
      <x:c r="G160" s="9" t="n">
        <x:f>2*E160/Inputs!$C$21*1000000</x:f>
        <x:v>10.301122876426774</x:v>
      </x:c>
      <x:c r="H160" s="9" t="n">
        <x:f>SQRT(A160^2+Inputs!$C$6^2)</x:f>
        <x:v>31.400636936215164</x:v>
      </x:c>
      <x:c r="I160" s="9" t="n">
        <x:f>DEGREES(ATAN(H160/B160))</x:f>
        <x:v>4.484126471249511</x:v>
      </x:c>
      <x:c r="J160" s="9" t="n">
        <x:f>DEGREES((2*PI()/Inputs!$C$13)*Inputs!$C$15*SIN(RADIANS(I160)))</x:f>
        <x:v>28.14584451050467</x:v>
      </x:c>
      <x:c r="K160" s="9" t="n">
        <x:f>(C160/D160)^4</x:f>
        <x:v>0.9847220511043003</x:v>
      </x:c>
      <x:c r="L160" s="9" t="n">
        <x:f>10*LOG10(K160)</x:f>
        <x:v>-0.0668633671676961</x:v>
      </x:c>
      <x:c r="M160" s="9" t="n">
        <x:f>2*(Inputs!$C$9/(Inputs!$C$10^2))*A160</x:f>
        <x:v>0.042222222222222223</x:v>
      </x:c>
      <x:c r="N160" s="9" t="n">
        <x:f>M160*Inputs!$C$11</x:f>
        <x:v>0.1688888888888889</x:v>
      </x:c>
      <x:c r="O160" s="9" t="n">
        <x:f>1000*(D161-D159)/(A161-A159)*Inputs!$C$11</x:f>
        <x:v>405.9427041381696</x:v>
      </x:c>
      <x:c r="P160" s="9" t="n">
        <x:f>-2*O160/Inputs!$C$13</x:f>
        <x:v>-162.37708165526783</x:v>
      </x:c>
      <x:c r="Q160" s="9" t="n">
        <x:f>-2*O160/Inputs!$C$14</x:f>
        <x:v>-24.38094319148166</x:v>
      </x:c>
      <x:c r="R160" s="9" t="n">
        <x:f>F160-Inputs!$C$16/2</x:f>
        <x:v>852.4716144056217</x:v>
      </x:c>
      <x:c r="S160" s="9" t="n">
        <x:f>F160+Inputs!$C$16/2</x:f>
        <x:v>882.4716144056217</x:v>
      </x:c>
      <x:c r="T160" s="9" t="n">
        <x:f>F160-Inputs!$C$17/2</x:f>
        <x:v>717.4716144056217</x:v>
      </x:c>
      <x:c r="U160" s="9" t="n">
        <x:f>F160+Inputs!$C$17/2</x:f>
        <x:v>1017.4716144056217</x:v>
      </x:c>
      <x:c r="V160" s="9" t="n">
        <x:f>ABS(P160)</x:f>
        <x:v>162.37708165526783</x:v>
      </x:c>
      <x:c r="W160" s="9" t="n">
        <x:f>ABS(Q160)</x:f>
        <x:v>24.38094319148166</x:v>
      </x:c>
      <x:c r="X160" s="9"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x:f>
        <x:v>87.79516149602648</x:v>
      </x:c>
      <x:c r="Y160" s="9"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x:f>
        <x:v>429.33926339108206</x:v>
      </x:c>
      <x:c r="Z160" s="9" t="n">
        <x:f>B160-X160/1000</x:f>
        <x:v>400.31331594961506</x:v>
      </x:c>
      <x:c r="AA160" s="9" t="n">
        <x:f>SQRT((Inputs!$C$52+B160)^2+(Inputs!$C$52+Y160/1000)^2-2*(Inputs!$C$52+B160)*(Inputs!$C$52+Y160/1000)*COS(SQRT(A160^2+Inputs!$C$6^2)/Inputs!$C$52))</x:f>
        <x:v>401.51794679799497</x:v>
      </x:c>
      <x:c r="AB160" s="9" t="n">
        <x:f>(AA160-Z160)*1000</x:f>
        <x:v>1204.6308483799066</x:v>
      </x:c>
      <x:c r="AC160" s="9" t="n">
        <x:f>AB160/Inputs!$C$12</x:f>
        <x:v>676.7589035842173</x:v>
      </x:c>
      <x:c r="AD160" s="9" t="n">
        <x:f>2*AB160/Inputs!$C$21*1000000</x:f>
        <x:v>8.036431979752516</x:v>
      </x:c>
      <x:c r="AE160" s="9" t="n">
        <x:f>DEGREES(ATAN(H160/(B160-Y160/1000)))</x:f>
        <x:v>4.488920177634765</x:v>
      </x:c>
      <x:c r="AF160" s="9" t="n">
        <x:f>DEGREES((2*PI()/Inputs!$C$13)*Inputs!$C$15*SIN(RADIANS(AE160)))</x:f>
        <x:v>28.175871961914865</x:v>
      </x:c>
      <x:c r="AG160" s="9" t="n">
        <x:f>(Z160/AA160)^4</x:f>
        <x:v>0.9880531317964869</x:v>
      </x:c>
      <x:c r="AH160" s="9" t="n">
        <x:f>10*LOG10(AG160)</x:f>
        <x:v>-0.0521970093301894</x:v>
      </x:c>
      <x:c r="AI160" s="9" t="n">
        <x:f>AC160-F160</x:f>
        <x:v>-190.71271082140447</x:v>
      </x:c>
      <x:c r="AJ160" s="9" t="n">
        <x:f>AD160-G160</x:f>
        <x:v>-2.2646908966742583</x:v>
      </x:c>
      <x:c r="AK160" s="9" t="n">
        <x:f>Y160-X160</x:f>
        <x:v>341.5441018950556</x:v>
      </x:c>
      <x:c r="AL160" s="9" t="n">
        <x:f>1000*(AA161-AA159)/(A161-A159)*Inputs!$C$11</x:f>
        <x:v>316.1609339874758</x:v>
      </x:c>
      <x:c r="AM160" s="9" t="n">
        <x:f>-2*AL160/Inputs!$C$13</x:f>
        <x:v>-126.46437359499032</x:v>
      </x:c>
      <x:c r="AN160" s="9" t="n">
        <x:f>-2*AL160/Inputs!$C$14</x:f>
        <x:v>-18.98864468393248</x:v>
      </x:c>
      <x:c r="AO160" s="9" t="n">
        <x:f>ABS(AM160)</x:f>
        <x:v>126.46437359499032</x:v>
      </x:c>
      <x:c r="AP160" s="9" t="n">
        <x:f>ABS(AN160)</x:f>
        <x:v>18.98864468393248</x:v>
      </x:c>
      <x:c r="AQ160" s="9" t="n">
        <x:f>IF(OR(Inputs!$C$27=TRUE,Inputs!$C$27="TRUE",Inputs!$C$27=1),Inputs!$C$46/Inputs!$C$12,0)</x:f>
        <x:v>42.13483146067416</x:v>
      </x:c>
      <x:c r="AR160" s="9" t="n">
        <x:f>AC160-AQ160</x:f>
        <x:v>634.6240721235431</x:v>
      </x:c>
      <x:c r="AS160" s="9" t="n">
        <x:f>AC160+AQ160</x:f>
        <x:v>718.8937350448914</x:v>
      </x:c>
    </x:row>
    <x:row r="161">
      <x:c r="A161" s="9" t="n">
        <x:f>Inputs!$C$7+159*(Inputs!$C$8-Inputs!$C$7)/240</x:f>
        <x:v>19.5</x:v>
      </x:c>
      <x:c r="B161" s="9" t="n">
        <x:f>Inputs!$C$5+Inputs!$C$9*(A161/Inputs!$C$10)^2</x:f>
        <x:v>400.4225</x:v>
      </x:c>
      <x:c r="C161" s="9" t="n">
        <x:f>B161</x:f>
        <x:v>400.4225</x:v>
      </x:c>
      <x:c r="D161" s="9" t="n">
        <x:f>SQRT((Inputs!$C$52+B161)^2+Inputs!$C$52^2-2*(Inputs!$C$52+B161)*Inputs!$C$52*COS(SQRT(A161^2+Inputs!$C$6^2)/Inputs!$C$52))</x:f>
        <x:v>401.99661874389324</x:v>
      </x:c>
      <x:c r="E161" s="9" t="n">
        <x:f>(D161-C161)*1000</x:f>
        <x:v>1574.118743893223</x:v>
      </x:c>
      <x:c r="F161" s="9" t="n">
        <x:f>E161/Inputs!$C$12</x:f>
        <x:v>884.3363729737207</x:v>
      </x:c>
      <x:c r="G161" s="9" t="n">
        <x:f>2*E161/Inputs!$C$21*1000000</x:f>
        <x:v>10.50138989082389</x:v>
      </x:c>
      <x:c r="H161" s="9" t="n">
        <x:f>SQRT(A161^2+Inputs!$C$6^2)</x:f>
        <x:v>31.70567772497538</x:v>
      </x:c>
      <x:c r="I161" s="9" t="n">
        <x:f>DEGREES(ATAN(H161/B161))</x:f>
        <x:v>4.527266340904271</x:v>
      </x:c>
      <x:c r="J161" s="9" t="n">
        <x:f>DEGREES((2*PI()/Inputs!$C$13)*Inputs!$C$15*SIN(RADIANS(I161)))</x:f>
        <x:v>28.416062609031858</x:v>
      </x:c>
      <x:c r="K161" s="9" t="n">
        <x:f>(C161/D161)^4</x:f>
        <x:v>0.9844287539010956</x:v>
      </x:c>
      <x:c r="L161" s="9" t="n">
        <x:f>10*LOG10(K161)</x:f>
        <x:v>-0.0681570959926051</x:v>
      </x:c>
      <x:c r="M161" s="9" t="n">
        <x:f>2*(Inputs!$C$9/(Inputs!$C$10^2))*A161</x:f>
        <x:v>0.043333333333333335</x:v>
      </x:c>
      <x:c r="N161" s="9" t="n">
        <x:f>M161*Inputs!$C$11</x:f>
        <x:v>0.17333333333333334</x:v>
      </x:c>
      <x:c r="O161" s="9" t="n">
        <x:f>1000*(D162-D160)/(A162-A160)*Inputs!$C$11</x:f>
        <x:v>416.5863471978355</x:v>
      </x:c>
      <x:c r="P161" s="9" t="n">
        <x:f>-2*O161/Inputs!$C$13</x:f>
        <x:v>-166.6345388791342</x:v>
      </x:c>
      <x:c r="Q161" s="9" t="n">
        <x:f>-2*O161/Inputs!$C$14</x:f>
        <x:v>-25.020201032903035</x:v>
      </x:c>
      <x:c r="R161" s="9" t="n">
        <x:f>F161-Inputs!$C$16/2</x:f>
        <x:v>869.3363729737207</x:v>
      </x:c>
      <x:c r="S161" s="9" t="n">
        <x:f>F161+Inputs!$C$16/2</x:f>
        <x:v>899.3363729737207</x:v>
      </x:c>
      <x:c r="T161" s="9" t="n">
        <x:f>F161-Inputs!$C$17/2</x:f>
        <x:v>734.3363729737207</x:v>
      </x:c>
      <x:c r="U161" s="9" t="n">
        <x:f>F161+Inputs!$C$17/2</x:f>
        <x:v>1034.3363729737207</x:v>
      </x:c>
      <x:c r="V161" s="9" t="n">
        <x:f>ABS(P161)</x:f>
        <x:v>166.6345388791342</x:v>
      </x:c>
      <x:c r="W161" s="9" t="n">
        <x:f>ABS(Q161)</x:f>
        <x:v>25.020201032903035</x:v>
      </x:c>
      <x:c r="X161" s="9"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x:f>
        <x:v>80.08578782325549</x:v>
      </x:c>
      <x:c r="Y161" s="9"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x:f>
        <x:v>436.66425250955575</x:v>
      </x:c>
      <x:c r="Z161" s="9" t="n">
        <x:f>B161-X161/1000</x:f>
        <x:v>400.3424142121768</x:v>
      </x:c>
      <x:c r="AA161" s="9" t="n">
        <x:f>SQRT((Inputs!$C$52+B161)^2+(Inputs!$C$52+Y161/1000)^2-2*(Inputs!$C$52+B161)*(Inputs!$C$52+Y161/1000)*COS(SQRT(A161^2+Inputs!$C$6^2)/Inputs!$C$52))</x:f>
        <x:v>401.5621062196884</x:v>
      </x:c>
      <x:c r="AB161" s="9" t="n">
        <x:f>(AA161-Z161)*1000</x:f>
        <x:v>1219.6920075116395</x:v>
      </x:c>
      <x:c r="AC161" s="9" t="n">
        <x:f>AB161/Inputs!$C$12</x:f>
        <x:v>685.2202289391233</x:v>
      </x:c>
      <x:c r="AD161" s="9" t="n">
        <x:f>2*AB161/Inputs!$C$21*1000000</x:f>
        <x:v>8.136909218120755</x:v>
      </x:c>
      <x:c r="AE161" s="9" t="n">
        <x:f>DEGREES(ATAN(H161/(B161-Y161/1000)))</x:f>
        <x:v>4.532188174622039</x:v>
      </x:c>
      <x:c r="AF161" s="9" t="n">
        <x:f>DEGREES((2*PI()/Inputs!$C$13)*Inputs!$C$15*SIN(RADIANS(AE161)))</x:f>
        <x:v>28.446890808481474</x:v>
      </x:c>
      <x:c r="AG161" s="9" t="n">
        <x:f>(Z161/AA161)^4</x:f>
        <x:v>0.9879057684794388</x:v>
      </x:c>
      <x:c r="AH161" s="9" t="n">
        <x:f>10*LOG10(AG161)</x:f>
        <x:v>-0.0528447867261531</x:v>
      </x:c>
      <x:c r="AI161" s="9" t="n">
        <x:f>AC161-F161</x:f>
        <x:v>-199.11614403459737</x:v>
      </x:c>
      <x:c r="AJ161" s="9" t="n">
        <x:f>AD161-G161</x:f>
        <x:v>-2.364480672703136</x:v>
      </x:c>
      <x:c r="AK161" s="9" t="n">
        <x:f>Y161-X161</x:f>
        <x:v>356.57846468630026</x:v>
      </x:c>
      <x:c r="AL161" s="9" t="n">
        <x:f>1000*(AA162-AA160)/(A162-A160)*Inputs!$C$11</x:f>
        <x:v>378.4178004671048</x:v>
      </x:c>
      <x:c r="AM161" s="9" t="n">
        <x:f>-2*AL161/Inputs!$C$13</x:f>
        <x:v>-151.36712018684193</x:v>
      </x:c>
      <x:c r="AN161" s="9" t="n">
        <x:f>-2*AL161/Inputs!$C$14</x:f>
        <x:v>-22.72779582385014</x:v>
      </x:c>
      <x:c r="AO161" s="9" t="n">
        <x:f>ABS(AM161)</x:f>
        <x:v>151.36712018684193</x:v>
      </x:c>
      <x:c r="AP161" s="9" t="n">
        <x:f>ABS(AN161)</x:f>
        <x:v>22.72779582385014</x:v>
      </x:c>
      <x:c r="AQ161" s="9" t="n">
        <x:f>IF(OR(Inputs!$C$27=TRUE,Inputs!$C$27="TRUE",Inputs!$C$27=1),Inputs!$C$46/Inputs!$C$12,0)</x:f>
        <x:v>42.13483146067416</x:v>
      </x:c>
      <x:c r="AR161" s="9" t="n">
        <x:f>AC161-AQ161</x:f>
        <x:v>643.0853974784492</x:v>
      </x:c>
      <x:c r="AS161" s="9" t="n">
        <x:f>AC161+AQ161</x:f>
        <x:v>727.3550603997975</x:v>
      </x:c>
    </x:row>
    <x:row r="162">
      <x:c r="A162" s="9" t="n">
        <x:f>Inputs!$C$7+160*(Inputs!$C$8-Inputs!$C$7)/240</x:f>
        <x:v>20</x:v>
      </x:c>
      <x:c r="B162" s="9" t="n">
        <x:f>Inputs!$C$5+Inputs!$C$9*(A162/Inputs!$C$10)^2</x:f>
        <x:v>400.44444444444446</x:v>
      </x:c>
      <x:c r="C162" s="9" t="n">
        <x:f>B162</x:f>
        <x:v>400.44444444444446</x:v>
      </x:c>
      <x:c r="D162" s="9" t="n">
        <x:f>SQRT((Inputs!$C$52+B162)^2+Inputs!$C$52^2-2*(Inputs!$C$52+B162)*Inputs!$C$52*COS(SQRT(A162^2+Inputs!$C$6^2)/Inputs!$C$52))</x:f>
        <x:v>402.0493571715526</x:v>
      </x:c>
      <x:c r="E162" s="9" t="n">
        <x:f>(D162-C162)*1000</x:f>
        <x:v>1604.9127271081147</x:v>
      </x:c>
      <x:c r="F162" s="9" t="n">
        <x:f>E162/Inputs!$C$12</x:f>
        <x:v>901.6363635438846</x:v>
      </x:c>
      <x:c r="G162" s="9" t="n">
        <x:f>2*E162/Inputs!$C$21*1000000</x:f>
        <x:v>10.70682523379634</x:v>
      </x:c>
      <x:c r="H162" s="9" t="n">
        <x:f>SQRT(A162^2+Inputs!$C$6^2)</x:f>
        <x:v>32.01562118716424</x:v>
      </x:c>
      <x:c r="I162" s="9" t="n">
        <x:f>DEGREES(ATAN(H162/B162))</x:f>
        <x:v>4.571087167996556</x:v>
      </x:c>
      <x:c r="J162" s="9" t="n">
        <x:f>DEGREES((2*PI()/Inputs!$C$13)*Inputs!$C$15*SIN(RADIANS(I162)))</x:f>
        <x:v>28.69052957284685</x:v>
      </x:c>
      <x:c r="K162" s="9" t="n">
        <x:f>(C162/D162)^4</x:f>
        <x:v>0.9841280336502154</x:v>
      </x:c>
      <x:c r="L162" s="9" t="n">
        <x:f>10*LOG10(K162)</x:f>
        <x:v>-0.0694839680177928</x:v>
      </x:c>
      <x:c r="M162" s="9" t="n">
        <x:f>2*(Inputs!$C$9/(Inputs!$C$10^2))*A162</x:f>
        <x:v>0.044444444444444446</x:v>
      </x:c>
      <x:c r="N162" s="9" t="n">
        <x:f>M162*Inputs!$C$11</x:f>
        <x:v>0.17777777777777778</x:v>
      </x:c>
      <x:c r="O162" s="9" t="n">
        <x:f>1000*(D163-D161)/(A163-A161)*Inputs!$C$11</x:f>
        <x:v>427.2269625973877</x:v>
      </x:c>
      <x:c r="P162" s="9" t="n">
        <x:f>-2*O162/Inputs!$C$13</x:f>
        <x:v>-170.89078503895507</x:v>
      </x:c>
      <x:c r="Q162" s="9" t="n">
        <x:f>-2*O162/Inputs!$C$14</x:f>
        <x:v>-25.65927703287614</x:v>
      </x:c>
      <x:c r="R162" s="9" t="n">
        <x:f>F162-Inputs!$C$16/2</x:f>
        <x:v>886.6363635438846</x:v>
      </x:c>
      <x:c r="S162" s="9" t="n">
        <x:f>F162+Inputs!$C$16/2</x:f>
        <x:v>916.6363635438846</x:v>
      </x:c>
      <x:c r="T162" s="9" t="n">
        <x:f>F162-Inputs!$C$17/2</x:f>
        <x:v>751.6363635438846</x:v>
      </x:c>
      <x:c r="U162" s="9" t="n">
        <x:f>F162+Inputs!$C$17/2</x:f>
        <x:v>1051.6363635438847</x:v>
      </x:c>
      <x:c r="V162" s="9" t="n">
        <x:f>ABS(P162)</x:f>
        <x:v>170.89078503895507</x:v>
      </x:c>
      <x:c r="W162" s="9" t="n">
        <x:f>ABS(Q162)</x:f>
        <x:v>25.65927703287614</x:v>
      </x:c>
      <x:c r="X162" s="9"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x:f>
        <x:v>74.33166863889775</x:v>
      </x:c>
      <x:c r="Y162" s="9"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x:f>
        <x:v>439.0113020882822</x:v>
      </x:c>
      <x:c r="Z162" s="9" t="n">
        <x:f>B162-X162/1000</x:f>
        <x:v>400.3701127758056</x:v>
      </x:c>
      <x:c r="AA162" s="9" t="n">
        <x:f>SQRT((Inputs!$C$52+B162)^2+(Inputs!$C$52+Y162/1000)^2-2*(Inputs!$C$52+B162)*(Inputs!$C$52+Y162/1000)*COS(SQRT(A162^2+Inputs!$C$6^2)/Inputs!$C$52))</x:f>
        <x:v>401.61255124811174</x:v>
      </x:c>
      <x:c r="AB162" s="9" t="n">
        <x:f>(AA162-Z162)*1000</x:f>
        <x:v>1242.438472306162</x:v>
      </x:c>
      <x:c r="AC162" s="9" t="n">
        <x:f>AB162/Inputs!$C$12</x:f>
        <x:v>697.9991417450349</x:v>
      </x:c>
      <x:c r="AD162" s="9" t="n">
        <x:f>2*AB162/Inputs!$C$21*1000000</x:f>
        <x:v>8.288657297083585</x:v>
      </x:c>
      <x:c r="AE162" s="9" t="n">
        <x:f>DEGREES(ATAN(H162/(B162-Y162/1000)))</x:f>
        <x:v>4.576082701575143</x:v>
      </x:c>
      <x:c r="AF162" s="9" t="n">
        <x:f>DEGREES((2*PI()/Inputs!$C$13)*Inputs!$C$15*SIN(RADIANS(AE162)))</x:f>
        <x:v>28.721817489110066</x:v>
      </x:c>
      <x:c r="AG162" s="9" t="n">
        <x:f>(Z162/AA162)^4</x:f>
        <x:v>0.9876828062998688</x:v>
      </x:c>
      <x:c r="AH162" s="9" t="n">
        <x:f>10*LOG10(AG162)</x:f>
        <x:v>-0.053825064157473</x:v>
      </x:c>
      <x:c r="AI162" s="9" t="n">
        <x:f>AC162-F162</x:f>
        <x:v>-203.63722179884974</x:v>
      </x:c>
      <x:c r="AJ162" s="9" t="n">
        <x:f>AD162-G162</x:f>
        <x:v>-2.4181679367127558</x:v>
      </x:c>
      <x:c r="AK162" s="9" t="n">
        <x:f>Y162-X162</x:f>
        <x:v>364.6796334493845</x:v>
      </x:c>
      <x:c r="AL162" s="9" t="n">
        <x:f>1000*(AA163-AA161)/(A163-A161)*Inputs!$C$11</x:f>
        <x:v>407.27261300685313</x:v>
      </x:c>
      <x:c r="AM162" s="9" t="n">
        <x:f>-2*AL162/Inputs!$C$13</x:f>
        <x:v>-162.90904520274125</x:v>
      </x:c>
      <x:c r="AN162" s="9" t="n">
        <x:f>-2*AL162/Inputs!$C$14</x:f>
        <x:v>-24.4608175980092</x:v>
      </x:c>
      <x:c r="AO162" s="9" t="n">
        <x:f>ABS(AM162)</x:f>
        <x:v>162.90904520274125</x:v>
      </x:c>
      <x:c r="AP162" s="9" t="n">
        <x:f>ABS(AN162)</x:f>
        <x:v>24.4608175980092</x:v>
      </x:c>
      <x:c r="AQ162" s="9" t="n">
        <x:f>IF(OR(Inputs!$C$27=TRUE,Inputs!$C$27="TRUE",Inputs!$C$27=1),Inputs!$C$46/Inputs!$C$12,0)</x:f>
        <x:v>42.13483146067416</x:v>
      </x:c>
      <x:c r="AR162" s="9" t="n">
        <x:f>AC162-AQ162</x:f>
        <x:v>655.8643102843607</x:v>
      </x:c>
      <x:c r="AS162" s="9" t="n">
        <x:f>AC162+AQ162</x:f>
        <x:v>740.133973205709</x:v>
      </x:c>
    </x:row>
    <x:row r="163">
      <x:c r="A163" s="9" t="n">
        <x:f>Inputs!$C$7+161*(Inputs!$C$8-Inputs!$C$7)/240</x:f>
        <x:v>20.5</x:v>
      </x:c>
      <x:c r="B163" s="9" t="n">
        <x:f>Inputs!$C$5+Inputs!$C$9*(A163/Inputs!$C$10)^2</x:f>
        <x:v>400.46694444444444</x:v>
      </x:c>
      <x:c r="C163" s="9" t="n">
        <x:f>B163</x:f>
        <x:v>400.46694444444444</x:v>
      </x:c>
      <x:c r="D163" s="9" t="n">
        <x:f>SQRT((Inputs!$C$52+B163)^2+Inputs!$C$52^2-2*(Inputs!$C$52+B163)*Inputs!$C$52*COS(SQRT(A163^2+Inputs!$C$6^2)/Inputs!$C$52))</x:f>
        <x:v>402.1034254845426</x:v>
      </x:c>
      <x:c r="E163" s="9" t="n">
        <x:f>(D163-C163)*1000</x:f>
        <x:v>1636.4810400981469</x:v>
      </x:c>
      <x:c r="F163" s="9" t="n">
        <x:f>E163/Inputs!$C$12</x:f>
        <x:v>919.3713708416556</x:v>
      </x:c>
      <x:c r="G163" s="9" t="n">
        <x:f>2*E163/Inputs!$C$21*1000000</x:f>
        <x:v>10.917426348985384</x:v>
      </x:c>
      <x:c r="H163" s="9" t="n">
        <x:f>SQRT(A163^2+Inputs!$C$6^2)</x:f>
        <x:v>32.33032632065442</x:v>
      </x:c>
      <x:c r="I163" s="9" t="n">
        <x:f>DEGREES(ATAN(H163/B163))</x:f>
        <x:v>4.61556831369344</x:v>
      </x:c>
      <x:c r="J163" s="9" t="n">
        <x:f>DEGREES((2*PI()/Inputs!$C$13)*Inputs!$C$15*SIN(RADIANS(I163)))</x:f>
        <x:v>28.96911520563834</x:v>
      </x:c>
      <x:c r="K163" s="9" t="n">
        <x:f>(C163/D163)^4</x:f>
        <x:v>0.9838199051690912</x:v>
      </x:c>
      <x:c r="L163" s="9" t="n">
        <x:f>10*LOG10(K163)</x:f>
        <x:v>-0.070843948101852</x:v>
      </x:c>
      <x:c r="M163" s="9" t="n">
        <x:f>2*(Inputs!$C$9/(Inputs!$C$10^2))*A163</x:f>
        <x:v>0.04555555555555556</x:v>
      </x:c>
      <x:c r="N163" s="9" t="n">
        <x:f>M163*Inputs!$C$11</x:f>
        <x:v>0.18222222222222223</x:v>
      </x:c>
      <x:c r="O163" s="9" t="n">
        <x:f>1000*(D164-D162)/(A164-A162)*Inputs!$C$11</x:f>
        <x:v>437.8644747530416</x:v>
      </x:c>
      <x:c r="P163" s="9" t="n">
        <x:f>-2*O163/Inputs!$C$13</x:f>
        <x:v>-175.14578990121663</x:v>
      </x:c>
      <x:c r="Q163" s="9" t="n">
        <x:f>-2*O163/Inputs!$C$14</x:f>
        <x:v>-26.298166651834332</x:v>
      </x:c>
      <x:c r="R163" s="9" t="n">
        <x:f>F163-Inputs!$C$16/2</x:f>
        <x:v>904.3713708416556</x:v>
      </x:c>
      <x:c r="S163" s="9" t="n">
        <x:f>F163+Inputs!$C$16/2</x:f>
        <x:v>934.3713708416556</x:v>
      </x:c>
      <x:c r="T163" s="9" t="n">
        <x:f>F163-Inputs!$C$17/2</x:f>
        <x:v>769.3713708416556</x:v>
      </x:c>
      <x:c r="U163" s="9" t="n">
        <x:f>F163+Inputs!$C$17/2</x:f>
        <x:v>1069.3713708416556</x:v>
      </x:c>
      <x:c r="V163" s="9" t="n">
        <x:f>ABS(P163)</x:f>
        <x:v>175.14578990121663</x:v>
      </x:c>
      <x:c r="W163" s="9" t="n">
        <x:f>ABS(Q163)</x:f>
        <x:v>26.298166651834332</x:v>
      </x:c>
      <x:c r="X163" s="9"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x:f>
        <x:v>77.08298836787891</x:v>
      </x:c>
      <x:c r="Y163" s="9"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x:f>
        <x:v>441.7637232897853</x:v>
      </x:c>
      <x:c r="Z163" s="9" t="n">
        <x:f>B163-X163/1000</x:f>
        <x:v>400.3898614560766</x:v>
      </x:c>
      <x:c r="AA163" s="9" t="n">
        <x:f>SQRT((Inputs!$C$52+B163)^2+(Inputs!$C$52+Y163/1000)^2-2*(Inputs!$C$52+B163)*(Inputs!$C$52+Y163/1000)*COS(SQRT(A163^2+Inputs!$C$6^2)/Inputs!$C$52))</x:f>
        <x:v>401.66392437294013</x:v>
      </x:c>
      <x:c r="AB163" s="9" t="n">
        <x:f>(AA163-Z163)*1000</x:f>
        <x:v>1274.0629168635564</x:v>
      </x:c>
      <x:c r="AC163" s="9" t="n">
        <x:f>AB163/Inputs!$C$12</x:f>
        <x:v>715.7656836312115</x:v>
      </x:c>
      <x:c r="AD163" s="9" t="n">
        <x:f>2*AB163/Inputs!$C$21*1000000</x:f>
        <x:v>8.499632881782214</x:v>
      </x:c>
      <x:c r="AE163" s="9" t="n">
        <x:f>DEGREES(ATAN(H163/(B163-Y163/1000)))</x:f>
        <x:v>4.6206434100408424</x:v>
      </x:c>
      <x:c r="AF163" s="9" t="n">
        <x:f>DEGREES((2*PI()/Inputs!$C$13)*Inputs!$C$15*SIN(RADIANS(AE163)))</x:f>
        <x:v>29.000899452312968</x:v>
      </x:c>
      <x:c r="AG163" s="9" t="n">
        <x:f>(Z163/AA163)^4</x:f>
        <x:v>0.9873723904110068</x:v>
      </x:c>
      <x:c r="AH163" s="9" t="n">
        <x:f>10*LOG10(AG163)</x:f>
        <x:v>-0.0551902098907408</x:v>
      </x:c>
      <x:c r="AI163" s="9" t="n">
        <x:f>AC163-F163</x:f>
        <x:v>-203.6056872104441</x:v>
      </x:c>
      <x:c r="AJ163" s="9" t="n">
        <x:f>AD163-G163</x:f>
        <x:v>-2.41779346720317</x:v>
      </x:c>
      <x:c r="AK163" s="9" t="n">
        <x:f>Y163-X163</x:f>
        <x:v>364.6807349219064</x:v>
      </x:c>
      <x:c r="AL163" s="9" t="n">
        <x:f>1000*(AA164-AA162)/(A164-A162)*Inputs!$C$11</x:f>
        <x:v>429.2908702718705</x:v>
      </x:c>
      <x:c r="AM163" s="9" t="n">
        <x:f>-2*AL163/Inputs!$C$13</x:f>
        <x:v>-171.7163481087482</x:v>
      </x:c>
      <x:c r="AN163" s="9" t="n">
        <x:f>-2*AL163/Inputs!$C$14</x:f>
        <x:v>-25.783235451763996</x:v>
      </x:c>
      <x:c r="AO163" s="9" t="n">
        <x:f>ABS(AM163)</x:f>
        <x:v>171.7163481087482</x:v>
      </x:c>
      <x:c r="AP163" s="9" t="n">
        <x:f>ABS(AN163)</x:f>
        <x:v>25.783235451763996</x:v>
      </x:c>
      <x:c r="AQ163" s="9" t="n">
        <x:f>IF(OR(Inputs!$C$27=TRUE,Inputs!$C$27="TRUE",Inputs!$C$27=1),Inputs!$C$46/Inputs!$C$12,0)</x:f>
        <x:v>42.13483146067416</x:v>
      </x:c>
      <x:c r="AR163" s="9" t="n">
        <x:f>AC163-AQ163</x:f>
        <x:v>673.6308521705373</x:v>
      </x:c>
      <x:c r="AS163" s="9" t="n">
        <x:f>AC163+AQ163</x:f>
        <x:v>757.9005150918856</x:v>
      </x:c>
    </x:row>
    <x:row r="164">
      <x:c r="A164" s="9" t="n">
        <x:f>Inputs!$C$7+162*(Inputs!$C$8-Inputs!$C$7)/240</x:f>
        <x:v>21</x:v>
      </x:c>
      <x:c r="B164" s="9" t="n">
        <x:f>Inputs!$C$5+Inputs!$C$9*(A164/Inputs!$C$10)^2</x:f>
        <x:v>400.49</x:v>
      </x:c>
      <x:c r="C164" s="9" t="n">
        <x:f>B164</x:f>
        <x:v>400.49</x:v>
      </x:c>
      <x:c r="D164" s="9" t="n">
        <x:f>SQRT((Inputs!$C$52+B164)^2+Inputs!$C$52^2-2*(Inputs!$C$52+B164)*Inputs!$C$52*COS(SQRT(A164^2+Inputs!$C$6^2)/Inputs!$C$52))</x:f>
        <x:v>402.15882329024083</x:v>
      </x:c>
      <x:c r="E164" s="9" t="n">
        <x:f>(D164-C164)*1000</x:f>
        <x:v>1668.823290240823</x:v>
      </x:c>
      <x:c r="F164" s="9" t="n">
        <x:f>E164/Inputs!$C$12</x:f>
        <x:v>937.5411742925972</x:v>
      </x:c>
      <x:c r="G164" s="9" t="n">
        <x:f>2*E164/Inputs!$C$21*1000000</x:f>
        <x:v>11.133190617095666</x:v>
      </x:c>
      <x:c r="H164" s="9" t="n">
        <x:f>SQRT(A164^2+Inputs!$C$6^2)</x:f>
        <x:v>32.64965543462902</x:v>
      </x:c>
      <x:c r="I164" s="9" t="n">
        <x:f>DEGREES(ATAN(H164/B164))</x:f>
        <x:v>4.660689610438978</x:v>
      </x:c>
      <x:c r="J164" s="9" t="n">
        <x:f>DEGREES((2*PI()/Inputs!$C$13)*Inputs!$C$15*SIN(RADIANS(I164)))</x:f>
        <x:v>29.251692268127087</x:v>
      </x:c>
      <x:c r="K164" s="9" t="n">
        <x:f>(C164/D164)^4</x:f>
        <x:v>0.9835043836267436</x:v>
      </x:c>
      <x:c r="L164" s="9" t="n">
        <x:f>10*LOG10(K164)</x:f>
        <x:v>-0.07223700024601</x:v>
      </x:c>
      <x:c r="M164" s="9" t="n">
        <x:f>2*(Inputs!$C$9/(Inputs!$C$10^2))*A164</x:f>
        <x:v>0.04666666666666667</x:v>
      </x:c>
      <x:c r="N164" s="9" t="n">
        <x:f>M164*Inputs!$C$11</x:f>
        <x:v>0.18666666666666668</x:v>
      </x:c>
      <x:c r="O164" s="9" t="n">
        <x:f>1000*(D165-D163)/(A165-A163)*Inputs!$C$11</x:f>
        <x:v>448.49880820765975</x:v>
      </x:c>
      <x:c r="P164" s="9" t="n">
        <x:f>-2*O164/Inputs!$C$13</x:f>
        <x:v>-179.3995232830639</x:v>
      </x:c>
      <x:c r="Q164" s="9" t="n">
        <x:f>-2*O164/Inputs!$C$14</x:f>
        <x:v>-26.936865357817403</x:v>
      </x:c>
      <x:c r="R164" s="9" t="n">
        <x:f>F164-Inputs!$C$16/2</x:f>
        <x:v>922.5411742925972</x:v>
      </x:c>
      <x:c r="S164" s="9" t="n">
        <x:f>F164+Inputs!$C$16/2</x:f>
        <x:v>952.5411742925972</x:v>
      </x:c>
      <x:c r="T164" s="9" t="n">
        <x:f>F164-Inputs!$C$17/2</x:f>
        <x:v>787.5411742925972</x:v>
      </x:c>
      <x:c r="U164" s="9" t="n">
        <x:f>F164+Inputs!$C$17/2</x:f>
        <x:v>1087.5411742925971</x:v>
      </x:c>
      <x:c r="V164" s="9" t="n">
        <x:f>ABS(P164)</x:f>
        <x:v>179.3995232830639</x:v>
      </x:c>
      <x:c r="W164" s="9" t="n">
        <x:f>ABS(Q164)</x:f>
        <x:v>26.936865357817403</x:v>
      </x:c>
      <x:c r="X164" s="9"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x:f>
        <x:v>84.6060805836893</x:v>
      </x:c>
      <x:c r="Y164" s="9"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x:f>
        <x:v>441.2537143317768</x:v>
      </x:c>
      <x:c r="Z164" s="9" t="n">
        <x:f>B164-X164/1000</x:f>
        <x:v>400.4053939194163</x:v>
      </x:c>
      <x:c r="AA164" s="9" t="n">
        <x:f>SQRT((Inputs!$C$52+B164)^2+(Inputs!$C$52+Y164/1000)^2-2*(Inputs!$C$52+B164)*(Inputs!$C$52+Y164/1000)*COS(SQRT(A164^2+Inputs!$C$6^2)/Inputs!$C$52))</x:f>
        <x:v>401.7198739656797</x:v>
      </x:c>
      <x:c r="AB164" s="9" t="n">
        <x:f>(AA164-Z164)*1000</x:f>
        <x:v>1314.4800462633839</x:v>
      </x:c>
      <x:c r="AC164" s="9" t="n">
        <x:f>AB164/Inputs!$C$12</x:f>
        <x:v>738.4719361030246</x:v>
      </x:c>
      <x:c r="AD164" s="9" t="n">
        <x:f>2*AB164/Inputs!$C$21*1000000</x:f>
        <x:v>8.769266945757414</x:v>
      </x:c>
      <x:c r="AE164" s="9" t="n">
        <x:f>DEGREES(ATAN(H164/(B164-Y164/1000)))</x:f>
        <x:v>4.665807665967855</x:v>
      </x:c>
      <x:c r="AF164" s="9" t="n">
        <x:f>DEGREES((2*PI()/Inputs!$C$13)*Inputs!$C$15*SIN(RADIANS(AE164)))</x:f>
        <x:v>29.283743509090908</x:v>
      </x:c>
      <x:c r="AG164" s="9" t="n">
        <x:f>(Z164/AA164)^4</x:f>
        <x:v>0.9869755770911991</x:v>
      </x:c>
      <x:c r="AH164" s="9" t="n">
        <x:f>10*LOG10(AG164)</x:f>
        <x:v>-0.0569359390154469</x:v>
      </x:c>
      <x:c r="AI164" s="9" t="n">
        <x:f>AC164-F164</x:f>
        <x:v>-199.06923818957262</x:v>
      </x:c>
      <x:c r="AJ164" s="9" t="n">
        <x:f>AD164-G164</x:f>
        <x:v>-2.3639236713382523</x:v>
      </x:c>
      <x:c r="AK164" s="9" t="n">
        <x:f>Y164-X164</x:f>
        <x:v>356.6476337480875</x:v>
      </x:c>
      <x:c r="AL164" s="9" t="n">
        <x:f>1000*(AA165-AA163)/(A165-A163)*Inputs!$C$11</x:f>
        <x:v>439.4064205446284</x:v>
      </x:c>
      <x:c r="AM164" s="9" t="n">
        <x:f>-2*AL164/Inputs!$C$13</x:f>
        <x:v>-175.76256821785137</x:v>
      </x:c>
      <x:c r="AN164" s="9" t="n">
        <x:f>-2*AL164/Inputs!$C$14</x:f>
        <x:v>-26.390776008686395</x:v>
      </x:c>
      <x:c r="AO164" s="9" t="n">
        <x:f>ABS(AM164)</x:f>
        <x:v>175.76256821785137</x:v>
      </x:c>
      <x:c r="AP164" s="9" t="n">
        <x:f>ABS(AN164)</x:f>
        <x:v>26.390776008686395</x:v>
      </x:c>
      <x:c r="AQ164" s="9" t="n">
        <x:f>IF(OR(Inputs!$C$27=TRUE,Inputs!$C$27="TRUE",Inputs!$C$27=1),Inputs!$C$46/Inputs!$C$12,0)</x:f>
        <x:v>42.13483146067416</x:v>
      </x:c>
      <x:c r="AR164" s="9" t="n">
        <x:f>AC164-AQ164</x:f>
        <x:v>696.3371046423505</x:v>
      </x:c>
      <x:c r="AS164" s="9" t="n">
        <x:f>AC164+AQ164</x:f>
        <x:v>780.6067675636988</x:v>
      </x:c>
    </x:row>
    <x:row r="165">
      <x:c r="A165" s="9" t="n">
        <x:f>Inputs!$C$7+163*(Inputs!$C$8-Inputs!$C$7)/240</x:f>
        <x:v>21.5</x:v>
      </x:c>
      <x:c r="B165" s="9" t="n">
        <x:f>Inputs!$C$5+Inputs!$C$9*(A165/Inputs!$C$10)^2</x:f>
        <x:v>400.5136111111111</x:v>
      </x:c>
      <x:c r="C165" s="9" t="n">
        <x:f>B165</x:f>
        <x:v>400.5136111111111</x:v>
      </x:c>
      <x:c r="D165" s="9" t="n">
        <x:f>SQRT((Inputs!$C$52+B165)^2+Inputs!$C$52^2-2*(Inputs!$C$52+B165)*Inputs!$C$52*COS(SQRT(A165^2+Inputs!$C$6^2)/Inputs!$C$52))</x:f>
        <x:v>402.2155501865945</x:v>
      </x:c>
      <x:c r="E165" s="9" t="n">
        <x:f>(D165-C165)*1000</x:f>
        <x:v>1701.9390754833807</x:v>
      </x:c>
      <x:c r="F165" s="9" t="n">
        <x:f>E165/Inputs!$C$12</x:f>
        <x:v>956.1455480243712</x:v>
      </x:c>
      <x:c r="G165" s="9" t="n">
        <x:f>2*E165/Inputs!$C$21*1000000</x:f>
        <x:v>11.354115355919866</x:v>
      </x:c>
      <x:c r="H165" s="9" t="n">
        <x:f>SQRT(A165^2+Inputs!$C$6^2)</x:f>
        <x:v>32.973474187595095</x:v>
      </x:c>
      <x:c r="I165" s="9" t="n">
        <x:f>DEGREES(ATAN(H165/B165))</x:f>
        <x:v>4.7064313676414065</x:v>
      </x:c>
      <x:c r="J165" s="9" t="n">
        <x:f>DEGREES((2*PI()/Inputs!$C$13)*Inputs!$C$15*SIN(RADIANS(I165)))</x:f>
        <x:v>29.538136514134884</x:v>
      </x:c>
      <x:c r="K165" s="9" t="n">
        <x:f>(C165/D165)^4</x:f>
        <x:v>0.9831814845422179</x:v>
      </x:c>
      <x:c r="L165" s="9" t="n">
        <x:f>10*LOG10(K165)</x:f>
        <x:v>-0.0736630875958091</x:v>
      </x:c>
      <x:c r="M165" s="9" t="n">
        <x:f>2*(Inputs!$C$9/(Inputs!$C$10^2))*A165</x:f>
        <x:v>0.04777777777777778</x:v>
      </x:c>
      <x:c r="N165" s="9" t="n">
        <x:f>M165*Inputs!$C$11</x:f>
        <x:v>0.19111111111111112</x:v>
      </x:c>
      <x:c r="O165" s="9" t="n">
        <x:f>1000*(D166-D164)/(A166-A164)*Inputs!$C$11</x:f>
        <x:v>459.12988767804563</x:v>
      </x:c>
      <x:c r="P165" s="9" t="n">
        <x:f>-2*O165/Inputs!$C$13</x:f>
        <x:v>-183.65195507121825</x:v>
      </x:c>
      <x:c r="Q165" s="9" t="n">
        <x:f>-2*O165/Inputs!$C$14</x:f>
        <x:v>-27.575368629312052</x:v>
      </x:c>
      <x:c r="R165" s="9" t="n">
        <x:f>F165-Inputs!$C$16/2</x:f>
        <x:v>941.1455480243712</x:v>
      </x:c>
      <x:c r="S165" s="9" t="n">
        <x:f>F165+Inputs!$C$16/2</x:f>
        <x:v>971.1455480243712</x:v>
      </x:c>
      <x:c r="T165" s="9" t="n">
        <x:f>F165-Inputs!$C$17/2</x:f>
        <x:v>806.1455480243712</x:v>
      </x:c>
      <x:c r="U165" s="9" t="n">
        <x:f>F165+Inputs!$C$17/2</x:f>
        <x:v>1106.1455480243712</x:v>
      </x:c>
      <x:c r="V165" s="9" t="n">
        <x:f>ABS(P165)</x:f>
        <x:v>183.65195507121825</x:v>
      </x:c>
      <x:c r="W165" s="9" t="n">
        <x:f>ABS(Q165)</x:f>
        <x:v>27.575368629312052</x:v>
      </x:c>
      <x:c r="X165" s="9"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x:f>
        <x:v>83.65167434978589</x:v>
      </x:c>
      <x:c r="Y165" s="9"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x:f>
        <x:v>444.1394266764314</x:v>
      </x:c>
      <x:c r="Z165" s="9" t="n">
        <x:f>B165-X165/1000</x:f>
        <x:v>400.42995943676135</x:v>
      </x:c>
      <x:c r="AA165" s="9" t="n">
        <x:f>SQRT((Inputs!$C$52+B165)^2+(Inputs!$C$52+Y165/1000)^2-2*(Inputs!$C$52+B165)*(Inputs!$C$52+Y165/1000)*COS(SQRT(A165^2+Inputs!$C$6^2)/Inputs!$C$52))</x:f>
        <x:v>401.7737759780763</x:v>
      </x:c>
      <x:c r="AB165" s="9" t="n">
        <x:f>(AA165-Z165)*1000</x:f>
        <x:v>1343.8165413149363</x:v>
      </x:c>
      <x:c r="AC165" s="9" t="n">
        <x:f>AB165/Inputs!$C$12</x:f>
        <x:v>754.9531130982788</x:v>
      </x:c>
      <x:c r="AD165" s="9" t="n">
        <x:f>2*AB165/Inputs!$C$21*1000000</x:f>
        <x:v>8.964978974320537</x:v>
      </x:c>
      <x:c r="AE165" s="9" t="n">
        <x:f>DEGREES(ATAN(H165/(B165-Y165/1000)))</x:f>
        <x:v>4.711632729360009</x:v>
      </x:c>
      <x:c r="AF165" s="9" t="n">
        <x:f>DEGREES((2*PI()/Inputs!$C$13)*Inputs!$C$15*SIN(RADIANS(AE165)))</x:f>
        <x:v>29.57070731715101</x:v>
      </x:c>
      <x:c r="AG165" s="9" t="n">
        <x:f>(Z165/AA165)^4</x:f>
        <x:v>0.9866881351818763</x:v>
      </x:c>
      <x:c r="AH165" s="9" t="n">
        <x:f>10*LOG10(AG165)</x:f>
        <x:v>-0.0582009411046374</x:v>
      </x:c>
      <x:c r="AI165" s="9" t="n">
        <x:f>AC165-F165</x:f>
        <x:v>-201.19243492609246</x:v>
      </x:c>
      <x:c r="AJ165" s="9" t="n">
        <x:f>AD165-G165</x:f>
        <x:v>-2.3891363815993287</x:v>
      </x:c>
      <x:c r="AK165" s="9" t="n">
        <x:f>Y165-X165</x:f>
        <x:v>360.48775232664553</x:v>
      </x:c>
      <x:c r="AL165" s="9" t="n">
        <x:f>1000*(AA166-AA164)/(A166-A164)*Inputs!$C$11</x:f>
        <x:v>433.53659767353747</x:v>
      </x:c>
      <x:c r="AM165" s="9" t="n">
        <x:f>-2*AL165/Inputs!$C$13</x:f>
        <x:v>-173.414639069415</x:v>
      </x:c>
      <x:c r="AN165" s="9" t="n">
        <x:f>-2*AL165/Inputs!$C$14</x:f>
        <x:v>-26.03823409450676</x:v>
      </x:c>
      <x:c r="AO165" s="9" t="n">
        <x:f>ABS(AM165)</x:f>
        <x:v>173.414639069415</x:v>
      </x:c>
      <x:c r="AP165" s="9" t="n">
        <x:f>ABS(AN165)</x:f>
        <x:v>26.03823409450676</x:v>
      </x:c>
      <x:c r="AQ165" s="9" t="n">
        <x:f>IF(OR(Inputs!$C$27=TRUE,Inputs!$C$27="TRUE",Inputs!$C$27=1),Inputs!$C$46/Inputs!$C$12,0)</x:f>
        <x:v>42.13483146067416</x:v>
      </x:c>
      <x:c r="AR165" s="9" t="n">
        <x:f>AC165-AQ165</x:f>
        <x:v>712.8182816376046</x:v>
      </x:c>
      <x:c r="AS165" s="9" t="n">
        <x:f>AC165+AQ165</x:f>
        <x:v>797.0879445589529</x:v>
      </x:c>
    </x:row>
    <x:row r="166">
      <x:c r="A166" s="9" t="n">
        <x:f>Inputs!$C$7+164*(Inputs!$C$8-Inputs!$C$7)/240</x:f>
        <x:v>22</x:v>
      </x:c>
      <x:c r="B166" s="9" t="n">
        <x:f>Inputs!$C$5+Inputs!$C$9*(A166/Inputs!$C$10)^2</x:f>
        <x:v>400.53777777777776</x:v>
      </x:c>
      <x:c r="C166" s="9" t="n">
        <x:f>B166</x:f>
        <x:v>400.53777777777776</x:v>
      </x:c>
      <x:c r="D166" s="9" t="n">
        <x:f>SQRT((Inputs!$C$52+B166)^2+Inputs!$C$52^2-2*(Inputs!$C$52+B166)*Inputs!$C$52*COS(SQRT(A166^2+Inputs!$C$6^2)/Inputs!$C$52))</x:f>
        <x:v>402.27360576216034</x:v>
      </x:c>
      <x:c r="E166" s="9" t="n">
        <x:f>(D166-C166)*1000</x:f>
        <x:v>1735.8279843825812</x:v>
      </x:c>
      <x:c r="F166" s="9" t="n">
        <x:f>E166/Inputs!$C$12</x:f>
        <x:v>975.1842608890905</x:v>
      </x:c>
      <x:c r="G166" s="9" t="n">
        <x:f>2*E166/Inputs!$C$21*1000000</x:f>
        <x:v>11.580197820604154</x:v>
      </x:c>
      <x:c r="H166" s="9" t="n">
        <x:f>SQRT(A166^2+Inputs!$C$6^2)</x:f>
        <x:v>33.301651610693426</x:v>
      </x:c>
      <x:c r="I166" s="9" t="n">
        <x:f>DEGREES(ATAN(H166/B166))</x:f>
        <x:v>4.752774375241167</x:v>
      </x:c>
      <x:c r="J166" s="9" t="n">
        <x:f>DEGREES((2*PI()/Inputs!$C$13)*Inputs!$C$15*SIN(RADIANS(I166)))</x:f>
        <x:v>29.828326713325737</x:v>
      </x:c>
      <x:c r="K166" s="9" t="n">
        <x:f>(C166/D166)^4</x:f>
        <x:v>0.982851223782631</x:v>
      </x:c>
      <x:c r="L166" s="9" t="n">
        <x:f>10*LOG10(K166)</x:f>
        <x:v>-0.0751221724443932</x:v>
      </x:c>
      <x:c r="M166" s="9" t="n">
        <x:f>2*(Inputs!$C$9/(Inputs!$C$10^2))*A166</x:f>
        <x:v>0.04888888888888889</x:v>
      </x:c>
      <x:c r="N166" s="9" t="n">
        <x:f>M166*Inputs!$C$11</x:f>
        <x:v>0.19555555555555557</x:v>
      </x:c>
      <x:c r="O166" s="9" t="n">
        <x:f>1000*(D167-D165)/(A167-A165)*Inputs!$C$11</x:f>
        <x:v>469.75763804971393</x:v>
      </x:c>
      <x:c r="P166" s="9" t="n">
        <x:f>-2*O166/Inputs!$C$13</x:f>
        <x:v>-187.90305521988557</x:v>
      </x:c>
      <x:c r="Q166" s="9" t="n">
        <x:f>-2*O166/Inputs!$C$14</x:f>
        <x:v>-28.213671954937777</x:v>
      </x:c>
      <x:c r="R166" s="9" t="n">
        <x:f>F166-Inputs!$C$16/2</x:f>
        <x:v>960.1842608890905</x:v>
      </x:c>
      <x:c r="S166" s="9" t="n">
        <x:f>F166+Inputs!$C$16/2</x:f>
        <x:v>990.1842608890905</x:v>
      </x:c>
      <x:c r="T166" s="9" t="n">
        <x:f>F166-Inputs!$C$17/2</x:f>
        <x:v>825.1842608890905</x:v>
      </x:c>
      <x:c r="U166" s="9" t="n">
        <x:f>F166+Inputs!$C$17/2</x:f>
        <x:v>1125.1842608890906</x:v>
      </x:c>
      <x:c r="V166" s="9" t="n">
        <x:f>ABS(P166)</x:f>
        <x:v>187.90305521988557</x:v>
      </x:c>
      <x:c r="W166" s="9" t="n">
        <x:f>ABS(Q166)</x:f>
        <x:v>28.213671954937777</x:v>
      </x:c>
      <x:c r="X166" s="9"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x:f>
        <x:v>73.36589826371042</x:v>
      </x:c>
      <x:c r="Y166" s="9"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x:f>
        <x:v>447.7794532624074</x:v>
      </x:c>
      <x:c r="Z166" s="9" t="n">
        <x:f>B166-X166/1000</x:f>
        <x:v>400.46441187951405</x:v>
      </x:c>
      <x:c r="AA166" s="9" t="n">
        <x:f>SQRT((Inputs!$C$52+B166)^2+(Inputs!$C$52+Y166/1000)^2-2*(Inputs!$C$52+B166)*(Inputs!$C$52+Y166/1000)*COS(SQRT(A166^2+Inputs!$C$6^2)/Inputs!$C$52))</x:f>
        <x:v>401.8282581150981</x:v>
      </x:c>
      <x:c r="AB166" s="9" t="n">
        <x:f>(AA166-Z166)*1000</x:f>
        <x:v>1363.8462355840488</x:v>
      </x:c>
      <x:c r="AC166" s="9" t="n">
        <x:f>AB166/Inputs!$C$12</x:f>
        <x:v>766.2057503281173</x:v>
      </x:c>
      <x:c r="AD166" s="9" t="n">
        <x:f>2*AB166/Inputs!$C$21*1000000</x:f>
        <x:v>9.09860271123998</x:v>
      </x:c>
      <x:c r="AE166" s="9" t="n">
        <x:f>DEGREES(ATAN(H166/(B166-Y166/1000)))</x:f>
        <x:v>4.758069256841949</x:v>
      </x:c>
      <x:c r="AF166" s="9" t="n">
        <x:f>DEGREES((2*PI()/Inputs!$C$13)*Inputs!$C$15*SIN(RADIANS(AE166)))</x:f>
        <x:v>29.861480913404854</x:v>
      </x:c>
      <x:c r="AG166" s="9" t="n">
        <x:f>(Z166/AA166)^4</x:f>
        <x:v>0.9864925539138557</x:v>
      </x:c>
      <x:c r="AH166" s="9" t="n">
        <x:f>10*LOG10(AG166)</x:f>
        <x:v>-0.05906188471930521</x:v>
      </x:c>
      <x:c r="AI166" s="9" t="n">
        <x:f>AC166-F166</x:f>
        <x:v>-208.97851056097318</x:v>
      </x:c>
      <x:c r="AJ166" s="9" t="n">
        <x:f>AD166-G166</x:f>
        <x:v>-2.4815951093641733</x:v>
      </x:c>
      <x:c r="AK166" s="9" t="n">
        <x:f>Y166-X166</x:f>
        <x:v>374.413554998697</x:v>
      </x:c>
      <x:c r="AL166" s="9" t="n">
        <x:f>1000*(AA167-AA165)/(A167-A165)*Inputs!$C$11</x:f>
        <x:v>476.6207083544032</x:v>
      </x:c>
      <x:c r="AM166" s="9" t="n">
        <x:f>-2*AL166/Inputs!$C$13</x:f>
        <x:v>-190.64828334176127</x:v>
      </x:c>
      <x:c r="AN166" s="9" t="n">
        <x:f>-2*AL166/Inputs!$C$14</x:f>
        <x:v>-28.625868369633828</x:v>
      </x:c>
      <x:c r="AO166" s="9" t="n">
        <x:f>ABS(AM166)</x:f>
        <x:v>190.64828334176127</x:v>
      </x:c>
      <x:c r="AP166" s="9" t="n">
        <x:f>ABS(AN166)</x:f>
        <x:v>28.625868369633828</x:v>
      </x:c>
      <x:c r="AQ166" s="9" t="n">
        <x:f>IF(OR(Inputs!$C$27=TRUE,Inputs!$C$27="TRUE",Inputs!$C$27=1),Inputs!$C$46/Inputs!$C$12,0)</x:f>
        <x:v>42.13483146067416</x:v>
      </x:c>
      <x:c r="AR166" s="9" t="n">
        <x:f>AC166-AQ166</x:f>
        <x:v>724.0709188674432</x:v>
      </x:c>
      <x:c r="AS166" s="9" t="n">
        <x:f>AC166+AQ166</x:f>
        <x:v>808.3405817887915</x:v>
      </x:c>
    </x:row>
    <x:row r="167">
      <x:c r="A167" s="9" t="n">
        <x:f>Inputs!$C$7+165*(Inputs!$C$8-Inputs!$C$7)/240</x:f>
        <x:v>22.5</x:v>
      </x:c>
      <x:c r="B167" s="9" t="n">
        <x:f>Inputs!$C$5+Inputs!$C$9*(A167/Inputs!$C$10)^2</x:f>
        <x:v>400.5625</x:v>
      </x:c>
      <x:c r="C167" s="9" t="n">
        <x:f>B167</x:f>
        <x:v>400.5625</x:v>
      </x:c>
      <x:c r="D167" s="9" t="n">
        <x:f>SQRT((Inputs!$C$52+B167)^2+Inputs!$C$52^2-2*(Inputs!$C$52+B167)*Inputs!$C$52*COS(SQRT(A167^2+Inputs!$C$6^2)/Inputs!$C$52))</x:f>
        <x:v>402.3329895961069</x:v>
      </x:c>
      <x:c r="E167" s="9" t="n">
        <x:f>(D167-C167)*1000</x:f>
        <x:v>1770.489596106927</x:v>
      </x:c>
      <x:c r="F167" s="9" t="n">
        <x:f>E167/Inputs!$C$12</x:f>
        <x:v>994.6570764645656</x:v>
      </x:c>
      <x:c r="G167" s="9" t="n">
        <x:f>2*E167/Inputs!$C$21*1000000</x:f>
        <x:v>11.811435203662974</x:v>
      </x:c>
      <x:c r="H167" s="9" t="n">
        <x:f>SQRT(A167^2+Inputs!$C$6^2)</x:f>
        <x:v>33.63406011768428</x:v>
      </x:c>
      <x:c r="I167" s="9" t="n">
        <x:f>DEGREES(ATAN(H167/B167))</x:f>
        <x:v>4.799699905357918</x:v>
      </x:c>
      <x:c r="J167" s="9" t="n">
        <x:f>DEGREES((2*PI()/Inputs!$C$13)*Inputs!$C$15*SIN(RADIANS(I167)))</x:f>
        <x:v>30.122144661864603</x:v>
      </x:c>
      <x:c r="K167" s="9" t="n">
        <x:f>(C167/D167)^4</x:f>
        <x:v>0.9825136175615532</x:v>
      </x:c>
      <x:c r="L167" s="9" t="n">
        <x:f>10*LOG10(K167)</x:f>
        <x:v>-0.0766142162342085</x:v>
      </x:c>
      <x:c r="M167" s="9" t="n">
        <x:f>2*(Inputs!$C$9/(Inputs!$C$10^2))*A167</x:f>
        <x:v>0.05</x:v>
      </x:c>
      <x:c r="N167" s="9" t="n">
        <x:f>M167*Inputs!$C$11</x:f>
        <x:v>0.2</x:v>
      </x:c>
      <x:c r="O167" s="9" t="n">
        <x:f>1000*(D168-D166)/(A168-A166)*Inputs!$C$11</x:f>
        <x:v>480.3819843364181</x:v>
      </x:c>
      <x:c r="P167" s="9" t="n">
        <x:f>-2*O167/Inputs!$C$13</x:f>
        <x:v>-192.15279373456724</x:v>
      </x:c>
      <x:c r="Q167" s="9" t="n">
        <x:f>-2*O167/Inputs!$C$14</x:f>
        <x:v>-28.851770831016104</x:v>
      </x:c>
      <x:c r="R167" s="9" t="n">
        <x:f>F167-Inputs!$C$16/2</x:f>
        <x:v>979.6570764645656</x:v>
      </x:c>
      <x:c r="S167" s="9" t="n">
        <x:f>F167+Inputs!$C$16/2</x:f>
        <x:v>1009.6570764645656</x:v>
      </x:c>
      <x:c r="T167" s="9" t="n">
        <x:f>F167-Inputs!$C$17/2</x:f>
        <x:v>844.6570764645656</x:v>
      </x:c>
      <x:c r="U167" s="9" t="n">
        <x:f>F167+Inputs!$C$17/2</x:f>
        <x:v>1144.6570764645658</x:v>
      </x:c>
      <x:c r="V167" s="9" t="n">
        <x:f>ABS(P167)</x:f>
        <x:v>192.15279373456724</x:v>
      </x:c>
      <x:c r="W167" s="9" t="n">
        <x:f>ABS(Q167)</x:f>
        <x:v>28.851770831016104</x:v>
      </x:c>
      <x:c r="X167" s="9"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x:f>
        <x:v>73.86322008676284</x:v>
      </x:c>
      <x:c r="Y167" s="9"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x:f>
        <x:v>442.50927153418206</x:v>
      </x:c>
      <x:c r="Z167" s="9" t="n">
        <x:f>B167-X167/1000</x:f>
        <x:v>400.48863677991324</x:v>
      </x:c>
      <x:c r="AA167" s="9" t="n">
        <x:f>SQRT((Inputs!$C$52+B167)^2+(Inputs!$C$52+Y167/1000)^2-2*(Inputs!$C$52+B167)*(Inputs!$C$52+Y167/1000)*COS(SQRT(A167^2+Inputs!$C$6^2)/Inputs!$C$52))</x:f>
        <x:v>401.8929311551649</x:v>
      </x:c>
      <x:c r="AB167" s="9" t="n">
        <x:f>(AA167-Z167)*1000</x:f>
        <x:v>1404.2943752516521</x:v>
      </x:c>
      <x:c r="AC167" s="9" t="n">
        <x:f>AB167/Inputs!$C$12</x:f>
        <x:v>788.9294242986809</x:v>
      </x:c>
      <x:c r="AD167" s="9" t="n">
        <x:f>2*AB167/Inputs!$C$21*1000000</x:f>
        <x:v>9.368443653453431</x:v>
      </x:c>
      <x:c r="AE167" s="9" t="n">
        <x:f>DEGREES(ATAN(H167/(B167-Y167/1000)))</x:f>
        <x:v>4.804983252708725</x:v>
      </x:c>
      <x:c r="AF167" s="9" t="n">
        <x:f>DEGREES((2*PI()/Inputs!$C$13)*Inputs!$C$15*SIN(RADIANS(AE167)))</x:f>
        <x:v>30.155224374826382</x:v>
      </x:c>
      <x:c r="AG167" s="9" t="n">
        <x:f>(Z167/AA167)^4</x:f>
        <x:v>0.9860962851643886</x:v>
      </x:c>
      <x:c r="AH167" s="9" t="n">
        <x:f>10*LOG10(AG167)</x:f>
        <x:v>-0.060806772758312005</x:v>
      </x:c>
      <x:c r="AI167" s="9" t="n">
        <x:f>AC167-F167</x:f>
        <x:v>-205.7276521658847</x:v>
      </x:c>
      <x:c r="AJ167" s="9" t="n">
        <x:f>AD167-G167</x:f>
        <x:v>-2.442991550209543</x:v>
      </x:c>
      <x:c r="AK167" s="9" t="n">
        <x:f>Y167-X167</x:f>
        <x:v>368.6460514474192</x:v>
      </x:c>
      <x:c r="AL167" s="9" t="n">
        <x:f>1000*(AA168-AA166)/(A168-A166)*Inputs!$C$11</x:f>
        <x:v>519.1559281577156</x:v>
      </x:c>
      <x:c r="AM167" s="9" t="n">
        <x:f>-2*AL167/Inputs!$C$13</x:f>
        <x:v>-207.66237126308624</x:v>
      </x:c>
      <x:c r="AN167" s="9" t="n">
        <x:f>-2*AL167/Inputs!$C$14</x:f>
        <x:v>-31.180536225688627</x:v>
      </x:c>
      <x:c r="AO167" s="9" t="n">
        <x:f>ABS(AM167)</x:f>
        <x:v>207.66237126308624</x:v>
      </x:c>
      <x:c r="AP167" s="9" t="n">
        <x:f>ABS(AN167)</x:f>
        <x:v>31.180536225688627</x:v>
      </x:c>
      <x:c r="AQ167" s="9" t="n">
        <x:f>IF(OR(Inputs!$C$27=TRUE,Inputs!$C$27="TRUE",Inputs!$C$27=1),Inputs!$C$46/Inputs!$C$12,0)</x:f>
        <x:v>42.13483146067416</x:v>
      </x:c>
      <x:c r="AR167" s="9" t="n">
        <x:f>AC167-AQ167</x:f>
        <x:v>746.7945928380068</x:v>
      </x:c>
      <x:c r="AS167" s="9" t="n">
        <x:f>AC167+AQ167</x:f>
        <x:v>831.0642557593551</x:v>
      </x:c>
    </x:row>
    <x:row r="168">
      <x:c r="A168" s="9" t="n">
        <x:f>Inputs!$C$7+166*(Inputs!$C$8-Inputs!$C$7)/240</x:f>
        <x:v>23</x:v>
      </x:c>
      <x:c r="B168" s="9" t="n">
        <x:f>Inputs!$C$5+Inputs!$C$9*(A168/Inputs!$C$10)^2</x:f>
        <x:v>400.5877777777778</x:v>
      </x:c>
      <x:c r="C168" s="9" t="n">
        <x:f>B168</x:f>
        <x:v>400.5877777777778</x:v>
      </x:c>
      <x:c r="D168" s="9" t="n">
        <x:f>SQRT((Inputs!$C$52+B168)^2+Inputs!$C$52^2-2*(Inputs!$C$52+B168)*Inputs!$C$52*COS(SQRT(A168^2+Inputs!$C$6^2)/Inputs!$C$52))</x:f>
        <x:v>402.39370125824445</x:v>
      </x:c>
      <x:c r="E168" s="9" t="n">
        <x:f>(D168-C168)*1000</x:f>
        <x:v>1805.9234804666744</x:v>
      </x:c>
      <x:c r="F168" s="9" t="n">
        <x:f>E168/Inputs!$C$12</x:f>
        <x:v>1014.5637530711654</x:v>
      </x:c>
      <x:c r="G168" s="9" t="n">
        <x:f>2*E168/Inputs!$C$21*1000000</x:f>
        <x:v>12.047824635179278</x:v>
      </x:c>
      <x:c r="H168" s="9" t="n">
        <x:f>SQRT(A168^2+Inputs!$C$6^2)</x:f>
        <x:v>33.97057550292606</x:v>
      </x:c>
      <x:c r="I168" s="9" t="n">
        <x:f>DEGREES(ATAN(H168/B168))</x:f>
        <x:v>4.847189712205752</x:v>
      </x:c>
      <x:c r="J168" s="9" t="n">
        <x:f>DEGREES((2*PI()/Inputs!$C$13)*Inputs!$C$15*SIN(RADIANS(I168)))</x:f>
        <x:v>30.419475182182925</x:v>
      </x:c>
      <x:c r="K168" s="9" t="n">
        <x:f>(C168/D168)^4</x:f>
        <x:v>0.982168682437086</x:v>
      </x:c>
      <x:c r="L168" s="9" t="n">
        <x:f>10*LOG10(K168)</x:f>
        <x:v>-0.078139179559933</x:v>
      </x:c>
      <x:c r="M168" s="9" t="n">
        <x:f>2*(Inputs!$C$9/(Inputs!$C$10^2))*A168</x:f>
        <x:v>0.051111111111111114</x:v>
      </x:c>
      <x:c r="N168" s="9" t="n">
        <x:f>M168*Inputs!$C$11</x:f>
        <x:v>0.20444444444444446</x:v>
      </x:c>
      <x:c r="O168" s="9" t="n">
        <x:f>1000*(D169-D167)/(A169-A167)*Inputs!$C$11</x:f>
        <x:v>491.00285175427416</x:v>
      </x:c>
      <x:c r="P168" s="9" t="n">
        <x:f>-2*O168/Inputs!$C$13</x:f>
        <x:v>-196.40114070170966</x:v>
      </x:c>
      <x:c r="Q168" s="9" t="n">
        <x:f>-2*O168/Inputs!$C$14</x:f>
        <x:v>-29.489660766022475</x:v>
      </x:c>
      <x:c r="R168" s="9" t="n">
        <x:f>F168-Inputs!$C$16/2</x:f>
        <x:v>999.5637530711654</x:v>
      </x:c>
      <x:c r="S168" s="9" t="n">
        <x:f>F168+Inputs!$C$16/2</x:f>
        <x:v>1029.5637530711654</x:v>
      </x:c>
      <x:c r="T168" s="9" t="n">
        <x:f>F168-Inputs!$C$17/2</x:f>
        <x:v>864.5637530711654</x:v>
      </x:c>
      <x:c r="U168" s="9" t="n">
        <x:f>F168+Inputs!$C$17/2</x:f>
        <x:v>1164.5637530711654</x:v>
      </x:c>
      <x:c r="V168" s="9" t="n">
        <x:f>ABS(P168)</x:f>
        <x:v>196.40114070170966</x:v>
      </x:c>
      <x:c r="W168" s="9" t="n">
        <x:f>ABS(Q168)</x:f>
        <x:v>29.489660766022475</x:v>
      </x:c>
      <x:c r="X168" s="9"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x:f>
        <x:v>61.781548358505674</x:v>
      </x:c>
      <x:c r="Y168" s="9"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x:f>
        <x:v>438.1289491107309</x:v>
      </x:c>
      <x:c r="Z168" s="9" t="n">
        <x:f>B168-X168/1000</x:f>
        <x:v>400.52599622941926</x:v>
      </x:c>
      <x:c r="AA168" s="9" t="n">
        <x:f>SQRT((Inputs!$C$52+B168)^2+(Inputs!$C$52+Y168/1000)^2-2*(Inputs!$C$52+B168)*(Inputs!$C$52+Y168/1000)*COS(SQRT(A168^2+Inputs!$C$6^2)/Inputs!$C$52))</x:f>
        <x:v>401.9580470971375</x:v>
      </x:c>
      <x:c r="AB168" s="9" t="n">
        <x:f>(AA168-Z168)*1000</x:f>
        <x:v>1432.0508677182602</x:v>
      </x:c>
      <x:c r="AC168" s="9" t="n">
        <x:f>AB168/Inputs!$C$12</x:f>
        <x:v>804.522959392281</x:v>
      </x:c>
      <x:c r="AD168" s="9" t="n">
        <x:f>2*AB168/Inputs!$C$21*1000000</x:f>
        <x:v>9.5536150393634</x:v>
      </x:c>
      <x:c r="AE168" s="9" t="n">
        <x:f>DEGREES(ATAN(H168/(B168-Y168/1000)))</x:f>
        <x:v>4.852471634022157</x:v>
      </x:c>
      <x:c r="AF168" s="9" t="n">
        <x:f>DEGREES((2*PI()/Inputs!$C$13)*Inputs!$C$15*SIN(RADIANS(AE168)))</x:f>
        <x:v>30.45254365548654</x:v>
      </x:c>
      <x:c r="AG168" s="9" t="n">
        <x:f>(Z168/AA168)^4</x:f>
        <x:v>0.9858252261488087</x:v>
      </x:c>
      <x:c r="AH168" s="9" t="n">
        <x:f>10*LOG10(AG168)</x:f>
        <x:v>-0.0620007293615798</x:v>
      </x:c>
      <x:c r="AI168" s="9" t="n">
        <x:f>AC168-F168</x:f>
        <x:v>-210.04079367888437</x:v>
      </x:c>
      <x:c r="AJ168" s="9" t="n">
        <x:f>AD168-G168</x:f>
        <x:v>-2.494209595815878</x:v>
      </x:c>
      <x:c r="AK168" s="9" t="n">
        <x:f>Y168-X168</x:f>
        <x:v>376.3474007522252</x:v>
      </x:c>
      <x:c r="AL168" s="9" t="n">
        <x:f>1000*(AA169-AA167)/(A169-A167)*Inputs!$C$11</x:f>
        <x:v>536.320952948472</x:v>
      </x:c>
      <x:c r="AM168" s="9" t="n">
        <x:f>-2*AL168/Inputs!$C$13</x:f>
        <x:v>-214.52838117938882</x:v>
      </x:c>
      <x:c r="AN168" s="9" t="n">
        <x:f>-2*AL168/Inputs!$C$14</x:f>
        <x:v>-32.21146864555388</x:v>
      </x:c>
      <x:c r="AO168" s="9" t="n">
        <x:f>ABS(AM168)</x:f>
        <x:v>214.52838117938882</x:v>
      </x:c>
      <x:c r="AP168" s="9" t="n">
        <x:f>ABS(AN168)</x:f>
        <x:v>32.21146864555388</x:v>
      </x:c>
      <x:c r="AQ168" s="9" t="n">
        <x:f>IF(OR(Inputs!$C$27=TRUE,Inputs!$C$27="TRUE",Inputs!$C$27=1),Inputs!$C$46/Inputs!$C$12,0)</x:f>
        <x:v>42.13483146067416</x:v>
      </x:c>
      <x:c r="AR168" s="9" t="n">
        <x:f>AC168-AQ168</x:f>
        <x:v>762.3881279316068</x:v>
      </x:c>
      <x:c r="AS168" s="9" t="n">
        <x:f>AC168+AQ168</x:f>
        <x:v>846.6577908529551</x:v>
      </x:c>
    </x:row>
    <x:row r="169">
      <x:c r="A169" s="9" t="n">
        <x:f>Inputs!$C$7+167*(Inputs!$C$8-Inputs!$C$7)/240</x:f>
        <x:v>23.5</x:v>
      </x:c>
      <x:c r="B169" s="9" t="n">
        <x:f>Inputs!$C$5+Inputs!$C$9*(A169/Inputs!$C$10)^2</x:f>
        <x:v>400.6136111111111</x:v>
      </x:c>
      <x:c r="C169" s="9" t="n">
        <x:f>B169</x:f>
        <x:v>400.6136111111111</x:v>
      </x:c>
      <x:c r="D169" s="9" t="n">
        <x:f>SQRT((Inputs!$C$52+B169)^2+Inputs!$C$52^2-2*(Inputs!$C$52+B169)*Inputs!$C$52*COS(SQRT(A169^2+Inputs!$C$6^2)/Inputs!$C$52))</x:f>
        <x:v>402.4557403090455</x:v>
      </x:c>
      <x:c r="E169" s="9" t="n">
        <x:f>(D169-C169)*1000</x:f>
        <x:v>1842.1291979344119</x:v>
      </x:c>
      <x:c r="F169" s="9" t="n">
        <x:f>E169/Inputs!$C$12</x:f>
        <x:v>1034.9040437833773</x:v>
      </x:c>
      <x:c r="G169" s="9" t="n">
        <x:f>2*E169/Inputs!$C$21*1000000</x:f>
        <x:v>12.289363182941793</x:v>
      </x:c>
      <x:c r="H169" s="9" t="n">
        <x:f>SQRT(A169^2+Inputs!$C$6^2)</x:f>
        <x:v>34.311076928595526</x:v>
      </x:c>
      <x:c r="I169" s="9" t="n">
        <x:f>DEGREES(ATAN(H169/B169))</x:f>
        <x:v>4.8952260304560395</x:v>
      </x:c>
      <x:c r="J169" s="9" t="n">
        <x:f>DEGREES((2*PI()/Inputs!$C$13)*Inputs!$C$15*SIN(RADIANS(I169)))</x:f>
        <x:v>30.72020611297858</x:v>
      </x:c>
      <x:c r="K169" s="9" t="n">
        <x:f>(C169/D169)^4</x:f>
        <x:v>0.9818164353100021</x:v>
      </x:c>
      <x:c r="L169" s="9" t="n">
        <x:f>10*LOG10(K169)</x:f>
        <x:v>-0.079697022171028</x:v>
      </x:c>
      <x:c r="M169" s="9" t="n">
        <x:f>2*(Inputs!$C$9/(Inputs!$C$10^2))*A169</x:f>
        <x:v>0.052222222222222225</x:v>
      </x:c>
      <x:c r="N169" s="9" t="n">
        <x:f>M169*Inputs!$C$11</x:f>
        <x:v>0.2088888888888889</x:v>
      </x:c>
      <x:c r="O169" s="9" t="n">
        <x:f>1000*(D170-D168)/(A170-A168)*Inputs!$C$11</x:f>
        <x:v>501.6201656674184</x:v>
      </x:c>
      <x:c r="P169" s="9" t="n">
        <x:f>-2*O169/Inputs!$C$13</x:f>
        <x:v>-200.64806626696736</x:v>
      </x:c>
      <x:c r="Q169" s="9" t="n">
        <x:f>-2*O169/Inputs!$C$14</x:f>
        <x:v>-30.12733727732243</x:v>
      </x:c>
      <x:c r="R169" s="9" t="n">
        <x:f>F169-Inputs!$C$16/2</x:f>
        <x:v>1019.9040437833773</x:v>
      </x:c>
      <x:c r="S169" s="9" t="n">
        <x:f>F169+Inputs!$C$16/2</x:f>
        <x:v>1049.9040437833773</x:v>
      </x:c>
      <x:c r="T169" s="9" t="n">
        <x:f>F169-Inputs!$C$17/2</x:f>
        <x:v>884.9040437833773</x:v>
      </x:c>
      <x:c r="U169" s="9" t="n">
        <x:f>F169+Inputs!$C$17/2</x:f>
        <x:v>1184.9040437833773</x:v>
      </x:c>
      <x:c r="V169" s="9" t="n">
        <x:f>ABS(P169)</x:f>
        <x:v>200.64806626696736</x:v>
      </x:c>
      <x:c r="W169" s="9" t="n">
        <x:f>ABS(Q169)</x:f>
        <x:v>30.12733727732243</x:v>
      </x:c>
      <x:c r="X169" s="9"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x:f>
        <x:v>70.98866885242666</x:v>
      </x:c>
      <x:c r="Y169" s="9"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x:f>
        <x:v>431.2131008039683</x:v>
      </x:c>
      <x:c r="Z169" s="9" t="n">
        <x:f>B169-X169/1000</x:f>
        <x:v>400.5426224422587</x:v>
      </x:c>
      <x:c r="AA169" s="9" t="n">
        <x:f>SQRT((Inputs!$C$52+B169)^2+(Inputs!$C$52+Y169/1000)^2-2*(Inputs!$C$52+B169)*(Inputs!$C$52+Y169/1000)*COS(SQRT(A169^2+Inputs!$C$6^2)/Inputs!$C$52))</x:f>
        <x:v>402.027011393402</x:v>
      </x:c>
      <x:c r="AB169" s="9" t="n">
        <x:f>(AA169-Z169)*1000</x:f>
        <x:v>1484.3889511433304</x:v>
      </x:c>
      <x:c r="AC169" s="9" t="n">
        <x:f>AB169/Inputs!$C$12</x:f>
        <x:v>833.9263770468148</x:v>
      </x:c>
      <x:c r="AD169" s="9" t="n">
        <x:f>2*AB169/Inputs!$C$21*1000000</x:f>
        <x:v>9.902777148205178</x:v>
      </x:c>
      <x:c r="AE169" s="9" t="n">
        <x:f>DEGREES(ATAN(H169/(B169-Y169/1000)))</x:f>
        <x:v>4.900475166007683</x:v>
      </x:c>
      <x:c r="AF169" s="9" t="n">
        <x:f>DEGREES((2*PI()/Inputs!$C$13)*Inputs!$C$15*SIN(RADIANS(AE169)))</x:f>
        <x:v>30.753066973149572</x:v>
      </x:c>
      <x:c r="AG169" s="9" t="n">
        <x:f>(Z169/AA169)^4</x:f>
        <x:v>0.9853125486774528</x:v>
      </x:c>
      <x:c r="AH169" s="9" t="n">
        <x:f>10*LOG10(AG169)</x:f>
        <x:v>-0.0642598611652541</x:v>
      </x:c>
      <x:c r="AI169" s="9" t="n">
        <x:f>AC169-F169</x:f>
        <x:v>-200.97766673656258</x:v>
      </x:c>
      <x:c r="AJ169" s="9" t="n">
        <x:f>AD169-G169</x:f>
        <x:v>-2.386586034736615</x:v>
      </x:c>
      <x:c r="AK169" s="9" t="n">
        <x:f>Y169-X169</x:f>
        <x:v>360.22443195154165</x:v>
      </x:c>
      <x:c r="AL169" s="9" t="n">
        <x:f>1000*(AA170-AA168)/(A170-A168)*Inputs!$C$11</x:f>
        <x:v>489.55806634353394</x:v>
      </x:c>
      <x:c r="AM169" s="9" t="n">
        <x:f>-2*AL169/Inputs!$C$13</x:f>
        <x:v>-195.82322653741357</x:v>
      </x:c>
      <x:c r="AN169" s="9" t="n">
        <x:f>-2*AL169/Inputs!$C$14</x:f>
        <x:v>-29.40288686747952</x:v>
      </x:c>
      <x:c r="AO169" s="9" t="n">
        <x:f>ABS(AM169)</x:f>
        <x:v>195.82322653741357</x:v>
      </x:c>
      <x:c r="AP169" s="9" t="n">
        <x:f>ABS(AN169)</x:f>
        <x:v>29.40288686747952</x:v>
      </x:c>
      <x:c r="AQ169" s="9" t="n">
        <x:f>IF(OR(Inputs!$C$27=TRUE,Inputs!$C$27="TRUE",Inputs!$C$27=1),Inputs!$C$46/Inputs!$C$12,0)</x:f>
        <x:v>42.13483146067416</x:v>
      </x:c>
      <x:c r="AR169" s="9" t="n">
        <x:f>AC169-AQ169</x:f>
        <x:v>791.7915455861406</x:v>
      </x:c>
      <x:c r="AS169" s="9" t="n">
        <x:f>AC169+AQ169</x:f>
        <x:v>876.0612085074889</x:v>
      </x:c>
    </x:row>
    <x:row r="170">
      <x:c r="A170" s="9" t="n">
        <x:f>Inputs!$C$7+168*(Inputs!$C$8-Inputs!$C$7)/240</x:f>
        <x:v>24</x:v>
      </x:c>
      <x:c r="B170" s="9" t="n">
        <x:f>Inputs!$C$5+Inputs!$C$9*(A170/Inputs!$C$10)^2</x:f>
        <x:v>400.64</x:v>
      </x:c>
      <x:c r="C170" s="9" t="n">
        <x:f>B170</x:f>
        <x:v>400.64</x:v>
      </x:c>
      <x:c r="D170" s="9" t="n">
        <x:f>SQRT((Inputs!$C$52+B170)^2+Inputs!$C$52^2-2*(Inputs!$C$52+B170)*Inputs!$C$52*COS(SQRT(A170^2+Inputs!$C$6^2)/Inputs!$C$52))</x:f>
        <x:v>402.5191062996613</x:v>
      </x:c>
      <x:c r="E170" s="9" t="n">
        <x:f>(D170-C170)*1000</x:f>
        <x:v>1879.1062996613164</x:v>
      </x:c>
      <x:c r="F170" s="9" t="n">
        <x:f>E170/Inputs!$C$12</x:f>
        <x:v>1055.6776964389417</x:v>
      </x:c>
      <x:c r="G170" s="9" t="n">
        <x:f>2*E170/Inputs!$C$21*1000000</x:f>
        <x:v>12.53604785255349</x:v>
      </x:c>
      <x:c r="H170" s="9" t="n">
        <x:f>SQRT(A170^2+Inputs!$C$6^2)</x:f>
        <x:v>34.655446902326915</x:v>
      </x:c>
      <x:c r="I170" s="9" t="n">
        <x:f>DEGREES(ATAN(H170/B170))</x:f>
        <x:v>4.943791572217107</x:v>
      </x:c>
      <x:c r="J170" s="9" t="n">
        <x:f>DEGREES((2*PI()/Inputs!$C$13)*Inputs!$C$15*SIN(RADIANS(I170)))</x:f>
        <x:v>31.024228290513804</x:v>
      </x:c>
      <x:c r="K170" s="9" t="n">
        <x:f>(C170/D170)^4</x:f>
        <x:v>0.9814568934218927</x:v>
      </x:c>
      <x:c r="L170" s="9" t="n">
        <x:f>10*LOG10(K170)</x:f>
        <x:v>-0.08128770297414839</x:v>
      </x:c>
      <x:c r="M170" s="9" t="n">
        <x:f>2*(Inputs!$C$9/(Inputs!$C$10^2))*A170</x:f>
        <x:v>0.05333333333333333</x:v>
      </x:c>
      <x:c r="N170" s="9" t="n">
        <x:f>M170*Inputs!$C$11</x:f>
        <x:v>0.21333333333333332</x:v>
      </x:c>
      <x:c r="O170" s="9" t="n">
        <x:f>1000*(D171-D169)/(A171-A169)*Inputs!$C$11</x:f>
        <x:v>512.2338516328</x:v>
      </x:c>
      <x:c r="P170" s="9" t="n">
        <x:f>-2*O170/Inputs!$C$13</x:f>
        <x:v>-204.89354065312</x:v>
      </x:c>
      <x:c r="Q170" s="9" t="n">
        <x:f>-2*O170/Inputs!$C$14</x:f>
        <x:v>-30.764795893861866</x:v>
      </x:c>
      <x:c r="R170" s="9" t="n">
        <x:f>F170-Inputs!$C$16/2</x:f>
        <x:v>1040.6776964389417</x:v>
      </x:c>
      <x:c r="S170" s="9" t="n">
        <x:f>F170+Inputs!$C$16/2</x:f>
        <x:v>1070.6776964389417</x:v>
      </x:c>
      <x:c r="T170" s="9" t="n">
        <x:f>F170-Inputs!$C$17/2</x:f>
        <x:v>905.6776964389417</x:v>
      </x:c>
      <x:c r="U170" s="9" t="n">
        <x:f>F170+Inputs!$C$17/2</x:f>
        <x:v>1205.6776964389417</x:v>
      </x:c>
      <x:c r="V170" s="9" t="n">
        <x:f>ABS(P170)</x:f>
        <x:v>204.89354065312</x:v>
      </x:c>
      <x:c r="W170" s="9" t="n">
        <x:f>ABS(Q170)</x:f>
        <x:v>30.764795893861866</x:v>
      </x:c>
      <x:c r="X170" s="9"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x:f>
        <x:v>75.46815017037277</x:v>
      </x:c>
      <x:c r="Y170" s="9"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x:f>
        <x:v>441.2625072507224</x:v>
      </x:c>
      <x:c r="Z170" s="9" t="n">
        <x:f>B170-X170/1000</x:f>
        <x:v>400.5645318498296</x:v>
      </x:c>
      <x:c r="AA170" s="9" t="n">
        <x:f>SQRT((Inputs!$C$52+B170)^2+(Inputs!$C$52+Y170/1000)^2-2*(Inputs!$C$52+B170)*(Inputs!$C$52+Y170/1000)*COS(SQRT(A170^2+Inputs!$C$6^2)/Inputs!$C$52))</x:f>
        <x:v>402.0804366137234</x:v>
      </x:c>
      <x:c r="AB170" s="9" t="n">
        <x:f>(AA170-Z170)*1000</x:f>
        <x:v>1515.9047638937864</x:v>
      </x:c>
      <x:c r="AC170" s="9" t="n">
        <x:f>AB170/Inputs!$C$12</x:f>
        <x:v>851.6318898279699</x:v>
      </x:c>
      <x:c r="AD170" s="9" t="n">
        <x:f>2*AB170/Inputs!$C$21*1000000</x:f>
        <x:v>10.113028019495983</x:v>
      </x:c>
      <x:c r="AE170" s="9" t="n">
        <x:f>DEGREES(ATAN(H170/(B170-Y170/1000)))</x:f>
        <x:v>4.949215578273693</x:v>
      </x:c>
      <x:c r="AF170" s="9" t="n">
        <x:f>DEGREES((2*PI()/Inputs!$C$13)*Inputs!$C$15*SIN(RADIANS(AE170)))</x:f>
        <x:v>31.058181399348573</x:v>
      </x:c>
      <x:c r="AG170" s="9" t="n">
        <x:f>(Z170/AA170)^4</x:f>
        <x:v>0.9850044581716659</x:v>
      </x:c>
      <x:c r="AH170" s="9" t="n">
        <x:f>10*LOG10(AG170)</x:f>
        <x:v>-0.0656180386282247</x:v>
      </x:c>
      <x:c r="AI170" s="9" t="n">
        <x:f>AC170-F170</x:f>
        <x:v>-204.0458066109718</x:v>
      </x:c>
      <x:c r="AJ170" s="9" t="n">
        <x:f>AD170-G170</x:f>
        <x:v>-2.4230198330575075</x:v>
      </x:c>
      <x:c r="AK170" s="9" t="n">
        <x:f>Y170-X170</x:f>
        <x:v>365.79435708034964</x:v>
      </x:c>
      <x:c r="AL170" s="9" t="n">
        <x:f>1000*(AA171-AA169)/(A171-A169)*Inputs!$C$11</x:f>
        <x:v>575.3600353623369</x:v>
      </x:c>
      <x:c r="AM170" s="9" t="n">
        <x:f>-2*AL170/Inputs!$C$13</x:f>
        <x:v>-230.14401414493477</x:v>
      </x:c>
      <x:c r="AN170" s="9" t="n">
        <x:f>-2*AL170/Inputs!$C$14</x:f>
        <x:v>-34.55615828002024</x:v>
      </x:c>
      <x:c r="AO170" s="9" t="n">
        <x:f>ABS(AM170)</x:f>
        <x:v>230.14401414493477</x:v>
      </x:c>
      <x:c r="AP170" s="9" t="n">
        <x:f>ABS(AN170)</x:f>
        <x:v>34.55615828002024</x:v>
      </x:c>
      <x:c r="AQ170" s="9" t="n">
        <x:f>IF(OR(Inputs!$C$27=TRUE,Inputs!$C$27="TRUE",Inputs!$C$27=1),Inputs!$C$46/Inputs!$C$12,0)</x:f>
        <x:v>42.13483146067416</x:v>
      </x:c>
      <x:c r="AR170" s="9" t="n">
        <x:f>AC170-AQ170</x:f>
        <x:v>809.4970583672957</x:v>
      </x:c>
      <x:c r="AS170" s="9" t="n">
        <x:f>AC170+AQ170</x:f>
        <x:v>893.766721288644</x:v>
      </x:c>
    </x:row>
    <x:row r="171">
      <x:c r="A171" s="9" t="n">
        <x:f>Inputs!$C$7+169*(Inputs!$C$8-Inputs!$C$7)/240</x:f>
        <x:v>24.5</x:v>
      </x:c>
      <x:c r="B171" s="9" t="n">
        <x:f>Inputs!$C$5+Inputs!$C$9*(A171/Inputs!$C$10)^2</x:f>
        <x:v>400.6669444444444</x:v>
      </x:c>
      <x:c r="C171" s="9" t="n">
        <x:f>B171</x:f>
        <x:v>400.6669444444444</x:v>
      </x:c>
      <x:c r="D171" s="9" t="n">
        <x:f>SQRT((Inputs!$C$52+B171)^2+Inputs!$C$52^2-2*(Inputs!$C$52+B171)*Inputs!$C$52*COS(SQRT(A171^2+Inputs!$C$6^2)/Inputs!$C$52))</x:f>
        <x:v>402.5837987719537</x:v>
      </x:c>
      <x:c r="E171" s="9" t="n">
        <x:f>(D171-C171)*1000</x:f>
        <x:v>1916.8543275092702</x:v>
      </x:c>
      <x:c r="F171" s="9" t="n">
        <x:f>E171/Inputs!$C$12</x:f>
        <x:v>1076.8844536568934</x:v>
      </x:c>
      <x:c r="G171" s="9" t="n">
        <x:f>2*E171/Inputs!$C$21*1000000</x:f>
        <x:v>12.78787558764584</x:v>
      </x:c>
      <x:c r="H171" s="9" t="n">
        <x:f>SQRT(A171^2+Inputs!$C$6^2)</x:f>
        <x:v>35.00357124637428</x:v>
      </x:c>
      <x:c r="I171" s="9" t="n">
        <x:f>DEGREES(ATAN(H171/B171))</x:f>
        <x:v>4.99286952278949</x:v>
      </x:c>
      <x:c r="J171" s="9" t="n">
        <x:f>DEGREES((2*PI()/Inputs!$C$13)*Inputs!$C$15*SIN(RADIANS(I171)))</x:f>
        <x:v>31.331435522208846</x:v>
      </x:c>
      <x:c r="K171" s="9" t="n">
        <x:f>(C171/D171)^4</x:f>
        <x:v>0.981090074353131</x:v>
      </x:c>
      <x:c r="L171" s="9" t="n">
        <x:f>10*LOG10(K171)</x:f>
        <x:v>-0.08291118003626269</x:v>
      </x:c>
      <x:c r="M171" s="9" t="n">
        <x:f>2*(Inputs!$C$9/(Inputs!$C$10^2))*A171</x:f>
        <x:v>0.05444444444444444</x:v>
      </x:c>
      <x:c r="N171" s="9" t="n">
        <x:f>M171*Inputs!$C$11</x:f>
        <x:v>0.21777777777777776</x:v>
      </x:c>
      <x:c r="O171" s="9" t="n">
        <x:f>1000*(D172-D170)/(A172-A170)*Inputs!$C$11</x:f>
        <x:v>522.8438353706224</x:v>
      </x:c>
      <x:c r="P171" s="9" t="n">
        <x:f>-2*O171/Inputs!$C$13</x:f>
        <x:v>-209.13753414824896</x:v>
      </x:c>
      <x:c r="Q171" s="9" t="n">
        <x:f>-2*O171/Inputs!$C$14</x:f>
        <x:v>-31.402032154391737</x:v>
      </x:c>
      <x:c r="R171" s="9" t="n">
        <x:f>F171-Inputs!$C$16/2</x:f>
        <x:v>1061.8844536568934</x:v>
      </x:c>
      <x:c r="S171" s="9" t="n">
        <x:f>F171+Inputs!$C$16/2</x:f>
        <x:v>1091.8844536568934</x:v>
      </x:c>
      <x:c r="T171" s="9" t="n">
        <x:f>F171-Inputs!$C$17/2</x:f>
        <x:v>926.8844536568934</x:v>
      </x:c>
      <x:c r="U171" s="9" t="n">
        <x:f>F171+Inputs!$C$17/2</x:f>
        <x:v>1226.8844536568934</x:v>
      </x:c>
      <x:c r="V171" s="9" t="n">
        <x:f>ABS(P171)</x:f>
        <x:v>209.13753414824896</x:v>
      </x:c>
      <x:c r="W171" s="9" t="n">
        <x:f>ABS(Q171)</x:f>
        <x:v>31.402032154391737</x:v>
      </x:c>
      <x:c r="X171" s="9"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x:f>
        <x:v>80.2881627342364</x:v>
      </x:c>
      <x:c r="Y171" s="9"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x:f>
        <x:v>415.4369773442437</x:v>
      </x:c>
      <x:c r="Z171" s="9" t="n">
        <x:f>B171-X171/1000</x:f>
        <x:v>400.5866562817102</x:v>
      </x:c>
      <x:c r="AA171" s="9" t="n">
        <x:f>SQRT((Inputs!$C$52+B171)^2+(Inputs!$C$52+Y171/1000)^2-2*(Inputs!$C$52+B171)*(Inputs!$C$52+Y171/1000)*COS(SQRT(A171^2+Inputs!$C$6^2)/Inputs!$C$52))</x:f>
        <x:v>402.1708514022426</x:v>
      </x:c>
      <x:c r="AB171" s="9" t="n">
        <x:f>(AA171-Z171)*1000</x:f>
        <x:v>1584.1951205323994</x:v>
      </x:c>
      <x:c r="AC171" s="9" t="n">
        <x:f>AB171/Inputs!$C$12</x:f>
        <x:v>889.9972587260671</x:v>
      </x:c>
      <x:c r="AD171" s="9" t="n">
        <x:f>2*AB171/Inputs!$C$21*1000000</x:f>
        <x:v>10.568612239954344</x:v>
      </x:c>
      <x:c r="AE171" s="9" t="n">
        <x:f>DEGREES(ATAN(H171/(B171-Y171/1000)))</x:f>
        <x:v>4.998025584829427</x:v>
      </x:c>
      <x:c r="AF171" s="9" t="n">
        <x:f>DEGREES((2*PI()/Inputs!$C$13)*Inputs!$C$15*SIN(RADIANS(AE171)))</x:f>
        <x:v>31.363708961255632</x:v>
      </x:c>
      <x:c r="AG171" s="9" t="n">
        <x:f>(Z171/AA171)^4</x:f>
        <x:v>0.9843364162820464</x:v>
      </x:c>
      <x:c r="AH171" s="9" t="n">
        <x:f>10*LOG10(AG171)</x:f>
        <x:v>-0.0685644753902287</x:v>
      </x:c>
      <x:c r="AI171" s="9" t="n">
        <x:f>AC171-F171</x:f>
        <x:v>-186.88719493082624</x:v>
      </x:c>
      <x:c r="AJ171" s="9" t="n">
        <x:f>AD171-G171</x:f>
        <x:v>-2.219263347691495</x:v>
      </x:c>
      <x:c r="AK171" s="9" t="n">
        <x:f>Y171-X171</x:f>
        <x:v>335.1488146100073</x:v>
      </x:c>
      <x:c r="AL171" s="9" t="n">
        <x:f>1000*(AA172-AA170)/(A172-A170)*Inputs!$C$11</x:f>
        <x:v>612.4344890533848</x:v>
      </x:c>
      <x:c r="AM171" s="9" t="n">
        <x:f>-2*AL171/Inputs!$C$13</x:f>
        <x:v>-244.97379562135393</x:v>
      </x:c>
      <x:c r="AN171" s="9" t="n">
        <x:f>-2*AL171/Inputs!$C$14</x:f>
        <x:v>-36.78285219539849</x:v>
      </x:c>
      <x:c r="AO171" s="9" t="n">
        <x:f>ABS(AM171)</x:f>
        <x:v>244.97379562135393</x:v>
      </x:c>
      <x:c r="AP171" s="9" t="n">
        <x:f>ABS(AN171)</x:f>
        <x:v>36.78285219539849</x:v>
      </x:c>
      <x:c r="AQ171" s="9" t="n">
        <x:f>IF(OR(Inputs!$C$27=TRUE,Inputs!$C$27="TRUE",Inputs!$C$27=1),Inputs!$C$46/Inputs!$C$12,0)</x:f>
        <x:v>42.13483146067416</x:v>
      </x:c>
      <x:c r="AR171" s="9" t="n">
        <x:f>AC171-AQ171</x:f>
        <x:v>847.862427265393</x:v>
      </x:c>
      <x:c r="AS171" s="9" t="n">
        <x:f>AC171+AQ171</x:f>
        <x:v>932.1320901867413</x:v>
      </x:c>
    </x:row>
    <x:row r="172">
      <x:c r="A172" s="9" t="n">
        <x:f>Inputs!$C$7+170*(Inputs!$C$8-Inputs!$C$7)/240</x:f>
        <x:v>25</x:v>
      </x:c>
      <x:c r="B172" s="9" t="n">
        <x:f>Inputs!$C$5+Inputs!$C$9*(A172/Inputs!$C$10)^2</x:f>
        <x:v>400.69444444444446</x:v>
      </x:c>
      <x:c r="C172" s="9" t="n">
        <x:f>B172</x:f>
        <x:v>400.69444444444446</x:v>
      </x:c>
      <x:c r="D172" s="9" t="n">
        <x:f>SQRT((Inputs!$C$52+B172)^2+Inputs!$C$52^2-2*(Inputs!$C$52+B172)*Inputs!$C$52*COS(SQRT(A172^2+Inputs!$C$6^2)/Inputs!$C$52))</x:f>
        <x:v>402.64981725850396</x:v>
      </x:c>
      <x:c r="E172" s="9" t="n">
        <x:f>(D172-C172)*1000</x:f>
        <x:v>1955.3728140595013</x:v>
      </x:c>
      <x:c r="F172" s="9" t="n">
        <x:f>E172/Inputs!$C$12</x:f>
        <x:v>1098.5240528424165</x:v>
      </x:c>
      <x:c r="G172" s="9" t="n">
        <x:f>2*E172/Inputs!$C$21*1000000</x:f>
        <x:v>13.04484326993644</x:v>
      </x:c>
      <x:c r="H172" s="9" t="n">
        <x:f>SQRT(A172^2+Inputs!$C$6^2)</x:f>
        <x:v>35.35533905932738</x:v>
      </x:c>
      <x:c r="I172" s="9" t="n">
        <x:f>DEGREES(ATAN(H172/B172))</x:f>
        <x:v>5.042443535344872</x:v>
      </x:c>
      <x:c r="J172" s="9" t="n">
        <x:f>DEGREES((2*PI()/Inputs!$C$13)*Inputs!$C$15*SIN(RADIANS(I172)))</x:f>
        <x:v>31.64172455346228</x:v>
      </x:c>
      <x:c r="K172" s="9" t="n">
        <x:f>(C172/D172)^4</x:f>
        <x:v>0.9807159960210317</x:v>
      </x:c>
      <x:c r="L172" s="9" t="n">
        <x:f>10*LOG10(K172)</x:f>
        <x:v>-0.08456741058680131</x:v>
      </x:c>
      <x:c r="M172" s="9" t="n">
        <x:f>2*(Inputs!$C$9/(Inputs!$C$10^2))*A172</x:f>
        <x:v>0.05555555555555555</x:v>
      </x:c>
      <x:c r="N172" s="9" t="n">
        <x:f>M172*Inputs!$C$11</x:f>
        <x:v>0.2222222222222222</x:v>
      </x:c>
      <x:c r="O172" s="9" t="n">
        <x:f>1000*(D173-D171)/(A173-A171)*Inputs!$C$11</x:f>
        <x:v>533.4500427779858</x:v>
      </x:c>
      <x:c r="P172" s="9" t="n">
        <x:f>-2*O172/Inputs!$C$13</x:f>
        <x:v>-213.38001711119432</x:v>
      </x:c>
      <x:c r="Q172" s="9" t="n">
        <x:f>-2*O172/Inputs!$C$14</x:f>
        <x:v>-32.03904160828744</x:v>
      </x:c>
      <x:c r="R172" s="9" t="n">
        <x:f>F172-Inputs!$C$16/2</x:f>
        <x:v>1083.5240528424165</x:v>
      </x:c>
      <x:c r="S172" s="9" t="n">
        <x:f>F172+Inputs!$C$16/2</x:f>
        <x:v>1113.5240528424165</x:v>
      </x:c>
      <x:c r="T172" s="9" t="n">
        <x:f>F172-Inputs!$C$17/2</x:f>
        <x:v>948.5240528424165</x:v>
      </x:c>
      <x:c r="U172" s="9" t="n">
        <x:f>F172+Inputs!$C$17/2</x:f>
        <x:v>1248.5240528424165</x:v>
      </x:c>
      <x:c r="V172" s="9" t="n">
        <x:f>ABS(P172)</x:f>
        <x:v>213.38001711119432</x:v>
      </x:c>
      <x:c r="W172" s="9" t="n">
        <x:f>ABS(Q172)</x:f>
        <x:v>32.03904160828744</x:v>
      </x:c>
      <x:c r="X172" s="9"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x:f>
        <x:v>61.498548518191555</x:v>
      </x:c>
      <x:c r="Y172" s="9"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x:f>
        <x:v>418.8320748478676</x:v>
      </x:c>
      <x:c r="Z172" s="9" t="n">
        <x:f>B172-X172/1000</x:f>
        <x:v>400.63294589592624</x:v>
      </x:c>
      <x:c r="AA172" s="9" t="n">
        <x:f>SQRT((Inputs!$C$52+B172)^2+(Inputs!$C$52+Y172/1000)^2-2*(Inputs!$C$52+B172)*(Inputs!$C$52+Y172/1000)*COS(SQRT(A172^2+Inputs!$C$6^2)/Inputs!$C$52))</x:f>
        <x:v>402.23354523598675</x:v>
      </x:c>
      <x:c r="AB172" s="9" t="n">
        <x:f>(AA172-Z172)*1000</x:f>
        <x:v>1600.599340060512</x:v>
      </x:c>
      <x:c r="AC172" s="9" t="n">
        <x:f>AB172/Inputs!$C$12</x:f>
        <x:v>899.2131123935461</x:v>
      </x:c>
      <x:c r="AD172" s="9" t="n">
        <x:f>2*AB172/Inputs!$C$21*1000000</x:f>
        <x:v>10.67804941284088</x:v>
      </x:c>
      <x:c r="AE172" s="9" t="n">
        <x:f>DEGREES(ATAN(H172/(B172-Y172/1000)))</x:f>
        <x:v>5.047692498539244</x:v>
      </x:c>
      <x:c r="AF172" s="9" t="n">
        <x:f>DEGREES((2*PI()/Inputs!$C$13)*Inputs!$C$15*SIN(RADIANS(AE172)))</x:f>
        <x:v>31.674576991085722</x:v>
      </x:c>
      <x:c r="AG172" s="9" t="n">
        <x:f>(Z172/AA172)^4</x:f>
        <x:v>0.984177641744947</x:v>
      </x:c>
      <x:c r="AH172" s="9" t="n">
        <x:f>10*LOG10(AG172)</x:f>
        <x:v>-0.0692650536278831</x:v>
      </x:c>
      <x:c r="AI172" s="9" t="n">
        <x:f>AC172-F172</x:f>
        <x:v>-199.31094044887038</x:v>
      </x:c>
      <x:c r="AJ172" s="9" t="n">
        <x:f>AD172-G172</x:f>
        <x:v>-2.3667938570955602</x:v>
      </x:c>
      <x:c r="AK172" s="9" t="n">
        <x:f>Y172-X172</x:f>
        <x:v>357.33352632967603</x:v>
      </x:c>
      <x:c r="AL172" s="9" t="n">
        <x:f>1000*(AA173-AA171)/(A173-A171)*Inputs!$C$11</x:f>
        <x:v>634.340576601744</x:v>
      </x:c>
      <x:c r="AM172" s="9" t="n">
        <x:f>-2*AL172/Inputs!$C$13</x:f>
        <x:v>-253.7362306406976</x:v>
      </x:c>
      <x:c r="AN172" s="9" t="n">
        <x:f>-2*AL172/Inputs!$C$14</x:f>
        <x:v>-38.09853312923388</x:v>
      </x:c>
      <x:c r="AO172" s="9" t="n">
        <x:f>ABS(AM172)</x:f>
        <x:v>253.7362306406976</x:v>
      </x:c>
      <x:c r="AP172" s="9" t="n">
        <x:f>ABS(AN172)</x:f>
        <x:v>38.09853312923388</x:v>
      </x:c>
      <x:c r="AQ172" s="9" t="n">
        <x:f>IF(OR(Inputs!$C$27=TRUE,Inputs!$C$27="TRUE",Inputs!$C$27=1),Inputs!$C$46/Inputs!$C$12,0)</x:f>
        <x:v>42.13483146067416</x:v>
      </x:c>
      <x:c r="AR172" s="9" t="n">
        <x:f>AC172-AQ172</x:f>
        <x:v>857.078280932872</x:v>
      </x:c>
      <x:c r="AS172" s="9" t="n">
        <x:f>AC172+AQ172</x:f>
        <x:v>941.3479438542203</x:v>
      </x:c>
    </x:row>
    <x:row r="173">
      <x:c r="A173" s="9" t="n">
        <x:f>Inputs!$C$7+171*(Inputs!$C$8-Inputs!$C$7)/240</x:f>
        <x:v>25.5</x:v>
      </x:c>
      <x:c r="B173" s="9" t="n">
        <x:f>Inputs!$C$5+Inputs!$C$9*(A173/Inputs!$C$10)^2</x:f>
        <x:v>400.7225</x:v>
      </x:c>
      <x:c r="C173" s="9" t="n">
        <x:f>B173</x:f>
        <x:v>400.7225</x:v>
      </x:c>
      <x:c r="D173" s="9" t="n">
        <x:f>SQRT((Inputs!$C$52+B173)^2+Inputs!$C$52^2-2*(Inputs!$C$52+B173)*Inputs!$C$52*COS(SQRT(A173^2+Inputs!$C$6^2)/Inputs!$C$52))</x:f>
        <x:v>402.7171612826482</x:v>
      </x:c>
      <x:c r="E173" s="9" t="n">
        <x:f>(D173-C173)*1000</x:f>
        <x:v>1994.661282648167</x:v>
      </x:c>
      <x:c r="F173" s="9" t="n">
        <x:f>E173/Inputs!$C$12</x:f>
        <x:v>1120.5962262068354</x:v>
      </x:c>
      <x:c r="G173" s="9" t="n">
        <x:f>2*E173/Inputs!$C$21*1000000</x:f>
        <x:v>13.306947719466423</x:v>
      </x:c>
      <x:c r="H173" s="9" t="n">
        <x:f>SQRT(A173^2+Inputs!$C$6^2)</x:f>
        <x:v>35.71064267133819</x:v>
      </x:c>
      <x:c r="I173" s="9" t="n">
        <x:f>DEGREES(ATAN(H173/B173))</x:f>
        <x:v>5.092497724666333</x:v>
      </x:c>
      <x:c r="J173" s="9" t="n">
        <x:f>DEGREES((2*PI()/Inputs!$C$13)*Inputs!$C$15*SIN(RADIANS(I173)))</x:f>
        <x:v>31.95499502856307</x:v>
      </x:c>
      <x:c r="K173" s="9" t="n">
        <x:f>(C173/D173)^4</x:f>
        <x:v>0.9803346766777206</x:v>
      </x:c>
      <x:c r="L173" s="9" t="n">
        <x:f>10*LOG10(K173)</x:f>
        <x:v>-0.08625635102098408</x:v>
      </x:c>
      <x:c r="M173" s="9" t="n">
        <x:f>2*(Inputs!$C$9/(Inputs!$C$10^2))*A173</x:f>
        <x:v>0.056666666666666664</x:v>
      </x:c>
      <x:c r="N173" s="9" t="n">
        <x:f>M173*Inputs!$C$11</x:f>
        <x:v>0.22666666666666666</x:v>
      </x:c>
      <x:c r="O173" s="9" t="n">
        <x:f>1000*(D174-D172)/(A174-A172)*Inputs!$C$11</x:f>
        <x:v>544.0523999498055</x:v>
      </x:c>
      <x:c r="P173" s="9" t="n">
        <x:f>-2*O173/Inputs!$C$13</x:f>
        <x:v>-217.6209599799222</x:v>
      </x:c>
      <x:c r="Q173" s="9" t="n">
        <x:f>-2*O173/Inputs!$C$14</x:f>
        <x:v>-32.67581981680514</x:v>
      </x:c>
      <x:c r="R173" s="9" t="n">
        <x:f>F173-Inputs!$C$16/2</x:f>
        <x:v>1105.5962262068354</x:v>
      </x:c>
      <x:c r="S173" s="9" t="n">
        <x:f>F173+Inputs!$C$16/2</x:f>
        <x:v>1135.5962262068354</x:v>
      </x:c>
      <x:c r="T173" s="9" t="n">
        <x:f>F173-Inputs!$C$17/2</x:f>
        <x:v>970.5962262068354</x:v>
      </x:c>
      <x:c r="U173" s="9" t="n">
        <x:f>F173+Inputs!$C$17/2</x:f>
        <x:v>1270.5962262068354</x:v>
      </x:c>
      <x:c r="V173" s="9" t="n">
        <x:f>ABS(P173)</x:f>
        <x:v>217.6209599799222</x:v>
      </x:c>
      <x:c r="W173" s="9" t="n">
        <x:f>ABS(Q173)</x:f>
        <x:v>32.67581981680514</x:v>
      </x:c>
      <x:c r="X173" s="9"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x:f>
        <x:v>67.90188044896082</x:v>
      </x:c>
      <x:c r="Y173" s="9"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x:f>
        <x:v>390.15691093629596</x:v>
      </x:c>
      <x:c r="Z173" s="9" t="n">
        <x:f>B173-X173/1000</x:f>
        <x:v>400.65459811955105</x:v>
      </x:c>
      <x:c r="AA173" s="9" t="n">
        <x:f>SQRT((Inputs!$C$52+B173)^2+(Inputs!$C$52+Y173/1000)^2-2*(Inputs!$C$52+B173)*(Inputs!$C$52+Y173/1000)*COS(SQRT(A173^2+Inputs!$C$6^2)/Inputs!$C$52))</x:f>
        <x:v>402.329436546393</x:v>
      </x:c>
      <x:c r="AB173" s="9" t="n">
        <x:f>(AA173-Z173)*1000</x:f>
        <x:v>1674.8384268419727</x:v>
      </x:c>
      <x:c r="AC173" s="9" t="n">
        <x:f>AB173/Inputs!$C$12</x:f>
        <x:v>940.9204645179622</x:v>
      </x:c>
      <x:c r="AD173" s="9" t="n">
        <x:f>2*AB173/Inputs!$C$21*1000000</x:f>
        <x:v>11.173319289052781</x:v>
      </x:c>
      <x:c r="AE173" s="9" t="n">
        <x:f>DEGREES(ATAN(H173/(B173-Y173/1000)))</x:f>
        <x:v>5.097434649230494</x:v>
      </x:c>
      <x:c r="AF173" s="9" t="n">
        <x:f>DEGREES((2*PI()/Inputs!$C$13)*Inputs!$C$15*SIN(RADIANS(AE173)))</x:f>
        <x:v>31.985892077965694</x:v>
      </x:c>
      <x:c r="AG173" s="9" t="n">
        <x:f>(Z173/AA173)^4</x:f>
        <x:v>0.9834522745862535</x:v>
      </x:c>
      <x:c r="AH173" s="9" t="n">
        <x:f>10*LOG10(AG173)</x:f>
        <x:v>-0.0724671087097928</x:v>
      </x:c>
      <x:c r="AI173" s="9" t="n">
        <x:f>AC173-F173</x:f>
        <x:v>-179.6757616888732</x:v>
      </x:c>
      <x:c r="AJ173" s="9" t="n">
        <x:f>AD173-G173</x:f>
        <x:v>-2.1336284304136424</x:v>
      </x:c>
      <x:c r="AK173" s="9" t="n">
        <x:f>Y173-X173</x:f>
        <x:v>322.25503048733515</x:v>
      </x:c>
      <x:c r="AL173" s="9" t="n">
        <x:f>1000*(AA174-AA172)/(A174-A172)*Inputs!$C$11</x:f>
        <x:v>669.4925338408666</x:v>
      </x:c>
      <x:c r="AM173" s="9" t="n">
        <x:f>-2*AL173/Inputs!$C$13</x:f>
        <x:v>-267.79701353634664</x:v>
      </x:c>
      <x:c r="AN173" s="9" t="n">
        <x:f>-2*AL173/Inputs!$C$14</x:f>
        <x:v>-40.209761792244244</x:v>
      </x:c>
      <x:c r="AO173" s="9" t="n">
        <x:f>ABS(AM173)</x:f>
        <x:v>267.79701353634664</x:v>
      </x:c>
      <x:c r="AP173" s="9" t="n">
        <x:f>ABS(AN173)</x:f>
        <x:v>40.209761792244244</x:v>
      </x:c>
      <x:c r="AQ173" s="9" t="n">
        <x:f>IF(OR(Inputs!$C$27=TRUE,Inputs!$C$27="TRUE",Inputs!$C$27=1),Inputs!$C$46/Inputs!$C$12,0)</x:f>
        <x:v>42.13483146067416</x:v>
      </x:c>
      <x:c r="AR173" s="9" t="n">
        <x:f>AC173-AQ173</x:f>
        <x:v>898.785633057288</x:v>
      </x:c>
      <x:c r="AS173" s="9" t="n">
        <x:f>AC173+AQ173</x:f>
        <x:v>983.0552959786363</x:v>
      </x:c>
    </x:row>
    <x:row r="174">
      <x:c r="A174" s="9" t="n">
        <x:f>Inputs!$C$7+172*(Inputs!$C$8-Inputs!$C$7)/240</x:f>
        <x:v>26</x:v>
      </x:c>
      <x:c r="B174" s="9" t="n">
        <x:f>Inputs!$C$5+Inputs!$C$9*(A174/Inputs!$C$10)^2</x:f>
        <x:v>400.75111111111113</x:v>
      </x:c>
      <x:c r="C174" s="9" t="n">
        <x:f>B174</x:f>
        <x:v>400.75111111111113</x:v>
      </x:c>
      <x:c r="D174" s="9" t="n">
        <x:f>SQRT((Inputs!$C$52+B174)^2+Inputs!$C$52^2-2*(Inputs!$C$52+B174)*Inputs!$C$52*COS(SQRT(A174^2+Inputs!$C$6^2)/Inputs!$C$52))</x:f>
        <x:v>402.7858303584914</x:v>
      </x:c>
      <x:c r="E174" s="9" t="n">
        <x:f>(D174-C174)*1000</x:f>
        <x:v>2034.7192473802806</x:v>
      </x:c>
      <x:c r="F174" s="9" t="n">
        <x:f>E174/Inputs!$C$12</x:f>
        <x:v>1143.1007007754386</x:v>
      </x:c>
      <x:c r="G174" s="9" t="n">
        <x:f>2*E174/Inputs!$C$21*1000000</x:f>
        <x:v>13.574185694693364</x:v>
      </x:c>
      <x:c r="H174" s="9" t="n">
        <x:f>SQRT(A174^2+Inputs!$C$6^2)</x:f>
        <x:v>36.069377593742864</x:v>
      </x:c>
      <x:c r="I174" s="9" t="n">
        <x:f>DEGREES(ATAN(H174/B174))</x:f>
        <x:v>5.143016660077165</x:v>
      </x:c>
      <x:c r="J174" s="9" t="n">
        <x:f>DEGREES((2*PI()/Inputs!$C$13)*Inputs!$C$15*SIN(RADIANS(I174)))</x:f>
        <x:v>32.27114944649454</x:v>
      </x:c>
      <x:c r="K174" s="9" t="n">
        <x:f>(C174/D174)^4</x:f>
        <x:v>0.9799461349081803</x:v>
      </x:c>
      <x:c r="L174" s="9" t="n">
        <x:f>10*LOG10(K174)</x:f>
        <x:v>-0.087977956902271</x:v>
      </x:c>
      <x:c r="M174" s="9" t="n">
        <x:f>2*(Inputs!$C$9/(Inputs!$C$10^2))*A174</x:f>
        <x:v>0.057777777777777775</x:v>
      </x:c>
      <x:c r="N174" s="9" t="n">
        <x:f>M174*Inputs!$C$11</x:f>
        <x:v>0.2311111111111111</x:v>
      </x:c>
      <x:c r="O174" s="9" t="n">
        <x:f>1000*(D175-D173)/(A175-A173)*Inputs!$C$11</x:f>
        <x:v>554.6508331692621</x:v>
      </x:c>
      <x:c r="P174" s="9" t="n">
        <x:f>-2*O174/Inputs!$C$13</x:f>
        <x:v>-221.86033326770485</x:v>
      </x:c>
      <x:c r="Q174" s="9" t="n">
        <x:f>-2*O174/Inputs!$C$14</x:f>
        <x:v>-33.31236235250824</x:v>
      </x:c>
      <x:c r="R174" s="9" t="n">
        <x:f>F174-Inputs!$C$16/2</x:f>
        <x:v>1128.1007007754386</x:v>
      </x:c>
      <x:c r="S174" s="9" t="n">
        <x:f>F174+Inputs!$C$16/2</x:f>
        <x:v>1158.1007007754386</x:v>
      </x:c>
      <x:c r="T174" s="9" t="n">
        <x:f>F174-Inputs!$C$17/2</x:f>
        <x:v>993.1007007754386</x:v>
      </x:c>
      <x:c r="U174" s="9" t="n">
        <x:f>F174+Inputs!$C$17/2</x:f>
        <x:v>1293.1007007754386</x:v>
      </x:c>
      <x:c r="V174" s="9" t="n">
        <x:f>ABS(P174)</x:f>
        <x:v>221.86033326770485</x:v>
      </x:c>
      <x:c r="W174" s="9" t="n">
        <x:f>ABS(Q174)</x:f>
        <x:v>33.31236235250824</x:v>
      </x:c>
      <x:c r="X174" s="9"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x:f>
        <x:v>65.03267186217182</x:v>
      </x:c>
      <x:c r="Y174" s="9"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x:f>
        <x:v>387.3749410180904</x:v>
      </x:c>
      <x:c r="Z174" s="9" t="n">
        <x:f>B174-X174/1000</x:f>
        <x:v>400.68607843924894</x:v>
      </x:c>
      <x:c r="AA174" s="9" t="n">
        <x:f>SQRT((Inputs!$C$52+B174)^2+(Inputs!$C$52+Y174/1000)^2-2*(Inputs!$C$52+B174)*(Inputs!$C$52+Y174/1000)*COS(SQRT(A174^2+Inputs!$C$6^2)/Inputs!$C$52))</x:f>
        <x:v>402.40091836944697</x:v>
      </x:c>
      <x:c r="AB174" s="9" t="n">
        <x:f>(AA174-Z174)*1000</x:f>
        <x:v>1714.8399301980248</x:v>
      </x:c>
      <x:c r="AC174" s="9" t="n">
        <x:f>AB174/Inputs!$C$12</x:f>
        <x:v>963.3932192123735</x:v>
      </x:c>
      <x:c r="AD174" s="9" t="n">
        <x:f>2*AB174/Inputs!$C$21*1000000</x:f>
        <x:v>11.440180594523328</x:v>
      </x:c>
      <x:c r="AE174" s="9" t="n">
        <x:f>DEGREES(ATAN(H174/(B174-Y174/1000)))</x:f>
        <x:v>5.147966099336315</x:v>
      </x:c>
      <x:c r="AF174" s="9" t="n">
        <x:f>DEGREES((2*PI()/Inputs!$C$13)*Inputs!$C$15*SIN(RADIANS(AE174)))</x:f>
        <x:v>32.302122369932164</x:v>
      </x:c>
      <x:c r="AG174" s="9" t="n">
        <x:f>(Z174/AA174)^4</x:f>
        <x:v>0.9830625704629774</x:v>
      </x:c>
      <x:c r="AH174" s="9" t="n">
        <x:f>10*LOG10(AG174)</x:f>
        <x:v>-0.07418839093611669</x:v>
      </x:c>
      <x:c r="AI174" s="9" t="n">
        <x:f>AC174-F174</x:f>
        <x:v>-179.70748156306502</x:v>
      </x:c>
      <x:c r="AJ174" s="9" t="n">
        <x:f>AD174-G174</x:f>
        <x:v>-2.134005100170036</x:v>
      </x:c>
      <x:c r="AK174" s="9" t="n">
        <x:f>Y174-X174</x:f>
        <x:v>322.3422691559186</x:v>
      </x:c>
      <x:c r="AL174" s="9" t="n">
        <x:f>1000*(AA175-AA173)/(A175-A173)*Inputs!$C$11</x:f>
        <x:v>581.5482725786296</x:v>
      </x:c>
      <x:c r="AM174" s="9" t="n">
        <x:f>-2*AL174/Inputs!$C$13</x:f>
        <x:v>-232.61930903145185</x:v>
      </x:c>
      <x:c r="AN174" s="9" t="n">
        <x:f>-2*AL174/Inputs!$C$14</x:f>
        <x:v>-34.92782417889668</x:v>
      </x:c>
      <x:c r="AO174" s="9" t="n">
        <x:f>ABS(AM174)</x:f>
        <x:v>232.61930903145185</x:v>
      </x:c>
      <x:c r="AP174" s="9" t="n">
        <x:f>ABS(AN174)</x:f>
        <x:v>34.92782417889668</x:v>
      </x:c>
      <x:c r="AQ174" s="9" t="n">
        <x:f>IF(OR(Inputs!$C$27=TRUE,Inputs!$C$27="TRUE",Inputs!$C$27=1),Inputs!$C$46/Inputs!$C$12,0)</x:f>
        <x:v>42.13483146067416</x:v>
      </x:c>
      <x:c r="AR174" s="9" t="n">
        <x:f>AC174-AQ174</x:f>
        <x:v>921.2583877516994</x:v>
      </x:c>
      <x:c r="AS174" s="9" t="n">
        <x:f>AC174+AQ174</x:f>
        <x:v>1005.5280506730477</x:v>
      </x:c>
    </x:row>
    <x:row r="175">
      <x:c r="A175" s="9" t="n">
        <x:f>Inputs!$C$7+173*(Inputs!$C$8-Inputs!$C$7)/240</x:f>
        <x:v>26.5</x:v>
      </x:c>
      <x:c r="B175" s="9" t="n">
        <x:f>Inputs!$C$5+Inputs!$C$9*(A175/Inputs!$C$10)^2</x:f>
        <x:v>400.78027777777777</x:v>
      </x:c>
      <x:c r="C175" s="9" t="n">
        <x:f>B175</x:f>
        <x:v>400.78027777777777</x:v>
      </x:c>
      <x:c r="D175" s="9" t="n">
        <x:f>SQRT((Inputs!$C$52+B175)^2+Inputs!$C$52^2-2*(Inputs!$C$52+B175)*Inputs!$C$52*COS(SQRT(A175^2+Inputs!$C$6^2)/Inputs!$C$52))</x:f>
        <x:v>402.8558239909405</x:v>
      </x:c>
      <x:c r="E175" s="9" t="n">
        <x:f>(D175-C175)*1000</x:f>
        <x:v>2075.5462131627382</x:v>
      </x:c>
      <x:c r="F175" s="9" t="n">
        <x:f>E175/Inputs!$C$12</x:f>
        <x:v>1166.0371984060328</x:v>
      </x:c>
      <x:c r="G175" s="9" t="n">
        <x:f>2*E175/Inputs!$C$21*1000000</x:f>
        <x:v>13.846553892711592</x:v>
      </x:c>
      <x:c r="H175" s="9" t="n">
        <x:f>SQRT(A175^2+Inputs!$C$6^2)</x:f>
        <x:v>36.43144246389374</x:v>
      </x:c>
      <x:c r="I175" s="9" t="n">
        <x:f>DEGREES(ATAN(H175/B175))</x:f>
        <x:v>5.1939853576754125</x:v>
      </x:c>
      <x:c r="J175" s="9" t="n">
        <x:f>DEGREES((2*PI()/Inputs!$C$13)*Inputs!$C$15*SIN(RADIANS(I175)))</x:f>
        <x:v>32.59009311236641</x:v>
      </x:c>
      <x:c r="K175" s="9" t="n">
        <x:f>(C175/D175)^4</x:f>
        <x:v>0.9795503896280839</x:v>
      </x:c>
      <x:c r="L175" s="9" t="n">
        <x:f>10*LOG10(K175)</x:f>
        <x:v>-0.0897321829656479</x:v>
      </x:c>
      <x:c r="M175" s="9" t="n">
        <x:f>2*(Inputs!$C$9/(Inputs!$C$10^2))*A175</x:f>
        <x:v>0.058888888888888886</x:v>
      </x:c>
      <x:c r="N175" s="9" t="n">
        <x:f>M175*Inputs!$C$11</x:f>
        <x:v>0.23555555555555555</x:v>
      </x:c>
      <x:c r="O175" s="9" t="n">
        <x:f>1000*(D176-D174)/(A176-A174)*Inputs!$C$11</x:f>
        <x:v>565.2452688962057</x:v>
      </x:c>
      <x:c r="P175" s="9" t="n">
        <x:f>-2*O175/Inputs!$C$13</x:f>
        <x:v>-226.0981075584823</x:v>
      </x:c>
      <x:c r="Q175" s="9" t="n">
        <x:f>-2*O175/Inputs!$C$14</x:f>
        <x:v>-33.94866479857092</x:v>
      </x:c>
      <x:c r="R175" s="9" t="n">
        <x:f>F175-Inputs!$C$16/2</x:f>
        <x:v>1151.0371984060328</x:v>
      </x:c>
      <x:c r="S175" s="9" t="n">
        <x:f>F175+Inputs!$C$16/2</x:f>
        <x:v>1181.0371984060328</x:v>
      </x:c>
      <x:c r="T175" s="9" t="n">
        <x:f>F175-Inputs!$C$17/2</x:f>
        <x:v>1016.0371984060328</x:v>
      </x:c>
      <x:c r="U175" s="9" t="n">
        <x:f>F175+Inputs!$C$17/2</x:f>
        <x:v>1316.0371984060328</x:v>
      </x:c>
      <x:c r="V175" s="9" t="n">
        <x:f>ABS(P175)</x:f>
        <x:v>226.0981075584823</x:v>
      </x:c>
      <x:c r="W175" s="9" t="n">
        <x:f>ABS(Q175)</x:f>
        <x:v>33.94866479857092</x:v>
      </x:c>
      <x:c r="X175" s="9"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x:f>
        <x:v>69.51659821200863</x:v>
      </x:c>
      <x:c r="Y175" s="9"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x:f>
        <x:v>383.48713922986474</x:v>
      </x:c>
      <x:c r="Z175" s="9" t="n">
        <x:f>B175-X175/1000</x:f>
        <x:v>400.71076117956574</x:v>
      </x:c>
      <x:c r="AA175" s="9" t="n">
        <x:f>SQRT((Inputs!$C$52+B175)^2+(Inputs!$C$52+Y175/1000)^2-2*(Inputs!$C$52+B175)*(Inputs!$C$52+Y175/1000)*COS(SQRT(A175^2+Inputs!$C$6^2)/Inputs!$C$52))</x:f>
        <x:v>402.4748236145377</x:v>
      </x:c>
      <x:c r="AB175" s="9" t="n">
        <x:f>(AA175-Z175)*1000</x:f>
        <x:v>1764.0624349719474</x:v>
      </x:c>
      <x:c r="AC175" s="9" t="n">
        <x:f>AB175/Inputs!$C$12</x:f>
        <x:v>991.0463117819929</x:v>
      </x:c>
      <x:c r="AD175" s="9" t="n">
        <x:f>2*AB175/Inputs!$C$21*1000000</x:f>
        <x:v>11.768557799889331</x:v>
      </x:c>
      <x:c r="AE175" s="9" t="n">
        <x:f>DEGREES(ATAN(H175/(B175-Y175/1000)))</x:f>
        <x:v>5.19893274161084</x:v>
      </x:c>
      <x:c r="AF175" s="9" t="n">
        <x:f>DEGREES((2*PI()/Inputs!$C$13)*Inputs!$C$15*SIN(RADIANS(AE175)))</x:f>
        <x:v>32.62105068163768</x:v>
      </x:c>
      <x:c r="AG175" s="9" t="n">
        <x:f>(Z175/AA175)^4</x:f>
        <x:v>0.9825827777987965</x:v>
      </x:c>
      <x:c r="AH175" s="9" t="n">
        <x:f>10*LOG10(AG175)</x:f>
        <x:v>-0.0763085222287111</x:v>
      </x:c>
      <x:c r="AI175" s="9" t="n">
        <x:f>AC175-F175</x:f>
        <x:v>-174.99088662403983</x:v>
      </x:c>
      <x:c r="AJ175" s="9" t="n">
        <x:f>AD175-G175</x:f>
        <x:v>-2.0779960928222607</x:v>
      </x:c>
      <x:c r="AK175" s="9" t="n">
        <x:f>Y175-X175</x:f>
        <x:v>313.97054101785614</x:v>
      </x:c>
      <x:c r="AL175" s="9" t="n">
        <x:f>1000*(AA176-AA174)/(A176-A174)*Inputs!$C$11</x:f>
        <x:v>729.1366663537246</x:v>
      </x:c>
      <x:c r="AM175" s="9" t="n">
        <x:f>-2*AL175/Inputs!$C$13</x:f>
        <x:v>-291.65466654148986</x:v>
      </x:c>
      <x:c r="AN175" s="9" t="n">
        <x:f>-2*AL175/Inputs!$C$14</x:f>
        <x:v>-43.79199197319668</x:v>
      </x:c>
      <x:c r="AO175" s="9" t="n">
        <x:f>ABS(AM175)</x:f>
        <x:v>291.65466654148986</x:v>
      </x:c>
      <x:c r="AP175" s="9" t="n">
        <x:f>ABS(AN175)</x:f>
        <x:v>43.79199197319668</x:v>
      </x:c>
      <x:c r="AQ175" s="9" t="n">
        <x:f>IF(OR(Inputs!$C$27=TRUE,Inputs!$C$27="TRUE",Inputs!$C$27=1),Inputs!$C$46/Inputs!$C$12,0)</x:f>
        <x:v>42.13483146067416</x:v>
      </x:c>
      <x:c r="AR175" s="9" t="n">
        <x:f>AC175-AQ175</x:f>
        <x:v>948.9114803213188</x:v>
      </x:c>
      <x:c r="AS175" s="9" t="n">
        <x:f>AC175+AQ175</x:f>
        <x:v>1033.181143242667</x:v>
      </x:c>
    </x:row>
    <x:row r="176">
      <x:c r="A176" s="9" t="n">
        <x:f>Inputs!$C$7+174*(Inputs!$C$8-Inputs!$C$7)/240</x:f>
        <x:v>27</x:v>
      </x:c>
      <x:c r="B176" s="9" t="n">
        <x:f>Inputs!$C$5+Inputs!$C$9*(A176/Inputs!$C$10)^2</x:f>
        <x:v>400.81</x:v>
      </x:c>
      <x:c r="C176" s="9" t="n">
        <x:f>B176</x:f>
        <x:v>400.81</x:v>
      </x:c>
      <x:c r="D176" s="9" t="n">
        <x:f>SQRT((Inputs!$C$52+B176)^2+Inputs!$C$52^2-2*(Inputs!$C$52+B176)*Inputs!$C$52*COS(SQRT(A176^2+Inputs!$C$6^2)/Inputs!$C$52))</x:f>
        <x:v>402.92714167571546</x:v>
      </x:c>
      <x:c r="E176" s="9" t="n">
        <x:f>(D176-C176)*1000</x:f>
        <x:v>2117.141675715459</x:v>
      </x:c>
      <x:c r="F176" s="9" t="n">
        <x:f>E176/Inputs!$C$12</x:f>
        <x:v>1189.4054357952016</x:v>
      </x:c>
      <x:c r="G176" s="9" t="n">
        <x:f>2*E176/Inputs!$C$21*1000000</x:f>
        <x:v>14.12404894932653</x:v>
      </x:c>
      <x:c r="H176" s="9" t="n">
        <x:f>SQRT(A176^2+Inputs!$C$6^2)</x:f>
        <x:v>36.796738985948195</x:v>
      </x:c>
      <x:c r="I176" s="9" t="n">
        <x:f>DEGREES(ATAN(H176/B176))</x:f>
        <x:v>5.2453892719816</x:v>
      </x:c>
      <x:c r="J176" s="9" t="n">
        <x:f>DEGREES((2*PI()/Inputs!$C$13)*Inputs!$C$15*SIN(RADIANS(I176)))</x:f>
        <x:v>32.911734085150734</x:v>
      </x:c>
      <x:c r="K176" s="9" t="n">
        <x:f>(C176/D176)^4</x:f>
        <x:v>0.9791474600818122</x:v>
      </x:c>
      <x:c r="L176" s="9" t="n">
        <x:f>10*LOG10(K176)</x:f>
        <x:v>-0.0915189831200047</x:v>
      </x:c>
      <x:c r="M176" s="9" t="n">
        <x:f>2*(Inputs!$C$9/(Inputs!$C$10^2))*A176</x:f>
        <x:v>0.06</x:v>
      </x:c>
      <x:c r="N176" s="9" t="n">
        <x:f>M176*Inputs!$C$11</x:f>
        <x:v>0.24</x:v>
      </x:c>
      <x:c r="O176" s="9" t="n">
        <x:f>1000*(D177-D175)/(A177-A175)*Inputs!$C$11</x:f>
        <x:v>575.8356337860278</x:v>
      </x:c>
      <x:c r="P176" s="9" t="n">
        <x:f>-2*O176/Inputs!$C$13</x:f>
        <x:v>-230.3342535144111</x:v>
      </x:c>
      <x:c r="Q176" s="9" t="n">
        <x:f>-2*O176/Inputs!$C$14</x:f>
        <x:v>-34.58472274991158</x:v>
      </x:c>
      <x:c r="R176" s="9" t="n">
        <x:f>F176-Inputs!$C$16/2</x:f>
        <x:v>1174.4054357952016</x:v>
      </x:c>
      <x:c r="S176" s="9" t="n">
        <x:f>F176+Inputs!$C$16/2</x:f>
        <x:v>1204.4054357952016</x:v>
      </x:c>
      <x:c r="T176" s="9" t="n">
        <x:f>F176-Inputs!$C$17/2</x:f>
        <x:v>1039.4054357952016</x:v>
      </x:c>
      <x:c r="U176" s="9" t="n">
        <x:f>F176+Inputs!$C$17/2</x:f>
        <x:v>1339.4054357952016</x:v>
      </x:c>
      <x:c r="V176" s="9" t="n">
        <x:f>ABS(P176)</x:f>
        <x:v>230.3342535144111</x:v>
      </x:c>
      <x:c r="W176" s="9" t="n">
        <x:f>ABS(Q176)</x:f>
        <x:v>34.58472274991158</x:v>
      </x:c>
      <x:c r="X176" s="9"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x:f>
        <x:v>64.45446968061479</x:v>
      </x:c>
      <x:c r="Y176" s="9"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x:f>
        <x:v>346.2287328646241</x:v>
      </x:c>
      <x:c r="Z176" s="9" t="n">
        <x:f>B176-X176/1000</x:f>
        <x:v>400.74554553031936</x:v>
      </x:c>
      <x:c r="AA176" s="9" t="n">
        <x:f>SQRT((Inputs!$C$52+B176)^2+(Inputs!$C$52+Y176/1000)^2-2*(Inputs!$C$52+B176)*(Inputs!$C$52+Y176/1000)*COS(SQRT(A176^2+Inputs!$C$6^2)/Inputs!$C$52))</x:f>
        <x:v>402.5832025360354</x:v>
      </x:c>
      <x:c r="AB176" s="9" t="n">
        <x:f>(AA176-Z176)*1000</x:f>
        <x:v>1837.6570057160393</x:v>
      </x:c>
      <x:c r="AC176" s="9" t="n">
        <x:f>AB176/Inputs!$C$12</x:f>
        <x:v>1032.3915762449658</x:v>
      </x:c>
      <x:c r="AD176" s="9" t="n">
        <x:f>2*AB176/Inputs!$C$21*1000000</x:f>
        <x:v>12.25952792792432</x:v>
      </x:c>
      <x:c r="AE176" s="9" t="n">
        <x:f>DEGREES(ATAN(H176/(B176-Y176/1000)))</x:f>
        <x:v>5.249898945607764</x:v>
      </x:c>
      <x:c r="AF176" s="9" t="n">
        <x:f>DEGREES((2*PI()/Inputs!$C$13)*Inputs!$C$15*SIN(RADIANS(AE176)))</x:f>
        <x:v>32.93995043893495</x:v>
      </x:c>
      <x:c r="AG176" s="9" t="n">
        <x:f>(Z176/AA176)^4</x:f>
        <x:v>0.9818659813883981</x:v>
      </x:c>
      <x:c r="AH176" s="9" t="n">
        <x:f>10*LOG10(AG176)</x:f>
        <x:v>-0.079477866687749</x:v>
      </x:c>
      <x:c r="AI176" s="9" t="n">
        <x:f>AC176-F176</x:f>
        <x:v>-157.0138595502358</x:v>
      </x:c>
      <x:c r="AJ176" s="9" t="n">
        <x:f>AD176-G176</x:f>
        <x:v>-1.8645210214022097</x:v>
      </x:c>
      <x:c r="AK176" s="9" t="n">
        <x:f>Y176-X176</x:f>
        <x:v>281.77426318400927</x:v>
      </x:c>
      <x:c r="AL176" s="9" t="n">
        <x:f>1000*(AA177-AA175)/(A177-A175)*Inputs!$C$11</x:f>
        <x:v>760.7885452869141</x:v>
      </x:c>
      <x:c r="AM176" s="9" t="n">
        <x:f>-2*AL176/Inputs!$C$13</x:f>
        <x:v>-304.31541811476563</x:v>
      </x:c>
      <x:c r="AN176" s="9" t="n">
        <x:f>-2*AL176/Inputs!$C$14</x:f>
        <x:v>-45.693005722937784</x:v>
      </x:c>
      <x:c r="AO176" s="9" t="n">
        <x:f>ABS(AM176)</x:f>
        <x:v>304.31541811476563</x:v>
      </x:c>
      <x:c r="AP176" s="9" t="n">
        <x:f>ABS(AN176)</x:f>
        <x:v>45.693005722937784</x:v>
      </x:c>
      <x:c r="AQ176" s="9" t="n">
        <x:f>IF(OR(Inputs!$C$27=TRUE,Inputs!$C$27="TRUE",Inputs!$C$27=1),Inputs!$C$46/Inputs!$C$12,0)</x:f>
        <x:v>42.13483146067416</x:v>
      </x:c>
      <x:c r="AR176" s="9" t="n">
        <x:f>AC176-AQ176</x:f>
        <x:v>990.2567447842916</x:v>
      </x:c>
      <x:c r="AS176" s="9" t="n">
        <x:f>AC176+AQ176</x:f>
        <x:v>1074.52640770564</x:v>
      </x:c>
    </x:row>
    <x:row r="177">
      <x:c r="A177" s="9" t="n">
        <x:f>Inputs!$C$7+175*(Inputs!$C$8-Inputs!$C$7)/240</x:f>
        <x:v>27.5</x:v>
      </x:c>
      <x:c r="B177" s="9" t="n">
        <x:f>Inputs!$C$5+Inputs!$C$9*(A177/Inputs!$C$10)^2</x:f>
        <x:v>400.84027777777777</x:v>
      </x:c>
      <x:c r="C177" s="9" t="n">
        <x:f>B177</x:f>
        <x:v>400.84027777777777</x:v>
      </x:c>
      <x:c r="D177" s="9" t="n">
        <x:f>SQRT((Inputs!$C$52+B177)^2+Inputs!$C$52^2-2*(Inputs!$C$52+B177)*Inputs!$C$52*COS(SQRT(A177^2+Inputs!$C$6^2)/Inputs!$C$52))</x:f>
        <x:v>402.999782899387</x:v>
      </x:c>
      <x:c r="E177" s="9" t="n">
        <x:f>(D177-C177)*1000</x:f>
        <x:v>2159.505121609243</x:v>
      </x:c>
      <x:c r="F177" s="9" t="n">
        <x:f>E177/Inputs!$C$12</x:f>
        <x:v>1213.2051244995746</x:v>
      </x:c>
      <x:c r="G177" s="9" t="n">
        <x:f>2*E177/Inputs!$C$21*1000000</x:f>
        <x:v>14.406667439307249</x:v>
      </x:c>
      <x:c r="H177" s="9" t="n">
        <x:f>SQRT(A177^2+Inputs!$C$6^2)</x:f>
        <x:v>37.16517186829626</x:v>
      </x:c>
      <x:c r="I177" s="9" t="n">
        <x:f>DEGREES(ATAN(H177/B177))</x:f>
        <x:v>5.297214287097746</x:v>
      </x:c>
      <x:c r="J177" s="9" t="n">
        <x:f>DEGREES((2*PI()/Inputs!$C$13)*Inputs!$C$15*SIN(RADIANS(I177)))</x:f>
        <x:v>33.23598312233844</x:v>
      </x:c>
      <x:c r="K177" s="9" t="n">
        <x:f>(C177/D177)^4</x:f>
        <x:v>0.9787373658401771</x:v>
      </x:c>
      <x:c r="L177" s="9" t="n">
        <x:f>10*LOG10(K177)</x:f>
        <x:v>-0.09333831045171459</x:v>
      </x:c>
      <x:c r="M177" s="9" t="n">
        <x:f>2*(Inputs!$C$9/(Inputs!$C$10^2))*A177</x:f>
        <x:v>0.06111111111111111</x:v>
      </x:c>
      <x:c r="N177" s="9" t="n">
        <x:f>M177*Inputs!$C$11</x:f>
        <x:v>0.24444444444444444</x:v>
      </x:c>
      <x:c r="O177" s="9" t="n">
        <x:f>1000*(D178-D176)/(A178-A176)*Inputs!$C$11</x:f>
        <x:v>586.4218547242217</x:v>
      </x:c>
      <x:c r="P177" s="9" t="n">
        <x:f>-2*O177/Inputs!$C$13</x:f>
        <x:v>-234.56874188968868</x:v>
      </x:c>
      <x:c r="Q177" s="9" t="n">
        <x:f>-2*O177/Inputs!$C$14</x:f>
        <x:v>-35.22053181526857</x:v>
      </x:c>
      <x:c r="R177" s="9" t="n">
        <x:f>F177-Inputs!$C$16/2</x:f>
        <x:v>1198.2051244995746</x:v>
      </x:c>
      <x:c r="S177" s="9" t="n">
        <x:f>F177+Inputs!$C$16/2</x:f>
        <x:v>1228.2051244995746</x:v>
      </x:c>
      <x:c r="T177" s="9" t="n">
        <x:f>F177-Inputs!$C$17/2</x:f>
        <x:v>1063.2051244995746</x:v>
      </x:c>
      <x:c r="U177" s="9" t="n">
        <x:f>F177+Inputs!$C$17/2</x:f>
        <x:v>1363.2051244995746</x:v>
      </x:c>
      <x:c r="V177" s="9" t="n">
        <x:f>ABS(P177)</x:f>
        <x:v>234.56874188968868</x:v>
      </x:c>
      <x:c r="W177" s="9" t="n">
        <x:f>ABS(Q177)</x:f>
        <x:v>35.22053181526857</x:v>
      </x:c>
      <x:c r="X177" s="9"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x:f>
        <x:v>45.78588130375909</x:v>
      </x:c>
      <x:c r="Y177" s="9"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x:f>
        <x:v>337.0351401860322</x:v>
      </x:c>
      <x:c r="Z177" s="9" t="n">
        <x:f>B177-X177/1000</x:f>
        <x:v>400.794491896474</x:v>
      </x:c>
      <x:c r="AA177" s="9" t="n">
        <x:f>SQRT((Inputs!$C$52+B177)^2+(Inputs!$C$52+Y177/1000)^2-2*(Inputs!$C$52+B177)*(Inputs!$C$52+Y177/1000)*COS(SQRT(A177^2+Inputs!$C$6^2)/Inputs!$C$52))</x:f>
        <x:v>402.6650207508594</x:v>
      </x:c>
      <x:c r="AB177" s="9" t="n">
        <x:f>(AA177-Z177)*1000</x:f>
        <x:v>1870.528854385384</x:v>
      </x:c>
      <x:c r="AC177" s="9" t="n">
        <x:f>AB177/Inputs!$C$12</x:f>
        <x:v>1050.8589069580808</x:v>
      </x:c>
      <x:c r="AD177" s="9" t="n">
        <x:f>2*AB177/Inputs!$C$21*1000000</x:f>
        <x:v>12.478825297101931</x:v>
      </x:c>
      <x:c r="AE177" s="9" t="n">
        <x:f>DEGREES(ATAN(H177/(B177-Y177/1000)))</x:f>
        <x:v>5.301646656321297</x:v>
      </x:c>
      <x:c r="AF177" s="9" t="n">
        <x:f>DEGREES((2*PI()/Inputs!$C$13)*Inputs!$C$15*SIN(RADIANS(AE177)))</x:f>
        <x:v>33.26371348050391</x:v>
      </x:c>
      <x:c r="AG177" s="9" t="n">
        <x:f>(Z177/AA177)^4</x:f>
        <x:v>0.981547587965305</x:v>
      </x:c>
      <x:c r="AH177" s="9" t="n">
        <x:f>10*LOG10(AG177)</x:f>
        <x:v>-0.0808863983399086</x:v>
      </x:c>
      <x:c r="AI177" s="9" t="n">
        <x:f>AC177-F177</x:f>
        <x:v>-162.34621754149384</x:v>
      </x:c>
      <x:c r="AJ177" s="9" t="n">
        <x:f>AD177-G177</x:f>
        <x:v>-1.9278421422053178</x:v>
      </x:c>
      <x:c r="AK177" s="9" t="n">
        <x:f>Y177-X177</x:f>
        <x:v>291.2492588822731</x:v>
      </x:c>
      <x:c r="AL177" s="9" t="n">
        <x:f>1000*(AA178-AA176)/(A178-A176)*Inputs!$C$11</x:f>
        <x:v>722.0315105857935</x:v>
      </x:c>
      <x:c r="AM177" s="9" t="n">
        <x:f>-2*AL177/Inputs!$C$13</x:f>
        <x:v>-288.8126042343174</x:v>
      </x:c>
      <x:c r="AN177" s="9" t="n">
        <x:f>-2*AL177/Inputs!$C$14</x:f>
        <x:v>-43.36525589103865</x:v>
      </x:c>
      <x:c r="AO177" s="9" t="n">
        <x:f>ABS(AM177)</x:f>
        <x:v>288.8126042343174</x:v>
      </x:c>
      <x:c r="AP177" s="9" t="n">
        <x:f>ABS(AN177)</x:f>
        <x:v>43.36525589103865</x:v>
      </x:c>
      <x:c r="AQ177" s="9" t="n">
        <x:f>IF(OR(Inputs!$C$27=TRUE,Inputs!$C$27="TRUE",Inputs!$C$27=1),Inputs!$C$46/Inputs!$C$12,0)</x:f>
        <x:v>42.13483146067416</x:v>
      </x:c>
      <x:c r="AR177" s="9" t="n">
        <x:f>AC177-AQ177</x:f>
        <x:v>1008.7240754974066</x:v>
      </x:c>
      <x:c r="AS177" s="9" t="n">
        <x:f>AC177+AQ177</x:f>
        <x:v>1092.993738418755</x:v>
      </x:c>
    </x:row>
    <x:row r="178">
      <x:c r="A178" s="9" t="n">
        <x:f>Inputs!$C$7+176*(Inputs!$C$8-Inputs!$C$7)/240</x:f>
        <x:v>28</x:v>
      </x:c>
      <x:c r="B178" s="9" t="n">
        <x:f>Inputs!$C$5+Inputs!$C$9*(A178/Inputs!$C$10)^2</x:f>
        <x:v>400.87111111111113</x:v>
      </x:c>
      <x:c r="C178" s="9" t="n">
        <x:f>B178</x:f>
        <x:v>400.87111111111113</x:v>
      </x:c>
      <x:c r="D178" s="9" t="n">
        <x:f>SQRT((Inputs!$C$52+B178)^2+Inputs!$C$52^2-2*(Inputs!$C$52+B178)*Inputs!$C$52*COS(SQRT(A178^2+Inputs!$C$6^2)/Inputs!$C$52))</x:f>
        <x:v>403.0737471393965</x:v>
      </x:c>
      <x:c r="E178" s="9" t="n">
        <x:f>(D178-C178)*1000</x:f>
        <x:v>2202.636028285383</x:v>
      </x:c>
      <x:c r="F178" s="9" t="n">
        <x:f>E178/Inputs!$C$12</x:f>
        <x:v>1237.4359709468442</x:v>
      </x:c>
      <x:c r="G178" s="9" t="n">
        <x:f>2*E178/Inputs!$C$21*1000000</x:f>
        <x:v>14.6944058765173</x:v>
      </x:c>
      <x:c r="H178" s="9" t="n">
        <x:f>SQRT(A178^2+Inputs!$C$6^2)</x:f>
        <x:v>37.53664875824692</x:v>
      </x:c>
      <x:c r="I178" s="9" t="n">
        <x:f>DEGREES(ATAN(H178/B178))</x:f>
        <x:v>5.349446707466922</x:v>
      </x:c>
      <x:c r="J178" s="9" t="n">
        <x:f>DEGREES((2*PI()/Inputs!$C$13)*Inputs!$C$15*SIN(RADIANS(I178)))</x:f>
        <x:v>33.56275362207757</x:v>
      </x:c>
      <x:c r="K178" s="9" t="n">
        <x:f>(C178/D178)^4</x:f>
        <x:v>0.9783201267983007</x:v>
      </x:c>
      <x:c r="L178" s="9" t="n">
        <x:f>10*LOG10(K178)</x:f>
        <x:v>-0.0951901172274334</x:v>
      </x:c>
      <x:c r="M178" s="9" t="n">
        <x:f>2*(Inputs!$C$9/(Inputs!$C$10^2))*A178</x:f>
        <x:v>0.06222222222222222</x:v>
      </x:c>
      <x:c r="N178" s="9" t="n">
        <x:f>M178*Inputs!$C$11</x:f>
        <x:v>0.24888888888888888</x:v>
      </x:c>
      <x:c r="O178" s="9" t="n">
        <x:f>1000*(D179-D177)/(A179-A177)*Inputs!$C$11</x:f>
        <x:v>597.00385875135</x:v>
      </x:c>
      <x:c r="P178" s="9" t="n">
        <x:f>-2*O178/Inputs!$C$13</x:f>
        <x:v>-238.80154350054</x:v>
      </x:c>
      <x:c r="Q178" s="9" t="n">
        <x:f>-2*O178/Inputs!$C$14</x:f>
        <x:v>-35.8560876126937</x:v>
      </x:c>
      <x:c r="R178" s="9" t="n">
        <x:f>F178-Inputs!$C$16/2</x:f>
        <x:v>1222.4359709468442</x:v>
      </x:c>
      <x:c r="S178" s="9" t="n">
        <x:f>F178+Inputs!$C$16/2</x:f>
        <x:v>1252.4359709468442</x:v>
      </x:c>
      <x:c r="T178" s="9" t="n">
        <x:f>F178-Inputs!$C$17/2</x:f>
        <x:v>1087.4359709468442</x:v>
      </x:c>
      <x:c r="U178" s="9" t="n">
        <x:f>F178+Inputs!$C$17/2</x:f>
        <x:v>1387.4359709468442</x:v>
      </x:c>
      <x:c r="V178" s="9" t="n">
        <x:f>ABS(P178)</x:f>
        <x:v>238.80154350054</x:v>
      </x:c>
      <x:c r="W178" s="9" t="n">
        <x:f>ABS(Q178)</x:f>
        <x:v>35.8560876126937</x:v>
      </x:c>
      <x:c r="X178" s="9"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x:f>
        <x:v>58.94439177372493</x:v>
      </x:c>
      <x:c r="Y178" s="9"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x:f>
        <x:v>312.18369818898617</x:v>
      </x:c>
      <x:c r="Z178" s="9" t="n">
        <x:f>B178-X178/1000</x:f>
        <x:v>400.8121667193374</x:v>
      </x:c>
      <x:c r="AA178" s="9" t="n">
        <x:f>SQRT((Inputs!$C$52+B178)^2+(Inputs!$C$52+Y178/1000)^2-2*(Inputs!$C$52+B178)*(Inputs!$C$52+Y178/1000)*COS(SQRT(A178^2+Inputs!$C$6^2)/Inputs!$C$52))</x:f>
        <x:v>402.76371041368185</x:v>
      </x:c>
      <x:c r="AB178" s="9" t="n">
        <x:f>(AA178-Z178)*1000</x:f>
        <x:v>1951.5436943444229</x:v>
      </x:c>
      <x:c r="AC178" s="9" t="n">
        <x:f>AB178/Inputs!$C$12</x:f>
        <x:v>1096.3728619912488</x:v>
      </x:c>
      <x:c r="AD178" s="9" t="n">
        <x:f>2*AB178/Inputs!$C$21*1000000</x:f>
        <x:v>13.019298132873129</x:v>
      </x:c>
      <x:c r="AE178" s="9" t="n">
        <x:f>DEGREES(ATAN(H178/(B178-Y178/1000)))</x:f>
        <x:v>5.353591692118461</x:v>
      </x:c>
      <x:c r="AF178" s="9" t="n">
        <x:f>DEGREES((2*PI()/Inputs!$C$13)*Inputs!$C$15*SIN(RADIANS(AE178)))</x:f>
        <x:v>33.58868381041163</x:v>
      </x:c>
      <x:c r="AG178" s="9" t="n">
        <x:f>(Z178/AA178)^4</x:f>
        <x:v>0.9807588871889877</x:v>
      </x:c>
      <x:c r="AH178" s="9" t="n">
        <x:f>10*LOG10(AG178)</x:f>
        <x:v>-0.084377478024033</x:v>
      </x:c>
      <x:c r="AI178" s="9" t="n">
        <x:f>AC178-F178</x:f>
        <x:v>-141.06310895559545</x:v>
      </x:c>
      <x:c r="AJ178" s="9" t="n">
        <x:f>AD178-G178</x:f>
        <x:v>-1.6751077436441708</x:v>
      </x:c>
      <x:c r="AK178" s="9" t="n">
        <x:f>Y178-X178</x:f>
        <x:v>253.23930641526124</x:v>
      </x:c>
      <x:c r="AL178" s="9" t="n">
        <x:f>1000*(AA179-AA177)/(A179-A177)*Inputs!$C$11</x:f>
        <x:v>702.8979268770854</x:v>
      </x:c>
      <x:c r="AM178" s="9" t="n">
        <x:f>-2*AL178/Inputs!$C$13</x:f>
        <x:v>-281.15917075083416</x:v>
      </x:c>
      <x:c r="AN178" s="9" t="n">
        <x:f>-2*AL178/Inputs!$C$14</x:f>
        <x:v>-42.21609170432946</x:v>
      </x:c>
      <x:c r="AO178" s="9" t="n">
        <x:f>ABS(AM178)</x:f>
        <x:v>281.15917075083416</x:v>
      </x:c>
      <x:c r="AP178" s="9" t="n">
        <x:f>ABS(AN178)</x:f>
        <x:v>42.21609170432946</x:v>
      </x:c>
      <x:c r="AQ178" s="9" t="n">
        <x:f>IF(OR(Inputs!$C$27=TRUE,Inputs!$C$27="TRUE",Inputs!$C$27=1),Inputs!$C$46/Inputs!$C$12,0)</x:f>
        <x:v>42.13483146067416</x:v>
      </x:c>
      <x:c r="AR178" s="9" t="n">
        <x:f>AC178-AQ178</x:f>
        <x:v>1054.2380305305746</x:v>
      </x:c>
      <x:c r="AS178" s="9" t="n">
        <x:f>AC178+AQ178</x:f>
        <x:v>1138.507693451923</x:v>
      </x:c>
    </x:row>
    <x:row r="179">
      <x:c r="A179" s="9" t="n">
        <x:f>Inputs!$C$7+177*(Inputs!$C$8-Inputs!$C$7)/240</x:f>
        <x:v>28.5</x:v>
      </x:c>
      <x:c r="B179" s="9" t="n">
        <x:f>Inputs!$C$5+Inputs!$C$9*(A179/Inputs!$C$10)^2</x:f>
        <x:v>400.9025</x:v>
      </x:c>
      <x:c r="C179" s="9" t="n">
        <x:f>B179</x:f>
        <x:v>400.9025</x:v>
      </x:c>
      <x:c r="D179" s="9" t="n">
        <x:f>SQRT((Inputs!$C$52+B179)^2+Inputs!$C$52^2-2*(Inputs!$C$52+B179)*Inputs!$C$52*COS(SQRT(A179^2+Inputs!$C$6^2)/Inputs!$C$52))</x:f>
        <x:v>403.14903386407485</x:v>
      </x:c>
      <x:c r="E179" s="9" t="n">
        <x:f>(D179-C179)*1000</x:f>
        <x:v>2246.533864074877</x:v>
      </x:c>
      <x:c r="F179" s="9" t="n">
        <x:f>E179/Inputs!$C$12</x:f>
        <x:v>1262.09767644656</x:v>
      </x:c>
      <x:c r="G179" s="9" t="n">
        <x:f>2*E179/Inputs!$C$21*1000000</x:f>
        <x:v>14.987260714042893</x:v>
      </x:c>
      <x:c r="H179" s="9" t="n">
        <x:f>SQRT(A179^2+Inputs!$C$6^2)</x:f>
        <x:v>37.911080174534725</x:v>
      </x:c>
      <x:c r="I179" s="9" t="n">
        <x:f>DEGREES(ATAN(H179/B179))</x:f>
        <x:v>5.402073248314196</x:v>
      </x:c>
      <x:c r="J179" s="9" t="n">
        <x:f>DEGREES((2*PI()/Inputs!$C$13)*Inputs!$C$15*SIN(RADIANS(I179)))</x:f>
        <x:v>33.891961563301656</x:v>
      </x:c>
      <x:c r="K179" s="9" t="n">
        <x:f>(C179/D179)^4</x:f>
        <x:v>0.9778957631734654</x:v>
      </x:c>
      <x:c r="L179" s="9" t="n">
        <x:f>10*LOG10(K179)</x:f>
        <x:v>-0.0970743548969278</x:v>
      </x:c>
      <x:c r="M179" s="9" t="n">
        <x:f>2*(Inputs!$C$9/(Inputs!$C$10^2))*A179</x:f>
        <x:v>0.06333333333333334</x:v>
      </x:c>
      <x:c r="N179" s="9" t="n">
        <x:f>M179*Inputs!$C$11</x:f>
        <x:v>0.25333333333333335</x:v>
      </x:c>
      <x:c r="O179" s="9" t="n">
        <x:f>1000*(D180-D178)/(A180-A178)*Inputs!$C$11</x:f>
        <x:v>607.581573135576</x:v>
      </x:c>
      <x:c r="P179" s="9" t="n">
        <x:f>-2*O179/Inputs!$C$13</x:f>
        <x:v>-243.03262925423041</x:v>
      </x:c>
      <x:c r="Q179" s="9" t="n">
        <x:f>-2*O179/Inputs!$C$14</x:f>
        <x:v>-36.491385773908476</x:v>
      </x:c>
      <x:c r="R179" s="9" t="n">
        <x:f>F179-Inputs!$C$16/2</x:f>
        <x:v>1247.09767644656</x:v>
      </x:c>
      <x:c r="S179" s="9" t="n">
        <x:f>F179+Inputs!$C$16/2</x:f>
        <x:v>1277.09767644656</x:v>
      </x:c>
      <x:c r="T179" s="9" t="n">
        <x:f>F179-Inputs!$C$17/2</x:f>
        <x:v>1112.09767644656</x:v>
      </x:c>
      <x:c r="U179" s="9" t="n">
        <x:f>F179+Inputs!$C$17/2</x:f>
        <x:v>1412.09767644656</x:v>
      </x:c>
      <x:c r="V179" s="9" t="n">
        <x:f>ABS(P179)</x:f>
        <x:v>243.03262925423041</x:v>
      </x:c>
      <x:c r="W179" s="9" t="n">
        <x:f>ABS(Q179)</x:f>
        <x:v>36.491385773908476</x:v>
      </x:c>
      <x:c r="X179" s="9"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x:f>
        <x:v>53.72705851492565</x:v>
      </x:c>
      <x:c r="Y179" s="9"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x:f>
        <x:v>310.4659866511931</x:v>
      </x:c>
      <x:c r="Z179" s="9" t="n">
        <x:f>B179-X179/1000</x:f>
        <x:v>400.84877294148504</x:v>
      </x:c>
      <x:c r="AA179" s="9" t="n">
        <x:f>SQRT((Inputs!$C$52+B179)^2+(Inputs!$C$52+Y179/1000)^2-2*(Inputs!$C$52+B179)*(Inputs!$C$52+Y179/1000)*COS(SQRT(A179^2+Inputs!$C$6^2)/Inputs!$C$52))</x:f>
        <x:v>402.8407452325787</x:v>
      </x:c>
      <x:c r="AB179" s="9" t="n">
        <x:f>(AA179-Z179)*1000</x:f>
        <x:v>1991.9722910936457</x:v>
      </x:c>
      <x:c r="AC179" s="9" t="n">
        <x:f>AB179/Inputs!$C$12</x:f>
        <x:v>1119.085556794183</x:v>
      </x:c>
      <x:c r="AD179" s="9" t="n">
        <x:f>2*AB179/Inputs!$C$21*1000000</x:f>
        <x:v>13.28900869876884</x:v>
      </x:c>
      <x:c r="AE179" s="9" t="n">
        <x:f>DEGREES(ATAN(H179/(B179-Y179/1000)))</x:f>
        <x:v>5.40623515541457</x:v>
      </x:c>
      <x:c r="AF179" s="9" t="n">
        <x:f>DEGREES((2*PI()/Inputs!$C$13)*Inputs!$C$15*SIN(RADIANS(AE179)))</x:f>
        <x:v>33.917995363567016</x:v>
      </x:c>
      <x:c r="AG179" s="9" t="n">
        <x:f>(Z179/AA179)^4</x:f>
        <x:v>0.980366970683918</x:v>
      </x:c>
      <x:c r="AH179" s="9" t="n">
        <x:f>10*LOG10(AG179)</x:f>
        <x:v>-0.08611328888085461</x:v>
      </x:c>
      <x:c r="AI179" s="9" t="n">
        <x:f>AC179-F179</x:f>
        <x:v>-143.0121196523769</x:v>
      </x:c>
      <x:c r="AJ179" s="9" t="n">
        <x:f>AD179-G179</x:f>
        <x:v>-1.6982520152740541</x:v>
      </x:c>
      <x:c r="AK179" s="9" t="n">
        <x:f>Y179-X179</x:f>
        <x:v>256.7389281362674</x:v>
      </x:c>
      <x:c r="AL179" s="9" t="n">
        <x:f>1000*(AA180-AA178)/(A180-A178)*Inputs!$C$11</x:f>
        <x:v>719.9246311886327</x:v>
      </x:c>
      <x:c r="AM179" s="9" t="n">
        <x:f>-2*AL179/Inputs!$C$13</x:f>
        <x:v>-287.9698524754531</x:v>
      </x:c>
      <x:c r="AN179" s="9" t="n">
        <x:f>-2*AL179/Inputs!$C$14</x:f>
        <x:v>-43.23871658790587</x:v>
      </x:c>
      <x:c r="AO179" s="9" t="n">
        <x:f>ABS(AM179)</x:f>
        <x:v>287.9698524754531</x:v>
      </x:c>
      <x:c r="AP179" s="9" t="n">
        <x:f>ABS(AN179)</x:f>
        <x:v>43.23871658790587</x:v>
      </x:c>
      <x:c r="AQ179" s="9" t="n">
        <x:f>IF(OR(Inputs!$C$27=TRUE,Inputs!$C$27="TRUE",Inputs!$C$27=1),Inputs!$C$46/Inputs!$C$12,0)</x:f>
        <x:v>42.13483146067416</x:v>
      </x:c>
      <x:c r="AR179" s="9" t="n">
        <x:f>AC179-AQ179</x:f>
        <x:v>1076.950725333509</x:v>
      </x:c>
      <x:c r="AS179" s="9" t="n">
        <x:f>AC179+AQ179</x:f>
        <x:v>1161.2203882548572</x:v>
      </x:c>
    </x:row>
    <x:row r="180">
      <x:c r="A180" s="9" t="n">
        <x:f>Inputs!$C$7+178*(Inputs!$C$8-Inputs!$C$7)/240</x:f>
        <x:v>29</x:v>
      </x:c>
      <x:c r="B180" s="9" t="n">
        <x:f>Inputs!$C$5+Inputs!$C$9*(A180/Inputs!$C$10)^2</x:f>
        <x:v>400.93444444444447</x:v>
      </x:c>
      <x:c r="C180" s="9" t="n">
        <x:f>B180</x:f>
        <x:v>400.93444444444447</x:v>
      </x:c>
      <x:c r="D180" s="9" t="n">
        <x:f>SQRT((Inputs!$C$52+B180)^2+Inputs!$C$52^2-2*(Inputs!$C$52+B180)*Inputs!$C$52*COS(SQRT(A180^2+Inputs!$C$6^2)/Inputs!$C$52))</x:f>
        <x:v>403.2256425326804</x:v>
      </x:c>
      <x:c r="E180" s="9" t="n">
        <x:f>(D180-C180)*1000</x:f>
        <x:v>2291.1980882359444</x:v>
      </x:c>
      <x:c r="F180" s="9" t="n">
        <x:f>E180/Inputs!$C$12</x:f>
        <x:v>1287.1899372112048</x:v>
      </x:c>
      <x:c r="G180" s="9" t="n">
        <x:f>2*E180/Inputs!$C$21*1000000</x:f>
        <x:v>15.285228344443171</x:v>
      </x:c>
      <x:c r="H180" s="9" t="n">
        <x:f>SQRT(A180^2+Inputs!$C$6^2)</x:f>
        <x:v>38.28837943815329</x:v>
      </x:c>
      <x:c r="I180" s="9" t="n">
        <x:f>DEGREES(ATAN(H180/B180))</x:f>
        <x:v>5.455081025841907</x:v>
      </x:c>
      <x:c r="J180" s="9" t="n">
        <x:f>DEGREES((2*PI()/Inputs!$C$13)*Inputs!$C$15*SIN(RADIANS(I180)))</x:f>
        <x:v>34.2235254443067</x:v>
      </x:c>
      <x:c r="K180" s="9" t="n">
        <x:f>(C180/D180)^4</x:f>
        <x:v>0.9774642955027582</x:v>
      </x:c>
      <x:c r="L180" s="9" t="n">
        <x:f>10*LOG10(K180)</x:f>
        <x:v>-0.098990974096728</x:v>
      </x:c>
      <x:c r="M180" s="9" t="n">
        <x:f>2*(Inputs!$C$9/(Inputs!$C$10^2))*A180</x:f>
        <x:v>0.06444444444444444</x:v>
      </x:c>
      <x:c r="N180" s="9" t="n">
        <x:f>M180*Inputs!$C$11</x:f>
        <x:v>0.2577777777777778</x:v>
      </x:c>
      <x:c r="O180" s="9" t="n">
        <x:f>1000*(D181-D179)/(A181-A179)*Inputs!$C$11</x:f>
        <x:v>618.1549253624326</x:v>
      </x:c>
      <x:c r="P180" s="9" t="n">
        <x:f>-2*O180/Inputs!$C$13</x:f>
        <x:v>-247.26197014497302</x:v>
      </x:c>
      <x:c r="Q180" s="9" t="n">
        <x:f>-2*O180/Inputs!$C$14</x:f>
        <x:v>-37.12642194368964</x:v>
      </x:c>
      <x:c r="R180" s="9" t="n">
        <x:f>F180-Inputs!$C$16/2</x:f>
        <x:v>1272.1899372112048</x:v>
      </x:c>
      <x:c r="S180" s="9" t="n">
        <x:f>F180+Inputs!$C$16/2</x:f>
        <x:v>1302.1899372112048</x:v>
      </x:c>
      <x:c r="T180" s="9" t="n">
        <x:f>F180-Inputs!$C$17/2</x:f>
        <x:v>1137.1899372112048</x:v>
      </x:c>
      <x:c r="U180" s="9" t="n">
        <x:f>F180+Inputs!$C$17/2</x:f>
        <x:v>1437.1899372112048</x:v>
      </x:c>
      <x:c r="V180" s="9" t="n">
        <x:f>ABS(P180)</x:f>
        <x:v>247.26197014497302</x:v>
      </x:c>
      <x:c r="W180" s="9" t="n">
        <x:f>ABS(Q180)</x:f>
        <x:v>37.12642194368964</x:v>
      </x:c>
      <x:c r="X180" s="9"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x:f>
        <x:v>29.362157595592716</x:v>
      </x:c>
      <x:c r="Y180" s="9"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x:f>
        <x:v>283.98171018669603</x:v>
      </x:c>
      <x:c r="Z180" s="9" t="n">
        <x:f>B180-X180/1000</x:f>
        <x:v>400.9050822868489</x:v>
      </x:c>
      <x:c r="AA180" s="9" t="n">
        <x:f>SQRT((Inputs!$C$52+B180)^2+(Inputs!$C$52+Y180/1000)^2-2*(Inputs!$C$52+B180)*(Inputs!$C$52+Y180/1000)*COS(SQRT(A180^2+Inputs!$C$6^2)/Inputs!$C$52))</x:f>
        <x:v>402.943691571479</x:v>
      </x:c>
      <x:c r="AB180" s="9" t="n">
        <x:f>(AA180-Z180)*1000</x:f>
        <x:v>2038.6092846301267</x:v>
      </x:c>
      <x:c r="AC180" s="9" t="n">
        <x:f>AB180/Inputs!$C$12</x:f>
        <x:v>1145.2861149607454</x:v>
      </x:c>
      <x:c r="AD180" s="9" t="n">
        <x:f>2*AB180/Inputs!$C$21*1000000</x:f>
        <x:v>13.600137229804004</x:v>
      </x:c>
      <x:c r="AE180" s="9" t="n">
        <x:f>DEGREES(ATAN(H180/(B180-Y180/1000)))</x:f>
        <x:v>5.458924247590091</x:v>
      </x:c>
      <x:c r="AF180" s="9" t="n">
        <x:f>DEGREES((2*PI()/Inputs!$C$13)*Inputs!$C$15*SIN(RADIANS(AE180)))</x:f>
        <x:v>34.24756367772147</x:v>
      </x:c>
      <x:c r="AG180" s="9" t="n">
        <x:f>(Z180/AA180)^4</x:f>
        <x:v>0.9799158982610956</x:v>
      </x:c>
      <x:c r="AH180" s="9" t="n">
        <x:f>10*LOG10(AG180)</x:f>
        <x:v>-0.0881119623450923</x:v>
      </x:c>
      <x:c r="AI180" s="9" t="n">
        <x:f>AC180-F180</x:f>
        <x:v>-141.90382225045937</x:v>
      </x:c>
      <x:c r="AJ180" s="9" t="n">
        <x:f>AD180-G180</x:f>
        <x:v>-1.6850911146391674</x:v>
      </x:c>
      <x:c r="AK180" s="9" t="n">
        <x:f>Y180-X180</x:f>
        <x:v>254.61955259110331</x:v>
      </x:c>
      <x:c r="AL180" s="9" t="n">
        <x:f>1000*(AA181-AA179)/(A181-A179)*Inputs!$C$11</x:f>
        <x:v>804.8964600700401</x:v>
      </x:c>
      <x:c r="AM180" s="9" t="n">
        <x:f>-2*AL180/Inputs!$C$13</x:f>
        <x:v>-321.95858402801605</x:v>
      </x:c>
      <x:c r="AN180" s="9" t="n">
        <x:f>-2*AL180/Inputs!$C$14</x:f>
        <x:v>-48.342129733936346</x:v>
      </x:c>
      <x:c r="AO180" s="9" t="n">
        <x:f>ABS(AM180)</x:f>
        <x:v>321.95858402801605</x:v>
      </x:c>
      <x:c r="AP180" s="9" t="n">
        <x:f>ABS(AN180)</x:f>
        <x:v>48.342129733936346</x:v>
      </x:c>
      <x:c r="AQ180" s="9" t="n">
        <x:f>IF(OR(Inputs!$C$27=TRUE,Inputs!$C$27="TRUE",Inputs!$C$27=1),Inputs!$C$46/Inputs!$C$12,0)</x:f>
        <x:v>42.13483146067416</x:v>
      </x:c>
      <x:c r="AR180" s="9" t="n">
        <x:f>AC180-AQ180</x:f>
        <x:v>1103.1512835000713</x:v>
      </x:c>
      <x:c r="AS180" s="9" t="n">
        <x:f>AC180+AQ180</x:f>
        <x:v>1187.4209464214196</x:v>
      </x:c>
    </x:row>
    <x:row r="181">
      <x:c r="A181" s="9" t="n">
        <x:f>Inputs!$C$7+179*(Inputs!$C$8-Inputs!$C$7)/240</x:f>
        <x:v>29.5</x:v>
      </x:c>
      <x:c r="B181" s="9" t="n">
        <x:f>Inputs!$C$5+Inputs!$C$9*(A181/Inputs!$C$10)^2</x:f>
        <x:v>400.96694444444444</x:v>
      </x:c>
      <x:c r="C181" s="9" t="n">
        <x:f>B181</x:f>
        <x:v>400.96694444444444</x:v>
      </x:c>
      <x:c r="D181" s="9" t="n">
        <x:f>SQRT((Inputs!$C$52+B181)^2+Inputs!$C$52^2-2*(Inputs!$C$52+B181)*Inputs!$C$52*COS(SQRT(A181^2+Inputs!$C$6^2)/Inputs!$C$52))</x:f>
        <x:v>403.30357259541546</x:v>
      </x:c>
      <x:c r="E181" s="9" t="n">
        <x:f>(D181-C181)*1000</x:f>
        <x:v>2336.6281509710234</x:v>
      </x:c>
      <x:c r="F181" s="9" t="n">
        <x:f>E181/Inputs!$C$12</x:f>
        <x:v>1312.7124443657435</x:v>
      </x:c>
      <x:c r="G181" s="9" t="n">
        <x:f>2*E181/Inputs!$C$21*1000000</x:f>
        <x:v>15.58830509986361</x:v>
      </x:c>
      <x:c r="H181" s="9" t="n">
        <x:f>SQRT(A181^2+Inputs!$C$6^2)</x:f>
        <x:v>38.66846260197062</x:v>
      </x:c>
      <x:c r="I181" s="9" t="n">
        <x:f>DEGREES(ATAN(H181/B181))</x:f>
        <x:v>5.508457547244826</x:v>
      </x:c>
      <x:c r="J181" s="9" t="n">
        <x:f>DEGREES((2*PI()/Inputs!$C$13)*Inputs!$C$15*SIN(RADIANS(I181)))</x:f>
        <x:v>34.55736622018927</x:v>
      </x:c>
      <x:c r="K181" s="9" t="n">
        <x:f>(C181/D181)^4</x:f>
        <x:v>0.9770257446408893</x:v>
      </x:c>
      <x:c r="L181" s="9" t="n">
        <x:f>10*LOG10(K181)</x:f>
        <x:v>-0.100939924652914</x:v>
      </x:c>
      <x:c r="M181" s="9" t="n">
        <x:f>2*(Inputs!$C$9/(Inputs!$C$10^2))*A181</x:f>
        <x:v>0.06555555555555556</x:v>
      </x:c>
      <x:c r="N181" s="9" t="n">
        <x:f>M181*Inputs!$C$11</x:f>
        <x:v>0.26222222222222225</x:v>
      </x:c>
      <x:c r="O181" s="9" t="n">
        <x:f>1000*(D182-D180)/(A182-A180)*Inputs!$C$11</x:f>
        <x:v>628.7238430963953</x:v>
      </x:c>
      <x:c r="P181" s="9" t="n">
        <x:f>-2*O181/Inputs!$C$13</x:f>
        <x:v>-251.4895372385581</x:v>
      </x:c>
      <x:c r="Q181" s="9" t="n">
        <x:f>-2*O181/Inputs!$C$14</x:f>
        <x:v>-37.76119177756128</x:v>
      </x:c>
      <x:c r="R181" s="9" t="n">
        <x:f>F181-Inputs!$C$16/2</x:f>
        <x:v>1297.7124443657435</x:v>
      </x:c>
      <x:c r="S181" s="9" t="n">
        <x:f>F181+Inputs!$C$16/2</x:f>
        <x:v>1327.7124443657435</x:v>
      </x:c>
      <x:c r="T181" s="9" t="n">
        <x:f>F181-Inputs!$C$17/2</x:f>
        <x:v>1162.7124443657435</x:v>
      </x:c>
      <x:c r="U181" s="9" t="n">
        <x:f>F181+Inputs!$C$17/2</x:f>
        <x:v>1462.7124443657435</x:v>
      </x:c>
      <x:c r="V181" s="9" t="n">
        <x:f>ABS(P181)</x:f>
        <x:v>251.4895372385581</x:v>
      </x:c>
      <x:c r="W181" s="9" t="n">
        <x:f>ABS(Q181)</x:f>
        <x:v>37.76119177756128</x:v>
      </x:c>
      <x:c r="X181" s="9"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x:f>
        <x:v>20.4458299890095</x:v>
      </x:c>
      <x:c r="Y181" s="9"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x:f>
        <x:v>263.5246591496981</x:v>
      </x:c>
      <x:c r="Z181" s="9" t="n">
        <x:f>B181-X181/1000</x:f>
        <x:v>400.94649861445544</x:v>
      </x:c>
      <x:c r="AA181" s="9" t="n">
        <x:f>SQRT((Inputs!$C$52+B181)^2+(Inputs!$C$52+Y181/1000)^2-2*(Inputs!$C$52+B181)*(Inputs!$C$52+Y181/1000)*COS(SQRT(A181^2+Inputs!$C$6^2)/Inputs!$C$52))</x:f>
        <x:v>403.0419693475962</x:v>
      </x:c>
      <x:c r="AB181" s="9" t="n">
        <x:f>(AA181-Z181)*1000</x:f>
        <x:v>2095.4707331407576</x:v>
      </x:c>
      <x:c r="AC181" s="9" t="n">
        <x:f>AB181/Inputs!$C$12</x:f>
        <x:v>1177.2307489554819</x:v>
      </x:c>
      <x:c r="AD181" s="9" t="n">
        <x:f>2*AB181/Inputs!$C$21*1000000</x:f>
        <x:v>13.979475982286104</x:v>
      </x:c>
      <x:c r="AE181" s="9" t="n">
        <x:f>DEGREES(ATAN(H181/(B181-Y181/1000)))</x:f>
        <x:v>5.512057909053376</x:v>
      </x:c>
      <x:c r="AF181" s="9" t="n">
        <x:f>DEGREES((2*PI()/Inputs!$C$13)*Inputs!$C$15*SIN(RADIANS(AE181)))</x:f>
        <x:v>34.57988342606035</x:v>
      </x:c>
      <x:c r="AG181" s="9" t="n">
        <x:f>(Z181/AA181)^4</x:f>
        <x:v>0.9793650736273108</x:v>
      </x:c>
      <x:c r="AH181" s="9" t="n">
        <x:f>10*LOG10(AG181)</x:f>
        <x:v>-0.0905538796472441</x:v>
      </x:c>
      <x:c r="AI181" s="9" t="n">
        <x:f>AC181-F181</x:f>
        <x:v>-135.48169541026164</x:v>
      </x:c>
      <x:c r="AJ181" s="9" t="n">
        <x:f>AD181-G181</x:f>
        <x:v>-1.608829117577507</x:v>
      </x:c>
      <x:c r="AK181" s="9" t="n">
        <x:f>Y181-X181</x:f>
        <x:v>243.0788291606886</x:v>
      </x:c>
      <x:c r="AL181" s="9" t="n">
        <x:f>1000*(AA182-AA180)/(A182-A180)*Inputs!$C$11</x:f>
        <x:v>730.6867699612667</x:v>
      </x:c>
      <x:c r="AM181" s="9" t="n">
        <x:f>-2*AL181/Inputs!$C$13</x:f>
        <x:v>-292.2747079845067</x:v>
      </x:c>
      <x:c r="AN181" s="9" t="n">
        <x:f>-2*AL181/Inputs!$C$14</x:f>
        <x:v>-43.88509128896497</x:v>
      </x:c>
      <x:c r="AO181" s="9" t="n">
        <x:f>ABS(AM181)</x:f>
        <x:v>292.2747079845067</x:v>
      </x:c>
      <x:c r="AP181" s="9" t="n">
        <x:f>ABS(AN181)</x:f>
        <x:v>43.88509128896497</x:v>
      </x:c>
      <x:c r="AQ181" s="9" t="n">
        <x:f>IF(OR(Inputs!$C$27=TRUE,Inputs!$C$27="TRUE",Inputs!$C$27=1),Inputs!$C$46/Inputs!$C$12,0)</x:f>
        <x:v>42.13483146067416</x:v>
      </x:c>
      <x:c r="AR181" s="9" t="n">
        <x:f>AC181-AQ181</x:f>
        <x:v>1135.0959174948077</x:v>
      </x:c>
      <x:c r="AS181" s="9" t="n">
        <x:f>AC181+AQ181</x:f>
        <x:v>1219.365580416156</x:v>
      </x:c>
    </x:row>
    <x:row r="182">
      <x:c r="A182" s="9" t="n">
        <x:f>Inputs!$C$7+180*(Inputs!$C$8-Inputs!$C$7)/240</x:f>
        <x:v>30</x:v>
      </x:c>
      <x:c r="B182" s="9" t="n">
        <x:f>Inputs!$C$5+Inputs!$C$9*(A182/Inputs!$C$10)^2</x:f>
        <x:v>401</x:v>
      </x:c>
      <x:c r="C182" s="9" t="n">
        <x:f>B182</x:f>
        <x:v>401</x:v>
      </x:c>
      <x:c r="D182" s="9" t="n">
        <x:f>SQRT((Inputs!$C$52+B182)^2+Inputs!$C$52^2-2*(Inputs!$C$52+B182)*Inputs!$C$52*COS(SQRT(A182^2+Inputs!$C$6^2)/Inputs!$C$52))</x:f>
        <x:v>403.3828234934545</x:v>
      </x:c>
      <x:c r="E182" s="9" t="n">
        <x:f>(D182-C182)*1000</x:f>
        <x:v>2382.8234934545094</x:v>
      </x:c>
      <x:c r="F182" s="9" t="n">
        <x:f>E182/Inputs!$C$12</x:f>
        <x:v>1338.6648839632076</x:v>
      </x:c>
      <x:c r="G182" s="9" t="n">
        <x:f>2*E182/Inputs!$C$21*1000000</x:f>
        <x:v>15.896487252221066</x:v>
      </x:c>
      <x:c r="H182" s="9" t="n">
        <x:f>SQRT(A182^2+Inputs!$C$6^2)</x:f>
        <x:v>39.05124837953327</x:v>
      </x:c>
      <x:c r="I182" s="9" t="n">
        <x:f>DEGREES(ATAN(H182/B182))</x:f>
        <x:v>5.562190700603825</x:v>
      </x:c>
      <x:c r="J182" s="9" t="n">
        <x:f>DEGREES((2*PI()/Inputs!$C$13)*Inputs!$C$15*SIN(RADIANS(I182)))</x:f>
        <x:v>34.893407239514076</x:v>
      </x:c>
      <x:c r="K182" s="9" t="n">
        <x:f>(C182/D182)^4</x:f>
        <x:v>0.9765801317578781</x:v>
      </x:c>
      <x:c r="L182" s="9" t="n">
        <x:f>10*LOG10(K182)</x:f>
        <x:v>-0.10292115558440401</x:v>
      </x:c>
      <x:c r="M182" s="9" t="n">
        <x:f>2*(Inputs!$C$9/(Inputs!$C$10^2))*A182</x:f>
        <x:v>0.06666666666666667</x:v>
      </x:c>
      <x:c r="N182" s="9" t="n">
        <x:f>M182*Inputs!$C$11</x:f>
        <x:v>0.26666666666666666</x:v>
      </x:c>
      <x:c r="O182" s="9" t="n">
        <x:f>1000*(D183-D181)/(A183-A181)*Inputs!$C$11</x:f>
        <x:v>639.2882542627376</x:v>
      </x:c>
      <x:c r="P182" s="9" t="n">
        <x:f>-2*O182/Inputs!$C$13</x:f>
        <x:v>-255.71530170509504</x:v>
      </x:c>
      <x:c r="Q182" s="9" t="n">
        <x:f>-2*O182/Inputs!$C$14</x:f>
        <x:v>-38.39569094671097</x:v>
      </x:c>
      <x:c r="R182" s="9" t="n">
        <x:f>F182-Inputs!$C$16/2</x:f>
        <x:v>1323.6648839632076</x:v>
      </x:c>
      <x:c r="S182" s="9" t="n">
        <x:f>F182+Inputs!$C$16/2</x:f>
        <x:v>1353.6648839632076</x:v>
      </x:c>
      <x:c r="T182" s="9" t="n">
        <x:f>F182-Inputs!$C$17/2</x:f>
        <x:v>1188.6648839632076</x:v>
      </x:c>
      <x:c r="U182" s="9" t="n">
        <x:f>F182+Inputs!$C$17/2</x:f>
        <x:v>1488.6648839632076</x:v>
      </x:c>
      <x:c r="V182" s="9" t="n">
        <x:f>ABS(P182)</x:f>
        <x:v>255.71530170509504</x:v>
      </x:c>
      <x:c r="W182" s="9" t="n">
        <x:f>ABS(Q182)</x:f>
        <x:v>38.39569094671097</x:v>
      </x:c>
      <x:c r="X182" s="9"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x:f>
        <x:v>11.879118514207924</x:v>
      </x:c>
      <x:c r="Y182" s="9"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x:f>
        <x:v>258.3810354027646</x:v>
      </x:c>
      <x:c r="Z182" s="9" t="n">
        <x:f>B182-X182/1000</x:f>
        <x:v>400.98812088148577</x:v>
      </x:c>
      <x:c r="AA182" s="9" t="n">
        <x:f>SQRT((Inputs!$C$52+B182)^2+(Inputs!$C$52+Y182/1000)^2-2*(Inputs!$C$52+B182)*(Inputs!$C$52+Y182/1000)*COS(SQRT(A182^2+Inputs!$C$6^2)/Inputs!$C$52))</x:f>
        <x:v>403.1263632639693</x:v>
      </x:c>
      <x:c r="AB182" s="9" t="n">
        <x:f>(AA182-Z182)*1000</x:f>
        <x:v>2138.242382483554</x:v>
      </x:c>
      <x:c r="AC182" s="9" t="n">
        <x:f>AB182/Inputs!$C$12</x:f>
        <x:v>1201.2597654401989</x:v>
      </x:c>
      <x:c r="AD182" s="9" t="n">
        <x:f>2*AB182/Inputs!$C$21*1000000</x:f>
        <x:v>14.264817712549354</x:v>
      </x:c>
      <x:c r="AE182" s="9" t="n">
        <x:f>DEGREES(ATAN(H182/(B182-Y182/1000)))</x:f>
        <x:v>5.565754451951442</x:v>
      </x:c>
      <x:c r="AF182" s="9" t="n">
        <x:f>DEGREES((2*PI()/Inputs!$C$13)*Inputs!$C$15*SIN(RADIANS(AE182)))</x:f>
        <x:v>34.91569345248656</x:v>
      </x:c>
      <x:c r="AG182" s="9" t="n">
        <x:f>(Z182/AA182)^4</x:f>
        <x:v>0.978951611024687</x:v>
      </x:c>
      <x:c r="AH182" s="9" t="n">
        <x:f>10*LOG10(AG182)</x:f>
        <x:v>-0.0923877457514175</x:v>
      </x:c>
      <x:c r="AI182" s="9" t="n">
        <x:f>AC182-F182</x:f>
        <x:v>-137.4051185230087</x:v>
      </x:c>
      <x:c r="AJ182" s="9" t="n">
        <x:f>AD182-G182</x:f>
        <x:v>-1.6316695396717122</x:v>
      </x:c>
      <x:c r="AK182" s="9" t="n">
        <x:f>Y182-X182</x:f>
        <x:v>246.50191688855668</x:v>
      </x:c>
      <x:c r="AL182" s="9" t="n">
        <x:f>1000*(AA183-AA181)/(A183-A181)*Inputs!$C$11</x:f>
        <x:v>733.0319858403982</x:v>
      </x:c>
      <x:c r="AM182" s="9" t="n">
        <x:f>-2*AL182/Inputs!$C$13</x:f>
        <x:v>-293.2127943361593</x:v>
      </x:c>
      <x:c r="AN182" s="9" t="n">
        <x:f>-2*AL182/Inputs!$C$14</x:f>
        <x:v>-44.02594509551942</x:v>
      </x:c>
      <x:c r="AO182" s="9" t="n">
        <x:f>ABS(AM182)</x:f>
        <x:v>293.2127943361593</x:v>
      </x:c>
      <x:c r="AP182" s="9" t="n">
        <x:f>ABS(AN182)</x:f>
        <x:v>44.02594509551942</x:v>
      </x:c>
      <x:c r="AQ182" s="9" t="n">
        <x:f>IF(OR(Inputs!$C$27=TRUE,Inputs!$C$27="TRUE",Inputs!$C$27=1),Inputs!$C$46/Inputs!$C$12,0)</x:f>
        <x:v>42.13483146067416</x:v>
      </x:c>
      <x:c r="AR182" s="9" t="n">
        <x:f>AC182-AQ182</x:f>
        <x:v>1159.1249339795247</x:v>
      </x:c>
      <x:c r="AS182" s="9" t="n">
        <x:f>AC182+AQ182</x:f>
        <x:v>1243.394596900873</x:v>
      </x:c>
    </x:row>
    <x:row r="183">
      <x:c r="A183" s="9" t="n">
        <x:f>Inputs!$C$7+181*(Inputs!$C$8-Inputs!$C$7)/240</x:f>
        <x:v>30.5</x:v>
      </x:c>
      <x:c r="B183" s="9" t="n">
        <x:f>Inputs!$C$5+Inputs!$C$9*(A183/Inputs!$C$10)^2</x:f>
        <x:v>401.0336111111111</x:v>
      </x:c>
      <x:c r="C183" s="9" t="n">
        <x:f>B183</x:f>
        <x:v>401.0336111111111</x:v>
      </x:c>
      <x:c r="D183" s="9" t="n">
        <x:f>SQRT((Inputs!$C$52+B183)^2+Inputs!$C$52^2-2*(Inputs!$C$52+B183)*Inputs!$C$52*COS(SQRT(A183^2+Inputs!$C$6^2)/Inputs!$C$52))</x:f>
        <x:v>403.46339465898114</x:v>
      </x:c>
      <x:c r="E183" s="9" t="n">
        <x:f>(D183-C183)*1000</x:f>
        <x:v>2429.783547870045</x:v>
      </x:c>
      <x:c r="F183" s="9" t="n">
        <x:f>E183/Inputs!$C$12</x:f>
        <x:v>1365.0469370056433</x:v>
      </x:c>
      <x:c r="G183" s="9" t="n">
        <x:f>2*E183/Inputs!$C$21*1000000</x:f>
        <x:v>16.209771013452546</x:v>
      </x:c>
      <x:c r="H183" s="9" t="n">
        <x:f>SQRT(A183^2+Inputs!$C$6^2)</x:f>
        <x:v>39.436658073421995</x:v>
      </x:c>
      <x:c r="I183" s="9" t="n">
        <x:f>DEGREES(ATAN(H183/B183))</x:f>
        <x:v>5.616268744710343</x:v>
      </x:c>
      <x:c r="J183" s="9" t="n">
        <x:f>DEGREES((2*PI()/Inputs!$C$13)*Inputs!$C$15*SIN(RADIANS(I183)))</x:f>
        <x:v>35.23157418054016</x:v>
      </x:c>
      <x:c r="K183" s="9" t="n">
        <x:f>(C183/D183)^4</x:f>
        <x:v>0.9761274783366204</x:v>
      </x:c>
      <x:c r="L183" s="9" t="n">
        <x:f>10*LOG10(K183)</x:f>
        <x:v>-0.104934615106677</x:v>
      </x:c>
      <x:c r="M183" s="9" t="n">
        <x:f>2*(Inputs!$C$9/(Inputs!$C$10^2))*A183</x:f>
        <x:v>0.06777777777777778</x:v>
      </x:c>
      <x:c r="N183" s="9" t="n">
        <x:f>M183*Inputs!$C$11</x:f>
        <x:v>0.27111111111111114</x:v>
      </x:c>
      <x:c r="O183" s="9" t="n">
        <x:f>1000*(D184-D182)/(A184-A182)*Inputs!$C$11</x:f>
        <x:v>649.8480869720424</x:v>
      </x:c>
      <x:c r="P183" s="9" t="n">
        <x:f>-2*O183/Inputs!$C$13</x:f>
        <x:v>-259.939234788817</x:v>
      </x:c>
      <x:c r="Q183" s="9" t="n">
        <x:f>-2*O183/Inputs!$C$14</x:f>
        <x:v>-39.02991513345601</x:v>
      </x:c>
      <x:c r="R183" s="9" t="n">
        <x:f>F183-Inputs!$C$16/2</x:f>
        <x:v>1350.0469370056433</x:v>
      </x:c>
      <x:c r="S183" s="9" t="n">
        <x:f>F183+Inputs!$C$16/2</x:f>
        <x:v>1380.0469370056433</x:v>
      </x:c>
      <x:c r="T183" s="9" t="n">
        <x:f>F183-Inputs!$C$17/2</x:f>
        <x:v>1215.0469370056433</x:v>
      </x:c>
      <x:c r="U183" s="9" t="n">
        <x:f>F183+Inputs!$C$17/2</x:f>
        <x:v>1515.0469370056433</x:v>
      </x:c>
      <x:c r="V183" s="9" t="n">
        <x:f>ABS(P183)</x:f>
        <x:v>259.939234788817</x:v>
      </x:c>
      <x:c r="W183" s="9" t="n">
        <x:f>ABS(Q183)</x:f>
        <x:v>39.02991513345601</x:v>
      </x:c>
      <x:c r="X183" s="9"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x:f>
        <x:v>4.284803604386864</x:v>
      </x:c>
      <x:c r="Y183" s="9"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x:f>
        <x:v>239.98613946224492</x:v>
      </x:c>
      <x:c r="Z183" s="9" t="n">
        <x:f>B183-X183/1000</x:f>
        <x:v>401.0293263075067</x:v>
      </x:c>
      <x:c r="AA183" s="9" t="n">
        <x:f>SQRT((Inputs!$C$52+B183)^2+(Inputs!$C$52+Y183/1000)^2-2*(Inputs!$C$52+B183)*(Inputs!$C$52+Y183/1000)*COS(SQRT(A183^2+Inputs!$C$6^2)/Inputs!$C$52))</x:f>
        <x:v>403.2252273440563</x:v>
      </x:c>
      <x:c r="AB183" s="9" t="n">
        <x:f>(AA183-Z183)*1000</x:f>
        <x:v>2195.9010365495715</x:v>
      </x:c>
      <x:c r="AC183" s="9" t="n">
        <x:f>AB183/Inputs!$C$12</x:f>
        <x:v>1233.6522677244784</x:v>
      </x:c>
      <x:c r="AD183" s="9" t="n">
        <x:f>2*AB183/Inputs!$C$21*1000000</x:f>
        <x:v>14.64947484802684</x:v>
      </x:c>
      <x:c r="AE183" s="9" t="n">
        <x:f>DEGREES(ATAN(H183/(B183-Y183/1000)))</x:f>
        <x:v>5.6196101200168185</x:v>
      </x:c>
      <x:c r="AF183" s="9" t="n">
        <x:f>DEGREES((2*PI()/Inputs!$C$13)*Inputs!$C$15*SIN(RADIANS(AE183)))</x:f>
        <x:v>35.252467820034624</x:v>
      </x:c>
      <x:c r="AG183" s="9" t="n">
        <x:f>(Z183/AA183)^4</x:f>
        <x:v>0.9783939284744009</x:v>
      </x:c>
      <x:c r="AH183" s="9" t="n">
        <x:f>10*LOG10(AG183)</x:f>
        <x:v>-0.09486251023126199</x:v>
      </x:c>
      <x:c r="AI183" s="9" t="n">
        <x:f>AC183-F183</x:f>
        <x:v>-131.39466928116485</x:v>
      </x:c>
      <x:c r="AJ183" s="9" t="n">
        <x:f>AD183-G183</x:f>
        <x:v>-1.5602961654257061</x:v>
      </x:c>
      <x:c r="AK183" s="9" t="n">
        <x:f>Y183-X183</x:f>
        <x:v>235.70133585785806</x:v>
      </x:c>
      <x:c r="AL183" s="9" t="n">
        <x:f>1000*(AA184-AA182)/(A184-A182)*Inputs!$C$11</x:f>
        <x:v>724.7712768219117</x:v>
      </x:c>
      <x:c r="AM183" s="9" t="n">
        <x:f>-2*AL183/Inputs!$C$13</x:f>
        <x:v>-289.90851072876467</x:v>
      </x:c>
      <x:c r="AN183" s="9" t="n">
        <x:f>-2*AL183/Inputs!$C$14</x:f>
        <x:v>-43.529806415730434</x:v>
      </x:c>
      <x:c r="AO183" s="9" t="n">
        <x:f>ABS(AM183)</x:f>
        <x:v>289.90851072876467</x:v>
      </x:c>
      <x:c r="AP183" s="9" t="n">
        <x:f>ABS(AN183)</x:f>
        <x:v>43.529806415730434</x:v>
      </x:c>
      <x:c r="AQ183" s="9" t="n">
        <x:f>IF(OR(Inputs!$C$27=TRUE,Inputs!$C$27="TRUE",Inputs!$C$27=1),Inputs!$C$46/Inputs!$C$12,0)</x:f>
        <x:v>42.13483146067416</x:v>
      </x:c>
      <x:c r="AR183" s="9" t="n">
        <x:f>AC183-AQ183</x:f>
        <x:v>1191.5174362638043</x:v>
      </x:c>
      <x:c r="AS183" s="9" t="n">
        <x:f>AC183+AQ183</x:f>
        <x:v>1275.7870991851526</x:v>
      </x:c>
    </x:row>
    <x:row r="184">
      <x:c r="A184" s="9" t="n">
        <x:f>Inputs!$C$7+182*(Inputs!$C$8-Inputs!$C$7)/240</x:f>
        <x:v>31</x:v>
      </x:c>
      <x:c r="B184" s="9" t="n">
        <x:f>Inputs!$C$5+Inputs!$C$9*(A184/Inputs!$C$10)^2</x:f>
        <x:v>401.0677777777778</x:v>
      </x:c>
      <x:c r="C184" s="9" t="n">
        <x:f>B184</x:f>
        <x:v>401.0677777777778</x:v>
      </x:c>
      <x:c r="D184" s="9" t="n">
        <x:f>SQRT((Inputs!$C$52+B184)^2+Inputs!$C$52^2-2*(Inputs!$C$52+B184)*Inputs!$C$52*COS(SQRT(A184^2+Inputs!$C$6^2)/Inputs!$C$52))</x:f>
        <x:v>403.5452855151975</x:v>
      </x:c>
      <x:c r="E184" s="9" t="n">
        <x:f>(D184-C184)*1000</x:f>
        <x:v>2477.507737419728</x:v>
      </x:c>
      <x:c r="F184" s="9" t="n">
        <x:f>E184/Inputs!$C$12</x:f>
        <x:v>1391.8582794492854</x:v>
      </x:c>
      <x:c r="G184" s="9" t="n">
        <x:f>2*E184/Inputs!$C$21*1000000</x:f>
        <x:v>16.52815253557665</x:v>
      </x:c>
      <x:c r="H184" s="9" t="n">
        <x:f>SQRT(A184^2+Inputs!$C$6^2)</x:f>
        <x:v>39.824615503479755</x:v>
      </x:c>
      <x:c r="I184" s="9" t="n">
        <x:f>DEGREES(ATAN(H184/B184))</x:f>
        <x:v>5.670680298867937</x:v>
      </x:c>
      <x:c r="J184" s="9" t="n">
        <x:f>DEGREES((2*PI()/Inputs!$C$13)*Inputs!$C$15*SIN(RADIANS(I184)))</x:f>
        <x:v>35.57179498729654</x:v>
      </x:c>
      <x:c r="K184" s="9" t="n">
        <x:f>(C184/D184)^4</x:f>
        <x:v>0.9756678061706995</x:v>
      </x:c>
      <x:c r="L184" s="9" t="n">
        <x:f>10*LOG10(K184)</x:f>
        <x:v>-0.106980250634333</x:v>
      </x:c>
      <x:c r="M184" s="9" t="n">
        <x:f>2*(Inputs!$C$9/(Inputs!$C$10^2))*A184</x:f>
        <x:v>0.06888888888888889</x:v>
      </x:c>
      <x:c r="N184" s="9" t="n">
        <x:f>M184*Inputs!$C$11</x:f>
        <x:v>0.27555555555555555</x:v>
      </x:c>
      <x:c r="O184" s="9" t="n">
        <x:f>1000*(D185-D183)/(A185-A183)*Inputs!$C$11</x:f>
        <x:v>660.4032695415754</x:v>
      </x:c>
      <x:c r="P184" s="9" t="n">
        <x:f>-2*O184/Inputs!$C$13</x:f>
        <x:v>-264.16130781663014</x:v>
      </x:c>
      <x:c r="Q184" s="9" t="n">
        <x:f>-2*O184/Inputs!$C$14</x:f>
        <x:v>-39.663860032527054</x:v>
      </x:c>
      <x:c r="R184" s="9" t="n">
        <x:f>F184-Inputs!$C$16/2</x:f>
        <x:v>1376.8582794492854</x:v>
      </x:c>
      <x:c r="S184" s="9" t="n">
        <x:f>F184+Inputs!$C$16/2</x:f>
        <x:v>1406.8582794492854</x:v>
      </x:c>
      <x:c r="T184" s="9" t="n">
        <x:f>F184-Inputs!$C$17/2</x:f>
        <x:v>1241.8582794492854</x:v>
      </x:c>
      <x:c r="U184" s="9" t="n">
        <x:f>F184+Inputs!$C$17/2</x:f>
        <x:v>1541.8582794492854</x:v>
      </x:c>
      <x:c r="V184" s="9" t="n">
        <x:f>ABS(P184)</x:f>
        <x:v>264.16130781663014</x:v>
      </x:c>
      <x:c r="W184" s="9" t="n">
        <x:f>ABS(Q184)</x:f>
        <x:v>39.663860032527054</x:v>
      </x:c>
      <x:c r="X184" s="9"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x:f>
        <x:v>18.692329061381155</x:v>
      </x:c>
      <x:c r="Y184" s="9"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x:f>
        <x:v>239.58052305996605</x:v>
      </x:c>
      <x:c r="Z184" s="9" t="n">
        <x:f>B184-X184/1000</x:f>
        <x:v>401.0490854487164</x:v>
      </x:c>
      <x:c r="AA184" s="9" t="n">
        <x:f>SQRT((Inputs!$C$52+B184)^2+(Inputs!$C$52+Y184/1000)^2-2*(Inputs!$C$52+B184)*(Inputs!$C$52+Y184/1000)*COS(SQRT(A184^2+Inputs!$C$6^2)/Inputs!$C$52))</x:f>
        <x:v>403.3075560831748</x:v>
      </x:c>
      <x:c r="AB184" s="9" t="n">
        <x:f>(AA184-Z184)*1000</x:f>
        <x:v>2258.4706344583765</x:v>
      </x:c>
      <x:c r="AC184" s="9" t="n">
        <x:f>AB184/Inputs!$C$12</x:f>
        <x:v>1268.803727223807</x:v>
      </x:c>
      <x:c r="AD184" s="9" t="n">
        <x:f>2*AB184/Inputs!$C$21*1000000</x:f>
        <x:v>15.066894274294095</x:v>
      </x:c>
      <x:c r="AE184" s="9" t="n">
        <x:f>DEGREES(ATAN(H184/(B184-Y184/1000)))</x:f>
        <x:v>5.674047631978591</x:v>
      </x:c>
      <x:c r="AF184" s="9" t="n">
        <x:f>DEGREES((2*PI()/Inputs!$C$13)*Inputs!$C$15*SIN(RADIANS(AE184)))</x:f>
        <x:v>35.592848964178</x:v>
      </x:c>
      <x:c r="AG184" s="9" t="n">
        <x:f>(Z184/AA184)^4</x:f>
        <x:v>0.9777879625144974</x:v>
      </x:c>
      <x:c r="AH184" s="9" t="n">
        <x:f>10*LOG10(AG184)</x:f>
        <x:v>-0.09755313611055459</x:v>
      </x:c>
      <x:c r="AI184" s="9" t="n">
        <x:f>AC184-F184</x:f>
        <x:v>-123.05455222547835</x:v>
      </x:c>
      <x:c r="AJ184" s="9" t="n">
        <x:f>AD184-G184</x:f>
        <x:v>-1.4612582612825538</x:v>
      </x:c>
      <x:c r="AK184" s="9" t="n">
        <x:f>Y184-X184</x:f>
        <x:v>220.8881939985849</x:v>
      </x:c>
      <x:c r="AL184" s="9" t="n">
        <x:f>1000*(AA185-AA183)/(A185-A183)*Inputs!$C$11</x:f>
        <x:v>753.6485797002115</x:v>
      </x:c>
      <x:c r="AM184" s="9" t="n">
        <x:f>-2*AL184/Inputs!$C$13</x:f>
        <x:v>-301.4594318800846</x:v>
      </x:c>
      <x:c r="AN184" s="9" t="n">
        <x:f>-2*AL184/Inputs!$C$14</x:f>
        <x:v>-45.264178960973666</x:v>
      </x:c>
      <x:c r="AO184" s="9" t="n">
        <x:f>ABS(AM184)</x:f>
        <x:v>301.4594318800846</x:v>
      </x:c>
      <x:c r="AP184" s="9" t="n">
        <x:f>ABS(AN184)</x:f>
        <x:v>45.264178960973666</x:v>
      </x:c>
      <x:c r="AQ184" s="9" t="n">
        <x:f>IF(OR(Inputs!$C$27=TRUE,Inputs!$C$27="TRUE",Inputs!$C$27=1),Inputs!$C$46/Inputs!$C$12,0)</x:f>
        <x:v>42.13483146067416</x:v>
      </x:c>
      <x:c r="AR184" s="9" t="n">
        <x:f>AC184-AQ184</x:f>
        <x:v>1226.668895763133</x:v>
      </x:c>
      <x:c r="AS184" s="9" t="n">
        <x:f>AC184+AQ184</x:f>
        <x:v>1310.9385586844812</x:v>
      </x:c>
    </x:row>
    <x:row r="185">
      <x:c r="A185" s="9" t="n">
        <x:f>Inputs!$C$7+183*(Inputs!$C$8-Inputs!$C$7)/240</x:f>
        <x:v>31.5</x:v>
      </x:c>
      <x:c r="B185" s="9" t="n">
        <x:f>Inputs!$C$5+Inputs!$C$9*(A185/Inputs!$C$10)^2</x:f>
        <x:v>401.1025</x:v>
      </x:c>
      <x:c r="C185" s="9" t="n">
        <x:f>B185</x:f>
        <x:v>401.1025</x:v>
      </x:c>
      <x:c r="D185" s="9" t="n">
        <x:f>SQRT((Inputs!$C$52+B185)^2+Inputs!$C$52^2-2*(Inputs!$C$52+B185)*Inputs!$C$52*COS(SQRT(A185^2+Inputs!$C$6^2)/Inputs!$C$52))</x:f>
        <x:v>403.62849547636654</x:v>
      </x:c>
      <x:c r="E185" s="9" t="n">
        <x:f>(D185-C185)*1000</x:f>
        <x:v>2525.995476366518</x:v>
      </x:c>
      <x:c r="F185" s="9" t="n">
        <x:f>E185/Inputs!$C$12</x:f>
        <x:v>1419.0985822283808</x:v>
      </x:c>
      <x:c r="G185" s="9" t="n">
        <x:f>2*E185/Inputs!$C$21*1000000</x:f>
        <x:v>16.85162791097645</x:v>
      </x:c>
      <x:c r="H185" s="9" t="n">
        <x:f>SQRT(A185^2+Inputs!$C$6^2)</x:f>
        <x:v>40.21504693519579</x:v>
      </x:c>
      <x:c r="I185" s="9" t="n">
        <x:f>DEGREES(ATAN(H185/B185))</x:f>
        <x:v>5.725414332711808</x:v>
      </x:c>
      <x:c r="J185" s="9" t="n">
        <x:f>DEGREES((2*PI()/Inputs!$C$13)*Inputs!$C$15*SIN(RADIANS(I185)))</x:f>
        <x:v>35.91399980576492</x:v>
      </x:c>
      <x:c r="K185" s="9" t="n">
        <x:f>(C185/D185)^4</x:f>
        <x:v>0.9752011373618527</x:v>
      </x:c>
      <x:c r="L185" s="9" t="n">
        <x:f>10*LOG10(K185)</x:f>
        <x:v>-0.109058008785091</x:v>
      </x:c>
      <x:c r="M185" s="9" t="n">
        <x:f>2*(Inputs!$C$9/(Inputs!$C$10^2))*A185</x:f>
        <x:v>0.07</x:v>
      </x:c>
      <x:c r="N185" s="9" t="n">
        <x:f>M185*Inputs!$C$11</x:f>
        <x:v>0.28</x:v>
      </x:c>
      <x:c r="O185" s="9" t="n">
        <x:f>1000*(D186-D184)/(A186-A184)*Inputs!$C$11</x:f>
        <x:v>670.9537305550839</x:v>
      </x:c>
      <x:c r="P185" s="9" t="n">
        <x:f>-2*O185/Inputs!$C$13</x:f>
        <x:v>-268.38149222203356</x:v>
      </x:c>
      <x:c r="Q185" s="9" t="n">
        <x:f>-2*O185/Inputs!$C$14</x:f>
        <x:v>-40.29752135465969</x:v>
      </x:c>
      <x:c r="R185" s="9" t="n">
        <x:f>F185-Inputs!$C$16/2</x:f>
        <x:v>1404.0985822283808</x:v>
      </x:c>
      <x:c r="S185" s="9" t="n">
        <x:f>F185+Inputs!$C$16/2</x:f>
        <x:v>1434.0985822283808</x:v>
      </x:c>
      <x:c r="T185" s="9" t="n">
        <x:f>F185-Inputs!$C$17/2</x:f>
        <x:v>1269.0985822283808</x:v>
      </x:c>
      <x:c r="U185" s="9" t="n">
        <x:f>F185+Inputs!$C$17/2</x:f>
        <x:v>1569.0985822283808</x:v>
      </x:c>
      <x:c r="V185" s="9" t="n">
        <x:f>ABS(P185)</x:f>
        <x:v>268.38149222203356</x:v>
      </x:c>
      <x:c r="W185" s="9" t="n">
        <x:f>ABS(Q185)</x:f>
        <x:v>40.29752135465969</x:v>
      </x:c>
      <x:c r="X185" s="9"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x:f>
        <x:v>18.579807279306877</x:v>
      </x:c>
      <x:c r="Y185" s="9"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x:f>
        <x:v>216.56157473369862</x:v>
      </x:c>
      <x:c r="Z185" s="9" t="n">
        <x:f>B185-X185/1000</x:f>
        <x:v>401.0839201927207</x:v>
      </x:c>
      <x:c r="AA185" s="9" t="n">
        <x:f>SQRT((Inputs!$C$52+B185)^2+(Inputs!$C$52+Y185/1000)^2-2*(Inputs!$C$52+B185)*(Inputs!$C$52+Y185/1000)*COS(SQRT(A185^2+Inputs!$C$6^2)/Inputs!$C$52))</x:f>
        <x:v>403.41363948898135</x:v>
      </x:c>
      <x:c r="AB185" s="9" t="n">
        <x:f>(AA185-Z185)*1000</x:f>
        <x:v>2329.7192962606346</x:v>
      </x:c>
      <x:c r="AC185" s="9" t="n">
        <x:f>AB185/Inputs!$C$12</x:f>
        <x:v>1308.8310653149633</x:v>
      </x:c>
      <x:c r="AD185" s="9" t="n">
        <x:f>2*AB185/Inputs!$C$21*1000000</x:f>
        <x:v>15.542214182457084</x:v>
      </x:c>
      <x:c r="AE185" s="9" t="n">
        <x:f>DEGREES(ATAN(H185/(B185-Y185/1000)))</x:f>
        <x:v>5.728486679354458</x:v>
      </x:c>
      <x:c r="AF185" s="9" t="n">
        <x:f>DEGREES((2*PI()/Inputs!$C$13)*Inputs!$C$15*SIN(RADIANS(AE185)))</x:f>
        <x:v>35.93320757719325</x:v>
      </x:c>
      <x:c r="AG185" s="9" t="n">
        <x:f>(Z185/AA185)^4</x:f>
        <x:v>0.9770992805926856</x:v>
      </x:c>
      <x:c r="AH185" s="9" t="n">
        <x:f>10*LOG10(AG185)</x:f>
        <x:v>-0.100613064726458</x:v>
      </x:c>
      <x:c r="AI185" s="9" t="n">
        <x:f>AC185-F185</x:f>
        <x:v>-110.26751691341747</x:v>
      </x:c>
      <x:c r="AJ185" s="9" t="n">
        <x:f>AD185-G185</x:f>
        <x:v>-1.3094137285193668</x:v>
      </x:c>
      <x:c r="AK185" s="9" t="n">
        <x:f>Y185-X185</x:f>
        <x:v>197.98176745439173</x:v>
      </x:c>
      <x:c r="AL185" s="9" t="n">
        <x:f>1000*(AA186-AA184)/(A186-A184)*Inputs!$C$11</x:f>
        <x:v>739.2635632863858</x:v>
      </x:c>
      <x:c r="AM185" s="9" t="n">
        <x:f>-2*AL185/Inputs!$C$13</x:f>
        <x:v>-295.7054253145543</x:v>
      </x:c>
      <x:c r="AN185" s="9" t="n">
        <x:f>-2*AL185/Inputs!$C$14</x:f>
        <x:v>-44.40021401119434</x:v>
      </x:c>
      <x:c r="AO185" s="9" t="n">
        <x:f>ABS(AM185)</x:f>
        <x:v>295.7054253145543</x:v>
      </x:c>
      <x:c r="AP185" s="9" t="n">
        <x:f>ABS(AN185)</x:f>
        <x:v>44.40021401119434</x:v>
      </x:c>
      <x:c r="AQ185" s="9" t="n">
        <x:f>IF(OR(Inputs!$C$27=TRUE,Inputs!$C$27="TRUE",Inputs!$C$27=1),Inputs!$C$46/Inputs!$C$12,0)</x:f>
        <x:v>42.13483146067416</x:v>
      </x:c>
      <x:c r="AR185" s="9" t="n">
        <x:f>AC185-AQ185</x:f>
        <x:v>1266.6962338542892</x:v>
      </x:c>
      <x:c r="AS185" s="9" t="n">
        <x:f>AC185+AQ185</x:f>
        <x:v>1350.9658967756375</x:v>
      </x:c>
    </x:row>
    <x:row r="186">
      <x:c r="A186" s="9" t="n">
        <x:f>Inputs!$C$7+184*(Inputs!$C$8-Inputs!$C$7)/240</x:f>
        <x:v>32</x:v>
      </x:c>
      <x:c r="B186" s="9" t="n">
        <x:f>Inputs!$C$5+Inputs!$C$9*(A186/Inputs!$C$10)^2</x:f>
        <x:v>401.1377777777778</x:v>
      </x:c>
      <x:c r="C186" s="9" t="n">
        <x:f>B186</x:f>
        <x:v>401.1377777777778</x:v>
      </x:c>
      <x:c r="D186" s="9" t="n">
        <x:f>SQRT((Inputs!$C$52+B186)^2+Inputs!$C$52^2-2*(Inputs!$C$52+B186)*Inputs!$C$52*COS(SQRT(A186^2+Inputs!$C$6^2)/Inputs!$C$52))</x:f>
        <x:v>403.7130239478363</x:v>
      </x:c>
      <x:c r="E186" s="9" t="n">
        <x:f>(D186-C186)*1000</x:f>
        <x:v>2575.246170058506</x:v>
      </x:c>
      <x:c r="F186" s="9" t="n">
        <x:f>E186/Inputs!$C$12</x:f>
        <x:v>1446.7675112688235</x:v>
      </x:c>
      <x:c r="G186" s="9" t="n">
        <x:f>2*E186/Inputs!$C$21*1000000</x:f>
        <x:v>17.180193172561438</x:v>
      </x:c>
      <x:c r="H186" s="9" t="n">
        <x:f>SQRT(A186^2+Inputs!$C$6^2)</x:f>
        <x:v>40.607881008493905</x:v>
      </x:c>
      <x:c r="I186" s="9" t="n">
        <x:f>DEGREES(ATAN(H186/B186))</x:f>
        <x:v>5.780460156082169</x:v>
      </x:c>
      <x:c r="J186" s="9" t="n">
        <x:f>DEGREES((2*PI()/Inputs!$C$13)*Inputs!$C$15*SIN(RADIANS(I186)))</x:f>
        <x:v>36.25812092039455</x:v>
      </x:c>
      <x:c r="K186" s="9" t="n">
        <x:f>(C186/D186)^4</x:f>
        <x:v>0.974727494317586</x:v>
      </x:c>
      <x:c r="L186" s="9" t="n">
        <x:f>10*LOG10(K186)</x:f>
        <x:v>-0.11116783538305501</x:v>
      </x:c>
      <x:c r="M186" s="9" t="n">
        <x:f>2*(Inputs!$C$9/(Inputs!$C$10^2))*A186</x:f>
        <x:v>0.07111111111111111</x:v>
      </x:c>
      <x:c r="N186" s="9" t="n">
        <x:f>M186*Inputs!$C$11</x:f>
        <x:v>0.28444444444444444</x:v>
      </x:c>
      <x:c r="O186" s="9" t="n">
        <x:f>1000*(D187-D185)/(A187-A185)*Inputs!$C$11</x:f>
        <x:v>681.499398799815</x:v>
      </x:c>
      <x:c r="P186" s="9" t="n">
        <x:f>-2*O186/Inputs!$C$13</x:f>
        <x:v>-272.599759519926</x:v>
      </x:c>
      <x:c r="Q186" s="9" t="n">
        <x:f>-2*O186/Inputs!$C$14</x:f>
        <x:v>-40.930894822811716</x:v>
      </x:c>
      <x:c r="R186" s="9" t="n">
        <x:f>F186-Inputs!$C$16/2</x:f>
        <x:v>1431.7675112688235</x:v>
      </x:c>
      <x:c r="S186" s="9" t="n">
        <x:f>F186+Inputs!$C$16/2</x:f>
        <x:v>1461.7675112688235</x:v>
      </x:c>
      <x:c r="T186" s="9" t="n">
        <x:f>F186-Inputs!$C$17/2</x:f>
        <x:v>1296.7675112688235</x:v>
      </x:c>
      <x:c r="U186" s="9" t="n">
        <x:f>F186+Inputs!$C$17/2</x:f>
        <x:v>1596.7675112688235</x:v>
      </x:c>
      <x:c r="V186" s="9" t="n">
        <x:f>ABS(P186)</x:f>
        <x:v>272.599759519926</x:v>
      </x:c>
      <x:c r="W186" s="9" t="n">
        <x:f>ABS(Q186)</x:f>
        <x:v>40.930894822811716</x:v>
      </x:c>
      <x:c r="X186" s="9"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x:f>
        <x:v>-1.3588316603362678</x:v>
      </x:c>
      <x:c r="Y186" s="9"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x:f>
        <x:v>222.43770342182788</x:v>
      </x:c>
      <x:c r="Z186" s="9" t="n">
        <x:f>B186-X186/1000</x:f>
        <x:v>401.13913660943814</x:v>
      </x:c>
      <x:c r="AA186" s="9" t="n">
        <x:f>SQRT((Inputs!$C$52+B186)^2+(Inputs!$C$52+Y186/1000)^2-2*(Inputs!$C$52+B186)*(Inputs!$C$52+Y186/1000)*COS(SQRT(A186^2+Inputs!$C$6^2)/Inputs!$C$52))</x:f>
        <x:v>403.4923719739964</x:v>
      </x:c>
      <x:c r="AB186" s="9" t="n">
        <x:f>(AA186-Z186)*1000</x:f>
        <x:v>2353.235364558259</x:v>
      </x:c>
      <x:c r="AC186" s="9" t="n">
        <x:f>AB186/Inputs!$C$12</x:f>
        <x:v>1322.0423396394713</x:v>
      </x:c>
      <x:c r="AD186" s="9" t="n">
        <x:f>2*AB186/Inputs!$C$21*1000000</x:f>
        <x:v>15.699096503343382</x:v>
      </x:c>
      <x:c r="AE186" s="9" t="n">
        <x:f>DEGREES(ATAN(H186/(B186-Y186/1000)))</x:f>
        <x:v>5.783645561668308</x:v>
      </x:c>
      <x:c r="AF186" s="9" t="n">
        <x:f>DEGREES((2*PI()/Inputs!$C$13)*Inputs!$C$15*SIN(RADIANS(AE186)))</x:f>
        <x:v>36.27803358652072</x:v>
      </x:c>
      <x:c r="AG186" s="9" t="n">
        <x:f>(Z186/AA186)^4</x:f>
        <x:v>0.9768746201245417</x:v>
      </x:c>
      <x:c r="AH186" s="9" t="n">
        <x:f>10*LOG10(AG186)</x:f>
        <x:v>-0.10161173520011</x:v>
      </x:c>
      <x:c r="AI186" s="9" t="n">
        <x:f>AC186-F186</x:f>
        <x:v>-124.72517162935219</x:v>
      </x:c>
      <x:c r="AJ186" s="9" t="n">
        <x:f>AD186-G186</x:f>
        <x:v>-1.481096669218056</x:v>
      </x:c>
      <x:c r="AK186" s="9" t="n">
        <x:f>Y186-X186</x:f>
        <x:v>223.79653508216416</x:v>
      </x:c>
      <x:c r="AL186" s="9" t="n">
        <x:f>1000*(AA187-AA185)/(A187-A185)*Inputs!$C$11</x:f>
        <x:v>636.4976866962024</x:v>
      </x:c>
      <x:c r="AM186" s="9" t="n">
        <x:f>-2*AL186/Inputs!$C$13</x:f>
        <x:v>-254.59907467848097</x:v>
      </x:c>
      <x:c r="AN186" s="9" t="n">
        <x:f>-2*AL186/Inputs!$C$14</x:f>
        <x:v>-38.22808929106321</x:v>
      </x:c>
      <x:c r="AO186" s="9" t="n">
        <x:f>ABS(AM186)</x:f>
        <x:v>254.59907467848097</x:v>
      </x:c>
      <x:c r="AP186" s="9" t="n">
        <x:f>ABS(AN186)</x:f>
        <x:v>38.22808929106321</x:v>
      </x:c>
      <x:c r="AQ186" s="9" t="n">
        <x:f>IF(OR(Inputs!$C$27=TRUE,Inputs!$C$27="TRUE",Inputs!$C$27=1),Inputs!$C$46/Inputs!$C$12,0)</x:f>
        <x:v>42.13483146067416</x:v>
      </x:c>
      <x:c r="AR186" s="9" t="n">
        <x:f>AC186-AQ186</x:f>
        <x:v>1279.9075081787971</x:v>
      </x:c>
      <x:c r="AS186" s="9" t="n">
        <x:f>AC186+AQ186</x:f>
        <x:v>1364.1771711001454</x:v>
      </x:c>
    </x:row>
    <x:row r="187">
      <x:c r="A187" s="9" t="n">
        <x:f>Inputs!$C$7+185*(Inputs!$C$8-Inputs!$C$7)/240</x:f>
        <x:v>32.5</x:v>
      </x:c>
      <x:c r="B187" s="9" t="n">
        <x:f>Inputs!$C$5+Inputs!$C$9*(A187/Inputs!$C$10)^2</x:f>
        <x:v>401.1736111111111</x:v>
      </x:c>
      <x:c r="C187" s="9" t="n">
        <x:f>B187</x:f>
        <x:v>401.1736111111111</x:v>
      </x:c>
      <x:c r="D187" s="9" t="n">
        <x:f>SQRT((Inputs!$C$52+B187)^2+Inputs!$C$52^2-2*(Inputs!$C$52+B187)*Inputs!$C$52*COS(SQRT(A187^2+Inputs!$C$6^2)/Inputs!$C$52))</x:f>
        <x:v>403.7988703260665</x:v>
      </x:c>
      <x:c r="E187" s="9" t="n">
        <x:f>(D187-C187)*1000</x:f>
        <x:v>2625.259214955406</x:v>
      </x:c>
      <x:c r="F187" s="9" t="n">
        <x:f>E187/Inputs!$C$12</x:f>
        <x:v>1474.864727503037</x:v>
      </x:c>
      <x:c r="G187" s="9" t="n">
        <x:f>2*E187/Inputs!$C$21*1000000</x:f>
        <x:v>17.51384429394422</x:v>
      </x:c>
      <x:c r="H187" s="9" t="n">
        <x:f>SQRT(A187^2+Inputs!$C$6^2)</x:f>
        <x:v>41.00304866714181</x:v>
      </x:c>
      <x:c r="I187" s="9" t="n">
        <x:f>DEGREES(ATAN(H187/B187))</x:f>
        <x:v>5.835807408982732</x:v>
      </x:c>
      <x:c r="J187" s="9" t="n">
        <x:f>DEGREES((2*PI()/Inputs!$C$13)*Inputs!$C$15*SIN(RADIANS(I187)))</x:f>
        <x:v>36.60409269114675</x:v>
      </x:c>
      <x:c r="K187" s="9" t="n">
        <x:f>(C187/D187)^4</x:f>
        <x:v>0.9742468997487461</x:v>
      </x:c>
      <x:c r="L187" s="9" t="n">
        <x:f>10*LOG10(K187)</x:f>
        <x:v>-0.11330967546208</x:v>
      </x:c>
      <x:c r="M187" s="9" t="n">
        <x:f>2*(Inputs!$C$9/(Inputs!$C$10^2))*A187</x:f>
        <x:v>0.07222222222222222</x:v>
      </x:c>
      <x:c r="N187" s="9" t="n">
        <x:f>M187*Inputs!$C$11</x:f>
        <x:v>0.28888888888888886</x:v>
      </x:c>
      <x:c r="O187" s="9" t="n">
        <x:f>1000*(D188-D186)/(A188-A186)*Inputs!$C$11</x:f>
        <x:v>692.0402032801576</x:v>
      </x:c>
      <x:c r="P187" s="9" t="n">
        <x:f>-2*O187/Inputs!$C$13</x:f>
        <x:v>-276.81608131206303</x:v>
      </x:c>
      <x:c r="Q187" s="9" t="n">
        <x:f>-2*O187/Inputs!$C$14</x:f>
        <x:v>-41.56397617298244</x:v>
      </x:c>
      <x:c r="R187" s="9" t="n">
        <x:f>F187-Inputs!$C$16/2</x:f>
        <x:v>1459.864727503037</x:v>
      </x:c>
      <x:c r="S187" s="9" t="n">
        <x:f>F187+Inputs!$C$16/2</x:f>
        <x:v>1489.864727503037</x:v>
      </x:c>
      <x:c r="T187" s="9" t="n">
        <x:f>F187-Inputs!$C$17/2</x:f>
        <x:v>1324.864727503037</x:v>
      </x:c>
      <x:c r="U187" s="9" t="n">
        <x:f>F187+Inputs!$C$17/2</x:f>
        <x:v>1624.864727503037</x:v>
      </x:c>
      <x:c r="V187" s="9" t="n">
        <x:f>ABS(P187)</x:f>
        <x:v>276.81608131206303</x:v>
      </x:c>
      <x:c r="W187" s="9" t="n">
        <x:f>ABS(Q187)</x:f>
        <x:v>41.56397617298244</x:v>
      </x:c>
      <x:c r="X187" s="9"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x:f>
        <x:v>5.846843018322446</x:v>
      </x:c>
      <x:c r="Y187" s="9"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x:f>
        <x:v>227.97180197677312</x:v>
      </x:c>
      <x:c r="Z187" s="9" t="n">
        <x:f>B187-X187/1000</x:f>
        <x:v>401.16776426809275</x:v>
      </x:c>
      <x:c r="AA187" s="9" t="n">
        <x:f>SQRT((Inputs!$C$52+B187)^2+(Inputs!$C$52+Y187/1000)^2-2*(Inputs!$C$52+B187)*(Inputs!$C$52+Y187/1000)*COS(SQRT(A187^2+Inputs!$C$6^2)/Inputs!$C$52))</x:f>
        <x:v>403.5727639106554</x:v>
      </x:c>
      <x:c r="AB187" s="9" t="n">
        <x:f>(AA187-Z187)*1000</x:f>
        <x:v>2404.999642562643</x:v>
      </x:c>
      <x:c r="AC187" s="9" t="n">
        <x:f>AB187/Inputs!$C$12</x:f>
        <x:v>1351.1233946981142</x:v>
      </x:c>
      <x:c r="AD187" s="9" t="n">
        <x:f>2*AB187/Inputs!$C$21*1000000</x:f>
        <x:v>16.044430594465744</x:v>
      </x:c>
      <x:c r="AE187" s="9" t="n">
        <x:f>DEGREES(ATAN(H187/(B187-Y187/1000)))</x:f>
        <x:v>5.839102642656873</x:v>
      </x:c>
      <x:c r="AF187" s="9" t="n">
        <x:f>DEGREES((2*PI()/Inputs!$C$13)*Inputs!$C$15*SIN(RADIANS(AE187)))</x:f>
        <x:v>36.624689890074926</x:v>
      </x:c>
      <x:c r="AG187" s="9" t="n">
        <x:f>(Z187/AA187)^4</x:f>
        <x:v>0.9763751465061417</x:v>
      </x:c>
      <x:c r="AH187" s="9" t="n">
        <x:f>10*LOG10(AG187)</x:f>
        <x:v>-0.103832840199187</x:v>
      </x:c>
      <x:c r="AI187" s="9" t="n">
        <x:f>AC187-F187</x:f>
        <x:v>-123.74133280492288</x:v>
      </x:c>
      <x:c r="AJ187" s="9" t="n">
        <x:f>AD187-G187</x:f>
        <x:v>-1.4694136994784763</x:v>
      </x:c>
      <x:c r="AK187" s="9" t="n">
        <x:f>Y187-X187</x:f>
        <x:v>222.1249589584507</x:v>
      </x:c>
      <x:c r="AL187" s="9" t="n">
        <x:f>1000*(AA188-AA186)/(A188-A186)*Inputs!$C$11</x:f>
        <x:v>677.8528249144529</x:v>
      </x:c>
      <x:c r="AM187" s="9" t="n">
        <x:f>-2*AL187/Inputs!$C$13</x:f>
        <x:v>-271.14112996578115</x:v>
      </x:c>
      <x:c r="AN187" s="9" t="n">
        <x:f>-2*AL187/Inputs!$C$14</x:f>
        <x:v>-40.71188137624342</x:v>
      </x:c>
      <x:c r="AO187" s="9" t="n">
        <x:f>ABS(AM187)</x:f>
        <x:v>271.14112996578115</x:v>
      </x:c>
      <x:c r="AP187" s="9" t="n">
        <x:f>ABS(AN187)</x:f>
        <x:v>40.71188137624342</x:v>
      </x:c>
      <x:c r="AQ187" s="9" t="n">
        <x:f>IF(OR(Inputs!$C$27=TRUE,Inputs!$C$27="TRUE",Inputs!$C$27=1),Inputs!$C$46/Inputs!$C$12,0)</x:f>
        <x:v>42.13483146067416</x:v>
      </x:c>
      <x:c r="AR187" s="9" t="n">
        <x:f>AC187-AQ187</x:f>
        <x:v>1308.98856323744</x:v>
      </x:c>
      <x:c r="AS187" s="9" t="n">
        <x:f>AC187+AQ187</x:f>
        <x:v>1393.2582261587884</x:v>
      </x:c>
    </x:row>
    <x:row r="188">
      <x:c r="A188" s="9" t="n">
        <x:f>Inputs!$C$7+186*(Inputs!$C$8-Inputs!$C$7)/240</x:f>
        <x:v>33</x:v>
      </x:c>
      <x:c r="B188" s="9" t="n">
        <x:f>Inputs!$C$5+Inputs!$C$9*(A188/Inputs!$C$10)^2</x:f>
        <x:v>401.21</x:v>
      </x:c>
      <x:c r="C188" s="9" t="n">
        <x:f>B188</x:f>
        <x:v>401.21</x:v>
      </x:c>
      <x:c r="D188" s="9" t="n">
        <x:f>SQRT((Inputs!$C$52+B188)^2+Inputs!$C$52^2-2*(Inputs!$C$52+B188)*Inputs!$C$52*COS(SQRT(A188^2+Inputs!$C$6^2)/Inputs!$C$52))</x:f>
        <x:v>403.88603399865633</x:v>
      </x:c>
      <x:c r="E188" s="9" t="n">
        <x:f>(D188-C188)*1000</x:f>
        <x:v>2676.033998656351</x:v>
      </x:c>
      <x:c r="F188" s="9" t="n">
        <x:f>E188/Inputs!$C$12</x:f>
        <x:v>1503.3898868855904</x:v>
      </x:c>
      <x:c r="G188" s="9" t="n">
        <x:f>2*E188/Inputs!$C$21*1000000</x:f>
        <x:v>17.852577189625972</x:v>
      </x:c>
      <x:c r="H188" s="9" t="n">
        <x:f>SQRT(A188^2+Inputs!$C$6^2)</x:f>
        <x:v>41.400483088968905</x:v>
      </x:c>
      <x:c r="I188" s="9" t="n">
        <x:f>DEGREES(ATAN(H188/B188))</x:f>
        <x:v>5.891446051651431</x:v>
      </x:c>
      <x:c r="J188" s="9" t="n">
        <x:f>DEGREES((2*PI()/Inputs!$C$13)*Inputs!$C$15*SIN(RADIANS(I188)))</x:f>
        <x:v>36.95185149123889</x:v>
      </x:c>
      <x:c r="K188" s="9" t="n">
        <x:f>(C188/D188)^4</x:f>
        <x:v>0.9737593766670476</x:v>
      </x:c>
      <x:c r="L188" s="9" t="n">
        <x:f>10*LOG10(K188)</x:f>
        <x:v>-0.115483473269264</x:v>
      </x:c>
      <x:c r="M188" s="9" t="n">
        <x:f>2*(Inputs!$C$9/(Inputs!$C$10^2))*A188</x:f>
        <x:v>0.07333333333333333</x:v>
      </x:c>
      <x:c r="N188" s="9" t="n">
        <x:f>M188*Inputs!$C$11</x:f>
        <x:v>0.29333333333333333</x:v>
      </x:c>
      <x:c r="O188" s="9" t="n">
        <x:f>1000*(D189-D187)/(A189-A187)*Inputs!$C$11</x:f>
        <x:v>702.5760732608433</x:v>
      </x:c>
      <x:c r="P188" s="9" t="n">
        <x:f>-2*O188/Inputs!$C$13</x:f>
        <x:v>-281.0304293043373</x:v>
      </x:c>
      <x:c r="Q188" s="9" t="n">
        <x:f>-2*O188/Inputs!$C$14</x:f>
        <x:v>-42.196761156807405</x:v>
      </x:c>
      <x:c r="R188" s="9" t="n">
        <x:f>F188-Inputs!$C$16/2</x:f>
        <x:v>1488.3898868855904</x:v>
      </x:c>
      <x:c r="S188" s="9" t="n">
        <x:f>F188+Inputs!$C$16/2</x:f>
        <x:v>1518.3898868855904</x:v>
      </x:c>
      <x:c r="T188" s="9" t="n">
        <x:f>F188-Inputs!$C$17/2</x:f>
        <x:v>1353.3898868855904</x:v>
      </x:c>
      <x:c r="U188" s="9" t="n">
        <x:f>F188+Inputs!$C$17/2</x:f>
        <x:v>1653.3898868855904</x:v>
      </x:c>
      <x:c r="V188" s="9" t="n">
        <x:f>ABS(P188)</x:f>
        <x:v>281.0304293043373</x:v>
      </x:c>
      <x:c r="W188" s="9" t="n">
        <x:f>ABS(Q188)</x:f>
        <x:v>42.196761156807405</x:v>
      </x:c>
      <x:c r="X188" s="9"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x:f>
        <x:v>-3.610290991247414</x:v>
      </x:c>
      <x:c r="Y188" s="9"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x:f>
        <x:v>226.0841822180117</x:v>
      </x:c>
      <x:c r="Z188" s="9" t="n">
        <x:f>B188-X188/1000</x:f>
        <x:v>401.21361029099126</x:v>
      </x:c>
      <x:c r="AA188" s="9" t="n">
        <x:f>SQRT((Inputs!$C$52+B188)^2+(Inputs!$C$52+Y188/1000)^2-2*(Inputs!$C$52+B188)*(Inputs!$C$52+Y188/1000)*COS(SQRT(A188^2+Inputs!$C$6^2)/Inputs!$C$52))</x:f>
        <x:v>403.661835180225</x:v>
      </x:c>
      <x:c r="AB188" s="9" t="n">
        <x:f>(AA188-Z188)*1000</x:f>
        <x:v>2448.2248892337566</x:v>
      </x:c>
      <x:c r="AC188" s="9" t="n">
        <x:f>AB188/Inputs!$C$12</x:f>
        <x:v>1375.4072411425598</x:v>
      </x:c>
      <x:c r="AD188" s="9" t="n">
        <x:f>2*AB188/Inputs!$C$21*1000000</x:f>
        <x:v>16.33279840037708</x:v>
      </x:c>
      <x:c r="AE188" s="9" t="n">
        <x:f>DEGREES(ATAN(H188/(B188-Y188/1000)))</x:f>
        <x:v>5.894744403822772</x:v>
      </x:c>
      <x:c r="AF188" s="9" t="n">
        <x:f>DEGREES((2*PI()/Inputs!$C$13)*Inputs!$C$15*SIN(RADIANS(AE188)))</x:f>
        <x:v>36.972466126055984</x:v>
      </x:c>
      <x:c r="AG188" s="9" t="n">
        <x:f>(Z188/AA188)^4</x:f>
        <x:v>0.975959660009814</x:v>
      </x:c>
      <x:c r="AH188" s="9" t="n">
        <x:f>10*LOG10(AG188)</x:f>
        <x:v>-0.105681329451976</x:v>
      </x:c>
      <x:c r="AI188" s="9" t="n">
        <x:f>AC188-F188</x:f>
        <x:v>-127.98264574303062</x:v>
      </x:c>
      <x:c r="AJ188" s="9" t="n">
        <x:f>AD188-G188</x:f>
        <x:v>-1.5197787892488925</x:v>
      </x:c>
      <x:c r="AK188" s="9" t="n">
        <x:f>Y188-X188</x:f>
        <x:v>229.69447320925912</x:v>
      </x:c>
      <x:c r="AL188" s="9" t="n">
        <x:f>1000*(AA189-AA187)/(A189-A187)*Inputs!$C$11</x:f>
        <x:v>709.7345668057642</x:v>
      </x:c>
      <x:c r="AM188" s="9" t="n">
        <x:f>-2*AL188/Inputs!$C$13</x:f>
        <x:v>-283.8938267223057</x:v>
      </x:c>
      <x:c r="AN188" s="9" t="n">
        <x:f>-2*AL188/Inputs!$C$14</x:f>
        <x:v>-42.62670070905491</x:v>
      </x:c>
      <x:c r="AO188" s="9" t="n">
        <x:f>ABS(AM188)</x:f>
        <x:v>283.8938267223057</x:v>
      </x:c>
      <x:c r="AP188" s="9" t="n">
        <x:f>ABS(AN188)</x:f>
        <x:v>42.62670070905491</x:v>
      </x:c>
      <x:c r="AQ188" s="9" t="n">
        <x:f>IF(OR(Inputs!$C$27=TRUE,Inputs!$C$27="TRUE",Inputs!$C$27=1),Inputs!$C$46/Inputs!$C$12,0)</x:f>
        <x:v>42.13483146067416</x:v>
      </x:c>
      <x:c r="AR188" s="9" t="n">
        <x:f>AC188-AQ188</x:f>
        <x:v>1333.2724096818856</x:v>
      </x:c>
      <x:c r="AS188" s="9" t="n">
        <x:f>AC188+AQ188</x:f>
        <x:v>1417.542072603234</x:v>
      </x:c>
    </x:row>
    <x:row r="189">
      <x:c r="A189" s="9" t="n">
        <x:f>Inputs!$C$7+187*(Inputs!$C$8-Inputs!$C$7)/240</x:f>
        <x:v>33.5</x:v>
      </x:c>
      <x:c r="B189" s="9" t="n">
        <x:f>Inputs!$C$5+Inputs!$C$9*(A189/Inputs!$C$10)^2</x:f>
        <x:v>401.24694444444447</x:v>
      </x:c>
      <x:c r="C189" s="9" t="n">
        <x:f>B189</x:f>
        <x:v>401.24694444444447</x:v>
      </x:c>
      <x:c r="D189" s="9" t="n">
        <x:f>SQRT((Inputs!$C$52+B189)^2+Inputs!$C$52^2-2*(Inputs!$C$52+B189)*Inputs!$C$52*COS(SQRT(A189^2+Inputs!$C$6^2)/Inputs!$C$52))</x:f>
        <x:v>403.9745143443817</x:v>
      </x:c>
      <x:c r="E189" s="9" t="n">
        <x:f>(D189-C189)*1000</x:f>
        <x:v>2727.5698999372366</x:v>
      </x:c>
      <x:c r="F189" s="9" t="n">
        <x:f>E189/Inputs!$C$12</x:f>
        <x:v>1532.3426404141778</x:v>
      </x:c>
      <x:c r="G189" s="9" t="n">
        <x:f>2*E189/Inputs!$C$21*1000000</x:f>
        <x:v>18.19638771524557</x:v>
      </x:c>
      <x:c r="H189" s="9" t="n">
        <x:f>SQRT(A189^2+Inputs!$C$6^2)</x:f>
        <x:v>41.80011961705373</x:v>
      </x:c>
      <x:c r="I189" s="9" t="n">
        <x:f>DEGREES(ATAN(H189/B189))</x:f>
        <x:v>5.947366354766674</x:v>
      </x:c>
      <x:c r="J189" s="9" t="n">
        <x:f>DEGREES((2*PI()/Inputs!$C$13)*Inputs!$C$15*SIN(RADIANS(I189)))</x:f>
        <x:v>37.30133564573529</x:v>
      </x:c>
      <x:c r="K189" s="9" t="n">
        <x:f>(C189/D189)^4</x:f>
        <x:v>0.9732649483824933</x:v>
      </x:c>
      <x:c r="L189" s="9" t="n">
        <x:f>10*LOG10(K189)</x:f>
        <x:v>-0.117689172268828</x:v>
      </x:c>
      <x:c r="M189" s="9" t="n">
        <x:f>2*(Inputs!$C$9/(Inputs!$C$10^2))*A189</x:f>
        <x:v>0.07444444444444444</x:v>
      </x:c>
      <x:c r="N189" s="9" t="n">
        <x:f>M189*Inputs!$C$11</x:f>
        <x:v>0.29777777777777775</x:v>
      </x:c>
      <x:c r="O189" s="9" t="n">
        <x:f>1000*(D190-D188)/(A190-A188)*Inputs!$C$11</x:f>
        <x:v>713.1069382348869</x:v>
      </x:c>
      <x:c r="P189" s="9" t="n">
        <x:f>-2*O189/Inputs!$C$13</x:f>
        <x:v>-285.24277529395476</x:v>
      </x:c>
      <x:c r="Q189" s="9" t="n">
        <x:f>-2*O189/Inputs!$C$14</x:f>
        <x:v>-42.82924553963285</x:v>
      </x:c>
      <x:c r="R189" s="9" t="n">
        <x:f>F189-Inputs!$C$16/2</x:f>
        <x:v>1517.3426404141778</x:v>
      </x:c>
      <x:c r="S189" s="9" t="n">
        <x:f>F189+Inputs!$C$16/2</x:f>
        <x:v>1547.3426404141778</x:v>
      </x:c>
      <x:c r="T189" s="9" t="n">
        <x:f>F189-Inputs!$C$17/2</x:f>
        <x:v>1382.3426404141778</x:v>
      </x:c>
      <x:c r="U189" s="9" t="n">
        <x:f>F189+Inputs!$C$17/2</x:f>
        <x:v>1682.3426404141778</x:v>
      </x:c>
      <x:c r="V189" s="9" t="n">
        <x:f>ABS(P189)</x:f>
        <x:v>285.24277529395476</x:v>
      </x:c>
      <x:c r="W189" s="9" t="n">
        <x:f>ABS(Q189)</x:f>
        <x:v>42.82924553963285</x:v>
      </x:c>
      <x:c r="X189" s="9"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x:f>
        <x:v>2.8193818928466783</x:v>
      </x:c>
      <x:c r="Y189" s="9"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x:f>
        <x:v>226.23942491253771</x:v>
      </x:c>
      <x:c r="Z189" s="9" t="n">
        <x:f>B189-X189/1000</x:f>
        <x:v>401.24412506255163</x:v>
      </x:c>
      <x:c r="AA189" s="9" t="n">
        <x:f>SQRT((Inputs!$C$52+B189)^2+(Inputs!$C$52+Y189/1000)^2-2*(Inputs!$C$52+B189)*(Inputs!$C$52+Y189/1000)*COS(SQRT(A189^2+Inputs!$C$6^2)/Inputs!$C$52))</x:f>
        <x:v>403.75019755235684</x:v>
      </x:c>
      <x:c r="AB189" s="9" t="n">
        <x:f>(AA189-Z189)*1000</x:f>
        <x:v>2506.072489805206</x:v>
      </x:c>
      <x:c r="AC189" s="9" t="n">
        <x:f>AB189/Inputs!$C$12</x:f>
        <x:v>1407.905893148992</x:v>
      </x:c>
      <x:c r="AD189" s="9" t="n">
        <x:f>2*AB189/Inputs!$C$21*1000000</x:f>
        <x:v>16.718716051257072</x:v>
      </x:c>
      <x:c r="AE189" s="9" t="n">
        <x:f>DEGREES(ATAN(H189/(B189-Y189/1000)))</x:f>
        <x:v>5.9506975452816</x:v>
      </x:c>
      <x:c r="AF189" s="9" t="n">
        <x:f>DEGREES((2*PI()/Inputs!$C$13)*Inputs!$C$15*SIN(RADIANS(AE189)))</x:f>
        <x:v>37.322153411603686</x:v>
      </x:c>
      <x:c r="AG189" s="9" t="n">
        <x:f>(Z189/AA189)^4</x:f>
        <x:v>0.9754022545203818</x:v>
      </x:c>
      <x:c r="AH189" s="9" t="n">
        <x:f>10*LOG10(AG189)</x:f>
        <x:v>-0.10816244925886201</x:v>
      </x:c>
      <x:c r="AI189" s="9" t="n">
        <x:f>AC189-F189</x:f>
        <x:v>-124.43674726518589</x:v>
      </x:c>
      <x:c r="AJ189" s="9" t="n">
        <x:f>AD189-G189</x:f>
        <x:v>-1.4776716639884988</x:v>
      </x:c>
      <x:c r="AK189" s="9" t="n">
        <x:f>Y189-X189</x:f>
        <x:v>223.42004301969104</x:v>
      </x:c>
      <x:c r="AL189" s="9" t="n">
        <x:f>1000*(AA190-AA188)/(A190-A188)*Inputs!$C$11</x:f>
        <x:v>645.2472716500779</x:v>
      </x:c>
      <x:c r="AM189" s="9" t="n">
        <x:f>-2*AL189/Inputs!$C$13</x:f>
        <x:v>-258.09890866003116</x:v>
      </x:c>
      <x:c r="AN189" s="9" t="n">
        <x:f>-2*AL189/Inputs!$C$14</x:f>
        <x:v>-38.75358988889357</x:v>
      </x:c>
      <x:c r="AO189" s="9" t="n">
        <x:f>ABS(AM189)</x:f>
        <x:v>258.09890866003116</x:v>
      </x:c>
      <x:c r="AP189" s="9" t="n">
        <x:f>ABS(AN189)</x:f>
        <x:v>38.75358988889357</x:v>
      </x:c>
      <x:c r="AQ189" s="9" t="n">
        <x:f>IF(OR(Inputs!$C$27=TRUE,Inputs!$C$27="TRUE",Inputs!$C$27=1),Inputs!$C$46/Inputs!$C$12,0)</x:f>
        <x:v>42.13483146067416</x:v>
      </x:c>
      <x:c r="AR189" s="9" t="n">
        <x:f>AC189-AQ189</x:f>
        <x:v>1365.7710616883178</x:v>
      </x:c>
      <x:c r="AS189" s="9" t="n">
        <x:f>AC189+AQ189</x:f>
        <x:v>1450.040724609666</x:v>
      </x:c>
    </x:row>
    <x:row r="190">
      <x:c r="A190" s="9" t="n">
        <x:f>Inputs!$C$7+188*(Inputs!$C$8-Inputs!$C$7)/240</x:f>
        <x:v>34</x:v>
      </x:c>
      <x:c r="B190" s="9" t="n">
        <x:f>Inputs!$C$5+Inputs!$C$9*(A190/Inputs!$C$10)^2</x:f>
        <x:v>401.28444444444443</x:v>
      </x:c>
      <x:c r="C190" s="9" t="n">
        <x:f>B190</x:f>
        <x:v>401.28444444444443</x:v>
      </x:c>
      <x:c r="D190" s="9" t="n">
        <x:f>SQRT((Inputs!$C$52+B190)^2+Inputs!$C$52^2-2*(Inputs!$C$52+B190)*Inputs!$C$52*COS(SQRT(A190^2+Inputs!$C$6^2)/Inputs!$C$52))</x:f>
        <x:v>404.06431073321505</x:v>
      </x:c>
      <x:c r="E190" s="9" t="n">
        <x:f>(D190-C190)*1000</x:f>
        <x:v>2779.86628877062</x:v>
      </x:c>
      <x:c r="F190" s="9" t="n">
        <x:f>E190/Inputs!$C$12</x:f>
        <x:v>1561.7226341407977</x:v>
      </x:c>
      <x:c r="G190" s="9" t="n">
        <x:f>2*E190/Inputs!$C$21*1000000</x:f>
        <x:v>18.545271667712335</x:v>
      </x:c>
      <x:c r="H190" s="9" t="n">
        <x:f>SQRT(A190^2+Inputs!$C$6^2)</x:f>
        <x:v>42.20189569201838</x:v>
      </x:c>
      <x:c r="I190" s="9" t="n">
        <x:f>DEGREES(ATAN(H190/B190))</x:f>
        <x:v>6.003558889809033</x:v>
      </x:c>
      <x:c r="J190" s="9" t="n">
        <x:f>DEGREES((2*PI()/Inputs!$C$13)*Inputs!$C$15*SIN(RADIANS(I190)))</x:f>
        <x:v>37.65248537110963</x:v>
      </x:c>
      <x:c r="K190" s="9" t="n">
        <x:f>(C190/D190)^4</x:f>
        <x:v>0.9727636385009326</x:v>
      </x:c>
      <x:c r="L190" s="9" t="n">
        <x:f>10*LOG10(K190)</x:f>
        <x:v>-0.11992671514531801</x:v>
      </x:c>
      <x:c r="M190" s="9" t="n">
        <x:f>2*(Inputs!$C$9/(Inputs!$C$10^2))*A190</x:f>
        <x:v>0.07555555555555556</x:v>
      </x:c>
      <x:c r="N190" s="9" t="n">
        <x:f>M190*Inputs!$C$11</x:f>
        <x:v>0.3022222222222222</x:v>
      </x:c>
      <x:c r="O190" s="9" t="n">
        <x:f>1000*(D191-D189)/(A191-A189)*Inputs!$C$11</x:f>
        <x:v>723.632727916538</x:v>
      </x:c>
      <x:c r="P190" s="9" t="n">
        <x:f>-2*O190/Inputs!$C$13</x:f>
        <x:v>-289.4530911666152</x:v>
      </x:c>
      <x:c r="Q190" s="9" t="n">
        <x:f>-2*O190/Inputs!$C$14</x:f>
        <x:v>-43.46142510009238</x:v>
      </x:c>
      <x:c r="R190" s="9" t="n">
        <x:f>F190-Inputs!$C$16/2</x:f>
        <x:v>1546.7226341407977</x:v>
      </x:c>
      <x:c r="S190" s="9" t="n">
        <x:f>F190+Inputs!$C$16/2</x:f>
        <x:v>1576.7226341407977</x:v>
      </x:c>
      <x:c r="T190" s="9" t="n">
        <x:f>F190-Inputs!$C$17/2</x:f>
        <x:v>1411.7226341407977</x:v>
      </x:c>
      <x:c r="U190" s="9" t="n">
        <x:f>F190+Inputs!$C$17/2</x:f>
        <x:v>1711.7226341407977</x:v>
      </x:c>
      <x:c r="V190" s="9" t="n">
        <x:f>ABS(P190)</x:f>
        <x:v>289.4530911666152</x:v>
      </x:c>
      <x:c r="W190" s="9" t="n">
        <x:f>ABS(Q190)</x:f>
        <x:v>43.46142510009238</x:v>
      </x:c>
      <x:c r="X190" s="9"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x:f>
        <x:v>9.90157819415245</x:v>
      </x:c>
      <x:c r="Y190" s="9"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x:f>
        <x:v>243.2704274883201</x:v>
      </x:c>
      <x:c r="Z190" s="9" t="n">
        <x:f>B190-X190/1000</x:f>
        <x:v>401.2745428662503</x:v>
      </x:c>
      <x:c r="AA190" s="9" t="n">
        <x:f>SQRT((Inputs!$C$52+B190)^2+(Inputs!$C$52+Y190/1000)^2-2*(Inputs!$C$52+B190)*(Inputs!$C$52+Y190/1000)*COS(SQRT(A190^2+Inputs!$C$6^2)/Inputs!$C$52))</x:f>
        <x:v>403.82314699813753</x:v>
      </x:c>
      <x:c r="AB190" s="9" t="n">
        <x:f>(AA190-Z190)*1000</x:f>
        <x:v>2548.6041318872594</x:v>
      </x:c>
      <x:c r="AC190" s="9" t="n">
        <x:f>AB190/Inputs!$C$12</x:f>
        <x:v>1431.800074093966</x:v>
      </x:c>
      <x:c r="AD190" s="9" t="n">
        <x:f>2*AB190/Inputs!$C$21*1000000</x:f>
        <x:v>17.00245662542491</x:v>
      </x:c>
      <x:c r="AE190" s="9" t="n">
        <x:f>DEGREES(ATAN(H190/(B190-Y190/1000)))</x:f>
        <x:v>6.007174010209388</x:v>
      </x:c>
      <x:c r="AF190" s="9" t="n">
        <x:f>DEGREES((2*PI()/Inputs!$C$13)*Inputs!$C$15*SIN(RADIANS(AE190)))</x:f>
        <x:v>37.67507518775607</x:v>
      </x:c>
      <x:c r="AG190" s="9" t="n">
        <x:f>(Z190/AA190)^4</x:f>
        <x:v>0.9749932273933761</x:v>
      </x:c>
      <x:c r="AH190" s="9" t="n">
        <x:f>10*LOG10(AG190)</x:f>
        <x:v>-0.1099840103572</x:v>
      </x:c>
      <x:c r="AI190" s="9" t="n">
        <x:f>AC190-F190</x:f>
        <x:v>-129.92256004683168</x:v>
      </x:c>
      <x:c r="AJ190" s="9" t="n">
        <x:f>AD190-G190</x:f>
        <x:v>-1.542815042287426</x:v>
      </x:c>
      <x:c r="AK190" s="9" t="n">
        <x:f>Y190-X190</x:f>
        <x:v>233.36884929416766</x:v>
      </x:c>
      <x:c r="AL190" s="9" t="n">
        <x:f>1000*(AA191-AA189)/(A191-A189)*Inputs!$C$11</x:f>
        <x:v>634.316841919599</x:v>
      </x:c>
      <x:c r="AM190" s="9" t="n">
        <x:f>-2*AL190/Inputs!$C$13</x:f>
        <x:v>-253.7267367678396</x:v>
      </x:c>
      <x:c r="AN190" s="9" t="n">
        <x:f>-2*AL190/Inputs!$C$14</x:f>
        <x:v>-38.097107622798745</x:v>
      </x:c>
      <x:c r="AO190" s="9" t="n">
        <x:f>ABS(AM190)</x:f>
        <x:v>253.7267367678396</x:v>
      </x:c>
      <x:c r="AP190" s="9" t="n">
        <x:f>ABS(AN190)</x:f>
        <x:v>38.097107622798745</x:v>
      </x:c>
      <x:c r="AQ190" s="9" t="n">
        <x:f>IF(OR(Inputs!$C$27=TRUE,Inputs!$C$27="TRUE",Inputs!$C$27=1),Inputs!$C$46/Inputs!$C$12,0)</x:f>
        <x:v>42.13483146067416</x:v>
      </x:c>
      <x:c r="AR190" s="9" t="n">
        <x:f>AC190-AQ190</x:f>
        <x:v>1389.6652426332919</x:v>
      </x:c>
      <x:c r="AS190" s="9" t="n">
        <x:f>AC190+AQ190</x:f>
        <x:v>1473.9349055546402</x:v>
      </x:c>
    </x:row>
    <x:row r="191">
      <x:c r="A191" s="9" t="n">
        <x:f>Inputs!$C$7+189*(Inputs!$C$8-Inputs!$C$7)/240</x:f>
        <x:v>34.5</x:v>
      </x:c>
      <x:c r="B191" s="9" t="n">
        <x:f>Inputs!$C$5+Inputs!$C$9*(A191/Inputs!$C$10)^2</x:f>
        <x:v>401.3225</x:v>
      </x:c>
      <x:c r="C191" s="9" t="n">
        <x:f>B191</x:f>
        <x:v>401.3225</x:v>
      </x:c>
      <x:c r="D191" s="9" t="n">
        <x:f>SQRT((Inputs!$C$52+B191)^2+Inputs!$C$52^2-2*(Inputs!$C$52+B191)*Inputs!$C$52*COS(SQRT(A191^2+Inputs!$C$6^2)/Inputs!$C$52))</x:f>
        <x:v>404.15542252636084</x:v>
      </x:c>
      <x:c r="E191" s="9" t="n">
        <x:f>(D191-C191)*1000</x:f>
        <x:v>2832.9225263608464</x:v>
      </x:c>
      <x:c r="F191" s="9" t="n">
        <x:f>E191/Inputs!$C$12</x:f>
        <x:v>1591.5295091914868</x:v>
      </x:c>
      <x:c r="G191" s="9" t="n">
        <x:f>2*E191/Inputs!$C$21*1000000</x:f>
        <x:v>18.899224785440378</x:v>
      </x:c>
      <x:c r="H191" s="9" t="n">
        <x:f>SQRT(A191^2+Inputs!$C$6^2)</x:f>
        <x:v>42.60575078554537</x:v>
      </x:c>
      <x:c r="I191" s="9" t="n">
        <x:f>DEGREES(ATAN(H191/B191))</x:f>
        <x:v>6.060014519595078</x:v>
      </x:c>
      <x:c r="J191" s="9" t="n">
        <x:f>DEGREES((2*PI()/Inputs!$C$13)*Inputs!$C$15*SIN(RADIANS(I191)))</x:f>
        <x:v>38.005242715884584</x:v>
      </x:c>
      <x:c r="K191" s="9" t="n">
        <x:f>(C191/D191)^4</x:f>
        <x:v>0.972255470921452</x:v>
      </x:c>
      <x:c r="L191" s="9" t="n">
        <x:f>10*LOG10(K191)</x:f>
        <x:v>-0.12219604380746801</x:v>
      </x:c>
      <x:c r="M191" s="9" t="n">
        <x:f>2*(Inputs!$C$9/(Inputs!$C$10^2))*A191</x:f>
        <x:v>0.07666666666666666</x:v>
      </x:c>
      <x:c r="N191" s="9" t="n">
        <x:f>M191*Inputs!$C$11</x:f>
        <x:v>0.30666666666666664</x:v>
      </x:c>
      <x:c r="O191" s="9" t="n">
        <x:f>1000*(D192-D190)/(A192-A190)*Inputs!$C$11</x:f>
        <x:v>734.1533722806162</x:v>
      </x:c>
      <x:c r="P191" s="9" t="n">
        <x:f>-2*O191/Inputs!$C$13</x:f>
        <x:v>-293.66134891224647</x:v>
      </x:c>
      <x:c r="Q191" s="9" t="n">
        <x:f>-2*O191/Inputs!$C$14</x:f>
        <x:v>-44.09329563246944</x:v>
      </x:c>
      <x:c r="R191" s="9" t="n">
        <x:f>F191-Inputs!$C$16/2</x:f>
        <x:v>1576.5295091914868</x:v>
      </x:c>
      <x:c r="S191" s="9" t="n">
        <x:f>F191+Inputs!$C$16/2</x:f>
        <x:v>1606.5295091914868</x:v>
      </x:c>
      <x:c r="T191" s="9" t="n">
        <x:f>F191-Inputs!$C$17/2</x:f>
        <x:v>1441.5295091914868</x:v>
      </x:c>
      <x:c r="U191" s="9" t="n">
        <x:f>F191+Inputs!$C$17/2</x:f>
        <x:v>1741.5295091914868</x:v>
      </x:c>
      <x:c r="V191" s="9" t="n">
        <x:f>ABS(P191)</x:f>
        <x:v>293.66134891224647</x:v>
      </x:c>
      <x:c r="W191" s="9" t="n">
        <x:f>ABS(Q191)</x:f>
        <x:v>44.09329563246944</x:v>
      </x:c>
      <x:c r="X191" s="9"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x:f>
        <x:v>22.306190725387925</x:v>
      </x:c>
      <x:c r="Y191" s="9"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x:f>
        <x:v>248.8414359782273</x:v>
      </x:c>
      <x:c r="Z191" s="9" t="n">
        <x:f>B191-X191/1000</x:f>
        <x:v>401.3001938092746</x:v>
      </x:c>
      <x:c r="AA191" s="9" t="n">
        <x:f>SQRT((Inputs!$C$52+B191)^2+(Inputs!$C$52+Y191/1000)^2-2*(Inputs!$C$52+B191)*(Inputs!$C$52+Y191/1000)*COS(SQRT(A191^2+Inputs!$C$6^2)/Inputs!$C$52))</x:f>
        <x:v>403.90877676283674</x:v>
      </x:c>
      <x:c r="AB191" s="9" t="n">
        <x:f>(AA191-Z191)*1000</x:f>
        <x:v>2608.58295356212</x:v>
      </x:c>
      <x:c r="AC191" s="9" t="n">
        <x:f>AB191/Inputs!$C$12</x:f>
        <x:v>1465.4960413270337</x:v>
      </x:c>
      <x:c r="AD191" s="9" t="n">
        <x:f>2*AB191/Inputs!$C$21*1000000</x:f>
        <x:v>17.402592253085434</x:v>
      </x:c>
      <x:c r="AE191" s="9" t="n">
        <x:f>DEGREES(ATAN(H191/(B191-Y191/1000)))</x:f>
        <x:v>6.063746380889756</x:v>
      </x:c>
      <x:c r="AF191" s="9" t="n">
        <x:f>DEGREES((2*PI()/Inputs!$C$13)*Inputs!$C$15*SIN(RADIANS(AE191)))</x:f>
        <x:v>38.028559580767</x:v>
      </x:c>
      <x:c r="AG191" s="9" t="n">
        <x:f>(Z191/AA191)^4</x:f>
        <x:v>0.9744157985059001</x:v>
      </x:c>
      <x:c r="AH191" s="9" t="n">
        <x:f>10*LOG10(AG191)</x:f>
        <x:v>-0.112556833028326</x:v>
      </x:c>
      <x:c r="AI191" s="9" t="n">
        <x:f>AC191-F191</x:f>
        <x:v>-126.03346786445309</x:v>
      </x:c>
      <x:c r="AJ191" s="9" t="n">
        <x:f>AD191-G191</x:f>
        <x:v>-1.496632532354944</x:v>
      </x:c>
      <x:c r="AK191" s="9" t="n">
        <x:f>Y191-X191</x:f>
        <x:v>226.5352452528394</x:v>
      </x:c>
      <x:c r="AL191" s="9" t="n">
        <x:f>1000*(AA192-AA190)/(A192-A190)*Inputs!$C$11</x:f>
        <x:v>739.4746314976146</x:v>
      </x:c>
      <x:c r="AM191" s="9" t="n">
        <x:f>-2*AL191/Inputs!$C$13</x:f>
        <x:v>-295.78985259904584</x:v>
      </x:c>
      <x:c r="AN191" s="9" t="n">
        <x:f>-2*AL191/Inputs!$C$14</x:f>
        <x:v>-44.41289078063752</x:v>
      </x:c>
      <x:c r="AO191" s="9" t="n">
        <x:f>ABS(AM191)</x:f>
        <x:v>295.78985259904584</x:v>
      </x:c>
      <x:c r="AP191" s="9" t="n">
        <x:f>ABS(AN191)</x:f>
        <x:v>44.41289078063752</x:v>
      </x:c>
      <x:c r="AQ191" s="9" t="n">
        <x:f>IF(OR(Inputs!$C$27=TRUE,Inputs!$C$27="TRUE",Inputs!$C$27=1),Inputs!$C$46/Inputs!$C$12,0)</x:f>
        <x:v>42.13483146067416</x:v>
      </x:c>
      <x:c r="AR191" s="9" t="n">
        <x:f>AC191-AQ191</x:f>
        <x:v>1423.3612098663596</x:v>
      </x:c>
      <x:c r="AS191" s="9" t="n">
        <x:f>AC191+AQ191</x:f>
        <x:v>1507.6308727877079</x:v>
      </x:c>
    </x:row>
    <x:row r="192">
      <x:c r="A192" s="9" t="n">
        <x:f>Inputs!$C$7+190*(Inputs!$C$8-Inputs!$C$7)/240</x:f>
        <x:v>35</x:v>
      </x:c>
      <x:c r="B192" s="9" t="n">
        <x:f>Inputs!$C$5+Inputs!$C$9*(A192/Inputs!$C$10)^2</x:f>
        <x:v>401.3611111111111</x:v>
      </x:c>
      <x:c r="C192" s="9" t="n">
        <x:f>B192</x:f>
        <x:v>401.3611111111111</x:v>
      </x:c>
      <x:c r="D192" s="9" t="n">
        <x:f>SQRT((Inputs!$C$52+B192)^2+Inputs!$C$52^2-2*(Inputs!$C$52+B192)*Inputs!$C$52*COS(SQRT(A192^2+Inputs!$C$6^2)/Inputs!$C$52))</x:f>
        <x:v>404.2478490762852</x:v>
      </x:c>
      <x:c r="E192" s="9" t="n">
        <x:f>(D192-C192)*1000</x:f>
        <x:v>2886.7379651741203</x:v>
      </x:c>
      <x:c r="F192" s="9" t="n">
        <x:f>E192/Inputs!$C$12</x:f>
        <x:v>1621.7629017832137</x:v>
      </x:c>
      <x:c r="G192" s="9" t="n">
        <x:f>2*E192/Inputs!$C$21*1000000</x:f>
        <x:v>19.258242748549197</x:v>
      </x:c>
      <x:c r="H192" s="9" t="n">
        <x:f>SQRT(A192^2+Inputs!$C$6^2)</x:f>
        <x:v>43.01162633521314</x:v>
      </x:c>
      <x:c r="I192" s="9" t="n">
        <x:f>DEGREES(ATAN(H192/B192))</x:f>
        <x:v>6.116724388997361</x:v>
      </x:c>
      <x:c r="J192" s="9" t="n">
        <x:f>DEGREES((2*PI()/Inputs!$C$13)*Inputs!$C$15*SIN(RADIANS(I192)))</x:f>
        <x:v>38.35955150243656</x:v>
      </x:c>
      <x:c r="K192" s="9" t="n">
        <x:f>(C192/D192)^4</x:f>
        <x:v>0.971740469833793</x:v>
      </x:c>
      <x:c r="L192" s="9" t="n">
        <x:f>10*LOG10(K192)</x:f>
        <x:v>-0.124497099391873</x:v>
      </x:c>
      <x:c r="M192" s="9" t="n">
        <x:f>2*(Inputs!$C$9/(Inputs!$C$10^2))*A192</x:f>
        <x:v>0.07777777777777778</x:v>
      </x:c>
      <x:c r="N192" s="9" t="n">
        <x:f>M192*Inputs!$C$11</x:f>
        <x:v>0.3111111111111111</x:v>
      </x:c>
      <x:c r="O192" s="9" t="n">
        <x:f>1000*(D193-D191)/(A193-A191)*Inputs!$C$11</x:f>
        <x:v>744.6688015527343</x:v>
      </x:c>
      <x:c r="P192" s="9" t="n">
        <x:f>-2*O192/Inputs!$C$13</x:f>
        <x:v>-297.8675206210937</x:v>
      </x:c>
      <x:c r="Q192" s="9" t="n">
        <x:f>-2*O192/Inputs!$C$14</x:f>
        <x:v>-44.72485294611017</x:v>
      </x:c>
      <x:c r="R192" s="9" t="n">
        <x:f>F192-Inputs!$C$16/2</x:f>
        <x:v>1606.7629017832137</x:v>
      </x:c>
      <x:c r="S192" s="9" t="n">
        <x:f>F192+Inputs!$C$16/2</x:f>
        <x:v>1636.7629017832137</x:v>
      </x:c>
      <x:c r="T192" s="9" t="n">
        <x:f>F192-Inputs!$C$17/2</x:f>
        <x:v>1471.7629017832137</x:v>
      </x:c>
      <x:c r="U192" s="9" t="n">
        <x:f>F192+Inputs!$C$17/2</x:f>
        <x:v>1771.7629017832137</x:v>
      </x:c>
      <x:c r="V192" s="9" t="n">
        <x:f>ABS(P192)</x:f>
        <x:v>297.8675206210937</x:v>
      </x:c>
      <x:c r="W192" s="9" t="n">
        <x:f>ABS(Q192)</x:f>
        <x:v>44.72485294611017</x:v>
      </x:c>
      <x:c r="X192" s="9"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x:f>
        <x:v>28.92396994213728</x:v>
      </x:c>
      <x:c r="Y192" s="9"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x:f>
        <x:v>242.00890812042311</x:v>
      </x:c>
      <x:c r="Z192" s="9" t="n">
        <x:f>B192-X192/1000</x:f>
        <x:v>401.33218714116896</x:v>
      </x:c>
      <x:c r="AA192" s="9" t="n">
        <x:f>SQRT((Inputs!$C$52+B192)^2+(Inputs!$C$52+Y192/1000)^2-2*(Inputs!$C$52+B192)*(Inputs!$C$52+Y192/1000)*COS(SQRT(A192^2+Inputs!$C$6^2)/Inputs!$C$52))</x:f>
        <x:v>404.00801565601193</x:v>
      </x:c>
      <x:c r="AB192" s="9" t="n">
        <x:f>(AA192-Z192)*1000</x:f>
        <x:v>2675.8285148429763</x:v>
      </x:c>
      <x:c r="AC192" s="9" t="n">
        <x:f>AB192/Inputs!$C$12</x:f>
        <x:v>1503.2744465409978</x:v>
      </x:c>
      <x:c r="AD192" s="9" t="n">
        <x:f>2*AB192/Inputs!$C$21*1000000</x:f>
        <x:v>17.85120634918025</x:v>
      </x:c>
      <x:c r="AE192" s="9" t="n">
        <x:f>DEGREES(ATAN(H192/(B192-Y192/1000)))</x:f>
        <x:v>6.120386817292944</x:v>
      </x:c>
      <x:c r="AF192" s="9" t="n">
        <x:f>DEGREES((2*PI()/Inputs!$C$13)*Inputs!$C$15*SIN(RADIANS(AE192)))</x:f>
        <x:v>38.382432131336515</x:v>
      </x:c>
      <x:c r="AG192" s="9" t="n">
        <x:f>(Z192/AA192)^4</x:f>
        <x:v>0.9737692149580199</x:v>
      </x:c>
      <x:c r="AH192" s="9" t="n">
        <x:f>10*LOG10(AG192)</x:f>
        <x:v>-0.115439594935471</x:v>
      </x:c>
      <x:c r="AI192" s="9" t="n">
        <x:f>AC192-F192</x:f>
        <x:v>-118.48845524221588</x:v>
      </x:c>
      <x:c r="AJ192" s="9" t="n">
        <x:f>AD192-G192</x:f>
        <x:v>-1.4070363993689483</x:v>
      </x:c>
      <x:c r="AK192" s="9" t="n">
        <x:f>Y192-X192</x:f>
        <x:v>213.08493817828582</x:v>
      </x:c>
      <x:c r="AL192" s="9" t="n">
        <x:f>1000*(AA193-AA191)/(A193-A191)*Inputs!$C$11</x:f>
        <x:v>769.5880829046473</x:v>
      </x:c>
      <x:c r="AM192" s="9" t="n">
        <x:f>-2*AL192/Inputs!$C$13</x:f>
        <x:v>-307.8352331618589</x:v>
      </x:c>
      <x:c r="AN192" s="9" t="n">
        <x:f>-2*AL192/Inputs!$C$14</x:f>
        <x:v>-46.2215064807596</x:v>
      </x:c>
      <x:c r="AO192" s="9" t="n">
        <x:f>ABS(AM192)</x:f>
        <x:v>307.8352331618589</x:v>
      </x:c>
      <x:c r="AP192" s="9" t="n">
        <x:f>ABS(AN192)</x:f>
        <x:v>46.2215064807596</x:v>
      </x:c>
      <x:c r="AQ192" s="9" t="n">
        <x:f>IF(OR(Inputs!$C$27=TRUE,Inputs!$C$27="TRUE",Inputs!$C$27=1),Inputs!$C$46/Inputs!$C$12,0)</x:f>
        <x:v>42.13483146067416</x:v>
      </x:c>
      <x:c r="AR192" s="9" t="n">
        <x:f>AC192-AQ192</x:f>
        <x:v>1461.1396150803237</x:v>
      </x:c>
      <x:c r="AS192" s="9" t="n">
        <x:f>AC192+AQ192</x:f>
        <x:v>1545.409278001672</x:v>
      </x:c>
    </x:row>
    <x:row r="193">
      <x:c r="A193" s="9" t="n">
        <x:f>Inputs!$C$7+191*(Inputs!$C$8-Inputs!$C$7)/240</x:f>
        <x:v>35.5</x:v>
      </x:c>
      <x:c r="B193" s="9" t="n">
        <x:f>Inputs!$C$5+Inputs!$C$9*(A193/Inputs!$C$10)^2</x:f>
        <x:v>401.4002777777778</x:v>
      </x:c>
      <x:c r="C193" s="9" t="n">
        <x:f>B193</x:f>
        <x:v>401.4002777777778</x:v>
      </x:c>
      <x:c r="D193" s="9" t="n">
        <x:f>SQRT((Inputs!$C$52+B193)^2+Inputs!$C$52^2-2*(Inputs!$C$52+B193)*Inputs!$C$52*COS(SQRT(A193^2+Inputs!$C$6^2)/Inputs!$C$52))</x:f>
        <x:v>404.341589726749</x:v>
      </x:c>
      <x:c r="E193" s="9" t="n">
        <x:f>(D193-C193)*1000</x:f>
        <x:v>2941.311948971247</x:v>
      </x:c>
      <x:c r="F193" s="9" t="n">
        <x:f>E193/Inputs!$C$12</x:f>
        <x:v>1652.4224432422736</x:v>
      </x:c>
      <x:c r="G193" s="9" t="n">
        <x:f>2*E193/Inputs!$C$21*1000000</x:f>
        <x:v>19.622321179082146</x:v>
      </x:c>
      <x:c r="H193" s="9" t="n">
        <x:f>SQRT(A193^2+Inputs!$C$6^2)</x:f>
        <x:v>43.41946568072896</x:v>
      </x:c>
      <x:c r="I193" s="9" t="n">
        <x:f>DEGREES(ATAN(H193/B193))</x:f>
        <x:v>6.173679915861962</x:v>
      </x:c>
      <x:c r="J193" s="9" t="n">
        <x:f>DEGREES((2*PI()/Inputs!$C$13)*Inputs!$C$15*SIN(RADIANS(I193)))</x:f>
        <x:v>38.71535727003771</x:v>
      </x:c>
      <x:c r="K193" s="9" t="n">
        <x:f>(C193/D193)^4</x:f>
        <x:v>0.9712186597157199</x:v>
      </x:c>
      <x:c r="L193" s="9" t="n">
        <x:f>10*LOG10(K193)</x:f>
        <x:v>-0.126829822266816</x:v>
      </x:c>
      <x:c r="M193" s="9" t="n">
        <x:f>2*(Inputs!$C$9/(Inputs!$C$10^2))*A193</x:f>
        <x:v>0.07888888888888888</x:v>
      </x:c>
      <x:c r="N193" s="9" t="n">
        <x:f>M193*Inputs!$C$11</x:f>
        <x:v>0.31555555555555553</x:v>
      </x:c>
      <x:c r="O193" s="9" t="n">
        <x:f>1000*(D194-D192)/(A194-A192)*Inputs!$C$11</x:f>
        <x:v>755.1789462022498</x:v>
      </x:c>
      <x:c r="P193" s="9" t="n">
        <x:f>-2*O193/Inputs!$C$13</x:f>
        <x:v>-302.0715784808999</x:v>
      </x:c>
      <x:c r="Q193" s="9" t="n">
        <x:f>-2*O193/Inputs!$C$14</x:f>
        <x:v>-45.356092864999994</x:v>
      </x:c>
      <x:c r="R193" s="9" t="n">
        <x:f>F193-Inputs!$C$16/2</x:f>
        <x:v>1637.4224432422736</x:v>
      </x:c>
      <x:c r="S193" s="9" t="n">
        <x:f>F193+Inputs!$C$16/2</x:f>
        <x:v>1667.4224432422736</x:v>
      </x:c>
      <x:c r="T193" s="9" t="n">
        <x:f>F193-Inputs!$C$17/2</x:f>
        <x:v>1502.4224432422736</x:v>
      </x:c>
      <x:c r="U193" s="9" t="n">
        <x:f>F193+Inputs!$C$17/2</x:f>
        <x:v>1802.4224432422736</x:v>
      </x:c>
      <x:c r="V193" s="9" t="n">
        <x:f>ABS(P193)</x:f>
        <x:v>302.0715784808999</x:v>
      </x:c>
      <x:c r="W193" s="9" t="n">
        <x:f>ABS(Q193)</x:f>
        <x:v>45.356092864999994</x:v>
      </x:c>
      <x:c r="X193" s="9"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x:f>
        <x:v>32.227616256478356</x:v>
      </x:c>
      <x:c r="Y193" s="9"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x:f>
        <x:v>242.63788270086079</x:v>
      </x:c>
      <x:c r="Z193" s="9" t="n">
        <x:f>B193-X193/1000</x:f>
        <x:v>401.3680501615213</x:v>
      </x:c>
      <x:c r="AA193" s="9" t="n">
        <x:f>SQRT((Inputs!$C$52+B193)^2+(Inputs!$C$52+Y193/1000)^2-2*(Inputs!$C$52+B193)*(Inputs!$C$52+Y193/1000)*COS(SQRT(A193^2+Inputs!$C$6^2)/Inputs!$C$52))</x:f>
        <x:v>404.1011737835629</x:v>
      </x:c>
      <x:c r="AB193" s="9" t="n">
        <x:f>(AA193-Z193)*1000</x:f>
        <x:v>2733.123622041603</x:v>
      </x:c>
      <x:c r="AC193" s="9" t="n">
        <x:f>AB193/Inputs!$C$12</x:f>
        <x:v>1535.4627090121364</x:v>
      </x:c>
      <x:c r="AD193" s="9" t="n">
        <x:f>2*AB193/Inputs!$C$21*1000000</x:f>
        <x:v>18.23343816102007</x:v>
      </x:c>
      <x:c r="AE193" s="9" t="n">
        <x:f>DEGREES(ATAN(H193/(B193-Y193/1000)))</x:f>
        <x:v>6.177385168873344</x:v>
      </x:c>
      <x:c r="AF193" s="9" t="n">
        <x:f>DEGREES((2*PI()/Inputs!$C$13)*Inputs!$C$15*SIN(RADIANS(AE193)))</x:f>
        <x:v>38.738502962722194</x:v>
      </x:c>
      <x:c r="AG193" s="9" t="n">
        <x:f>(Z193/AA193)^4</x:f>
        <x:v>0.9732193763567304</x:v>
      </x:c>
      <x:c r="AH193" s="9" t="n">
        <x:f>10*LOG10(AG193)</x:f>
        <x:v>-0.11789253048826</x:v>
      </x:c>
      <x:c r="AI193" s="9" t="n">
        <x:f>AC193-F193</x:f>
        <x:v>-116.9597342301372</x:v>
      </x:c>
      <x:c r="AJ193" s="9" t="n">
        <x:f>AD193-G193</x:f>
        <x:v>-1.3888830180620744</x:v>
      </x:c>
      <x:c r="AK193" s="9" t="n">
        <x:f>Y193-X193</x:f>
        <x:v>210.41026644438244</x:v>
      </x:c>
      <x:c r="AL193" s="9" t="n">
        <x:f>1000*(AA194-AA192)/(A194-A192)*Inputs!$C$11</x:f>
        <x:v>716.517485978784</x:v>
      </x:c>
      <x:c r="AM193" s="9" t="n">
        <x:f>-2*AL193/Inputs!$C$13</x:f>
        <x:v>-286.6069943915136</x:v>
      </x:c>
      <x:c r="AN193" s="9" t="n">
        <x:f>-2*AL193/Inputs!$C$14</x:f>
        <x:v>-43.03408324196901</x:v>
      </x:c>
      <x:c r="AO193" s="9" t="n">
        <x:f>ABS(AM193)</x:f>
        <x:v>286.6069943915136</x:v>
      </x:c>
      <x:c r="AP193" s="9" t="n">
        <x:f>ABS(AN193)</x:f>
        <x:v>43.03408324196901</x:v>
      </x:c>
      <x:c r="AQ193" s="9" t="n">
        <x:f>IF(OR(Inputs!$C$27=TRUE,Inputs!$C$27="TRUE",Inputs!$C$27=1),Inputs!$C$46/Inputs!$C$12,0)</x:f>
        <x:v>42.13483146067416</x:v>
      </x:c>
      <x:c r="AR193" s="9" t="n">
        <x:f>AC193-AQ193</x:f>
        <x:v>1493.3278775514623</x:v>
      </x:c>
      <x:c r="AS193" s="9" t="n">
        <x:f>AC193+AQ193</x:f>
        <x:v>1577.5975404728106</x:v>
      </x:c>
    </x:row>
    <x:row r="194">
      <x:c r="A194" s="9" t="n">
        <x:f>Inputs!$C$7+192*(Inputs!$C$8-Inputs!$C$7)/240</x:f>
        <x:v>36</x:v>
      </x:c>
      <x:c r="B194" s="9" t="n">
        <x:f>Inputs!$C$5+Inputs!$C$9*(A194/Inputs!$C$10)^2</x:f>
        <x:v>401.44</x:v>
      </x:c>
      <x:c r="C194" s="9" t="n">
        <x:f>B194</x:f>
        <x:v>401.44</x:v>
      </x:c>
      <x:c r="D194" s="9" t="n">
        <x:f>SQRT((Inputs!$C$52+B194)^2+Inputs!$C$52^2-2*(Inputs!$C$52+B194)*Inputs!$C$52*COS(SQRT(A194^2+Inputs!$C$6^2)/Inputs!$C$52))</x:f>
        <x:v>404.43664381283577</x:v>
      </x:c>
      <x:c r="E194" s="9" t="n">
        <x:f>(D194-C194)*1000</x:f>
        <x:v>2996.643812835771</x:v>
      </x:c>
      <x:c r="F194" s="9" t="n">
        <x:f>E194/Inputs!$C$12</x:f>
        <x:v>1683.507760020096</x:v>
      </x:c>
      <x:c r="G194" s="9" t="n">
        <x:f>2*E194/Inputs!$C$21*1000000</x:f>
        <x:v>19.99145564119409</x:v>
      </x:c>
      <x:c r="H194" s="9" t="n">
        <x:f>SQRT(A194^2+Inputs!$C$6^2)</x:f>
        <x:v>43.829214001622255</x:v>
      </x:c>
      <x:c r="I194" s="9" t="n">
        <x:f>DEGREES(ATAN(H194/B194))</x:f>
        <x:v>6.23087278213282</x:v>
      </x:c>
      <x:c r="J194" s="9" t="n">
        <x:f>DEGREES((2*PI()/Inputs!$C$13)*Inputs!$C$15*SIN(RADIANS(I194)))</x:f>
        <x:v>39.0726072191931</x:v>
      </x:c>
      <x:c r="K194" s="9" t="n">
        <x:f>(C194/D194)^4</x:f>
        <x:v>0.970690065330411</x:v>
      </x:c>
      <x:c r="L194" s="9" t="n">
        <x:f>10*LOG10(K194)</x:f>
        <x:v>-0.12919415203591</x:v>
      </x:c>
      <x:c r="M194" s="9" t="n">
        <x:f>2*(Inputs!$C$9/(Inputs!$C$10^2))*A194</x:f>
        <x:v>0.08</x:v>
      </x:c>
      <x:c r="N194" s="9" t="n">
        <x:f>M194*Inputs!$C$11</x:f>
        <x:v>0.32</x:v>
      </x:c>
      <x:c r="O194" s="9" t="n">
        <x:f>1000*(D195-D193)/(A195-A193)*Inputs!$C$11</x:f>
        <x:v>765.6837369277127</x:v>
      </x:c>
      <x:c r="P194" s="9" t="n">
        <x:f>-2*O194/Inputs!$C$13</x:f>
        <x:v>-306.2734947710851</x:v>
      </x:c>
      <x:c r="Q194" s="9" t="n">
        <x:f>-2*O194/Inputs!$C$14</x:f>
        <x:v>-45.987011226889656</x:v>
      </x:c>
      <x:c r="R194" s="9" t="n">
        <x:f>F194-Inputs!$C$16/2</x:f>
        <x:v>1668.507760020096</x:v>
      </x:c>
      <x:c r="S194" s="9" t="n">
        <x:f>F194+Inputs!$C$16/2</x:f>
        <x:v>1698.507760020096</x:v>
      </x:c>
      <x:c r="T194" s="9" t="n">
        <x:f>F194-Inputs!$C$17/2</x:f>
        <x:v>1533.507760020096</x:v>
      </x:c>
      <x:c r="U194" s="9" t="n">
        <x:f>F194+Inputs!$C$17/2</x:f>
        <x:v>1833.507760020096</x:v>
      </x:c>
      <x:c r="V194" s="9" t="n">
        <x:f>ABS(P194)</x:f>
        <x:v>306.2734947710851</x:v>
      </x:c>
      <x:c r="W194" s="9" t="n">
        <x:f>ABS(Q194)</x:f>
        <x:v>45.987011226889656</x:v>
      </x:c>
      <x:c r="X194" s="9"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x:f>
        <x:v>45.422536466318</x:v>
      </x:c>
      <x:c r="Y194" s="9"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x:f>
        <x:v>251.8480330414438</x:v>
      </x:c>
      <x:c r="Z194" s="9" t="n">
        <x:f>B194-X194/1000</x:f>
        <x:v>401.39457746353366</x:v>
      </x:c>
      <x:c r="AA194" s="9" t="n">
        <x:f>SQRT((Inputs!$C$52+B194)^2+(Inputs!$C$52+Y194/1000)^2-2*(Inputs!$C$52+B194)*(Inputs!$C$52+Y194/1000)*COS(SQRT(A194^2+Inputs!$C$6^2)/Inputs!$C$52))</x:f>
        <x:v>404.18714502750663</x:v>
      </x:c>
      <x:c r="AB194" s="9" t="n">
        <x:f>(AA194-Z194)*1000</x:f>
        <x:v>2792.567563972966</x:v>
      </x:c>
      <x:c r="AC194" s="9" t="n">
        <x:f>AB194/Inputs!$C$12</x:f>
        <x:v>1568.8581820072843</x:v>
      </x:c>
      <x:c r="AD194" s="9" t="n">
        <x:f>2*AB194/Inputs!$C$21*1000000</x:f>
        <x:v>18.630005455127</x:v>
      </x:c>
      <x:c r="AE194" s="9" t="n">
        <x:f>DEGREES(ATAN(H194/(B194-Y194/1000)))</x:f>
        <x:v>6.234753451370284</x:v>
      </x:c>
      <x:c r="AF194" s="9" t="n">
        <x:f>DEGREES((2*PI()/Inputs!$C$13)*Inputs!$C$15*SIN(RADIANS(AE194)))</x:f>
        <x:v>39.09684605420546</x:v>
      </x:c>
      <x:c r="AG194" s="9" t="n">
        <x:f>(Z194/AA194)^4</x:f>
        <x:v>0.9726487148456855</x:v>
      </x:c>
      <x:c r="AH194" s="9" t="n">
        <x:f>10*LOG10(AG194)</x:f>
        <x:v>-0.12043982702400201</x:v>
      </x:c>
      <x:c r="AI194" s="9" t="n">
        <x:f>AC194-F194</x:f>
        <x:v>-114.64957801281162</x:v>
      </x:c>
      <x:c r="AJ194" s="9" t="n">
        <x:f>AD194-G194</x:f>
        <x:v>-1.3614501860670885</x:v>
      </x:c>
      <x:c r="AK194" s="9" t="n">
        <x:f>Y194-X194</x:f>
        <x:v>206.4254965751258</x:v>
      </x:c>
      <x:c r="AL194" s="9" t="n">
        <x:f>1000*(AA195-AA193)/(A195-A193)*Inputs!$C$11</x:f>
        <x:v>640.5202104870114</x:v>
      </x:c>
      <x:c r="AM194" s="9" t="n">
        <x:f>-2*AL194/Inputs!$C$13</x:f>
        <x:v>-256.20808419480454</x:v>
      </x:c>
      <x:c r="AN194" s="9" t="n">
        <x:f>-2*AL194/Inputs!$C$14</x:f>
        <x:v>-38.46968231153222</x:v>
      </x:c>
      <x:c r="AO194" s="9" t="n">
        <x:f>ABS(AM194)</x:f>
        <x:v>256.20808419480454</x:v>
      </x:c>
      <x:c r="AP194" s="9" t="n">
        <x:f>ABS(AN194)</x:f>
        <x:v>38.46968231153222</x:v>
      </x:c>
      <x:c r="AQ194" s="9" t="n">
        <x:f>IF(OR(Inputs!$C$27=TRUE,Inputs!$C$27="TRUE",Inputs!$C$27=1),Inputs!$C$46/Inputs!$C$12,0)</x:f>
        <x:v>42.13483146067416</x:v>
      </x:c>
      <x:c r="AR194" s="9" t="n">
        <x:f>AC194-AQ194</x:f>
        <x:v>1526.7233505466102</x:v>
      </x:c>
      <x:c r="AS194" s="9" t="n">
        <x:f>AC194+AQ194</x:f>
        <x:v>1610.9930134679585</x:v>
      </x:c>
    </x:row>
    <x:row r="195">
      <x:c r="A195" s="9" t="n">
        <x:f>Inputs!$C$7+193*(Inputs!$C$8-Inputs!$C$7)/240</x:f>
        <x:v>36.5</x:v>
      </x:c>
      <x:c r="B195" s="9" t="n">
        <x:f>Inputs!$C$5+Inputs!$C$9*(A195/Inputs!$C$10)^2</x:f>
        <x:v>401.48027777777776</x:v>
      </x:c>
      <x:c r="C195" s="9" t="n">
        <x:f>B195</x:f>
        <x:v>401.48027777777776</x:v>
      </x:c>
      <x:c r="D195" s="9" t="n">
        <x:f>SQRT((Inputs!$C$52+B195)^2+Inputs!$C$52^2-2*(Inputs!$C$52+B195)*Inputs!$C$52*COS(SQRT(A195^2+Inputs!$C$6^2)/Inputs!$C$52))</x:f>
        <x:v>404.53301066098095</x:v>
      </x:c>
      <x:c r="E195" s="9" t="n">
        <x:f>(D195-C195)*1000</x:f>
        <x:v>3052.7328832031912</x:v>
      </x:c>
      <x:c r="F195" s="9" t="n">
        <x:f>E195/Inputs!$C$12</x:f>
        <x:v>1715.0184737096579</x:v>
      </x:c>
      <x:c r="G195" s="9" t="n">
        <x:f>2*E195/Inputs!$C$21*1000000</x:f>
        <x:v>20.36564164134637</x:v>
      </x:c>
      <x:c r="H195" s="9" t="n">
        <x:f>SQRT(A195^2+Inputs!$C$6^2)</x:f>
        <x:v>44.24081825644729</x:v>
      </x:c>
      <x:c r="I195" s="9" t="n">
        <x:f>DEGREES(ATAN(H195/B195))</x:f>
        <x:v>6.288294925190011</x:v>
      </x:c>
      <x:c r="J195" s="9" t="n">
        <x:f>DEGREES((2*PI()/Inputs!$C$13)*Inputs!$C$15*SIN(RADIANS(I195)))</x:f>
        <x:v>39.43125015731848</x:v>
      </x:c>
      <x:c r="K195" s="9" t="n">
        <x:f>(C195/D195)^4</x:f>
        <x:v>0.9701547117238182</x:v>
      </x:c>
      <x:c r="L195" s="9" t="n">
        <x:f>10*LOG10(K195)</x:f>
        <x:v>-0.131590027541831</x:v>
      </x:c>
      <x:c r="M195" s="9" t="n">
        <x:f>2*(Inputs!$C$9/(Inputs!$C$10^2))*A195</x:f>
        <x:v>0.0811111111111111</x:v>
      </x:c>
      <x:c r="N195" s="9" t="n">
        <x:f>M195*Inputs!$C$11</x:f>
        <x:v>0.3244444444444444</x:v>
      </x:c>
      <x:c r="O195" s="9" t="n">
        <x:f>1000*(D196-D194)/(A196-A194)*Inputs!$C$11</x:f>
        <x:v>776.1831047143914</x:v>
      </x:c>
      <x:c r="P195" s="9" t="n">
        <x:f>-2*O195/Inputs!$C$13</x:f>
        <x:v>-310.4732418857566</x:v>
      </x:c>
      <x:c r="Q195" s="9" t="n">
        <x:f>-2*O195/Inputs!$C$14</x:f>
        <x:v>-46.61760388675024</x:v>
      </x:c>
      <x:c r="R195" s="9" t="n">
        <x:f>F195-Inputs!$C$16/2</x:f>
        <x:v>1700.0184737096579</x:v>
      </x:c>
      <x:c r="S195" s="9" t="n">
        <x:f>F195+Inputs!$C$16/2</x:f>
        <x:v>1730.0184737096579</x:v>
      </x:c>
      <x:c r="T195" s="9" t="n">
        <x:f>F195-Inputs!$C$17/2</x:f>
        <x:v>1565.0184737096579</x:v>
      </x:c>
      <x:c r="U195" s="9" t="n">
        <x:f>F195+Inputs!$C$17/2</x:f>
        <x:v>1865.0184737096579</x:v>
      </x:c>
      <x:c r="V195" s="9" t="n">
        <x:f>ABS(P195)</x:f>
        <x:v>310.4732418857566</x:v>
      </x:c>
      <x:c r="W195" s="9" t="n">
        <x:f>ABS(Q195)</x:f>
        <x:v>46.61760388675024</x:v>
      </x:c>
      <x:c r="X195" s="9"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x:f>
        <x:v>44.98219479967033</x:v>
      </x:c>
      <x:c r="Y195" s="9"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x:f>
        <x:v>274.3131350022337</x:v>
      </x:c>
      <x:c r="Z195" s="9" t="n">
        <x:f>B195-X195/1000</x:f>
        <x:v>401.4352955829781</x:v>
      </x:c>
      <x:c r="AA195" s="9" t="n">
        <x:f>SQRT((Inputs!$C$52+B195)^2+(Inputs!$C$52+Y195/1000)^2-2*(Inputs!$C$52+B195)*(Inputs!$C$52+Y195/1000)*COS(SQRT(A195^2+Inputs!$C$6^2)/Inputs!$C$52))</x:f>
        <x:v>404.26130383618465</x:v>
      </x:c>
      <x:c r="AB195" s="9" t="n">
        <x:f>(AA195-Z195)*1000</x:f>
        <x:v>2826.0082532065667</x:v>
      </x:c>
      <x:c r="AC195" s="9" t="n">
        <x:f>AB195/Inputs!$C$12</x:f>
        <x:v>1587.6450860711047</x:v>
      </x:c>
      <x:c r="AD195" s="9" t="n">
        <x:f>2*AB195/Inputs!$C$21*1000000</x:f>
        <x:v>18.853097720067172</x:v>
      </x:c>
      <x:c r="AE195" s="9" t="n">
        <x:f>DEGREES(ATAN(H195/(B195-Y195/1000)))</x:f>
        <x:v>6.292559889962323</x:v>
      </x:c>
      <x:c r="AF195" s="9" t="n">
        <x:f>DEGREES((2*PI()/Inputs!$C$13)*Inputs!$C$15*SIN(RADIANS(AE195)))</x:f>
        <x:v>39.457886380548615</x:v>
      </x:c>
      <x:c r="AG195" s="9" t="n">
        <x:f>(Z195/AA195)^4</x:f>
        <x:v>0.9723296485280044</x:v>
      </x:c>
      <x:c r="AH195" s="9" t="n">
        <x:f>10*LOG10(AG195)</x:f>
        <x:v>-0.121864714261644</x:v>
      </x:c>
      <x:c r="AI195" s="9" t="n">
        <x:f>AC195-F195</x:f>
        <x:v>-127.37338763855314</x:v>
      </x:c>
      <x:c r="AJ195" s="9" t="n">
        <x:f>AD195-G195</x:f>
        <x:v>-1.5125439212791996</x:v>
      </x:c>
      <x:c r="AK195" s="9" t="n">
        <x:f>Y195-X195</x:f>
        <x:v>229.33094020256337</x:v>
      </x:c>
      <x:c r="AL195" s="9" t="n">
        <x:f>1000*(AA196-AA194)/(A196-A194)*Inputs!$C$11</x:f>
        <x:v>675.8302911002829</x:v>
      </x:c>
      <x:c r="AM195" s="9" t="n">
        <x:f>-2*AL195/Inputs!$C$13</x:f>
        <x:v>-270.33211644011317</x:v>
      </x:c>
      <x:c r="AN195" s="9" t="n">
        <x:f>-2*AL195/Inputs!$C$14</x:f>
        <x:v>-40.59040787389087</x:v>
      </x:c>
      <x:c r="AO195" s="9" t="n">
        <x:f>ABS(AM195)</x:f>
        <x:v>270.33211644011317</x:v>
      </x:c>
      <x:c r="AP195" s="9" t="n">
        <x:f>ABS(AN195)</x:f>
        <x:v>40.59040787389087</x:v>
      </x:c>
      <x:c r="AQ195" s="9" t="n">
        <x:f>IF(OR(Inputs!$C$27=TRUE,Inputs!$C$27="TRUE",Inputs!$C$27=1),Inputs!$C$46/Inputs!$C$12,0)</x:f>
        <x:v>42.13483146067416</x:v>
      </x:c>
      <x:c r="AR195" s="9" t="n">
        <x:f>AC195-AQ195</x:f>
        <x:v>1545.5102546104306</x:v>
      </x:c>
      <x:c r="AS195" s="9" t="n">
        <x:f>AC195+AQ195</x:f>
        <x:v>1629.779917531779</x:v>
      </x:c>
    </x:row>
    <x:row r="196">
      <x:c r="A196" s="9" t="n">
        <x:f>Inputs!$C$7+194*(Inputs!$C$8-Inputs!$C$7)/240</x:f>
        <x:v>37</x:v>
      </x:c>
      <x:c r="B196" s="9" t="n">
        <x:f>Inputs!$C$5+Inputs!$C$9*(A196/Inputs!$C$10)^2</x:f>
        <x:v>401.5211111111111</x:v>
      </x:c>
      <x:c r="C196" s="9" t="n">
        <x:f>B196</x:f>
        <x:v>401.5211111111111</x:v>
      </x:c>
      <x:c r="D196" s="9" t="n">
        <x:f>SQRT((Inputs!$C$52+B196)^2+Inputs!$C$52^2-2*(Inputs!$C$52+B196)*Inputs!$C$52*COS(SQRT(A196^2+Inputs!$C$6^2)/Inputs!$C$52))</x:f>
        <x:v>404.63068958901437</x:v>
      </x:c>
      <x:c r="E196" s="9" t="n">
        <x:f>(D196-C196)*1000</x:f>
        <x:v>3109.5784779032556</x:v>
      </x:c>
      <x:c r="F196" s="9" t="n">
        <x:f>E196/Inputs!$C$12</x:f>
        <x:v>1746.9542010692446</x:v>
      </x:c>
      <x:c r="G196" s="9" t="n">
        <x:f>2*E196/Inputs!$C$21*1000000</x:f>
        <x:v>20.744874628588924</x:v>
      </x:c>
      <x:c r="H196" s="9" t="n">
        <x:f>SQRT(A196^2+Inputs!$C$6^2)</x:f>
        <x:v>44.654227123532216</x:v>
      </x:c>
      <x:c r="I196" s="9" t="n">
        <x:f>DEGREES(ATAN(H196/B196))</x:f>
        <x:v>6.345938529407371</x:v>
      </x:c>
      <x:c r="J196" s="9" t="n">
        <x:f>DEGREES((2*PI()/Inputs!$C$13)*Inputs!$C$15*SIN(RADIANS(I196)))</x:f>
        <x:v>39.791236445792514</x:v>
      </x:c>
      <x:c r="K196" s="9" t="n">
        <x:f>(C196/D196)^4</x:f>
        <x:v>0.9696126242218804</x:v>
      </x:c>
      <x:c r="L196" s="9" t="n">
        <x:f>10*LOG10(K196)</x:f>
        <x:v>-0.134017386870616</x:v>
      </x:c>
      <x:c r="M196" s="9" t="n">
        <x:f>2*(Inputs!$C$9/(Inputs!$C$10^2))*A196</x:f>
        <x:v>0.08222222222222222</x:v>
      </x:c>
      <x:c r="N196" s="9" t="n">
        <x:f>M196*Inputs!$C$11</x:f>
        <x:v>0.3288888888888889</x:v>
      </x:c>
      <x:c r="O196" s="9" t="n">
        <x:f>1000*(D197-D195)/(A197-A195)*Inputs!$C$11</x:f>
        <x:v>786.6769807858418</x:v>
      </x:c>
      <x:c r="P196" s="9" t="n">
        <x:f>-2*O196/Inputs!$C$13</x:f>
        <x:v>-314.6707923143367</x:v>
      </x:c>
      <x:c r="Q196" s="9" t="n">
        <x:f>-2*O196/Inputs!$C$14</x:f>
        <x:v>-47.247866713864376</x:v>
      </x:c>
      <x:c r="R196" s="9" t="n">
        <x:f>F196-Inputs!$C$16/2</x:f>
        <x:v>1731.9542010692446</x:v>
      </x:c>
      <x:c r="S196" s="9" t="n">
        <x:f>F196+Inputs!$C$16/2</x:f>
        <x:v>1761.9542010692446</x:v>
      </x:c>
      <x:c r="T196" s="9" t="n">
        <x:f>F196-Inputs!$C$17/2</x:f>
        <x:v>1596.9542010692446</x:v>
      </x:c>
      <x:c r="U196" s="9" t="n">
        <x:f>F196+Inputs!$C$17/2</x:f>
        <x:v>1896.9542010692446</x:v>
      </x:c>
      <x:c r="V196" s="9" t="n">
        <x:f>ABS(P196)</x:f>
        <x:v>314.6707923143367</x:v>
      </x:c>
      <x:c r="W196" s="9" t="n">
        <x:f>ABS(Q196)</x:f>
        <x:v>47.247866713864376</x:v>
      </x:c>
      <x:c r="X196" s="9"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x:f>
        <x:v>58.36098804305038</x:v>
      </x:c>
      <x:c r="Y196" s="9"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x:f>
        <x:v>277.26991348245565</x:v>
      </x:c>
      <x:c r="Z196" s="9" t="n">
        <x:f>B196-X196/1000</x:f>
        <x:v>401.4627501230681</x:v>
      </x:c>
      <x:c r="AA196" s="9" t="n">
        <x:f>SQRT((Inputs!$C$52+B196)^2+(Inputs!$C$52+Y196/1000)^2-2*(Inputs!$C$52+B196)*(Inputs!$C$52+Y196/1000)*COS(SQRT(A196^2+Inputs!$C$6^2)/Inputs!$C$52))</x:f>
        <x:v>404.3561026002817</x:v>
      </x:c>
      <x:c r="AB196" s="9" t="n">
        <x:f>(AA196-Z196)*1000</x:f>
        <x:v>2893.352477213625</x:v>
      </x:c>
      <x:c r="AC196" s="9" t="n">
        <x:f>AB196/Inputs!$C$12</x:f>
        <x:v>1625.4789197829355</x:v>
      </x:c>
      <x:c r="AD196" s="9" t="n">
        <x:f>2*AB196/Inputs!$C$21*1000000</x:f>
        <x:v>19.302370023021897</x:v>
      </x:c>
      <x:c r="AE196" s="9" t="n">
        <x:f>DEGREES(ATAN(H196/(B196-Y196/1000)))</x:f>
        <x:v>6.350287925973654</x:v>
      </x:c>
      <x:c r="AF196" s="9" t="n">
        <x:f>DEGREES((2*PI()/Inputs!$C$13)*Inputs!$C$15*SIN(RADIANS(AE196)))</x:f>
        <x:v>39.818396947193</x:v>
      </x:c>
      <x:c r="AG196" s="9" t="n">
        <x:f>(Z196/AA196)^4</x:f>
        <x:v>0.9716839147607972</x:v>
      </x:c>
      <x:c r="AH196" s="9" t="n">
        <x:f>10*LOG10(AG196)</x:f>
        <x:v>-0.124749865142137</x:v>
      </x:c>
      <x:c r="AI196" s="9" t="n">
        <x:f>AC196-F196</x:f>
        <x:v>-121.47528128630915</x:v>
      </x:c>
      <x:c r="AJ196" s="9" t="n">
        <x:f>AD196-G196</x:f>
        <x:v>-1.4425046055670272</x:v>
      </x:c>
      <x:c r="AK196" s="9" t="n">
        <x:f>Y196-X196</x:f>
        <x:v>218.90892543940527</x:v>
      </x:c>
      <x:c r="AL196" s="9" t="n">
        <x:f>1000*(AA197-AA195)/(A197-A195)*Inputs!$C$11</x:f>
        <x:v>761.8300064207233</x:v>
      </x:c>
      <x:c r="AM196" s="9" t="n">
        <x:f>-2*AL196/Inputs!$C$13</x:f>
        <x:v>-304.7320025682893</x:v>
      </x:c>
      <x:c r="AN196" s="9" t="n">
        <x:f>-2*AL196/Inputs!$C$14</x:f>
        <x:v>-45.75555594118459</x:v>
      </x:c>
      <x:c r="AO196" s="9" t="n">
        <x:f>ABS(AM196)</x:f>
        <x:v>304.7320025682893</x:v>
      </x:c>
      <x:c r="AP196" s="9" t="n">
        <x:f>ABS(AN196)</x:f>
        <x:v>45.75555594118459</x:v>
      </x:c>
      <x:c r="AQ196" s="9" t="n">
        <x:f>IF(OR(Inputs!$C$27=TRUE,Inputs!$C$27="TRUE",Inputs!$C$27=1),Inputs!$C$46/Inputs!$C$12,0)</x:f>
        <x:v>42.13483146067416</x:v>
      </x:c>
      <x:c r="AR196" s="9" t="n">
        <x:f>AC196-AQ196</x:f>
        <x:v>1583.3440883222613</x:v>
      </x:c>
      <x:c r="AS196" s="9" t="n">
        <x:f>AC196+AQ196</x:f>
        <x:v>1667.6137512436096</x:v>
      </x:c>
    </x:row>
    <x:row r="197">
      <x:c r="A197" s="9" t="n">
        <x:f>Inputs!$C$7+195*(Inputs!$C$8-Inputs!$C$7)/240</x:f>
        <x:v>37.5</x:v>
      </x:c>
      <x:c r="B197" s="9" t="n">
        <x:f>Inputs!$C$5+Inputs!$C$9*(A197/Inputs!$C$10)^2</x:f>
        <x:v>401.5625</x:v>
      </x:c>
      <x:c r="C197" s="9" t="n">
        <x:f>B197</x:f>
        <x:v>401.5625</x:v>
      </x:c>
      <x:c r="D197" s="9" t="n">
        <x:f>SQRT((Inputs!$C$52+B197)^2+Inputs!$C$52^2-2*(Inputs!$C$52+B197)*Inputs!$C$52*COS(SQRT(A197^2+Inputs!$C$6^2)/Inputs!$C$52))</x:f>
        <x:v>404.7296799061774</x:v>
      </x:c>
      <x:c r="E197" s="9" t="n">
        <x:f>(D197-C197)*1000</x:f>
        <x:v>3167.1799061774095</x:v>
      </x:c>
      <x:c r="F197" s="9" t="n">
        <x:f>E197/Inputs!$C$12</x:f>
        <x:v>1779.3145540322525</x:v>
      </x:c>
      <x:c r="G197" s="9" t="n">
        <x:f>2*E197/Inputs!$C$21*1000000</x:f>
        <x:v>21.129149994676713</x:v>
      </x:c>
      <x:c r="H197" s="9" t="n">
        <x:f>SQRT(A197^2+Inputs!$C$6^2)</x:f>
        <x:v>45.069390943299865</x:v>
      </x:c>
      <x:c r="I197" s="9" t="n">
        <x:f>DEGREES(ATAN(H197/B197))</x:f>
        <x:v>6.403796017933305</x:v>
      </x:c>
      <x:c r="J197" s="9" t="n">
        <x:f>DEGREES((2*PI()/Inputs!$C$13)*Inputs!$C$15*SIN(RADIANS(I197)))</x:f>
        <x:v>40.15251794840797</x:v>
      </x:c>
      <x:c r="K197" s="9" t="n">
        <x:f>(C197/D197)^4</x:f>
        <x:v>0.9690638284279562</x:v>
      </x:c>
      <x:c r="L197" s="9" t="n">
        <x:f>10*LOG10(K197)</x:f>
        <x:v>-0.136476167354935</x:v>
      </x:c>
      <x:c r="M197" s="9" t="n">
        <x:f>2*(Inputs!$C$9/(Inputs!$C$10^2))*A197</x:f>
        <x:v>0.08333333333333333</x:v>
      </x:c>
      <x:c r="N197" s="9" t="n">
        <x:f>M197*Inputs!$C$11</x:f>
        <x:v>0.3333333333333333</x:v>
      </x:c>
      <x:c r="O197" s="9" t="n">
        <x:f>1000*(D198-D196)/(A198-A196)*Inputs!$C$11</x:f>
        <x:v>797.165296622552</x:v>
      </x:c>
      <x:c r="P197" s="9" t="n">
        <x:f>-2*O197/Inputs!$C$13</x:f>
        <x:v>-318.8661186490208</x:v>
      </x:c>
      <x:c r="Q197" s="9" t="n">
        <x:f>-2*O197/Inputs!$C$14</x:f>
        <x:v>-47.87779559294607</x:v>
      </x:c>
      <x:c r="R197" s="9" t="n">
        <x:f>F197-Inputs!$C$16/2</x:f>
        <x:v>1764.3145540322525</x:v>
      </x:c>
      <x:c r="S197" s="9" t="n">
        <x:f>F197+Inputs!$C$16/2</x:f>
        <x:v>1794.3145540322525</x:v>
      </x:c>
      <x:c r="T197" s="9" t="n">
        <x:f>F197-Inputs!$C$17/2</x:f>
        <x:v>1629.3145540322525</x:v>
      </x:c>
      <x:c r="U197" s="9" t="n">
        <x:f>F197+Inputs!$C$17/2</x:f>
        <x:v>1929.3145540322525</x:v>
      </x:c>
      <x:c r="V197" s="9" t="n">
        <x:f>ABS(P197)</x:f>
        <x:v>318.8661186490208</x:v>
      </x:c>
      <x:c r="W197" s="9" t="n">
        <x:f>ABS(Q197)</x:f>
        <x:v>47.87779559294607</x:v>
      </x:c>
      <x:c r="X197" s="9"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x:f>
        <x:v>56.08108474403666</x:v>
      </x:c>
      <x:c r="Y197" s="9"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x:f>
        <x:v>280.6842863692354</x:v>
      </x:c>
      <x:c r="Z197" s="9" t="n">
        <x:f>B197-X197/1000</x:f>
        <x:v>401.50641891525595</x:v>
      </x:c>
      <x:c r="AA197" s="9" t="n">
        <x:f>SQRT((Inputs!$C$52+B197)^2+(Inputs!$C$52+Y197/1000)^2-2*(Inputs!$C$52+B197)*(Inputs!$C$52+Y197/1000)*COS(SQRT(A197^2+Inputs!$C$6^2)/Inputs!$C$52))</x:f>
        <x:v>404.45176133778983</x:v>
      </x:c>
      <x:c r="AB197" s="9" t="n">
        <x:f>(AA197-Z197)*1000</x:f>
        <x:v>2945.3424225338836</x:v>
      </x:c>
      <x:c r="AC197" s="9" t="n">
        <x:f>AB197/Inputs!$C$12</x:f>
        <x:v>1654.6867542325188</x:v>
      </x:c>
      <x:c r="AD197" s="9" t="n">
        <x:f>2*AB197/Inputs!$C$21*1000000</x:f>
        <x:v>19.649209604424964</x:v>
      </x:c>
      <x:c r="AE197" s="9" t="n">
        <x:f>DEGREES(ATAN(H197/(B197-Y197/1000)))</x:f>
        <x:v>6.408238027619321</x:v>
      </x:c>
      <x:c r="AF197" s="9" t="n">
        <x:f>DEGREES((2*PI()/Inputs!$C$13)*Inputs!$C$15*SIN(RADIANS(AE197)))</x:f>
        <x:v>40.180253654335004</x:v>
      </x:c>
      <x:c r="AG197" s="9" t="n">
        <x:f>(Z197/AA197)^4</x:f>
        <x:v>0.9711874168768995</x:v>
      </x:c>
      <x:c r="AH197" s="9" t="n">
        <x:f>10*LOG10(AG197)</x:f>
        <x:v>-0.12696953139008701</x:v>
      </x:c>
      <x:c r="AI197" s="9" t="n">
        <x:f>AC197-F197</x:f>
        <x:v>-124.6277997997338</x:v>
      </x:c>
      <x:c r="AJ197" s="9" t="n">
        <x:f>AD197-G197</x:f>
        <x:v>-1.4799403902517483</x:v>
      </x:c>
      <x:c r="AK197" s="9" t="n">
        <x:f>Y197-X197</x:f>
        <x:v>224.60320162519872</x:v>
      </x:c>
      <x:c r="AL197" s="9" t="n">
        <x:f>1000*(AA198-AA196)/(A198-A196)*Inputs!$C$11</x:f>
        <x:v>777.3582721436014</x:v>
      </x:c>
      <x:c r="AM197" s="9" t="n">
        <x:f>-2*AL197/Inputs!$C$13</x:f>
        <x:v>-310.94330885744057</x:v>
      </x:c>
      <x:c r="AN197" s="9" t="n">
        <x:f>-2*AL197/Inputs!$C$14</x:f>
        <x:v>-46.688184513129215</x:v>
      </x:c>
      <x:c r="AO197" s="9" t="n">
        <x:f>ABS(AM197)</x:f>
        <x:v>310.94330885744057</x:v>
      </x:c>
      <x:c r="AP197" s="9" t="n">
        <x:f>ABS(AN197)</x:f>
        <x:v>46.688184513129215</x:v>
      </x:c>
      <x:c r="AQ197" s="9" t="n">
        <x:f>IF(OR(Inputs!$C$27=TRUE,Inputs!$C$27="TRUE",Inputs!$C$27=1),Inputs!$C$46/Inputs!$C$12,0)</x:f>
        <x:v>42.13483146067416</x:v>
      </x:c>
      <x:c r="AR197" s="9" t="n">
        <x:f>AC197-AQ197</x:f>
        <x:v>1612.5519227718446</x:v>
      </x:c>
      <x:c r="AS197" s="9" t="n">
        <x:f>AC197+AQ197</x:f>
        <x:v>1696.821585693193</x:v>
      </x:c>
    </x:row>
    <x:row r="198">
      <x:c r="A198" s="9" t="n">
        <x:f>Inputs!$C$7+196*(Inputs!$C$8-Inputs!$C$7)/240</x:f>
        <x:v>38</x:v>
      </x:c>
      <x:c r="B198" s="9" t="n">
        <x:f>Inputs!$C$5+Inputs!$C$9*(A198/Inputs!$C$10)^2</x:f>
        <x:v>401.6044444444444</x:v>
      </x:c>
      <x:c r="C198" s="9" t="n">
        <x:f>B198</x:f>
        <x:v>401.6044444444444</x:v>
      </x:c>
      <x:c r="D198" s="9" t="n">
        <x:f>SQRT((Inputs!$C$52+B198)^2+Inputs!$C$52^2-2*(Inputs!$C$52+B198)*Inputs!$C$52*COS(SQRT(A198^2+Inputs!$C$6^2)/Inputs!$C$52))</x:f>
        <x:v>404.82998091317</x:v>
      </x:c>
      <x:c r="E198" s="9" t="n">
        <x:f>(D198-C198)*1000</x:f>
        <x:v>3225.536468725579</x:v>
      </x:c>
      <x:c r="F198" s="9" t="n">
        <x:f>E198/Inputs!$C$12</x:f>
        <x:v>1812.0991397334715</x:v>
      </x:c>
      <x:c r="G198" s="9" t="n">
        <x:f>2*E198/Inputs!$C$21*1000000</x:f>
        <x:v>21.518463074381806</x:v>
      </x:c>
      <x:c r="H198" s="9" t="n">
        <x:f>SQRT(A198^2+Inputs!$C$6^2)</x:f>
        <x:v>45.48626166217664</x:v>
      </x:c>
      <x:c r="I198" s="9" t="n">
        <x:f>DEGREES(ATAN(H198/B198))</x:f>
        <x:v>6.4618600446971834</x:v>
      </x:c>
      <x:c r="J198" s="9" t="n">
        <x:f>DEGREES((2*PI()/Inputs!$C$13)*Inputs!$C$15*SIN(RADIANS(I198)))</x:f>
        <x:v>40.51504798123695</x:v>
      </x:c>
      <x:c r="K198" s="9" t="n">
        <x:f>(C198/D198)^4</x:f>
        <x:v>0.9685083502199494</x:v>
      </x:c>
      <x:c r="L198" s="9" t="n">
        <x:f>10*LOG10(K198)</x:f>
        <x:v>-0.138966305578663</x:v>
      </x:c>
      <x:c r="M198" s="9" t="n">
        <x:f>2*(Inputs!$C$9/(Inputs!$C$10^2))*A198</x:f>
        <x:v>0.08444444444444445</x:v>
      </x:c>
      <x:c r="N198" s="9" t="n">
        <x:f>M198*Inputs!$C$11</x:f>
        <x:v>0.3377777777777778</x:v>
      </x:c>
      <x:c r="O198" s="9" t="n">
        <x:f>1000*(D199-D197)/(A199-A197)*Inputs!$C$11</x:f>
        <x:v>807.647983991501</x:v>
      </x:c>
      <x:c r="P198" s="9" t="n">
        <x:f>-2*O198/Inputs!$C$13</x:f>
        <x:v>-323.0591935966004</x:v>
      </x:c>
      <x:c r="Q198" s="9" t="n">
        <x:f>-2*O198/Inputs!$C$14</x:f>
        <x:v>-48.507386425915975</x:v>
      </x:c>
      <x:c r="R198" s="9" t="n">
        <x:f>F198-Inputs!$C$16/2</x:f>
        <x:v>1797.0991397334715</x:v>
      </x:c>
      <x:c r="S198" s="9" t="n">
        <x:f>F198+Inputs!$C$16/2</x:f>
        <x:v>1827.0991397334715</x:v>
      </x:c>
      <x:c r="T198" s="9" t="n">
        <x:f>F198-Inputs!$C$17/2</x:f>
        <x:v>1662.0991397334715</x:v>
      </x:c>
      <x:c r="U198" s="9" t="n">
        <x:f>F198+Inputs!$C$17/2</x:f>
        <x:v>1962.0991397334715</x:v>
      </x:c>
      <x:c r="V198" s="9" t="n">
        <x:f>ABS(P198)</x:f>
        <x:v>323.0591935966004</x:v>
      </x:c>
      <x:c r="W198" s="9" t="n">
        <x:f>ABS(Q198)</x:f>
        <x:v>48.507386425915975</x:v>
      </x:c>
      <x:c r="X198" s="9"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x:f>
        <x:v>74.89136844725374</x:v>
      </x:c>
      <x:c r="Y198" s="9"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x:f>
        <x:v>282.3717678695042</x:v>
      </x:c>
      <x:c r="Z198" s="9" t="n">
        <x:f>B198-X198/1000</x:f>
        <x:v>401.52955307599717</x:v>
      </x:c>
      <x:c r="AA198" s="9" t="n">
        <x:f>SQRT((Inputs!$C$52+B198)^2+(Inputs!$C$52+Y198/1000)^2-2*(Inputs!$C$52+B198)*(Inputs!$C$52+Y198/1000)*COS(SQRT(A198^2+Inputs!$C$6^2)/Inputs!$C$52))</x:f>
        <x:v>404.5504421683176</x:v>
      </x:c>
      <x:c r="AB198" s="9" t="n">
        <x:f>(AA198-Z198)*1000</x:f>
        <x:v>3020.889092320431</x:v>
      </x:c>
      <x:c r="AC198" s="9" t="n">
        <x:f>AB198/Inputs!$C$12</x:f>
        <x:v>1697.1287035508037</x:v>
      </x:c>
      <x:c r="AD198" s="9" t="n">
        <x:f>2*AB198/Inputs!$C$21*1000000</x:f>
        <x:v>20.153202735476626</x:v>
      </x:c>
      <x:c r="AE198" s="9" t="n">
        <x:f>DEGREES(ATAN(H198/(B198-Y198/1000)))</x:f>
        <x:v>6.46636813872967</x:v>
      </x:c>
      <x:c r="AF198" s="9" t="n">
        <x:f>DEGREES((2*PI()/Inputs!$C$13)*Inputs!$C$15*SIN(RADIANS(AE198)))</x:f>
        <x:v>40.543193095807204</x:v>
      </x:c>
      <x:c r="AG198" s="9" t="n">
        <x:f>(Z198/AA198)^4</x:f>
        <x:v>0.9704638017818429</x:v>
      </x:c>
      <x:c r="AH198" s="9" t="n">
        <x:f>10*LOG10(AG198)</x:f>
        <x:v>-0.130206591211484</x:v>
      </x:c>
      <x:c r="AI198" s="9" t="n">
        <x:f>AC198-F198</x:f>
        <x:v>-114.97043618266775</x:v>
      </x:c>
      <x:c r="AJ198" s="9" t="n">
        <x:f>AD198-G198</x:f>
        <x:v>-1.3652603389051805</x:v>
      </x:c>
      <x:c r="AK198" s="9" t="n">
        <x:f>Y198-X198</x:f>
        <x:v>207.48039942225046</x:v>
      </x:c>
      <x:c r="AL198" s="9" t="n">
        <x:f>1000*(AA199-AA197)/(A199-A197)*Inputs!$C$11</x:f>
        <x:v>687.309908687439</x:v>
      </x:c>
      <x:c r="AM198" s="9" t="n">
        <x:f>-2*AL198/Inputs!$C$13</x:f>
        <x:v>-274.9239634749756</x:v>
      </x:c>
      <x:c r="AN198" s="9" t="n">
        <x:f>-2*AL198/Inputs!$C$14</x:f>
        <x:v>-41.27987439564199</x:v>
      </x:c>
      <x:c r="AO198" s="9" t="n">
        <x:f>ABS(AM198)</x:f>
        <x:v>274.9239634749756</x:v>
      </x:c>
      <x:c r="AP198" s="9" t="n">
        <x:f>ABS(AN198)</x:f>
        <x:v>41.27987439564199</x:v>
      </x:c>
      <x:c r="AQ198" s="9" t="n">
        <x:f>IF(OR(Inputs!$C$27=TRUE,Inputs!$C$27="TRUE",Inputs!$C$27=1),Inputs!$C$46/Inputs!$C$12,0)</x:f>
        <x:v>42.13483146067416</x:v>
      </x:c>
      <x:c r="AR198" s="9" t="n">
        <x:f>AC198-AQ198</x:f>
        <x:v>1654.9938720901296</x:v>
      </x:c>
      <x:c r="AS198" s="9" t="n">
        <x:f>AC198+AQ198</x:f>
        <x:v>1739.2635350114779</x:v>
      </x:c>
    </x:row>
    <x:row r="199">
      <x:c r="A199" s="9" t="n">
        <x:f>Inputs!$C$7+197*(Inputs!$C$8-Inputs!$C$7)/240</x:f>
        <x:v>38.5</x:v>
      </x:c>
      <x:c r="B199" s="9" t="n">
        <x:f>Inputs!$C$5+Inputs!$C$9*(A199/Inputs!$C$10)^2</x:f>
        <x:v>401.64694444444444</x:v>
      </x:c>
      <x:c r="C199" s="9" t="n">
        <x:f>B199</x:f>
        <x:v>401.64694444444444</x:v>
      </x:c>
      <x:c r="D199" s="9" t="n">
        <x:f>SQRT((Inputs!$C$52+B199)^2+Inputs!$C$52^2-2*(Inputs!$C$52+B199)*Inputs!$C$52*COS(SQRT(A199^2+Inputs!$C$6^2)/Inputs!$C$52))</x:f>
        <x:v>404.9315919021753</x:v>
      </x:c>
      <x:c r="E199" s="9" t="n">
        <x:f>(D199-C199)*1000</x:f>
        <x:v>3284.6474577308413</x:v>
      </x:c>
      <x:c r="F199" s="9" t="n">
        <x:f>E199/Inputs!$C$12</x:f>
        <x:v>1845.3075605229446</x:v>
      </x:c>
      <x:c r="G199" s="9" t="n">
        <x:f>2*E199/Inputs!$C$21*1000000</x:f>
        <x:v>21.91280914565797</x:v>
      </x:c>
      <x:c r="H199" s="9" t="n">
        <x:f>SQRT(A199^2+Inputs!$C$6^2)</x:f>
        <x:v>45.90479277809671</x:v>
      </x:c>
      <x:c r="I199" s="9" t="n">
        <x:f>DEGREES(ATAN(H199/B199))</x:f>
        <x:v>6.520123486642501</x:v>
      </x:c>
      <x:c r="J199" s="9" t="n">
        <x:f>DEGREES((2*PI()/Inputs!$C$13)*Inputs!$C$15*SIN(RADIANS(I199)))</x:f>
        <x:v>40.87878126391779</x:v>
      </x:c>
      <x:c r="K199" s="9" t="n">
        <x:f>(C199/D199)^4</x:f>
        <x:v>0.9679462157476372</x:v>
      </x:c>
      <x:c r="L199" s="9" t="n">
        <x:f>10*LOG10(K199)</x:f>
        <x:v>-0.141487737380481</x:v>
      </x:c>
      <x:c r="M199" s="9" t="n">
        <x:f>2*(Inputs!$C$9/(Inputs!$C$10^2))*A199</x:f>
        <x:v>0.08555555555555555</x:v>
      </x:c>
      <x:c r="N199" s="9" t="n">
        <x:f>M199*Inputs!$C$11</x:f>
        <x:v>0.3422222222222222</x:v>
      </x:c>
      <x:c r="O199" s="9" t="n">
        <x:f>1000*(D200-D198)/(A200-A198)*Inputs!$C$11</x:f>
        <x:v>818.1249749061408</x:v>
      </x:c>
      <x:c r="P199" s="9" t="n">
        <x:f>-2*O199/Inputs!$C$13</x:f>
        <x:v>-327.2499899624563</x:v>
      </x:c>
      <x:c r="Q199" s="9" t="n">
        <x:f>-2*O199/Inputs!$C$14</x:f>
        <x:v>-49.13663512949795</x:v>
      </x:c>
      <x:c r="R199" s="9" t="n">
        <x:f>F199-Inputs!$C$16/2</x:f>
        <x:v>1830.3075605229446</x:v>
      </x:c>
      <x:c r="S199" s="9" t="n">
        <x:f>F199+Inputs!$C$16/2</x:f>
        <x:v>1860.3075605229446</x:v>
      </x:c>
      <x:c r="T199" s="9" t="n">
        <x:f>F199-Inputs!$C$17/2</x:f>
        <x:v>1695.3075605229446</x:v>
      </x:c>
      <x:c r="U199" s="9" t="n">
        <x:f>F199+Inputs!$C$17/2</x:f>
        <x:v>1995.3075605229446</x:v>
      </x:c>
      <x:c r="V199" s="9" t="n">
        <x:f>ABS(P199)</x:f>
        <x:v>327.2499899624563</x:v>
      </x:c>
      <x:c r="W199" s="9" t="n">
        <x:f>ABS(Q199)</x:f>
        <x:v>49.13663512949795</x:v>
      </x:c>
      <x:c r="X199" s="9"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x:f>
        <x:v>81.22943665181958</x:v>
      </x:c>
      <x:c r="Y199" s="9"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x:f>
        <x:v>311.18191933727104</x:v>
      </x:c>
      <x:c r="Z199" s="9" t="n">
        <x:f>B199-X199/1000</x:f>
        <x:v>401.5657150077926</x:v>
      </x:c>
      <x:c r="AA199" s="9" t="n">
        <x:f>SQRT((Inputs!$C$52+B199)^2+(Inputs!$C$52+Y199/1000)^2-2*(Inputs!$C$52+B199)*(Inputs!$C$52+Y199/1000)*COS(SQRT(A199^2+Inputs!$C$6^2)/Inputs!$C$52))</x:f>
        <x:v>404.6235888149617</x:v>
      </x:c>
      <x:c r="AB199" s="9" t="n">
        <x:f>(AA199-Z199)*1000</x:f>
        <x:v>3057.8738071690736</x:v>
      </x:c>
      <x:c r="AC199" s="9" t="n">
        <x:f>AB199/Inputs!$C$12</x:f>
        <x:v>1717.9066332410525</x:v>
      </x:c>
      <x:c r="AD199" s="9" t="n">
        <x:f>2*AB199/Inputs!$C$21*1000000</x:f>
        <x:v>20.39993819436961</x:v>
      </x:c>
      <x:c r="AE199" s="9" t="n">
        <x:f>DEGREES(ATAN(H199/(B199-Y199/1000)))</x:f>
        <x:v>6.525135383182239</x:v>
      </x:c>
      <x:c r="AF199" s="9" t="n">
        <x:f>DEGREES((2*PI()/Inputs!$C$13)*Inputs!$C$15*SIN(RADIANS(AE199)))</x:f>
        <x:v>40.91006810160046</x:v>
      </x:c>
      <x:c r="AG199" s="9" t="n">
        <x:f>(Z199/AA199)^4</x:f>
        <x:v>0.9701116379205166</x:v>
      </x:c>
      <x:c r="AH199" s="9" t="n">
        <x:f>10*LOG10(AG199)</x:f>
        <x:v>-0.131782853800916</x:v>
      </x:c>
      <x:c r="AI199" s="9" t="n">
        <x:f>AC199-F199</x:f>
        <x:v>-127.40092728189211</x:v>
      </x:c>
      <x:c r="AJ199" s="9" t="n">
        <x:f>AD199-G199</x:f>
        <x:v>-1.5128709512883596</x:v>
      </x:c>
      <x:c r="AK199" s="9" t="n">
        <x:f>Y199-X199</x:f>
        <x:v>229.95248268545146</x:v>
      </x:c>
      <x:c r="AL199" s="9" t="n">
        <x:f>1000*(AA200-AA198)/(A200-A198)*Inputs!$C$11</x:f>
        <x:v>737.502906333475</x:v>
      </x:c>
      <x:c r="AM199" s="9" t="n">
        <x:f>-2*AL199/Inputs!$C$13</x:f>
        <x:v>-295.00116253339</x:v>
      </x:c>
      <x:c r="AN199" s="9" t="n">
        <x:f>-2*AL199/Inputs!$C$14</x:f>
        <x:v>-44.29446884885736</x:v>
      </x:c>
      <x:c r="AO199" s="9" t="n">
        <x:f>ABS(AM199)</x:f>
        <x:v>295.00116253339</x:v>
      </x:c>
      <x:c r="AP199" s="9" t="n">
        <x:f>ABS(AN199)</x:f>
        <x:v>44.29446884885736</x:v>
      </x:c>
      <x:c r="AQ199" s="9" t="n">
        <x:f>IF(OR(Inputs!$C$27=TRUE,Inputs!$C$27="TRUE",Inputs!$C$27=1),Inputs!$C$46/Inputs!$C$12,0)</x:f>
        <x:v>42.13483146067416</x:v>
      </x:c>
      <x:c r="AR199" s="9" t="n">
        <x:f>AC199-AQ199</x:f>
        <x:v>1675.7718017803784</x:v>
      </x:c>
      <x:c r="AS199" s="9" t="n">
        <x:f>AC199+AQ199</x:f>
        <x:v>1760.0414647017267</x:v>
      </x:c>
    </x:row>
    <x:row r="200">
      <x:c r="A200" s="9" t="n">
        <x:f>Inputs!$C$7+198*(Inputs!$C$8-Inputs!$C$7)/240</x:f>
        <x:v>39</x:v>
      </x:c>
      <x:c r="B200" s="9" t="n">
        <x:f>Inputs!$C$5+Inputs!$C$9*(A200/Inputs!$C$10)^2</x:f>
        <x:v>401.69</x:v>
      </x:c>
      <x:c r="C200" s="9" t="n">
        <x:f>B200</x:f>
        <x:v>401.69</x:v>
      </x:c>
      <x:c r="D200" s="9" t="n">
        <x:f>SQRT((Inputs!$C$52+B200)^2+Inputs!$C$52^2-2*(Inputs!$C$52+B200)*Inputs!$C$52*COS(SQRT(A200^2+Inputs!$C$6^2)/Inputs!$C$52))</x:f>
        <x:v>405.03451215689654</x:v>
      </x:c>
      <x:c r="E200" s="9" t="n">
        <x:f>(D200-C200)*1000</x:f>
        <x:v>3344.512156896542</x:v>
      </x:c>
      <x:c r="F200" s="9" t="n">
        <x:f>E200/Inputs!$C$12</x:f>
        <x:v>1878.9394139868214</x:v>
      </x:c>
      <x:c r="G200" s="9" t="n">
        <x:f>2*E200/Inputs!$C$21*1000000</x:f>
        <x:v>22.3121834298883</x:v>
      </x:c>
      <x:c r="H200" s="9" t="n">
        <x:f>SQRT(A200^2+Inputs!$C$6^2)</x:f>
        <x:v>46.32493928760188</x:v>
      </x:c>
      <x:c r="I200" s="9" t="n">
        <x:f>DEGREES(ATAN(H200/B200))</x:f>
        <x:v>6.57857943618696</x:v>
      </x:c>
      <x:c r="J200" s="9" t="n">
        <x:f>DEGREES((2*PI()/Inputs!$C$13)*Inputs!$C$15*SIN(RADIANS(I200)))</x:f>
        <x:v>41.2436738723648</x:v>
      </x:c>
      <x:c r="K200" s="9" t="n">
        <x:f>(C200/D200)^4</x:f>
        <x:v>0.9673774514298505</x:v>
      </x:c>
      <x:c r="L200" s="9" t="n">
        <x:f>10*LOG10(K200)</x:f>
        <x:v>-0.144040397858093</x:v>
      </x:c>
      <x:c r="M200" s="9" t="n">
        <x:f>2*(Inputs!$C$9/(Inputs!$C$10^2))*A200</x:f>
        <x:v>0.08666666666666667</x:v>
      </x:c>
      <x:c r="N200" s="9" t="n">
        <x:f>M200*Inputs!$C$11</x:f>
        <x:v>0.3466666666666667</x:v>
      </x:c>
      <x:c r="O200" s="9" t="n">
        <x:f>1000*(D201-D199)/(A201-A199)*Inputs!$C$11</x:f>
        <x:v>828.5962016493613</x:v>
      </x:c>
      <x:c r="P200" s="9" t="n">
        <x:f>-2*O200/Inputs!$C$13</x:f>
        <x:v>-331.4384806597445</x:v>
      </x:c>
      <x:c r="Q200" s="9" t="n">
        <x:f>-2*O200/Inputs!$C$14</x:f>
        <x:v>-49.76553763659828</x:v>
      </x:c>
      <x:c r="R200" s="9" t="n">
        <x:f>F200-Inputs!$C$16/2</x:f>
        <x:v>1863.9394139868214</x:v>
      </x:c>
      <x:c r="S200" s="9" t="n">
        <x:f>F200+Inputs!$C$16/2</x:f>
        <x:v>1893.9394139868214</x:v>
      </x:c>
      <x:c r="T200" s="9" t="n">
        <x:f>F200-Inputs!$C$17/2</x:f>
        <x:v>1728.9394139868214</x:v>
      </x:c>
      <x:c r="U200" s="9" t="n">
        <x:f>F200+Inputs!$C$17/2</x:f>
        <x:v>2028.9394139868214</x:v>
      </x:c>
      <x:c r="V200" s="9" t="n">
        <x:f>ABS(P200)</x:f>
        <x:v>331.4384806597445</x:v>
      </x:c>
      <x:c r="W200" s="9" t="n">
        <x:f>ABS(Q200)</x:f>
        <x:v>49.76553763659828</x:v>
      </x:c>
      <x:c r="X200" s="9"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x:f>
        <x:v>82.75771702731363</x:v>
      </x:c>
      <x:c r="Y200" s="9"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x:f>
        <x:v>302.8435496777789</x:v>
      </x:c>
      <x:c r="Z200" s="9" t="n">
        <x:f>B200-X200/1000</x:f>
        <x:v>401.60724228297266</x:v>
      </x:c>
      <x:c r="AA200" s="9" t="n">
        <x:f>SQRT((Inputs!$C$52+B200)^2+(Inputs!$C$52+Y200/1000)^2-2*(Inputs!$C$52+B200)*(Inputs!$C$52+Y200/1000)*COS(SQRT(A200^2+Inputs!$C$6^2)/Inputs!$C$52))</x:f>
        <x:v>404.73481789490097</x:v>
      </x:c>
      <x:c r="AB200" s="9" t="n">
        <x:f>(AA200-Z200)*1000</x:f>
        <x:v>3127.5756119283074</x:v>
      </x:c>
      <x:c r="AC200" s="9" t="n">
        <x:f>AB200/Inputs!$C$12</x:f>
        <x:v>1757.064950521521</x:v>
      </x:c>
      <x:c r="AD200" s="9" t="n">
        <x:f>2*AB200/Inputs!$C$21*1000000</x:f>
        <x:v>20.86493858313345</x:v>
      </x:c>
      <x:c r="AE200" s="9" t="n">
        <x:f>DEGREES(ATAN(H200/(B200-Y200/1000)))</x:f>
        <x:v>6.583499367443908</x:v>
      </x:c>
      <x:c r="AF200" s="9" t="n">
        <x:f>DEGREES((2*PI()/Inputs!$C$13)*Inputs!$C$15*SIN(RADIANS(AE200)))</x:f>
        <x:v>41.27438301961188</x:v>
      </x:c>
      <x:c r="AG200" s="9" t="n">
        <x:f>(Z200/AA200)^4</x:f>
        <x:v>0.9694465658984454</x:v>
      </x:c>
      <x:c r="AH200" s="9" t="n">
        <x:f>10*LOG10(AG200)</x:f>
        <x:v>-0.134761234341448</x:v>
      </x:c>
      <x:c r="AI200" s="9" t="n">
        <x:f>AC200-F200</x:f>
        <x:v>-121.87446346530032</x:v>
      </x:c>
      <x:c r="AJ200" s="9" t="n">
        <x:f>AD200-G200</x:f>
        <x:v>-1.4472448467548489</x:v>
      </x:c>
      <x:c r="AK200" s="9" t="n">
        <x:f>Y200-X200</x:f>
        <x:v>220.0858326504653</x:v>
      </x:c>
      <x:c r="AL200" s="9" t="n">
        <x:f>1000*(AA201-AA199)/(A201-A199)*Inputs!$C$11</x:f>
        <x:v>877.5477287108515</x:v>
      </x:c>
      <x:c r="AM200" s="9" t="n">
        <x:f>-2*AL200/Inputs!$C$13</x:f>
        <x:v>-351.0190914843406</x:v>
      </x:c>
      <x:c r="AN200" s="9" t="n">
        <x:f>-2*AL200/Inputs!$C$14</x:f>
        <x:v>-52.705569291943036</x:v>
      </x:c>
      <x:c r="AO200" s="9" t="n">
        <x:f>ABS(AM200)</x:f>
        <x:v>351.0190914843406</x:v>
      </x:c>
      <x:c r="AP200" s="9" t="n">
        <x:f>ABS(AN200)</x:f>
        <x:v>52.705569291943036</x:v>
      </x:c>
      <x:c r="AQ200" s="9" t="n">
        <x:f>IF(OR(Inputs!$C$27=TRUE,Inputs!$C$27="TRUE",Inputs!$C$27=1),Inputs!$C$46/Inputs!$C$12,0)</x:f>
        <x:v>42.13483146067416</x:v>
      </x:c>
      <x:c r="AR200" s="9" t="n">
        <x:f>AC200-AQ200</x:f>
        <x:v>1714.930119060847</x:v>
      </x:c>
      <x:c r="AS200" s="9" t="n">
        <x:f>AC200+AQ200</x:f>
        <x:v>1799.1997819821952</x:v>
      </x:c>
    </x:row>
    <x:row r="201">
      <x:c r="A201" s="9" t="n">
        <x:f>Inputs!$C$7+199*(Inputs!$C$8-Inputs!$C$7)/240</x:f>
        <x:v>39.5</x:v>
      </x:c>
      <x:c r="B201" s="9" t="n">
        <x:f>Inputs!$C$5+Inputs!$C$9*(A201/Inputs!$C$10)^2</x:f>
        <x:v>401.7336111111111</x:v>
      </x:c>
      <x:c r="C201" s="9" t="n">
        <x:f>B201</x:f>
        <x:v>401.7336111111111</x:v>
      </x:c>
      <x:c r="D201" s="9" t="n">
        <x:f>SQRT((Inputs!$C$52+B201)^2+Inputs!$C$52^2-2*(Inputs!$C$52+B201)*Inputs!$C$52*COS(SQRT(A201^2+Inputs!$C$6^2)/Inputs!$C$52))</x:f>
        <x:v>405.1387409525876</x:v>
      </x:c>
      <x:c r="E201" s="9" t="n">
        <x:f>(D201-C201)*1000</x:f>
        <x:v>3405.129841476537</x:v>
      </x:c>
      <x:c r="F201" s="9" t="n">
        <x:f>E201/Inputs!$C$12</x:f>
        <x:v>1912.9942929643466</x:v>
      </x:c>
      <x:c r="G201" s="9" t="n">
        <x:f>2*E201/Inputs!$C$21*1000000</x:f>
        <x:v>22.716581092086958</x:v>
      </x:c>
      <x:c r="H201" s="9" t="n">
        <x:f>SQRT(A201^2+Inputs!$C$6^2)</x:f>
        <x:v>46.74665763453041</x:v>
      </x:c>
      <x:c r="I201" s="9" t="n">
        <x:f>DEGREES(ATAN(H201/B201))</x:f>
        <x:v>6.637221193908625</x:v>
      </x:c>
      <x:c r="J201" s="9" t="n">
        <x:f>DEGREES((2*PI()/Inputs!$C$13)*Inputs!$C$15*SIN(RADIANS(I201)))</x:f>
        <x:v>41.609683192895545</x:v>
      </x:c>
      <x:c r="K201" s="9" t="n">
        <x:f>(C201/D201)^4</x:f>
        <x:v>0.9668020839517065</x:v>
      </x:c>
      <x:c r="L201" s="9" t="n">
        <x:f>10*LOG10(K201)</x:f>
        <x:v>-0.146624221372138</x:v>
      </x:c>
      <x:c r="M201" s="9" t="n">
        <x:f>2*(Inputs!$C$9/(Inputs!$C$10^2))*A201</x:f>
        <x:v>0.08777777777777777</x:v>
      </x:c>
      <x:c r="N201" s="9" t="n">
        <x:f>M201*Inputs!$C$11</x:f>
        <x:v>0.3511111111111111</x:v>
      </x:c>
      <x:c r="O201" s="9" t="n">
        <x:f>1000*(D202-D200)/(A202-A200)*Inputs!$C$11</x:f>
        <x:v>839.0615967759913</x:v>
      </x:c>
      <x:c r="P201" s="9" t="n">
        <x:f>-2*O201/Inputs!$C$13</x:f>
        <x:v>-335.62463871039654</x:v>
      </x:c>
      <x:c r="Q201" s="9" t="n">
        <x:f>-2*O201/Inputs!$C$14</x:f>
        <x:v>-50.39408989645594</x:v>
      </x:c>
      <x:c r="R201" s="9" t="n">
        <x:f>F201-Inputs!$C$16/2</x:f>
        <x:v>1897.9942929643466</x:v>
      </x:c>
      <x:c r="S201" s="9" t="n">
        <x:f>F201+Inputs!$C$16/2</x:f>
        <x:v>1927.9942929643466</x:v>
      </x:c>
      <x:c r="T201" s="9" t="n">
        <x:f>F201-Inputs!$C$17/2</x:f>
        <x:v>1762.9942929643466</x:v>
      </x:c>
      <x:c r="U201" s="9" t="n">
        <x:f>F201+Inputs!$C$17/2</x:f>
        <x:v>2062.9942929643466</x:v>
      </x:c>
      <x:c r="V201" s="9" t="n">
        <x:f>ABS(P201)</x:f>
        <x:v>335.62463871039654</x:v>
      </x:c>
      <x:c r="W201" s="9" t="n">
        <x:f>ABS(Q201)</x:f>
        <x:v>50.39408989645594</x:v>
      </x:c>
      <x:c r="X201" s="9"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x:f>
        <x:v>76.31271490051972</x:v>
      </x:c>
      <x:c r="Y201" s="9"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x:f>
        <x:v>298.92940490783735</x:v>
      </x:c>
      <x:c r="Z201" s="9" t="n">
        <x:f>B201-X201/1000</x:f>
        <x:v>401.6572983962106</x:v>
      </x:c>
      <x:c r="AA201" s="9" t="n">
        <x:f>SQRT((Inputs!$C$52+B201)^2+(Inputs!$C$52+Y201/1000)^2-2*(Inputs!$C$52+B201)*(Inputs!$C$52+Y201/1000)*COS(SQRT(A201^2+Inputs!$C$6^2)/Inputs!$C$52))</x:f>
        <x:v>404.8429757471394</x:v>
      </x:c>
      <x:c r="AB201" s="9" t="n">
        <x:f>(AA201-Z201)*1000</x:f>
        <x:v>3185.677350928813</x:v>
      </x:c>
      <x:c r="AC201" s="9" t="n">
        <x:f>AB201/Inputs!$C$12</x:f>
        <x:v>1789.7063769262995</x:v>
      </x:c>
      <x:c r="AD201" s="9" t="n">
        <x:f>2*AB201/Inputs!$C$21*1000000</x:f>
        <x:v>21.25255166311631</x:v>
      </x:c>
      <x:c r="AE201" s="9" t="n">
        <x:f>DEGREES(ATAN(H201/(B201-Y201/1000)))</x:f>
        <x:v>6.642119472465843</x:v>
      </x:c>
      <x:c r="AF201" s="9" t="n">
        <x:f>DEGREES((2*PI()/Inputs!$C$13)*Inputs!$C$15*SIN(RADIANS(AE201)))</x:f>
        <x:v>41.64025356319033</x:v>
      </x:c>
      <x:c r="AG201" s="9" t="n">
        <x:f>(Z201/AA201)^4</x:f>
        <x:v>0.9688938907798773</x:v>
      </x:c>
      <x:c r="AH201" s="9" t="n">
        <x:f>10*LOG10(AG201)</x:f>
        <x:v>-0.13723782466341</x:v>
      </x:c>
      <x:c r="AI201" s="9" t="n">
        <x:f>AC201-F201</x:f>
        <x:v>-123.28791603804711</x:v>
      </x:c>
      <x:c r="AJ201" s="9" t="n">
        <x:f>AD201-G201</x:f>
        <x:v>-1.4640294289706475</x:v>
      </x:c>
      <x:c r="AK201" s="9" t="n">
        <x:f>Y201-X201</x:f>
        <x:v>222.61669000731763</x:v>
      </x:c>
      <x:c r="AL201" s="9" t="n">
        <x:f>1000*(AA202-AA200)/(A202-A200)*Inputs!$C$11</x:f>
        <x:v>831.6900835675369</x:v>
      </x:c>
      <x:c r="AM201" s="9" t="n">
        <x:f>-2*AL201/Inputs!$C$13</x:f>
        <x:v>-332.6760334270148</x:v>
      </x:c>
      <x:c r="AN201" s="9" t="n">
        <x:f>-2*AL201/Inputs!$C$14</x:f>
        <x:v>-49.951356370422644</x:v>
      </x:c>
      <x:c r="AO201" s="9" t="n">
        <x:f>ABS(AM201)</x:f>
        <x:v>332.6760334270148</x:v>
      </x:c>
      <x:c r="AP201" s="9" t="n">
        <x:f>ABS(AN201)</x:f>
        <x:v>49.951356370422644</x:v>
      </x:c>
      <x:c r="AQ201" s="9" t="n">
        <x:f>IF(OR(Inputs!$C$27=TRUE,Inputs!$C$27="TRUE",Inputs!$C$27=1),Inputs!$C$46/Inputs!$C$12,0)</x:f>
        <x:v>42.13483146067416</x:v>
      </x:c>
      <x:c r="AR201" s="9" t="n">
        <x:f>AC201-AQ201</x:f>
        <x:v>1747.5715454656254</x:v>
      </x:c>
      <x:c r="AS201" s="9" t="n">
        <x:f>AC201+AQ201</x:f>
        <x:v>1831.8412083869737</x:v>
      </x:c>
    </x:row>
    <x:row r="202">
      <x:c r="A202" s="9" t="n">
        <x:f>Inputs!$C$7+200*(Inputs!$C$8-Inputs!$C$7)/240</x:f>
        <x:v>40</x:v>
      </x:c>
      <x:c r="B202" s="9" t="n">
        <x:f>Inputs!$C$5+Inputs!$C$9*(A202/Inputs!$C$10)^2</x:f>
        <x:v>401.77777777777777</x:v>
      </x:c>
      <x:c r="C202" s="9" t="n">
        <x:f>B202</x:f>
        <x:v>401.77777777777777</x:v>
      </x:c>
      <x:c r="D202" s="9" t="n">
        <x:f>SQRT((Inputs!$C$52+B202)^2+Inputs!$C$52^2-2*(Inputs!$C$52+B202)*Inputs!$C$52*COS(SQRT(A202^2+Inputs!$C$6^2)/Inputs!$C$52))</x:f>
        <x:v>405.24427755609054</x:v>
      </x:c>
      <x:c r="E202" s="9" t="n">
        <x:f>(D202-C202)*1000</x:f>
        <x:v>3466.499778312766</x:v>
      </x:c>
      <x:c r="F202" s="9" t="n">
        <x:f>E202/Inputs!$C$12</x:f>
        <x:v>1947.4717855689696</x:v>
      </x:c>
      <x:c r="G202" s="9" t="n">
        <x:f>2*E202/Inputs!$C$21*1000000</x:f>
        <x:v>23.12599724114985</x:v>
      </x:c>
      <x:c r="H202" s="9" t="n">
        <x:f>SQRT(A202^2+Inputs!$C$6^2)</x:f>
        <x:v>47.16990566028302</x:v>
      </x:c>
      <x:c r="I202" s="9" t="n">
        <x:f>DEGREES(ATAN(H202/B202))</x:f>
        <x:v>6.696042261456512</x:v>
      </x:c>
      <x:c r="J202" s="9" t="n">
        <x:f>DEGREES((2*PI()/Inputs!$C$13)*Inputs!$C$15*SIN(RADIANS(I202)))</x:f>
        <x:v>41.976767877765525</x:v>
      </x:c>
      <x:c r="K202" s="9" t="n">
        <x:f>(C202/D202)^4</x:f>
        <x:v>0.9662201402617542</x:v>
      </x:c>
      <x:c r="L202" s="9" t="n">
        <x:f>10*LOG10(K202)</x:f>
        <x:v>-0.14923914155044</x:v>
      </x:c>
      <x:c r="M202" s="9" t="n">
        <x:f>2*(Inputs!$C$9/(Inputs!$C$10^2))*A202</x:f>
        <x:v>0.08888888888888889</x:v>
      </x:c>
      <x:c r="N202" s="9" t="n">
        <x:f>M202*Inputs!$C$11</x:f>
        <x:v>0.35555555555555557</x:v>
      </x:c>
      <x:c r="O202" s="9" t="n">
        <x:f>1000*(D203-D201)/(A203-A201)*Inputs!$C$11</x:f>
        <x:v>849.5210931248494</x:v>
      </x:c>
      <x:c r="P202" s="9" t="n">
        <x:f>-2*O202/Inputs!$C$13</x:f>
        <x:v>-339.80843724993974</x:v>
      </x:c>
      <x:c r="Q202" s="9" t="n">
        <x:f>-2*O202/Inputs!$C$14</x:f>
        <x:v>-51.02228787536633</x:v>
      </x:c>
      <x:c r="R202" s="9" t="n">
        <x:f>F202-Inputs!$C$16/2</x:f>
        <x:v>1932.4717855689696</x:v>
      </x:c>
      <x:c r="S202" s="9" t="n">
        <x:f>F202+Inputs!$C$16/2</x:f>
        <x:v>1962.4717855689696</x:v>
      </x:c>
      <x:c r="T202" s="9" t="n">
        <x:f>F202-Inputs!$C$17/2</x:f>
        <x:v>1797.4717855689696</x:v>
      </x:c>
      <x:c r="U202" s="9" t="n">
        <x:f>F202+Inputs!$C$17/2</x:f>
        <x:v>2097.4717855689696</x:v>
      </x:c>
      <x:c r="V202" s="9" t="n">
        <x:f>ABS(P202)</x:f>
        <x:v>339.80843724993974</x:v>
      </x:c>
      <x:c r="W202" s="9" t="n">
        <x:f>ABS(Q202)</x:f>
        <x:v>51.02228787536633</x:v>
      </x:c>
      <x:c r="X202" s="9"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x:f>
        <x:v>66.26609020115302</x:v>
      </x:c>
      <x:c r="Y202" s="9"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x:f>
        <x:v>304.82117281231683</x:v>
      </x:c>
      <x:c r="Z202" s="9" t="n">
        <x:f>B202-X202/1000</x:f>
        <x:v>401.7115116875766</x:v>
      </x:c>
      <x:c r="AA202" s="9" t="n">
        <x:f>SQRT((Inputs!$C$52+B202)^2+(Inputs!$C$52+Y202/1000)^2-2*(Inputs!$C$52+B202)*(Inputs!$C$52+Y202/1000)*COS(SQRT(A202^2+Inputs!$C$6^2)/Inputs!$C$52))</x:f>
        <x:v>404.94274041579285</x:v>
      </x:c>
      <x:c r="AB202" s="9" t="n">
        <x:f>(AA202-Z202)*1000</x:f>
        <x:v>3231.2287282162515</x:v>
      </x:c>
      <x:c r="AC202" s="9" t="n">
        <x:f>AB202/Inputs!$C$12</x:f>
        <x:v>1815.2970383237368</x:v>
      </x:c>
      <x:c r="AD202" s="9" t="n">
        <x:f>2*AB202/Inputs!$C$21*1000000</x:f>
        <x:v>21.556437742114593</x:v>
      </x:c>
      <x:c r="AE202" s="9" t="n">
        <x:f>DEGREES(ATAN(H202/(B202-Y202/1000)))</x:f>
        <x:v>6.7010800609249275</x:v>
      </x:c>
      <x:c r="AF202" s="9" t="n">
        <x:f>DEGREES((2*PI()/Inputs!$C$13)*Inputs!$C$15*SIN(RADIANS(AE202)))</x:f>
        <x:v>42.008205225736646</x:v>
      </x:c>
      <x:c r="AG202" s="9" t="n">
        <x:f>(Z202/AA202)^4</x:f>
        <x:v>0.9684621207357355</x:v>
      </x:c>
      <x:c r="AH202" s="9" t="n">
        <x:f>10*LOG10(AG202)</x:f>
        <x:v>-0.13917361085461</x:v>
      </x:c>
      <x:c r="AI202" s="9" t="n">
        <x:f>AC202-F202</x:f>
        <x:v>-132.17474724523277</x:v>
      </x:c>
      <x:c r="AJ202" s="9" t="n">
        <x:f>AD202-G202</x:f>
        <x:v>-1.5695594990352575</x:v>
      </x:c>
      <x:c r="AK202" s="9" t="n">
        <x:f>Y202-X202</x:f>
        <x:v>238.5550826111638</x:v>
      </x:c>
      <x:c r="AL202" s="9" t="n">
        <x:f>1000*(AA203-AA201)/(A203-A201)*Inputs!$C$11</x:f>
        <x:v>842.9794297849185</x:v>
      </x:c>
      <x:c r="AM202" s="9" t="n">
        <x:f>-2*AL202/Inputs!$C$13</x:f>
        <x:v>-337.1917719139674</x:v>
      </x:c>
      <x:c r="AN202" s="9" t="n">
        <x:f>-2*AL202/Inputs!$C$14</x:f>
        <x:v>-50.62939518227739</x:v>
      </x:c>
      <x:c r="AO202" s="9" t="n">
        <x:f>ABS(AM202)</x:f>
        <x:v>337.1917719139674</x:v>
      </x:c>
      <x:c r="AP202" s="9" t="n">
        <x:f>ABS(AN202)</x:f>
        <x:v>50.62939518227739</x:v>
      </x:c>
      <x:c r="AQ202" s="9" t="n">
        <x:f>IF(OR(Inputs!$C$27=TRUE,Inputs!$C$27="TRUE",Inputs!$C$27=1),Inputs!$C$46/Inputs!$C$12,0)</x:f>
        <x:v>42.13483146067416</x:v>
      </x:c>
      <x:c r="AR202" s="9" t="n">
        <x:f>AC202-AQ202</x:f>
        <x:v>1773.1622068630627</x:v>
      </x:c>
      <x:c r="AS202" s="9" t="n">
        <x:f>AC202+AQ202</x:f>
        <x:v>1857.431869784411</x:v>
      </x:c>
    </x:row>
    <x:row r="203">
      <x:c r="A203" s="9" t="n">
        <x:f>Inputs!$C$7+201*(Inputs!$C$8-Inputs!$C$7)/240</x:f>
        <x:v>40.5</x:v>
      </x:c>
      <x:c r="B203" s="9" t="n">
        <x:f>Inputs!$C$5+Inputs!$C$9*(A203/Inputs!$C$10)^2</x:f>
        <x:v>401.8225</x:v>
      </x:c>
      <x:c r="C203" s="9" t="n">
        <x:f>B203</x:f>
        <x:v>401.8225</x:v>
      </x:c>
      <x:c r="D203" s="9" t="n">
        <x:f>SQRT((Inputs!$C$52+B203)^2+Inputs!$C$52^2-2*(Inputs!$C$52+B203)*Inputs!$C$52*COS(SQRT(A203^2+Inputs!$C$6^2)/Inputs!$C$52))</x:f>
        <x:v>405.35112122586884</x:v>
      </x:c>
      <x:c r="E203" s="9" t="n">
        <x:f>(D203-C203)*1000</x:f>
        <x:v>3528.6212258688465</x:v>
      </x:c>
      <x:c r="F203" s="9" t="n">
        <x:f>E203/Inputs!$C$12</x:f>
        <x:v>1982.3714752072171</x:v>
      </x:c>
      <x:c r="G203" s="9" t="n">
        <x:f>2*E203/Inputs!$C$21*1000000</x:f>
        <x:v>23.540426930078716</x:v>
      </x:c>
      <x:c r="H203" s="9" t="n">
        <x:f>SQRT(A203^2+Inputs!$C$6^2)</x:f>
        <x:v>47.59464255564905</x:v>
      </x:c>
      <x:c r="I203" s="9" t="n">
        <x:f>DEGREES(ATAN(H203/B203))</x:f>
        <x:v>6.755036334683316</x:v>
      </x:c>
      <x:c r="J203" s="9" t="n">
        <x:f>DEGREES((2*PI()/Inputs!$C$13)*Inputs!$C$15*SIN(RADIANS(I203)))</x:f>
        <x:v>42.34488780209607</x:v>
      </x:c>
      <x:c r="K203" s="9" t="n">
        <x:f>(C203/D203)^4</x:f>
        <x:v>0.9656316475691362</x:v>
      </x:c>
      <x:c r="L203" s="9" t="n">
        <x:f>10*LOG10(K203)</x:f>
        <x:v>-0.151885091292134</x:v>
      </x:c>
      <x:c r="M203" s="9" t="n">
        <x:f>2*(Inputs!$C$9/(Inputs!$C$10^2))*A203</x:f>
        <x:v>0.09</x:v>
      </x:c>
      <x:c r="N203" s="9" t="n">
        <x:f>M203*Inputs!$C$11</x:f>
        <x:v>0.36</x:v>
      </x:c>
      <x:c r="O203" s="9" t="n">
        <x:f>1000*(D204-D202)/(A204-A202)*Inputs!$C$11</x:f>
        <x:v>859.9746238114676</x:v>
      </x:c>
      <x:c r="P203" s="9" t="n">
        <x:f>-2*O203/Inputs!$C$13</x:f>
        <x:v>-343.98984952458704</x:v>
      </x:c>
      <x:c r="Q203" s="9" t="n">
        <x:f>-2*O203/Inputs!$C$14</x:f>
        <x:v>-51.65012755624431</x:v>
      </x:c>
      <x:c r="R203" s="9" t="n">
        <x:f>F203-Inputs!$C$16/2</x:f>
        <x:v>1967.3714752072171</x:v>
      </x:c>
      <x:c r="S203" s="9" t="n">
        <x:f>F203+Inputs!$C$16/2</x:f>
        <x:v>1997.3714752072171</x:v>
      </x:c>
      <x:c r="T203" s="9" t="n">
        <x:f>F203-Inputs!$C$17/2</x:f>
        <x:v>1832.3714752072171</x:v>
      </x:c>
      <x:c r="U203" s="9" t="n">
        <x:f>F203+Inputs!$C$17/2</x:f>
        <x:v>2132.3714752072174</x:v>
      </x:c>
      <x:c r="V203" s="9" t="n">
        <x:f>ABS(P203)</x:f>
        <x:v>343.98984952458704</x:v>
      </x:c>
      <x:c r="W203" s="9" t="n">
        <x:f>ABS(Q203)</x:f>
        <x:v>51.65012755624431</x:v>
      </x:c>
      <x:c r="X203" s="9"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x:f>
        <x:v>60.152205166209214</x:v>
      </x:c>
      <x:c r="Y203" s="9"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x:f>
        <x:v>300.6975060152245</x:v>
      </x:c>
      <x:c r="Z203" s="9" t="n">
        <x:f>B203-X203/1000</x:f>
        <x:v>401.7623477948338</x:v>
      </x:c>
      <x:c r="AA203" s="9" t="n">
        <x:f>SQRT((Inputs!$C$52+B203)^2+(Inputs!$C$52+Y203/1000)^2-2*(Inputs!$C$52+B203)*(Inputs!$C$52+Y203/1000)*COS(SQRT(A203^2+Inputs!$C$6^2)/Inputs!$C$52))</x:f>
        <x:v>405.05372060458564</x:v>
      </x:c>
      <x:c r="AB203" s="9" t="n">
        <x:f>(AA203-Z203)*1000</x:f>
        <x:v>3291.372809751863</x:v>
      </x:c>
      <x:c r="AC203" s="9" t="n">
        <x:f>AB203/Inputs!$C$12</x:f>
        <x:v>1849.0858481752039</x:v>
      </x:c>
      <x:c r="AD203" s="9" t="n">
        <x:f>2*AB203/Inputs!$C$21*1000000</x:f>
        <x:v>21.95767586489359</x:v>
      </x:c>
      <x:c r="AE203" s="9" t="n">
        <x:f>DEGREES(ATAN(H203/(B203-Y203/1000)))</x:f>
        <x:v>6.760048345256284</x:v>
      </x:c>
      <x:c r="AF203" s="9" t="n">
        <x:f>DEGREES((2*PI()/Inputs!$C$13)*Inputs!$C$15*SIN(RADIANS(AE203)))</x:f>
        <x:v>42.37616042182356</x:v>
      </x:c>
      <x:c r="AG203" s="9" t="n">
        <x:f>(Z203/AA203)^4</x:f>
        <x:v>0.9678909524815293</x:v>
      </x:c>
      <x:c r="AH203" s="9" t="n">
        <x:f>10*LOG10(AG203)</x:f>
        <x:v>-0.141735697611052</x:v>
      </x:c>
      <x:c r="AI203" s="9" t="n">
        <x:f>AC203-F203</x:f>
        <x:v>-133.28562703201328</x:v>
      </x:c>
      <x:c r="AJ203" s="9" t="n">
        <x:f>AD203-G203</x:f>
        <x:v>-1.5827510651851249</x:v>
      </x:c>
      <x:c r="AK203" s="9" t="n">
        <x:f>Y203-X203</x:f>
        <x:v>240.5453008490153</x:v>
      </x:c>
      <x:c r="AL203" s="9" t="n">
        <x:f>1000*(AA204-AA202)/(A204-A202)*Inputs!$C$11</x:f>
        <x:v>972.2361430960973</x:v>
      </x:c>
      <x:c r="AM203" s="9" t="n">
        <x:f>-2*AL203/Inputs!$C$13</x:f>
        <x:v>-388.8944572384389</x:v>
      </x:c>
      <x:c r="AN203" s="9" t="n">
        <x:f>-2*AL203/Inputs!$C$14</x:f>
        <x:v>-58.392561146912755</x:v>
      </x:c>
      <x:c r="AO203" s="9" t="n">
        <x:f>ABS(AM203)</x:f>
        <x:v>388.8944572384389</x:v>
      </x:c>
      <x:c r="AP203" s="9" t="n">
        <x:f>ABS(AN203)</x:f>
        <x:v>58.392561146912755</x:v>
      </x:c>
      <x:c r="AQ203" s="9" t="n">
        <x:f>IF(OR(Inputs!$C$27=TRUE,Inputs!$C$27="TRUE",Inputs!$C$27=1),Inputs!$C$46/Inputs!$C$12,0)</x:f>
        <x:v>42.13483146067416</x:v>
      </x:c>
      <x:c r="AR203" s="9" t="n">
        <x:f>AC203-AQ203</x:f>
        <x:v>1806.9510167145297</x:v>
      </x:c>
      <x:c r="AS203" s="9" t="n">
        <x:f>AC203+AQ203</x:f>
        <x:v>1891.220679635878</x:v>
      </x:c>
    </x:row>
    <x:row r="204">
      <x:c r="A204" s="9" t="n">
        <x:f>Inputs!$C$7+202*(Inputs!$C$8-Inputs!$C$7)/240</x:f>
        <x:v>41</x:v>
      </x:c>
      <x:c r="B204" s="9" t="n">
        <x:f>Inputs!$C$5+Inputs!$C$9*(A204/Inputs!$C$10)^2</x:f>
        <x:v>401.8677777777778</x:v>
      </x:c>
      <x:c r="C204" s="9" t="n">
        <x:f>B204</x:f>
        <x:v>401.8677777777778</x:v>
      </x:c>
      <x:c r="D204" s="9" t="n">
        <x:f>SQRT((Inputs!$C$52+B204)^2+Inputs!$C$52^2-2*(Inputs!$C$52+B204)*Inputs!$C$52*COS(SQRT(A204^2+Inputs!$C$6^2)/Inputs!$C$52))</x:f>
        <x:v>405.4592712120434</x:v>
      </x:c>
      <x:c r="E204" s="9" t="n">
        <x:f>(D204-C204)*1000</x:f>
        <x:v>3591.493434265601</x:v>
      </x:c>
      <x:c r="F204" s="9" t="n">
        <x:f>E204/Inputs!$C$12</x:f>
        <x:v>2017.6929405986523</x:v>
      </x:c>
      <x:c r="G204" s="9" t="n">
        <x:f>2*E204/Inputs!$C$21*1000000</x:f>
        <x:v>23.95986515621818</x:v>
      </x:c>
      <x:c r="H204" s="9" t="n">
        <x:f>SQRT(A204^2+Inputs!$C$6^2)</x:f>
        <x:v>48.02082881417188</x:v>
      </x:c>
      <x:c r="I204" s="9" t="n">
        <x:f>DEGREES(ATAN(H204/B204))</x:f>
        <x:v>6.814197296997338</x:v>
      </x:c>
      <x:c r="J204" s="9" t="n">
        <x:f>DEGREES((2*PI()/Inputs!$C$13)*Inputs!$C$15*SIN(RADIANS(I204)))</x:f>
        <x:v>42.71400402217685</x:v>
      </x:c>
      <x:c r="K204" s="9" t="n">
        <x:f>(C204/D204)^4</x:f>
        <x:v>0.965036633340718</x:v>
      </x:c>
      <x:c r="L204" s="9" t="n">
        <x:f>10*LOG10(K204)</x:f>
        <x:v>-0.15456200277187898</x:v>
      </x:c>
      <x:c r="M204" s="9" t="n">
        <x:f>2*(Inputs!$C$9/(Inputs!$C$10^2))*A204</x:f>
        <x:v>0.09111111111111111</x:v>
      </x:c>
      <x:c r="N204" s="9" t="n">
        <x:f>M204*Inputs!$C$11</x:f>
        <x:v>0.36444444444444446</x:v>
      </x:c>
      <x:c r="O204" s="9" t="n">
        <x:f>1000*(D205-D203)/(A205-A203)*Inputs!$C$11</x:f>
        <x:v>870.4221222078559</x:v>
      </x:c>
      <x:c r="P204" s="9" t="n">
        <x:f>-2*O204/Inputs!$C$13</x:f>
        <x:v>-348.16884888314235</x:v>
      </x:c>
      <x:c r="Q204" s="9" t="n">
        <x:f>-2*O204/Inputs!$C$14</x:f>
        <x:v>-52.27760493740877</x:v>
      </x:c>
      <x:c r="R204" s="9" t="n">
        <x:f>F204-Inputs!$C$16/2</x:f>
        <x:v>2002.6929405986523</x:v>
      </x:c>
      <x:c r="S204" s="9" t="n">
        <x:f>F204+Inputs!$C$16/2</x:f>
        <x:v>2032.6929405986523</x:v>
      </x:c>
      <x:c r="T204" s="9" t="n">
        <x:f>F204-Inputs!$C$17/2</x:f>
        <x:v>1867.6929405986523</x:v>
      </x:c>
      <x:c r="U204" s="9" t="n">
        <x:f>F204+Inputs!$C$17/2</x:f>
        <x:v>2167.692940598652</x:v>
      </x:c>
      <x:c r="V204" s="9" t="n">
        <x:f>ABS(P204)</x:f>
        <x:v>348.16884888314235</x:v>
      </x:c>
      <x:c r="W204" s="9" t="n">
        <x:f>ABS(Q204)</x:f>
        <x:v>52.27760493740877</x:v>
      </x:c>
      <x:c r="X204" s="9"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x:f>
        <x:v>52.60933898915909</x:v>
      </x:c>
      <x:c r="Y204" s="9"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x:f>
        <x:v>276.55710773836364</x:v>
      </x:c>
      <x:c r="Z204" s="9" t="n">
        <x:f>B204-X204/1000</x:f>
        <x:v>401.81516843878865</x:v>
      </x:c>
      <x:c r="AA204" s="9" t="n">
        <x:f>SQRT((Inputs!$C$52+B204)^2+(Inputs!$C$52+Y204/1000)^2-2*(Inputs!$C$52+B204)*(Inputs!$C$52+Y204/1000)*COS(SQRT(A204^2+Inputs!$C$6^2)/Inputs!$C$52))</x:f>
        <x:v>405.1857994515669</x:v>
      </x:c>
      <x:c r="AB204" s="9" t="n">
        <x:f>(AA204-Z204)*1000</x:f>
        <x:v>3370.631012778233</x:v>
      </x:c>
      <x:c r="AC204" s="9" t="n">
        <x:f>AB204/Inputs!$C$12</x:f>
        <x:v>1893.6129285270972</x:v>
      </x:c>
      <x:c r="AD204" s="9" t="n">
        <x:f>2*AB204/Inputs!$C$21*1000000</x:f>
        <x:v>22.486429680484044</x:v>
      </x:c>
      <x:c r="AE204" s="9" t="n">
        <x:f>DEGREES(ATAN(H204/(B204-Y204/1000)))</x:f>
        <x:v>6.818845746704476</x:v>
      </x:c>
      <x:c r="AF204" s="9" t="n">
        <x:f>DEGREES((2*PI()/Inputs!$C$13)*Inputs!$C$15*SIN(RADIANS(AE204)))</x:f>
        <x:v>42.743004637762105</x:v>
      </x:c>
      <x:c r="AG204" s="9" t="n">
        <x:f>(Z204/AA204)^4</x:f>
        <x:v>0.9671379921678639</x:v>
      </x:c>
      <x:c r="AH204" s="9" t="n">
        <x:f>10*LOG10(AG204)</x:f>
        <x:v>-0.145115559465065</x:v>
      </x:c>
      <x:c r="AI204" s="9" t="n">
        <x:f>AC204-F204</x:f>
        <x:v>-124.08001207155507</x:v>
      </x:c>
      <x:c r="AJ204" s="9" t="n">
        <x:f>AD204-G204</x:f>
        <x:v>-1.473435475734135</x:v>
      </x:c>
      <x:c r="AK204" s="9" t="n">
        <x:f>Y204-X204</x:f>
        <x:v>223.94776874920456</x:v>
      </x:c>
      <x:c r="AL204" s="9" t="n">
        <x:f>1000*(AA205-AA203)/(A205-A203)*Inputs!$C$11</x:f>
        <x:v>995.3859946210741</x:v>
      </x:c>
      <x:c r="AM204" s="9" t="n">
        <x:f>-2*AL204/Inputs!$C$13</x:f>
        <x:v>-398.15439784842965</x:v>
      </x:c>
      <x:c r="AN204" s="9" t="n">
        <x:f>-2*AL204/Inputs!$C$14</x:f>
        <x:v>-59.78294261988434</x:v>
      </x:c>
      <x:c r="AO204" s="9" t="n">
        <x:f>ABS(AM204)</x:f>
        <x:v>398.15439784842965</x:v>
      </x:c>
      <x:c r="AP204" s="9" t="n">
        <x:f>ABS(AN204)</x:f>
        <x:v>59.78294261988434</x:v>
      </x:c>
      <x:c r="AQ204" s="9" t="n">
        <x:f>IF(OR(Inputs!$C$27=TRUE,Inputs!$C$27="TRUE",Inputs!$C$27=1),Inputs!$C$46/Inputs!$C$12,0)</x:f>
        <x:v>42.13483146067416</x:v>
      </x:c>
      <x:c r="AR204" s="9" t="n">
        <x:f>AC204-AQ204</x:f>
        <x:v>1851.478097066423</x:v>
      </x:c>
      <x:c r="AS204" s="9" t="n">
        <x:f>AC204+AQ204</x:f>
        <x:v>1935.7477599877714</x:v>
      </x:c>
    </x:row>
    <x:row r="205">
      <x:c r="A205" s="9" t="n">
        <x:f>Inputs!$C$7+203*(Inputs!$C$8-Inputs!$C$7)/240</x:f>
        <x:v>41.5</x:v>
      </x:c>
      <x:c r="B205" s="9" t="n">
        <x:f>Inputs!$C$5+Inputs!$C$9*(A205/Inputs!$C$10)^2</x:f>
        <x:v>401.9136111111111</x:v>
      </x:c>
      <x:c r="C205" s="9" t="n">
        <x:f>B205</x:f>
        <x:v>401.9136111111111</x:v>
      </x:c>
      <x:c r="D205" s="9" t="n">
        <x:f>SQRT((Inputs!$C$52+B205)^2+Inputs!$C$52^2-2*(Inputs!$C$52+B205)*Inputs!$C$52*COS(SQRT(A205^2+Inputs!$C$6^2)/Inputs!$C$52))</x:f>
        <x:v>405.5687267564208</x:v>
      </x:c>
      <x:c r="E205" s="9" t="n">
        <x:f>(D205-C205)*1000</x:f>
        <x:v>3655.1156453097065</x:v>
      </x:c>
      <x:c r="F205" s="9" t="n">
        <x:f>E205/Inputs!$C$12</x:f>
        <x:v>2053.4357557919698</x:v>
      </x:c>
      <x:c r="G205" s="9" t="n">
        <x:f>2*E205/Inputs!$C$21*1000000</x:f>
        <x:v>24.384306861446838</x:v>
      </x:c>
      <x:c r="H205" s="9" t="n">
        <x:f>SQRT(A205^2+Inputs!$C$6^2)</x:f>
        <x:v>48.44842618702903</x:v>
      </x:c>
      <x:c r="I205" s="9" t="n">
        <x:f>DEGREES(ATAN(H205/B205))</x:f>
        <x:v>6.873519212930159</x:v>
      </x:c>
      <x:c r="J205" s="9" t="n">
        <x:f>DEGREES((2*PI()/Inputs!$C$13)*Inputs!$C$15*SIN(RADIANS(I205)))</x:f>
        <x:v>43.0840787351217</x:v>
      </x:c>
      <x:c r="K205" s="9" t="n">
        <x:f>(C205/D205)^4</x:f>
        <x:v>0.9644351252982665</x:v>
      </x:c>
      <x:c r="L205" s="9" t="n">
        <x:f>10*LOG10(K205)</x:f>
        <x:v>-0.15726980744380803</x:v>
      </x:c>
      <x:c r="M205" s="9" t="n">
        <x:f>2*(Inputs!$C$9/(Inputs!$C$10^2))*A205</x:f>
        <x:v>0.09222222222222222</x:v>
      </x:c>
      <x:c r="N205" s="9" t="n">
        <x:f>M205*Inputs!$C$11</x:f>
        <x:v>0.3688888888888889</x:v>
      </x:c>
      <x:c r="O205" s="9" t="n">
        <x:f>1000*(D206-D204)/(A206-A204)*Inputs!$C$11</x:f>
        <x:v>880.8635219918415</x:v>
      </x:c>
      <x:c r="P205" s="9" t="n">
        <x:f>-2*O205/Inputs!$C$13</x:f>
        <x:v>-352.3454087967366</x:v>
      </x:c>
      <x:c r="Q205" s="9" t="n">
        <x:f>-2*O205/Inputs!$C$14</x:f>
        <x:v>-52.90471603554604</x:v>
      </x:c>
      <x:c r="R205" s="9" t="n">
        <x:f>F205-Inputs!$C$16/2</x:f>
        <x:v>2038.4357557919698</x:v>
      </x:c>
      <x:c r="S205" s="9" t="n">
        <x:f>F205+Inputs!$C$16/2</x:f>
        <x:v>2068.4357557919698</x:v>
      </x:c>
      <x:c r="T205" s="9" t="n">
        <x:f>F205-Inputs!$C$17/2</x:f>
        <x:v>1903.4357557919698</x:v>
      </x:c>
      <x:c r="U205" s="9" t="n">
        <x:f>F205+Inputs!$C$17/2</x:f>
        <x:v>2203.4357557919698</x:v>
      </x:c>
      <x:c r="V205" s="9" t="n">
        <x:f>ABS(P205)</x:f>
        <x:v>352.3454087967366</x:v>
      </x:c>
      <x:c r="W205" s="9" t="n">
        <x:f>ABS(Q205)</x:f>
        <x:v>52.90471603554604</x:v>
      </x:c>
      <x:c r="X205" s="9"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x:f>
        <x:v>58.38095189793533</x:v>
      </x:c>
      <x:c r="Y205" s="9"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x:f>
        <x:v>269.21554101681534</x:v>
      </x:c>
      <x:c r="Z205" s="9" t="n">
        <x:f>B205-X205/1000</x:f>
        <x:v>401.85523015921314</x:v>
      </x:c>
      <x:c r="AA205" s="9" t="n">
        <x:f>SQRT((Inputs!$C$52+B205)^2+(Inputs!$C$52+Y205/1000)^2-2*(Inputs!$C$52+B205)*(Inputs!$C$52+Y205/1000)*COS(SQRT(A205^2+Inputs!$C$6^2)/Inputs!$C$52))</x:f>
        <x:v>405.3025671032409</x:v>
      </x:c>
      <x:c r="AB205" s="9" t="n">
        <x:f>(AA205-Z205)*1000</x:f>
        <x:v>3447.336944027768</x:v>
      </x:c>
      <x:c r="AC205" s="9" t="n">
        <x:f>AB205/Inputs!$C$12</x:f>
        <x:v>1936.7061483302066</x:v>
      </x:c>
      <x:c r="AD205" s="9" t="n">
        <x:f>2*AB205/Inputs!$C$21*1000000</x:f>
        <x:v>22.998156571555697</x:v>
      </x:c>
      <x:c r="AE205" s="9" t="n">
        <x:f>DEGREES(ATAN(H205/(B205-Y205/1000)))</x:f>
        <x:v>6.878082297713337</x:v>
      </x:c>
      <x:c r="AF205" s="9" t="n">
        <x:f>DEGREES((2*PI()/Inputs!$C$13)*Inputs!$C$15*SIN(RADIANS(AE205)))</x:f>
        <x:v>43.112543242479305</x:v>
      </x:c>
      <x:c r="AG205" s="9" t="n">
        <x:f>(Z205/AA205)^4</x:f>
        <x:v>0.9664092592315805</x:v>
      </x:c>
      <x:c r="AH205" s="9" t="n">
        <x:f>10*LOG10(AG205)</x:f>
        <x:v>-0.148389176986075</x:v>
      </x:c>
      <x:c r="AI205" s="9" t="n">
        <x:f>AC205-F205</x:f>
        <x:v>-116.72960746176318</x:v>
      </x:c>
      <x:c r="AJ205" s="9" t="n">
        <x:f>AD205-G205</x:f>
        <x:v>-1.386150289891141</x:v>
      </x:c>
      <x:c r="AK205" s="9" t="n">
        <x:f>Y205-X205</x:f>
        <x:v>210.83458911888</x:v>
      </x:c>
      <x:c r="AL205" s="9" t="n">
        <x:f>1000*(AA206-AA204)/(A206-A204)*Inputs!$C$11</x:f>
        <x:v>902.7699962027782</x:v>
      </x:c>
      <x:c r="AM205" s="9" t="n">
        <x:f>-2*AL205/Inputs!$C$13</x:f>
        <x:v>-361.1079984811113</x:v>
      </x:c>
      <x:c r="AN205" s="9" t="n">
        <x:f>-2*AL205/Inputs!$C$14</x:f>
        <x:v>-54.22042019235906</x:v>
      </x:c>
      <x:c r="AO205" s="9" t="n">
        <x:f>ABS(AM205)</x:f>
        <x:v>361.1079984811113</x:v>
      </x:c>
      <x:c r="AP205" s="9" t="n">
        <x:f>ABS(AN205)</x:f>
        <x:v>54.22042019235906</x:v>
      </x:c>
      <x:c r="AQ205" s="9" t="n">
        <x:f>IF(OR(Inputs!$C$27=TRUE,Inputs!$C$27="TRUE",Inputs!$C$27=1),Inputs!$C$46/Inputs!$C$12,0)</x:f>
        <x:v>42.13483146067416</x:v>
      </x:c>
      <x:c r="AR205" s="9" t="n">
        <x:f>AC205-AQ205</x:f>
        <x:v>1894.5713168695324</x:v>
      </x:c>
      <x:c r="AS205" s="9" t="n">
        <x:f>AC205+AQ205</x:f>
        <x:v>1978.8409797908807</x:v>
      </x:c>
    </x:row>
    <x:row r="206">
      <x:c r="A206" s="9" t="n">
        <x:f>Inputs!$C$7+204*(Inputs!$C$8-Inputs!$C$7)/240</x:f>
        <x:v>42</x:v>
      </x:c>
      <x:c r="B206" s="9" t="n">
        <x:f>Inputs!$C$5+Inputs!$C$9*(A206/Inputs!$C$10)^2</x:f>
        <x:v>401.96</x:v>
      </x:c>
      <x:c r="C206" s="9" t="n">
        <x:f>B206</x:f>
        <x:v>401.96</x:v>
      </x:c>
      <x:c r="D206" s="9" t="n">
        <x:f>SQRT((Inputs!$C$52+B206)^2+Inputs!$C$52^2-2*(Inputs!$C$52+B206)*Inputs!$C$52*COS(SQRT(A206^2+Inputs!$C$6^2)/Inputs!$C$52))</x:f>
        <x:v>405.67948709254136</x:v>
      </x:c>
      <x:c r="E206" s="9" t="n">
        <x:f>(D206-C206)*1000</x:f>
        <x:v>3719.487092541385</x:v>
      </x:c>
      <x:c r="F206" s="9" t="n">
        <x:f>E206/Inputs!$C$12</x:f>
        <x:v>2089.5994901917893</x:v>
      </x:c>
      <x:c r="G206" s="9" t="n">
        <x:f>2*E206/Inputs!$C$21*1000000</x:f>
        <x:v>24.813746932495448</x:v>
      </x:c>
      <x:c r="H206" s="9" t="n">
        <x:f>SQRT(A206^2+Inputs!$C$6^2)</x:f>
        <x:v>48.877397639399746</x:v>
      </x:c>
      <x:c r="I206" s="9" t="n">
        <x:f>DEGREES(ATAN(H206/B206))</x:f>
        <x:v>6.932996321916247</x:v>
      </x:c>
      <x:c r="J206" s="9" t="n">
        <x:f>DEGREES((2*PI()/Inputs!$C$13)*Inputs!$C$15*SIN(RADIANS(I206)))</x:f>
        <x:v>43.45507523985368</x:v>
      </x:c>
      <x:c r="K206" s="9" t="n">
        <x:f>(C206/D206)^4</x:f>
        <x:v>0.96382715141543</x:v>
      </x:c>
      <x:c r="L206" s="9" t="n">
        <x:f>10*LOG10(K206)</x:f>
        <x:v>-0.16000843604631</x:v>
      </x:c>
      <x:c r="M206" s="9" t="n">
        <x:f>2*(Inputs!$C$9/(Inputs!$C$10^2))*A206</x:f>
        <x:v>0.09333333333333334</x:v>
      </x:c>
      <x:c r="N206" s="9" t="n">
        <x:f>M206*Inputs!$C$11</x:f>
        <x:v>0.37333333333333335</x:v>
      </x:c>
      <x:c r="O206" s="9" t="n">
        <x:f>1000*(D207-D205)/(A207-A205)*Inputs!$C$11</x:f>
        <x:v>891.298757131608</x:v>
      </x:c>
      <x:c r="P206" s="9" t="n">
        <x:f>-2*O206/Inputs!$C$13</x:f>
        <x:v>-356.5195028526432</x:v>
      </x:c>
      <x:c r="Q206" s="9" t="n">
        <x:f>-2*O206/Inputs!$C$14</x:f>
        <x:v>-53.531456884781264</x:v>
      </x:c>
      <x:c r="R206" s="9" t="n">
        <x:f>F206-Inputs!$C$16/2</x:f>
        <x:v>2074.5994901917893</x:v>
      </x:c>
      <x:c r="S206" s="9" t="n">
        <x:f>F206+Inputs!$C$16/2</x:f>
        <x:v>2104.5994901917893</x:v>
      </x:c>
      <x:c r="T206" s="9" t="n">
        <x:f>F206-Inputs!$C$17/2</x:f>
        <x:v>1939.5994901917893</x:v>
      </x:c>
      <x:c r="U206" s="9" t="n">
        <x:f>F206+Inputs!$C$17/2</x:f>
        <x:v>2239.5994901917893</x:v>
      </x:c>
      <x:c r="V206" s="9" t="n">
        <x:f>ABS(P206)</x:f>
        <x:v>356.5195028526432</x:v>
      </x:c>
      <x:c r="W206" s="9" t="n">
        <x:f>ABS(Q206)</x:f>
        <x:v>53.531456884781264</x:v>
      </x:c>
      <x:c r="X206" s="9"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x:f>
        <x:v>34.52124211278962</x:v>
      </x:c>
      <x:c r="Y206" s="9"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x:f>
        <x:v>271.1262021129023</x:v>
      </x:c>
      <x:c r="Z206" s="9" t="n">
        <x:f>B206-X206/1000</x:f>
        <x:v>401.92547875788716</x:v>
      </x:c>
      <x:c r="AA206" s="9" t="n">
        <x:f>SQRT((Inputs!$C$52+B206)^2+(Inputs!$C$52+Y206/1000)^2-2*(Inputs!$C$52+B206)*(Inputs!$C$52+Y206/1000)*COS(SQRT(A206^2+Inputs!$C$6^2)/Inputs!$C$52))</x:f>
        <x:v>405.4114919506176</x:v>
      </x:c>
      <x:c r="AB206" s="9" t="n">
        <x:f>(AA206-Z206)*1000</x:f>
        <x:v>3486.013192730411</x:v>
      </x:c>
      <x:c r="AC206" s="9" t="n">
        <x:f>AB206/Inputs!$C$12</x:f>
        <x:v>1958.434377938433</x:v>
      </x:c>
      <x:c r="AD206" s="9" t="n">
        <x:f>2*AB206/Inputs!$C$21*1000000</x:f>
        <x:v>23.256176729638817</x:v>
      </x:c>
      <x:c r="AE206" s="9" t="n">
        <x:f>DEGREES(ATAN(H206/(B206-Y206/1000)))</x:f>
        <x:v>6.937630266351659</x:v>
      </x:c>
      <x:c r="AF206" s="9" t="n">
        <x:f>DEGREES((2*PI()/Inputs!$C$13)*Inputs!$C$15*SIN(RADIANS(AE206)))</x:f>
        <x:v>43.48397813334025</x:v>
      </x:c>
      <x:c r="AG206" s="9" t="n">
        <x:f>(Z206/AA206)^4</x:f>
        <x:v>0.9660462748165156</x:v>
      </x:c>
      <x:c r="AH206" s="9" t="n">
        <x:f>10*LOG10(AG206)</x:f>
        <x:v>-0.150020698411082</x:v>
      </x:c>
      <x:c r="AI206" s="9" t="n">
        <x:f>AC206-F206</x:f>
        <x:v>-131.16511225335626</x:v>
      </x:c>
      <x:c r="AJ206" s="9" t="n">
        <x:f>AD206-G206</x:f>
        <x:v>-1.5575702028566312</x:v>
      </x:c>
      <x:c r="AK206" s="9" t="n">
        <x:f>Y206-X206</x:f>
        <x:v>236.6049600001127</x:v>
      </x:c>
      <x:c r="AL206" s="9" t="n">
        <x:f>1000*(AA207-AA205)/(A207-A205)*Inputs!$C$11</x:f>
        <x:v>929.0367972541844</x:v>
      </x:c>
      <x:c r="AM206" s="9" t="n">
        <x:f>-2*AL206/Inputs!$C$13</x:f>
        <x:v>-371.61471890167377</x:v>
      </x:c>
      <x:c r="AN206" s="9" t="n">
        <x:f>-2*AL206/Inputs!$C$14</x:f>
        <x:v>-55.79800584109216</x:v>
      </x:c>
      <x:c r="AO206" s="9" t="n">
        <x:f>ABS(AM206)</x:f>
        <x:v>371.61471890167377</x:v>
      </x:c>
      <x:c r="AP206" s="9" t="n">
        <x:f>ABS(AN206)</x:f>
        <x:v>55.79800584109216</x:v>
      </x:c>
      <x:c r="AQ206" s="9" t="n">
        <x:f>IF(OR(Inputs!$C$27=TRUE,Inputs!$C$27="TRUE",Inputs!$C$27=1),Inputs!$C$46/Inputs!$C$12,0)</x:f>
        <x:v>42.13483146067416</x:v>
      </x:c>
      <x:c r="AR206" s="9" t="n">
        <x:f>AC206-AQ206</x:f>
        <x:v>1916.299546477759</x:v>
      </x:c>
      <x:c r="AS206" s="9" t="n">
        <x:f>AC206+AQ206</x:f>
        <x:v>2000.5692093991072</x:v>
      </x:c>
    </x:row>
    <x:row r="207">
      <x:c r="A207" s="9" t="n">
        <x:f>Inputs!$C$7+205*(Inputs!$C$8-Inputs!$C$7)/240</x:f>
        <x:v>42.5</x:v>
      </x:c>
      <x:c r="B207" s="9" t="n">
        <x:f>Inputs!$C$5+Inputs!$C$9*(A207/Inputs!$C$10)^2</x:f>
        <x:v>402.00694444444446</x:v>
      </x:c>
      <x:c r="C207" s="9" t="n">
        <x:f>B207</x:f>
        <x:v>402.00694444444446</x:v>
      </x:c>
      <x:c r="D207" s="9" t="n">
        <x:f>SQRT((Inputs!$C$52+B207)^2+Inputs!$C$52^2-2*(Inputs!$C$52+B207)*Inputs!$C$52*COS(SQRT(A207^2+Inputs!$C$6^2)/Inputs!$C$52))</x:f>
        <x:v>405.7915514457037</x:v>
      </x:c>
      <x:c r="E207" s="9" t="n">
        <x:f>(D207-C207)*1000</x:f>
        <x:v>3784.6070012592463</x:v>
      </x:c>
      <x:c r="F207" s="9" t="n">
        <x:f>E207/Inputs!$C$12</x:f>
        <x:v>2126.18370857261</x:v>
      </x:c>
      <x:c r="G207" s="9" t="n">
        <x:f>2*E207/Inputs!$C$21*1000000</x:f>
        <x:v>25.24818020111264</x:v>
      </x:c>
      <x:c r="H207" s="9" t="n">
        <x:f>SQRT(A207^2+Inputs!$C$6^2)</x:f>
        <x:v>49.30770730829005</x:v>
      </x:c>
      <x:c r="I207" s="9" t="n">
        <x:f>DEGREES(ATAN(H207/B207))</x:f>
        <x:v>6.992623032280269</x:v>
      </x:c>
      <x:c r="J207" s="9" t="n">
        <x:f>DEGREES((2*PI()/Inputs!$C$13)*Inputs!$C$15*SIN(RADIANS(I207)))</x:f>
        <x:v>43.82695789939304</x:v>
      </x:c>
      <x:c r="K207" s="9" t="n">
        <x:f>(C207/D207)^4</x:f>
        <x:v>0.9632127399149205</x:v>
      </x:c>
      <x:c r="L207" s="9" t="n">
        <x:f>10*LOG10(K207)</x:f>
        <x:v>-0.16277781860586701</x:v>
      </x:c>
      <x:c r="M207" s="9" t="n">
        <x:f>2*(Inputs!$C$9/(Inputs!$C$10^2))*A207</x:f>
        <x:v>0.09444444444444444</x:v>
      </x:c>
      <x:c r="N207" s="9" t="n">
        <x:f>M207*Inputs!$C$11</x:f>
        <x:v>0.37777777777777777</x:v>
      </x:c>
      <x:c r="O207" s="9" t="n">
        <x:f>1000*(D208-D206)/(A208-A206)*Inputs!$C$11</x:f>
        <x:v>901.7277618504522</x:v>
      </x:c>
      <x:c r="P207" s="9" t="n">
        <x:f>-2*O207/Inputs!$C$13</x:f>
        <x:v>-360.6911047401809</x:v>
      </x:c>
      <x:c r="Q207" s="9" t="n">
        <x:f>-2*O207/Inputs!$C$14</x:f>
        <x:v>-54.1578235345617</x:v>
      </x:c>
      <x:c r="R207" s="9" t="n">
        <x:f>F207-Inputs!$C$16/2</x:f>
        <x:v>2111.18370857261</x:v>
      </x:c>
      <x:c r="S207" s="9" t="n">
        <x:f>F207+Inputs!$C$16/2</x:f>
        <x:v>2141.18370857261</x:v>
      </x:c>
      <x:c r="T207" s="9" t="n">
        <x:f>F207-Inputs!$C$17/2</x:f>
        <x:v>1976.1837085726102</x:v>
      </x:c>
      <x:c r="U207" s="9" t="n">
        <x:f>F207+Inputs!$C$17/2</x:f>
        <x:v>2276.18370857261</x:v>
      </x:c>
      <x:c r="V207" s="9" t="n">
        <x:f>ABS(P207)</x:f>
        <x:v>360.6911047401809</x:v>
      </x:c>
      <x:c r="W207" s="9" t="n">
        <x:f>ABS(Q207)</x:f>
        <x:v>54.1578235345617</x:v>
      </x:c>
      <x:c r="X207" s="9"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x:f>
        <x:v>40.25127636090155</x:v>
      </x:c>
      <x:c r="Y207" s="9"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x:f>
        <x:v>259.7768551367322</x:v>
      </x:c>
      <x:c r="Z207" s="9" t="n">
        <x:f>B207-X207/1000</x:f>
        <x:v>401.96669316808357</x:v>
      </x:c>
      <x:c r="AA207" s="9" t="n">
        <x:f>SQRT((Inputs!$C$52+B207)^2+(Inputs!$C$52+Y207/1000)^2-2*(Inputs!$C$52+B207)*(Inputs!$C$52+Y207/1000)*COS(SQRT(A207^2+Inputs!$C$6^2)/Inputs!$C$52))</x:f>
        <x:v>405.53482630255445</x:v>
      </x:c>
      <x:c r="AB207" s="9" t="n">
        <x:f>(AA207-Z207)*1000</x:f>
        <x:v>3568.1331344708838</x:v>
      </x:c>
      <x:c r="AC207" s="9" t="n">
        <x:f>AB207/Inputs!$C$12</x:f>
        <x:v>2004.5691766690359</x:v>
      </x:c>
      <x:c r="AD207" s="9" t="n">
        <x:f>2*AB207/Inputs!$C$21*1000000</x:f>
        <x:v>23.80402201092653</x:v>
      </x:c>
      <x:c r="AE207" s="9" t="n">
        <x:f>DEGREES(ATAN(H207/(B207-Y207/1000)))</x:f>
        <x:v>6.997099778736734</x:v>
      </x:c>
      <x:c r="AF207" s="9" t="n">
        <x:f>DEGREES((2*PI()/Inputs!$C$13)*Inputs!$C$15*SIN(RADIANS(AE207)))</x:f>
        <x:v>43.85487677072877</x:v>
      </x:c>
      <x:c r="AG207" s="9" t="n">
        <x:f>(Z207/AA207)^4</x:f>
        <x:v>0.9652674272551742</x:v>
      </x:c>
      <x:c r="AH207" s="9" t="n">
        <x:f>10*LOG10(AG207)</x:f>
        <x:v>-0.153523487379109</x:v>
      </x:c>
      <x:c r="AI207" s="9" t="n">
        <x:f>AC207-F207</x:f>
        <x:v>-121.61453190357429</x:v>
      </x:c>
      <x:c r="AJ207" s="9" t="n">
        <x:f>AD207-G207</x:f>
        <x:v>-1.4441581901861085</x:v>
      </x:c>
      <x:c r="AK207" s="9" t="n">
        <x:f>Y207-X207</x:f>
        <x:v>219.52557877583064</x:v>
      </x:c>
      <x:c r="AL207" s="9" t="n">
        <x:f>1000*(AA208-AA206)/(A208-A206)*Inputs!$C$11</x:f>
        <x:v>996.4743057389569</x:v>
      </x:c>
      <x:c r="AM207" s="9" t="n">
        <x:f>-2*AL207/Inputs!$C$13</x:f>
        <x:v>-398.58972229558276</x:v>
      </x:c>
      <x:c r="AN207" s="9" t="n">
        <x:f>-2*AL207/Inputs!$C$14</x:f>
        <x:v>-59.848306650988405</x:v>
      </x:c>
      <x:c r="AO207" s="9" t="n">
        <x:f>ABS(AM207)</x:f>
        <x:v>398.58972229558276</x:v>
      </x:c>
      <x:c r="AP207" s="9" t="n">
        <x:f>ABS(AN207)</x:f>
        <x:v>59.848306650988405</x:v>
      </x:c>
      <x:c r="AQ207" s="9" t="n">
        <x:f>IF(OR(Inputs!$C$27=TRUE,Inputs!$C$27="TRUE",Inputs!$C$27=1),Inputs!$C$46/Inputs!$C$12,0)</x:f>
        <x:v>42.13483146067416</x:v>
      </x:c>
      <x:c r="AR207" s="9" t="n">
        <x:f>AC207-AQ207</x:f>
        <x:v>1962.4343452083617</x:v>
      </x:c>
      <x:c r="AS207" s="9" t="n">
        <x:f>AC207+AQ207</x:f>
        <x:v>2046.70400812971</x:v>
      </x:c>
    </x:row>
    <x:row r="208">
      <x:c r="A208" s="9" t="n">
        <x:f>Inputs!$C$7+206*(Inputs!$C$8-Inputs!$C$7)/240</x:f>
        <x:v>43</x:v>
      </x:c>
      <x:c r="B208" s="9" t="n">
        <x:f>Inputs!$C$5+Inputs!$C$9*(A208/Inputs!$C$10)^2</x:f>
        <x:v>402.05444444444447</x:v>
      </x:c>
      <x:c r="C208" s="9" t="n">
        <x:f>B208</x:f>
        <x:v>402.05444444444447</x:v>
      </x:c>
      <x:c r="D208" s="9" t="n">
        <x:f>SQRT((Inputs!$C$52+B208)^2+Inputs!$C$52^2-2*(Inputs!$C$52+B208)*Inputs!$C$52*COS(SQRT(A208^2+Inputs!$C$6^2)/Inputs!$C$52))</x:f>
        <x:v>405.904919033004</x:v>
      </x:c>
      <x:c r="E208" s="9" t="n">
        <x:f>(D208-C208)*1000</x:f>
        <x:v>3850.474588559507</x:v>
      </x:c>
      <x:c r="F208" s="9" t="n">
        <x:f>E208/Inputs!$C$12</x:f>
        <x:v>2163.1879711008464</x:v>
      </x:c>
      <x:c r="G208" s="9" t="n">
        <x:f>2*E208/Inputs!$C$21*1000000</x:f>
        <x:v>25.687601444326575</x:v>
      </x:c>
      <x:c r="H208" s="9" t="n">
        <x:f>SQRT(A208^2+Inputs!$C$6^2)</x:f>
        <x:v>49.73932046178355</x:v>
      </x:c>
      <x:c r="I208" s="9" t="n">
        <x:f>DEGREES(ATAN(H208/B208))</x:f>
        <x:v>7.05239391542762</x:v>
      </x:c>
      <x:c r="J208" s="9" t="n">
        <x:f>DEGREES((2*PI()/Inputs!$C$13)*Inputs!$C$15*SIN(RADIANS(I208)))</x:f>
        <x:v>44.1996921044198</x:v>
      </x:c>
      <x:c r="K208" s="9" t="n">
        <x:f>(C208/D208)^4</x:f>
        <x:v>0.9625919192655438</x:v>
      </x:c>
      <x:c r="L208" s="9" t="n">
        <x:f>10*LOG10(K208)</x:f>
        <x:v>-0.165577884441521</x:v>
      </x:c>
      <x:c r="M208" s="9" t="n">
        <x:f>2*(Inputs!$C$9/(Inputs!$C$10^2))*A208</x:f>
        <x:v>0.09555555555555556</x:v>
      </x:c>
      <x:c r="N208" s="9" t="n">
        <x:f>M208*Inputs!$C$11</x:f>
        <x:v>0.38222222222222224</x:v>
      </x:c>
      <x:c r="O208" s="9" t="n">
        <x:f>1000*(D209-D207)/(A209-A207)*Inputs!$C$11</x:f>
        <x:v>912.1504706984069</x:v>
      </x:c>
      <x:c r="P208" s="9" t="n">
        <x:f>-2*O208/Inputs!$C$13</x:f>
        <x:v>-364.8601882793628</x:v>
      </x:c>
      <x:c r="Q208" s="9" t="n">
        <x:f>-2*O208/Inputs!$C$14</x:f>
        <x:v>-54.78381205395838</x:v>
      </x:c>
      <x:c r="R208" s="9" t="n">
        <x:f>F208-Inputs!$C$16/2</x:f>
        <x:v>2148.1879711008464</x:v>
      </x:c>
      <x:c r="S208" s="9" t="n">
        <x:f>F208+Inputs!$C$16/2</x:f>
        <x:v>2178.1879711008464</x:v>
      </x:c>
      <x:c r="T208" s="9" t="n">
        <x:f>F208-Inputs!$C$17/2</x:f>
        <x:v>2013.1879711008464</x:v>
      </x:c>
      <x:c r="U208" s="9" t="n">
        <x:f>F208+Inputs!$C$17/2</x:f>
        <x:v>2313.1879711008464</x:v>
      </x:c>
      <x:c r="V208" s="9" t="n">
        <x:f>ABS(P208)</x:f>
        <x:v>364.8601882793628</x:v>
      </x:c>
      <x:c r="W208" s="9" t="n">
        <x:f>ABS(Q208)</x:f>
        <x:v>54.78381205395838</x:v>
      </x:c>
      <x:c r="X208" s="9"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x:f>
        <x:v>33.32797910139238</x:v>
      </x:c>
      <x:c r="Y208" s="9"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x:f>
        <x:v>247.2629698422237</x:v>
      </x:c>
      <x:c r="Z208" s="9" t="n">
        <x:f>B208-X208/1000</x:f>
        <x:v>402.0211164653431</x:v>
      </x:c>
      <x:c r="AA208" s="9" t="n">
        <x:f>SQRT((Inputs!$C$52+B208)^2+(Inputs!$C$52+Y208/1000)^2-2*(Inputs!$C$52+B208)*(Inputs!$C$52+Y208/1000)*COS(SQRT(A208^2+Inputs!$C$6^2)/Inputs!$C$52))</x:f>
        <x:v>405.6606105270523</x:v>
      </x:c>
      <x:c r="AB208" s="9" t="n">
        <x:f>(AA208-Z208)*1000</x:f>
        <x:v>3639.494061709229</x:v>
      </x:c>
      <x:c r="AC208" s="9" t="n">
        <x:f>AB208/Inputs!$C$12</x:f>
        <x:v>2044.6595852299038</x:v>
      </x:c>
      <x:c r="AD208" s="9" t="n">
        <x:f>2*AB208/Inputs!$C$21*1000000</x:f>
        <x:v>24.280090873461724</x:v>
      </x:c>
      <x:c r="AE208" s="9" t="n">
        <x:f>DEGREES(ATAN(H208/(B208-Y208/1000)))</x:f>
        <x:v>7.056690056123688</x:v>
      </x:c>
      <x:c r="AF208" s="9" t="n">
        <x:f>DEGREES((2*PI()/Inputs!$C$13)*Inputs!$C$15*SIN(RADIANS(AE208)))</x:f>
        <x:v>44.226481203741976</x:v>
      </x:c>
      <x:c r="AG208" s="9" t="n">
        <x:f>(Z208/AA208)^4</x:f>
        <x:v>0.964592990261576</x:v>
      </x:c>
      <x:c r="AH208" s="9" t="n">
        <x:f>10*LOG10(AG208)</x:f>
        <x:v>-0.15655898439202098</x:v>
      </x:c>
      <x:c r="AI208" s="9" t="n">
        <x:f>AC208-F208</x:f>
        <x:v>-118.52838587094266</x:v>
      </x:c>
      <x:c r="AJ208" s="9" t="n">
        <x:f>AD208-G208</x:f>
        <x:v>-1.4075105708648508</x:v>
      </x:c>
      <x:c r="AK208" s="9" t="n">
        <x:f>Y208-X208</x:f>
        <x:v>213.93499074083132</x:v>
      </x:c>
      <x:c r="AL208" s="9" t="n">
        <x:f>1000*(AA209-AA207)/(A209-A207)*Inputs!$C$11</x:f>
        <x:v>1048.583804247528</x:v>
      </x:c>
      <x:c r="AM208" s="9" t="n">
        <x:f>-2*AL208/Inputs!$C$13</x:f>
        <x:v>-419.4335216990112</x:v>
      </x:c>
      <x:c r="AN208" s="9" t="n">
        <x:f>-2*AL208/Inputs!$C$14</x:f>
        <x:v>-62.978006261112796</x:v>
      </x:c>
      <x:c r="AO208" s="9" t="n">
        <x:f>ABS(AM208)</x:f>
        <x:v>419.4335216990112</x:v>
      </x:c>
      <x:c r="AP208" s="9" t="n">
        <x:f>ABS(AN208)</x:f>
        <x:v>62.978006261112796</x:v>
      </x:c>
      <x:c r="AQ208" s="9" t="n">
        <x:f>IF(OR(Inputs!$C$27=TRUE,Inputs!$C$27="TRUE",Inputs!$C$27=1),Inputs!$C$46/Inputs!$C$12,0)</x:f>
        <x:v>42.13483146067416</x:v>
      </x:c>
      <x:c r="AR208" s="9" t="n">
        <x:f>AC208-AQ208</x:f>
        <x:v>2002.5247537692296</x:v>
      </x:c>
      <x:c r="AS208" s="9" t="n">
        <x:f>AC208+AQ208</x:f>
        <x:v>2086.794416690578</x:v>
      </x:c>
    </x:row>
    <x:row r="209">
      <x:c r="A209" s="9" t="n">
        <x:f>Inputs!$C$7+207*(Inputs!$C$8-Inputs!$C$7)/240</x:f>
        <x:v>43.5</x:v>
      </x:c>
      <x:c r="B209" s="9" t="n">
        <x:f>Inputs!$C$5+Inputs!$C$9*(A209/Inputs!$C$10)^2</x:f>
        <x:v>402.1025</x:v>
      </x:c>
      <x:c r="C209" s="9" t="n">
        <x:f>B209</x:f>
        <x:v>402.1025</x:v>
      </x:c>
      <x:c r="D209" s="9" t="n">
        <x:f>SQRT((Inputs!$C$52+B209)^2+Inputs!$C$52^2-2*(Inputs!$C$52+B209)*Inputs!$C$52*COS(SQRT(A209^2+Inputs!$C$6^2)/Inputs!$C$52))</x:f>
        <x:v>406.0195890633783</x:v>
      </x:c>
      <x:c r="E209" s="9" t="n">
        <x:f>(D209-C209)*1000</x:f>
        <x:v>3917.0890633782847</x:v>
      </x:c>
      <x:c r="F209" s="9" t="n">
        <x:f>E209/Inputs!$C$12</x:f>
        <x:v>2200.611833358587</x:v>
      </x:c>
      <x:c r="G209" s="9" t="n">
        <x:f>2*E209/Inputs!$C$21*1000000</x:f>
        <x:v>26.132005384727087</x:v>
      </x:c>
      <x:c r="H209" s="9" t="n">
        <x:f>SQRT(A209^2+Inputs!$C$6^2)</x:f>
        <x:v>50.172203459684724</x:v>
      </x:c>
      <x:c r="I209" s="9" t="n">
        <x:f>DEGREES(ATAN(H209/B209))</x:f>
        <x:v>7.1123037002334435</x:v>
      </x:c>
      <x:c r="J209" s="9" t="n">
        <x:f>DEGREES((2*PI()/Inputs!$C$13)*Inputs!$C$15*SIN(RADIANS(I209)))</x:f>
        <x:v>44.57324423808168</x:v>
      </x:c>
      <x:c r="K209" s="9" t="n">
        <x:f>(C209/D209)^4</x:f>
        <x:v>0.9619647181791856</x:v>
      </x:c>
      <x:c r="L209" s="9" t="n">
        <x:f>10*LOG10(K209)</x:f>
        <x:v>-0.168408562169498</x:v>
      </x:c>
      <x:c r="M209" s="9" t="n">
        <x:f>2*(Inputs!$C$9/(Inputs!$C$10^2))*A209</x:f>
        <x:v>0.09666666666666666</x:v>
      </x:c>
      <x:c r="N209" s="9" t="n">
        <x:f>M209*Inputs!$C$11</x:f>
        <x:v>0.38666666666666666</x:v>
      </x:c>
      <x:c r="O209" s="9" t="n">
        <x:f>1000*(D210-D208)/(A210-A208)*Inputs!$C$11</x:f>
        <x:v>922.566818496307</x:v>
      </x:c>
      <x:c r="P209" s="9" t="n">
        <x:f>-2*O209/Inputs!$C$13</x:f>
        <x:v>-369.0267273985228</x:v>
      </x:c>
      <x:c r="Q209" s="9" t="n">
        <x:f>-2*O209/Inputs!$C$14</x:f>
        <x:v>-55.40941852830673</x:v>
      </x:c>
      <x:c r="R209" s="9" t="n">
        <x:f>F209-Inputs!$C$16/2</x:f>
        <x:v>2185.611833358587</x:v>
      </x:c>
      <x:c r="S209" s="9" t="n">
        <x:f>F209+Inputs!$C$16/2</x:f>
        <x:v>2215.611833358587</x:v>
      </x:c>
      <x:c r="T209" s="9" t="n">
        <x:f>F209-Inputs!$C$17/2</x:f>
        <x:v>2050.611833358587</x:v>
      </x:c>
      <x:c r="U209" s="9" t="n">
        <x:f>F209+Inputs!$C$17/2</x:f>
        <x:v>2350.611833358587</x:v>
      </x:c>
      <x:c r="V209" s="9" t="n">
        <x:f>ABS(P209)</x:f>
        <x:v>369.0267273985228</x:v>
      </x:c>
      <x:c r="W209" s="9" t="n">
        <x:f>ABS(Q209)</x:f>
        <x:v>55.40941852830673</x:v>
      </x:c>
      <x:c r="X209" s="9"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x:f>
        <x:v>20.522948331606614</x:v>
      </x:c>
      <x:c r="Y209" s="9"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x:f>
        <x:v>225.35528260314678</x:v>
      </x:c>
      <x:c r="Z209" s="9" t="n">
        <x:f>B209-X209/1000</x:f>
        <x:v>402.0819770516684</x:v>
      </x:c>
      <x:c r="AA209" s="9" t="n">
        <x:f>SQRT((Inputs!$C$52+B209)^2+(Inputs!$C$52+Y209/1000)^2-2*(Inputs!$C$52+B209)*(Inputs!$C$52+Y209/1000)*COS(SQRT(A209^2+Inputs!$C$6^2)/Inputs!$C$52))</x:f>
        <x:v>405.79697225361633</x:v>
      </x:c>
      <x:c r="AB209" s="9" t="n">
        <x:f>(AA209-Z209)*1000</x:f>
        <x:v>3714.995201947943</x:v>
      </x:c>
      <x:c r="AC209" s="9" t="n">
        <x:f>AB209/Inputs!$C$12</x:f>
        <x:v>2087.0759561505297</x:v>
      </x:c>
      <x:c r="AD209" s="9" t="n">
        <x:f>2*AB209/Inputs!$C$21*1000000</x:f>
        <x:v>24.783780264064834</x:v>
      </x:c>
      <x:c r="AE209" s="9" t="n">
        <x:f>DEGREES(ATAN(H209/(B209-Y209/1000)))</x:f>
        <x:v>7.116251093722708</x:v>
      </x:c>
      <x:c r="AF209" s="9" t="n">
        <x:f>DEGREES((2*PI()/Inputs!$C$13)*Inputs!$C$15*SIN(RADIANS(AE209)))</x:f>
        <x:v>44.59785549333255</x:v>
      </x:c>
      <x:c r="AG209" s="9" t="n">
        <x:f>(Z209/AA209)^4</x:f>
        <x:v>0.9638805514189215</x:v>
      </x:c>
      <x:c r="AH209" s="9" t="n">
        <x:f>10*LOG10(AG209)</x:f>
        <x:v>-0.159767825638189</x:v>
      </x:c>
      <x:c r="AI209" s="9" t="n">
        <x:f>AC209-F209</x:f>
        <x:v>-113.53587720805717</x:v>
      </x:c>
      <x:c r="AJ209" s="9" t="n">
        <x:f>AD209-G209</x:f>
        <x:v>-1.3482251206622529</x:v>
      </x:c>
      <x:c r="AK209" s="9" t="n">
        <x:f>Y209-X209</x:f>
        <x:v>204.83233427154016</x:v>
      </x:c>
      <x:c r="AL209" s="9" t="n">
        <x:f>1000*(AA210-AA208)/(A210-A208)*Inputs!$C$11</x:f>
        <x:v>1074.7629693883027</x:v>
      </x:c>
      <x:c r="AM209" s="9" t="n">
        <x:f>-2*AL209/Inputs!$C$13</x:f>
        <x:v>-429.9051877553211</x:v>
      </x:c>
      <x:c r="AN209" s="9" t="n">
        <x:f>-2*AL209/Inputs!$C$14</x:f>
        <x:v>-64.55032849178995</x:v>
      </x:c>
      <x:c r="AO209" s="9" t="n">
        <x:f>ABS(AM209)</x:f>
        <x:v>429.9051877553211</x:v>
      </x:c>
      <x:c r="AP209" s="9" t="n">
        <x:f>ABS(AN209)</x:f>
        <x:v>64.55032849178995</x:v>
      </x:c>
      <x:c r="AQ209" s="9" t="n">
        <x:f>IF(OR(Inputs!$C$27=TRUE,Inputs!$C$27="TRUE",Inputs!$C$27=1),Inputs!$C$46/Inputs!$C$12,0)</x:f>
        <x:v>42.13483146067416</x:v>
      </x:c>
      <x:c r="AR209" s="9" t="n">
        <x:f>AC209-AQ209</x:f>
        <x:v>2044.9411246898555</x:v>
      </x:c>
      <x:c r="AS209" s="9" t="n">
        <x:f>AC209+AQ209</x:f>
        <x:v>2129.210787611204</x:v>
      </x:c>
    </x:row>
    <x:row r="210">
      <x:c r="A210" s="9" t="n">
        <x:f>Inputs!$C$7+208*(Inputs!$C$8-Inputs!$C$7)/240</x:f>
        <x:v>44</x:v>
      </x:c>
      <x:c r="B210" s="9" t="n">
        <x:f>Inputs!$C$5+Inputs!$C$9*(A210/Inputs!$C$10)^2</x:f>
        <x:v>402.1511111111111</x:v>
      </x:c>
      <x:c r="C210" s="9" t="n">
        <x:f>B210</x:f>
        <x:v>402.1511111111111</x:v>
      </x:c>
      <x:c r="D210" s="9" t="n">
        <x:f>SQRT((Inputs!$C$52+B210)^2+Inputs!$C$52^2-2*(Inputs!$C$52+B210)*Inputs!$C$52*COS(SQRT(A210^2+Inputs!$C$6^2)/Inputs!$C$52))</x:f>
        <x:v>406.13556073762805</x:v>
      </x:c>
      <x:c r="E210" s="9" t="n">
        <x:f>(D210-C210)*1000</x:f>
        <x:v>3984.4496265169482</x:v>
      </x:c>
      <x:c r="F210" s="9" t="n">
        <x:f>E210/Inputs!$C$12</x:f>
        <x:v>2238.4548463578362</x:v>
      </x:c>
      <x:c r="G210" s="9" t="n">
        <x:f>2*E210/Inputs!$C$21*1000000</x:f>
        <x:v>26.58138669063481</x:v>
      </x:c>
      <x:c r="H210" s="9" t="n">
        <x:f>SQRT(A210^2+Inputs!$C$6^2)</x:f>
        <x:v>50.60632371551998</x:v>
      </x:c>
      <x:c r="I210" s="9" t="n">
        <x:f>DEGREES(ATAN(H210/B210))</x:f>
        <x:v>7.172347267625263</x:v>
      </x:c>
      <x:c r="J210" s="9" t="n">
        <x:f>DEGREES((2*PI()/Inputs!$C$13)*Inputs!$C$15*SIN(RADIANS(I210)))</x:f>
        <x:v>44.94758164201636</x:v>
      </x:c>
      <x:c r="K210" s="9" t="n">
        <x:f>(C210/D210)^4</x:f>
        <x:v>0.9613311656079478</x:v>
      </x:c>
      <x:c r="L210" s="9" t="n">
        <x:f>10*LOG10(K210)</x:f>
        <x:v>-0.17126977970711998</x:v>
      </x:c>
      <x:c r="M210" s="9" t="n">
        <x:f>2*(Inputs!$C$9/(Inputs!$C$10^2))*A210</x:f>
        <x:v>0.09777777777777778</x:v>
      </x:c>
      <x:c r="N210" s="9" t="n">
        <x:f>M210*Inputs!$C$11</x:f>
        <x:v>0.39111111111111113</x:v>
      </x:c>
      <x:c r="O210" s="9" t="n">
        <x:f>1000*(D211-D209)/(A211-A209)*Inputs!$C$11</x:f>
        <x:v>932.9767403644382</x:v>
      </x:c>
      <x:c r="P210" s="9" t="n">
        <x:f>-2*O210/Inputs!$C$13</x:f>
        <x:v>-373.1906961457753</x:v>
      </x:c>
      <x:c r="Q210" s="9" t="n">
        <x:f>-2*O210/Inputs!$C$14</x:f>
        <x:v>-56.034639060927226</x:v>
      </x:c>
      <x:c r="R210" s="9" t="n">
        <x:f>F210-Inputs!$C$16/2</x:f>
        <x:v>2223.4548463578362</x:v>
      </x:c>
      <x:c r="S210" s="9" t="n">
        <x:f>F210+Inputs!$C$16/2</x:f>
        <x:v>2253.4548463578362</x:v>
      </x:c>
      <x:c r="T210" s="9" t="n">
        <x:f>F210-Inputs!$C$17/2</x:f>
        <x:v>2088.4548463578362</x:v>
      </x:c>
      <x:c r="U210" s="9" t="n">
        <x:f>F210+Inputs!$C$17/2</x:f>
        <x:v>2388.4548463578362</x:v>
      </x:c>
      <x:c r="V210" s="9" t="n">
        <x:f>ABS(P210)</x:f>
        <x:v>373.1906961457753</x:v>
      </x:c>
      <x:c r="W210" s="9" t="n">
        <x:f>ABS(Q210)</x:f>
        <x:v>56.034639060927226</x:v>
      </x:c>
      <x:c r="X210" s="9"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x:f>
        <x:v>7.051899638170276</x:v>
      </x:c>
      <x:c r="Y210" s="9"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x:f>
        <x:v>208.84015984832814</x:v>
      </x:c>
      <x:c r="Z210" s="9" t="n">
        <x:f>B210-X210/1000</x:f>
        <x:v>402.14405921147295</x:v>
      </x:c>
      <x:c r="AA210" s="9" t="n">
        <x:f>SQRT((Inputs!$C$52+B210)^2+(Inputs!$C$52+Y210/1000)^2-2*(Inputs!$C$52+B210)*(Inputs!$C$52+Y210/1000)*COS(SQRT(A210^2+Inputs!$C$6^2)/Inputs!$C$52))</x:f>
        <x:v>405.9293012693994</x:v>
      </x:c>
      <x:c r="AB210" s="9" t="n">
        <x:f>(AA210-Z210)*1000</x:f>
        <x:v>3785.242057926439</x:v>
      </x:c>
      <x:c r="AC210" s="9" t="n">
        <x:f>AB210/Inputs!$C$12</x:f>
        <x:v>2126.5404819811456</x:v>
      </x:c>
      <x:c r="AD210" s="9" t="n">
        <x:f>2*AB210/Inputs!$C$21*1000000</x:f>
        <x:v>25.25241684316447</x:v>
      </x:c>
      <x:c r="AE210" s="9" t="n">
        <x:f>DEGREES(ATAN(H210/(B210-Y210/1000)))</x:f>
        <x:v>7.176035018641395</x:v>
      </x:c>
      <x:c r="AF210" s="9" t="n">
        <x:f>DEGREES((2*PI()/Inputs!$C$13)*Inputs!$C$15*SIN(RADIANS(AE210)))</x:f>
        <x:v>44.97057106195993</x:v>
      </x:c>
      <x:c r="AG210" s="9" t="n">
        <x:f>(Z210/AA210)^4</x:f>
        <x:v>0.9632189642270403</x:v>
      </x:c>
      <x:c r="AH210" s="9" t="n">
        <x:f>10*LOG10(AG210)</x:f>
        <x:v>-0.16274975444557</x:v>
      </x:c>
      <x:c r="AI210" s="9" t="n">
        <x:f>AC210-F210</x:f>
        <x:v>-111.91436437669063</x:v>
      </x:c>
      <x:c r="AJ210" s="9" t="n">
        <x:f>AD210-G210</x:f>
        <x:v>-1.32896984747034</x:v>
      </x:c>
      <x:c r="AK210" s="9" t="n">
        <x:f>Y210-X210</x:f>
        <x:v>201.78826021015786</x:v>
      </x:c>
      <x:c r="AL210" s="9" t="n">
        <x:f>1000*(AA211-AA209)/(A211-A209)*Inputs!$C$11</x:f>
        <x:v>1116.5864190365937</x:v>
      </x:c>
      <x:c r="AM210" s="9" t="n">
        <x:f>-2*AL210/Inputs!$C$13</x:f>
        <x:v>-446.6345676146375</x:v>
      </x:c>
      <x:c r="AN210" s="9" t="n">
        <x:f>-2*AL210/Inputs!$C$14</x:f>
        <x:v>-67.06224738958521</x:v>
      </x:c>
      <x:c r="AO210" s="9" t="n">
        <x:f>ABS(AM210)</x:f>
        <x:v>446.6345676146375</x:v>
      </x:c>
      <x:c r="AP210" s="9" t="n">
        <x:f>ABS(AN210)</x:f>
        <x:v>67.06224738958521</x:v>
      </x:c>
      <x:c r="AQ210" s="9" t="n">
        <x:f>IF(OR(Inputs!$C$27=TRUE,Inputs!$C$27="TRUE",Inputs!$C$27=1),Inputs!$C$46/Inputs!$C$12,0)</x:f>
        <x:v>42.13483146067416</x:v>
      </x:c>
      <x:c r="AR210" s="9" t="n">
        <x:f>AC210-AQ210</x:f>
        <x:v>2084.405650520471</x:v>
      </x:c>
      <x:c r="AS210" s="9" t="n">
        <x:f>AC210+AQ210</x:f>
        <x:v>2168.67531344182</x:v>
      </x:c>
    </x:row>
    <x:row r="211">
      <x:c r="A211" s="9" t="n">
        <x:f>Inputs!$C$7+209*(Inputs!$C$8-Inputs!$C$7)/240</x:f>
        <x:v>44.5</x:v>
      </x:c>
      <x:c r="B211" s="9" t="n">
        <x:f>Inputs!$C$5+Inputs!$C$9*(A211/Inputs!$C$10)^2</x:f>
        <x:v>402.2002777777778</x:v>
      </x:c>
      <x:c r="C211" s="9" t="n">
        <x:f>B211</x:f>
        <x:v>402.2002777777778</x:v>
      </x:c>
      <x:c r="D211" s="9" t="n">
        <x:f>SQRT((Inputs!$C$52+B211)^2+Inputs!$C$52^2-2*(Inputs!$C$52+B211)*Inputs!$C$52*COS(SQRT(A211^2+Inputs!$C$6^2)/Inputs!$C$52))</x:f>
        <x:v>406.2528332484694</x:v>
      </x:c>
      <x:c r="E211" s="9" t="n">
        <x:f>(D211-C211)*1000</x:f>
        <x:v>4052.5554706916296</x:v>
      </x:c>
      <x:c r="F211" s="9" t="n">
        <x:f>E211/Inputs!$C$12</x:f>
        <x:v>2276.7165565683313</x:v>
      </x:c>
      <x:c r="G211" s="9" t="n">
        <x:f>2*E211/Inputs!$C$21*1000000</x:f>
        <x:v>27.035739976431493</x:v>
      </x:c>
      <x:c r="H211" s="9" t="n">
        <x:f>SQRT(A211^2+Inputs!$C$6^2)</x:f>
        <x:v>51.041649659861115</x:v>
      </x:c>
      <x:c r="I211" s="9" t="n">
        <x:f>DEGREES(ATAN(H211/B211))</x:f>
        <x:v>7.232519645354166</x:v>
      </x:c>
      <x:c r="J211" s="9" t="n">
        <x:f>DEGREES((2*PI()/Inputs!$C$13)*Inputs!$C$15*SIN(RADIANS(I211)))</x:f>
        <x:v>45.32267258355667</x:v>
      </x:c>
      <x:c r="K211" s="9" t="n">
        <x:f>(C211/D211)^4</x:f>
        <x:v>0.9606912907410361</x:v>
      </x:c>
      <x:c r="L211" s="9" t="n">
        <x:f>10*LOG10(K211)</x:f>
        <x:v>-0.174161464277788</x:v>
      </x:c>
      <x:c r="M211" s="9" t="n">
        <x:f>2*(Inputs!$C$9/(Inputs!$C$10^2))*A211</x:f>
        <x:v>0.09888888888888889</x:v>
      </x:c>
      <x:c r="N211" s="9" t="n">
        <x:f>M211*Inputs!$C$11</x:f>
        <x:v>0.39555555555555555</x:v>
      </x:c>
      <x:c r="O211" s="9" t="n">
        <x:f>1000*(D212-D210)/(A212-A210)*Inputs!$C$11</x:f>
        <x:v>943.3801717254937</x:v>
      </x:c>
      <x:c r="P211" s="9" t="n">
        <x:f>-2*O211/Inputs!$C$13</x:f>
        <x:v>-377.3520686901975</x:v>
      </x:c>
      <x:c r="Q211" s="9" t="n">
        <x:f>-2*O211/Inputs!$C$14</x:f>
        <x:v>-56.65946977330293</x:v>
      </x:c>
      <x:c r="R211" s="9" t="n">
        <x:f>F211-Inputs!$C$16/2</x:f>
        <x:v>2261.7165565683313</x:v>
      </x:c>
      <x:c r="S211" s="9" t="n">
        <x:f>F211+Inputs!$C$16/2</x:f>
        <x:v>2291.7165565683313</x:v>
      </x:c>
      <x:c r="T211" s="9" t="n">
        <x:f>F211-Inputs!$C$17/2</x:f>
        <x:v>2126.7165565683313</x:v>
      </x:c>
      <x:c r="U211" s="9" t="n">
        <x:f>F211+Inputs!$C$17/2</x:f>
        <x:v>2426.7165565683313</x:v>
      </x:c>
      <x:c r="V211" s="9" t="n">
        <x:f>ABS(P211)</x:f>
        <x:v>377.3520686901975</x:v>
      </x:c>
      <x:c r="W211" s="9" t="n">
        <x:f>ABS(Q211)</x:f>
        <x:v>56.65946977330293</x:v>
      </x:c>
      <x:c r="X211" s="9"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x:f>
        <x:v>-3.283716108943903</x:v>
      </x:c>
      <x:c r="Y211" s="9"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x:f>
        <x:v>178.96296340227542</x:v>
      </x:c>
      <x:c r="Z211" s="9" t="n">
        <x:f>B211-X211/1000</x:f>
        <x:v>402.20356149388675</x:v>
      </x:c>
      <x:c r="AA211" s="9" t="n">
        <x:f>SQRT((Inputs!$C$52+B211)^2+(Inputs!$C$52+Y211/1000)^2-2*(Inputs!$C$52+B211)*(Inputs!$C$52+Y211/1000)*COS(SQRT(A211^2+Inputs!$C$6^2)/Inputs!$C$52))</x:f>
        <x:v>406.0761188583755</x:v>
      </x:c>
      <x:c r="AB211" s="9" t="n">
        <x:f>(AA211-Z211)*1000</x:f>
        <x:v>3872.5573644887277</x:v>
      </x:c>
      <x:c r="AC211" s="9" t="n">
        <x:f>AB211/Inputs!$C$12</x:f>
        <x:v>2175.594024993667</x:v>
      </x:c>
      <x:c r="AD211" s="9" t="n">
        <x:f>2*AB211/Inputs!$C$21*1000000</x:f>
        <x:v>25.834921867772454</x:v>
      </x:c>
      <x:c r="AE211" s="9" t="n">
        <x:f>DEGREES(ATAN(H211/(B211-Y211/1000)))</x:f>
        <x:v>7.235705143347186</x:v>
      </x:c>
      <x:c r="AF211" s="9" t="n">
        <x:f>DEGREES((2*PI()/Inputs!$C$13)*Inputs!$C$15*SIN(RADIANS(AE211)))</x:f>
        <x:v>45.342528335855626</x:v>
      </x:c>
      <x:c r="AG211" s="9" t="n">
        <x:f>(Z211/AA211)^4</x:f>
        <x:v>0.9623960888540652</x:v>
      </x:c>
      <x:c r="AH211" s="9" t="n">
        <x:f>10*LOG10(AG211)</x:f>
        <x:v>-0.16646150623063</x:v>
      </x:c>
      <x:c r="AI211" s="9" t="n">
        <x:f>AC211-F211</x:f>
        <x:v>-101.12253157466421</x:v>
      </x:c>
      <x:c r="AJ211" s="9" t="n">
        <x:f>AD211-G211</x:f>
        <x:v>-1.200818108659039</x:v>
      </x:c>
      <x:c r="AK211" s="9" t="n">
        <x:f>Y211-X211</x:f>
        <x:v>182.24667951121933</x:v>
      </x:c>
      <x:c r="AL211" s="9" t="n">
        <x:f>1000*(AA212-AA210)/(A212-A210)*Inputs!$C$11</x:f>
        <x:v>1115.7997388834247</x:v>
      </x:c>
      <x:c r="AM211" s="9" t="n">
        <x:f>-2*AL211/Inputs!$C$13</x:f>
        <x:v>-446.31989555336986</x:v>
      </x:c>
      <x:c r="AN211" s="9" t="n">
        <x:f>-2*AL211/Inputs!$C$14</x:f>
        <x:v>-67.01499933233782</x:v>
      </x:c>
      <x:c r="AO211" s="9" t="n">
        <x:f>ABS(AM211)</x:f>
        <x:v>446.31989555336986</x:v>
      </x:c>
      <x:c r="AP211" s="9" t="n">
        <x:f>ABS(AN211)</x:f>
        <x:v>67.01499933233782</x:v>
      </x:c>
      <x:c r="AQ211" s="9" t="n">
        <x:f>IF(OR(Inputs!$C$27=TRUE,Inputs!$C$27="TRUE",Inputs!$C$27=1),Inputs!$C$46/Inputs!$C$12,0)</x:f>
        <x:v>42.13483146067416</x:v>
      </x:c>
      <x:c r="AR211" s="9" t="n">
        <x:f>AC211-AQ211</x:f>
        <x:v>2133.4591935329927</x:v>
      </x:c>
      <x:c r="AS211" s="9" t="n">
        <x:f>AC211+AQ211</x:f>
        <x:v>2217.7288564543414</x:v>
      </x:c>
    </x:row>
    <x:row r="212">
      <x:c r="A212" s="9" t="n">
        <x:f>Inputs!$C$7+210*(Inputs!$C$8-Inputs!$C$7)/240</x:f>
        <x:v>45</x:v>
      </x:c>
      <x:c r="B212" s="9" t="n">
        <x:f>Inputs!$C$5+Inputs!$C$9*(A212/Inputs!$C$10)^2</x:f>
        <x:v>402.25</x:v>
      </x:c>
      <x:c r="C212" s="9" t="n">
        <x:f>B212</x:f>
        <x:v>402.25</x:v>
      </x:c>
      <x:c r="D212" s="9" t="n">
        <x:f>SQRT((Inputs!$C$52+B212)^2+Inputs!$C$52^2-2*(Inputs!$C$52+B212)*Inputs!$C$52*COS(SQRT(A212^2+Inputs!$C$6^2)/Inputs!$C$52))</x:f>
        <x:v>406.3714057805594</x:v>
      </x:c>
      <x:c r="E212" s="9" t="n">
        <x:f>(D212-C212)*1000</x:f>
        <x:v>4121.4057805594275</x:v>
      </x:c>
      <x:c r="F212" s="9" t="n">
        <x:f>E212/Inputs!$C$12</x:f>
        <x:v>2315.3965059322627</x:v>
      </x:c>
      <x:c r="G212" s="9" t="n">
        <x:f>2*E212/Inputs!$C$21*1000000</x:f>
        <x:v>27.49505980273478</x:v>
      </x:c>
      <x:c r="H212" s="9" t="n">
        <x:f>SQRT(A212^2+Inputs!$C$6^2)</x:f>
        <x:v>51.478150704935004</x:v>
      </x:c>
      <x:c r="I212" s="9" t="n">
        <x:f>DEGREES(ATAN(H212/B212))</x:f>
        <x:v>7.292816002949435</x:v>
      </x:c>
      <x:c r="J212" s="9" t="n">
        <x:f>DEGREES((2*PI()/Inputs!$C$13)*Inputs!$C$15*SIN(RADIANS(I212)))</x:f>
        <x:v>45.69848622408668</x:v>
      </x:c>
      <x:c r="K212" s="9" t="n">
        <x:f>(C212/D212)^4</x:f>
        <x:v>0.9600451230018592</x:v>
      </x:c>
      <x:c r="L212" s="9" t="n">
        <x:f>10*LOG10(K212)</x:f>
        <x:v>-0.177083542414979</x:v>
      </x:c>
      <x:c r="M212" s="9" t="n">
        <x:f>2*(Inputs!$C$9/(Inputs!$C$10^2))*A212</x:f>
        <x:v>0.1</x:v>
      </x:c>
      <x:c r="N212" s="9" t="n">
        <x:f>M212*Inputs!$C$11</x:f>
        <x:v>0.4</x:v>
      </x:c>
      <x:c r="O212" s="9" t="n">
        <x:f>1000*(D213-D211)/(A213-A211)*Inputs!$C$11</x:f>
        <x:v>953.7770482984342</x:v>
      </x:c>
      <x:c r="P212" s="9" t="n">
        <x:f>-2*O212/Inputs!$C$13</x:f>
        <x:v>-381.5108193193737</x:v>
      </x:c>
      <x:c r="Q212" s="9" t="n">
        <x:f>-2*O212/Inputs!$C$14</x:f>
        <x:v>-57.28390680471077</x:v>
      </x:c>
      <x:c r="R212" s="9" t="n">
        <x:f>F212-Inputs!$C$16/2</x:f>
        <x:v>2300.3965059322627</x:v>
      </x:c>
      <x:c r="S212" s="9" t="n">
        <x:f>F212+Inputs!$C$16/2</x:f>
        <x:v>2330.3965059322627</x:v>
      </x:c>
      <x:c r="T212" s="9" t="n">
        <x:f>F212-Inputs!$C$17/2</x:f>
        <x:v>2165.3965059322627</x:v>
      </x:c>
      <x:c r="U212" s="9" t="n">
        <x:f>F212+Inputs!$C$17/2</x:f>
        <x:v>2465.3965059322627</x:v>
      </x:c>
      <x:c r="V212" s="9" t="n">
        <x:f>ABS(P212)</x:f>
        <x:v>381.5108193193737</x:v>
      </x:c>
      <x:c r="W212" s="9" t="n">
        <x:f>ABS(Q212)</x:f>
        <x:v>57.28390680471077</x:v>
      </x:c>
      <x:c r="X212" s="9"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x:f>
        <x:v>-4.746207968267804</x:v>
      </x:c>
      <x:c r="Y212" s="9"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x:f>
        <x:v>165.26573251393552</x:v>
      </x:c>
      <x:c r="Z212" s="9" t="n">
        <x:f>B212-X212/1000</x:f>
        <x:v>402.25474620796825</x:v>
      </x:c>
      <x:c r="AA212" s="9" t="n">
        <x:f>SQRT((Inputs!$C$52+B212)^2+(Inputs!$C$52+Y212/1000)^2-2*(Inputs!$C$52+B212)*(Inputs!$C$52+Y212/1000)*COS(SQRT(A212^2+Inputs!$C$6^2)/Inputs!$C$52))</x:f>
        <x:v>406.20825120412024</x:v>
      </x:c>
      <x:c r="AB212" s="9" t="n">
        <x:f>(AA212-Z212)*1000</x:f>
        <x:v>3953.5049961519917</x:v>
      </x:c>
      <x:c r="AC212" s="9" t="n">
        <x:f>AB212/Inputs!$C$12</x:f>
        <x:v>2221.0702225572986</x:v>
      </x:c>
      <x:c r="AD212" s="9" t="n">
        <x:f>2*AB212/Inputs!$C$21*1000000</x:f>
        <x:v>26.374946338056255</x:v>
      </x:c>
      <x:c r="AE212" s="9" t="n">
        <x:f>DEGREES(ATAN(H212/(B212-Y212/1000)))</x:f>
        <x:v>7.295781221622455</x:v>
      </x:c>
      <x:c r="AF212" s="9" t="n">
        <x:f>DEGREES((2*PI()/Inputs!$C$13)*Inputs!$C$15*SIN(RADIANS(AE212)))</x:f>
        <x:v>45.716966463172334</x:v>
      </x:c>
      <x:c r="AG212" s="9" t="n">
        <x:f>(Z212/AA212)^4</x:f>
        <x:v>0.9616338552876523</x:v>
      </x:c>
      <x:c r="AH212" s="9" t="n">
        <x:f>10*LOG10(AG212)</x:f>
        <x:v>-0.169902552978792</x:v>
      </x:c>
      <x:c r="AI212" s="9" t="n">
        <x:f>AC212-F212</x:f>
        <x:v>-94.32628337496408</x:v>
      </x:c>
      <x:c r="AJ212" s="9" t="n">
        <x:f>AD212-G212</x:f>
        <x:v>-1.120113464678525</x:v>
      </x:c>
      <x:c r="AK212" s="9" t="n">
        <x:f>Y212-X212</x:f>
        <x:v>170.01194048220333</x:v>
      </x:c>
      <x:c r="AL212" s="9" t="n">
        <x:f>1000*(AA213-AA211)/(A213-A211)*Inputs!$C$11</x:f>
        <x:v>994.2748757757727</x:v>
      </x:c>
      <x:c r="AM212" s="9" t="n">
        <x:f>-2*AL212/Inputs!$C$13</x:f>
        <x:v>-397.70995031030907</x:v>
      </x:c>
      <x:c r="AN212" s="9" t="n">
        <x:f>-2*AL212/Inputs!$C$14</x:f>
        <x:v>-59.716208755301665</x:v>
      </x:c>
      <x:c r="AO212" s="9" t="n">
        <x:f>ABS(AM212)</x:f>
        <x:v>397.70995031030907</x:v>
      </x:c>
      <x:c r="AP212" s="9" t="n">
        <x:f>ABS(AN212)</x:f>
        <x:v>59.716208755301665</x:v>
      </x:c>
      <x:c r="AQ212" s="9" t="n">
        <x:f>IF(OR(Inputs!$C$27=TRUE,Inputs!$C$27="TRUE",Inputs!$C$27=1),Inputs!$C$46/Inputs!$C$12,0)</x:f>
        <x:v>42.13483146067416</x:v>
      </x:c>
      <x:c r="AR212" s="9" t="n">
        <x:f>AC212-AQ212</x:f>
        <x:v>2178.9353910966242</x:v>
      </x:c>
      <x:c r="AS212" s="9" t="n">
        <x:f>AC212+AQ212</x:f>
        <x:v>2263.205054017973</x:v>
      </x:c>
    </x:row>
    <x:row r="213">
      <x:c r="A213" s="9" t="n">
        <x:f>Inputs!$C$7+211*(Inputs!$C$8-Inputs!$C$7)/240</x:f>
        <x:v>45.5</x:v>
      </x:c>
      <x:c r="B213" s="9" t="n">
        <x:f>Inputs!$C$5+Inputs!$C$9*(A213/Inputs!$C$10)^2</x:f>
        <x:v>402.30027777777775</x:v>
      </x:c>
      <x:c r="C213" s="9" t="n">
        <x:f>B213</x:f>
        <x:v>402.30027777777775</x:v>
      </x:c>
      <x:c r="D213" s="9" t="n">
        <x:f>SQRT((Inputs!$C$52+B213)^2+Inputs!$C$52^2-2*(Inputs!$C$52+B213)*Inputs!$C$52*COS(SQRT(A213^2+Inputs!$C$6^2)/Inputs!$C$52))</x:f>
        <x:v>406.491277510544</x:v>
      </x:c>
      <x:c r="E213" s="9" t="n">
        <x:f>(D213-C213)*1000</x:f>
        <x:v>4190.999732766272</x:v>
      </x:c>
      <x:c r="F213" s="9" t="n">
        <x:f>E213/Inputs!$C$12</x:f>
        <x:v>2354.494231891164</x:v>
      </x:c>
      <x:c r="G213" s="9" t="n">
        <x:f>2*E213/Inputs!$C$21*1000000</x:f>
        <x:v>27.959340676717574</x:v>
      </x:c>
      <x:c r="H213" s="9" t="n">
        <x:f>SQRT(A213^2+Inputs!$C$6^2)</x:f>
        <x:v>51.915797210483056</x:v>
      </x:c>
      <x:c r="I213" s="9" t="n">
        <x:f>DEGREES(ATAN(H213/B213))</x:f>
        <x:v>7.353231646851434</x:v>
      </x:c>
      <x:c r="J213" s="9" t="n">
        <x:f>DEGREES((2*PI()/Inputs!$C$13)*Inputs!$C$15*SIN(RADIANS(I213)))</x:f>
        <x:v>46.07499258851599</x:v>
      </x:c>
      <x:c r="K213" s="9" t="n">
        <x:f>(C213/D213)^4</x:f>
        <x:v>0.9593926920449115</x:v>
      </x:c>
      <x:c r="L213" s="9" t="n">
        <x:f>10*LOG10(K213)</x:f>
        <x:v>-0.180035939967183</x:v>
      </x:c>
      <x:c r="M213" s="9" t="n">
        <x:f>2*(Inputs!$C$9/(Inputs!$C$10^2))*A213</x:f>
        <x:v>0.10111111111111111</x:v>
      </x:c>
      <x:c r="N213" s="9" t="n">
        <x:f>M213*Inputs!$C$11</x:f>
        <x:v>0.40444444444444444</x:v>
      </x:c>
      <x:c r="O213" s="9" t="n">
        <x:f>1000*(D214-D212)/(A214-A212)*Inputs!$C$11</x:f>
        <x:v>964.1673060955327</x:v>
      </x:c>
      <x:c r="P213" s="9" t="n">
        <x:f>-2*O213/Inputs!$C$13</x:f>
        <x:v>-385.6669224382131</x:v>
      </x:c>
      <x:c r="Q213" s="9" t="n">
        <x:f>-2*O213/Inputs!$C$14</x:f>
        <x:v>-57.90794631204401</x:v>
      </x:c>
      <x:c r="R213" s="9" t="n">
        <x:f>F213-Inputs!$C$16/2</x:f>
        <x:v>2339.494231891164</x:v>
      </x:c>
      <x:c r="S213" s="9" t="n">
        <x:f>F213+Inputs!$C$16/2</x:f>
        <x:v>2369.494231891164</x:v>
      </x:c>
      <x:c r="T213" s="9" t="n">
        <x:f>F213-Inputs!$C$17/2</x:f>
        <x:v>2204.494231891164</x:v>
      </x:c>
      <x:c r="U213" s="9" t="n">
        <x:f>F213+Inputs!$C$17/2</x:f>
        <x:v>2504.494231891164</x:v>
      </x:c>
      <x:c r="V213" s="9" t="n">
        <x:f>ABS(P213)</x:f>
        <x:v>385.6669224382131</x:v>
      </x:c>
      <x:c r="W213" s="9" t="n">
        <x:f>ABS(Q213)</x:f>
        <x:v>57.90794631204401</x:v>
      </x:c>
      <x:c r="X213" s="9"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x:f>
        <x:v>-4.954776418919145</x:v>
      </x:c>
      <x:c r="Y213" s="9"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x:f>
        <x:v>168.78187987738474</x:v>
      </x:c>
      <x:c r="Z213" s="9" t="n">
        <x:f>B213-X213/1000</x:f>
        <x:v>402.30523255419666</x:v>
      </x:c>
      <x:c r="AA213" s="9" t="n">
        <x:f>SQRT((Inputs!$C$52+B213)^2+(Inputs!$C$52+Y213/1000)^2-2*(Inputs!$C$52+B213)*(Inputs!$C$52+Y213/1000)*COS(SQRT(A213^2+Inputs!$C$6^2)/Inputs!$C$52))</x:f>
        <x:v>406.3246875773194</x:v>
      </x:c>
      <x:c r="AB213" s="9" t="n">
        <x:f>(AA213-Z213)*1000</x:f>
        <x:v>4019.4550231227595</x:v>
      </x:c>
      <x:c r="AC213" s="9" t="n">
        <x:f>AB213/Inputs!$C$12</x:f>
        <x:v>2258.120799507168</x:v>
      </x:c>
      <x:c r="AD213" s="9" t="n">
        <x:f>2*AB213/Inputs!$C$21*1000000</x:f>
        <x:v>26.81491755955221</x:v>
      </x:c>
      <x:c r="AE213" s="9" t="n">
        <x:f>DEGREES(ATAN(H213/(B213-Y213/1000)))</x:f>
        <x:v>7.356284133183934</x:v>
      </x:c>
      <x:c r="AF213" s="9" t="n">
        <x:f>DEGREES((2*PI()/Inputs!$C$13)*Inputs!$C$15*SIN(RADIANS(AE213)))</x:f>
        <x:v>46.09401412881295</x:v>
      </x:c>
      <x:c r="AG213" s="9" t="n">
        <x:f>(Z213/AA213)^4</x:f>
        <x:v>0.9610143762109568</x:v>
      </x:c>
      <x:c r="AH213" s="9" t="n">
        <x:f>10*LOG10(AG213)</x:f>
        <x:v>-0.172701154923398</x:v>
      </x:c>
      <x:c r="AI213" s="9" t="n">
        <x:f>AC213-F213</x:f>
        <x:v>-96.3734323839958</x:v>
      </x:c>
      <x:c r="AJ213" s="9" t="n">
        <x:f>AD213-G213</x:f>
        <x:v>-1.1444231171653634</x:v>
      </x:c>
      <x:c r="AK213" s="9" t="n">
        <x:f>Y213-X213</x:f>
        <x:v>173.7366562963039</x:v>
      </x:c>
      <x:c r="AL213" s="9" t="n">
        <x:f>1000*(AA214-AA212)/(A214-A212)*Inputs!$C$11</x:f>
        <x:v>1035.664864365117</x:v>
      </x:c>
      <x:c r="AM213" s="9" t="n">
        <x:f>-2*AL213/Inputs!$C$13</x:f>
        <x:v>-414.2659457460468</x:v>
      </x:c>
      <x:c r="AN213" s="9" t="n">
        <x:f>-2*AL213/Inputs!$C$14</x:f>
        <x:v>-62.202093955862885</x:v>
      </x:c>
      <x:c r="AO213" s="9" t="n">
        <x:f>ABS(AM213)</x:f>
        <x:v>414.2659457460468</x:v>
      </x:c>
      <x:c r="AP213" s="9" t="n">
        <x:f>ABS(AN213)</x:f>
        <x:v>62.202093955862885</x:v>
      </x:c>
      <x:c r="AQ213" s="9" t="n">
        <x:f>IF(OR(Inputs!$C$27=TRUE,Inputs!$C$27="TRUE",Inputs!$C$27=1),Inputs!$C$46/Inputs!$C$12,0)</x:f>
        <x:v>42.13483146067416</x:v>
      </x:c>
      <x:c r="AR213" s="9" t="n">
        <x:f>AC213-AQ213</x:f>
        <x:v>2215.985968046494</x:v>
      </x:c>
      <x:c r="AS213" s="9" t="n">
        <x:f>AC213+AQ213</x:f>
        <x:v>2300.2556309678425</x:v>
      </x:c>
    </x:row>
    <x:row r="214">
      <x:c r="A214" s="9" t="n">
        <x:f>Inputs!$C$7+212*(Inputs!$C$8-Inputs!$C$7)/240</x:f>
        <x:v>46</x:v>
      </x:c>
      <x:c r="B214" s="9" t="n">
        <x:f>Inputs!$C$5+Inputs!$C$9*(A214/Inputs!$C$10)^2</x:f>
        <x:v>402.3511111111111</x:v>
      </x:c>
      <x:c r="C214" s="9" t="n">
        <x:f>B214</x:f>
        <x:v>402.3511111111111</x:v>
      </x:c>
      <x:c r="D214" s="9" t="n">
        <x:f>SQRT((Inputs!$C$52+B214)^2+Inputs!$C$52^2-2*(Inputs!$C$52+B214)*Inputs!$C$52*COS(SQRT(A214^2+Inputs!$C$6^2)/Inputs!$C$52))</x:f>
        <x:v>406.6124476070833</x:v>
      </x:c>
      <x:c r="E214" s="9" t="n">
        <x:f>(D214-C214)*1000</x:f>
        <x:v>4261.336495972217</x:v>
      </x:c>
      <x:c r="F214" s="9" t="n">
        <x:f>E214/Inputs!$C$12</x:f>
        <x:v>2394.0092674001216</x:v>
      </x:c>
      <x:c r="G214" s="9" t="n">
        <x:f>2*E214/Inputs!$C$21*1000000</x:f>
        <x:v>28.428577052276722</x:v>
      </x:c>
      <x:c r="H214" s="9" t="n">
        <x:f>SQRT(A214^2+Inputs!$C$6^2)</x:f>
        <x:v>52.354560450833695</x:v>
      </x:c>
      <x:c r="I214" s="9" t="n">
        <x:f>DEGREES(ATAN(H214/B214))</x:f>
        <x:v>7.413762015717533</x:v>
      </x:c>
      <x:c r="J214" s="9" t="n">
        <x:f>DEGREES((2*PI()/Inputs!$C$13)*Inputs!$C$15*SIN(RADIANS(I214)))</x:f>
        <x:v>46.45216253583958</x:v>
      </x:c>
      <x:c r="K214" s="9" t="n">
        <x:f>(C214/D214)^4</x:f>
        <x:v>0.9587340277528538</x:v>
      </x:c>
      <x:c r="L214" s="9" t="n">
        <x:f>10*LOG10(K214)</x:f>
        <x:v>-0.18301858210191102</x:v>
      </x:c>
      <x:c r="M214" s="9" t="n">
        <x:f>2*(Inputs!$C$9/(Inputs!$C$10^2))*A214</x:f>
        <x:v>0.10222222222222223</x:v>
      </x:c>
      <x:c r="N214" s="9" t="n">
        <x:f>M214*Inputs!$C$11</x:f>
        <x:v>0.4088888888888889</x:v>
      </x:c>
      <x:c r="O214" s="9" t="n">
        <x:f>1000*(D215-D213)/(A215-A213)*Inputs!$C$11</x:f>
        <x:v>974.5508814573896</x:v>
      </x:c>
      <x:c r="P214" s="9" t="n">
        <x:f>-2*O214/Inputs!$C$13</x:f>
        <x:v>-389.8203525829558</x:v>
      </x:c>
      <x:c r="Q214" s="9" t="n">
        <x:f>-2*O214/Inputs!$C$14</x:f>
        <x:v>-58.531584471915295</x:v>
      </x:c>
      <x:c r="R214" s="9" t="n">
        <x:f>F214-Inputs!$C$16/2</x:f>
        <x:v>2379.0092674001216</x:v>
      </x:c>
      <x:c r="S214" s="9" t="n">
        <x:f>F214+Inputs!$C$16/2</x:f>
        <x:v>2409.0092674001216</x:v>
      </x:c>
      <x:c r="T214" s="9" t="n">
        <x:f>F214-Inputs!$C$17/2</x:f>
        <x:v>2244.0092674001216</x:v>
      </x:c>
      <x:c r="U214" s="9" t="n">
        <x:f>F214+Inputs!$C$17/2</x:f>
        <x:v>2544.0092674001216</x:v>
      </x:c>
      <x:c r="V214" s="9" t="n">
        <x:f>ABS(P214)</x:f>
        <x:v>389.8203525829558</x:v>
      </x:c>
      <x:c r="W214" s="9" t="n">
        <x:f>ABS(Q214)</x:f>
        <x:v>58.531584471915295</x:v>
      </x:c>
      <x:c r="X214" s="9"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x:f>
        <x:v>-0.04819256513620118</x:v>
      </x:c>
      <x:c r="Y214" s="9"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x:f>
        <x:v>147.2236511039814</x:v>
      </x:c>
      <x:c r="Z214" s="9" t="n">
        <x:f>B214-X214/1000</x:f>
        <x:v>402.35115930367624</x:v>
      </x:c>
      <x:c r="AA214" s="9" t="n">
        <x:f>SQRT((Inputs!$C$52+B214)^2+(Inputs!$C$52+Y214/1000)^2-2*(Inputs!$C$52+B214)*(Inputs!$C$52+Y214/1000)*COS(SQRT(A214^2+Inputs!$C$6^2)/Inputs!$C$52))</x:f>
        <x:v>406.4671674202115</x:v>
      </x:c>
      <x:c r="AB214" s="9" t="n">
        <x:f>(AA214-Z214)*1000</x:f>
        <x:v>4116.008116535284</x:v>
      </x:c>
      <x:c r="AC214" s="9" t="n">
        <x:f>AB214/Inputs!$C$12</x:f>
        <x:v>2312.3641104130807</x:v>
      </x:c>
      <x:c r="AD214" s="9" t="n">
        <x:f>2*AB214/Inputs!$C$21*1000000</x:f>
        <x:v>27.45905046440684</x:v>
      </x:c>
      <x:c r="AE214" s="9" t="n">
        <x:f>DEGREES(ATAN(H214/(B214-Y214/1000)))</x:f>
        <x:v>7.416445560609959</x:v>
      </x:c>
      <x:c r="AF214" s="9" t="n">
        <x:f>DEGREES((2*PI()/Inputs!$C$13)*Inputs!$C$15*SIN(RADIANS(AE214)))</x:f>
        <x:v>46.468882738347205</x:v>
      </x:c>
      <x:c r="AG214" s="9" t="n">
        <x:f>(Z214/AA214)^4</x:f>
        <x:v>0.9601059121876191</x:v>
      </x:c>
      <x:c r="AH214" s="9" t="n">
        <x:f>10*LOG10(AG214)</x:f>
        <x:v>-0.176808559796842</x:v>
      </x:c>
      <x:c r="AI214" s="9" t="n">
        <x:f>AC214-F214</x:f>
        <x:v>-81.64515698704099</x:v>
      </x:c>
      <x:c r="AJ214" s="9" t="n">
        <x:f>AD214-G214</x:f>
        <x:v>-0.9695265878698827</x:v>
      </x:c>
      <x:c r="AK214" s="9" t="n">
        <x:f>Y214-X214</x:f>
        <x:v>147.2718436691176</x:v>
      </x:c>
      <x:c r="AL214" s="9" t="n">
        <x:f>1000*(AA215-AA213)/(A215-A213)*Inputs!$C$11</x:f>
        <x:v>1146.5767878601127</x:v>
      </x:c>
      <x:c r="AM214" s="9" t="n">
        <x:f>-2*AL214/Inputs!$C$13</x:f>
        <x:v>-458.6307151440451</x:v>
      </x:c>
      <x:c r="AN214" s="9" t="n">
        <x:f>-2*AL214/Inputs!$C$14</x:f>
        <x:v>-68.86347074234912</x:v>
      </x:c>
      <x:c r="AO214" s="9" t="n">
        <x:f>ABS(AM214)</x:f>
        <x:v>458.6307151440451</x:v>
      </x:c>
      <x:c r="AP214" s="9" t="n">
        <x:f>ABS(AN214)</x:f>
        <x:v>68.86347074234912</x:v>
      </x:c>
      <x:c r="AQ214" s="9" t="n">
        <x:f>IF(OR(Inputs!$C$27=TRUE,Inputs!$C$27="TRUE",Inputs!$C$27=1),Inputs!$C$46/Inputs!$C$12,0)</x:f>
        <x:v>42.13483146067416</x:v>
      </x:c>
      <x:c r="AR214" s="9" t="n">
        <x:f>AC214-AQ214</x:f>
        <x:v>2270.2292789524063</x:v>
      </x:c>
      <x:c r="AS214" s="9" t="n">
        <x:f>AC214+AQ214</x:f>
        <x:v>2354.498941873755</x:v>
      </x:c>
    </x:row>
    <x:row r="215">
      <x:c r="A215" s="9" t="n">
        <x:f>Inputs!$C$7+213*(Inputs!$C$8-Inputs!$C$7)/240</x:f>
        <x:v>46.5</x:v>
      </x:c>
      <x:c r="B215" s="9" t="n">
        <x:f>Inputs!$C$5+Inputs!$C$9*(A215/Inputs!$C$10)^2</x:f>
        <x:v>402.4025</x:v>
      </x:c>
      <x:c r="C215" s="9" t="n">
        <x:f>B215</x:f>
        <x:v>402.4025</x:v>
      </x:c>
      <x:c r="D215" s="9" t="n">
        <x:f>SQRT((Inputs!$C$52+B215)^2+Inputs!$C$52^2-2*(Inputs!$C$52+B215)*Inputs!$C$52*COS(SQRT(A215^2+Inputs!$C$6^2)/Inputs!$C$52))</x:f>
        <x:v>406.73491523090837</x:v>
      </x:c>
      <x:c r="E215" s="9" t="n">
        <x:f>(D215-C215)*1000</x:f>
        <x:v>4332.415230908396</x:v>
      </x:c>
      <x:c r="F215" s="9" t="n">
        <x:f>E215/Inputs!$C$12</x:f>
        <x:v>2433.941140959773</x:v>
      </x:c>
      <x:c r="G215" s="9" t="n">
        <x:f>2*E215/Inputs!$C$21*1000000</x:f>
        <x:v>28.90276333041304</x:v>
      </x:c>
      <x:c r="H215" s="9" t="n">
        <x:f>SQRT(A215^2+Inputs!$C$6^2)</x:f>
        <x:v>52.79441258315126</x:v>
      </x:c>
      <x:c r="I215" s="9" t="n">
        <x:f>DEGREES(ATAN(H215/B215))</x:f>
        <x:v>7.4744026758958535</x:v>
      </x:c>
      <x:c r="J215" s="9" t="n">
        <x:f>DEGREES((2*PI()/Inputs!$C$13)*Inputs!$C$15*SIN(RADIANS(I215)))</x:f>
        <x:v>46.82996773075058</x:v>
      </x:c>
      <x:c r="K215" s="9" t="n">
        <x:f>(C215/D215)^4</x:f>
        <x:v>0.9580691602332851</x:v>
      </x:c>
      <x:c r="L215" s="9" t="n">
        <x:f>10*LOG10(K215)</x:f>
        <x:v>-0.186031393311067</x:v>
      </x:c>
      <x:c r="M215" s="9" t="n">
        <x:f>2*(Inputs!$C$9/(Inputs!$C$10^2))*A215</x:f>
        <x:v>0.10333333333333333</x:v>
      </x:c>
      <x:c r="N215" s="9" t="n">
        <x:f>M215*Inputs!$C$11</x:f>
        <x:v>0.41333333333333333</x:v>
      </x:c>
      <x:c r="O215" s="9" t="n">
        <x:f>1000*(D216-D214)/(A216-A214)*Inputs!$C$11</x:f>
        <x:v>984.927711027467</x:v>
      </x:c>
      <x:c r="P215" s="9" t="n">
        <x:f>-2*O215/Inputs!$C$13</x:f>
        <x:v>-393.9710844109868</x:v>
      </x:c>
      <x:c r="Q215" s="9" t="n">
        <x:f>-2*O215/Inputs!$C$14</x:f>
        <x:v>-59.15481747912715</x:v>
      </x:c>
      <x:c r="R215" s="9" t="n">
        <x:f>F215-Inputs!$C$16/2</x:f>
        <x:v>2418.941140959773</x:v>
      </x:c>
      <x:c r="S215" s="9" t="n">
        <x:f>F215+Inputs!$C$16/2</x:f>
        <x:v>2448.941140959773</x:v>
      </x:c>
      <x:c r="T215" s="9" t="n">
        <x:f>F215-Inputs!$C$17/2</x:f>
        <x:v>2283.941140959773</x:v>
      </x:c>
      <x:c r="U215" s="9" t="n">
        <x:f>F215+Inputs!$C$17/2</x:f>
        <x:v>2583.941140959773</x:v>
      </x:c>
      <x:c r="V215" s="9" t="n">
        <x:f>ABS(P215)</x:f>
        <x:v>393.9710844109868</x:v>
      </x:c>
      <x:c r="W215" s="9" t="n">
        <x:f>ABS(Q215)</x:f>
        <x:v>59.15481747912715</x:v>
      </x:c>
      <x:c r="X215" s="9"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x:f>
        <x:v>-12.32376640540756</x:v>
      </x:c>
      <x:c r="Y215" s="9"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x:f>
        <x:v>125.26409736726505</x:v>
      </x:c>
      <x:c r="Z215" s="9" t="n">
        <x:f>B215-X215/1000</x:f>
        <x:v>402.4148237664054</x:v>
      </x:c>
      <x:c r="AA215" s="9" t="n">
        <x:f>SQRT((Inputs!$C$52+B215)^2+(Inputs!$C$52+Y215/1000)^2-2*(Inputs!$C$52+B215)*(Inputs!$C$52+Y215/1000)*COS(SQRT(A215^2+Inputs!$C$6^2)/Inputs!$C$52))</x:f>
        <x:v>406.61133177428445</x:v>
      </x:c>
      <x:c r="AB215" s="9" t="n">
        <x:f>(AA215-Z215)*1000</x:f>
        <x:v>4196.508007879061</x:v>
      </x:c>
      <x:c r="AC215" s="9" t="n">
        <x:f>AB215/Inputs!$C$12</x:f>
        <x:v>2357.5887684713825</x:v>
      </x:c>
      <x:c r="AD215" s="9" t="n">
        <x:f>2*AB215/Inputs!$C$21*1000000</x:f>
        <x:v>27.99608793279957</x:v>
      </x:c>
      <x:c r="AE215" s="9" t="n">
        <x:f>DEGREES(ATAN(H215/(B215-Y215/1000)))</x:f>
        <x:v>7.47670378347765</x:v>
      </x:c>
      <x:c r="AF215" s="9" t="n">
        <x:f>DEGREES((2*PI()/Inputs!$C$13)*Inputs!$C$15*SIN(RADIANS(AE215)))</x:f>
        <x:v>46.84430312737521</x:v>
      </x:c>
      <x:c r="AG215" s="9" t="n">
        <x:f>(Z215/AA215)^4</x:f>
        <x:v>0.9593519681807091</x:v>
      </x:c>
      <x:c r="AH215" s="9" t="n">
        <x:f>10*LOG10(AG215)</x:f>
        <x:v>-0.180220291224274</x:v>
      </x:c>
      <x:c r="AI215" s="9" t="n">
        <x:f>AC215-F215</x:f>
        <x:v>-76.3523724883903</x:v>
      </x:c>
      <x:c r="AJ215" s="9" t="n">
        <x:f>AD215-G215</x:f>
        <x:v>-0.9066753976134727</x:v>
      </x:c>
      <x:c r="AK215" s="9" t="n">
        <x:f>Y215-X215</x:f>
        <x:v>137.58786377267262</x:v>
      </x:c>
      <x:c r="AL215" s="9" t="n">
        <x:f>1000*(AA216-AA214)/(A216-A214)*Inputs!$C$11</x:f>
        <x:v>1096.243634253824</x:v>
      </x:c>
      <x:c r="AM215" s="9" t="n">
        <x:f>-2*AL215/Inputs!$C$13</x:f>
        <x:v>-438.4974537015296</x:v>
      </x:c>
      <x:c r="AN215" s="9" t="n">
        <x:f>-2*AL215/Inputs!$C$14</x:f>
        <x:v>-65.84045851374319</x:v>
      </x:c>
      <x:c r="AO215" s="9" t="n">
        <x:f>ABS(AM215)</x:f>
        <x:v>438.4974537015296</x:v>
      </x:c>
      <x:c r="AP215" s="9" t="n">
        <x:f>ABS(AN215)</x:f>
        <x:v>65.84045851374319</x:v>
      </x:c>
      <x:c r="AQ215" s="9" t="n">
        <x:f>IF(OR(Inputs!$C$27=TRUE,Inputs!$C$27="TRUE",Inputs!$C$27=1),Inputs!$C$46/Inputs!$C$12,0)</x:f>
        <x:v>42.13483146067416</x:v>
      </x:c>
      <x:c r="AR215" s="9" t="n">
        <x:f>AC215-AQ215</x:f>
        <x:v>2315.453937010708</x:v>
      </x:c>
      <x:c r="AS215" s="9" t="n">
        <x:f>AC215+AQ215</x:f>
        <x:v>2399.723599932057</x:v>
      </x:c>
    </x:row>
    <x:row r="216">
      <x:c r="A216" s="9" t="n">
        <x:f>Inputs!$C$7+214*(Inputs!$C$8-Inputs!$C$7)/240</x:f>
        <x:v>47</x:v>
      </x:c>
      <x:c r="B216" s="9" t="n">
        <x:f>Inputs!$C$5+Inputs!$C$9*(A216/Inputs!$C$10)^2</x:f>
        <x:v>402.45444444444445</x:v>
      </x:c>
      <x:c r="C216" s="9" t="n">
        <x:f>B216</x:f>
        <x:v>402.45444444444445</x:v>
      </x:c>
      <x:c r="D216" s="9" t="n">
        <x:f>SQRT((Inputs!$C$52+B216)^2+Inputs!$C$52^2-2*(Inputs!$C$52+B216)*Inputs!$C$52*COS(SQRT(A216^2+Inputs!$C$6^2)/Inputs!$C$52))</x:f>
        <x:v>406.8586795348402</x:v>
      </x:c>
      <x:c r="E216" s="9" t="n">
        <x:f>(D216-C216)*1000</x:f>
        <x:v>4404.23509039573</x:v>
      </x:c>
      <x:c r="F216" s="9" t="n">
        <x:f>E216/Inputs!$C$12</x:f>
        <x:v>2474.289376626815</x:v>
      </x:c>
      <x:c r="G216" s="9" t="n">
        <x:f>2*E216/Inputs!$C$21*1000000</x:f>
        <x:v>29.381893859356065</x:v>
      </x:c>
      <x:c r="H216" s="9" t="n">
        <x:f>SQRT(A216^2+Inputs!$C$6^2)</x:f>
        <x:v>53.23532661682466</x:v>
      </x:c>
      <x:c r="I216" s="9" t="n">
        <x:f>DEGREES(ATAN(H216/B216))</x:f>
        <x:v>7.535149317061624</x:v>
      </x:c>
      <x:c r="J216" s="9" t="n">
        <x:f>DEGREES((2*PI()/Inputs!$C$13)*Inputs!$C$15*SIN(RADIANS(I216)))</x:f>
        <x:v>47.20838061627316</x:v>
      </x:c>
      <x:c r="K216" s="9" t="n">
        <x:f>(C216/D216)^4</x:f>
        <x:v>0.957398119815864</x:v>
      </x:c>
      <x:c r="L216" s="9" t="n">
        <x:f>10*LOG10(K216)</x:f>
        <x:v>-0.189074297414705</x:v>
      </x:c>
      <x:c r="M216" s="9" t="n">
        <x:f>2*(Inputs!$C$9/(Inputs!$C$10^2))*A216</x:f>
        <x:v>0.10444444444444445</x:v>
      </x:c>
      <x:c r="N216" s="9" t="n">
        <x:f>M216*Inputs!$C$11</x:f>
        <x:v>0.4177777777777778</x:v>
      </x:c>
      <x:c r="O216" s="9" t="n">
        <x:f>1000*(D217-D215)/(A217-A215)*Inputs!$C$11</x:f>
        <x:v>995.2977317227578</x:v>
      </x:c>
      <x:c r="P216" s="9" t="n">
        <x:f>-2*O216/Inputs!$C$13</x:f>
        <x:v>-398.1190926891031</x:v>
      </x:c>
      <x:c r="Q216" s="9" t="n">
        <x:f>-2*O216/Inputs!$C$14</x:f>
        <x:v>-59.77764154491039</x:v>
      </x:c>
      <x:c r="R216" s="9" t="n">
        <x:f>F216-Inputs!$C$16/2</x:f>
        <x:v>2459.289376626815</x:v>
      </x:c>
      <x:c r="S216" s="9" t="n">
        <x:f>F216+Inputs!$C$16/2</x:f>
        <x:v>2489.289376626815</x:v>
      </x:c>
      <x:c r="T216" s="9" t="n">
        <x:f>F216-Inputs!$C$17/2</x:f>
        <x:v>2324.289376626815</x:v>
      </x:c>
      <x:c r="U216" s="9" t="n">
        <x:f>F216+Inputs!$C$17/2</x:f>
        <x:v>2624.289376626815</x:v>
      </x:c>
      <x:c r="V216" s="9" t="n">
        <x:f>ABS(P216)</x:f>
        <x:v>398.1190926891031</x:v>
      </x:c>
      <x:c r="W216" s="9" t="n">
        <x:f>ABS(Q216)</x:f>
        <x:v>59.77764154491039</x:v>
      </x:c>
      <x:c r="X216" s="9"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x:f>
        <x:v>5.624733438492097</x:v>
      </x:c>
      <x:c r="Y216" s="9"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x:f>
        <x:v>119.07484471636309</x:v>
      </x:c>
      <x:c r="Z216" s="9" t="n">
        <x:f>B216-X216/1000</x:f>
        <x:v>402.44881971100597</x:v>
      </x:c>
      <x:c r="AA216" s="9" t="n">
        <x:f>SQRT((Inputs!$C$52+B216)^2+(Inputs!$C$52+Y216/1000)^2-2*(Inputs!$C$52+B216)*(Inputs!$C$52+Y216/1000)*COS(SQRT(A216^2+Inputs!$C$6^2)/Inputs!$C$52))</x:f>
        <x:v>406.741228328775</x:v>
      </x:c>
      <x:c r="AB216" s="9" t="n">
        <x:f>(AA216-Z216)*1000</x:f>
        <x:v>4292.408617769013</x:v>
      </x:c>
      <x:c r="AC216" s="9" t="n">
        <x:f>AB216/Inputs!$C$12</x:f>
        <x:v>2411.4655156005692</x:v>
      </x:c>
      <x:c r="AD216" s="9" t="n">
        <x:f>2*AB216/Inputs!$C$21*1000000</x:f>
        <x:v>28.63586793613743</x:v>
      </x:c>
      <x:c r="AE216" s="9" t="n">
        <x:f>DEGREES(ATAN(H216/(B216-Y216/1000)))</x:f>
        <x:v>7.537353777157998</x:v>
      </x:c>
      <x:c r="AF216" s="9" t="n">
        <x:f>DEGREES((2*PI()/Inputs!$C$13)*Inputs!$C$15*SIN(RADIANS(AE216)))</x:f>
        <x:v>47.2221120034302</x:v>
      </x:c>
      <x:c r="AG216" s="9" t="n">
        <x:f>(Z216/AA216)^4</x:f>
        <x:v>0.9584508543558683</x:v>
      </x:c>
      <x:c r="AH216" s="9" t="n">
        <x:f>10*LOG10(AG216)</x:f>
        <x:v>-0.184301511523842</x:v>
      </x:c>
      <x:c r="AI216" s="9" t="n">
        <x:f>AC216-F216</x:f>
        <x:v>-62.823861026245595</x:v>
      </x:c>
      <x:c r="AJ216" s="9" t="n">
        <x:f>AD216-G216</x:f>
        <x:v>-0.7460259232186353</x:v>
      </x:c>
      <x:c r="AK216" s="9" t="n">
        <x:f>Y216-X216</x:f>
        <x:v>113.45011127787099</x:v>
      </x:c>
      <x:c r="AL216" s="9" t="n">
        <x:f>1000*(AA217-AA215)/(A217-A215)*Inputs!$C$11</x:f>
        <x:v>1064.5928352605551</x:v>
      </x:c>
      <x:c r="AM216" s="9" t="n">
        <x:f>-2*AL216/Inputs!$C$13</x:f>
        <x:v>-425.83713410422206</x:v>
      </x:c>
      <x:c r="AN216" s="9" t="n">
        <x:f>-2*AL216/Inputs!$C$14</x:f>
        <x:v>-63.93950962525857</x:v>
      </x:c>
      <x:c r="AO216" s="9" t="n">
        <x:f>ABS(AM216)</x:f>
        <x:v>425.83713410422206</x:v>
      </x:c>
      <x:c r="AP216" s="9" t="n">
        <x:f>ABS(AN216)</x:f>
        <x:v>63.93950962525857</x:v>
      </x:c>
      <x:c r="AQ216" s="9" t="n">
        <x:f>IF(OR(Inputs!$C$27=TRUE,Inputs!$C$27="TRUE",Inputs!$C$27=1),Inputs!$C$46/Inputs!$C$12,0)</x:f>
        <x:v>42.13483146067416</x:v>
      </x:c>
      <x:c r="AR216" s="9" t="n">
        <x:f>AC216-AQ216</x:f>
        <x:v>2369.330684139895</x:v>
      </x:c>
      <x:c r="AS216" s="9" t="n">
        <x:f>AC216+AQ216</x:f>
        <x:v>2453.6003470612436</x:v>
      </x:c>
    </x:row>
    <x:row r="217">
      <x:c r="A217" s="9" t="n">
        <x:f>Inputs!$C$7+215*(Inputs!$C$8-Inputs!$C$7)/240</x:f>
        <x:v>47.5</x:v>
      </x:c>
      <x:c r="B217" s="9" t="n">
        <x:f>Inputs!$C$5+Inputs!$C$9*(A217/Inputs!$C$10)^2</x:f>
        <x:v>402.50694444444446</x:v>
      </x:c>
      <x:c r="C217" s="9" t="n">
        <x:f>B217</x:f>
        <x:v>402.50694444444446</x:v>
      </x:c>
      <x:c r="D217" s="9" t="n">
        <x:f>SQRT((Inputs!$C$52+B217)^2+Inputs!$C$52^2-2*(Inputs!$C$52+B217)*Inputs!$C$52*COS(SQRT(A217^2+Inputs!$C$6^2)/Inputs!$C$52))</x:f>
        <x:v>406.98373966383906</x:v>
      </x:c>
      <x:c r="E217" s="9" t="n">
        <x:f>(D217-C217)*1000</x:f>
        <x:v>4476.795219394603</x:v>
      </x:c>
      <x:c r="F217" s="9" t="n">
        <x:f>E217/Inputs!$C$12</x:f>
        <x:v>2515.0534940419116</x:v>
      </x:c>
      <x:c r="G217" s="9" t="n">
        <x:f>2*E217/Inputs!$C$21*1000000</x:f>
        <x:v>29.865962934895467</x:v>
      </x:c>
      <x:c r="H217" s="9" t="n">
        <x:f>SQRT(A217^2+Inputs!$C$6^2)</x:f>
        <x:v>53.67727638395972</x:v>
      </x:c>
      <x:c r="I217" s="9" t="n">
        <x:f>DEGREES(ATAN(H217/B217))</x:f>
        <x:v>7.595997748011028</x:v>
      </x:c>
      <x:c r="J217" s="9" t="n">
        <x:f>DEGREES((2*PI()/Inputs!$C$13)*Inputs!$C$15*SIN(RADIANS(I217)))</x:f>
        <x:v>47.58737438738348</x:v>
      </x:c>
      <x:c r="K217" s="9" t="n">
        <x:f>(C217/D217)^4</x:f>
        <x:v>0.956720937049129</x:v>
      </x:c>
      <x:c r="L217" s="9" t="n">
        <x:f>10*LOG10(K217)</x:f>
        <x:v>-0.192147217566126</x:v>
      </x:c>
      <x:c r="M217" s="9" t="n">
        <x:f>2*(Inputs!$C$9/(Inputs!$C$10^2))*A217</x:f>
        <x:v>0.10555555555555556</x:v>
      </x:c>
      <x:c r="N217" s="9" t="n">
        <x:f>M217*Inputs!$C$11</x:f>
        <x:v>0.4222222222222222</x:v>
      </x:c>
      <x:c r="O217" s="9" t="n">
        <x:f>1000*(D218-D216)/(A218-A216)*Inputs!$C$11</x:f>
        <x:v>1005.6608808090459</x:v>
      </x:c>
      <x:c r="P217" s="9" t="n">
        <x:f>-2*O217/Inputs!$C$13</x:f>
        <x:v>-402.26435232361837</x:v>
      </x:c>
      <x:c r="Q217" s="9" t="n">
        <x:f>-2*O217/Inputs!$C$14</x:f>
        <x:v>-60.400052901444205</x:v>
      </x:c>
      <x:c r="R217" s="9" t="n">
        <x:f>F217-Inputs!$C$16/2</x:f>
        <x:v>2500.0534940419116</x:v>
      </x:c>
      <x:c r="S217" s="9" t="n">
        <x:f>F217+Inputs!$C$16/2</x:f>
        <x:v>2530.0534940419116</x:v>
      </x:c>
      <x:c r="T217" s="9" t="n">
        <x:f>F217-Inputs!$C$17/2</x:f>
        <x:v>2365.0534940419116</x:v>
      </x:c>
      <x:c r="U217" s="9" t="n">
        <x:f>F217+Inputs!$C$17/2</x:f>
        <x:v>2665.0534940419116</x:v>
      </x:c>
      <x:c r="V217" s="9" t="n">
        <x:f>ABS(P217)</x:f>
        <x:v>402.26435232361837</x:v>
      </x:c>
      <x:c r="W217" s="9" t="n">
        <x:f>ABS(Q217)</x:f>
        <x:v>60.400052901444205</x:v>
      </x:c>
      <x:c r="X217" s="9"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x:f>
        <x:v>4.725819493947935</x:v>
      </x:c>
      <x:c r="Y217" s="9"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x:f>
        <x:v>107.75271022723112</x:v>
      </x:c>
      <x:c r="Z217" s="9" t="n">
        <x:f>B217-X217/1000</x:f>
        <x:v>402.5022186249505</x:v>
      </x:c>
      <x:c r="AA217" s="9" t="n">
        <x:f>SQRT((Inputs!$C$52+B217)^2+(Inputs!$C$52+Y217/1000)^2-2*(Inputs!$C$52+B217)*(Inputs!$C$52+Y217/1000)*COS(SQRT(A217^2+Inputs!$C$6^2)/Inputs!$C$52))</x:f>
        <x:v>406.8774799830996</x:v>
      </x:c>
      <x:c r="AB217" s="9" t="n">
        <x:f>(AA217-Z217)*1000</x:f>
        <x:v>4375.26135814909</x:v>
      </x:c>
      <x:c r="AC217" s="9" t="n">
        <x:f>AB217/Inputs!$C$12</x:f>
        <x:v>2458.0119989601626</x:v>
      </x:c>
      <x:c r="AD217" s="9" t="n">
        <x:f>2*AB217/Inputs!$C$21*1000000</x:f>
        <x:v>29.18860192372878</x:v>
      </x:c>
      <x:c r="AE217" s="9" t="n">
        <x:f>DEGREES(ATAN(H217/(B217-Y217/1000)))</x:f>
        <x:v>7.598008012007536</x:v>
      </x:c>
      <x:c r="AF217" s="9" t="n">
        <x:f>DEGREES((2*PI()/Inputs!$C$13)*Inputs!$C$15*SIN(RADIANS(AE217)))</x:f>
        <x:v>47.59989438066412</x:v>
      </x:c>
      <x:c r="AG217" s="9" t="n">
        <x:f>(Z217/AA217)^4</x:f>
        <x:v>0.9576757759664778</x:v>
      </x:c>
      <x:c r="AH217" s="9" t="n">
        <x:f>10*LOG10(AG217)</x:f>
        <x:v>-0.187814977498241</x:v>
      </x:c>
      <x:c r="AI217" s="9" t="n">
        <x:f>AC217-F217</x:f>
        <x:v>-57.04149508174896</x:v>
      </x:c>
      <x:c r="AJ217" s="9" t="n">
        <x:f>AD217-G217</x:f>
        <x:v>-0.6773610111666883</x:v>
      </x:c>
      <x:c r="AK217" s="9" t="n">
        <x:f>Y217-X217</x:f>
        <x:v>103.02689073328318</x:v>
      </x:c>
      <x:c r="AL217" s="9" t="n">
        <x:f>1000*(AA218-AA216)/(A218-A216)*Inputs!$C$11</x:f>
        <x:v>982.5168320905959</x:v>
      </x:c>
      <x:c r="AM217" s="9" t="n">
        <x:f>-2*AL217/Inputs!$C$13</x:f>
        <x:v>-393.00673283623837</x:v>
      </x:c>
      <x:c r="AN217" s="9" t="n">
        <x:f>-2*AL217/Inputs!$C$14</x:f>
        <x:v>-59.01001994538114</x:v>
      </x:c>
      <x:c r="AO217" s="9" t="n">
        <x:f>ABS(AM217)</x:f>
        <x:v>393.00673283623837</x:v>
      </x:c>
      <x:c r="AP217" s="9" t="n">
        <x:f>ABS(AN217)</x:f>
        <x:v>59.01001994538114</x:v>
      </x:c>
      <x:c r="AQ217" s="9" t="n">
        <x:f>IF(OR(Inputs!$C$27=TRUE,Inputs!$C$27="TRUE",Inputs!$C$27=1),Inputs!$C$46/Inputs!$C$12,0)</x:f>
        <x:v>42.13483146067416</x:v>
      </x:c>
      <x:c r="AR217" s="9" t="n">
        <x:f>AC217-AQ217</x:f>
        <x:v>2415.877167499488</x:v>
      </x:c>
      <x:c r="AS217" s="9" t="n">
        <x:f>AC217+AQ217</x:f>
        <x:v>2500.146830420837</x:v>
      </x:c>
    </x:row>
    <x:row r="218">
      <x:c r="A218" s="9" t="n">
        <x:f>Inputs!$C$7+216*(Inputs!$C$8-Inputs!$C$7)/240</x:f>
        <x:v>48</x:v>
      </x:c>
      <x:c r="B218" s="9" t="n">
        <x:f>Inputs!$C$5+Inputs!$C$9*(A218/Inputs!$C$10)^2</x:f>
        <x:v>402.56</x:v>
      </x:c>
      <x:c r="C218" s="9" t="n">
        <x:f>B218</x:f>
        <x:v>402.56</x:v>
      </x:c>
      <x:c r="D218" s="9" t="n">
        <x:f>SQRT((Inputs!$C$52+B218)^2+Inputs!$C$52^2-2*(Inputs!$C$52+B218)*Inputs!$C$52*COS(SQRT(A218^2+Inputs!$C$6^2)/Inputs!$C$52))</x:f>
        <x:v>407.11009475504244</x:v>
      </x:c>
      <x:c r="E218" s="9" t="n">
        <x:f>(D218-C218)*1000</x:f>
        <x:v>4550.094755042437</x:v>
      </x:c>
      <x:c r="F218" s="9" t="n">
        <x:f>E218/Inputs!$C$12</x:f>
        <x:v>2556.233008450807</x:v>
      </x:c>
      <x:c r="G218" s="9" t="n">
        <x:f>2*E218/Inputs!$C$21*1000000</x:f>
        <x:v>30.354964800631755</x:v>
      </x:c>
      <x:c r="H218" s="9" t="n">
        <x:f>SQRT(A218^2+Inputs!$C$6^2)</x:f>
        <x:v>54.120236510939236</x:v>
      </x:c>
      <x:c r="I218" s="9" t="n">
        <x:f>DEGREES(ATAN(H218/B218))</x:f>
        <x:v>7.656943892607386</x:v>
      </x:c>
      <x:c r="J218" s="9" t="n">
        <x:f>DEGREES((2*PI()/Inputs!$C$13)*Inputs!$C$15*SIN(RADIANS(I218)))</x:f>
        <x:v>47.96692296558639</x:v>
      </x:c>
      <x:c r="K218" s="9" t="n">
        <x:f>(C218/D218)^4</x:f>
        <x:v>0.9560376426974181</x:v>
      </x:c>
      <x:c r="L218" s="9" t="n">
        <x:f>10*LOG10(K218)</x:f>
        <x:v>-0.195250076256491</x:v>
      </x:c>
      <x:c r="M218" s="9" t="n">
        <x:f>2*(Inputs!$C$9/(Inputs!$C$10^2))*A218</x:f>
        <x:v>0.10666666666666666</x:v>
      </x:c>
      <x:c r="N218" s="9" t="n">
        <x:f>M218*Inputs!$C$11</x:f>
        <x:v>0.42666666666666664</x:v>
      </x:c>
      <x:c r="O218" s="9" t="n">
        <x:f>1000*(D219-D217)/(A219-A217)*Inputs!$C$11</x:f>
        <x:v>1016.0170958615709</x:v>
      </x:c>
      <x:c r="P218" s="9" t="n">
        <x:f>-2*O218/Inputs!$C$13</x:f>
        <x:v>-406.40683834462834</x:v>
      </x:c>
      <x:c r="Q218" s="9" t="n">
        <x:f>-2*O218/Inputs!$C$14</x:f>
        <x:v>-61.02204779949375</x:v>
      </x:c>
      <x:c r="R218" s="9" t="n">
        <x:f>F218-Inputs!$C$16/2</x:f>
        <x:v>2541.233008450807</x:v>
      </x:c>
      <x:c r="S218" s="9" t="n">
        <x:f>F218+Inputs!$C$16/2</x:f>
        <x:v>2571.233008450807</x:v>
      </x:c>
      <x:c r="T218" s="9" t="n">
        <x:f>F218-Inputs!$C$17/2</x:f>
        <x:v>2406.233008450807</x:v>
      </x:c>
      <x:c r="U218" s="9" t="n">
        <x:f>F218+Inputs!$C$17/2</x:f>
        <x:v>2706.233008450807</x:v>
      </x:c>
      <x:c r="V218" s="9" t="n">
        <x:f>ABS(P218)</x:f>
        <x:v>406.40683834462834</x:v>
      </x:c>
      <x:c r="W218" s="9" t="n">
        <x:f>ABS(Q218)</x:f>
        <x:v>61.02204779949375</x:v>
      </x:c>
      <x:c r="X218" s="9"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x:f>
        <x:v>-9.076914728959792</x:v>
      </x:c>
      <x:c r="Y218" s="9"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x:f>
        <x:v>124.99715373468393</x:v>
      </x:c>
      <x:c r="Z218" s="9" t="n">
        <x:f>B218-X218/1000</x:f>
        <x:v>402.56907691472895</x:v>
      </x:c>
      <x:c r="AA218" s="9" t="n">
        <x:f>SQRT((Inputs!$C$52+B218)^2+(Inputs!$C$52+Y218/1000)^2-2*(Inputs!$C$52+B218)*(Inputs!$C$52+Y218/1000)*COS(SQRT(A218^2+Inputs!$C$6^2)/Inputs!$C$52))</x:f>
        <x:v>406.98685753679763</x:v>
      </x:c>
      <x:c r="AB218" s="9" t="n">
        <x:f>(AA218-Z218)*1000</x:f>
        <x:v>4417.780622068676</x:v>
      </x:c>
      <x:c r="AC218" s="9" t="n">
        <x:f>AB218/Inputs!$C$12</x:f>
        <x:v>2481.8992258812787</x:v>
      </x:c>
      <x:c r="AD218" s="9" t="n">
        <x:f>2*AB218/Inputs!$C$21*1000000</x:f>
        <x:v>29.472259919685346</x:v>
      </x:c>
      <x:c r="AE218" s="9" t="n">
        <x:f>DEGREES(ATAN(H218/(B218-Y218/1000)))</x:f>
        <x:v>7.659293927255027</x:v>
      </x:c>
      <x:c r="AF218" s="9" t="n">
        <x:f>DEGREES((2*PI()/Inputs!$C$13)*Inputs!$C$15*SIN(RADIANS(AE218)))</x:f>
        <x:v>47.98155697158619</x:v>
      </x:c>
      <x:c r="AG218" s="9" t="n">
        <x:f>(Z218/AA218)^4</x:f>
        <x:v>0.9572824708417631</x:v>
      </x:c>
      <x:c r="AH218" s="9" t="n">
        <x:f>10*LOG10(AG218)</x:f>
        <x:v>-0.18959893543105</x:v>
      </x:c>
      <x:c r="AI218" s="9" t="n">
        <x:f>AC218-F218</x:f>
        <x:v>-74.33378256952847</x:v>
      </x:c>
      <x:c r="AJ218" s="9" t="n">
        <x:f>AD218-G218</x:f>
        <x:v>-0.8827048809464095</x:v>
      </x:c>
      <x:c r="AK218" s="9" t="n">
        <x:f>Y218-X218</x:f>
        <x:v>134.07406846364373</x:v>
      </x:c>
      <x:c r="AL218" s="9" t="n">
        <x:f>1000*(AA219-AA217)/(A219-A217)*Inputs!$C$11</x:f>
        <x:v>990.5345235411005</x:v>
      </x:c>
      <x:c r="AM218" s="9" t="n">
        <x:f>-2*AL218/Inputs!$C$13</x:f>
        <x:v>-396.2138094164402</x:v>
      </x:c>
      <x:c r="AN218" s="9" t="n">
        <x:f>-2*AL218/Inputs!$C$14</x:f>
        <x:v>-59.491562975441475</x:v>
      </x:c>
      <x:c r="AO218" s="9" t="n">
        <x:f>ABS(AM218)</x:f>
        <x:v>396.2138094164402</x:v>
      </x:c>
      <x:c r="AP218" s="9" t="n">
        <x:f>ABS(AN218)</x:f>
        <x:v>59.491562975441475</x:v>
      </x:c>
      <x:c r="AQ218" s="9" t="n">
        <x:f>IF(OR(Inputs!$C$27=TRUE,Inputs!$C$27="TRUE",Inputs!$C$27=1),Inputs!$C$46/Inputs!$C$12,0)</x:f>
        <x:v>42.13483146067416</x:v>
      </x:c>
      <x:c r="AR218" s="9" t="n">
        <x:f>AC218-AQ218</x:f>
        <x:v>2439.7643944206043</x:v>
      </x:c>
      <x:c r="AS218" s="9" t="n">
        <x:f>AC218+AQ218</x:f>
        <x:v>2524.034057341953</x:v>
      </x:c>
    </x:row>
    <x:row r="219">
      <x:c r="A219" s="9" t="n">
        <x:f>Inputs!$C$7+217*(Inputs!$C$8-Inputs!$C$7)/240</x:f>
        <x:v>48.5</x:v>
      </x:c>
      <x:c r="B219" s="9" t="n">
        <x:f>Inputs!$C$5+Inputs!$C$9*(A219/Inputs!$C$10)^2</x:f>
        <x:v>402.6136111111111</x:v>
      </x:c>
      <x:c r="C219" s="9" t="n">
        <x:f>B219</x:f>
        <x:v>402.6136111111111</x:v>
      </x:c>
      <x:c r="D219" s="9" t="n">
        <x:f>SQRT((Inputs!$C$52+B219)^2+Inputs!$C$52^2-2*(Inputs!$C$52+B219)*Inputs!$C$52*COS(SQRT(A219^2+Inputs!$C$6^2)/Inputs!$C$52))</x:f>
        <x:v>407.23774393780445</x:v>
      </x:c>
      <x:c r="E219" s="9" t="n">
        <x:f>(D219-C219)*1000</x:f>
        <x:v>4624.132826693369</x:v>
      </x:c>
      <x:c r="F219" s="9" t="n">
        <x:f>E219/Inputs!$C$12</x:f>
        <x:v>2597.8274307266115</x:v>
      </x:c>
      <x:c r="G219" s="9" t="n">
        <x:f>2*E219/Inputs!$C$21*1000000</x:f>
        <x:v>30.84889364824094</x:v>
      </x:c>
      <x:c r="H219" s="9" t="n">
        <x:f>SQRT(A219^2+Inputs!$C$6^2)</x:f>
        <x:v>54.56418239101544</x:v>
      </x:c>
      <x:c r="I219" s="9" t="n">
        <x:f>DEGREES(ATAN(H219/B219))</x:f>
        <x:v>7.717983785874701</x:v>
      </x:c>
      <x:c r="J219" s="9" t="n">
        <x:f>DEGREES((2*PI()/Inputs!$C$13)*Inputs!$C$15*SIN(RADIANS(I219)))</x:f>
        <x:v>48.347000974416595</x:v>
      </x:c>
      <x:c r="K219" s="9" t="n">
        <x:f>(C219/D219)^4</x:f>
        <x:v>0.9553482677377663</x:v>
      </x:c>
      <x:c r="L219" s="9" t="n">
        <x:f>10*LOG10(K219)</x:f>
        <x:v>-0.198382795319515</x:v>
      </x:c>
      <x:c r="M219" s="9" t="n">
        <x:f>2*(Inputs!$C$9/(Inputs!$C$10^2))*A219</x:f>
        <x:v>0.10777777777777778</x:v>
      </x:c>
      <x:c r="N219" s="9" t="n">
        <x:f>M219*Inputs!$C$11</x:f>
        <x:v>0.4311111111111111</x:v>
      </x:c>
      <x:c r="O219" s="9" t="n">
        <x:f>1000*(D220-D218)/(A220-A218)*Inputs!$C$11</x:f>
        <x:v>1026.3663147777606</x:v>
      </x:c>
      <x:c r="P219" s="9" t="n">
        <x:f>-2*O219/Inputs!$C$13</x:f>
        <x:v>-410.54652591110425</x:v>
      </x:c>
      <x:c r="Q219" s="9" t="n">
        <x:f>-2*O219/Inputs!$C$14</x:f>
        <x:v>-61.64362250917482</x:v>
      </x:c>
      <x:c r="R219" s="9" t="n">
        <x:f>F219-Inputs!$C$16/2</x:f>
        <x:v>2582.8274307266115</x:v>
      </x:c>
      <x:c r="S219" s="9" t="n">
        <x:f>F219+Inputs!$C$16/2</x:f>
        <x:v>2612.8274307266115</x:v>
      </x:c>
      <x:c r="T219" s="9" t="n">
        <x:f>F219-Inputs!$C$17/2</x:f>
        <x:v>2447.8274307266115</x:v>
      </x:c>
      <x:c r="U219" s="9" t="n">
        <x:f>F219+Inputs!$C$17/2</x:f>
        <x:v>2747.8274307266115</x:v>
      </x:c>
      <x:c r="V219" s="9" t="n">
        <x:f>ABS(P219)</x:f>
        <x:v>410.54652591110425</x:v>
      </x:c>
      <x:c r="W219" s="9" t="n">
        <x:f>ABS(Q219)</x:f>
        <x:v>61.64362250917482</x:v>
      </x:c>
      <x:c r="X219" s="9"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x:f>
        <x:v>-2.0408727900443155</x:v>
      </x:c>
      <x:c r="Y219" s="9"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x:f>
        <x:v>114.2648488799635</x:v>
      </x:c>
      <x:c r="Z219" s="9" t="n">
        <x:f>B219-X219/1000</x:f>
        <x:v>402.6156519839011</x:v>
      </x:c>
      <x:c r="AA219" s="9" t="n">
        <x:f>SQRT((Inputs!$C$52+B219)^2+(Inputs!$C$52+Y219/1000)^2-2*(Inputs!$C$52+B219)*(Inputs!$C$52+Y219/1000)*COS(SQRT(A219^2+Inputs!$C$6^2)/Inputs!$C$52))</x:f>
        <x:v>407.12511361398487</x:v>
      </x:c>
      <x:c r="AB219" s="9" t="n">
        <x:f>(AA219-Z219)*1000</x:f>
        <x:v>4509.461630083762</x:v>
      </x:c>
      <x:c r="AC219" s="9" t="n">
        <x:f>AB219/Inputs!$C$12</x:f>
        <x:v>2533.405410159417</x:v>
      </x:c>
      <x:c r="AD219" s="9" t="n">
        <x:f>2*AB219/Inputs!$C$21*1000000</x:f>
        <x:v>30.083889769393483</x:v>
      </x:c>
      <x:c r="AE219" s="9" t="n">
        <x:f>DEGREES(ATAN(H219/(B219-Y219/1000)))</x:f>
        <x:v>7.720148411309109</x:v>
      </x:c>
      <x:c r="AF219" s="9" t="n">
        <x:f>DEGREES((2*PI()/Inputs!$C$13)*Inputs!$C$15*SIN(RADIANS(AE219)))</x:f>
        <x:v>48.36047847480999</x:v>
      </x:c>
      <x:c r="AG219" s="9" t="n">
        <x:f>(Z219/AA219)^4</x:f>
        <x:v>0.9564252795032038</x:v>
      </x:c>
      <x:c r="AH219" s="9" t="n">
        <x:f>10*LOG10(AG219)</x:f>
        <x:v>-0.193489534641942</x:v>
      </x:c>
      <x:c r="AI219" s="9" t="n">
        <x:f>AC219-F219</x:f>
        <x:v>-64.42202056719452</x:v>
      </x:c>
      <x:c r="AJ219" s="9" t="n">
        <x:f>AD219-G219</x:f>
        <x:v>-0.7650038788474554</x:v>
      </x:c>
      <x:c r="AK219" s="9" t="n">
        <x:f>Y219-X219</x:f>
        <x:v>116.30572167000781</x:v>
      </x:c>
      <x:c r="AL219" s="9" t="n">
        <x:f>1000*(AA220-AA218)/(A220-A218)*Inputs!$C$11</x:f>
        <x:v>1087.5066376124778</x:v>
      </x:c>
      <x:c r="AM219" s="9" t="n">
        <x:f>-2*AL219/Inputs!$C$13</x:f>
        <x:v>-435.0026550449911</x:v>
      </x:c>
      <x:c r="AN219" s="9" t="n">
        <x:f>-2*AL219/Inputs!$C$14</x:f>
        <x:v>-65.31571397071939</x:v>
      </x:c>
      <x:c r="AO219" s="9" t="n">
        <x:f>ABS(AM219)</x:f>
        <x:v>435.0026550449911</x:v>
      </x:c>
      <x:c r="AP219" s="9" t="n">
        <x:f>ABS(AN219)</x:f>
        <x:v>65.31571397071939</x:v>
      </x:c>
      <x:c r="AQ219" s="9" t="n">
        <x:f>IF(OR(Inputs!$C$27=TRUE,Inputs!$C$27="TRUE",Inputs!$C$27=1),Inputs!$C$46/Inputs!$C$12,0)</x:f>
        <x:v>42.13483146067416</x:v>
      </x:c>
      <x:c r="AR219" s="9" t="n">
        <x:f>AC219-AQ219</x:f>
        <x:v>2491.2705786987426</x:v>
      </x:c>
      <x:c r="AS219" s="9" t="n">
        <x:f>AC219+AQ219</x:f>
        <x:v>2575.5402416200914</x:v>
      </x:c>
    </x:row>
    <x:row r="220">
      <x:c r="A220" s="9" t="n">
        <x:f>Inputs!$C$7+218*(Inputs!$C$8-Inputs!$C$7)/240</x:f>
        <x:v>49</x:v>
      </x:c>
      <x:c r="B220" s="9" t="n">
        <x:f>Inputs!$C$5+Inputs!$C$9*(A220/Inputs!$C$10)^2</x:f>
        <x:v>402.66777777777776</x:v>
      </x:c>
      <x:c r="C220" s="9" t="n">
        <x:f>B220</x:f>
        <x:v>402.66777777777776</x:v>
      </x:c>
      <x:c r="D220" s="9" t="n">
        <x:f>SQRT((Inputs!$C$52+B220)^2+Inputs!$C$52^2-2*(Inputs!$C$52+B220)*Inputs!$C$52*COS(SQRT(A220^2+Inputs!$C$6^2)/Inputs!$C$52))</x:f>
        <x:v>407.3666863337369</x:v>
      </x:c>
      <x:c r="E220" s="9" t="n">
        <x:f>(D220-C220)*1000</x:f>
        <x:v>4698.908555959122</x:v>
      </x:c>
      <x:c r="F220" s="9" t="n">
        <x:f>E220/Inputs!$C$12</x:f>
        <x:v>2639.8362673927654</x:v>
      </x:c>
      <x:c r="G220" s="9" t="n">
        <x:f>2*E220/Inputs!$C$21*1000000</x:f>
        <x:v>31.347743617747195</x:v>
      </x:c>
      <x:c r="H220" s="9" t="n">
        <x:f>SQRT(A220^2+Inputs!$C$6^2)</x:f>
        <x:v>55.00909015790027</x:v>
      </x:c>
      <x:c r="I220" s="9" t="n">
        <x:f>DEGREES(ATAN(H220/B220))</x:f>
        <x:v>7.779113570233542</x:v>
      </x:c>
      <x:c r="J220" s="9" t="n">
        <x:f>DEGREES((2*PI()/Inputs!$C$13)*Inputs!$C$15*SIN(RADIANS(I220)))</x:f>
        <x:v>48.727583715832836</x:v>
      </x:c>
      <x:c r="K220" s="9" t="n">
        <x:f>(C220/D220)^4</x:f>
        <x:v>0.954652843356775</x:v>
      </x:c>
      <x:c r="L220" s="9" t="n">
        <x:f>10*LOG10(K220)</x:f>
        <x:v>-0.20154529593626297</x:v>
      </x:c>
      <x:c r="M220" s="9" t="n">
        <x:f>2*(Inputs!$C$9/(Inputs!$C$10^2))*A220</x:f>
        <x:v>0.10888888888888888</x:v>
      </x:c>
      <x:c r="N220" s="9" t="n">
        <x:f>M220*Inputs!$C$11</x:f>
        <x:v>0.43555555555555553</x:v>
      </x:c>
      <x:c r="O220" s="9" t="n">
        <x:f>1000*(D221-D219)/(A221-A219)*Inputs!$C$11</x:f>
        <x:v>1036.7084757508565</x:v>
      </x:c>
      <x:c r="P220" s="9" t="n">
        <x:f>-2*O220/Inputs!$C$13</x:f>
        <x:v>-414.6833903003426</x:v>
      </x:c>
      <x:c r="Q220" s="9" t="n">
        <x:f>-2*O220/Inputs!$C$14</x:f>
        <x:v>-62.26477331836976</x:v>
      </x:c>
      <x:c r="R220" s="9" t="n">
        <x:f>F220-Inputs!$C$16/2</x:f>
        <x:v>2624.8362673927654</x:v>
      </x:c>
      <x:c r="S220" s="9" t="n">
        <x:f>F220+Inputs!$C$16/2</x:f>
        <x:v>2654.8362673927654</x:v>
      </x:c>
      <x:c r="T220" s="9" t="n">
        <x:f>F220-Inputs!$C$17/2</x:f>
        <x:v>2489.8362673927654</x:v>
      </x:c>
      <x:c r="U220" s="9" t="n">
        <x:f>F220+Inputs!$C$17/2</x:f>
        <x:v>2789.8362673927654</x:v>
      </x:c>
      <x:c r="V220" s="9" t="n">
        <x:f>ABS(P220)</x:f>
        <x:v>414.6833903003426</x:v>
      </x:c>
      <x:c r="W220" s="9" t="n">
        <x:f>ABS(Q220)</x:f>
        <x:v>62.26477331836976</x:v>
      </x:c>
      <x:c r="X220" s="9"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x:f>
        <x:v>10.43102720072224</x:v>
      </x:c>
      <x:c r="Y220" s="9"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x:f>
        <x:v>109.54402369059221</x:v>
      </x:c>
      <x:c r="Z220" s="9" t="n">
        <x:f>B220-X220/1000</x:f>
        <x:v>402.65734675057706</x:v>
      </x:c>
      <x:c r="AA220" s="9" t="n">
        <x:f>SQRT((Inputs!$C$52+B220)^2+(Inputs!$C$52+Y220/1000)^2-2*(Inputs!$C$52+B220)*(Inputs!$C$52+Y220/1000)*COS(SQRT(A220^2+Inputs!$C$6^2)/Inputs!$C$52))</x:f>
        <x:v>407.25873419620075</x:v>
      </x:c>
      <x:c r="AB220" s="9" t="n">
        <x:f>(AA220-Z220)*1000</x:f>
        <x:v>4601.387445623686</x:v>
      </x:c>
      <x:c r="AC220" s="9" t="n">
        <x:f>AB220/Inputs!$C$12</x:f>
        <x:v>2585.04912675488</x:v>
      </x:c>
      <x:c r="AD220" s="9" t="n">
        <x:f>2*AB220/Inputs!$C$21*1000000</x:f>
        <x:v>30.697152799112022</x:v>
      </x:c>
      <x:c r="AE220" s="9" t="n">
        <x:f>DEGREES(ATAN(H220/(B220-Y220/1000)))</x:f>
        <x:v>7.781204491160874</x:v>
      </x:c>
      <x:c r="AF220" s="9" t="n">
        <x:f>DEGREES((2*PI()/Inputs!$C$13)*Inputs!$C$15*SIN(RADIANS(AE220)))</x:f>
        <x:v>48.74060042455543</x:v>
      </x:c>
      <x:c r="AG220" s="9" t="n">
        <x:f>(Z220/AA220)^4</x:f>
        <x:v>0.9555664243775993</x:v>
      </x:c>
      <x:c r="AH220" s="9" t="n">
        <x:f>10*LOG10(AG220)</x:f>
        <x:v>-0.19739118406996398</x:v>
      </x:c>
      <x:c r="AI220" s="9" t="n">
        <x:f>AC220-F220</x:f>
        <x:v>-54.787140637885386</x:v>
      </x:c>
      <x:c r="AJ220" s="9" t="n">
        <x:f>AD220-G220</x:f>
        <x:v>-0.6505908186351732</x:v>
      </x:c>
      <x:c r="AK220" s="9" t="n">
        <x:f>Y220-X220</x:f>
        <x:v>99.11299648986997</x:v>
      </x:c>
      <x:c r="AL220" s="9" t="n">
        <x:f>1000*(AA221-AA219)/(A221-A219)*Inputs!$C$11</x:f>
        <x:v>1030.793517861639</x:v>
      </x:c>
      <x:c r="AM220" s="9" t="n">
        <x:f>-2*AL220/Inputs!$C$13</x:f>
        <x:v>-412.3174071446556</x:v>
      </x:c>
      <x:c r="AN220" s="9" t="n">
        <x:f>-2*AL220/Inputs!$C$14</x:f>
        <x:v>-61.90952059229063</x:v>
      </x:c>
      <x:c r="AO220" s="9" t="n">
        <x:f>ABS(AM220)</x:f>
        <x:v>412.3174071446556</x:v>
      </x:c>
      <x:c r="AP220" s="9" t="n">
        <x:f>ABS(AN220)</x:f>
        <x:v>61.90952059229063</x:v>
      </x:c>
      <x:c r="AQ220" s="9" t="n">
        <x:f>IF(OR(Inputs!$C$27=TRUE,Inputs!$C$27="TRUE",Inputs!$C$27=1),Inputs!$C$46/Inputs!$C$12,0)</x:f>
        <x:v>42.13483146067416</x:v>
      </x:c>
      <x:c r="AR220" s="9" t="n">
        <x:f>AC220-AQ220</x:f>
        <x:v>2542.9142952942057</x:v>
      </x:c>
      <x:c r="AS220" s="9" t="n">
        <x:f>AC220+AQ220</x:f>
        <x:v>2627.1839582155544</x:v>
      </x:c>
    </x:row>
    <x:row r="221">
      <x:c r="A221" s="9" t="n">
        <x:f>Inputs!$C$7+219*(Inputs!$C$8-Inputs!$C$7)/240</x:f>
        <x:v>49.5</x:v>
      </x:c>
      <x:c r="B221" s="9" t="n">
        <x:f>Inputs!$C$5+Inputs!$C$9*(A221/Inputs!$C$10)^2</x:f>
        <x:v>402.7225</x:v>
      </x:c>
      <x:c r="C221" s="9" t="n">
        <x:f>B221</x:f>
        <x:v>402.7225</x:v>
      </x:c>
      <x:c r="D221" s="9" t="n">
        <x:f>SQRT((Inputs!$C$52+B221)^2+Inputs!$C$52^2-2*(Inputs!$C$52+B221)*Inputs!$C$52*COS(SQRT(A221^2+Inputs!$C$6^2)/Inputs!$C$52))</x:f>
        <x:v>407.49692105674217</x:v>
      </x:c>
      <x:c r="E221" s="9" t="n">
        <x:f>(D221-C221)*1000</x:f>
        <x:v>4774.421056742141</x:v>
      </x:c>
      <x:c r="F221" s="9" t="n">
        <x:f>E221/Inputs!$C$12</x:f>
        <x:v>2682.2590206416526</x:v>
      </x:c>
      <x:c r="G221" s="9" t="n">
        <x:f>2*E221/Inputs!$C$21*1000000</x:f>
        <x:v>31.851508797743943</x:v>
      </x:c>
      <x:c r="H221" s="9" t="n">
        <x:f>SQRT(A221^2+Inputs!$C$6^2)</x:f>
        <x:v>55.45493666031907</x:v>
      </x:c>
      <x:c r="I221" s="9" t="n">
        <x:f>DEGREES(ATAN(H221/B221))</x:f>
        <x:v>7.84032949187448</x:v>
      </x:c>
      <x:c r="J221" s="9" t="n">
        <x:f>DEGREES((2*PI()/Inputs!$C$13)*Inputs!$C$15*SIN(RADIANS(I221)))</x:f>
        <x:v>49.108647147475075</x:v>
      </x:c>
      <x:c r="K221" s="9" t="n">
        <x:f>(C221/D221)^4</x:f>
        <x:v>0.9539514009475519</x:v>
      </x:c>
      <x:c r="L221" s="9" t="n">
        <x:f>10*LOG10(K221)</x:f>
        <x:v>-0.204737498639604</x:v>
      </x:c>
      <x:c r="M221" s="9" t="n">
        <x:f>2*(Inputs!$C$9/(Inputs!$C$10^2))*A221</x:f>
        <x:v>0.11</x:v>
      </x:c>
      <x:c r="N221" s="9" t="n">
        <x:f>M221*Inputs!$C$11</x:f>
        <x:v>0.44</x:v>
      </x:c>
      <x:c r="O221" s="9" t="n">
        <x:f>1000*(D222-D220)/(A222-A220)*Inputs!$C$11</x:f>
        <x:v>1047.0435173044734</x:v>
      </x:c>
      <x:c r="P221" s="9" t="n">
        <x:f>-2*O221/Inputs!$C$13</x:f>
        <x:v>-418.81740692178937</x:v>
      </x:c>
      <x:c r="Q221" s="9" t="n">
        <x:f>-2*O221/Inputs!$C$14</x:f>
        <x:v>-62.88549653480322</x:v>
      </x:c>
      <x:c r="R221" s="9" t="n">
        <x:f>F221-Inputs!$C$16/2</x:f>
        <x:v>2667.2590206416526</x:v>
      </x:c>
      <x:c r="S221" s="9" t="n">
        <x:f>F221+Inputs!$C$16/2</x:f>
        <x:v>2697.2590206416526</x:v>
      </x:c>
      <x:c r="T221" s="9" t="n">
        <x:f>F221-Inputs!$C$17/2</x:f>
        <x:v>2532.2590206416526</x:v>
      </x:c>
      <x:c r="U221" s="9" t="n">
        <x:f>F221+Inputs!$C$17/2</x:f>
        <x:v>2832.2590206416526</x:v>
      </x:c>
      <x:c r="V221" s="9" t="n">
        <x:f>ABS(P221)</x:f>
        <x:v>418.81740692178937</x:v>
      </x:c>
      <x:c r="W221" s="9" t="n">
        <x:f>ABS(Q221)</x:f>
        <x:v>62.88549653480322</x:v>
      </x:c>
      <x:c r="X221" s="9"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x:f>
        <x:v>-2.2699304094542576</x:v>
      </x:c>
      <x:c r="Y221" s="9"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x:f>
        <x:v>115.81874031490976</x:v>
      </x:c>
      <x:c r="Z221" s="9" t="n">
        <x:f>B221-X221/1000</x:f>
        <x:v>402.7247699304095</x:v>
      </x:c>
      <x:c r="AA221" s="9" t="n">
        <x:f>SQRT((Inputs!$C$52+B221)^2+(Inputs!$C$52+Y221/1000)^2-2*(Inputs!$C$52+B221)*(Inputs!$C$52+Y221/1000)*COS(SQRT(A221^2+Inputs!$C$6^2)/Inputs!$C$52))</x:f>
        <x:v>407.3828119934503</x:v>
      </x:c>
      <x:c r="AB221" s="9" t="n">
        <x:f>(AA221-Z221)*1000</x:f>
        <x:v>4658.042063040795</x:v>
      </x:c>
      <x:c r="AC221" s="9" t="n">
        <x:f>AB221/Inputs!$C$12</x:f>
        <x:v>2616.8775635060647</x:v>
      </x:c>
      <x:c r="AD221" s="9" t="n">
        <x:f>2*AB221/Inputs!$C$21*1000000</x:f>
        <x:v>31.07511172306273</x:v>
      </x:c>
      <x:c r="AE221" s="9" t="n">
        <x:f>DEGREES(ATAN(H221/(B221-Y221/1000)))</x:f>
        <x:v>7.8425568742881735</x:v>
      </x:c>
      <x:c r="AF221" s="9" t="n">
        <x:f>DEGREES((2*PI()/Inputs!$C$13)*Inputs!$C$15*SIN(RADIANS(AE221)))</x:f>
        <x:v>49.12251134197166</x:v>
      </x:c>
      <x:c r="AG221" s="9" t="n">
        <x:f>(Z221/AA221)^4</x:f>
        <x:v>0.9550421998413903</x:v>
      </x:c>
      <x:c r="AH221" s="9" t="n">
        <x:f>10*LOG10(AG221)</x:f>
        <x:v>-0.199774380986183</x:v>
      </x:c>
      <x:c r="AI221" s="9" t="n">
        <x:f>AC221-F221</x:f>
        <x:v>-65.38145713558788</x:v>
      </x:c>
      <x:c r="AJ221" s="9" t="n">
        <x:f>AD221-G221</x:f>
        <x:v>-0.7763970746812134</x:v>
      </x:c>
      <x:c r="AK221" s="9" t="n">
        <x:f>Y221-X221</x:f>
        <x:v>118.08867072436402</x:v>
      </x:c>
      <x:c r="AL221" s="9" t="n">
        <x:f>1000*(AA222-AA220)/(A222-A220)*Inputs!$C$11</x:f>
        <x:v>1024.822068342246</x:v>
      </x:c>
      <x:c r="AM221" s="9" t="n">
        <x:f>-2*AL221/Inputs!$C$13</x:f>
        <x:v>-409.9288273368984</x:v>
      </x:c>
      <x:c r="AN221" s="9" t="n">
        <x:f>-2*AL221/Inputs!$C$14</x:f>
        <x:v>-61.550874975510276</x:v>
      </x:c>
      <x:c r="AO221" s="9" t="n">
        <x:f>ABS(AM221)</x:f>
        <x:v>409.9288273368984</x:v>
      </x:c>
      <x:c r="AP221" s="9" t="n">
        <x:f>ABS(AN221)</x:f>
        <x:v>61.550874975510276</x:v>
      </x:c>
      <x:c r="AQ221" s="9" t="n">
        <x:f>IF(OR(Inputs!$C$27=TRUE,Inputs!$C$27="TRUE",Inputs!$C$27=1),Inputs!$C$46/Inputs!$C$12,0)</x:f>
        <x:v>42.13483146067416</x:v>
      </x:c>
      <x:c r="AR221" s="9" t="n">
        <x:f>AC221-AQ221</x:f>
        <x:v>2574.7427320453903</x:v>
      </x:c>
      <x:c r="AS221" s="9" t="n">
        <x:f>AC221+AQ221</x:f>
        <x:v>2659.012394966739</x:v>
      </x:c>
    </x:row>
    <x:row r="222">
      <x:c r="A222" s="9" t="n">
        <x:f>Inputs!$C$7+220*(Inputs!$C$8-Inputs!$C$7)/240</x:f>
        <x:v>50</x:v>
      </x:c>
      <x:c r="B222" s="9" t="n">
        <x:f>Inputs!$C$5+Inputs!$C$9*(A222/Inputs!$C$10)^2</x:f>
        <x:v>402.77777777777777</x:v>
      </x:c>
      <x:c r="C222" s="9" t="n">
        <x:f>B222</x:f>
        <x:v>402.77777777777777</x:v>
      </x:c>
      <x:c r="D222" s="9" t="n">
        <x:f>SQRT((Inputs!$C$52+B222)^2+Inputs!$C$52^2-2*(Inputs!$C$52+B222)*Inputs!$C$52*COS(SQRT(A222^2+Inputs!$C$6^2)/Inputs!$C$52))</x:f>
        <x:v>407.628447213063</x:v>
      </x:c>
      <x:c r="E222" s="9" t="n">
        <x:f>(D222-C222)*1000</x:f>
        <x:v>4850.669435285226</x:v>
      </x:c>
      <x:c r="F222" s="9" t="n">
        <x:f>E222/Inputs!$C$12</x:f>
        <x:v>2725.0951883624866</x:v>
      </x:c>
      <x:c r="G222" s="9" t="n">
        <x:f>2*E222/Inputs!$C$21*1000000</x:f>
        <x:v>32.36018322572495</x:v>
      </x:c>
      <x:c r="H222" s="9" t="n">
        <x:f>SQRT(A222^2+Inputs!$C$6^2)</x:f>
        <x:v>55.90169943749474</x:v>
      </x:c>
      <x:c r="I222" s="9" t="n">
        <x:f>DEGREES(ATAN(H222/B222))</x:f>
        <x:v>7.901627897264307</x:v>
      </x:c>
      <x:c r="J222" s="9" t="n">
        <x:f>DEGREES((2*PI()/Inputs!$C$13)*Inputs!$C$15*SIN(RADIANS(I222)))</x:f>
        <x:v>49.490167860754674</x:v>
      </x:c>
      <x:c r="K222" s="9" t="n">
        <x:f>(C222/D222)^4</x:f>
        <x:v>0.9532439721064818</x:v>
      </x:c>
      <x:c r="L222" s="9" t="n">
        <x:f>10*LOG10(K222)</x:f>
        <x:v>-0.20795932331941502</x:v>
      </x:c>
      <x:c r="M222" s="9" t="n">
        <x:f>2*(Inputs!$C$9/(Inputs!$C$10^2))*A222</x:f>
        <x:v>0.1111111111111111</x:v>
      </x:c>
      <x:c r="N222" s="9" t="n">
        <x:f>M222*Inputs!$C$11</x:f>
        <x:v>0.4444444444444444</x:v>
      </x:c>
      <x:c r="O222" s="9" t="n">
        <x:f>1000*(D223-D221)/(A223-A221)*Inputs!$C$11</x:f>
        <x:v>1057.371378303742</x:v>
      </x:c>
      <x:c r="P222" s="9" t="n">
        <x:f>-2*O222/Inputs!$C$13</x:f>
        <x:v>-422.9485513214968</x:v>
      </x:c>
      <x:c r="Q222" s="9" t="n">
        <x:f>-2*O222/Inputs!$C$14</x:f>
        <x:v>-63.50578848671123</x:v>
      </x:c>
      <x:c r="R222" s="9" t="n">
        <x:f>F222-Inputs!$C$16/2</x:f>
        <x:v>2710.0951883624866</x:v>
      </x:c>
      <x:c r="S222" s="9" t="n">
        <x:f>F222+Inputs!$C$16/2</x:f>
        <x:v>2740.0951883624866</x:v>
      </x:c>
      <x:c r="T222" s="9" t="n">
        <x:f>F222-Inputs!$C$17/2</x:f>
        <x:v>2575.0951883624866</x:v>
      </x:c>
      <x:c r="U222" s="9" t="n">
        <x:f>F222+Inputs!$C$17/2</x:f>
        <x:v>2875.0951883624866</x:v>
      </x:c>
      <x:c r="V222" s="9" t="n">
        <x:f>ABS(P222)</x:f>
        <x:v>422.9485513214968</x:v>
      </x:c>
      <x:c r="W222" s="9" t="n">
        <x:f>ABS(Q222)</x:f>
        <x:v>63.50578848671123</x:v>
      </x:c>
      <x:c r="X222" s="9"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x:f>
        <x:v>8.17258837755962</x:v>
      </x:c>
      <x:c r="Y222" s="9"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x:f>
        <x:v>115.23525161719914</x:v>
      </x:c>
      <x:c r="Z222" s="9" t="n">
        <x:f>B222-X222/1000</x:f>
        <x:v>402.76960518940024</x:v>
      </x:c>
      <x:c r="AA222" s="9" t="n">
        <x:f>SQRT((Inputs!$C$52+B222)^2+(Inputs!$C$52+Y222/1000)^2-2*(Inputs!$C$52+B222)*(Inputs!$C$52+Y222/1000)*COS(SQRT(A222^2+Inputs!$C$6^2)/Inputs!$C$52))</x:f>
        <x:v>407.5149397132863</x:v>
      </x:c>
      <x:c r="AB222" s="9" t="n">
        <x:f>(AA222-Z222)*1000</x:f>
        <x:v>4745.334523886072</x:v>
      </x:c>
      <x:c r="AC222" s="9" t="n">
        <x:f>AB222/Inputs!$C$12</x:f>
        <x:v>2665.918271846108</x:v>
      </x:c>
      <x:c r="AD222" s="9" t="n">
        <x:f>2*AB222/Inputs!$C$21*1000000</x:f>
        <x:v>31.65746433745222</x:v>
      </x:c>
      <x:c r="AE222" s="9" t="n">
        <x:f>DEGREES(ATAN(H222/(B222-Y222/1000)))</x:f>
        <x:v>7.903860635188158</x:v>
      </x:c>
      <x:c r="AF222" s="9" t="n">
        <x:f>DEGREES((2*PI()/Inputs!$C$13)*Inputs!$C$15*SIN(RADIANS(AE222)))</x:f>
        <x:v>49.504063334552136</x:v>
      </x:c>
      <x:c r="AG222" s="9" t="n">
        <x:f>(Z222/AA222)^4</x:f>
        <x:v>0.9542290148978625</x:v>
      </x:c>
      <x:c r="AH222" s="9" t="n">
        <x:f>10*LOG10(AG222)</x:f>
        <x:v>-0.20347382140480302</x:v>
      </x:c>
      <x:c r="AI222" s="9" t="n">
        <x:f>AC222-F222</x:f>
        <x:v>-59.1769165163787</x:v>
      </x:c>
      <x:c r="AJ222" s="9" t="n">
        <x:f>AD222-G222</x:f>
        <x:v>-0.7027188882727309</x:v>
      </x:c>
      <x:c r="AK222" s="9" t="n">
        <x:f>Y222-X222</x:f>
        <x:v>107.06266323963952</x:v>
      </x:c>
      <x:c r="AL222" s="9" t="n">
        <x:f>1000*(AA223-AA221)/(A223-A221)*Inputs!$C$11</x:f>
        <x:v>974.2068138866671</x:v>
      </x:c>
      <x:c r="AM222" s="9" t="n">
        <x:f>-2*AL222/Inputs!$C$13</x:f>
        <x:v>-389.68272555466683</x:v>
      </x:c>
      <x:c r="AN222" s="9" t="n">
        <x:f>-2*AL222/Inputs!$C$14</x:f>
        <x:v>-58.51091975295298</x:v>
      </x:c>
      <x:c r="AO222" s="9" t="n">
        <x:f>ABS(AM222)</x:f>
        <x:v>389.68272555466683</x:v>
      </x:c>
      <x:c r="AP222" s="9" t="n">
        <x:f>ABS(AN222)</x:f>
        <x:v>58.51091975295298</x:v>
      </x:c>
      <x:c r="AQ222" s="9" t="n">
        <x:f>IF(OR(Inputs!$C$27=TRUE,Inputs!$C$27="TRUE",Inputs!$C$27=1),Inputs!$C$46/Inputs!$C$12,0)</x:f>
        <x:v>42.13483146067416</x:v>
      </x:c>
      <x:c r="AR222" s="9" t="n">
        <x:f>AC222-AQ222</x:f>
        <x:v>2623.7834403854336</x:v>
      </x:c>
      <x:c r="AS222" s="9" t="n">
        <x:f>AC222+AQ222</x:f>
        <x:v>2708.0531033067823</x:v>
      </x:c>
    </x:row>
    <x:row r="223">
      <x:c r="A223" s="9" t="n">
        <x:f>Inputs!$C$7+221*(Inputs!$C$8-Inputs!$C$7)/240</x:f>
        <x:v>50.5</x:v>
      </x:c>
      <x:c r="B223" s="9" t="n">
        <x:f>Inputs!$C$5+Inputs!$C$9*(A223/Inputs!$C$10)^2</x:f>
        <x:v>402.8336111111111</x:v>
      </x:c>
      <x:c r="C223" s="9" t="n">
        <x:f>B223</x:f>
        <x:v>402.8336111111111</x:v>
      </x:c>
      <x:c r="D223" s="9" t="n">
        <x:f>SQRT((Inputs!$C$52+B223)^2+Inputs!$C$52^2-2*(Inputs!$C$52+B223)*Inputs!$C$52*COS(SQRT(A223^2+Inputs!$C$6^2)/Inputs!$C$52))</x:f>
        <x:v>407.7612639013181</x:v>
      </x:c>
      <x:c r="E223" s="9" t="n">
        <x:f>(D223-C223)*1000</x:f>
        <x:v>4927.652790206992</x:v>
      </x:c>
      <x:c r="F223" s="9" t="n">
        <x:f>E223/Inputs!$C$12</x:f>
        <x:v>2768.3442641612314</x:v>
      </x:c>
      <x:c r="G223" s="9" t="n">
        <x:f>2*E223/Inputs!$C$21*1000000</x:f>
        <x:v>32.873760888320895</x:v>
      </x:c>
      <x:c r="H223" s="9" t="n">
        <x:f>SQRT(A223^2+Inputs!$C$6^2)</x:f>
        <x:v>56.349356695529366</x:v>
      </x:c>
      <x:c r="I223" s="9" t="n">
        <x:f>DEGREES(ATAN(H223/B223))</x:f>
        <x:v>7.9630052297803156</x:v>
      </x:c>
      <x:c r="J223" s="9" t="n">
        <x:f>DEGREES((2*PI()/Inputs!$C$13)*Inputs!$C$15*SIN(RADIANS(I223)))</x:f>
        <x:v>49.87212305974802</x:v>
      </x:c>
      <x:c r="K223" s="9" t="n">
        <x:f>(C223/D223)^4</x:f>
        <x:v>0.9525305886301312</x:v>
      </x:c>
      <x:c r="L223" s="9" t="n">
        <x:f>10*LOG10(K223)</x:f>
        <x:v>-0.211210689227154</x:v>
      </x:c>
      <x:c r="M223" s="9" t="n">
        <x:f>2*(Inputs!$C$9/(Inputs!$C$10^2))*A223</x:f>
        <x:v>0.11222222222222222</x:v>
      </x:c>
      <x:c r="N223" s="9" t="n">
        <x:f>M223*Inputs!$C$11</x:f>
        <x:v>0.4488888888888889</x:v>
      </x:c>
      <x:c r="O223" s="9" t="n">
        <x:f>1000*(D224-D222)/(A224-A222)*Inputs!$C$11</x:f>
        <x:v>1067.691997902557</x:v>
      </x:c>
      <x:c r="P223" s="9" t="n">
        <x:f>-2*O223/Inputs!$C$13</x:f>
        <x:v>-427.0767991610228</x:v>
      </x:c>
      <x:c r="Q223" s="9" t="n">
        <x:f>-2*O223/Inputs!$C$14</x:f>
        <x:v>-64.1256455196731</x:v>
      </x:c>
      <x:c r="R223" s="9" t="n">
        <x:f>F223-Inputs!$C$16/2</x:f>
        <x:v>2753.3442641612314</x:v>
      </x:c>
      <x:c r="S223" s="9" t="n">
        <x:f>F223+Inputs!$C$16/2</x:f>
        <x:v>2783.3442641612314</x:v>
      </x:c>
      <x:c r="T223" s="9" t="n">
        <x:f>F223-Inputs!$C$17/2</x:f>
        <x:v>2618.3442641612314</x:v>
      </x:c>
      <x:c r="U223" s="9" t="n">
        <x:f>F223+Inputs!$C$17/2</x:f>
        <x:v>2918.3442641612314</x:v>
      </x:c>
      <x:c r="V223" s="9" t="n">
        <x:f>ABS(P223)</x:f>
        <x:v>427.0767991610228</x:v>
      </x:c>
      <x:c r="W223" s="9" t="n">
        <x:f>ABS(Q223)</x:f>
        <x:v>64.1256455196731</x:v>
      </x:c>
      <x:c r="X223" s="9"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x:f>
        <x:v>7.175411887622014</x:v>
      </x:c>
      <x:c r="Y223" s="9"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x:f>
        <x:v>136.98620076238512</x:v>
      </x:c>
      <x:c r="Z223" s="9" t="n">
        <x:f>B223-X223/1000</x:f>
        <x:v>402.8264356992235</x:v>
      </x:c>
      <x:c r="AA223" s="9" t="n">
        <x:f>SQRT((Inputs!$C$52+B223)^2+(Inputs!$C$52+Y223/1000)^2-2*(Inputs!$C$52+B223)*(Inputs!$C$52+Y223/1000)*COS(SQRT(A223^2+Inputs!$C$6^2)/Inputs!$C$52))</x:f>
        <x:v>407.62636369692194</x:v>
      </x:c>
      <x:c r="AB223" s="9" t="n">
        <x:f>(AA223-Z223)*1000</x:f>
        <x:v>4799.927997698433</x:v>
      </x:c>
      <x:c r="AC223" s="9" t="n">
        <x:f>AB223/Inputs!$C$12</x:f>
        <x:v>2696.5887627519282</x:v>
      </x:c>
      <x:c r="AD223" s="9" t="n">
        <x:f>2*AB223/Inputs!$C$21*1000000</x:f>
        <x:v>32.02167279137111</x:v>
      </x:c>
      <x:c r="AE223" s="9" t="n">
        <x:f>DEGREES(ATAN(H223/(B223-Y223/1000)))</x:f>
        <x:v>7.965679258557915</x:v>
      </x:c>
      <x:c r="AF223" s="9" t="n">
        <x:f>DEGREES((2*PI()/Inputs!$C$13)*Inputs!$C$15*SIN(RADIANS(AE223)))</x:f>
        <x:v>49.88876241983588</x:v>
      </x:c>
      <x:c r="AG223" s="9" t="n">
        <x:f>(Z223/AA223)^4</x:f>
        <x:v>0.9537241844455595</x:v>
      </x:c>
      <x:c r="AH223" s="9" t="n">
        <x:f>10*LOG10(AG223)</x:f>
        <x:v>-0.205772044284942</x:v>
      </x:c>
      <x:c r="AI223" s="9" t="n">
        <x:f>AC223-F223</x:f>
        <x:v>-71.75550140930318</x:v>
      </x:c>
      <x:c r="AJ223" s="9" t="n">
        <x:f>AD223-G223</x:f>
        <x:v>-0.8520880969497853</x:v>
      </x:c>
      <x:c r="AK223" s="9" t="n">
        <x:f>Y223-X223</x:f>
        <x:v>129.81078887476312</x:v>
      </x:c>
      <x:c r="AL223" s="9" t="n">
        <x:f>1000*(AA224-AA222)/(A224-A222)*Inputs!$C$11</x:f>
        <x:v>981.8696016061494</x:v>
      </x:c>
      <x:c r="AM223" s="9" t="n">
        <x:f>-2*AL223/Inputs!$C$13</x:f>
        <x:v>-392.7478406424598</x:v>
      </x:c>
      <x:c r="AN223" s="9" t="n">
        <x:f>-2*AL223/Inputs!$C$14</x:f>
        <x:v>-58.971147243612585</x:v>
      </x:c>
      <x:c r="AO223" s="9" t="n">
        <x:f>ABS(AM223)</x:f>
        <x:v>392.7478406424598</x:v>
      </x:c>
      <x:c r="AP223" s="9" t="n">
        <x:f>ABS(AN223)</x:f>
        <x:v>58.971147243612585</x:v>
      </x:c>
      <x:c r="AQ223" s="9" t="n">
        <x:f>IF(OR(Inputs!$C$27=TRUE,Inputs!$C$27="TRUE",Inputs!$C$27=1),Inputs!$C$46/Inputs!$C$12,0)</x:f>
        <x:v>42.13483146067416</x:v>
      </x:c>
      <x:c r="AR223" s="9" t="n">
        <x:f>AC223-AQ223</x:f>
        <x:v>2654.453931291254</x:v>
      </x:c>
      <x:c r="AS223" s="9" t="n">
        <x:f>AC223+AQ223</x:f>
        <x:v>2738.7235942126026</x:v>
      </x:c>
    </x:row>
    <x:row r="224">
      <x:c r="A224" s="9" t="n">
        <x:f>Inputs!$C$7+222*(Inputs!$C$8-Inputs!$C$7)/240</x:f>
        <x:v>51</x:v>
      </x:c>
      <x:c r="B224" s="9" t="n">
        <x:f>Inputs!$C$5+Inputs!$C$9*(A224/Inputs!$C$10)^2</x:f>
        <x:v>402.89</x:v>
      </x:c>
      <x:c r="C224" s="9" t="n">
        <x:f>B224</x:f>
        <x:v>402.89</x:v>
      </x:c>
      <x:c r="D224" s="9" t="n">
        <x:f>SQRT((Inputs!$C$52+B224)^2+Inputs!$C$52^2-2*(Inputs!$C$52+B224)*Inputs!$C$52*COS(SQRT(A224^2+Inputs!$C$6^2)/Inputs!$C$52))</x:f>
        <x:v>407.89537021253864</x:v>
      </x:c>
      <x:c r="E224" s="9" t="n">
        <x:f>(D224-C224)*1000</x:f>
        <x:v>5005.370212538651</x:v>
      </x:c>
      <x:c r="F224" s="9" t="n">
        <x:f>E224/Inputs!$C$12</x:f>
        <x:v>2812.005737381264</x:v>
      </x:c>
      <x:c r="G224" s="9" t="n">
        <x:f>2*E224/Inputs!$C$21*1000000</x:f>
        <x:v>33.39223572154474</x:v>
      </x:c>
      <x:c r="H224" s="9" t="n">
        <x:f>SQRT(A224^2+Inputs!$C$6^2)</x:f>
        <x:v>56.79788728465171</x:v>
      </x:c>
      <x:c r="I224" s="9" t="n">
        <x:f>DEGREES(ATAN(H224/B224))</x:f>
        <x:v>8.024458026468219</x:v>
      </x:c>
      <x:c r="J224" s="9" t="n">
        <x:f>DEGREES((2*PI()/Inputs!$C$13)*Inputs!$C$15*SIN(RADIANS(I224)))</x:f>
        <x:v>50.25449054086581</x:v>
      </x:c>
      <x:c r="K224" s="9" t="n">
        <x:f>(C224/D224)^4</x:f>
        <x:v>0.9518112825121221</x:v>
      </x:c>
      <x:c r="L224" s="9" t="n">
        <x:f>10*LOG10(K224)</x:f>
        <x:v>-0.214491514980564</x:v>
      </x:c>
      <x:c r="M224" s="9" t="n">
        <x:f>2*(Inputs!$C$9/(Inputs!$C$10^2))*A224</x:f>
        <x:v>0.11333333333333333</x:v>
      </x:c>
      <x:c r="N224" s="9" t="n">
        <x:f>M224*Inputs!$C$11</x:f>
        <x:v>0.4533333333333333</x:v>
      </x:c>
      <x:c r="O224" s="9" t="n">
        <x:f>1000*(D225-D223)/(A225-A223)*Inputs!$C$11</x:f>
        <x:v>1078.0053156152007</x:v>
      </x:c>
      <x:c r="P224" s="9" t="n">
        <x:f>-2*O224/Inputs!$C$13</x:f>
        <x:v>-431.2021262460803</x:v>
      </x:c>
      <x:c r="Q224" s="9" t="n">
        <x:f>-2*O224/Inputs!$C$14</x:f>
        <x:v>-64.74506400091296</x:v>
      </x:c>
      <x:c r="R224" s="9" t="n">
        <x:f>F224-Inputs!$C$16/2</x:f>
        <x:v>2797.005737381264</x:v>
      </x:c>
      <x:c r="S224" s="9" t="n">
        <x:f>F224+Inputs!$C$16/2</x:f>
        <x:v>2827.005737381264</x:v>
      </x:c>
      <x:c r="T224" s="9" t="n">
        <x:f>F224-Inputs!$C$17/2</x:f>
        <x:v>2662.005737381264</x:v>
      </x:c>
      <x:c r="U224" s="9" t="n">
        <x:f>F224+Inputs!$C$17/2</x:f>
        <x:v>2962.005737381264</x:v>
      </x:c>
      <x:c r="V224" s="9" t="n">
        <x:f>ABS(P224)</x:f>
        <x:v>431.2021262460803</x:v>
      </x:c>
      <x:c r="W224" s="9" t="n">
        <x:f>ABS(Q224)</x:f>
        <x:v>64.74506400091296</x:v>
      </x:c>
      <x:c r="X224" s="9"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x:f>
        <x:v>11.525237738664625</x:v>
      </x:c>
      <x:c r="Y224" s="9"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x:f>
        <x:v>137.08289632779307</x:v>
      </x:c>
      <x:c r="Z224" s="9" t="n">
        <x:f>B224-X224/1000</x:f>
        <x:v>402.8784747622613</x:v>
      </x:c>
      <x:c r="AA224" s="9" t="n">
        <x:f>SQRT((Inputs!$C$52+B224)^2+(Inputs!$C$52+Y224/1000)^2-2*(Inputs!$C$52+B224)*(Inputs!$C$52+Y224/1000)*COS(SQRT(A224^2+Inputs!$C$6^2)/Inputs!$C$52))</x:f>
        <x:v>407.76040711368785</x:v>
      </x:c>
      <x:c r="AB224" s="9" t="n">
        <x:f>(AA224-Z224)*1000</x:f>
        <x:v>4881.932351426542</x:v>
      </x:c>
      <x:c r="AC224" s="9" t="n">
        <x:f>AB224/Inputs!$C$12</x:f>
        <x:v>2742.6586243969336</x:v>
      </x:c>
      <x:c r="AD224" s="9" t="n">
        <x:f>2*AB224/Inputs!$C$21*1000000</x:f>
        <x:v>32.568746952443625</x:v>
      </x:c>
      <x:c r="AE224" s="9" t="n">
        <x:f>DEGREES(ATAN(H224/(B224-Y224/1000)))</x:f>
        <x:v>8.027153675721486</x:v>
      </x:c>
      <x:c r="AF224" s="9" t="n">
        <x:f>DEGREES((2*PI()/Inputs!$C$13)*Inputs!$C$15*SIN(RADIANS(AE224)))</x:f>
        <x:v>50.271261908976534</x:v>
      </x:c>
      <x:c r="AG224" s="9" t="n">
        <x:f>(Z224/AA224)^4</x:f>
        <x:v>0.9529630029641669</x:v>
      </x:c>
      <x:c r="AH224" s="9" t="n">
        <x:f>10*LOG10(AG224)</x:f>
        <x:v>-0.209239597188643</x:v>
      </x:c>
      <x:c r="AI224" s="9" t="n">
        <x:f>AC224-F224</x:f>
        <x:v>-69.34711298433058</x:v>
      </x:c>
      <x:c r="AJ224" s="9" t="n">
        <x:f>AD224-G224</x:f>
        <x:v>-0.8234887691011181</x:v>
      </x:c>
      <x:c r="AK224" s="9" t="n">
        <x:f>Y224-X224</x:f>
        <x:v>125.55765858912844</x:v>
      </x:c>
      <x:c r="AL224" s="9" t="n">
        <x:f>1000*(AA225-AA223)/(A225-A223)*Inputs!$C$11</x:f>
        <x:v>989.1584415254329</x:v>
      </x:c>
      <x:c r="AM224" s="9" t="n">
        <x:f>-2*AL224/Inputs!$C$13</x:f>
        <x:v>-395.66337661017315</x:v>
      </x:c>
      <x:c r="AN224" s="9" t="n">
        <x:f>-2*AL224/Inputs!$C$14</x:f>
        <x:v>-59.40891540693291</x:v>
      </x:c>
      <x:c r="AO224" s="9" t="n">
        <x:f>ABS(AM224)</x:f>
        <x:v>395.66337661017315</x:v>
      </x:c>
      <x:c r="AP224" s="9" t="n">
        <x:f>ABS(AN224)</x:f>
        <x:v>59.40891540693291</x:v>
      </x:c>
      <x:c r="AQ224" s="9" t="n">
        <x:f>IF(OR(Inputs!$C$27=TRUE,Inputs!$C$27="TRUE",Inputs!$C$27=1),Inputs!$C$46/Inputs!$C$12,0)</x:f>
        <x:v>42.13483146067416</x:v>
      </x:c>
      <x:c r="AR224" s="9" t="n">
        <x:f>AC224-AQ224</x:f>
        <x:v>2700.5237929362593</x:v>
      </x:c>
      <x:c r="AS224" s="9" t="n">
        <x:f>AC224+AQ224</x:f>
        <x:v>2784.793455857608</x:v>
      </x:c>
    </x:row>
    <x:row r="225">
      <x:c r="A225" s="9" t="n">
        <x:f>Inputs!$C$7+223*(Inputs!$C$8-Inputs!$C$7)/240</x:f>
        <x:v>51.5</x:v>
      </x:c>
      <x:c r="B225" s="9" t="n">
        <x:f>Inputs!$C$5+Inputs!$C$9*(A225/Inputs!$C$10)^2</x:f>
        <x:v>402.94694444444445</x:v>
      </x:c>
      <x:c r="C225" s="9" t="n">
        <x:f>B225</x:f>
        <x:v>402.94694444444445</x:v>
      </x:c>
      <x:c r="D225" s="9" t="n">
        <x:f>SQRT((Inputs!$C$52+B225)^2+Inputs!$C$52^2-2*(Inputs!$C$52+B225)*Inputs!$C$52*COS(SQRT(A225^2+Inputs!$C$6^2)/Inputs!$C$52))</x:f>
        <x:v>408.0307652302219</x:v>
      </x:c>
      <x:c r="E225" s="9" t="n">
        <x:f>(D225-C225)*1000</x:f>
        <x:v>5083.820785777448</x:v>
      </x:c>
      <x:c r="F225" s="9" t="n">
        <x:f>E225/Inputs!$C$12</x:f>
        <x:v>2856.0790931333977</x:v>
      </x:c>
      <x:c r="G225" s="9" t="n">
        <x:f>2*E225/Inputs!$C$21*1000000</x:f>
        <x:v>33.91560161114826</x:v>
      </x:c>
      <x:c r="H225" s="9" t="n">
        <x:f>SQRT(A225^2+Inputs!$C$6^2)</x:f>
        <x:v>57.24727067729954</x:v>
      </x:c>
      <x:c r="I225" s="9" t="n">
        <x:f>DEGREES(ATAN(H225/B225))</x:f>
        <x:v>8.085982914919201</x:v>
      </x:c>
      <x:c r="J225" s="9" t="n">
        <x:f>DEGREES((2*PI()/Inputs!$C$13)*Inputs!$C$15*SIN(RADIANS(I225)))</x:f>
        <x:v>50.63724867326966</x:v>
      </x:c>
      <x:c r="K225" s="9" t="n">
        <x:f>(C225/D225)^4</x:f>
        <x:v>0.9510860859398544</x:v>
      </x:c>
      <x:c r="L225" s="9" t="n">
        <x:f>10*LOG10(K225)</x:f>
        <x:v>-0.21780171856905</x:v>
      </x:c>
      <x:c r="M225" s="9" t="n">
        <x:f>2*(Inputs!$C$9/(Inputs!$C$10^2))*A225</x:f>
        <x:v>0.11444444444444445</x:v>
      </x:c>
      <x:c r="N225" s="9" t="n">
        <x:f>M225*Inputs!$C$11</x:f>
        <x:v>0.4577777777777778</x:v>
      </x:c>
      <x:c r="O225" s="9" t="n">
        <x:f>1000*(D226-D224)/(A226-A224)*Inputs!$C$11</x:f>
        <x:v>1088.3112712756429</x:v>
      </x:c>
      <x:c r="P225" s="9" t="n">
        <x:f>-2*O225/Inputs!$C$13</x:f>
        <x:v>-435.32450851025715</x:v>
      </x:c>
      <x:c r="Q225" s="9" t="n">
        <x:f>-2*O225/Inputs!$C$14</x:f>
        <x:v>-65.36404031685544</x:v>
      </x:c>
      <x:c r="R225" s="9" t="n">
        <x:f>F225-Inputs!$C$16/2</x:f>
        <x:v>2841.0790931333977</x:v>
      </x:c>
      <x:c r="S225" s="9" t="n">
        <x:f>F225+Inputs!$C$16/2</x:f>
        <x:v>2871.0790931333977</x:v>
      </x:c>
      <x:c r="T225" s="9" t="n">
        <x:f>F225-Inputs!$C$17/2</x:f>
        <x:v>2706.0790931333977</x:v>
      </x:c>
      <x:c r="U225" s="9" t="n">
        <x:f>F225+Inputs!$C$17/2</x:f>
        <x:v>3006.0790931333977</x:v>
      </x:c>
      <x:c r="V225" s="9" t="n">
        <x:f>ABS(P225)</x:f>
        <x:v>435.32450851025715</x:v>
      </x:c>
      <x:c r="W225" s="9" t="n">
        <x:f>ABS(Q225)</x:f>
        <x:v>65.36404031685544</x:v>
      </x:c>
      <x:c r="X225" s="9"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x:f>
        <x:v>-4.550946531934956</x:v>
      </x:c>
      <x:c r="Y225" s="9"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x:f>
        <x:v>159.61831316527434</x:v>
      </x:c>
      <x:c r="Z225" s="9" t="n">
        <x:f>B225-X225/1000</x:f>
        <x:v>402.9514953909764</x:v>
      </x:c>
      <x:c r="AA225" s="9" t="n">
        <x:f>SQRT((Inputs!$C$52+B225)^2+(Inputs!$C$52+Y225/1000)^2-2*(Inputs!$C$52+B225)*(Inputs!$C$52+Y225/1000)*COS(SQRT(A225^2+Inputs!$C$6^2)/Inputs!$C$52))</x:f>
        <x:v>407.8736533073033</x:v>
      </x:c>
      <x:c r="AB225" s="9" t="n">
        <x:f>(AA225-Z225)*1000</x:f>
        <x:v>4922.15791632691</x:v>
      </x:c>
      <x:c r="AC225" s="9" t="n">
        <x:f>AB225/Inputs!$C$12</x:f>
        <x:v>2765.2572563634326</x:v>
      </x:c>
      <x:c r="AD225" s="9" t="n">
        <x:f>2*AB225/Inputs!$C$21*1000000</x:f>
        <x:v>32.83710303564014</x:v>
      </x:c>
      <x:c r="AE225" s="9" t="n">
        <x:f>DEGREES(ATAN(H225/(B225-Y225/1000)))</x:f>
        <x:v>8.089144860765073</x:v>
      </x:c>
      <x:c r="AF225" s="9" t="n">
        <x:f>DEGREES((2*PI()/Inputs!$C$13)*Inputs!$C$15*SIN(RADIANS(AE225)))</x:f>
        <x:v>50.656918171168584</x:v>
      </x:c>
      <x:c r="AG225" s="9" t="n">
        <x:f>(Z225/AA225)^4</x:f>
        <x:v>0.9525953907471376</x:v>
      </x:c>
      <x:c r="AH225" s="9" t="n">
        <x:f>10*LOG10(AG225)</x:f>
        <x:v>-0.210915242079332</x:v>
      </x:c>
      <x:c r="AI225" s="9" t="n">
        <x:f>AC225-F225</x:f>
        <x:v>-90.8218367699651</x:v>
      </x:c>
      <x:c r="AJ225" s="9" t="n">
        <x:f>AD225-G225</x:f>
        <x:v>-1.078498575508121</x:v>
      </x:c>
      <x:c r="AK225" s="9" t="n">
        <x:f>Y225-X225</x:f>
        <x:v>164.1692596972093</x:v>
      </x:c>
      <x:c r="AL225" s="9" t="n">
        <x:f>1000*(AA226-AA224)/(A226-A224)*Inputs!$C$11</x:f>
        <x:v>970.8404617647375</x:v>
      </x:c>
      <x:c r="AM225" s="9" t="n">
        <x:f>-2*AL225/Inputs!$C$13</x:f>
        <x:v>-388.336184705895</x:v>
      </x:c>
      <x:c r="AN225" s="9" t="n">
        <x:f>-2*AL225/Inputs!$C$14</x:f>
        <x:v>-58.308736442326584</x:v>
      </x:c>
      <x:c r="AO225" s="9" t="n">
        <x:f>ABS(AM225)</x:f>
        <x:v>388.336184705895</x:v>
      </x:c>
      <x:c r="AP225" s="9" t="n">
        <x:f>ABS(AN225)</x:f>
        <x:v>58.308736442326584</x:v>
      </x:c>
      <x:c r="AQ225" s="9" t="n">
        <x:f>IF(OR(Inputs!$C$27=TRUE,Inputs!$C$27="TRUE",Inputs!$C$27=1),Inputs!$C$46/Inputs!$C$12,0)</x:f>
        <x:v>42.13483146067416</x:v>
      </x:c>
      <x:c r="AR225" s="9" t="n">
        <x:f>AC225-AQ225</x:f>
        <x:v>2723.122424902758</x:v>
      </x:c>
      <x:c r="AS225" s="9" t="n">
        <x:f>AC225+AQ225</x:f>
        <x:v>2807.392087824107</x:v>
      </x:c>
    </x:row>
    <x:row r="226">
      <x:c r="A226" s="9" t="n">
        <x:f>Inputs!$C$7+224*(Inputs!$C$8-Inputs!$C$7)/240</x:f>
        <x:v>52</x:v>
      </x:c>
      <x:c r="B226" s="9" t="n">
        <x:f>Inputs!$C$5+Inputs!$C$9*(A226/Inputs!$C$10)^2</x:f>
        <x:v>403.00444444444446</x:v>
      </x:c>
      <x:c r="C226" s="9" t="n">
        <x:f>B226</x:f>
        <x:v>403.00444444444446</x:v>
      </x:c>
      <x:c r="D226" s="9" t="n">
        <x:f>SQRT((Inputs!$C$52+B226)^2+Inputs!$C$52^2-2*(Inputs!$C$52+B226)*Inputs!$C$52*COS(SQRT(A226^2+Inputs!$C$6^2)/Inputs!$C$52))</x:f>
        <x:v>408.16744803035755</x:v>
      </x:c>
      <x:c r="E226" s="9" t="n">
        <x:f>(D226-C226)*1000</x:f>
        <x:v>5163.0035859130885</x:v>
      </x:c>
      <x:c r="F226" s="9" t="n">
        <x:f>E226/Inputs!$C$12</x:f>
        <x:v>2900.5638123107237</x:v>
      </x:c>
      <x:c r="G226" s="9" t="n">
        <x:f>2*E226/Inputs!$C$21*1000000</x:f>
        <x:v>34.44385239279828</x:v>
      </x:c>
      <x:c r="H226" s="9" t="n">
        <x:f>SQRT(A226^2+Inputs!$C$6^2)</x:f>
        <x:v>57.697486947006624</x:v>
      </x:c>
      <x:c r="I226" s="9" t="n">
        <x:f>DEGREES(ATAN(H226/B226))</x:f>
        <x:v>8.147576610261819</x:v>
      </x:c>
      <x:c r="J226" s="9" t="n">
        <x:f>DEGREES((2*PI()/Inputs!$C$13)*Inputs!$C$15*SIN(RADIANS(I226)))</x:f>
        <x:v>51.02037638000933</x:v>
      </x:c>
      <x:c r="K226" s="9" t="n">
        <x:f>(C226/D226)^4</x:f>
        <x:v>0.950355031291467</x:v>
      </x:c>
      <x:c r="L226" s="9" t="n">
        <x:f>10*LOG10(K226)</x:f>
        <x:v>-0.221141217357954</x:v>
      </x:c>
      <x:c r="M226" s="9" t="n">
        <x:f>2*(Inputs!$C$9/(Inputs!$C$10^2))*A226</x:f>
        <x:v>0.11555555555555555</x:v>
      </x:c>
      <x:c r="N226" s="9" t="n">
        <x:f>M226*Inputs!$C$11</x:f>
        <x:v>0.4622222222222222</x:v>
      </x:c>
      <x:c r="O226" s="9" t="n">
        <x:f>1000*(D227-D225)/(A227-A225)*Inputs!$C$11</x:f>
        <x:v>1098.6098050404962</x:v>
      </x:c>
      <x:c r="P226" s="9" t="n">
        <x:f>-2*O226/Inputs!$C$13</x:f>
        <x:v>-439.4439220161985</x:v>
      </x:c>
      <x:c r="Q226" s="9" t="n">
        <x:f>-2*O226/Inputs!$C$14</x:f>
        <x:v>-65.98257087330308</x:v>
      </x:c>
      <x:c r="R226" s="9" t="n">
        <x:f>F226-Inputs!$C$16/2</x:f>
        <x:v>2885.5638123107237</x:v>
      </x:c>
      <x:c r="S226" s="9" t="n">
        <x:f>F226+Inputs!$C$16/2</x:f>
        <x:v>2915.5638123107237</x:v>
      </x:c>
      <x:c r="T226" s="9" t="n">
        <x:f>F226-Inputs!$C$17/2</x:f>
        <x:v>2750.5638123107237</x:v>
      </x:c>
      <x:c r="U226" s="9" t="n">
        <x:f>F226+Inputs!$C$17/2</x:f>
        <x:v>3050.5638123107237</x:v>
      </x:c>
      <x:c r="V226" s="9" t="n">
        <x:f>ABS(P226)</x:f>
        <x:v>439.4439220161985</x:v>
      </x:c>
      <x:c r="W226" s="9" t="n">
        <x:f>ABS(Q226)</x:f>
        <x:v>65.98257087330308</x:v>
      </x:c>
      <x:c r="X226" s="9"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x:f>
        <x:v>-7.85094902162108</x:v>
      </x:c>
      <x:c r="Y226" s="9"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x:f>
        <x:v>166.9931224443313</x:v>
      </x:c>
      <x:c r="Z226" s="9" t="n">
        <x:f>B226-X226/1000</x:f>
        <x:v>403.0122953934661</x:v>
      </x:c>
      <x:c r="AA226" s="9" t="n">
        <x:f>SQRT((Inputs!$C$52+B226)^2+(Inputs!$C$52+Y226/1000)^2-2*(Inputs!$C$52+B226)*(Inputs!$C$52+Y226/1000)*COS(SQRT(A226^2+Inputs!$C$6^2)/Inputs!$C$52))</x:f>
        <x:v>408.00311722912903</x:v>
      </x:c>
      <x:c r="AB226" s="9" t="n">
        <x:f>(AA226-Z226)*1000</x:f>
        <x:v>4990.821835662928</x:v>
      </x:c>
      <x:c r="AC226" s="9" t="n">
        <x:f>AB226/Inputs!$C$12</x:f>
        <x:v>2803.832491945465</x:v>
      </x:c>
      <x:c r="AD226" s="9" t="n">
        <x:f>2*AB226/Inputs!$C$21*1000000</x:f>
        <x:v>33.29517939816169</x:v>
      </x:c>
      <x:c r="AE226" s="9" t="n">
        <x:f>DEGREES(ATAN(H226/(B226-Y226/1000)))</x:f>
        <x:v>8.1509087485299</x:v>
      </x:c>
      <x:c r="AF226" s="9" t="n">
        <x:f>DEGREES((2*PI()/Inputs!$C$13)*Inputs!$C$15*SIN(RADIANS(AE226)))</x:f>
        <x:v>51.0411014101024</x:v>
      </x:c>
      <x:c r="AG226" s="9" t="n">
        <x:f>(Z226/AA226)^4</x:f>
        <x:v>0.9519612260113659</x:v>
      </x:c>
      <x:c r="AH226" s="9" t="n">
        <x:f>10*LOG10(AG226)</x:f>
        <x:v>-0.21380740346869</x:v>
      </x:c>
      <x:c r="AI226" s="9" t="n">
        <x:f>AC226-F226</x:f>
        <x:v>-96.73132036525885</x:v>
      </x:c>
      <x:c r="AJ226" s="9" t="n">
        <x:f>AD226-G226</x:f>
        <x:v>-1.1486729946365841</x:v>
      </x:c>
      <x:c r="AK226" s="9" t="n">
        <x:f>Y226-X226</x:f>
        <x:v>174.8440714659524</x:v>
      </x:c>
      <x:c r="AL226" s="9" t="n">
        <x:f>1000*(AA227-AA225)/(A227-A225)*Inputs!$C$11</x:f>
        <x:v>1081.405382576122</x:v>
      </x:c>
      <x:c r="AM226" s="9" t="n">
        <x:f>-2*AL226/Inputs!$C$13</x:f>
        <x:v>-432.5621530304488</x:v>
      </x:c>
      <x:c r="AN226" s="9" t="n">
        <x:f>-2*AL226/Inputs!$C$14</x:f>
        <x:v>-64.94927222679412</x:v>
      </x:c>
      <x:c r="AO226" s="9" t="n">
        <x:f>ABS(AM226)</x:f>
        <x:v>432.5621530304488</x:v>
      </x:c>
      <x:c r="AP226" s="9" t="n">
        <x:f>ABS(AN226)</x:f>
        <x:v>64.94927222679412</x:v>
      </x:c>
      <x:c r="AQ226" s="9" t="n">
        <x:f>IF(OR(Inputs!$C$27=TRUE,Inputs!$C$27="TRUE",Inputs!$C$27=1),Inputs!$C$46/Inputs!$C$12,0)</x:f>
        <x:v>42.13483146067416</x:v>
      </x:c>
      <x:c r="AR226" s="9" t="n">
        <x:f>AC226-AQ226</x:f>
        <x:v>2761.6976604847905</x:v>
      </x:c>
      <x:c r="AS226" s="9" t="n">
        <x:f>AC226+AQ226</x:f>
        <x:v>2845.9673234061393</x:v>
      </x:c>
    </x:row>
    <x:row r="227">
      <x:c r="A227" s="9" t="n">
        <x:f>Inputs!$C$7+225*(Inputs!$C$8-Inputs!$C$7)/240</x:f>
        <x:v>52.5</x:v>
      </x:c>
      <x:c r="B227" s="9" t="n">
        <x:f>Inputs!$C$5+Inputs!$C$9*(A227/Inputs!$C$10)^2</x:f>
        <x:v>403.0625</x:v>
      </x:c>
      <x:c r="C227" s="9" t="n">
        <x:f>B227</x:f>
        <x:v>403.0625</x:v>
      </x:c>
      <x:c r="D227" s="9" t="n">
        <x:f>SQRT((Inputs!$C$52+B227)^2+Inputs!$C$52^2-2*(Inputs!$C$52+B227)*Inputs!$C$52*COS(SQRT(A227^2+Inputs!$C$6^2)/Inputs!$C$52))</x:f>
        <x:v>408.305417681482</x:v>
      </x:c>
      <x:c r="E227" s="9" t="n">
        <x:f>(D227-C227)*1000</x:f>
        <x:v>5242.917681482027</x:v>
      </x:c>
      <x:c r="F227" s="9" t="n">
        <x:f>E227/Inputs!$C$12</x:f>
        <x:v>2945.459371619116</x:v>
      </x:c>
      <x:c r="G227" s="9" t="n">
        <x:f>2*E227/Inputs!$C$21*1000000</x:f>
        <x:v>34.97698185243891</x:v>
      </x:c>
      <x:c r="H227" s="9" t="n">
        <x:f>SQRT(A227^2+Inputs!$C$6^2)</x:f>
        <x:v>58.148516748065035</x:v>
      </x:c>
      <x:c r="I227" s="9" t="n">
        <x:f>DEGREES(ATAN(H227/B227))</x:f>
        <x:v>8.2092359122646</x:v>
      </x:c>
      <x:c r="J227" s="9" t="n">
        <x:f>DEGREES((2*PI()/Inputs!$C$13)*Inputs!$C$15*SIN(RADIANS(I227)))</x:f>
        <x:v>51.403853119854354</x:v>
      </x:c>
      <x:c r="K227" s="9" t="n">
        <x:f>(C227/D227)^4</x:f>
        <x:v>0.9496181511325368</x:v>
      </x:c>
      <x:c r="L227" s="9" t="n">
        <x:f>10*LOG10(K227)</x:f>
        <x:v>-0.22450992809401601</x:v>
      </x:c>
      <x:c r="M227" s="9" t="n">
        <x:f>2*(Inputs!$C$9/(Inputs!$C$10^2))*A227</x:f>
        <x:v>0.11666666666666667</x:v>
      </x:c>
      <x:c r="N227" s="9" t="n">
        <x:f>M227*Inputs!$C$11</x:f>
        <x:v>0.4666666666666667</x:v>
      </x:c>
      <x:c r="O227" s="9" t="n">
        <x:f>1000*(D228-D226)/(A228-A226)*Inputs!$C$11</x:f>
        <x:v>1108.9008574281252</x:v>
      </x:c>
      <x:c r="P227" s="9" t="n">
        <x:f>-2*O227/Inputs!$C$13</x:f>
        <x:v>-443.56034297125007</x:v>
      </x:c>
      <x:c r="Q227" s="9" t="n">
        <x:f>-2*O227/Inputs!$C$14</x:f>
        <x:v>-66.6006520977853</x:v>
      </x:c>
      <x:c r="R227" s="9" t="n">
        <x:f>F227-Inputs!$C$16/2</x:f>
        <x:v>2930.459371619116</x:v>
      </x:c>
      <x:c r="S227" s="9" t="n">
        <x:f>F227+Inputs!$C$16/2</x:f>
        <x:v>2960.459371619116</x:v>
      </x:c>
      <x:c r="T227" s="9" t="n">
        <x:f>F227-Inputs!$C$17/2</x:f>
        <x:v>2795.459371619116</x:v>
      </x:c>
      <x:c r="U227" s="9" t="n">
        <x:f>F227+Inputs!$C$17/2</x:f>
        <x:v>3095.459371619116</x:v>
      </x:c>
      <x:c r="V227" s="9" t="n">
        <x:f>ABS(P227)</x:f>
        <x:v>443.56034297125007</x:v>
      </x:c>
      <x:c r="W227" s="9" t="n">
        <x:f>ABS(Q227)</x:f>
        <x:v>66.6006520977853</x:v>
      </x:c>
      <x:c r="X227" s="9"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x:f>
        <x:v>6.588346931916092</x:v>
      </x:c>
      <x:c r="Y227" s="9"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x:f>
        <x:v>164.06842387185546</x:v>
      </x:c>
      <x:c r="Z227" s="9" t="n">
        <x:f>B227-X227/1000</x:f>
        <x:v>403.0559116530681</x:v>
      </x:c>
      <x:c r="AA227" s="9" t="n">
        <x:f>SQRT((Inputs!$C$52+B227)^2+(Inputs!$C$52+Y227/1000)^2-2*(Inputs!$C$52+B227)*(Inputs!$C$52+Y227/1000)*COS(SQRT(A227^2+Inputs!$C$6^2)/Inputs!$C$52))</x:f>
        <x:v>408.14400465294733</x:v>
      </x:c>
      <x:c r="AB227" s="9" t="n">
        <x:f>(AA227-Z227)*1000</x:f>
        <x:v>5088.092999879223</x:v>
      </x:c>
      <x:c r="AC227" s="9" t="n">
        <x:f>AB227/Inputs!$C$12</x:f>
        <x:v>2858.4792134152935</x:v>
      </x:c>
      <x:c r="AD227" s="9" t="n">
        <x:f>2*AB227/Inputs!$C$21*1000000</x:f>
        <x:v>33.94410275577528</x:v>
      </x:c>
      <x:c r="AE227" s="9" t="n">
        <x:f>DEGREES(ATAN(H227/(B227-Y227/1000)))</x:f>
        <x:v>8.212533288889754</x:v>
      </x:c>
      <x:c r="AF227" s="9" t="n">
        <x:f>DEGREES((2*PI()/Inputs!$C$13)*Inputs!$C$15*SIN(RADIANS(AE227)))</x:f>
        <x:v>51.42435877014111</x:v>
      </x:c>
      <x:c r="AG227" s="9" t="n">
        <x:f>(Z227/AA227)^4</x:f>
        <x:v>0.9510590791493846</x:v>
      </x:c>
      <x:c r="AH227" s="9" t="n">
        <x:f>10*LOG10(AG227)</x:f>
        <x:v>-0.21792504143936497</x:v>
      </x:c>
      <x:c r="AI227" s="9" t="n">
        <x:f>AC227-F227</x:f>
        <x:v>-86.98015820382261</x:v>
      </x:c>
      <x:c r="AJ227" s="9" t="n">
        <x:f>AD227-G227</x:f>
        <x:v>-1.0328790966636276</x:v>
      </x:c>
      <x:c r="AK227" s="9" t="n">
        <x:f>Y227-X227</x:f>
        <x:v>157.48007693993935</x:v>
      </x:c>
      <x:c r="AL227" s="9" t="n">
        <x:f>1000*(AA228-AA226)/(A228-A226)*Inputs!$C$11</x:f>
        <x:v>1044.1918139285917</x:v>
      </x:c>
      <x:c r="AM227" s="9" t="n">
        <x:f>-2*AL227/Inputs!$C$13</x:f>
        <x:v>-417.6767255714367</x:v>
      </x:c>
      <x:c r="AN227" s="9" t="n">
        <x:f>-2*AL227/Inputs!$C$14</x:f>
        <x:v>-62.71422305877428</x:v>
      </x:c>
      <x:c r="AO227" s="9" t="n">
        <x:f>ABS(AM227)</x:f>
        <x:v>417.6767255714367</x:v>
      </x:c>
      <x:c r="AP227" s="9" t="n">
        <x:f>ABS(AN227)</x:f>
        <x:v>62.71422305877428</x:v>
      </x:c>
      <x:c r="AQ227" s="9" t="n">
        <x:f>IF(OR(Inputs!$C$27=TRUE,Inputs!$C$27="TRUE",Inputs!$C$27=1),Inputs!$C$46/Inputs!$C$12,0)</x:f>
        <x:v>42.13483146067416</x:v>
      </x:c>
      <x:c r="AR227" s="9" t="n">
        <x:f>AC227-AQ227</x:f>
        <x:v>2816.344381954619</x:v>
      </x:c>
      <x:c r="AS227" s="9" t="n">
        <x:f>AC227+AQ227</x:f>
        <x:v>2900.614044875968</x:v>
      </x:c>
    </x:row>
    <x:row r="228">
      <x:c r="A228" s="9" t="n">
        <x:f>Inputs!$C$7+226*(Inputs!$C$8-Inputs!$C$7)/240</x:f>
        <x:v>53</x:v>
      </x:c>
      <x:c r="B228" s="9" t="n">
        <x:f>Inputs!$C$5+Inputs!$C$9*(A228/Inputs!$C$10)^2</x:f>
        <x:v>403.12111111111113</x:v>
      </x:c>
      <x:c r="C228" s="9" t="n">
        <x:f>B228</x:f>
        <x:v>403.12111111111113</x:v>
      </x:c>
      <x:c r="D228" s="9" t="n">
        <x:f>SQRT((Inputs!$C$52+B228)^2+Inputs!$C$52^2-2*(Inputs!$C$52+B228)*Inputs!$C$52*COS(SQRT(A228^2+Inputs!$C$6^2)/Inputs!$C$52))</x:f>
        <x:v>408.4446732447146</x:v>
      </x:c>
      <x:c r="E228" s="9" t="n">
        <x:f>(D228-C228)*1000</x:f>
        <x:v>5323.562133603446</x:v>
      </x:c>
      <x:c r="F228" s="9" t="n">
        <x:f>E228/Inputs!$C$12</x:f>
        <x:v>2990.7652435974414</x:v>
      </x:c>
      <x:c r="G228" s="9" t="n">
        <x:f>2*E228/Inputs!$C$21*1000000</x:f>
        <x:v>35.51498372653154</x:v>
      </x:c>
      <x:c r="H228" s="9" t="n">
        <x:f>SQRT(A228^2+Inputs!$C$6^2)</x:f>
        <x:v>58.60034129593445</x:v>
      </x:c>
      <x:c r="I228" s="9" t="n">
        <x:f>DEGREES(ATAN(H228/B228))</x:f>
        <x:v>8.27095770254524</x:v>
      </x:c>
      <x:c r="J228" s="9" t="n">
        <x:f>DEGREES((2*PI()/Inputs!$C$13)*Inputs!$C$15*SIN(RADIANS(I228)))</x:f>
        <x:v>51.78765886979433</x:v>
      </x:c>
      <x:c r="K228" s="9" t="n">
        <x:f>(C228/D228)^4</x:f>
        <x:v>0.9488754782129414</x:v>
      </x:c>
      <x:c r="L228" s="9" t="n">
        <x:f>10*LOG10(K228)</x:f>
        <x:v>-0.22790776691008</x:v>
      </x:c>
      <x:c r="M228" s="9" t="n">
        <x:f>2*(Inputs!$C$9/(Inputs!$C$10^2))*A228</x:f>
        <x:v>0.11777777777777777</x:v>
      </x:c>
      <x:c r="N228" s="9" t="n">
        <x:f>M228*Inputs!$C$11</x:f>
        <x:v>0.4711111111111111</x:v>
      </x:c>
      <x:c r="O228" s="9" t="n">
        <x:f>1000*(D229-D227)/(A229-A227)*Inputs!$C$11</x:f>
        <x:v>1119.1843692326984</x:v>
      </x:c>
      <x:c r="P228" s="9" t="n">
        <x:f>-2*O228/Inputs!$C$13</x:f>
        <x:v>-447.67374769307935</x:v>
      </x:c>
      <x:c r="Q228" s="9" t="n">
        <x:f>-2*O228/Inputs!$C$14</x:f>
        <x:v>-67.2182804343963</x:v>
      </x:c>
      <x:c r="R228" s="9" t="n">
        <x:f>F228-Inputs!$C$16/2</x:f>
        <x:v>2975.7652435974414</x:v>
      </x:c>
      <x:c r="S228" s="9" t="n">
        <x:f>F228+Inputs!$C$16/2</x:f>
        <x:v>3005.7652435974414</x:v>
      </x:c>
      <x:c r="T228" s="9" t="n">
        <x:f>F228-Inputs!$C$17/2</x:f>
        <x:v>2840.7652435974414</x:v>
      </x:c>
      <x:c r="U228" s="9" t="n">
        <x:f>F228+Inputs!$C$17/2</x:f>
        <x:v>3140.7652435974414</x:v>
      </x:c>
      <x:c r="V228" s="9" t="n">
        <x:f>ABS(P228)</x:f>
        <x:v>447.67374769307935</x:v>
      </x:c>
      <x:c r="W228" s="9" t="n">
        <x:f>ABS(Q228)</x:f>
        <x:v>67.2182804343963</x:v>
      </x:c>
      <x:c r="X228" s="9"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x:f>
        <x:v>4.508396540761183</x:v>
      </x:c>
      <x:c r="Y228" s="9"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x:f>
        <x:v>183.5232809151917</x:v>
      </x:c>
      <x:c r="Z228" s="9" t="n">
        <x:f>B228-X228/1000</x:f>
        <x:v>403.1166027145704</x:v>
      </x:c>
      <x:c r="AA228" s="9" t="n">
        <x:f>SQRT((Inputs!$C$52+B228)^2+(Inputs!$C$52+Y228/1000)^2-2*(Inputs!$C$52+B228)*(Inputs!$C$52+Y228/1000)*COS(SQRT(A228^2+Inputs!$C$6^2)/Inputs!$C$52))</x:f>
        <x:v>408.2641651826112</x:v>
      </x:c>
      <x:c r="AB228" s="9" t="n">
        <x:f>(AA228-Z228)*1000</x:f>
        <x:v>5147.562468040804</x:v>
      </x:c>
      <x:c r="AC228" s="9" t="n">
        <x:f>AB228/Inputs!$C$12</x:f>
        <x:v>2891.8890269892154</x:v>
      </x:c>
      <x:c r="AD228" s="9" t="n">
        <x:f>2*AB228/Inputs!$C$21*1000000</x:f>
        <x:v>34.34084034255994</x:v>
      </x:c>
      <x:c r="AE228" s="9" t="n">
        <x:f>DEGREES(ATAN(H228/(B228-Y228/1000)))</x:f>
        <x:v>8.2746726688029</x:v>
      </x:c>
      <x:c r="AF228" s="9" t="n">
        <x:f>DEGREES((2*PI()/Inputs!$C$13)*Inputs!$C$15*SIN(RADIANS(AE228)))</x:f>
        <x:v>51.81075780016188</x:v>
      </x:c>
      <x:c r="AG228" s="9" t="n">
        <x:f>(Z228/AA228)^4</x:f>
        <x:v>0.9505121951763231</x:v>
      </x:c>
      <x:c r="AH228" s="9" t="n">
        <x:f>10*LOG10(AG228)</x:f>
        <x:v>-0.220423067166793</x:v>
      </x:c>
      <x:c r="AI228" s="9" t="n">
        <x:f>AC228-F228</x:f>
        <x:v>-98.87621660822606</x:v>
      </x:c>
      <x:c r="AJ228" s="9" t="n">
        <x:f>AD228-G228</x:f>
        <x:v>-1.1741433839715967</x:v>
      </x:c>
      <x:c r="AK228" s="9" t="n">
        <x:f>Y228-X228</x:f>
        <x:v>179.0148843744305</x:v>
      </x:c>
      <x:c r="AL228" s="9" t="n">
        <x:f>1000*(AA229-AA227)/(A229-A227)*Inputs!$C$11</x:f>
        <x:v>1052.7450629535906</x:v>
      </x:c>
      <x:c r="AM228" s="9" t="n">
        <x:f>-2*AL228/Inputs!$C$13</x:f>
        <x:v>-421.09802518143624</x:v>
      </x:c>
      <x:c r="AN228" s="9" t="n">
        <x:f>-2*AL228/Inputs!$C$14</x:f>
        <x:v>-63.227931708924366</x:v>
      </x:c>
      <x:c r="AO228" s="9" t="n">
        <x:f>ABS(AM228)</x:f>
        <x:v>421.09802518143624</x:v>
      </x:c>
      <x:c r="AP228" s="9" t="n">
        <x:f>ABS(AN228)</x:f>
        <x:v>63.227931708924366</x:v>
      </x:c>
      <x:c r="AQ228" s="9" t="n">
        <x:f>IF(OR(Inputs!$C$27=TRUE,Inputs!$C$27="TRUE",Inputs!$C$27=1),Inputs!$C$46/Inputs!$C$12,0)</x:f>
        <x:v>42.13483146067416</x:v>
      </x:c>
      <x:c r="AR228" s="9" t="n">
        <x:f>AC228-AQ228</x:f>
        <x:v>2849.754195528541</x:v>
      </x:c>
      <x:c r="AS228" s="9" t="n">
        <x:f>AC228+AQ228</x:f>
        <x:v>2934.0238584498898</x:v>
      </x:c>
    </x:row>
    <x:row r="229">
      <x:c r="A229" s="9" t="n">
        <x:f>Inputs!$C$7+227*(Inputs!$C$8-Inputs!$C$7)/240</x:f>
        <x:v>53.5</x:v>
      </x:c>
      <x:c r="B229" s="9" t="n">
        <x:f>Inputs!$C$5+Inputs!$C$9*(A229/Inputs!$C$10)^2</x:f>
        <x:v>403.1802777777778</x:v>
      </x:c>
      <x:c r="C229" s="9" t="n">
        <x:f>B229</x:f>
        <x:v>403.1802777777778</x:v>
      </x:c>
      <x:c r="D229" s="9" t="n">
        <x:f>SQRT((Inputs!$C$52+B229)^2+Inputs!$C$52^2-2*(Inputs!$C$52+B229)*Inputs!$C$52*COS(SQRT(A229^2+Inputs!$C$6^2)/Inputs!$C$52))</x:f>
        <x:v>408.5852137737902</x:v>
      </x:c>
      <x:c r="E229" s="9" t="n">
        <x:f>(D229-C229)*1000</x:f>
        <x:v>5404.935996012398</x:v>
      </x:c>
      <x:c r="F229" s="9" t="n">
        <x:f>E229/Inputs!$C$12</x:f>
        <x:v>3036.480896636179</x:v>
      </x:c>
      <x:c r="G229" s="9" t="n">
        <x:f>2*E229/Inputs!$C$21*1000000</x:f>
        <x:v>36.05785170227597</x:v>
      </x:c>
      <x:c r="H229" s="9" t="n">
        <x:f>SQRT(A229^2+Inputs!$C$6^2)</x:f>
        <x:v>59.052942348370756</x:v>
      </x:c>
      <x:c r="I229" s="9" t="n">
        <x:f>DEGREES(ATAN(H229/B229))</x:f>
        <x:v>8.33273894188251</x:v>
      </x:c>
      <x:c r="J229" s="9" t="n">
        <x:f>DEGREES((2*PI()/Inputs!$C$13)*Inputs!$C$15*SIN(RADIANS(I229)))</x:f>
        <x:v>52.17177410818362</x:v>
      </x:c>
      <x:c r="K229" s="9" t="n">
        <x:f>(C229/D229)^4</x:f>
        <x:v>0.9481270454637457</x:v>
      </x:c>
      <x:c r="L229" s="9" t="n">
        <x:f>10*LOG10(K229)</x:f>
        <x:v>-0.231334649329681</x:v>
      </x:c>
      <x:c r="M229" s="9" t="n">
        <x:f>2*(Inputs!$C$9/(Inputs!$C$10^2))*A229</x:f>
        <x:v>0.11888888888888889</x:v>
      </x:c>
      <x:c r="N229" s="9" t="n">
        <x:f>M229*Inputs!$C$11</x:f>
        <x:v>0.47555555555555556</x:v>
      </x:c>
      <x:c r="O229" s="9" t="n">
        <x:f>1000*(D230-D228)/(A230-A228)*Inputs!$C$11</x:f>
        <x:v>1129.4602816408315</x:v>
      </x:c>
      <x:c r="P229" s="9" t="n">
        <x:f>-2*O229/Inputs!$C$13</x:f>
        <x:v>-451.7841126563326</x:v>
      </x:c>
      <x:c r="Q229" s="9" t="n">
        <x:f>-2*O229/Inputs!$C$14</x:f>
        <x:v>-67.8354523508007</x:v>
      </x:c>
      <x:c r="R229" s="9" t="n">
        <x:f>F229-Inputs!$C$16/2</x:f>
        <x:v>3021.480896636179</x:v>
      </x:c>
      <x:c r="S229" s="9" t="n">
        <x:f>F229+Inputs!$C$16/2</x:f>
        <x:v>3051.480896636179</x:v>
      </x:c>
      <x:c r="T229" s="9" t="n">
        <x:f>F229-Inputs!$C$17/2</x:f>
        <x:v>2886.480896636179</x:v>
      </x:c>
      <x:c r="U229" s="9" t="n">
        <x:f>F229+Inputs!$C$17/2</x:f>
        <x:v>3186.480896636179</x:v>
      </x:c>
      <x:c r="V229" s="9" t="n">
        <x:f>ABS(P229)</x:f>
        <x:v>451.7841126563326</x:v>
      </x:c>
      <x:c r="W229" s="9" t="n">
        <x:f>ABS(Q229)</x:f>
        <x:v>67.8354523508007</x:v>
      </x:c>
      <x:c r="X229" s="9"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x:f>
        <x:v>-0.1280560890739677</x:v>
      </x:c>
      <x:c r="Y229" s="9"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x:f>
        <x:v>181.04186719105834</x:v>
      </x:c>
      <x:c r="Z229" s="9" t="n">
        <x:f>B229-X229/1000</x:f>
        <x:v>403.18040583386687</x:v>
      </x:c>
      <x:c r="AA229" s="9" t="n">
        <x:f>SQRT((Inputs!$C$52+B229)^2+(Inputs!$C$52+Y229/1000)^2-2*(Inputs!$C$52+B229)*(Inputs!$C$52+Y229/1000)*COS(SQRT(A229^2+Inputs!$C$6^2)/Inputs!$C$52))</x:f>
        <x:v>408.4071909186857</x:v>
      </x:c>
      <x:c r="AB229" s="9" t="n">
        <x:f>(AA229-Z229)*1000</x:f>
        <x:v>5226.785084818857</x:v>
      </x:c>
      <x:c r="AC229" s="9" t="n">
        <x:f>AB229/Inputs!$C$12</x:f>
        <x:v>2936.3961150667737</x:v>
      </x:c>
      <x:c r="AD229" s="9" t="n">
        <x:f>2*AB229/Inputs!$C$21*1000000</x:f>
        <x:v>34.869356752255975</x:v>
      </x:c>
      <x:c r="AE229" s="9" t="n">
        <x:f>DEGREES(ATAN(H229/(B229-Y229/1000)))</x:f>
        <x:v>8.33642971440627</x:v>
      </x:c>
      <x:c r="AF229" s="9" t="n">
        <x:f>DEGREES((2*PI()/Inputs!$C$13)*Inputs!$C$15*SIN(RADIANS(AE229)))</x:f>
        <x:v>52.194718996114005</x:v>
      </x:c>
      <x:c r="AG229" s="9" t="n">
        <x:f>(Z229/AA229)^4</x:f>
        <x:v>0.9497824705655055</x:v>
      </x:c>
      <x:c r="AH229" s="9" t="n">
        <x:f>10*LOG10(AG229)</x:f>
        <x:v>-0.223758501329482</x:v>
      </x:c>
      <x:c r="AI229" s="9" t="n">
        <x:f>AC229-F229</x:f>
        <x:v>-100.0847815694051</x:v>
      </x:c>
      <x:c r="AJ229" s="9" t="n">
        <x:f>AD229-G229</x:f>
        <x:v>-1.1884949500199937</x:v>
      </x:c>
      <x:c r="AK229" s="9" t="n">
        <x:f>Y229-X229</x:f>
        <x:v>181.1699232801323</x:v>
      </x:c>
      <x:c r="AL229" s="9" t="n">
        <x:f>1000*(AA230-AA228)/(A230-A228)*Inputs!$C$11</x:f>
        <x:v>1137.6148807951267</x:v>
      </x:c>
      <x:c r="AM229" s="9" t="n">
        <x:f>-2*AL229/Inputs!$C$13</x:f>
        <x:v>-455.0459523180507</x:v>
      </x:c>
      <x:c r="AN229" s="9" t="n">
        <x:f>-2*AL229/Inputs!$C$14</x:f>
        <x:v>-68.32521806577338</x:v>
      </x:c>
      <x:c r="AO229" s="9" t="n">
        <x:f>ABS(AM229)</x:f>
        <x:v>455.0459523180507</x:v>
      </x:c>
      <x:c r="AP229" s="9" t="n">
        <x:f>ABS(AN229)</x:f>
        <x:v>68.32521806577338</x:v>
      </x:c>
      <x:c r="AQ229" s="9" t="n">
        <x:f>IF(OR(Inputs!$C$27=TRUE,Inputs!$C$27="TRUE",Inputs!$C$27=1),Inputs!$C$46/Inputs!$C$12,0)</x:f>
        <x:v>42.13483146067416</x:v>
      </x:c>
      <x:c r="AR229" s="9" t="n">
        <x:f>AC229-AQ229</x:f>
        <x:v>2894.2612836060994</x:v>
      </x:c>
      <x:c r="AS229" s="9" t="n">
        <x:f>AC229+AQ229</x:f>
        <x:v>2978.530946527448</x:v>
      </x:c>
    </x:row>
    <x:row r="230">
      <x:c r="A230" s="9" t="n">
        <x:f>Inputs!$C$7+228*(Inputs!$C$8-Inputs!$C$7)/240</x:f>
        <x:v>54</x:v>
      </x:c>
      <x:c r="B230" s="9" t="n">
        <x:f>Inputs!$C$5+Inputs!$C$9*(A230/Inputs!$C$10)^2</x:f>
        <x:v>403.24</x:v>
      </x:c>
      <x:c r="C230" s="9" t="n">
        <x:f>B230</x:f>
        <x:v>403.24</x:v>
      </x:c>
      <x:c r="D230" s="9" t="n">
        <x:f>SQRT((Inputs!$C$52+B230)^2+Inputs!$C$52^2-2*(Inputs!$C$52+B230)*Inputs!$C$52*COS(SQRT(A230^2+Inputs!$C$6^2)/Inputs!$C$52))</x:f>
        <x:v>408.7270383151248</x:v>
      </x:c>
      <x:c r="E230" s="9" t="n">
        <x:f>(D230-C230)*1000</x:f>
        <x:v>5487.038315124778</x:v>
      </x:c>
      <x:c r="F230" s="9" t="n">
        <x:f>E230/Inputs!$C$12</x:f>
        <x:v>3082.60579501392</x:v>
      </x:c>
      <x:c r="G230" s="9" t="n">
        <x:f>2*E230/Inputs!$C$21*1000000</x:f>
        <x:v>36.60557941804378</x:v>
      </x:c>
      <x:c r="H230" s="9" t="n">
        <x:f>SQRT(A230^2+Inputs!$C$6^2)</x:f>
        <x:v>59.50630218724736</x:v>
      </x:c>
      <x:c r="I230" s="9" t="n">
        <x:f>DEGREES(ATAN(H230/B230))</x:f>
        <x:v>8.394576667627003</x:v>
      </x:c>
      <x:c r="J230" s="9" t="n">
        <x:f>DEGREES((2*PI()/Inputs!$C$13)*Inputs!$C$15*SIN(RADIANS(I230)))</x:f>
        <x:v>52.55617979850606</x:v>
      </x:c>
      <x:c r="K230" s="9" t="n">
        <x:f>(C230/D230)^4</x:f>
        <x:v>0.947372885993786</x:v>
      </x:c>
      <x:c r="L230" s="9" t="n">
        <x:f>10*LOG10(K230)</x:f>
        <x:v>-0.23479049027301602</x:v>
      </x:c>
      <x:c r="M230" s="9" t="n">
        <x:f>2*(Inputs!$C$9/(Inputs!$C$10^2))*A230</x:f>
        <x:v>0.12</x:v>
      </x:c>
      <x:c r="N230" s="9" t="n">
        <x:f>M230*Inputs!$C$11</x:f>
        <x:v>0.48</x:v>
      </x:c>
      <x:c r="O230" s="9" t="n">
        <x:f>1000*(D231-D229)/(A231-A229)*Inputs!$C$11</x:f>
        <x:v>1139.7285361831564</x:v>
      </x:c>
      <x:c r="P230" s="9" t="n">
        <x:f>-2*O230/Inputs!$C$13</x:f>
        <x:v>-455.89141447326256</x:v>
      </x:c>
      <x:c r="Q230" s="9" t="n">
        <x:f>-2*O230/Inputs!$C$14</x:f>
        <x:v>-68.45216433532471</x:v>
      </x:c>
      <x:c r="R230" s="9" t="n">
        <x:f>F230-Inputs!$C$16/2</x:f>
        <x:v>3067.60579501392</x:v>
      </x:c>
      <x:c r="S230" s="9" t="n">
        <x:f>F230+Inputs!$C$16/2</x:f>
        <x:v>3097.60579501392</x:v>
      </x:c>
      <x:c r="T230" s="9" t="n">
        <x:f>F230-Inputs!$C$17/2</x:f>
        <x:v>2932.60579501392</x:v>
      </x:c>
      <x:c r="U230" s="9" t="n">
        <x:f>F230+Inputs!$C$17/2</x:f>
        <x:v>3232.60579501392</x:v>
      </x:c>
      <x:c r="V230" s="9" t="n">
        <x:f>ABS(P230)</x:f>
        <x:v>455.89141447326256</x:v>
      </x:c>
      <x:c r="W230" s="9" t="n">
        <x:f>ABS(Q230)</x:f>
        <x:v>68.45216433532471</x:v>
      </x:c>
      <x:c r="X230" s="9"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x:f>
        <x:v>-7.852837825142384</x:v>
      </x:c>
      <x:c r="Y230" s="9"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x:f>
        <x:v>181.54184215615243</x:v>
      </x:c>
      <x:c r="Z230" s="9" t="n">
        <x:f>B230-X230/1000</x:f>
        <x:v>403.2478528378252</x:v>
      </x:c>
      <x:c r="AA230" s="9" t="n">
        <x:f>SQRT((Inputs!$C$52+B230)^2+(Inputs!$C$52+Y230/1000)^2-2*(Inputs!$C$52+B230)*(Inputs!$C$52+Y230/1000)*COS(SQRT(A230^2+Inputs!$C$6^2)/Inputs!$C$52))</x:f>
        <x:v>408.54856890280996</x:v>
      </x:c>
      <x:c r="AB230" s="9" t="n">
        <x:f>(AA230-Z230)*1000</x:f>
        <x:v>5300.716064984783</x:v>
      </x:c>
      <x:c r="AC230" s="9" t="n">
        <x:f>AB230/Inputs!$C$12</x:f>
        <x:v>2977.9303735869566</x:v>
      </x:c>
      <x:c r="AD230" s="9" t="n">
        <x:f>2*AB230/Inputs!$C$21*1000000</x:f>
        <x:v>35.36257116237916</x:v>
      </x:c>
      <x:c r="AE230" s="9" t="n">
        <x:f>DEGREES(ATAN(H230/(B230-Y230/1000)))</x:f>
        <x:v>8.398303761936601</x:v>
      </x:c>
      <x:c r="AF230" s="9" t="n">
        <x:f>DEGREES((2*PI()/Inputs!$C$13)*Inputs!$C$15*SIN(RADIANS(AE230)))</x:f>
        <x:v>52.579346814440605</x:v>
      </x:c>
      <x:c r="AG230" s="9" t="n">
        <x:f>(Z230/AA230)^4</x:f>
        <x:v>0.9491032928300157</x:v>
      </x:c>
      <x:c r="AH230" s="9" t="n">
        <x:f>10*LOG10(AG230)</x:f>
        <x:v>-0.226865198541277</x:v>
      </x:c>
      <x:c r="AI230" s="9" t="n">
        <x:f>AC230-F230</x:f>
        <x:v>-104.67542142696357</x:v>
      </x:c>
      <x:c r="AJ230" s="9" t="n">
        <x:f>AD230-G230</x:f>
        <x:v>-1.2430082556646198</x:v>
      </x:c>
      <x:c r="AK230" s="9" t="n">
        <x:f>Y230-X230</x:f>
        <x:v>189.39467998129481</x:v>
      </x:c>
      <x:c r="AL230" s="9" t="n">
        <x:f>1000*(AA231-AA229)/(A231-A229)*Inputs!$C$11</x:f>
        <x:v>1157.239206704844</x:v>
      </x:c>
      <x:c r="AM230" s="9" t="n">
        <x:f>-2*AL230/Inputs!$C$13</x:f>
        <x:v>-462.8956826819376</x:v>
      </x:c>
      <x:c r="AN230" s="9" t="n">
        <x:f>-2*AL230/Inputs!$C$14</x:f>
        <x:v>-69.50385625854919</x:v>
      </x:c>
      <x:c r="AO230" s="9" t="n">
        <x:f>ABS(AM230)</x:f>
        <x:v>462.8956826819376</x:v>
      </x:c>
      <x:c r="AP230" s="9" t="n">
        <x:f>ABS(AN230)</x:f>
        <x:v>69.50385625854919</x:v>
      </x:c>
      <x:c r="AQ230" s="9" t="n">
        <x:f>IF(OR(Inputs!$C$27=TRUE,Inputs!$C$27="TRUE",Inputs!$C$27=1),Inputs!$C$46/Inputs!$C$12,0)</x:f>
        <x:v>42.13483146067416</x:v>
      </x:c>
      <x:c r="AR230" s="9" t="n">
        <x:f>AC230-AQ230</x:f>
        <x:v>2935.7955421262823</x:v>
      </x:c>
      <x:c r="AS230" s="9" t="n">
        <x:f>AC230+AQ230</x:f>
        <x:v>3020.065205047631</x:v>
      </x:c>
    </x:row>
    <x:row r="231">
      <x:c r="A231" s="9" t="n">
        <x:f>Inputs!$C$7+229*(Inputs!$C$8-Inputs!$C$7)/240</x:f>
        <x:v>54.5</x:v>
      </x:c>
      <x:c r="B231" s="9" t="n">
        <x:f>Inputs!$C$5+Inputs!$C$9*(A231/Inputs!$C$10)^2</x:f>
        <x:v>403.30027777777775</x:v>
      </x:c>
      <x:c r="C231" s="9" t="n">
        <x:f>B231</x:f>
        <x:v>403.30027777777775</x:v>
      </x:c>
      <x:c r="D231" s="9" t="n">
        <x:f>SQRT((Inputs!$C$52+B231)^2+Inputs!$C$52^2-2*(Inputs!$C$52+B231)*Inputs!$C$52*COS(SQRT(A231^2+Inputs!$C$6^2)/Inputs!$C$52))</x:f>
        <x:v>408.870145907836</x:v>
      </x:c>
      <x:c r="E231" s="9" t="n">
        <x:f>(D231-C231)*1000</x:f>
        <x:v>5569.868130058239</x:v>
      </x:c>
      <x:c r="F231" s="9" t="n">
        <x:f>E231/Inputs!$C$12</x:f>
        <x:v>3129.139398909123</x:v>
      </x:c>
      <x:c r="G231" s="9" t="n">
        <x:f>2*E231/Inputs!$C$21*1000000</x:f>
        <x:v>37.158160463517994</x:v>
      </x:c>
      <x:c r="H231" s="9" t="n">
        <x:f>SQRT(A231^2+Inputs!$C$6^2)</x:f>
        <x:v>59.96040360104325</x:v>
      </x:c>
      <x:c r="I231" s="9" t="n">
        <x:f>DEGREES(ATAN(H231/B231))</x:f>
        <x:v>8.45646799120709</x:v>
      </x:c>
      <x:c r="J231" s="9" t="n">
        <x:f>DEGREES((2*PI()/Inputs!$C$13)*Inputs!$C$15*SIN(RADIANS(I231)))</x:f>
        <x:v>52.94085737373685</x:v>
      </x:c>
      <x:c r="K231" s="9" t="n">
        <x:f>(C231/D231)^4</x:f>
        <x:v>0.9466130330866598</x:v>
      </x:c>
      <x:c r="L231" s="9" t="n">
        <x:f>10*LOG10(K231)</x:f>
        <x:v>-0.238275204061051</x:v>
      </x:c>
      <x:c r="M231" s="9" t="n">
        <x:f>2*(Inputs!$C$9/(Inputs!$C$10^2))*A231</x:f>
        <x:v>0.12111111111111111</x:v>
      </x:c>
      <x:c r="N231" s="9" t="n">
        <x:f>M231*Inputs!$C$11</x:f>
        <x:v>0.48444444444444446</x:v>
      </x:c>
      <x:c r="O231" s="9" t="n">
        <x:f>1000*(D232-D230)/(A232-A230)*Inputs!$C$11</x:f>
        <x:v>1149.9890746863457</x:v>
      </x:c>
      <x:c r="P231" s="9" t="n">
        <x:f>-2*O231/Inputs!$C$13</x:f>
        <x:v>-459.9956298745383</x:v>
      </x:c>
      <x:c r="Q231" s="9" t="n">
        <x:f>-2*O231/Inputs!$C$14</x:f>
        <x:v>-69.06841289407483</x:v>
      </x:c>
      <x:c r="R231" s="9" t="n">
        <x:f>F231-Inputs!$C$16/2</x:f>
        <x:v>3114.139398909123</x:v>
      </x:c>
      <x:c r="S231" s="9" t="n">
        <x:f>F231+Inputs!$C$16/2</x:f>
        <x:v>3144.139398909123</x:v>
      </x:c>
      <x:c r="T231" s="9" t="n">
        <x:f>F231-Inputs!$C$17/2</x:f>
        <x:v>2979.139398909123</x:v>
      </x:c>
      <x:c r="U231" s="9" t="n">
        <x:f>F231+Inputs!$C$17/2</x:f>
        <x:v>3279.139398909123</x:v>
      </x:c>
      <x:c r="V231" s="9" t="n">
        <x:f>ABS(P231)</x:f>
        <x:v>459.9956298745383</x:v>
      </x:c>
      <x:c r="W231" s="9" t="n">
        <x:f>ABS(Q231)</x:f>
        <x:v>69.06841289407483</x:v>
      </x:c>
      <x:c r="X231" s="9"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x:f>
        <x:v>-10.88592803052483</x:v>
      </x:c>
      <x:c r="Y231" s="9"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x:f>
        <x:v>176.67952286630316</x:v>
      </x:c>
      <x:c r="Z231" s="9" t="n">
        <x:f>B231-X231/1000</x:f>
        <x:v>403.31116370580827</x:v>
      </x:c>
      <x:c r="AA231" s="9" t="n">
        <x:f>SQRT((Inputs!$C$52+B231)^2+(Inputs!$C$52+Y231/1000)^2-2*(Inputs!$C$52+B231)*(Inputs!$C$52+Y231/1000)*COS(SQRT(A231^2+Inputs!$C$6^2)/Inputs!$C$52))</x:f>
        <x:v>408.69650072036194</x:v>
      </x:c>
      <x:c r="AB231" s="9" t="n">
        <x:f>(AA231-Z231)*1000</x:f>
        <x:v>5385.33701455367</x:v>
      </x:c>
      <x:c r="AC231" s="9" t="n">
        <x:f>AB231/Inputs!$C$12</x:f>
        <x:v>3025.4702328953204</x:v>
      </x:c>
      <x:c r="AD231" s="9" t="n">
        <x:f>2*AB231/Inputs!$C$21*1000000</x:f>
        <x:v>35.92710137193425</x:v>
      </x:c>
      <x:c r="AE231" s="9" t="n">
        <x:f>DEGREES(ATAN(H231/(B231-Y231/1000)))</x:f>
        <x:v>8.46012063586291</x:v>
      </x:c>
      <x:c r="AF231" s="9" t="n">
        <x:f>DEGREES((2*PI()/Inputs!$C$13)*Inputs!$C$15*SIN(RADIANS(AE231)))</x:f>
        <x:v>52.96355799157853</x:v>
      </x:c>
      <x:c r="AG231" s="9" t="n">
        <x:f>(Z231/AA231)^4</x:f>
        <x:v>0.9483252122523478</x:v>
      </x:c>
      <x:c r="AH231" s="9" t="n">
        <x:f>10*LOG10(AG231)</x:f>
        <x:v>-0.230427030983377</x:v>
      </x:c>
      <x:c r="AI231" s="9" t="n">
        <x:f>AC231-F231</x:f>
        <x:v>-103.66916601380262</x:v>
      </x:c>
      <x:c r="AJ231" s="9" t="n">
        <x:f>AD231-G231</x:f>
        <x:v>-1.2310590915837452</x:v>
      </x:c>
      <x:c r="AK231" s="9" t="n">
        <x:f>Y231-X231</x:f>
        <x:v>187.565450896828</x:v>
      </x:c>
      <x:c r="AL231" s="9" t="n">
        <x:f>1000*(AA232-AA230)/(A232-A230)*Inputs!$C$11</x:f>
        <x:v>1122.9829585383868</x:v>
      </x:c>
      <x:c r="AM231" s="9" t="n">
        <x:f>-2*AL231/Inputs!$C$13</x:f>
        <x:v>-449.1931834153547</x:v>
      </x:c>
      <x:c r="AN231" s="9" t="n">
        <x:f>-2*AL231/Inputs!$C$14</x:f>
        <x:v>-67.44642393623946</x:v>
      </x:c>
      <x:c r="AO231" s="9" t="n">
        <x:f>ABS(AM231)</x:f>
        <x:v>449.1931834153547</x:v>
      </x:c>
      <x:c r="AP231" s="9" t="n">
        <x:f>ABS(AN231)</x:f>
        <x:v>67.44642393623946</x:v>
      </x:c>
      <x:c r="AQ231" s="9" t="n">
        <x:f>IF(OR(Inputs!$C$27=TRUE,Inputs!$C$27="TRUE",Inputs!$C$27=1),Inputs!$C$46/Inputs!$C$12,0)</x:f>
        <x:v>42.13483146067416</x:v>
      </x:c>
      <x:c r="AR231" s="9" t="n">
        <x:f>AC231-AQ231</x:f>
        <x:v>2983.335401434646</x:v>
      </x:c>
      <x:c r="AS231" s="9" t="n">
        <x:f>AC231+AQ231</x:f>
        <x:v>3067.6050643559947</x:v>
      </x:c>
    </x:row>
    <x:row r="232">
      <x:c r="A232" s="9" t="n">
        <x:f>Inputs!$C$7+230*(Inputs!$C$8-Inputs!$C$7)/240</x:f>
        <x:v>55</x:v>
      </x:c>
      <x:c r="B232" s="9" t="n">
        <x:f>Inputs!$C$5+Inputs!$C$9*(A232/Inputs!$C$10)^2</x:f>
        <x:v>403.3611111111111</x:v>
      </x:c>
      <x:c r="C232" s="9" t="n">
        <x:f>B232</x:f>
        <x:v>403.3611111111111</x:v>
      </x:c>
      <x:c r="D232" s="9" t="n">
        <x:f>SQRT((Inputs!$C$52+B232)^2+Inputs!$C$52^2-2*(Inputs!$C$52+B232)*Inputs!$C$52*COS(SQRT(A232^2+Inputs!$C$6^2)/Inputs!$C$52))</x:f>
        <x:v>409.0145355837964</x:v>
      </x:c>
      <x:c r="E232" s="9" t="n">
        <x:f>(D232-C232)*1000</x:f>
        <x:v>5653.424472685288</x:v>
      </x:c>
      <x:c r="F232" s="9" t="n">
        <x:f>E232/Inputs!$C$12</x:f>
        <x:v>3176.081164429937</x:v>
      </x:c>
      <x:c r="G232" s="9" t="n">
        <x:f>2*E232/Inputs!$C$21*1000000</x:f>
        <x:v>37.71558838004716</x:v>
      </x:c>
      <x:c r="H232" s="9" t="n">
        <x:f>SQRT(A232^2+Inputs!$C$6^2)</x:f>
        <x:v>60.41522986797286</x:v>
      </x:c>
      <x:c r="I232" s="9" t="n">
        <x:f>DEGREES(ATAN(H232/B232))</x:f>
        <x:v>8.518410095726479</x:v>
      </x:c>
      <x:c r="J232" s="9" t="n">
        <x:f>DEGREES((2*PI()/Inputs!$C$13)*Inputs!$C$15*SIN(RADIANS(I232)))</x:f>
        <x:v>53.32578872127919</x:v>
      </x:c>
      <x:c r="K232" s="9" t="n">
        <x:f>(C232/D232)^4</x:f>
        <x:v>0.9458475201974168</x:v>
      </x:c>
      <x:c r="L232" s="9" t="n">
        <x:f>10*LOG10(K232)</x:f>
        <x:v>-0.24178870442099198</x:v>
      </x:c>
      <x:c r="M232" s="9" t="n">
        <x:f>2*(Inputs!$C$9/(Inputs!$C$10^2))*A232</x:f>
        <x:v>0.12222222222222222</x:v>
      </x:c>
      <x:c r="N232" s="9" t="n">
        <x:f>M232*Inputs!$C$11</x:f>
        <x:v>0.4888888888888889</x:v>
      </x:c>
      <x:c r="O232" s="9" t="n">
        <x:f>1000*(D233-D231)/(A233-A231)*Inputs!$C$11</x:f>
        <x:v>1160.241839347691</x:v>
      </x:c>
      <x:c r="P232" s="9" t="n">
        <x:f>-2*O232/Inputs!$C$13</x:f>
        <x:v>-464.0967357390764</x:v>
      </x:c>
      <x:c r="Q232" s="9" t="n">
        <x:f>-2*O232/Inputs!$C$14</x:f>
        <x:v>-69.68419455541688</x:v>
      </x:c>
      <x:c r="R232" s="9" t="n">
        <x:f>F232-Inputs!$C$16/2</x:f>
        <x:v>3161.081164429937</x:v>
      </x:c>
      <x:c r="S232" s="9" t="n">
        <x:f>F232+Inputs!$C$16/2</x:f>
        <x:v>3191.081164429937</x:v>
      </x:c>
      <x:c r="T232" s="9" t="n">
        <x:f>F232-Inputs!$C$17/2</x:f>
        <x:v>3026.081164429937</x:v>
      </x:c>
      <x:c r="U232" s="9" t="n">
        <x:f>F232+Inputs!$C$17/2</x:f>
        <x:v>3326.081164429937</x:v>
      </x:c>
      <x:c r="V232" s="9" t="n">
        <x:f>ABS(P232)</x:f>
        <x:v>464.0967357390764</x:v>
      </x:c>
      <x:c r="W232" s="9" t="n">
        <x:f>ABS(Q232)</x:f>
        <x:v>69.68419455541688</x:v>
      </x:c>
      <x:c r="X232" s="9"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x:f>
        <x:v>-2.7391578251359494</x:v>
      </x:c>
      <x:c r="Y232" s="9"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x:f>
        <x:v>188.50605986389118</x:v>
      </x:c>
      <x:c r="Z232" s="9" t="n">
        <x:f>B232-X232/1000</x:f>
        <x:v>403.36385026893623</x:v>
      </x:c>
      <x:c r="AA232" s="9" t="n">
        <x:f>SQRT((Inputs!$C$52+B232)^2+(Inputs!$C$52+Y232/1000)^2-2*(Inputs!$C$52+B232)*(Inputs!$C$52+Y232/1000)*COS(SQRT(A232^2+Inputs!$C$6^2)/Inputs!$C$52))</x:f>
        <x:v>408.82931464244456</x:v>
      </x:c>
      <x:c r="AB232" s="9" t="n">
        <x:f>(AA232-Z232)*1000</x:f>
        <x:v>5465.4643735083255</x:v>
      </x:c>
      <x:c r="AC232" s="9" t="n">
        <x:f>AB232/Inputs!$C$12</x:f>
        <x:v>3070.485603094565</x:v>
      </x:c>
      <x:c r="AD232" s="9" t="n">
        <x:f>2*AB232/Inputs!$C$21*1000000</x:f>
        <x:v>36.46165357174079</x:v>
      </x:c>
      <x:c r="AE232" s="9" t="n">
        <x:f>DEGREES(ATAN(H232/(B232-Y232/1000)))</x:f>
        <x:v>8.522334462984816</x:v>
      </x:c>
      <x:c r="AF232" s="9" t="n">
        <x:f>DEGREES((2*PI()/Inputs!$C$13)*Inputs!$C$15*SIN(RADIANS(AE232)))</x:f>
        <x:v>53.350174108896724</x:v>
      </x:c>
      <x:c r="AG232" s="9" t="n">
        <x:f>(Z232/AA232)^4</x:f>
        <x:v>0.9475884970859016</x:v>
      </x:c>
      <x:c r="AH232" s="9" t="n">
        <x:f>10*LOG10(AG232)</x:f>
        <x:v>-0.233802198809315</x:v>
      </x:c>
      <x:c r="AI232" s="9" t="n">
        <x:f>AC232-F232</x:f>
        <x:v>-105.59556133537217</x:v>
      </x:c>
      <x:c r="AJ232" s="9" t="n">
        <x:f>AD232-G232</x:f>
        <x:v>-1.2539348083063686</x:v>
      </x:c>
      <x:c r="AK232" s="9" t="n">
        <x:f>Y232-X232</x:f>
        <x:v>191.24521768902713</x:v>
      </x:c>
      <x:c r="AL232" s="9" t="n">
        <x:f>1000*(AA233-AA231)/(A233-A231)*Inputs!$C$11</x:f>
        <x:v>1137.5245610443017</x:v>
      </x:c>
      <x:c r="AM232" s="9" t="n">
        <x:f>-2*AL232/Inputs!$C$13</x:f>
        <x:v>-455.00982441772067</x:v>
      </x:c>
      <x:c r="AN232" s="9" t="n">
        <x:f>-2*AL232/Inputs!$C$14</x:f>
        <x:v>-68.31979345611423</x:v>
      </x:c>
      <x:c r="AO232" s="9" t="n">
        <x:f>ABS(AM232)</x:f>
        <x:v>455.00982441772067</x:v>
      </x:c>
      <x:c r="AP232" s="9" t="n">
        <x:f>ABS(AN232)</x:f>
        <x:v>68.31979345611423</x:v>
      </x:c>
      <x:c r="AQ232" s="9" t="n">
        <x:f>IF(OR(Inputs!$C$27=TRUE,Inputs!$C$27="TRUE",Inputs!$C$27=1),Inputs!$C$46/Inputs!$C$12,0)</x:f>
        <x:v>42.13483146067416</x:v>
      </x:c>
      <x:c r="AR232" s="9" t="n">
        <x:f>AC232-AQ232</x:f>
        <x:v>3028.3507716338904</x:v>
      </x:c>
      <x:c r="AS232" s="9" t="n">
        <x:f>AC232+AQ232</x:f>
        <x:v>3112.620434555239</x:v>
      </x:c>
    </x:row>
    <x:row r="233">
      <x:c r="A233" s="9" t="n">
        <x:f>Inputs!$C$7+231*(Inputs!$C$8-Inputs!$C$7)/240</x:f>
        <x:v>55.5</x:v>
      </x:c>
      <x:c r="B233" s="9" t="n">
        <x:f>Inputs!$C$5+Inputs!$C$9*(A233/Inputs!$C$10)^2</x:f>
        <x:v>403.4225</x:v>
      </x:c>
      <x:c r="C233" s="9" t="n">
        <x:f>B233</x:f>
        <x:v>403.4225</x:v>
      </x:c>
      <x:c r="D233" s="9" t="n">
        <x:f>SQRT((Inputs!$C$52+B233)^2+Inputs!$C$52^2-2*(Inputs!$C$52+B233)*Inputs!$C$52*COS(SQRT(A233^2+Inputs!$C$6^2)/Inputs!$C$52))</x:f>
        <x:v>409.1602063676729</x:v>
      </x:c>
      <x:c r="E233" s="9" t="n">
        <x:f>(D233-C233)*1000</x:f>
        <x:v>5737.706367672899</x:v>
      </x:c>
      <x:c r="F233" s="9" t="n">
        <x:f>E233/Inputs!$C$12</x:f>
        <x:v>3223.4305436364602</x:v>
      </x:c>
      <x:c r="G233" s="9" t="n">
        <x:f>2*E233/Inputs!$C$21*1000000</x:f>
        <x:v>38.27785666090973</x:v>
      </x:c>
      <x:c r="H233" s="9" t="n">
        <x:f>SQRT(A233^2+Inputs!$C$6^2)</x:f>
        <x:v>60.87076473973364</x:v>
      </x:c>
      <x:c r="I233" s="9" t="n">
        <x:f>DEGREES(ATAN(H233/B233))</x:f>
        <x:v>8.580400233649934</x:v>
      </x:c>
      <x:c r="J233" s="9" t="n">
        <x:f>DEGREES((2*PI()/Inputs!$C$13)*Inputs!$C$15*SIN(RADIANS(I233)))</x:f>
        <x:v>53.71095616845376</x:v>
      </x:c>
      <x:c r="K233" s="9" t="n">
        <x:f>(C233/D233)^4</x:f>
        <x:v>0.9450763809493679</x:v>
      </x:c>
      <x:c r="L233" s="9" t="n">
        <x:f>10*LOG10(K233)</x:f>
        <x:v>-0.24533090449122702</x:v>
      </x:c>
      <x:c r="M233" s="9" t="n">
        <x:f>2*(Inputs!$C$9/(Inputs!$C$10^2))*A233</x:f>
        <x:v>0.12333333333333334</x:v>
      </x:c>
      <x:c r="N233" s="9" t="n">
        <x:f>M233*Inputs!$C$11</x:f>
        <x:v>0.49333333333333335</x:v>
      </x:c>
      <x:c r="O233" s="9" t="n">
        <x:f>1000*(D234-D232)/(A234-A232)*Inputs!$C$11</x:f>
        <x:v>1170.4867727003148</x:v>
      </x:c>
      <x:c r="P233" s="9" t="n">
        <x:f>-2*O233/Inputs!$C$13</x:f>
        <x:v>-468.1947090801259</x:v>
      </x:c>
      <x:c r="Q233" s="9" t="n">
        <x:f>-2*O233/Inputs!$C$14</x:f>
        <x:v>-70.29950586788678</x:v>
      </x:c>
      <x:c r="R233" s="9" t="n">
        <x:f>F233-Inputs!$C$16/2</x:f>
        <x:v>3208.4305436364602</x:v>
      </x:c>
      <x:c r="S233" s="9" t="n">
        <x:f>F233+Inputs!$C$16/2</x:f>
        <x:v>3238.4305436364602</x:v>
      </x:c>
      <x:c r="T233" s="9" t="n">
        <x:f>F233-Inputs!$C$17/2</x:f>
        <x:v>3073.4305436364602</x:v>
      </x:c>
      <x:c r="U233" s="9" t="n">
        <x:f>F233+Inputs!$C$17/2</x:f>
        <x:v>3373.4305436364602</x:v>
      </x:c>
      <x:c r="V233" s="9" t="n">
        <x:f>ABS(P233)</x:f>
        <x:v>468.1947090801259</x:v>
      </x:c>
      <x:c r="W233" s="9" t="n">
        <x:f>ABS(Q233)</x:f>
        <x:v>70.29950586788678</x:v>
      </x:c>
      <x:c r="X233" s="9"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x:f>
        <x:v>-6.538094280084824</x:v>
      </x:c>
      <x:c r="Y233" s="9"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x:f>
        <x:v>182.5522692746181</x:v>
      </x:c>
      <x:c r="Z233" s="9" t="n">
        <x:f>B233-X233/1000</x:f>
        <x:v>403.4290380942801</x:v>
      </x:c>
      <x:c r="AA233" s="9" t="n">
        <x:f>SQRT((Inputs!$C$52+B233)^2+(Inputs!$C$52+Y233/1000)^2-2*(Inputs!$C$52+B233)*(Inputs!$C$52+Y233/1000)*COS(SQRT(A233^2+Inputs!$C$6^2)/Inputs!$C$52))</x:f>
        <x:v>408.980881860623</x:v>
      </x:c>
      <x:c r="AB233" s="9" t="n">
        <x:f>(AA233-Z233)*1000</x:f>
        <x:v>5551.843766342927</x:v>
      </x:c>
      <x:c r="AC233" s="9" t="n">
        <x:f>AB233/Inputs!$C$12</x:f>
        <x:v>3119.0133518780485</x:v>
      </x:c>
      <x:c r="AD233" s="9" t="n">
        <x:f>2*AB233/Inputs!$C$21*1000000</x:f>
        <x:v>37.03791485203359</x:v>
      </x:c>
      <x:c r="AE233" s="9" t="n">
        <x:f>DEGREES(ATAN(H233/(B233-Y233/1000)))</x:f>
        <x:v>8.584226842449953</x:v>
      </x:c>
      <x:c r="AF233" s="9" t="n">
        <x:f>DEGREES((2*PI()/Inputs!$C$13)*Inputs!$C$15*SIN(RADIANS(AE233)))</x:f>
        <x:v>53.73473023571867</x:v>
      </x:c>
      <x:c r="AG233" s="9" t="n">
        <x:f>(Z233/AA233)^4</x:f>
        <x:v>0.9467963844003118</x:v>
      </x:c>
      <x:c r="AH233" s="9" t="n">
        <x:f>10*LOG10(AG233)</x:f>
        <x:v>-0.237434092114715</x:v>
      </x:c>
      <x:c r="AI233" s="9" t="n">
        <x:f>AC233-F233</x:f>
        <x:v>-104.41719175841172</x:v>
      </x:c>
      <x:c r="AJ233" s="9" t="n">
        <x:f>AD233-G233</x:f>
        <x:v>-1.2399418088761394</x:v>
      </x:c>
      <x:c r="AK233" s="9" t="n">
        <x:f>Y233-X233</x:f>
        <x:v>189.09036355470295</x:v>
      </x:c>
      <x:c r="AL233" s="9" t="n">
        <x:f>1000*(AA234-AA232)/(A234-A232)*Inputs!$C$11</x:f>
        <x:v>1177.1656114422058</x:v>
      </x:c>
      <x:c r="AM233" s="9" t="n">
        <x:f>-2*AL233/Inputs!$C$13</x:f>
        <x:v>-470.8662445768823</x:v>
      </x:c>
      <x:c r="AN233" s="9" t="n">
        <x:f>-2*AL233/Inputs!$C$14</x:f>
        <x:v>-70.70063732385621</x:v>
      </x:c>
      <x:c r="AO233" s="9" t="n">
        <x:f>ABS(AM233)</x:f>
        <x:v>470.8662445768823</x:v>
      </x:c>
      <x:c r="AP233" s="9" t="n">
        <x:f>ABS(AN233)</x:f>
        <x:v>70.70063732385621</x:v>
      </x:c>
      <x:c r="AQ233" s="9" t="n">
        <x:f>IF(OR(Inputs!$C$27=TRUE,Inputs!$C$27="TRUE",Inputs!$C$27=1),Inputs!$C$46/Inputs!$C$12,0)</x:f>
        <x:v>42.13483146067416</x:v>
      </x:c>
      <x:c r="AR233" s="9" t="n">
        <x:f>AC233-AQ233</x:f>
        <x:v>3076.878520417374</x:v>
      </x:c>
      <x:c r="AS233" s="9" t="n">
        <x:f>AC233+AQ233</x:f>
        <x:v>3161.148183338723</x:v>
      </x:c>
    </x:row>
    <x:row r="234">
      <x:c r="A234" s="9" t="n">
        <x:f>Inputs!$C$7+232*(Inputs!$C$8-Inputs!$C$7)/240</x:f>
        <x:v>56</x:v>
      </x:c>
      <x:c r="B234" s="9" t="n">
        <x:f>Inputs!$C$5+Inputs!$C$9*(A234/Inputs!$C$10)^2</x:f>
        <x:v>403.4844444444444</x:v>
      </x:c>
      <x:c r="C234" s="9" t="n">
        <x:f>B234</x:f>
        <x:v>403.4844444444444</x:v>
      </x:c>
      <x:c r="D234" s="9" t="n">
        <x:f>SQRT((Inputs!$C$52+B234)^2+Inputs!$C$52^2-2*(Inputs!$C$52+B234)*Inputs!$C$52*COS(SQRT(A234^2+Inputs!$C$6^2)/Inputs!$C$52))</x:f>
        <x:v>409.30715727697145</x:v>
      </x:c>
      <x:c r="E234" s="9" t="n">
        <x:f>(D234-C234)*1000</x:f>
        <x:v>5822.712832527031</x:v>
      </x:c>
      <x:c r="F234" s="9" t="n">
        <x:f>E234/Inputs!$C$12</x:f>
        <x:v>3271.186984565748</x:v>
      </x:c>
      <x:c r="G234" s="9" t="n">
        <x:f>2*E234/Inputs!$C$21*1000000</x:f>
        <x:v>38.84495875161097</x:v>
      </x:c>
      <x:c r="H234" s="9" t="n">
        <x:f>SQRT(A234^2+Inputs!$C$6^2)</x:f>
        <x:v>61.326992425847855</x:v>
      </x:c>
      <x:c r="I234" s="9" t="n">
        <x:f>DEGREES(ATAN(H234/B234))</x:f>
        <x:v>8.642435724573849</x:v>
      </x:c>
      <x:c r="J234" s="9" t="n">
        <x:f>DEGREES((2*PI()/Inputs!$C$13)*Inputs!$C$15*SIN(RADIANS(I234)))</x:f>
        <x:v>54.09634246852054</x:v>
      </x:c>
      <x:c r="K234" s="9" t="n">
        <x:f>(C234/D234)^4</x:f>
        <x:v>0.9442996491308502</x:v>
      </x:c>
      <x:c r="L234" s="9" t="n">
        <x:f>10*LOG10(K234)</x:f>
        <x:v>-0.248901716826454</x:v>
      </x:c>
      <x:c r="M234" s="9" t="n">
        <x:f>2*(Inputs!$C$9/(Inputs!$C$10^2))*A234</x:f>
        <x:v>0.12444444444444444</x:v>
      </x:c>
      <x:c r="N234" s="9" t="n">
        <x:f>M234*Inputs!$C$11</x:f>
        <x:v>0.49777777777777776</x:v>
      </x:c>
      <x:c r="O234" s="9" t="n">
        <x:f>1000*(D235-D233)/(A235-A233)*Inputs!$C$11</x:f>
        <x:v>1180.7238176422743</x:v>
      </x:c>
      <x:c r="P234" s="9" t="n">
        <x:f>-2*O234/Inputs!$C$13</x:f>
        <x:v>-472.2895270569097</x:v>
      </x:c>
      <x:c r="Q234" s="9" t="n">
        <x:f>-2*O234/Inputs!$C$14</x:f>
        <x:v>-70.9143434019384</x:v>
      </x:c>
      <x:c r="R234" s="9" t="n">
        <x:f>F234-Inputs!$C$16/2</x:f>
        <x:v>3256.186984565748</x:v>
      </x:c>
      <x:c r="S234" s="9" t="n">
        <x:f>F234+Inputs!$C$16/2</x:f>
        <x:v>3286.186984565748</x:v>
      </x:c>
      <x:c r="T234" s="9" t="n">
        <x:f>F234-Inputs!$C$17/2</x:f>
        <x:v>3121.186984565748</x:v>
      </x:c>
      <x:c r="U234" s="9" t="n">
        <x:f>F234+Inputs!$C$17/2</x:f>
        <x:v>3421.186984565748</x:v>
      </x:c>
      <x:c r="V234" s="9" t="n">
        <x:f>ABS(P234)</x:f>
        <x:v>472.2895270569097</x:v>
      </x:c>
      <x:c r="W234" s="9" t="n">
        <x:f>ABS(Q234)</x:f>
        <x:v>70.9143434019384</x:v>
      </x:c>
      <x:c r="X234" s="9"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x:f>
        <x:v>-4.357290177669684</x:v>
      </x:c>
      <x:c r="Y234" s="9"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x:f>
        <x:v>186.90390563143987</x:v>
      </x:c>
      <x:c r="Z234" s="9" t="n">
        <x:f>B234-X234/1000</x:f>
        <x:v>403.4888017346221</x:v>
      </x:c>
      <x:c r="AA234" s="9" t="n">
        <x:f>SQRT((Inputs!$C$52+B234)^2+(Inputs!$C$52+Y234/1000)^2-2*(Inputs!$C$52+B234)*(Inputs!$C$52+Y234/1000)*COS(SQRT(A234^2+Inputs!$C$6^2)/Inputs!$C$52))</x:f>
        <x:v>409.1236060453051</x:v>
      </x:c>
      <x:c r="AB234" s="9" t="n">
        <x:f>(AA234-Z234)*1000</x:f>
        <x:v>5634.804310683023</x:v>
      </x:c>
      <x:c r="AC234" s="9" t="n">
        <x:f>AB234/Inputs!$C$12</x:f>
        <x:v>3165.620399260125</x:v>
      </x:c>
      <x:c r="AD234" s="9" t="n">
        <x:f>2*AB234/Inputs!$C$21*1000000</x:f>
        <x:v>37.59136803023259</x:v>
      </x:c>
      <x:c r="AE234" s="9" t="n">
        <x:f>DEGREES(ATAN(H234/(B234-Y234/1000)))</x:f>
        <x:v>8.646380450401507</x:v>
      </x:c>
      <x:c r="AF234" s="9" t="n">
        <x:f>DEGREES((2*PI()/Inputs!$C$13)*Inputs!$C$15*SIN(RADIANS(AE234)))</x:f>
        <x:v>54.120846353803564</x:v>
      </x:c>
      <x:c r="AG234" s="9" t="n">
        <x:f>(Z234/AA234)^4</x:f>
        <x:v>0.9460362753552519</x:v>
      </x:c>
      <x:c r="AH234" s="9" t="n">
        <x:f>10*LOG10(AG234)</x:f>
        <x:v>-0.24092210443273399</x:v>
      </x:c>
      <x:c r="AI234" s="9" t="n">
        <x:f>AC234-F234</x:f>
        <x:v>-105.566585305623</x:v>
      </x:c>
      <x:c r="AJ234" s="9" t="n">
        <x:f>AD234-G234</x:f>
        <x:v>-1.2535907213783801</x:v>
      </x:c>
      <x:c r="AK234" s="9" t="n">
        <x:f>Y234-X234</x:f>
        <x:v>191.26119580910955</x:v>
      </x:c>
      <x:c r="AL234" s="9" t="n">
        <x:f>1000*(AA235-AA233)/(A235-A233)*Inputs!$C$11</x:f>
        <x:v>1151.5738905047783</x:v>
      </x:c>
      <x:c r="AM234" s="9" t="n">
        <x:f>-2*AL234/Inputs!$C$13</x:f>
        <x:v>-460.6295562019113</x:v>
      </x:c>
      <x:c r="AN234" s="9" t="n">
        <x:f>-2*AL234/Inputs!$C$14</x:f>
        <x:v>-69.16359702731403</x:v>
      </x:c>
      <x:c r="AO234" s="9" t="n">
        <x:f>ABS(AM234)</x:f>
        <x:v>460.6295562019113</x:v>
      </x:c>
      <x:c r="AP234" s="9" t="n">
        <x:f>ABS(AN234)</x:f>
        <x:v>69.16359702731403</x:v>
      </x:c>
      <x:c r="AQ234" s="9" t="n">
        <x:f>IF(OR(Inputs!$C$27=TRUE,Inputs!$C$27="TRUE",Inputs!$C$27=1),Inputs!$C$46/Inputs!$C$12,0)</x:f>
        <x:v>42.13483146067416</x:v>
      </x:c>
      <x:c r="AR234" s="9" t="n">
        <x:f>AC234-AQ234</x:f>
        <x:v>3123.4855677994506</x:v>
      </x:c>
      <x:c r="AS234" s="9" t="n">
        <x:f>AC234+AQ234</x:f>
        <x:v>3207.7552307207993</x:v>
      </x:c>
    </x:row>
    <x:row r="235">
      <x:c r="A235" s="9" t="n">
        <x:f>Inputs!$C$7+233*(Inputs!$C$8-Inputs!$C$7)/240</x:f>
        <x:v>56.5</x:v>
      </x:c>
      <x:c r="B235" s="9" t="n">
        <x:f>Inputs!$C$5+Inputs!$C$9*(A235/Inputs!$C$10)^2</x:f>
        <x:v>403.5469444444444</x:v>
      </x:c>
      <x:c r="C235" s="9" t="n">
        <x:f>B235</x:f>
        <x:v>403.5469444444444</x:v>
      </x:c>
      <x:c r="D235" s="9" t="n">
        <x:f>SQRT((Inputs!$C$52+B235)^2+Inputs!$C$52^2-2*(Inputs!$C$52+B235)*Inputs!$C$52*COS(SQRT(A235^2+Inputs!$C$6^2)/Inputs!$C$52))</x:f>
        <x:v>409.4553873220835</x:v>
      </x:c>
      <x:c r="E235" s="9" t="n">
        <x:f>(D235-C235)*1000</x:f>
        <x:v>5908.442877639061</x:v>
      </x:c>
      <x:c r="F235" s="9" t="n">
        <x:f>E235/Inputs!$C$12</x:f>
        <x:v>3319.3499312578997</x:v>
      </x:c>
      <x:c r="G235" s="9" t="n">
        <x:f>2*E235/Inputs!$C$21*1000000</x:f>
        <x:v>39.41688805019279</x:v>
      </x:c>
      <x:c r="H235" s="9" t="n">
        <x:f>SQRT(A235^2+Inputs!$C$6^2)</x:f>
        <x:v>61.78389757857625</x:v>
      </x:c>
      <x:c r="I235" s="9" t="n">
        <x:f>DEGREES(ATAN(H235/B235))</x:f>
        <x:v>8.704513953078392</x:v>
      </x:c>
      <x:c r="J235" s="9" t="n">
        <x:f>DEGREES((2*PI()/Inputs!$C$13)*Inputs!$C$15*SIN(RADIANS(I235)))</x:f>
        <x:v>54.48193078721229</x:v>
      </x:c>
      <x:c r="K235" s="9" t="n">
        <x:f>(C235/D235)^4</x:f>
        <x:v>0.943517358691968</x:v>
      </x:c>
      <x:c r="L235" s="9" t="n">
        <x:f>10*LOG10(K235)</x:f>
        <x:v>-0.252501053402946</x:v>
      </x:c>
      <x:c r="M235" s="9" t="n">
        <x:f>2*(Inputs!$C$9/(Inputs!$C$10^2))*A235</x:f>
        <x:v>0.12555555555555556</x:v>
      </x:c>
      <x:c r="N235" s="9" t="n">
        <x:f>M235*Inputs!$C$11</x:f>
        <x:v>0.5022222222222222</x:v>
      </x:c>
      <x:c r="O235" s="9" t="n">
        <x:f>1000*(D236-D234)/(A236-A234)*Inputs!$C$11</x:f>
        <x:v>1190.9529173883584</x:v>
      </x:c>
      <x:c r="P235" s="9" t="n">
        <x:f>-2*O235/Inputs!$C$13</x:f>
        <x:v>-476.38116695534336</x:v>
      </x:c>
      <x:c r="Q235" s="9" t="n">
        <x:f>-2*O235/Inputs!$C$14</x:f>
        <x:v>-71.52870374704855</x:v>
      </x:c>
      <x:c r="R235" s="9" t="n">
        <x:f>F235-Inputs!$C$16/2</x:f>
        <x:v>3304.3499312578997</x:v>
      </x:c>
      <x:c r="S235" s="9" t="n">
        <x:f>F235+Inputs!$C$16/2</x:f>
        <x:v>3334.3499312578997</x:v>
      </x:c>
      <x:c r="T235" s="9" t="n">
        <x:f>F235-Inputs!$C$17/2</x:f>
        <x:v>3169.3499312578997</x:v>
      </x:c>
      <x:c r="U235" s="9" t="n">
        <x:f>F235+Inputs!$C$17/2</x:f>
        <x:v>3469.3499312578997</x:v>
      </x:c>
      <x:c r="V235" s="9" t="n">
        <x:f>ABS(P235)</x:f>
        <x:v>476.38116695534336</x:v>
      </x:c>
      <x:c r="W235" s="9" t="n">
        <x:f>ABS(Q235)</x:f>
        <x:v>71.52870374704855</x:v>
      </x:c>
      <x:c r="X235" s="9"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x:f>
        <x:v>21.715435034758002</x:v>
      </x:c>
      <x:c r="Y235" s="9"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x:f>
        <x:v>190.07062484954076</x:v>
      </x:c>
      <x:c r="Z235" s="9" t="n">
        <x:f>B235-X235/1000</x:f>
        <x:v>403.52522900940966</x:v>
      </x:c>
      <x:c r="AA235" s="9" t="n">
        <x:f>SQRT((Inputs!$C$52+B235)^2+(Inputs!$C$52+Y235/1000)^2-2*(Inputs!$C$52+B235)*(Inputs!$C$52+Y235/1000)*COS(SQRT(A235^2+Inputs!$C$6^2)/Inputs!$C$52))</x:f>
        <x:v>409.2687753332492</x:v>
      </x:c>
      <x:c r="AB235" s="9" t="n">
        <x:f>(AA235-Z235)*1000</x:f>
        <x:v>5743.546323839553</x:v>
      </x:c>
      <x:c r="AC235" s="9" t="n">
        <x:f>AB235/Inputs!$C$12</x:f>
        <x:v>3226.7114178873894</x:v>
      </x:c>
      <x:c r="AD235" s="9" t="n">
        <x:f>2*AB235/Inputs!$C$21*1000000</x:f>
        <x:v>38.316816654804256</x:v>
      </x:c>
      <x:c r="AE235" s="9" t="n">
        <x:f>DEGREES(ATAN(H235/(B235-Y235/1000)))</x:f>
        <x:v>8.708552844934305</x:v>
      </x:c>
      <x:c r="AF235" s="9" t="n">
        <x:f>DEGREES((2*PI()/Inputs!$C$13)*Inputs!$C$15*SIN(RADIANS(AE235)))</x:f>
        <x:v>54.50701546344804</x:v>
      </x:c>
      <x:c r="AG235" s="9" t="n">
        <x:f>(Z235/AA235)^4</x:f>
        <x:v>0.9450359350142217</x:v>
      </x:c>
      <x:c r="AH235" s="9" t="n">
        <x:f>10*LOG10(AG235)</x:f>
        <x:v>-0.24551677118606502</x:v>
      </x:c>
      <x:c r="AI235" s="9" t="n">
        <x:f>AC235-F235</x:f>
        <x:v>-92.63851337051028</x:v>
      </x:c>
      <x:c r="AJ235" s="9" t="n">
        <x:f>AD235-G235</x:f>
        <x:v>-1.1000713953885324</x:v>
      </x:c>
      <x:c r="AK235" s="9" t="n">
        <x:f>Y235-X235</x:f>
        <x:v>168.35518981478276</x:v>
      </x:c>
      <x:c r="AL235" s="9" t="n">
        <x:f>1000*(AA236-AA234)/(A236-A234)*Inputs!$C$11</x:f>
        <x:v>1137.2362549775517</x:v>
      </x:c>
      <x:c r="AM235" s="9" t="n">
        <x:f>-2*AL235/Inputs!$C$13</x:f>
        <x:v>-454.89450199102066</x:v>
      </x:c>
      <x:c r="AN235" s="9" t="n">
        <x:f>-2*AL235/Inputs!$C$14</x:f>
        <x:v>-68.30247777642954</x:v>
      </x:c>
      <x:c r="AO235" s="9" t="n">
        <x:f>ABS(AM235)</x:f>
        <x:v>454.89450199102066</x:v>
      </x:c>
      <x:c r="AP235" s="9" t="n">
        <x:f>ABS(AN235)</x:f>
        <x:v>68.30247777642954</x:v>
      </x:c>
      <x:c r="AQ235" s="9" t="n">
        <x:f>IF(OR(Inputs!$C$27=TRUE,Inputs!$C$27="TRUE",Inputs!$C$27=1),Inputs!$C$46/Inputs!$C$12,0)</x:f>
        <x:v>42.13483146067416</x:v>
      </x:c>
      <x:c r="AR235" s="9" t="n">
        <x:f>AC235-AQ235</x:f>
        <x:v>3184.576586426715</x:v>
      </x:c>
      <x:c r="AS235" s="9" t="n">
        <x:f>AC235+AQ235</x:f>
        <x:v>3268.846249348064</x:v>
      </x:c>
    </x:row>
    <x:row r="236">
      <x:c r="A236" s="9" t="n">
        <x:f>Inputs!$C$7+234*(Inputs!$C$8-Inputs!$C$7)/240</x:f>
        <x:v>57</x:v>
      </x:c>
      <x:c r="B236" s="9" t="n">
        <x:f>Inputs!$C$5+Inputs!$C$9*(A236/Inputs!$C$10)^2</x:f>
        <x:v>403.61</x:v>
      </x:c>
      <x:c r="C236" s="9" t="n">
        <x:f>B236</x:f>
        <x:v>403.61</x:v>
      </x:c>
      <x:c r="D236" s="9" t="n">
        <x:f>SQRT((Inputs!$C$52+B236)^2+Inputs!$C$52^2-2*(Inputs!$C$52+B236)*Inputs!$C$52*COS(SQRT(A236^2+Inputs!$C$6^2)/Inputs!$C$52))</x:f>
        <x:v>409.60489550631854</x:v>
      </x:c>
      <x:c r="E236" s="9" t="n">
        <x:f>(D236-C236)*1000</x:f>
        <x:v>5994.895506318528</x:v>
      </x:c>
      <x:c r="F236" s="9" t="n">
        <x:f>E236/Inputs!$C$12</x:f>
        <x:v>3367.918823774454</x:v>
      </x:c>
      <x:c r="G236" s="9" t="n">
        <x:f>2*E236/Inputs!$C$21*1000000</x:f>
        <x:v>39.99363790745215</x:v>
      </x:c>
      <x:c r="H236" s="9" t="n">
        <x:f>SQRT(A236^2+Inputs!$C$6^2)</x:f>
        <x:v>62.24146527838174</x:v>
      </x:c>
      <x:c r="I236" s="9" t="n">
        <x:f>DEGREES(ATAN(H236/B236))</x:f>
        <x:v>8.766632366658216</x:v>
      </x:c>
      <x:c r="J236" s="9" t="n">
        <x:f>DEGREES((2*PI()/Inputs!$C$13)*Inputs!$C$15*SIN(RADIANS(I236)))</x:f>
        <x:v>54.86770468976069</x:v>
      </x:c>
      <x:c r="K236" s="9" t="n">
        <x:f>(C236/D236)^4</x:f>
        <x:v>0.9427295437414654</x:v>
      </x:c>
      <x:c r="L236" s="9" t="n">
        <x:f>10*LOG10(K236)</x:f>
        <x:v>-0.256128825623194</x:v>
      </x:c>
      <x:c r="M236" s="9" t="n">
        <x:f>2*(Inputs!$C$9/(Inputs!$C$10^2))*A236</x:f>
        <x:v>0.12666666666666668</x:v>
      </x:c>
      <x:c r="N236" s="9" t="n">
        <x:f>M236*Inputs!$C$11</x:f>
        <x:v>0.5066666666666667</x:v>
      </x:c>
      <x:c r="O236" s="9" t="n">
        <x:f>1000*(D237-D235)/(A237-A235)*Inputs!$C$11</x:f>
        <x:v>1201.1740155269308</x:v>
      </x:c>
      <x:c r="P236" s="9" t="n">
        <x:f>-2*O236/Inputs!$C$13</x:f>
        <x:v>-480.4696062107723</x:v>
      </x:c>
      <x:c r="Q236" s="9" t="n">
        <x:f>-2*O236/Inputs!$C$14</x:f>
        <x:v>-72.14258351513098</x:v>
      </x:c>
      <x:c r="R236" s="9" t="n">
        <x:f>F236-Inputs!$C$16/2</x:f>
        <x:v>3352.918823774454</x:v>
      </x:c>
      <x:c r="S236" s="9" t="n">
        <x:f>F236+Inputs!$C$16/2</x:f>
        <x:v>3382.918823774454</x:v>
      </x:c>
      <x:c r="T236" s="9" t="n">
        <x:f>F236-Inputs!$C$17/2</x:f>
        <x:v>3217.918823774454</x:v>
      </x:c>
      <x:c r="U236" s="9" t="n">
        <x:f>F236+Inputs!$C$17/2</x:f>
        <x:v>3517.918823774454</x:v>
      </x:c>
      <x:c r="V236" s="9" t="n">
        <x:f>ABS(P236)</x:f>
        <x:v>480.4696062107723</x:v>
      </x:c>
      <x:c r="W236" s="9" t="n">
        <x:f>ABS(Q236)</x:f>
        <x:v>72.14258351513098</x:v>
      </x:c>
      <x:c r="X236" s="9"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x:f>
        <x:v>18.4135707545088</x:v>
      </x:c>
      <x:c r="Y236" s="9"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x:f>
        <x:v>200.68454527158707</x:v>
      </x:c>
      <x:c r="Z236" s="9" t="n">
        <x:f>B236-X236/1000</x:f>
        <x:v>403.5915864292455</x:v>
      </x:c>
      <x:c r="AA236" s="9" t="n">
        <x:f>SQRT((Inputs!$C$52+B236)^2+(Inputs!$C$52+Y236/1000)^2-2*(Inputs!$C$52+B236)*(Inputs!$C$52+Y236/1000)*COS(SQRT(A236^2+Inputs!$C$6^2)/Inputs!$C$52))</x:f>
        <x:v>409.4079151090495</x:v>
      </x:c>
      <x:c r="AB236" s="9" t="n">
        <x:f>(AA236-Z236)*1000</x:f>
        <x:v>5816.3286798039735</x:v>
      </x:c>
      <x:c r="AC236" s="9" t="n">
        <x:f>AB236/Inputs!$C$12</x:f>
        <x:v>3267.600381912345</x:v>
      </x:c>
      <x:c r="AD236" s="9" t="n">
        <x:f>2*AB236/Inputs!$C$21*1000000</x:f>
        <x:v>38.80236826907749</x:v>
      </x:c>
      <x:c r="AE236" s="9" t="n">
        <x:f>DEGREES(ATAN(H236/(B236-Y236/1000)))</x:f>
        <x:v>8.770925716837477</x:v>
      </x:c>
      <x:c r="AF236" s="9" t="n">
        <x:f>DEGREES((2*PI()/Inputs!$C$13)*Inputs!$C$15*SIN(RADIANS(AE236)))</x:f>
        <x:v>54.89436529918362</x:v>
      </x:c>
      <x:c r="AG236" s="9" t="n">
        <x:f>(Z236/AA236)^4</x:f>
        <x:v>0.9443728164703866</x:v>
      </x:c>
      <x:c r="AH236" s="9" t="n">
        <x:f>10*LOG10(AG236)</x:f>
        <x:v>-0.248565224688078</x:v>
      </x:c>
      <x:c r="AI236" s="9" t="n">
        <x:f>AC236-F236</x:f>
        <x:v>-100.31844186210901</x:v>
      </x:c>
      <x:c r="AJ236" s="9" t="n">
        <x:f>AD236-G236</x:f>
        <x:v>-1.1912696383746564</x:v>
      </x:c>
      <x:c r="AK236" s="9" t="n">
        <x:f>Y236-X236</x:f>
        <x:v>182.27097451707826</x:v>
      </x:c>
      <x:c r="AL236" s="9" t="n">
        <x:f>1000*(AA237-AA235)/(A237-A235)*Inputs!$C$11</x:f>
        <x:v>1247.8598946695456</x:v>
      </x:c>
      <x:c r="AM236" s="9" t="n">
        <x:f>-2*AL236/Inputs!$C$13</x:f>
        <x:v>-499.14395786781824</x:v>
      </x:c>
      <x:c r="AN236" s="9" t="n">
        <x:f>-2*AL236/Inputs!$C$14</x:f>
        <x:v>-74.94654022039313</x:v>
      </x:c>
      <x:c r="AO236" s="9" t="n">
        <x:f>ABS(AM236)</x:f>
        <x:v>499.14395786781824</x:v>
      </x:c>
      <x:c r="AP236" s="9" t="n">
        <x:f>ABS(AN236)</x:f>
        <x:v>74.94654022039313</x:v>
      </x:c>
      <x:c r="AQ236" s="9" t="n">
        <x:f>IF(OR(Inputs!$C$27=TRUE,Inputs!$C$27="TRUE",Inputs!$C$27=1),Inputs!$C$46/Inputs!$C$12,0)</x:f>
        <x:v>42.13483146067416</x:v>
      </x:c>
      <x:c r="AR236" s="9" t="n">
        <x:f>AC236-AQ236</x:f>
        <x:v>3225.4655504516704</x:v>
      </x:c>
      <x:c r="AS236" s="9" t="n">
        <x:f>AC236+AQ236</x:f>
        <x:v>3309.735213373019</x:v>
      </x:c>
    </x:row>
    <x:row r="237">
      <x:c r="A237" s="9" t="n">
        <x:f>Inputs!$C$7+235*(Inputs!$C$8-Inputs!$C$7)/240</x:f>
        <x:v>57.5</x:v>
      </x:c>
      <x:c r="B237" s="9" t="n">
        <x:f>Inputs!$C$5+Inputs!$C$9*(A237/Inputs!$C$10)^2</x:f>
        <x:v>403.6736111111111</x:v>
      </x:c>
      <x:c r="C237" s="9" t="n">
        <x:f>B237</x:f>
        <x:v>403.6736111111111</x:v>
      </x:c>
      <x:c r="D237" s="9" t="n">
        <x:f>SQRT((Inputs!$C$52+B237)^2+Inputs!$C$52^2-2*(Inputs!$C$52+B237)*Inputs!$C$52*COS(SQRT(A237^2+Inputs!$C$6^2)/Inputs!$C$52))</x:f>
        <x:v>409.7556808259652</x:v>
      </x:c>
      <x:c r="E237" s="9" t="n">
        <x:f>(D237-C237)*1000</x:f>
        <x:v>6082.0697148541285</x:v>
      </x:c>
      <x:c r="F237" s="9" t="n">
        <x:f>E237/Inputs!$C$12</x:f>
        <x:v>3416.8930982326565</x:v>
      </x:c>
      <x:c r="G237" s="9" t="n">
        <x:f>2*E237/Inputs!$C$21*1000000</x:f>
        <x:v>40.575201627348</x:v>
      </x:c>
      <x:c r="H237" s="9" t="n">
        <x:f>SQRT(A237^2+Inputs!$C$6^2)</x:f>
        <x:v>62.69968101992226</x:v>
      </x:c>
      <x:c r="I237" s="9" t="n">
        <x:f>DEGREES(ATAN(H237/B237))</x:f>
        <x:v>8.828788473728661</x:v>
      </x:c>
      <x:c r="J237" s="9" t="n">
        <x:f>DEGREES((2*PI()/Inputs!$C$13)*Inputs!$C$15*SIN(RADIANS(I237)))</x:f>
        <x:v>55.25364812839616</x:v>
      </x:c>
      <x:c r="K237" s="9" t="n">
        <x:f>(C237/D237)^4</x:f>
        <x:v>0.9419362385433314</x:v>
      </x:c>
      <x:c r="L237" s="9" t="n">
        <x:f>10*LOG10(K237)</x:f>
        <x:v>-0.259784944321808</x:v>
      </x:c>
      <x:c r="M237" s="9" t="n">
        <x:f>2*(Inputs!$C$9/(Inputs!$C$10^2))*A237</x:f>
        <x:v>0.12777777777777777</x:v>
      </x:c>
      <x:c r="N237" s="9" t="n">
        <x:f>M237*Inputs!$C$11</x:f>
        <x:v>0.5111111111111111</x:v>
      </x:c>
      <x:c r="O237" s="9" t="n">
        <x:f>1000*(D238-D236)/(A238-A236)*Inputs!$C$11</x:f>
        <x:v>1211.38705600697</x:v>
      </x:c>
      <x:c r="P237" s="9" t="n">
        <x:f>-2*O237/Inputs!$C$13</x:f>
        <x:v>-484.554822402788</x:v>
      </x:c>
      <x:c r="Q237" s="9" t="n">
        <x:f>-2*O237/Inputs!$C$14</x:f>
        <x:v>-72.75597933975796</x:v>
      </x:c>
      <x:c r="R237" s="9" t="n">
        <x:f>F237-Inputs!$C$16/2</x:f>
        <x:v>3401.8930982326565</x:v>
      </x:c>
      <x:c r="S237" s="9" t="n">
        <x:f>F237+Inputs!$C$16/2</x:f>
        <x:v>3431.8930982326565</x:v>
      </x:c>
      <x:c r="T237" s="9" t="n">
        <x:f>F237-Inputs!$C$17/2</x:f>
        <x:v>3266.8930982326565</x:v>
      </x:c>
      <x:c r="U237" s="9" t="n">
        <x:f>F237+Inputs!$C$17/2</x:f>
        <x:v>3566.8930982326565</x:v>
      </x:c>
      <x:c r="V237" s="9" t="n">
        <x:f>ABS(P237)</x:f>
        <x:v>484.554822402788</x:v>
      </x:c>
      <x:c r="W237" s="9" t="n">
        <x:f>ABS(Q237)</x:f>
        <x:v>72.75597933975796</x:v>
      </x:c>
      <x:c r="X237" s="9"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x:f>
        <x:v>25.968776223167485</x:v>
      </x:c>
      <x:c r="Y237" s="9"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x:f>
        <x:v>178.2777126906697</x:v>
      </x:c>
      <x:c r="Z237" s="9" t="n">
        <x:f>B237-X237/1000</x:f>
        <x:v>403.6476423348879</x:v>
      </x:c>
      <x:c r="AA237" s="9" t="n">
        <x:f>SQRT((Inputs!$C$52+B237)^2+(Inputs!$C$52+Y237/1000)^2-2*(Inputs!$C$52+B237)*(Inputs!$C$52+Y237/1000)*COS(SQRT(A237^2+Inputs!$C$6^2)/Inputs!$C$52))</x:f>
        <x:v>409.5807403069166</x:v>
      </x:c>
      <x:c r="AB237" s="9" t="n">
        <x:f>(AA237-Z237)*1000</x:f>
        <x:v>5933.0979720286905</x:v>
      </x:c>
      <x:c r="AC237" s="9" t="n">
        <x:f>AB237/Inputs!$C$12</x:f>
        <x:v>3333.2011078812866</x:v>
      </x:c>
      <x:c r="AD237" s="9" t="n">
        <x:f>2*AB237/Inputs!$C$21*1000000</x:f>
        <x:v>39.58136913523482</x:v>
      </x:c>
      <x:c r="AE237" s="9" t="n">
        <x:f>DEGREES(ATAN(H237/(B237-Y237/1000)))</x:f>
        <x:v>8.832627831561567</x:v>
      </x:c>
      <x:c r="AF237" s="9" t="n">
        <x:f>DEGREES((2*PI()/Inputs!$C$13)*Inputs!$C$15*SIN(RADIANS(AE237)))</x:f>
        <x:v>55.27748557229335</x:v>
      </x:c>
      <x:c r="AG237" s="9" t="n">
        <x:f>(Z237/AA237)^4</x:f>
        <x:v>0.9433037785124574</x:v>
      </x:c>
      <x:c r="AH237" s="9" t="n">
        <x:f>10*LOG10(AG237)</x:f>
        <x:v>-0.253484259409838</x:v>
      </x:c>
      <x:c r="AI237" s="9" t="n">
        <x:f>AC237-F237</x:f>
        <x:v>-83.6919903513699</x:v>
      </x:c>
      <x:c r="AJ237" s="9" t="n">
        <x:f>AD237-G237</x:f>
        <x:v>-0.993832492113178</x:v>
      </x:c>
      <x:c r="AK237" s="9" t="n">
        <x:f>Y237-X237</x:f>
        <x:v>152.3089364675022</x:v>
      </x:c>
      <x:c r="AL237" s="9" t="n">
        <x:f>1000*(AA238-AA236)/(A238-A236)*Inputs!$C$11</x:f>
        <x:v>1235.9694377680626</x:v>
      </x:c>
      <x:c r="AM237" s="9" t="n">
        <x:f>-2*AL237/Inputs!$C$13</x:f>
        <x:v>-494.387775107225</x:v>
      </x:c>
      <x:c r="AN237" s="9" t="n">
        <x:f>-2*AL237/Inputs!$C$14</x:f>
        <x:v>-74.2323986647485</x:v>
      </x:c>
      <x:c r="AO237" s="9" t="n">
        <x:f>ABS(AM237)</x:f>
        <x:v>494.387775107225</x:v>
      </x:c>
      <x:c r="AP237" s="9" t="n">
        <x:f>ABS(AN237)</x:f>
        <x:v>74.2323986647485</x:v>
      </x:c>
      <x:c r="AQ237" s="9" t="n">
        <x:f>IF(OR(Inputs!$C$27=TRUE,Inputs!$C$27="TRUE",Inputs!$C$27=1),Inputs!$C$46/Inputs!$C$12,0)</x:f>
        <x:v>42.13483146067416</x:v>
      </x:c>
      <x:c r="AR237" s="9" t="n">
        <x:f>AC237-AQ237</x:f>
        <x:v>3291.066276420612</x:v>
      </x:c>
      <x:c r="AS237" s="9" t="n">
        <x:f>AC237+AQ237</x:f>
        <x:v>3375.335939341961</x:v>
      </x:c>
    </x:row>
    <x:row r="238">
      <x:c r="A238" s="9" t="n">
        <x:f>Inputs!$C$7+236*(Inputs!$C$8-Inputs!$C$7)/240</x:f>
        <x:v>58</x:v>
      </x:c>
      <x:c r="B238" s="9" t="n">
        <x:f>Inputs!$C$5+Inputs!$C$9*(A238/Inputs!$C$10)^2</x:f>
        <x:v>403.73777777777775</x:v>
      </x:c>
      <x:c r="C238" s="9" t="n">
        <x:f>B238</x:f>
        <x:v>403.73777777777775</x:v>
      </x:c>
      <x:c r="D238" s="9" t="n">
        <x:f>SQRT((Inputs!$C$52+B238)^2+Inputs!$C$52^2-2*(Inputs!$C$52+B238)*Inputs!$C$52*COS(SQRT(A238^2+Inputs!$C$6^2)/Inputs!$C$52))</x:f>
        <x:v>409.9077422703203</x:v>
      </x:c>
      <x:c r="E238" s="9" t="n">
        <x:f>(D238-C238)*1000</x:f>
        <x:v>6169.964492542533</x:v>
      </x:c>
      <x:c r="F238" s="9" t="n">
        <x:f>E238/Inputs!$C$12</x:f>
        <x:v>3466.2721868216477</x:v>
      </x:c>
      <x:c r="G238" s="9" t="n">
        <x:f>2*E238/Inputs!$C$21*1000000</x:f>
        <x:v>41.1615724671935</x:v>
      </x:c>
      <x:c r="H238" s="9" t="n">
        <x:f>SQRT(A238^2+Inputs!$C$6^2)</x:f>
        <x:v>63.15853069855251</x:v>
      </x:c>
      <x:c r="I238" s="9" t="n">
        <x:f>DEGREES(ATAN(H238/B238))</x:f>
        <x:v>8.890979841704603</x:v>
      </x:c>
      <x:c r="J238" s="9" t="n">
        <x:f>DEGREES((2*PI()/Inputs!$C$13)*Inputs!$C$15*SIN(RADIANS(I238)))</x:f>
        <x:v>55.639745430303066</x:v>
      </x:c>
      <x:c r="K238" s="9" t="n">
        <x:f>(C238/D238)^4</x:f>
        <x:v>0.9411374775137034</x:v>
      </x:c>
      <x:c r="L238" s="9" t="n">
        <x:f>10*LOG10(K238)</x:f>
        <x:v>-0.263469319770038</x:v>
      </x:c>
      <x:c r="M238" s="9" t="n">
        <x:f>2*(Inputs!$C$9/(Inputs!$C$10^2))*A238</x:f>
        <x:v>0.1288888888888889</x:v>
      </x:c>
      <x:c r="N238" s="9" t="n">
        <x:f>M238*Inputs!$C$11</x:f>
        <x:v>0.5155555555555555</x:v>
      </x:c>
      <x:c r="O238" s="9" t="n">
        <x:f>1000*(D239-D237)/(A239-A237)*Inputs!$C$11</x:f>
        <x:v>1221.5919830948678</x:v>
      </x:c>
      <x:c r="P238" s="9" t="n">
        <x:f>-2*O238/Inputs!$C$13</x:f>
        <x:v>-488.63679323794713</x:v>
      </x:c>
      <x:c r="Q238" s="9" t="n">
        <x:f>-2*O238/Inputs!$C$14</x:f>
        <x:v>-73.36888787356564</x:v>
      </x:c>
      <x:c r="R238" s="9" t="n">
        <x:f>F238-Inputs!$C$16/2</x:f>
        <x:v>3451.2721868216477</x:v>
      </x:c>
      <x:c r="S238" s="9" t="n">
        <x:f>F238+Inputs!$C$16/2</x:f>
        <x:v>3481.2721868216477</x:v>
      </x:c>
      <x:c r="T238" s="9" t="n">
        <x:f>F238-Inputs!$C$17/2</x:f>
        <x:v>3316.2721868216477</x:v>
      </x:c>
      <x:c r="U238" s="9" t="n">
        <x:f>F238+Inputs!$C$17/2</x:f>
        <x:v>3616.2721868216477</x:v>
      </x:c>
      <x:c r="V238" s="9" t="n">
        <x:f>ABS(P238)</x:f>
        <x:v>488.63679323794713</x:v>
      </x:c>
      <x:c r="W238" s="9" t="n">
        <x:f>ABS(Q238)</x:f>
        <x:v>73.36888787356564</x:v>
      </x:c>
      <x:c r="X238" s="9"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x:f>
        <x:v>30.070182113253747</x:v>
      </x:c>
      <x:c r="Y238" s="9"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x:f>
        <x:v>194.52778179385766</x:v>
      </x:c>
      <x:c r="Z238" s="9" t="n">
        <x:f>B238-X238/1000</x:f>
        <x:v>403.7077075956645</x:v>
      </x:c>
      <x:c r="AA238" s="9" t="n">
        <x:f>SQRT((Inputs!$C$52+B238)^2+(Inputs!$C$52+Y238/1000)^2-2*(Inputs!$C$52+B238)*(Inputs!$C$52+Y238/1000)*COS(SQRT(A238^2+Inputs!$C$6^2)/Inputs!$C$52))</x:f>
        <x:v>409.7169074684915</x:v>
      </x:c>
      <x:c r="AB238" s="9" t="n">
        <x:f>(AA238-Z238)*1000</x:f>
        <x:v>6009.1998728270255</x:v>
      </x:c>
      <x:c r="AC238" s="9" t="n">
        <x:f>AB238/Inputs!$C$12</x:f>
        <x:v>3375.954984734284</x:v>
      </x:c>
      <x:c r="AD238" s="9" t="n">
        <x:f>2*AB238/Inputs!$C$21*1000000</x:f>
        <x:v>40.08906636888794</x:v>
      </x:c>
      <x:c r="AE238" s="9" t="n">
        <x:f>DEGREES(ATAN(H238/(B238-Y238/1000)))</x:f>
        <x:v>8.89519721278091</x:v>
      </x:c>
      <x:c r="AF238" s="9" t="n">
        <x:f>DEGREES((2*PI()/Inputs!$C$13)*Inputs!$C$15*SIN(RADIANS(AE238)))</x:f>
        <x:v>55.6659254028286</x:v>
      </x:c>
      <x:c r="AG238" s="9" t="n">
        <x:f>(Z238/AA238)^4</x:f>
        <x:v>0.9426112530483113</x:v>
      </x:c>
      <x:c r="AH238" s="9" t="n">
        <x:f>10*LOG10(AG238)</x:f>
        <x:v>-0.256673798664166</x:v>
      </x:c>
      <x:c r="AI238" s="9" t="n">
        <x:f>AC238-F238</x:f>
        <x:v>-90.31720208736351</x:v>
      </x:c>
      <x:c r="AJ238" s="9" t="n">
        <x:f>AD238-G238</x:f>
        <x:v>-1.0725060983055599</x:v>
      </x:c>
      <x:c r="AK238" s="9" t="n">
        <x:f>Y238-X238</x:f>
        <x:v>164.45759968060392</x:v>
      </x:c>
      <x:c r="AL238" s="9" t="n">
        <x:f>1000*(AA239-AA237)/(A239-A237)*Inputs!$C$11</x:f>
        <x:v>1182.5271883449204</x:v>
      </x:c>
      <x:c r="AM238" s="9" t="n">
        <x:f>-2*AL238/Inputs!$C$13</x:f>
        <x:v>-473.0108753379682</x:v>
      </x:c>
      <x:c r="AN238" s="9" t="n">
        <x:f>-2*AL238/Inputs!$C$14</x:f>
        <x:v>-71.02265395464988</x:v>
      </x:c>
      <x:c r="AO238" s="9" t="n">
        <x:f>ABS(AM238)</x:f>
        <x:v>473.0108753379682</x:v>
      </x:c>
      <x:c r="AP238" s="9" t="n">
        <x:f>ABS(AN238)</x:f>
        <x:v>71.02265395464988</x:v>
      </x:c>
      <x:c r="AQ238" s="9" t="n">
        <x:f>IF(OR(Inputs!$C$27=TRUE,Inputs!$C$27="TRUE",Inputs!$C$27=1),Inputs!$C$46/Inputs!$C$12,0)</x:f>
        <x:v>42.13483146067416</x:v>
      </x:c>
      <x:c r="AR238" s="9" t="n">
        <x:f>AC238-AQ238</x:f>
        <x:v>3333.82015327361</x:v>
      </x:c>
      <x:c r="AS238" s="9" t="n">
        <x:f>AC238+AQ238</x:f>
        <x:v>3418.0898161949585</x:v>
      </x:c>
    </x:row>
    <x:row r="239">
      <x:c r="A239" s="9" t="n">
        <x:f>Inputs!$C$7+237*(Inputs!$C$8-Inputs!$C$7)/240</x:f>
        <x:v>58.5</x:v>
      </x:c>
      <x:c r="B239" s="9" t="n">
        <x:f>Inputs!$C$5+Inputs!$C$9*(A239/Inputs!$C$10)^2</x:f>
        <x:v>403.8025</x:v>
      </x:c>
      <x:c r="C239" s="9" t="n">
        <x:f>B239</x:f>
        <x:v>403.8025</x:v>
      </x:c>
      <x:c r="D239" s="9" t="n">
        <x:f>SQRT((Inputs!$C$52+B239)^2+Inputs!$C$52^2-2*(Inputs!$C$52+B239)*Inputs!$C$52*COS(SQRT(A239^2+Inputs!$C$6^2)/Inputs!$C$52))</x:f>
        <x:v>410.06107882173893</x:v>
      </x:c>
      <x:c r="E239" s="9" t="n">
        <x:f>(D239-C239)*1000</x:f>
        <x:v>6258.578821738922</x:v>
      </x:c>
      <x:c r="F239" s="9" t="n">
        <x:f>E239/Inputs!$C$12</x:f>
        <x:v>3516.055517830855</x:v>
      </x:c>
      <x:c r="G239" s="9" t="n">
        <x:f>2*E239/Inputs!$C$21*1000000</x:f>
        <x:v>41.7527436379932</x:v>
      </x:c>
      <x:c r="H239" s="9" t="n">
        <x:f>SQRT(A239^2+Inputs!$C$6^2)</x:f>
        <x:v>63.61800059731522</x:v>
      </x:c>
      <x:c r="I239" s="9" t="n">
        <x:f>DEGREES(ATAN(H239/B239))</x:f>
        <x:v>8.953204095149154</x:v>
      </x:c>
      <x:c r="J239" s="9" t="n">
        <x:f>DEGREES((2*PI()/Inputs!$C$13)*Inputs!$C$15*SIN(RADIANS(I239)))</x:f>
        <x:v>56.02598128601325</x:v>
      </x:c>
      <x:c r="K239" s="9" t="n">
        <x:f>(C239/D239)^4</x:f>
        <x:v>0.9403332952175725</x:v>
      </x:c>
      <x:c r="L239" s="9" t="n">
        <x:f>10*LOG10(K239)</x:f>
        <x:v>-0.267181861681228</x:v>
      </x:c>
      <x:c r="M239" s="9" t="n">
        <x:f>2*(Inputs!$C$9/(Inputs!$C$10^2))*A239</x:f>
        <x:v>0.13</x:v>
      </x:c>
      <x:c r="N239" s="9" t="n">
        <x:f>M239*Inputs!$C$11</x:f>
        <x:v>0.52</x:v>
      </x:c>
      <x:c r="O239" s="9" t="n">
        <x:f>1000*(D240-D238)/(A240-A238)*Inputs!$C$11</x:f>
        <x:v>1231.7887414533288</x:v>
      </x:c>
      <x:c r="P239" s="9" t="n">
        <x:f>-2*O239/Inputs!$C$13</x:f>
        <x:v>-492.71549658133154</x:v>
      </x:c>
      <x:c r="Q239" s="9" t="n">
        <x:f>-2*O239/Inputs!$C$14</x:f>
        <x:v>-73.98130579299273</x:v>
      </x:c>
      <x:c r="R239" s="9" t="n">
        <x:f>F239-Inputs!$C$16/2</x:f>
        <x:v>3501.055517830855</x:v>
      </x:c>
      <x:c r="S239" s="9" t="n">
        <x:f>F239+Inputs!$C$16/2</x:f>
        <x:v>3531.055517830855</x:v>
      </x:c>
      <x:c r="T239" s="9" t="n">
        <x:f>F239-Inputs!$C$17/2</x:f>
        <x:v>3366.055517830855</x:v>
      </x:c>
      <x:c r="U239" s="9" t="n">
        <x:f>F239+Inputs!$C$17/2</x:f>
        <x:v>3666.055517830855</x:v>
      </x:c>
      <x:c r="V239" s="9" t="n">
        <x:f>ABS(P239)</x:f>
        <x:v>492.71549658133154</x:v>
      </x:c>
      <x:c r="W239" s="9" t="n">
        <x:f>ABS(Q239)</x:f>
        <x:v>73.98130579299273</x:v>
      </x:c>
      <x:c r="X239" s="9"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x:f>
        <x:v>28.425297518081656</x:v>
      </x:c>
      <x:c r="Y239" s="9"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x:f>
        <x:v>188.33221875951745</x:v>
      </x:c>
      <x:c r="Z239" s="9" t="n">
        <x:f>B239-X239/1000</x:f>
        <x:v>403.7740747024819</x:v>
      </x:c>
      <x:c r="AA239" s="9" t="n">
        <x:f>SQRT((Inputs!$C$52+B239)^2+(Inputs!$C$52+Y239/1000)^2-2*(Inputs!$C$52+B239)*(Inputs!$C$52+Y239/1000)*COS(SQRT(A239^2+Inputs!$C$6^2)/Inputs!$C$52))</x:f>
        <x:v>409.8763721040028</x:v>
      </x:c>
      <x:c r="AB239" s="9" t="n">
        <x:f>(AA239-Z239)*1000</x:f>
        <x:v>6102.2974015209</x:v>
      </x:c>
      <x:c r="AC239" s="9" t="n">
        <x:f>AB239/Inputs!$C$12</x:f>
        <x:v>3428.256967146573</x:v>
      </x:c>
      <x:c r="AD239" s="9" t="n">
        <x:f>2*AB239/Inputs!$C$21*1000000</x:f>
        <x:v>40.71014622736707</x:v>
      </x:c>
      <x:c r="AE239" s="9" t="n">
        <x:f>DEGREES(ATAN(H239/(B239-Y239/1000)))</x:f>
        <x:v>8.95731406724814</x:v>
      </x:c>
      <x:c r="AF239" s="9" t="n">
        <x:f>DEGREES((2*PI()/Inputs!$C$13)*Inputs!$C$15*SIN(RADIANS(AE239)))</x:f>
        <x:v>56.05149021625788</x:v>
      </x:c>
      <x:c r="AG239" s="9" t="n">
        <x:f>(Z239/AA239)^4</x:f>
        <x:v>0.9417642236696917</x:v>
      </x:c>
      <x:c r="AH239" s="9" t="n">
        <x:f>10*LOG10(AG239)</x:f>
        <x:v>-0.2605781183124</x:v>
      </x:c>
      <x:c r="AI239" s="9" t="n">
        <x:f>AC239-F239</x:f>
        <x:v>-87.79855068428196</x:v>
      </x:c>
      <x:c r="AJ239" s="9" t="n">
        <x:f>AD239-G239</x:f>
        <x:v>-1.0425974106261293</x:v>
      </x:c>
      <x:c r="AK239" s="9" t="n">
        <x:f>Y239-X239</x:f>
        <x:v>159.90692124143578</x:v>
      </x:c>
      <x:c r="AL239" s="9" t="n">
        <x:f>1000*(AA240-AA238)/(A240-A238)*Inputs!$C$11</x:f>
        <x:v>1235.2919823920274</x:v>
      </x:c>
      <x:c r="AM239" s="9" t="n">
        <x:f>-2*AL239/Inputs!$C$13</x:f>
        <x:v>-494.11679295681097</x:v>
      </x:c>
      <x:c r="AN239" s="9" t="n">
        <x:f>-2*AL239/Inputs!$C$14</x:f>
        <x:v>-74.19171065417582</x:v>
      </x:c>
      <x:c r="AO239" s="9" t="n">
        <x:f>ABS(AM239)</x:f>
        <x:v>494.11679295681097</x:v>
      </x:c>
      <x:c r="AP239" s="9" t="n">
        <x:f>ABS(AN239)</x:f>
        <x:v>74.19171065417582</x:v>
      </x:c>
      <x:c r="AQ239" s="9" t="n">
        <x:f>IF(OR(Inputs!$C$27=TRUE,Inputs!$C$27="TRUE",Inputs!$C$27=1),Inputs!$C$46/Inputs!$C$12,0)</x:f>
        <x:v>42.13483146067416</x:v>
      </x:c>
      <x:c r="AR239" s="9" t="n">
        <x:f>AC239-AQ239</x:f>
        <x:v>3386.1221356858987</x:v>
      </x:c>
      <x:c r="AS239" s="9" t="n">
        <x:f>AC239+AQ239</x:f>
        <x:v>3470.3917986072474</x:v>
      </x:c>
    </x:row>
    <x:row r="240">
      <x:c r="A240" s="9" t="n">
        <x:f>Inputs!$C$7+238*(Inputs!$C$8-Inputs!$C$7)/240</x:f>
        <x:v>59</x:v>
      </x:c>
      <x:c r="B240" s="9" t="n">
        <x:f>Inputs!$C$5+Inputs!$C$9*(A240/Inputs!$C$10)^2</x:f>
        <x:v>403.8677777777778</x:v>
      </x:c>
      <x:c r="C240" s="9" t="n">
        <x:f>B240</x:f>
        <x:v>403.8677777777778</x:v>
      </x:c>
      <x:c r="D240" s="9" t="n">
        <x:f>SQRT((Inputs!$C$52+B240)^2+Inputs!$C$52^2-2*(Inputs!$C$52+B240)*Inputs!$C$52*COS(SQRT(A240^2+Inputs!$C$6^2)/Inputs!$C$52))</x:f>
        <x:v>410.2156894556836</x:v>
      </x:c>
      <x:c r="E240" s="9" t="n">
        <x:f>(D240-C240)*1000</x:f>
        <x:v>6347.911677905813</x:v>
      </x:c>
      <x:c r="F240" s="9" t="n">
        <x:f>E240/Inputs!$C$12</x:f>
        <x:v>3566.242515677423</x:v>
      </x:c>
      <x:c r="G240" s="9" t="n">
        <x:f>2*E240/Inputs!$C$21*1000000</x:f>
        <x:v>42.348708304768714</x:v>
      </x:c>
      <x:c r="H240" s="9" t="n">
        <x:f>SQRT(A240^2+Inputs!$C$6^2)</x:f>
        <x:v>64.07807737440318</x:v>
      </x:c>
      <x:c r="I240" s="9" t="n">
        <x:f>DEGREES(ATAN(H240/B240))</x:f>
        <x:v>9.015458913989574</x:v>
      </x:c>
      <x:c r="J240" s="9" t="n">
        <x:f>DEGREES((2*PI()/Inputs!$C$13)*Inputs!$C$15*SIN(RADIANS(I240)))</x:f>
        <x:v>56.41234073822082</x:v>
      </x:c>
      <x:c r="K240" s="9" t="n">
        <x:f>(C240/D240)^4</x:f>
        <x:v>0.9395237263655014</x:v>
      </x:c>
      <x:c r="L240" s="9" t="n">
        <x:f>10*LOG10(K240)</x:f>
        <x:v>-0.270922479216224</x:v>
      </x:c>
      <x:c r="M240" s="9" t="n">
        <x:f>2*(Inputs!$C$9/(Inputs!$C$10^2))*A240</x:f>
        <x:v>0.13111111111111112</x:v>
      </x:c>
      <x:c r="N240" s="9" t="n">
        <x:f>M240*Inputs!$C$11</x:f>
        <x:v>0.5244444444444445</x:v>
      </x:c>
      <x:c r="O240" s="9" t="n">
        <x:f>1000*(D241-D239)/(A241-A239)*Inputs!$C$11</x:f>
        <x:v>1241.977276069747</x:v>
      </x:c>
      <x:c r="P240" s="9" t="n">
        <x:f>-2*O240/Inputs!$C$13</x:f>
        <x:v>-496.7909104278988</x:v>
      </x:c>
      <x:c r="Q240" s="9" t="n">
        <x:f>-2*O240/Inputs!$C$14</x:f>
        <x:v>-74.59322979397881</x:v>
      </x:c>
      <x:c r="R240" s="9" t="n">
        <x:f>F240-Inputs!$C$16/2</x:f>
        <x:v>3551.242515677423</x:v>
      </x:c>
      <x:c r="S240" s="9" t="n">
        <x:f>F240+Inputs!$C$16/2</x:f>
        <x:v>3581.242515677423</x:v>
      </x:c>
      <x:c r="T240" s="9" t="n">
        <x:f>F240-Inputs!$C$17/2</x:f>
        <x:v>3416.242515677423</x:v>
      </x:c>
      <x:c r="U240" s="9" t="n">
        <x:f>F240+Inputs!$C$17/2</x:f>
        <x:v>3716.242515677423</x:v>
      </x:c>
      <x:c r="V240" s="9" t="n">
        <x:f>ABS(P240)</x:f>
        <x:v>496.7909104278988</x:v>
      </x:c>
      <x:c r="W240" s="9" t="n">
        <x:f>ABS(Q240)</x:f>
        <x:v>74.59322979397881</x:v>
      </x:c>
      <x:c r="X240" s="9"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x:f>
        <x:v>25.687015205000044</x:v>
      </x:c>
      <x:c r="Y240" s="9"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x:f>
        <x:v>193.74067782731254</x:v>
      </x:c>
      <x:c r="Z240" s="9" t="n">
        <x:f>B240-X240/1000</x:f>
        <x:v>403.8420907625728</x:v>
      </x:c>
      <x:c r="AA240" s="9" t="n">
        <x:f>SQRT((Inputs!$C$52+B240)^2+(Inputs!$C$52+Y240/1000)^2-2*(Inputs!$C$52+B240)*(Inputs!$C$52+Y240/1000)*COS(SQRT(A240^2+Inputs!$C$6^2)/Inputs!$C$52))</x:f>
        <x:v>410.0257304640895</x:v>
      </x:c>
      <x:c r="AB240" s="9" t="n">
        <x:f>(AA240-Z240)*1000</x:f>
        <x:v>6183.639701516711</x:v>
      </x:c>
      <x:c r="AC240" s="9" t="n">
        <x:f>AB240/Inputs!$C$12</x:f>
        <x:v>3473.9548884925343</x:v>
      </x:c>
      <x:c r="AD240" s="9" t="n">
        <x:f>2*AB240/Inputs!$C$21*1000000</x:f>
        <x:v>41.25280364135586</x:v>
      </x:c>
      <x:c r="AE240" s="9" t="n">
        <x:f>DEGREES(ATAN(H240/(B240-Y240/1000)))</x:f>
        <x:v>9.01971470685204</x:v>
      </x:c>
      <x:c r="AF240" s="9" t="n">
        <x:f>DEGREES((2*PI()/Inputs!$C$13)*Inputs!$C$15*SIN(RADIANS(AE240)))</x:f>
        <x:v>56.438750175202955</x:v>
      </x:c>
      <x:c r="AG240" s="9" t="n">
        <x:f>(Z240/AA240)^4</x:f>
        <x:v>0.941026562904671</x:v>
      </x:c>
      <x:c r="AH240" s="9" t="n">
        <x:f>10*LOG10(AG240)</x:f>
        <x:v>-0.263981173165242</x:v>
      </x:c>
      <x:c r="AI240" s="9" t="n">
        <x:f>AC240-F240</x:f>
        <x:v>-92.2876271848886</x:v>
      </x:c>
      <x:c r="AJ240" s="9" t="n">
        <x:f>AD240-G240</x:f>
        <x:v>-1.0959046634128526</x:v>
      </x:c>
      <x:c r="AK240" s="9" t="n">
        <x:f>Y240-X240</x:f>
        <x:v>168.0536626223125</x:v>
      </x:c>
      <x:c r="AL240" s="9" t="n">
        <x:f>1000*(AA241-AA239)/(A241-A239)*Inputs!$C$11</x:f>
        <x:v>1318.2635307380224</x:v>
      </x:c>
      <x:c r="AM240" s="9" t="n">
        <x:f>-2*AL240/Inputs!$C$13</x:f>
        <x:v>-527.305412295209</x:v>
      </x:c>
      <x:c r="AN240" s="9" t="n">
        <x:f>-2*AL240/Inputs!$C$14</x:f>
        <x:v>-79.17498683111246</x:v>
      </x:c>
      <x:c r="AO240" s="9" t="n">
        <x:f>ABS(AM240)</x:f>
        <x:v>527.305412295209</x:v>
      </x:c>
      <x:c r="AP240" s="9" t="n">
        <x:f>ABS(AN240)</x:f>
        <x:v>79.17498683111246</x:v>
      </x:c>
      <x:c r="AQ240" s="9" t="n">
        <x:f>IF(OR(Inputs!$C$27=TRUE,Inputs!$C$27="TRUE",Inputs!$C$27=1),Inputs!$C$46/Inputs!$C$12,0)</x:f>
        <x:v>42.13483146067416</x:v>
      </x:c>
      <x:c r="AR240" s="9" t="n">
        <x:f>AC240-AQ240</x:f>
        <x:v>3431.82005703186</x:v>
      </x:c>
      <x:c r="AS240" s="9" t="n">
        <x:f>AC240+AQ240</x:f>
        <x:v>3516.0897199532087</x:v>
      </x:c>
    </x:row>
    <x:row r="241">
      <x:c r="A241" s="9" t="n">
        <x:f>Inputs!$C$7+239*(Inputs!$C$8-Inputs!$C$7)/240</x:f>
        <x:v>59.5</x:v>
      </x:c>
      <x:c r="B241" s="9" t="n">
        <x:f>Inputs!$C$5+Inputs!$C$9*(A241/Inputs!$C$10)^2</x:f>
        <x:v>403.93361111111113</x:v>
      </x:c>
      <x:c r="C241" s="9" t="n">
        <x:f>B241</x:f>
        <x:v>403.93361111111113</x:v>
      </x:c>
      <x:c r="D241" s="9" t="n">
        <x:f>SQRT((Inputs!$C$52+B241)^2+Inputs!$C$52^2-2*(Inputs!$C$52+B241)*Inputs!$C$52*COS(SQRT(A241^2+Inputs!$C$6^2)/Inputs!$C$52))</x:f>
        <x:v>410.37157314075637</x:v>
      </x:c>
      <x:c r="E241" s="9" t="n">
        <x:f>(D241-C241)*1000</x:f>
        <x:v>6437.962029645234</x:v>
      </x:c>
      <x:c r="F241" s="9" t="n">
        <x:f>E241/Inputs!$C$12</x:f>
        <x:v>3616.8326009242887</x:v>
      </x:c>
      <x:c r="G241" s="9" t="n">
        <x:f>2*E241/Inputs!$C$21*1000000</x:f>
        <x:v>42.94945958677342</x:v>
      </x:c>
      <x:c r="H241" s="9" t="n">
        <x:f>SQRT(A241^2+Inputs!$C$6^2)</x:f>
        <x:v>64.53874805107394</x:v>
      </x:c>
      <x:c r="I241" s="9" t="n">
        <x:f>DEGREES(ATAN(H241/B241))</x:f>
        <x:v>9.07774203179775</x:v>
      </x:c>
      <x:c r="J241" s="9" t="n">
        <x:f>DEGREES((2*PI()/Inputs!$C$13)*Inputs!$C$15*SIN(RADIANS(I241)))</x:f>
        <x:v>56.79880917100207</x:v>
      </x:c>
      <x:c r="K241" s="9" t="n">
        <x:f>(C241/D241)^4</x:f>
        <x:v>0.9387088058105011</x:v>
      </x:c>
      <x:c r="L241" s="9" t="n">
        <x:f>10*LOG10(K241)</x:f>
        <x:v>-0.274691080988063</x:v>
      </x:c>
      <x:c r="M241" s="9" t="n">
        <x:f>2*(Inputs!$C$9/(Inputs!$C$10^2))*A241</x:f>
        <x:v>0.1322222222222222</x:v>
      </x:c>
      <x:c r="N241" s="9" t="n">
        <x:f>M241*Inputs!$C$11</x:f>
        <x:v>0.5288888888888889</x:v>
      </x:c>
      <x:c r="O241" s="9" t="n">
        <x:f>1000*(D242-D240)/(A242-A240)*Inputs!$C$11</x:f>
        <x:v>1252.157532299634</x:v>
      </x:c>
      <x:c r="P241" s="9" t="n">
        <x:f>-2*O241/Inputs!$C$13</x:f>
        <x:v>-500.86301291985365</x:v>
      </x:c>
      <x:c r="Q241" s="9" t="n">
        <x:f>-2*O241/Inputs!$C$14</x:f>
        <x:v>-75.20465659457263</x:v>
      </x:c>
      <x:c r="R241" s="9" t="n">
        <x:f>F241-Inputs!$C$16/2</x:f>
        <x:v>3601.8326009242887</x:v>
      </x:c>
      <x:c r="S241" s="9" t="n">
        <x:f>F241+Inputs!$C$16/2</x:f>
        <x:v>3631.8326009242887</x:v>
      </x:c>
      <x:c r="T241" s="9" t="n">
        <x:f>F241-Inputs!$C$17/2</x:f>
        <x:v>3466.8326009242887</x:v>
      </x:c>
      <x:c r="U241" s="9" t="n">
        <x:f>F241+Inputs!$C$17/2</x:f>
        <x:v>3766.8326009242887</x:v>
      </x:c>
      <x:c r="V241" s="9" t="n">
        <x:f>ABS(P241)</x:f>
        <x:v>500.86301291985365</x:v>
      </x:c>
      <x:c r="W241" s="9" t="n">
        <x:f>ABS(Q241)</x:f>
        <x:v>75.20465659457263</x:v>
      </x:c>
      <x:c r="X241" s="9"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x:f>
        <x:v>45.681577079364786</x:v>
      </x:c>
      <x:c r="Y241" s="9"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x:f>
        <x:v>168.97901642333537</x:v>
      </x:c>
      <x:c r="Z241" s="9" t="n">
        <x:f>B241-X241/1000</x:f>
        <x:v>403.88792953403174</x:v>
      </x:c>
      <x:c r="AA241" s="9" t="n">
        <x:f>SQRT((Inputs!$C$52+B241)^2+(Inputs!$C$52+Y241/1000)^2-2*(Inputs!$C$52+B241)*(Inputs!$C$52+Y241/1000)*COS(SQRT(A241^2+Inputs!$C$6^2)/Inputs!$C$52))</x:f>
        <x:v>410.20593798668733</x:v>
      </x:c>
      <x:c r="AB241" s="9" t="n">
        <x:f>(AA241-Z241)*1000</x:f>
        <x:v>6318.00845265559</x:v>
      </x:c>
      <x:c r="AC241" s="9" t="n">
        <x:f>AB241/Inputs!$C$12</x:f>
        <x:v>3549.4429509301067</x:v>
      </x:c>
      <x:c r="AD241" s="9" t="n">
        <x:f>2*AB241/Inputs!$C$21*1000000</x:f>
        <x:v>42.14921545928677</x:v>
      </x:c>
      <x:c r="AE241" s="9" t="n">
        <x:f>DEGREES(ATAN(H241/(B241-Y241/1000)))</x:f>
        <x:v>9.081477848214389</x:v>
      </x:c>
      <x:c r="AF241" s="9" t="n">
        <x:f>DEGREES((2*PI()/Inputs!$C$13)*Inputs!$C$15*SIN(RADIANS(AE241)))</x:f>
        <x:v>56.82198788396664</x:v>
      </x:c>
      <x:c r="AG241" s="9" t="n">
        <x:f>(Z241/AA241)^4</x:f>
        <x:v>0.9398006166835959</x:v>
      </x:c>
      <x:c r="AH241" s="9" t="n">
        <x:f>10*LOG10(AG241)</x:f>
        <x:v>-0.269642743352047</x:v>
      </x:c>
      <x:c r="AI241" s="9" t="n">
        <x:f>AC241-F241</x:f>
        <x:v>-67.38964999418204</x:v>
      </x:c>
      <x:c r="AJ241" s="9" t="n">
        <x:f>AD241-G241</x:f>
        <x:v>-0.8002441274866499</x:v>
      </x:c>
      <x:c r="AK241" s="9" t="n">
        <x:f>Y241-X241</x:f>
        <x:v>123.29743934397058</x:v>
      </x:c>
      <x:c r="AL241" s="9" t="n">
        <x:f>1000*(AA242-AA240)/(A242-A240)*Inputs!$C$11</x:f>
        <x:v>1308.9895471791806</x:v>
      </x:c>
      <x:c r="AM241" s="9" t="n">
        <x:f>-2*AL241/Inputs!$C$13</x:f>
        <x:v>-523.5958188716722</x:v>
      </x:c>
      <x:c r="AN241" s="9" t="n">
        <x:f>-2*AL241/Inputs!$C$14</x:f>
        <x:v>-78.61799082157242</x:v>
      </x:c>
      <x:c r="AO241" s="9" t="n">
        <x:f>ABS(AM241)</x:f>
        <x:v>523.5958188716722</x:v>
      </x:c>
      <x:c r="AP241" s="9" t="n">
        <x:f>ABS(AN241)</x:f>
        <x:v>78.61799082157242</x:v>
      </x:c>
      <x:c r="AQ241" s="9" t="n">
        <x:f>IF(OR(Inputs!$C$27=TRUE,Inputs!$C$27="TRUE",Inputs!$C$27=1),Inputs!$C$46/Inputs!$C$12,0)</x:f>
        <x:v>42.13483146067416</x:v>
      </x:c>
      <x:c r="AR241" s="9" t="n">
        <x:f>AC241-AQ241</x:f>
        <x:v>3507.3081194694323</x:v>
      </x:c>
      <x:c r="AS241" s="9" t="n">
        <x:f>AC241+AQ241</x:f>
        <x:v>3591.577782390781</x:v>
      </x:c>
    </x:row>
    <x:row r="242">
      <x:c r="A242" s="9" t="n">
        <x:f>Inputs!$C$7+240*(Inputs!$C$8-Inputs!$C$7)/240</x:f>
        <x:v>60</x:v>
      </x:c>
      <x:c r="B242" s="9" t="n">
        <x:f>Inputs!$C$5+Inputs!$C$9*(A242/Inputs!$C$10)^2</x:f>
        <x:v>404</x:v>
      </x:c>
      <x:c r="C242" s="9" t="n">
        <x:f>B242</x:f>
        <x:v>404</x:v>
      </x:c>
      <x:c r="D242" s="9" t="n">
        <x:f>SQRT((Inputs!$C$52+B242)^2+Inputs!$C$52^2-2*(Inputs!$C$52+B242)*Inputs!$C$52*COS(SQRT(A242^2+Inputs!$C$6^2)/Inputs!$C$52))</x:f>
        <x:v>410.5287288387585</x:v>
      </x:c>
      <x:c r="E242" s="9" t="n">
        <x:f>(D242-C242)*1000</x:f>
        <x:v>6528.728838758525</x:v>
      </x:c>
      <x:c r="F242" s="9" t="n">
        <x:f>E242/Inputs!$C$12</x:f>
        <x:v>3667.825190313778</x:v>
      </x:c>
      <x:c r="G242" s="9" t="n">
        <x:f>2*E242/Inputs!$C$21*1000000</x:f>
        <x:v>43.55499055789139</x:v>
      </x:c>
      <x:c r="H242" s="9" t="n">
        <x:f>SQRT(A242^2+Inputs!$C$6^2)</x:f>
        <x:v>65</x:v>
      </x:c>
      <x:c r="I242" s="9" t="n">
        <x:f>DEGREES(ATAN(H242/B242))</x:f>
        <x:v>9.14005123413285</x:v>
      </x:c>
      <x:c r="J242" s="9" t="n">
        <x:f>DEGREES((2*PI()/Inputs!$C$13)*Inputs!$C$15*SIN(RADIANS(I242)))</x:f>
        <x:v>57.185372299425126</x:v>
      </x:c>
      <x:c r="K242" s="9" t="n">
        <x:f>(C242/D242)^4</x:f>
        <x:v>0.9378885685446497</x:v>
      </x:c>
      <x:c r="L242" s="9" t="n">
        <x:f>10*LOG10(K242)</x:f>
        <x:v>-0.27848757506786603</x:v>
      </x:c>
      <x:c r="M242" s="9" t="n">
        <x:f>2*(Inputs!$C$9/(Inputs!$C$10^2))*A242</x:f>
        <x:v>0.13333333333333333</x:v>
      </x:c>
      <x:c r="N242" s="9" t="n">
        <x:f>M242*Inputs!$C$11</x:f>
        <x:v>0.5333333333333333</x:v>
      </x:c>
      <x:c r="O242" s="9" t="n">
        <x:f>1000*(D242-D241)/(A242-A241)*Inputs!$C$11</x:f>
        <x:v>1257.2455840172552</x:v>
      </x:c>
      <x:c r="P242" s="9" t="n">
        <x:f>-2*O242/Inputs!$C$13</x:f>
        <x:v>-502.89823360690207</x:v>
      </x:c>
      <x:c r="Q242" s="9" t="n">
        <x:f>-2*O242/Inputs!$C$14</x:f>
        <x:v>-75.51024528632163</x:v>
      </x:c>
      <x:c r="R242" s="9" t="n">
        <x:f>F242-Inputs!$C$16/2</x:f>
        <x:v>3652.825190313778</x:v>
      </x:c>
      <x:c r="S242" s="9" t="n">
        <x:f>F242+Inputs!$C$16/2</x:f>
        <x:v>3682.825190313778</x:v>
      </x:c>
      <x:c r="T242" s="9" t="n">
        <x:f>F242-Inputs!$C$17/2</x:f>
        <x:v>3517.825190313778</x:v>
      </x:c>
      <x:c r="U242" s="9" t="n">
        <x:f>F242+Inputs!$C$17/2</x:f>
        <x:v>3817.825190313778</x:v>
      </x:c>
      <x:c r="V242" s="9" t="n">
        <x:f>ABS(P242)</x:f>
        <x:v>502.89823360690207</x:v>
      </x:c>
      <x:c r="W242" s="9" t="n">
        <x:f>ABS(Q242)</x:f>
        <x:v>75.51024528632163</x:v>
      </x:c>
      <x:c r="X242" s="9"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x:f>
        <x:v>31.89413090916895</x:v>
      </x:c>
      <x:c r="Y242" s="9"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x:f>
        <x:v>179.34901119414707</x:v>
      </x:c>
      <x:c r="Z242" s="9" t="n">
        <x:f>B242-X242/1000</x:f>
        <x:v>403.96810586909083</x:v>
      </x:c>
      <x:c r="AA242" s="9" t="n">
        <x:f>SQRT((Inputs!$C$52+B242)^2+(Inputs!$C$52+Y242/1000)^2-2*(Inputs!$C$52+B242)*(Inputs!$C$52+Y242/1000)*COS(SQRT(A242^2+Inputs!$C$6^2)/Inputs!$C$52))</x:f>
        <x:v>410.3529778508843</x:v>
      </x:c>
      <x:c r="AB242" s="9" t="n">
        <x:f>(AA242-Z242)*1000</x:f>
        <x:v>6384.871981793481</x:v>
      </x:c>
      <x:c r="AC242" s="9" t="n">
        <x:f>AB242/Inputs!$C$12</x:f>
        <x:v>3587.006731344652</x:v>
      </x:c>
      <x:c r="AD242" s="9" t="n">
        <x:f>2*AB242/Inputs!$C$21*1000000</x:f>
        <x:v>42.595280911259486</x:v>
      </x:c>
      <x:c r="AE242" s="9" t="n">
        <x:f>DEGREES(ATAN(H242/(B242-Y242/1000)))</x:f>
        <x:v>9.144042044938944</x:v>
      </x:c>
      <x:c r="AF242" s="9" t="n">
        <x:f>DEGREES((2*PI()/Inputs!$C$13)*Inputs!$C$15*SIN(RADIANS(AE242)))</x:f>
        <x:v>57.21012878740839</x:v>
      </x:c>
      <x:c r="AG242" s="9" t="n">
        <x:f>(Z242/AA242)^4</x:f>
        <x:v>0.9391997202980175</x:v>
      </x:c>
      <x:c r="AH242" s="9" t="n">
        <x:f>10*LOG10(AG242)</x:f>
        <x:v>-0.27242045433178896</x:v>
      </x:c>
      <x:c r="AI242" s="9" t="n">
        <x:f>AC242-F242</x:f>
        <x:v>-80.81845896912591</x:v>
      </x:c>
      <x:c r="AJ242" s="9" t="n">
        <x:f>AD242-G242</x:f>
        <x:v>-0.9597096466319002</x:v>
      </x:c>
      <x:c r="AK242" s="9" t="n">
        <x:f>Y242-X242</x:f>
        <x:v>147.45488028497812</x:v>
      </x:c>
      <x:c r="AL242" s="9" t="n">
        <x:f>1000*(AA242-AA241)/(A242-A241)*Inputs!$C$11</x:f>
        <x:v>1176.3189135758694</x:v>
      </x:c>
      <x:c r="AM242" s="9" t="n">
        <x:f>-2*AL242/Inputs!$C$13</x:f>
        <x:v>-470.52756543034775</x:v>
      </x:c>
      <x:c r="AN242" s="9" t="n">
        <x:f>-2*AL242/Inputs!$C$14</x:f>
        <x:v>-70.64978459915132</x:v>
      </x:c>
      <x:c r="AO242" s="9" t="n">
        <x:f>ABS(AM242)</x:f>
        <x:v>470.52756543034775</x:v>
      </x:c>
      <x:c r="AP242" s="9" t="n">
        <x:f>ABS(AN242)</x:f>
        <x:v>70.64978459915132</x:v>
      </x:c>
      <x:c r="AQ242" s="9" t="n">
        <x:f>IF(OR(Inputs!$C$27=TRUE,Inputs!$C$27="TRUE",Inputs!$C$27=1),Inputs!$C$46/Inputs!$C$12,0)</x:f>
        <x:v>42.13483146067416</x:v>
      </x:c>
      <x:c r="AR242" s="9" t="n">
        <x:f>AC242-AQ242</x:f>
        <x:v>3544.8718998839777</x:v>
      </x:c>
      <x:c r="AS242" s="9" t="n">
        <x:f>AC242+AQ242</x:f>
        <x:v>3629.1415628053264</x:v>
      </x:c>
    </x:row>
  </x:sheetData>
  <x:pageMargins left="0.7" right="0.7" top="0.75" bottom="0.75" header="0.3" footer="0.3"/>
  <x:tableParts count="1">
    <x:tablePart xmlns:r="http://schemas.openxmlformats.org/officeDocument/2006/relationships" r:id="R63ee964a612c48a1"/>
  </x:tableParts>
</x:worksheet>
</file>

<file path=xl/worksheets/sheet8.xml><?xml version="1.0" encoding="utf-8"?>
<x:worksheet xmlns:x="http://schemas.openxmlformats.org/spreadsheetml/2006/main">
  <x:sheetFormatPr baseColWidth="8" defaultRowHeight="13.800000190734863"/>
  <x:cols>
    <x:col min="1" max="22" width="18" style="73" customWidth="1"/>
    <x:col min="23" max="27" width="21" style="73" customWidth="1"/>
  </x:cols>
  <x:sheetData>
    <x:row r="1" s="73" customFormat="1" ht="27.600000381469727" customHeight="1">
      <x:c r="A1" s="23" t="inlineStr">
        <x:is>
          <x:t xml:space="preserve">x_km</x:t>
        </x:is>
      </x:c>
      <x:c r="B1" s="23" t="inlineStr">
        <x:is>
          <x:t xml:space="preserve">surface_height_m</x:t>
        </x:is>
      </x:c>
      <x:c r="C1" s="23" t="inlineStr">
        <x:is>
          <x:t xml:space="preserve">nadir_height_m</x:t>
        </x:is>
      </x:c>
      <x:c r="D1" s="23" t="inlineStr">
        <x:is>
          <x:t xml:space="preserve">spacecraft_altitude_km</x:t>
        </x:is>
      </x:c>
      <x:c r="E1" s="23" t="inlineStr">
        <x:is>
          <x:t xml:space="preserve">target_y_km</x:t>
        </x:is>
      </x:c>
      <x:c r="F1" s="23" t="inlineStr">
        <x:is>
          <x:t xml:space="preserve">upper_ice_layer_depth_m</x:t>
        </x:is>
      </x:c>
      <x:c r="G1" s="23" t="inlineStr">
        <x:is>
          <x:t xml:space="preserve">upper_ice_layer_elevation_m</x:t>
        </x:is>
      </x:c>
      <x:c r="H1" s="23" t="inlineStr">
        <x:is>
          <x:t xml:space="preserve">lens_strength_0to1</x:t>
        </x:is>
      </x:c>
      <x:c r="I1" s="23" t="inlineStr">
        <x:is>
          <x:t xml:space="preserve">briny_warm_lens_depth_m</x:t>
        </x:is>
      </x:c>
      <x:c r="J1" s="23" t="inlineStr">
        <x:is>
          <x:t xml:space="preserve">briny_warm_lens_elevation_m</x:t>
        </x:is>
      </x:c>
      <x:c r="K1" s="23" t="inlineStr">
        <x:is>
          <x:t xml:space="preserve">ice_ocean_boundary_depth_m</x:t>
        </x:is>
      </x:c>
      <x:c r="L1" s="23" t="inlineStr">
        <x:is>
          <x:t xml:space="preserve">ice_ocean_boundary_elevation_m</x:t>
        </x:is>
      </x:c>
      <x:c r="M1" s="23" t="inlineStr">
        <x:is>
          <x:t xml:space="preserve">upper_ice_layer_delay_us</x:t>
        </x:is>
      </x:c>
      <x:c r="N1" s="23" t="inlineStr">
        <x:is>
          <x:t xml:space="preserve">briny_warm_lens_delay_us</x:t>
        </x:is>
      </x:c>
      <x:c r="O1" s="23" t="inlineStr">
        <x:is>
          <x:t xml:space="preserve">ice_ocean_boundary_delay_us</x:t>
        </x:is>
      </x:c>
      <x:c r="P1" s="23" t="inlineStr">
        <x:is>
          <x:t xml:space="preserve">upper_ice_layer_echo_db</x:t>
        </x:is>
      </x:c>
      <x:c r="Q1" s="23" t="inlineStr">
        <x:is>
          <x:t xml:space="preserve">briny_warm_lens_echo_db</x:t>
        </x:is>
      </x:c>
      <x:c r="R1" s="23" t="inlineStr">
        <x:is>
          <x:t xml:space="preserve">ice_ocean_boundary_echo_db</x:t>
        </x:is>
      </x:c>
      <x:c r="S1" s="23" t="inlineStr">
        <x:is>
          <x:t xml:space="preserve">ice_thickness_variation_m</x:t>
        </x:is>
      </x:c>
      <x:c r="T1" s="23" t="inlineStr">
        <x:is>
          <x:t xml:space="preserve">ocean_to_shallow_depth_ratio</x:t>
        </x:is>
      </x:c>
      <x:c r="U1" s="23" t="inlineStr">
        <x:is>
          <x:t xml:space="preserve">lens_visible_flag</x:t>
        </x:is>
      </x:c>
      <x:c r="V1" s="23" t="inlineStr">
        <x:is>
          <x:t xml:space="preserve">ocean_echo_flag</x:t>
        </x:is>
      </x:c>
      <x:c r="W1" s="23" t="inlineStr">
        <x:is>
          <x:t xml:space="preserve">detection_threshold_db</x:t>
        </x:is>
      </x:c>
      <x:c r="X1" s="23" t="inlineStr">
        <x:is>
          <x:t xml:space="preserve">lens_echo_margin_db</x:t>
        </x:is>
      </x:c>
      <x:c r="Y1" s="23" t="inlineStr">
        <x:is>
          <x:t xml:space="preserve">ocean_echo_margin_db</x:t>
        </x:is>
      </x:c>
      <x:c r="Z1" s="23" t="inlineStr">
        <x:is>
          <x:t xml:space="preserve">best_deep_return_margin_db</x:t>
        </x:is>
      </x:c>
      <x:c r="AA1" s="23" t="inlineStr">
        <x:is>
          <x:t xml:space="preserve">zero_margin_reference</x:t>
        </x:is>
      </x:c>
    </x:row>
    <x:row r="2">
      <x:c r="A2" s="24" t="n">
        <x:f>Model_Data!A2</x:f>
        <x:v>-60</x:v>
      </x:c>
      <x:c r="B2" s="24" t="n">
        <x:f>Model_Data!Y2</x:f>
        <x:v>119.42638570504096</x:v>
      </x:c>
      <x:c r="C2" s="24" t="n">
        <x:f>Model_Data!X2</x:f>
        <x:v>2.7642790376402013</x:v>
      </x:c>
      <x:c r="D2" s="24" t="n">
        <x:f>Model_Data!B2</x:f>
        <x:v>404</x:v>
      </x:c>
      <x:c r="E2" s="24" t="n">
        <x:f>Inputs!$C$6</x:f>
        <x:v>25</x:v>
      </x:c>
      <x:c r="F2" s="24" t="n">
        <x:f>Subsurface_Inputs!$C$5+Subsurface_Inputs!$C$6*SIN(2*PI()*(A2+Subsurface_Inputs!$C$7)/Subsurface_Inputs!$C$8)+Subsurface_Inputs!$C$9*COS(2*PI()*A2/Subsurface_Inputs!$C$10)+Subsurface_Inputs!$C$11*(B2-AVERAGE($B$2:$B$242))</x:f>
        <x:v>946.6774955196128</x:v>
      </x:c>
      <x:c r="G2" s="24" t="n">
        <x:f>B2-F2</x:f>
        <x:v>-827.2511098145718</x:v>
      </x:c>
      <x:c r="H2" s="24" t="n">
        <x:f>MIN(1,MAX(0,Subsurface_Inputs!$C$13*EXP(-0.5*((A2-Subsurface_Inputs!$C$14)/Subsurface_Inputs!$C$15)^2)+Subsurface_Inputs!$C$16*EXP(-0.5*((A2-Subsurface_Inputs!$C$17)/Subsurface_Inputs!$C$18)^2)))</x:f>
        <x:v>0.0014571201453582399</x:v>
      </x:c>
      <x:c r="I2" s="24" t="n">
        <x:f>Subsurface_Inputs!$C$19+Subsurface_Inputs!$C$20*SIN(2*PI()*(A2-Subsurface_Inputs!$C$21)/Subsurface_Inputs!$C$22)-Subsurface_Inputs!$C$23*H2</x:f>
        <x:v>5589.043116114486</x:v>
      </x:c>
      <x:c r="J2" s="24" t="n">
        <x:f>B2-I2</x:f>
        <x:v>-5469.616730409445</x:v>
      </x:c>
      <x:c r="K2" s="24" t="n">
        <x:f>Subsurface_Inputs!$C$25+Subsurface_Inputs!$C$26*SIN(2*PI()*(A2+Subsurface_Inputs!$C$27)/Subsurface_Inputs!$C$28)+Subsurface_Inputs!$C$29*COS(2*PI()*(A2-Subsurface_Inputs!$C$30)/Subsurface_Inputs!$C$31)-Subsurface_Inputs!$C$32*(B2-AVERAGE($B$2:$B$242))</x:f>
        <x:v>14538.343476908214</x:v>
      </x:c>
      <x:c r="L2" s="24" t="n">
        <x:f>B2-K2</x:f>
        <x:v>-14418.917091203173</x:v>
      </x:c>
      <x:c r="M2" s="24" t="n">
        <x:f>2*Subsurface_Inputs!$C$34*F2/Subsurface_Inputs!$C$35*1000000</x:f>
        <x:v>11.241683351653302</x:v>
      </x:c>
      <x:c r="N2" s="24" t="n">
        <x:f>2*Subsurface_Inputs!$C$34*I2/Subsurface_Inputs!$C$35*1000000</x:f>
        <x:v>66.36922631778673</x:v>
      </x:c>
      <x:c r="O2" s="24" t="n">
        <x:f>2*Subsurface_Inputs!$C$34*K2/Subsurface_Inputs!$C$35*1000000</x:f>
        <x:v>172.64111019695247</x:v>
      </x:c>
      <x:c r="P2" s="24" t="n">
        <x:f>Subsurface_Inputs!$C$37-2*Subsurface_Inputs!$C$36*(F2/1000)</x:f>
        <x:v>-11.704019491935304</x:v>
      </x:c>
      <x:c r="Q2" s="24" t="n">
        <x:f>Subsurface_Inputs!$C$38+Subsurface_Inputs!$C$39*H2-2*Subsurface_Inputs!$C$36*(I2/1000)</x:f>
        <x:v>-34.04716352769785</x:v>
      </x:c>
      <x:c r="R2" s="24" t="n">
        <x:f>Subsurface_Inputs!$C$40-2*Subsurface_Inputs!$C$36*(K2/1000)-Subsurface_Inputs!$C$41*ABS(L2-AVERAGE($L$2:$L$242))</x:f>
        <x:v>-33.541180407593465</x:v>
      </x:c>
      <x:c r="S2" s="24" t="n">
        <x:f>K2-AVERAGE($K$2:$K$242)</x:f>
        <x:v>-539.0412186658959</x:v>
      </x:c>
      <x:c r="T2" s="24" t="n">
        <x:f>K2/F2</x:f>
        <x:v>15.357229410981615</x:v>
      </x:c>
      <x:c r="U2" s="25" t="str">
        <x:f>IF(H2&gt;=Subsurface_Inputs!$C$42,"Lens visible","Weak/no lens")</x:f>
        <x:v>Weak/no lens</x:v>
      </x:c>
      <x:c r="V2" s="25" t="str">
        <x:f>IF(R2&gt;=W2,"Likely visible","Weak")</x:f>
        <x:v>Likely visible</x:v>
      </x:c>
      <x:c r="W2" s="24" t="n">
        <x:f>Subsurface_Inputs!$C$43</x:f>
        <x:v>-45</x:v>
      </x:c>
      <x:c r="X2" s="24" t="n">
        <x:f>Q2-W2</x:f>
        <x:v>10.952836472302153</x:v>
      </x:c>
      <x:c r="Y2" s="24" t="n">
        <x:f>R2-W2</x:f>
        <x:v>11.458819592406535</x:v>
      </x:c>
      <x:c r="Z2" s="24" t="n">
        <x:f>MAX(Q2,R2)-W2</x:f>
        <x:v>11.458819592406535</x:v>
      </x:c>
      <x:c r="AA2" s="24" t="n">
        <x:v>0</x:v>
      </x:c>
    </x:row>
    <x:row r="3">
      <x:c r="A3" s="24" t="n">
        <x:f>Model_Data!A3</x:f>
        <x:v>-59.5</x:v>
      </x:c>
      <x:c r="B3" s="24" t="n">
        <x:f>Model_Data!Y3</x:f>
        <x:v>110.69606493723512</x:v>
      </x:c>
      <x:c r="C3" s="24" t="n">
        <x:f>Model_Data!X3</x:f>
        <x:v>19.645117006397193</x:v>
      </x:c>
      <x:c r="D3" s="24" t="n">
        <x:f>Model_Data!B3</x:f>
        <x:v>403.93361111111113</x:v>
      </x:c>
      <x:c r="E3" s="24" t="n">
        <x:f>Inputs!$C$6</x:f>
        <x:v>25</x:v>
      </x:c>
      <x:c r="F3" s="24" t="n">
        <x:f>Subsurface_Inputs!$C$5+Subsurface_Inputs!$C$6*SIN(2*PI()*(A3+Subsurface_Inputs!$C$7)/Subsurface_Inputs!$C$8)+Subsurface_Inputs!$C$9*COS(2*PI()*A3/Subsurface_Inputs!$C$10)+Subsurface_Inputs!$C$11*(B3-AVERAGE($B$2:$B$242))</x:f>
        <x:v>946.3905767770619</x:v>
      </x:c>
      <x:c r="G3" s="24" t="n">
        <x:f>B3-F3</x:f>
        <x:v>-835.6945118398269</x:v>
      </x:c>
      <x:c r="H3" s="24" t="n">
        <x:f>MIN(1,MAX(0,Subsurface_Inputs!$C$13*EXP(-0.5*((A3-Subsurface_Inputs!$C$14)/Subsurface_Inputs!$C$15)^2)+Subsurface_Inputs!$C$16*EXP(-0.5*((A3-Subsurface_Inputs!$C$17)/Subsurface_Inputs!$C$18)^2)))</x:f>
        <x:v>0.0017423102885695018</x:v>
      </x:c>
      <x:c r="I3" s="24" t="n">
        <x:f>Subsurface_Inputs!$C$19+Subsurface_Inputs!$C$20*SIN(2*PI()*(A3-Subsurface_Inputs!$C$21)/Subsurface_Inputs!$C$22)-Subsurface_Inputs!$C$23*H3</x:f>
        <x:v>5595.347969399308</x:v>
      </x:c>
      <x:c r="J3" s="24" t="n">
        <x:f>B3-I3</x:f>
        <x:v>-5484.651904462073</x:v>
      </x:c>
      <x:c r="K3" s="24" t="n">
        <x:f>Subsurface_Inputs!$C$25+Subsurface_Inputs!$C$26*SIN(2*PI()*(A3+Subsurface_Inputs!$C$27)/Subsurface_Inputs!$C$28)+Subsurface_Inputs!$C$29*COS(2*PI()*(A3-Subsurface_Inputs!$C$30)/Subsurface_Inputs!$C$31)-Subsurface_Inputs!$C$32*(B3-AVERAGE($B$2:$B$242))</x:f>
        <x:v>14548.766391190573</x:v>
      </x:c>
      <x:c r="L3" s="24" t="n">
        <x:f>B3-K3</x:f>
        <x:v>-14438.070326253337</x:v>
      </x:c>
      <x:c r="M3" s="24" t="n">
        <x:f>2*Subsurface_Inputs!$C$34*F3/Subsurface_Inputs!$C$35*1000000</x:f>
        <x:v>11.238276225502446</x:v>
      </x:c>
      <x:c r="N3" s="24" t="n">
        <x:f>2*Subsurface_Inputs!$C$34*I3/Subsurface_Inputs!$C$35*1000000</x:f>
        <x:v>66.4440957052413</x:v>
      </x:c>
      <x:c r="O3" s="24" t="n">
        <x:f>2*Subsurface_Inputs!$C$34*K3/Subsurface_Inputs!$C$35*1000000</x:f>
        <x:v>172.7648810719529</x:v>
      </x:c>
      <x:c r="P3" s="24" t="n">
        <x:f>Subsurface_Inputs!$C$37-2*Subsurface_Inputs!$C$36*(F3/1000)</x:f>
        <x:v>-11.703503038198711</x:v>
      </x:c>
      <x:c r="Q3" s="24" t="n">
        <x:f>Subsurface_Inputs!$C$38+Subsurface_Inputs!$C$39*H3-2*Subsurface_Inputs!$C$36*(I3/1000)</x:f>
        <x:v>-34.05594555232163</x:v>
      </x:c>
      <x:c r="R3" s="24" t="n">
        <x:f>Subsurface_Inputs!$C$40-2*Subsurface_Inputs!$C$36*(K3/1000)-Subsurface_Inputs!$C$41*ABS(L3-AVERAGE($L$2:$L$242))</x:f>
        <x:v>-33.48332871310105</x:v>
      </x:c>
      <x:c r="S3" s="24" t="n">
        <x:f>K3-AVERAGE($K$2:$K$242)</x:f>
        <x:v>-528.6183043835372</x:v>
      </x:c>
      <x:c r="T3" s="24" t="n">
        <x:f>K3/F3</x:f>
        <x:v>15.372898619443648</x:v>
      </x:c>
      <x:c r="U3" s="25" t="str">
        <x:f>IF(H3&gt;=Subsurface_Inputs!$C$42,"Lens visible","Weak/no lens")</x:f>
        <x:v>Weak/no lens</x:v>
      </x:c>
      <x:c r="V3" s="25" t="str">
        <x:f>IF(R3&gt;=W3,"Likely visible","Weak")</x:f>
        <x:v>Likely visible</x:v>
      </x:c>
      <x:c r="W3" s="24" t="n">
        <x:f>Subsurface_Inputs!$C$43</x:f>
        <x:v>-45</x:v>
      </x:c>
      <x:c r="X3" s="24" t="n">
        <x:f>Q3-W3</x:f>
        <x:v>10.944054447678369</x:v>
      </x:c>
      <x:c r="Y3" s="24" t="n">
        <x:f>R3-W3</x:f>
        <x:v>11.516671286898948</x:v>
      </x:c>
      <x:c r="Z3" s="24" t="n">
        <x:f>MAX(Q3,R3)-W3</x:f>
        <x:v>11.516671286898948</x:v>
      </x:c>
      <x:c r="AA3" s="24" t="n">
        <x:v>0</x:v>
      </x:c>
    </x:row>
    <x:row r="4">
      <x:c r="A4" s="24" t="n">
        <x:f>Model_Data!A4</x:f>
        <x:v>-59</x:v>
      </x:c>
      <x:c r="B4" s="24" t="n">
        <x:f>Model_Data!Y4</x:f>
        <x:v>112.99219424849355</x:v>
      </x:c>
      <x:c r="C4" s="24" t="n">
        <x:f>Model_Data!X4</x:f>
        <x:v>7.970448353767724</x:v>
      </x:c>
      <x:c r="D4" s="24" t="n">
        <x:f>Model_Data!B4</x:f>
        <x:v>403.8677777777778</x:v>
      </x:c>
      <x:c r="E4" s="24" t="n">
        <x:f>Inputs!$C$6</x:f>
        <x:v>25</x:v>
      </x:c>
      <x:c r="F4" s="24" t="n">
        <x:f>Subsurface_Inputs!$C$5+Subsurface_Inputs!$C$6*SIN(2*PI()*(A4+Subsurface_Inputs!$C$7)/Subsurface_Inputs!$C$8)+Subsurface_Inputs!$C$9*COS(2*PI()*A4/Subsurface_Inputs!$C$10)+Subsurface_Inputs!$C$11*(B4-AVERAGE($B$2:$B$242))</x:f>
        <x:v>948.3058623908515</x:v>
      </x:c>
      <x:c r="G4" s="24" t="n">
        <x:f>B4-F4</x:f>
        <x:v>-835.313668142358</x:v>
      </x:c>
      <x:c r="H4" s="24" t="n">
        <x:f>MIN(1,MAX(0,Subsurface_Inputs!$C$13*EXP(-0.5*((A4-Subsurface_Inputs!$C$14)/Subsurface_Inputs!$C$15)^2)+Subsurface_Inputs!$C$16*EXP(-0.5*((A4-Subsurface_Inputs!$C$17)/Subsurface_Inputs!$C$18)^2)))</x:f>
        <x:v>0.0020781165622737407</x:v>
      </x:c>
      <x:c r="I4" s="24" t="n">
        <x:f>Subsurface_Inputs!$C$19+Subsurface_Inputs!$C$20*SIN(2*PI()*(A4-Subsurface_Inputs!$C$21)/Subsurface_Inputs!$C$22)-Subsurface_Inputs!$C$23*H4</x:f>
        <x:v>5600.913069660687</x:v>
      </x:c>
      <x:c r="J4" s="24" t="n">
        <x:f>B4-I4</x:f>
        <x:v>-5487.920875412194</x:v>
      </x:c>
      <x:c r="K4" s="24" t="n">
        <x:f>Subsurface_Inputs!$C$25+Subsurface_Inputs!$C$26*SIN(2*PI()*(A4+Subsurface_Inputs!$C$27)/Subsurface_Inputs!$C$28)+Subsurface_Inputs!$C$29*COS(2*PI()*(A4-Subsurface_Inputs!$C$30)/Subsurface_Inputs!$C$31)-Subsurface_Inputs!$C$32*(B4-AVERAGE($B$2:$B$242))</x:f>
        <x:v>14557.33823698979</x:v>
      </x:c>
      <x:c r="L4" s="24" t="n">
        <x:f>B4-K4</x:f>
        <x:v>-14444.346042741296</x:v>
      </x:c>
      <x:c r="M4" s="24" t="n">
        <x:f>2*Subsurface_Inputs!$C$34*F4/Subsurface_Inputs!$C$35*1000000</x:f>
        <x:v>11.261020015758472</x:v>
      </x:c>
      <x:c r="N4" s="24" t="n">
        <x:f>2*Subsurface_Inputs!$C$34*I4/Subsurface_Inputs!$C$35*1000000</x:f>
        <x:v>66.51018061298943</x:v>
      </x:c>
      <x:c r="O4" s="24" t="n">
        <x:f>2*Subsurface_Inputs!$C$34*K4/Subsurface_Inputs!$C$35*1000000</x:f>
        <x:v>172.8666707275326</x:v>
      </x:c>
      <x:c r="P4" s="24" t="n">
        <x:f>Subsurface_Inputs!$C$37-2*Subsurface_Inputs!$C$36*(F4/1000)</x:f>
        <x:v>-11.706950552303534</x:v>
      </x:c>
      <x:c r="Q4" s="24" t="n">
        <x:f>Subsurface_Inputs!$C$38+Subsurface_Inputs!$C$39*H4-2*Subsurface_Inputs!$C$36*(I4/1000)</x:f>
        <x:v>-34.06294047632878</x:v>
      </x:c>
      <x:c r="R4" s="24" t="n">
        <x:f>Subsurface_Inputs!$C$40-2*Subsurface_Inputs!$C$36*(K4/1000)-Subsurface_Inputs!$C$41*ABS(L4-AVERAGE($L$2:$L$242))</x:f>
        <x:v>-33.47365516958781</x:v>
      </x:c>
      <x:c r="S4" s="24" t="n">
        <x:f>K4-AVERAGE($K$2:$K$242)</x:f>
        <x:v>-520.0464585843201</x:v>
      </x:c>
      <x:c r="T4" s="24" t="n">
        <x:f>K4/F4</x:f>
        <x:v>15.350889216574169</x:v>
      </x:c>
      <x:c r="U4" s="25" t="str">
        <x:f>IF(H4&gt;=Subsurface_Inputs!$C$42,"Lens visible","Weak/no lens")</x:f>
        <x:v>Weak/no lens</x:v>
      </x:c>
      <x:c r="V4" s="25" t="str">
        <x:f>IF(R4&gt;=W4,"Likely visible","Weak")</x:f>
        <x:v>Likely visible</x:v>
      </x:c>
      <x:c r="W4" s="24" t="n">
        <x:f>Subsurface_Inputs!$C$43</x:f>
        <x:v>-45</x:v>
      </x:c>
      <x:c r="X4" s="24" t="n">
        <x:f>Q4-W4</x:f>
        <x:v>10.937059523671223</x:v>
      </x:c>
      <x:c r="Y4" s="24" t="n">
        <x:f>R4-W4</x:f>
        <x:v>11.526344830412192</x:v>
      </x:c>
      <x:c r="Z4" s="24" t="n">
        <x:f>MAX(Q4,R4)-W4</x:f>
        <x:v>11.526344830412192</x:v>
      </x:c>
      <x:c r="AA4" s="24" t="n">
        <x:v>0</x:v>
      </x:c>
    </x:row>
    <x:row r="5">
      <x:c r="A5" s="24" t="n">
        <x:f>Model_Data!A5</x:f>
        <x:v>-58.5</x:v>
      </x:c>
      <x:c r="B5" s="24" t="n">
        <x:f>Model_Data!Y5</x:f>
        <x:v>134.3858310571132</x:v>
      </x:c>
      <x:c r="C5" s="24" t="n">
        <x:f>Model_Data!X5</x:f>
        <x:v>21.747313566550197</x:v>
      </x:c>
      <x:c r="D5" s="24" t="n">
        <x:f>Model_Data!B5</x:f>
        <x:v>403.8025</x:v>
      </x:c>
      <x:c r="E5" s="24" t="n">
        <x:f>Inputs!$C$6</x:f>
        <x:v>25</x:v>
      </x:c>
      <x:c r="F5" s="24" t="n">
        <x:f>Subsurface_Inputs!$C$5+Subsurface_Inputs!$C$6*SIN(2*PI()*(A5+Subsurface_Inputs!$C$7)/Subsurface_Inputs!$C$8)+Subsurface_Inputs!$C$9*COS(2*PI()*A5/Subsurface_Inputs!$C$10)+Subsurface_Inputs!$C$11*(B5-AVERAGE($B$2:$B$242))</x:f>
        <x:v>952.7851094276066</x:v>
      </x:c>
      <x:c r="G5" s="24" t="n">
        <x:f>B5-F5</x:f>
        <x:v>-818.3992783704934</x:v>
      </x:c>
      <x:c r="H5" s="24" t="n">
        <x:f>MIN(1,MAX(0,Subsurface_Inputs!$C$13*EXP(-0.5*((A5-Subsurface_Inputs!$C$14)/Subsurface_Inputs!$C$15)^2)+Subsurface_Inputs!$C$16*EXP(-0.5*((A5-Subsurface_Inputs!$C$17)/Subsurface_Inputs!$C$18)^2)))</x:f>
        <x:v>0.0024724559900891306</x:v>
      </x:c>
      <x:c r="I5" s="24" t="n">
        <x:f>Subsurface_Inputs!$C$19+Subsurface_Inputs!$C$20*SIN(2*PI()*(A5-Subsurface_Inputs!$C$21)/Subsurface_Inputs!$C$22)-Subsurface_Inputs!$C$23*H5</x:f>
        <x:v>5605.728230978824</x:v>
      </x:c>
      <x:c r="J5" s="24" t="n">
        <x:f>B5-I5</x:f>
        <x:v>-5471.342399921711</x:v>
      </x:c>
      <x:c r="K5" s="24" t="n">
        <x:f>Subsurface_Inputs!$C$25+Subsurface_Inputs!$C$26*SIN(2*PI()*(A5+Subsurface_Inputs!$C$27)/Subsurface_Inputs!$C$28)+Subsurface_Inputs!$C$29*COS(2*PI()*(A5-Subsurface_Inputs!$C$30)/Subsurface_Inputs!$C$31)-Subsurface_Inputs!$C$32*(B5-AVERAGE($B$2:$B$242))</x:f>
        <x:v>14562.907070815563</x:v>
      </x:c>
      <x:c r="L5" s="24" t="n">
        <x:f>B5-K5</x:f>
        <x:v>-14428.52123975845</x:v>
      </x:c>
      <x:c r="M5" s="24" t="n">
        <x:f>2*Subsurface_Inputs!$C$34*F5/Subsurface_Inputs!$C$35*1000000</x:f>
        <x:v>11.314210544823911</x:v>
      </x:c>
      <x:c r="N5" s="24" t="n">
        <x:f>2*Subsurface_Inputs!$C$34*I5/Subsurface_Inputs!$C$35*1000000</x:f>
        <x:v>66.56736008443752</x:v>
      </x:c>
      <x:c r="O5" s="24" t="n">
        <x:f>2*Subsurface_Inputs!$C$34*K5/Subsurface_Inputs!$C$35*1000000</x:f>
        <x:v>172.93279997091656</x:v>
      </x:c>
      <x:c r="P5" s="24" t="n">
        <x:f>Subsurface_Inputs!$C$37-2*Subsurface_Inputs!$C$36*(F5/1000)</x:f>
        <x:v>-11.715013196969693</x:v>
      </x:c>
      <x:c r="Q5" s="24" t="n">
        <x:f>Subsurface_Inputs!$C$38+Subsurface_Inputs!$C$39*H5-2*Subsurface_Inputs!$C$36*(I5/1000)</x:f>
        <x:v>-34.06805871185108</x:v>
      </x:c>
      <x:c r="R5" s="24" t="n">
        <x:f>Subsurface_Inputs!$C$40-2*Subsurface_Inputs!$C$36*(K5/1000)-Subsurface_Inputs!$C$41*ABS(L5-AVERAGE($L$2:$L$242))</x:f>
        <x:v>-33.54697828240558</x:v>
      </x:c>
      <x:c r="S5" s="24" t="n">
        <x:f>K5-AVERAGE($K$2:$K$242)</x:f>
        <x:v>-514.4776247585469</x:v>
      </x:c>
      <x:c r="T5" s="24" t="n">
        <x:f>K5/F5</x:f>
        <x:v>15.284566190968652</x:v>
      </x:c>
      <x:c r="U5" s="25" t="str">
        <x:f>IF(H5&gt;=Subsurface_Inputs!$C$42,"Lens visible","Weak/no lens")</x:f>
        <x:v>Weak/no lens</x:v>
      </x:c>
      <x:c r="V5" s="25" t="str">
        <x:f>IF(R5&gt;=W5,"Likely visible","Weak")</x:f>
        <x:v>Likely visible</x:v>
      </x:c>
      <x:c r="W5" s="24" t="n">
        <x:f>Subsurface_Inputs!$C$43</x:f>
        <x:v>-45</x:v>
      </x:c>
      <x:c r="X5" s="24" t="n">
        <x:f>Q5-W5</x:f>
        <x:v>10.93194128814892</x:v>
      </x:c>
      <x:c r="Y5" s="24" t="n">
        <x:f>R5-W5</x:f>
        <x:v>11.453021717594417</x:v>
      </x:c>
      <x:c r="Z5" s="24" t="n">
        <x:f>MAX(Q5,R5)-W5</x:f>
        <x:v>11.453021717594417</x:v>
      </x:c>
      <x:c r="AA5" s="24" t="n">
        <x:v>0</x:v>
      </x:c>
    </x:row>
    <x:row r="6">
      <x:c r="A6" s="24" t="n">
        <x:f>Model_Data!A6</x:f>
        <x:v>-58</x:v>
      </x:c>
      <x:c r="B6" s="24" t="n">
        <x:f>Model_Data!Y6</x:f>
        <x:v>120.06952906780961</x:v>
      </x:c>
      <x:c r="C6" s="24" t="n">
        <x:f>Model_Data!X6</x:f>
        <x:v>31.86691354901535</x:v>
      </x:c>
      <x:c r="D6" s="24" t="n">
        <x:f>Model_Data!B6</x:f>
        <x:v>403.73777777777775</x:v>
      </x:c>
      <x:c r="E6" s="24" t="n">
        <x:f>Inputs!$C$6</x:f>
        <x:v>25</x:v>
      </x:c>
      <x:c r="F6" s="24" t="n">
        <x:f>Subsurface_Inputs!$C$5+Subsurface_Inputs!$C$6*SIN(2*PI()*(A6+Subsurface_Inputs!$C$7)/Subsurface_Inputs!$C$8)+Subsurface_Inputs!$C$9*COS(2*PI()*A6/Subsurface_Inputs!$C$10)+Subsurface_Inputs!$C$11*(B6-AVERAGE($B$2:$B$242))</x:f>
        <x:v>957.6515045223967</x:v>
      </x:c>
      <x:c r="G6" s="24" t="n">
        <x:f>B6-F6</x:f>
        <x:v>-837.5819754545871</x:v>
      </x:c>
      <x:c r="H6" s="24" t="n">
        <x:f>MIN(1,MAX(0,Subsurface_Inputs!$C$13*EXP(-0.5*((A6-Subsurface_Inputs!$C$14)/Subsurface_Inputs!$C$15)^2)+Subsurface_Inputs!$C$16*EXP(-0.5*((A6-Subsurface_Inputs!$C$17)/Subsurface_Inputs!$C$18)^2)))</x:f>
        <x:v>0.002934279637824933</x:v>
      </x:c>
      <x:c r="I6" s="24" t="n">
        <x:f>Subsurface_Inputs!$C$19+Subsurface_Inputs!$C$20*SIN(2*PI()*(A6-Subsurface_Inputs!$C$21)/Subsurface_Inputs!$C$22)-Subsurface_Inputs!$C$23*H6</x:f>
        <x:v>5609.784099285287</x:v>
      </x:c>
      <x:c r="J6" s="24" t="n">
        <x:f>B6-I6</x:f>
        <x:v>-5489.714570217478</x:v>
      </x:c>
      <x:c r="K6" s="24" t="n">
        <x:f>Subsurface_Inputs!$C$25+Subsurface_Inputs!$C$26*SIN(2*PI()*(A6+Subsurface_Inputs!$C$27)/Subsurface_Inputs!$C$28)+Subsurface_Inputs!$C$29*COS(2*PI()*(A6-Subsurface_Inputs!$C$30)/Subsurface_Inputs!$C$31)-Subsurface_Inputs!$C$32*(B6-AVERAGE($B$2:$B$242))</x:f>
        <x:v>14573.125618242737</x:v>
      </x:c>
      <x:c r="L6" s="24" t="n">
        <x:f>B6-K6</x:f>
        <x:v>-14453.056089174926</x:v>
      </x:c>
      <x:c r="M6" s="24" t="n">
        <x:f>2*Subsurface_Inputs!$C$34*F6/Subsurface_Inputs!$C$35*1000000</x:f>
        <x:v>11.371998411313378</x:v>
      </x:c>
      <x:c r="N6" s="24" t="n">
        <x:f>2*Subsurface_Inputs!$C$34*I6/Subsurface_Inputs!$C$35*1000000</x:f>
        <x:v>66.61552304112874</x:v>
      </x:c>
      <x:c r="O6" s="24" t="n">
        <x:f>2*Subsurface_Inputs!$C$34*K6/Subsurface_Inputs!$C$35*1000000</x:f>
        <x:v>173.05414401367008</x:v>
      </x:c>
      <x:c r="P6" s="24" t="n">
        <x:f>Subsurface_Inputs!$C$37-2*Subsurface_Inputs!$C$36*(F6/1000)</x:f>
        <x:v>-11.723772708140315</x:v>
      </x:c>
      <x:c r="Q6" s="24" t="n">
        <x:f>Subsurface_Inputs!$C$38+Subsurface_Inputs!$C$39*H6-2*Subsurface_Inputs!$C$36*(I6/1000)</x:f>
        <x:v>-34.07120286197309</x:v>
      </x:c>
      <x:c r="R6" s="24" t="n">
        <x:f>Subsurface_Inputs!$C$40-2*Subsurface_Inputs!$C$36*(K6/1000)-Subsurface_Inputs!$C$41*ABS(L6-AVERAGE($L$2:$L$242))</x:f>
        <x:v>-33.46723227010858</x:v>
      </x:c>
      <x:c r="S6" s="24" t="n">
        <x:f>K6-AVERAGE($K$2:$K$242)</x:f>
        <x:v>-504.2590773313732</x:v>
      </x:c>
      <x:c r="T6" s="24" t="n">
        <x:f>K6/F6</x:f>
        <x:v>15.217566671615783</x:v>
      </x:c>
      <x:c r="U6" s="25" t="str">
        <x:f>IF(H6&gt;=Subsurface_Inputs!$C$42,"Lens visible","Weak/no lens")</x:f>
        <x:v>Weak/no lens</x:v>
      </x:c>
      <x:c r="V6" s="25" t="str">
        <x:f>IF(R6&gt;=W6,"Likely visible","Weak")</x:f>
        <x:v>Likely visible</x:v>
      </x:c>
      <x:c r="W6" s="24" t="n">
        <x:f>Subsurface_Inputs!$C$43</x:f>
        <x:v>-45</x:v>
      </x:c>
      <x:c r="X6" s="24" t="n">
        <x:f>Q6-W6</x:f>
        <x:v>10.928797138026908</x:v>
      </x:c>
      <x:c r="Y6" s="24" t="n">
        <x:f>R6-W6</x:f>
        <x:v>11.532767729891418</x:v>
      </x:c>
      <x:c r="Z6" s="24" t="n">
        <x:f>MAX(Q6,R6)-W6</x:f>
        <x:v>11.532767729891418</x:v>
      </x:c>
      <x:c r="AA6" s="24" t="n">
        <x:v>0</x:v>
      </x:c>
    </x:row>
    <x:row r="7">
      <x:c r="A7" s="24" t="n">
        <x:f>Model_Data!A7</x:f>
        <x:v>-57.5</x:v>
      </x:c>
      <x:c r="B7" s="24" t="n">
        <x:f>Model_Data!Y7</x:f>
        <x:v>138.90151425445745</x:v>
      </x:c>
      <x:c r="C7" s="24" t="n">
        <x:f>Model_Data!X7</x:f>
        <x:v>34.58634748797326</x:v>
      </x:c>
      <x:c r="D7" s="24" t="n">
        <x:f>Model_Data!B7</x:f>
        <x:v>403.6736111111111</x:v>
      </x:c>
      <x:c r="E7" s="24" t="n">
        <x:f>Inputs!$C$6</x:f>
        <x:v>25</x:v>
      </x:c>
      <x:c r="F7" s="24" t="n">
        <x:f>Subsurface_Inputs!$C$5+Subsurface_Inputs!$C$6*SIN(2*PI()*(A7+Subsurface_Inputs!$C$7)/Subsurface_Inputs!$C$8)+Subsurface_Inputs!$C$9*COS(2*PI()*A7/Subsurface_Inputs!$C$10)+Subsurface_Inputs!$C$11*(B7-AVERAGE($B$2:$B$242))</x:f>
        <x:v>965.6506783941551</x:v>
      </x:c>
      <x:c r="G7" s="24" t="n">
        <x:f>B7-F7</x:f>
        <x:v>-826.7491641396977</x:v>
      </x:c>
      <x:c r="H7" s="24" t="n">
        <x:f>MIN(1,MAX(0,Subsurface_Inputs!$C$13*EXP(-0.5*((A7-Subsurface_Inputs!$C$14)/Subsurface_Inputs!$C$15)^2)+Subsurface_Inputs!$C$16*EXP(-0.5*((A7-Subsurface_Inputs!$C$17)/Subsurface_Inputs!$C$18)^2)))</x:f>
        <x:v>0.003473671086050251</x:v>
      </x:c>
      <x:c r="I7" s="24" t="n">
        <x:f>Subsurface_Inputs!$C$19+Subsurface_Inputs!$C$20*SIN(2*PI()*(A7-Subsurface_Inputs!$C$21)/Subsurface_Inputs!$C$22)-Subsurface_Inputs!$C$23*H7</x:f>
        <x:v>5613.072139305129</x:v>
      </x:c>
      <x:c r="J7" s="24" t="n">
        <x:f>B7-I7</x:f>
        <x:v>-5474.170625050671</x:v>
      </x:c>
      <x:c r="K7" s="24" t="n">
        <x:f>Subsurface_Inputs!$C$25+Subsurface_Inputs!$C$26*SIN(2*PI()*(A7+Subsurface_Inputs!$C$27)/Subsurface_Inputs!$C$28)+Subsurface_Inputs!$C$29*COS(2*PI()*(A7-Subsurface_Inputs!$C$30)/Subsurface_Inputs!$C$31)-Subsurface_Inputs!$C$32*(B7-AVERAGE($B$2:$B$242))</x:f>
        <x:v>14578.335140524403</x:v>
      </x:c>
      <x:c r="L7" s="24" t="n">
        <x:f>B7-K7</x:f>
        <x:v>-14439.433626269945</x:v>
      </x:c>
      <x:c r="M7" s="24" t="n">
        <x:f>2*Subsurface_Inputs!$C$34*F7/Subsurface_Inputs!$C$35*1000000</x:f>
        <x:v>11.4669876554506</x:v>
      </x:c>
      <x:c r="N7" s="24" t="n">
        <x:f>2*Subsurface_Inputs!$C$34*I7/Subsurface_Inputs!$C$35*1000000</x:f>
        <x:v>66.65456812768204</x:v>
      </x:c>
      <x:c r="O7" s="24" t="n">
        <x:f>2*Subsurface_Inputs!$C$34*K7/Subsurface_Inputs!$C$35*1000000</x:f>
        <x:v>173.1160064749423</x:v>
      </x:c>
      <x:c r="P7" s="24" t="n">
        <x:f>Subsurface_Inputs!$C$37-2*Subsurface_Inputs!$C$36*(F7/1000)</x:f>
        <x:v>-11.738171221109479</x:v>
      </x:c>
      <x:c r="Q7" s="24" t="n">
        <x:f>Subsurface_Inputs!$C$38+Subsurface_Inputs!$C$39*H7-2*Subsurface_Inputs!$C$36*(I7/1000)</x:f>
        <x:v>-34.07226681097478</x:v>
      </x:c>
      <x:c r="R7" s="24" t="n">
        <x:f>Subsurface_Inputs!$C$40-2*Subsurface_Inputs!$C$36*(K7/1000)-Subsurface_Inputs!$C$41*ABS(L7-AVERAGE($L$2:$L$242))</x:f>
        <x:v>-33.531099261835514</x:v>
      </x:c>
      <x:c r="S7" s="24" t="n">
        <x:f>K7-AVERAGE($K$2:$K$242)</x:f>
        <x:v>-499.0495550497071</x:v>
      </x:c>
      <x:c r="T7" s="24" t="n">
        <x:f>K7/F7</x:f>
        <x:v>15.096903535311226</x:v>
      </x:c>
      <x:c r="U7" s="25" t="str">
        <x:f>IF(H7&gt;=Subsurface_Inputs!$C$42,"Lens visible","Weak/no lens")</x:f>
        <x:v>Weak/no lens</x:v>
      </x:c>
      <x:c r="V7" s="25" t="str">
        <x:f>IF(R7&gt;=W7,"Likely visible","Weak")</x:f>
        <x:v>Likely visible</x:v>
      </x:c>
      <x:c r="W7" s="24" t="n">
        <x:f>Subsurface_Inputs!$C$43</x:f>
        <x:v>-45</x:v>
      </x:c>
      <x:c r="X7" s="24" t="n">
        <x:f>Q7-W7</x:f>
        <x:v>10.927733189025219</x:v>
      </x:c>
      <x:c r="Y7" s="24" t="n">
        <x:f>R7-W7</x:f>
        <x:v>11.468900738164486</x:v>
      </x:c>
      <x:c r="Z7" s="24" t="n">
        <x:f>MAX(Q7,R7)-W7</x:f>
        <x:v>11.468900738164486</x:v>
      </x:c>
      <x:c r="AA7" s="24" t="n">
        <x:v>0</x:v>
      </x:c>
    </x:row>
    <x:row r="8">
      <x:c r="A8" s="24" t="n">
        <x:f>Model_Data!A8</x:f>
        <x:v>-57</x:v>
      </x:c>
      <x:c r="B8" s="24" t="n">
        <x:f>Model_Data!Y8</x:f>
        <x:v>137.46604725484156</x:v>
      </x:c>
      <x:c r="C8" s="24" t="n">
        <x:f>Model_Data!X8</x:f>
        <x:v>55.44088303799376</x:v>
      </x:c>
      <x:c r="D8" s="24" t="n">
        <x:f>Model_Data!B8</x:f>
        <x:v>403.61</x:v>
      </x:c>
      <x:c r="E8" s="24" t="n">
        <x:f>Inputs!$C$6</x:f>
        <x:v>25</x:v>
      </x:c>
      <x:c r="F8" s="24" t="n">
        <x:f>Subsurface_Inputs!$C$5+Subsurface_Inputs!$C$6*SIN(2*PI()*(A8+Subsurface_Inputs!$C$7)/Subsurface_Inputs!$C$8)+Subsurface_Inputs!$C$9*COS(2*PI()*A8/Subsurface_Inputs!$C$10)+Subsurface_Inputs!$C$11*(B8-AVERAGE($B$2:$B$242))</x:f>
        <x:v>974.6127644014157</x:v>
      </x:c>
      <x:c r="G8" s="24" t="n">
        <x:f>B8-F8</x:f>
        <x:v>-837.1467171465741</x:v>
      </x:c>
      <x:c r="H8" s="24" t="n">
        <x:f>MIN(1,MAX(0,Subsurface_Inputs!$C$13*EXP(-0.5*((A8-Subsurface_Inputs!$C$14)/Subsurface_Inputs!$C$15)^2)+Subsurface_Inputs!$C$16*EXP(-0.5*((A8-Subsurface_Inputs!$C$17)/Subsurface_Inputs!$C$18)^2)))</x:f>
        <x:v>0.004101948007251427</x:v>
      </x:c>
      <x:c r="I8" s="24" t="n">
        <x:f>Subsurface_Inputs!$C$19+Subsurface_Inputs!$C$20*SIN(2*PI()*(A8-Subsurface_Inputs!$C$21)/Subsurface_Inputs!$C$22)-Subsurface_Inputs!$C$23*H8</x:f>
        <x:v>5615.584619153291</x:v>
      </x:c>
      <x:c r="J8" s="24" t="n">
        <x:f>B8-I8</x:f>
        <x:v>-5478.11857189845</x:v>
      </x:c>
      <x:c r="K8" s="24" t="n">
        <x:f>Subsurface_Inputs!$C$25+Subsurface_Inputs!$C$26*SIN(2*PI()*(A8+Subsurface_Inputs!$C$27)/Subsurface_Inputs!$C$28)+Subsurface_Inputs!$C$29*COS(2*PI()*(A8-Subsurface_Inputs!$C$30)/Subsurface_Inputs!$C$31)-Subsurface_Inputs!$C$32*(B8-AVERAGE($B$2:$B$242))</x:f>
        <x:v>14585.997030216358</x:v>
      </x:c>
      <x:c r="L8" s="24" t="n">
        <x:f>B8-K8</x:f>
        <x:v>-14448.530982961516</x:v>
      </x:c>
      <x:c r="M8" s="24" t="n">
        <x:f>2*Subsurface_Inputs!$C$34*F8/Subsurface_Inputs!$C$35*1000000</x:f>
        <x:v>11.573411367370154</x:v>
      </x:c>
      <x:c r="N8" s="24" t="n">
        <x:f>2*Subsurface_Inputs!$C$34*I8/Subsurface_Inputs!$C$35*1000000</x:f>
        <x:v>66.68440352887636</x:v>
      </x:c>
      <x:c r="O8" s="24" t="n">
        <x:f>2*Subsurface_Inputs!$C$34*K8/Subsurface_Inputs!$C$35*1000000</x:f>
        <x:v>173.20699050931506</x:v>
      </x:c>
      <x:c r="P8" s="24" t="n">
        <x:f>Subsurface_Inputs!$C$37-2*Subsurface_Inputs!$C$36*(F8/1000)</x:f>
        <x:v>-11.754302975922549</x:v>
      </x:c>
      <x:c r="Q8" s="24" t="n">
        <x:f>Subsurface_Inputs!$C$38+Subsurface_Inputs!$C$39*H8-2*Subsurface_Inputs!$C$36*(I8/1000)</x:f>
        <x:v>-34.07113478241066</x:v>
      </x:c>
      <x:c r="R8" s="24" t="n">
        <x:f>Subsurface_Inputs!$C$40-2*Subsurface_Inputs!$C$36*(K8/1000)-Subsurface_Inputs!$C$41*ABS(L8-AVERAGE($L$2:$L$242))</x:f>
        <x:v>-33.508501236514746</x:v>
      </x:c>
      <x:c r="S8" s="24" t="n">
        <x:f>K8-AVERAGE($K$2:$K$242)</x:f>
        <x:v>-491.38766535775176</x:v>
      </x:c>
      <x:c r="T8" s="24" t="n">
        <x:f>K8/F8</x:f>
        <x:v>14.965940897741818</x:v>
      </x:c>
      <x:c r="U8" s="25" t="str">
        <x:f>IF(H8&gt;=Subsurface_Inputs!$C$42,"Lens visible","Weak/no lens")</x:f>
        <x:v>Weak/no lens</x:v>
      </x:c>
      <x:c r="V8" s="25" t="str">
        <x:f>IF(R8&gt;=W8,"Likely visible","Weak")</x:f>
        <x:v>Likely visible</x:v>
      </x:c>
      <x:c r="W8" s="24" t="n">
        <x:f>Subsurface_Inputs!$C$43</x:f>
        <x:v>-45</x:v>
      </x:c>
      <x:c r="X8" s="24" t="n">
        <x:f>Q8-W8</x:f>
        <x:v>10.92886521758934</x:v>
      </x:c>
      <x:c r="Y8" s="24" t="n">
        <x:f>R8-W8</x:f>
        <x:v>11.491498763485254</x:v>
      </x:c>
      <x:c r="Z8" s="24" t="n">
        <x:f>MAX(Q8,R8)-W8</x:f>
        <x:v>11.491498763485254</x:v>
      </x:c>
      <x:c r="AA8" s="24" t="n">
        <x:v>0</x:v>
      </x:c>
    </x:row>
    <x:row r="9">
      <x:c r="A9" s="24" t="n">
        <x:f>Model_Data!A9</x:f>
        <x:v>-56.5</x:v>
      </x:c>
      <x:c r="B9" s="24" t="n">
        <x:f>Model_Data!Y9</x:f>
        <x:v>141.4558244940569</x:v>
      </x:c>
      <x:c r="C9" s="24" t="n">
        <x:f>Model_Data!X9</x:f>
        <x:v>57.32564727891993</x:v>
      </x:c>
      <x:c r="D9" s="24" t="n">
        <x:f>Model_Data!B9</x:f>
        <x:v>403.5469444444444</x:v>
      </x:c>
      <x:c r="E9" s="24" t="n">
        <x:f>Inputs!$C$6</x:f>
        <x:v>25</x:v>
      </x:c>
      <x:c r="F9" s="24" t="n">
        <x:f>Subsurface_Inputs!$C$5+Subsurface_Inputs!$C$6*SIN(2*PI()*(A9+Subsurface_Inputs!$C$7)/Subsurface_Inputs!$C$8)+Subsurface_Inputs!$C$9*COS(2*PI()*A9/Subsurface_Inputs!$C$10)+Subsurface_Inputs!$C$11*(B9-AVERAGE($B$2:$B$242))</x:f>
        <x:v>985.5077447582461</x:v>
      </x:c>
      <x:c r="G9" s="24" t="n">
        <x:f>B9-F9</x:f>
        <x:v>-844.0519202641892</x:v>
      </x:c>
      <x:c r="H9" s="24" t="n">
        <x:f>MIN(1,MAX(0,Subsurface_Inputs!$C$13*EXP(-0.5*((A9-Subsurface_Inputs!$C$14)/Subsurface_Inputs!$C$15)^2)+Subsurface_Inputs!$C$16*EXP(-0.5*((A9-Subsurface_Inputs!$C$17)/Subsurface_Inputs!$C$18)^2)))</x:f>
        <x:v>0.004831765769462065</x:v>
      </x:c>
      <x:c r="I9" s="24" t="n">
        <x:f>Subsurface_Inputs!$C$19+Subsurface_Inputs!$C$20*SIN(2*PI()*(A9-Subsurface_Inputs!$C$21)/Subsurface_Inputs!$C$22)-Subsurface_Inputs!$C$23*H9</x:f>
        <x:v>5617.314592830874</x:v>
      </x:c>
      <x:c r="J9" s="24" t="n">
        <x:f>B9-I9</x:f>
        <x:v>-5475.858768336817</x:v>
      </x:c>
      <x:c r="K9" s="24" t="n">
        <x:f>Subsurface_Inputs!$C$25+Subsurface_Inputs!$C$26*SIN(2*PI()*(A9+Subsurface_Inputs!$C$27)/Subsurface_Inputs!$C$28)+Subsurface_Inputs!$C$29*COS(2*PI()*(A9-Subsurface_Inputs!$C$30)/Subsurface_Inputs!$C$31)-Subsurface_Inputs!$C$32*(B9-AVERAGE($B$2:$B$242))</x:f>
        <x:v>14592.499316370253</x:v>
      </x:c>
      <x:c r="L9" s="24" t="n">
        <x:f>B9-K9</x:f>
        <x:v>-14451.043491876197</x:v>
      </x:c>
      <x:c r="M9" s="24" t="n">
        <x:f>2*Subsurface_Inputs!$C$34*F9/Subsurface_Inputs!$C$35*1000000</x:f>
        <x:v>11.702787971201584</x:v>
      </x:c>
      <x:c r="N9" s="24" t="n">
        <x:f>2*Subsurface_Inputs!$C$34*I9/Subsurface_Inputs!$C$35*1000000</x:f>
        <x:v>66.70494676179582</x:v>
      </x:c>
      <x:c r="O9" s="24" t="n">
        <x:f>2*Subsurface_Inputs!$C$34*K9/Subsurface_Inputs!$C$35*1000000</x:f>
        <x:v>173.2842043887512</x:v>
      </x:c>
      <x:c r="P9" s="24" t="n">
        <x:f>Subsurface_Inputs!$C$37-2*Subsurface_Inputs!$C$36*(F9/1000)</x:f>
        <x:v>-11.773913940564842</x:v>
      </x:c>
      <x:c r="Q9" s="24" t="n">
        <x:f>Subsurface_Inputs!$C$38+Subsurface_Inputs!$C$39*H9-2*Subsurface_Inputs!$C$36*(I9/1000)</x:f>
        <x:v>-34.06768037517041</x:v>
      </x:c>
      <x:c r="R9" s="24" t="n">
        <x:f>Subsurface_Inputs!$C$40-2*Subsurface_Inputs!$C$36*(K9/1000)-Subsurface_Inputs!$C$41*ABS(L9-AVERAGE($L$2:$L$242))</x:f>
        <x:v>-33.510155315933034</x:v>
      </x:c>
      <x:c r="S9" s="24" t="n">
        <x:f>K9-AVERAGE($K$2:$K$242)</x:f>
        <x:v>-484.88537920385716</x:v>
      </x:c>
      <x:c r="T9" s="24" t="n">
        <x:f>K9/F9</x:f>
        <x:v>14.807087406451508</x:v>
      </x:c>
      <x:c r="U9" s="25" t="str">
        <x:f>IF(H9&gt;=Subsurface_Inputs!$C$42,"Lens visible","Weak/no lens")</x:f>
        <x:v>Weak/no lens</x:v>
      </x:c>
      <x:c r="V9" s="25" t="str">
        <x:f>IF(R9&gt;=W9,"Likely visible","Weak")</x:f>
        <x:v>Likely visible</x:v>
      </x:c>
      <x:c r="W9" s="24" t="n">
        <x:f>Subsurface_Inputs!$C$43</x:f>
        <x:v>-45</x:v>
      </x:c>
      <x:c r="X9" s="24" t="n">
        <x:f>Q9-W9</x:f>
        <x:v>10.932319624829589</x:v>
      </x:c>
      <x:c r="Y9" s="24" t="n">
        <x:f>R9-W9</x:f>
        <x:v>11.489844684066966</x:v>
      </x:c>
      <x:c r="Z9" s="24" t="n">
        <x:f>MAX(Q9,R9)-W9</x:f>
        <x:v>11.489844684066966</x:v>
      </x:c>
      <x:c r="AA9" s="24" t="n">
        <x:v>0</x:v>
      </x:c>
    </x:row>
    <x:row r="10">
      <x:c r="A10" s="24" t="n">
        <x:f>Model_Data!A10</x:f>
        <x:v>-56</x:v>
      </x:c>
      <x:c r="B10" s="24" t="n">
        <x:f>Model_Data!Y10</x:f>
        <x:v>167.1152389347629</x:v>
      </x:c>
      <x:c r="C10" s="24" t="n">
        <x:f>Model_Data!X10</x:f>
        <x:v>61.55956835196879</x:v>
      </x:c>
      <x:c r="D10" s="24" t="n">
        <x:f>Model_Data!B10</x:f>
        <x:v>403.4844444444444</x:v>
      </x:c>
      <x:c r="E10" s="24" t="n">
        <x:f>Inputs!$C$6</x:f>
        <x:v>25</x:v>
      </x:c>
      <x:c r="F10" s="24" t="n">
        <x:f>Subsurface_Inputs!$C$5+Subsurface_Inputs!$C$6*SIN(2*PI()*(A10+Subsurface_Inputs!$C$7)/Subsurface_Inputs!$C$8)+Subsurface_Inputs!$C$9*COS(2*PI()*A10/Subsurface_Inputs!$C$10)+Subsurface_Inputs!$C$11*(B10-AVERAGE($B$2:$B$242))</x:f>
        <x:v>998.903639493633</x:v>
      </x:c>
      <x:c r="G10" s="24" t="n">
        <x:f>B10-F10</x:f>
        <x:v>-831.7884005588701</x:v>
      </x:c>
      <x:c r="H10" s="24" t="n">
        <x:f>MIN(1,MAX(0,Subsurface_Inputs!$C$13*EXP(-0.5*((A10-Subsurface_Inputs!$C$14)/Subsurface_Inputs!$C$15)^2)+Subsurface_Inputs!$C$16*EXP(-0.5*((A10-Subsurface_Inputs!$C$17)/Subsurface_Inputs!$C$18)^2)))</x:f>
        <x:v>0.00567722175025564</x:v>
      </x:c>
      <x:c r="I10" s="24" t="n">
        <x:f>Subsurface_Inputs!$C$19+Subsurface_Inputs!$C$20*SIN(2*PI()*(A10-Subsurface_Inputs!$C$21)/Subsurface_Inputs!$C$22)-Subsurface_Inputs!$C$23*H10</x:f>
        <x:v>5618.255880926359</x:v>
      </x:c>
      <x:c r="J10" s="24" t="n">
        <x:f>B10-I10</x:f>
        <x:v>-5451.140641991597</x:v>
      </x:c>
      <x:c r="K10" s="24" t="n">
        <x:f>Subsurface_Inputs!$C$25+Subsurface_Inputs!$C$26*SIN(2*PI()*(A10+Subsurface_Inputs!$C$27)/Subsurface_Inputs!$C$28)+Subsurface_Inputs!$C$29*COS(2*PI()*(A10-Subsurface_Inputs!$C$30)/Subsurface_Inputs!$C$31)-Subsurface_Inputs!$C$32*(B10-AVERAGE($B$2:$B$242))</x:f>
        <x:v>14595.554644264555</x:v>
      </x:c>
      <x:c r="L10" s="24" t="n">
        <x:f>B10-K10</x:f>
        <x:v>-14428.439405329793</x:v>
      </x:c>
      <x:c r="M10" s="24" t="n">
        <x:f>2*Subsurface_Inputs!$C$34*F10/Subsurface_Inputs!$C$35*1000000</x:f>
        <x:v>11.861862637642918</x:v>
      </x:c>
      <x:c r="N10" s="24" t="n">
        <x:f>2*Subsurface_Inputs!$C$34*I10/Subsurface_Inputs!$C$35*1000000</x:f>
        <x:v>66.71612444665915</x:v>
      </x:c>
      <x:c r="O10" s="24" t="n">
        <x:f>2*Subsurface_Inputs!$C$34*K10/Subsurface_Inputs!$C$35*1000000</x:f>
        <x:v>173.32048604632283</x:v>
      </x:c>
      <x:c r="P10" s="24" t="n">
        <x:f>Subsurface_Inputs!$C$37-2*Subsurface_Inputs!$C$36*(F10/1000)</x:f>
        <x:v>-11.79802655108854</x:v>
      </x:c>
      <x:c r="Q10" s="24" t="n">
        <x:f>Subsurface_Inputs!$C$38+Subsurface_Inputs!$C$39*H10-2*Subsurface_Inputs!$C$36*(I10/1000)</x:f>
        <x:v>-34.06176558991515</x:v>
      </x:c>
      <x:c r="R10" s="24" t="n">
        <x:f>Subsurface_Inputs!$C$40-2*Subsurface_Inputs!$C$36*(K10/1000)-Subsurface_Inputs!$C$41*ABS(L10-AVERAGE($L$2:$L$242))</x:f>
        <x:v>-33.606071252328405</x:v>
      </x:c>
      <x:c r="S10" s="24" t="n">
        <x:f>K10-AVERAGE($K$2:$K$242)</x:f>
        <x:v>-481.8300513095546</x:v>
      </x:c>
      <x:c r="T10" s="24" t="n">
        <x:f>K10/F10</x:f>
        <x:v>14.611574197150162</x:v>
      </x:c>
      <x:c r="U10" s="25" t="str">
        <x:f>IF(H10&gt;=Subsurface_Inputs!$C$42,"Lens visible","Weak/no lens")</x:f>
        <x:v>Weak/no lens</x:v>
      </x:c>
      <x:c r="V10" s="25" t="str">
        <x:f>IF(R10&gt;=W10,"Likely visible","Weak")</x:f>
        <x:v>Likely visible</x:v>
      </x:c>
      <x:c r="W10" s="24" t="n">
        <x:f>Subsurface_Inputs!$C$43</x:f>
        <x:v>-45</x:v>
      </x:c>
      <x:c r="X10" s="24" t="n">
        <x:f>Q10-W10</x:f>
        <x:v>10.938234410084853</x:v>
      </x:c>
      <x:c r="Y10" s="24" t="n">
        <x:f>R10-W10</x:f>
        <x:v>11.393928747671595</x:v>
      </x:c>
      <x:c r="Z10" s="24" t="n">
        <x:f>MAX(Q10,R10)-W10</x:f>
        <x:v>11.393928747671595</x:v>
      </x:c>
      <x:c r="AA10" s="24" t="n">
        <x:v>0</x:v>
      </x:c>
    </x:row>
    <x:row r="11">
      <x:c r="A11" s="24" t="n">
        <x:f>Model_Data!A11</x:f>
        <x:v>-55.5</x:v>
      </x:c>
      <x:c r="B11" s="24" t="n">
        <x:f>Model_Data!Y11</x:f>
        <x:v>160.57943103446084</x:v>
      </x:c>
      <x:c r="C11" s="24" t="n">
        <x:f>Model_Data!X11</x:f>
        <x:v>38.49658216595124</x:v>
      </x:c>
      <x:c r="D11" s="24" t="n">
        <x:f>Model_Data!B11</x:f>
        <x:v>403.4225</x:v>
      </x:c>
      <x:c r="E11" s="24" t="n">
        <x:f>Inputs!$C$6</x:f>
        <x:v>25</x:v>
      </x:c>
      <x:c r="F11" s="24" t="n">
        <x:f>Subsurface_Inputs!$C$5+Subsurface_Inputs!$C$6*SIN(2*PI()*(A11+Subsurface_Inputs!$C$7)/Subsurface_Inputs!$C$8)+Subsurface_Inputs!$C$9*COS(2*PI()*A11/Subsurface_Inputs!$C$10)+Subsurface_Inputs!$C$11*(B11-AVERAGE($B$2:$B$242))</x:f>
        <x:v>1012.5409302853382</x:v>
      </x:c>
      <x:c r="G11" s="24" t="n">
        <x:f>B11-F11</x:f>
        <x:v>-851.9614992508773</x:v>
      </x:c>
      <x:c r="H11" s="24" t="n">
        <x:f>MIN(1,MAX(0,Subsurface_Inputs!$C$13*EXP(-0.5*((A11-Subsurface_Inputs!$C$14)/Subsurface_Inputs!$C$15)^2)+Subsurface_Inputs!$C$16*EXP(-0.5*((A11-Subsurface_Inputs!$C$17)/Subsurface_Inputs!$C$18)^2)))</x:f>
        <x:v>0.006653958791894301</x:v>
      </x:c>
      <x:c r="I11" s="24" t="n">
        <x:f>Subsurface_Inputs!$C$19+Subsurface_Inputs!$C$20*SIN(2*PI()*(A11-Subsurface_Inputs!$C$21)/Subsurface_Inputs!$C$22)-Subsurface_Inputs!$C$23*H11</x:f>
        <x:v>5618.403049889946</x:v>
      </x:c>
      <x:c r="J11" s="24" t="n">
        <x:f>B11-I11</x:f>
        <x:v>-5457.823618855485</x:v>
      </x:c>
      <x:c r="K11" s="24" t="n">
        <x:f>Subsurface_Inputs!$C$25+Subsurface_Inputs!$C$26*SIN(2*PI()*(A11+Subsurface_Inputs!$C$27)/Subsurface_Inputs!$C$28)+Subsurface_Inputs!$C$29*COS(2*PI()*(A11-Subsurface_Inputs!$C$30)/Subsurface_Inputs!$C$31)-Subsurface_Inputs!$C$32*(B11-AVERAGE($B$2:$B$242))</x:f>
        <x:v>14602.692839300287</x:v>
      </x:c>
      <x:c r="L11" s="24" t="n">
        <x:f>B11-K11</x:f>
        <x:v>-14442.113408265826</x:v>
      </x:c>
      <x:c r="M11" s="24" t="n">
        <x:f>2*Subsurface_Inputs!$C$34*F11/Subsurface_Inputs!$C$35*1000000</x:f>
        <x:v>12.023803853717373</x:v>
      </x:c>
      <x:c r="N11" s="24" t="n">
        <x:f>2*Subsurface_Inputs!$C$34*I11/Subsurface_Inputs!$C$35*1000000</x:f>
        <x:v>66.71787206070476</x:v>
      </x:c>
      <x:c r="O11" s="24" t="n">
        <x:f>2*Subsurface_Inputs!$C$34*K11/Subsurface_Inputs!$C$35*1000000</x:f>
        <x:v>173.40525126855934</x:v>
      </x:c>
      <x:c r="P11" s="24" t="n">
        <x:f>Subsurface_Inputs!$C$37-2*Subsurface_Inputs!$C$36*(F11/1000)</x:f>
        <x:v>-11.822573674513608</x:v>
      </x:c>
      <x:c r="Q11" s="24" t="n">
        <x:f>Subsurface_Inputs!$C$38+Subsurface_Inputs!$C$39*H11-2*Subsurface_Inputs!$C$36*(I11/1000)</x:f>
        <x:v>-34.05323986067485</x:v>
      </x:c>
      <x:c r="R11" s="24" t="n">
        <x:f>Subsurface_Inputs!$C$40-2*Subsurface_Inputs!$C$36*(K11/1000)-Subsurface_Inputs!$C$41*ABS(L11-AVERAGE($L$2:$L$242))</x:f>
        <x:v>-33.56422399164858</x:v>
      </x:c>
      <x:c r="S11" s="24" t="n">
        <x:f>K11-AVERAGE($K$2:$K$242)</x:f>
        <x:v>-474.69185627382285</x:v>
      </x:c>
      <x:c r="T11" s="24" t="n">
        <x:f>K11/F11</x:f>
        <x:v>14.421829678712532</x:v>
      </x:c>
      <x:c r="U11" s="25" t="str">
        <x:f>IF(H11&gt;=Subsurface_Inputs!$C$42,"Lens visible","Weak/no lens")</x:f>
        <x:v>Weak/no lens</x:v>
      </x:c>
      <x:c r="V11" s="25" t="str">
        <x:f>IF(R11&gt;=W11,"Likely visible","Weak")</x:f>
        <x:v>Likely visible</x:v>
      </x:c>
      <x:c r="W11" s="24" t="n">
        <x:f>Subsurface_Inputs!$C$43</x:f>
        <x:v>-45</x:v>
      </x:c>
      <x:c r="X11" s="24" t="n">
        <x:f>Q11-W11</x:f>
        <x:v>10.94676013932515</x:v>
      </x:c>
      <x:c r="Y11" s="24" t="n">
        <x:f>R11-W11</x:f>
        <x:v>11.435776008351418</x:v>
      </x:c>
      <x:c r="Z11" s="24" t="n">
        <x:f>MAX(Q11,R11)-W11</x:f>
        <x:v>11.435776008351418</x:v>
      </x:c>
      <x:c r="AA11" s="24" t="n">
        <x:v>0</x:v>
      </x:c>
    </x:row>
    <x:row r="12">
      <x:c r="A12" s="24" t="n">
        <x:f>Model_Data!A12</x:f>
        <x:v>-55</x:v>
      </x:c>
      <x:c r="B12" s="24" t="n">
        <x:f>Model_Data!Y12</x:f>
        <x:v>176.10976359434375</x:v>
      </x:c>
      <x:c r="C12" s="24" t="n">
        <x:f>Model_Data!X12</x:f>
        <x:v>46.51195593176057</x:v>
      </x:c>
      <x:c r="D12" s="24" t="n">
        <x:f>Model_Data!B12</x:f>
        <x:v>403.3611111111111</x:v>
      </x:c>
      <x:c r="E12" s="24" t="n">
        <x:f>Inputs!$C$6</x:f>
        <x:v>25</x:v>
      </x:c>
      <x:c r="F12" s="24" t="n">
        <x:f>Subsurface_Inputs!$C$5+Subsurface_Inputs!$C$6*SIN(2*PI()*(A12+Subsurface_Inputs!$C$7)/Subsurface_Inputs!$C$8)+Subsurface_Inputs!$C$9*COS(2*PI()*A12/Subsurface_Inputs!$C$10)+Subsurface_Inputs!$C$11*(B12-AVERAGE($B$2:$B$242))</x:f>
        <x:v>1028.4632321594486</x:v>
      </x:c>
      <x:c r="G12" s="24" t="n">
        <x:f>B12-F12</x:f>
        <x:v>-852.3534685651048</x:v>
      </x:c>
      <x:c r="H12" s="24" t="n">
        <x:f>MIN(1,MAX(0,Subsurface_Inputs!$C$13*EXP(-0.5*((A12-Subsurface_Inputs!$C$14)/Subsurface_Inputs!$C$15)^2)+Subsurface_Inputs!$C$16*EXP(-0.5*((A12-Subsurface_Inputs!$C$17)/Subsurface_Inputs!$C$18)^2)))</x:f>
        <x:v>0.00777926596365537</x:v>
      </x:c>
      <x:c r="I12" s="24" t="n">
        <x:f>Subsurface_Inputs!$C$19+Subsurface_Inputs!$C$20*SIN(2*PI()*(A12-Subsurface_Inputs!$C$21)/Subsurface_Inputs!$C$22)-Subsurface_Inputs!$C$23*H12</x:f>
        <x:v>5617.751390315144</x:v>
      </x:c>
      <x:c r="J12" s="24" t="n">
        <x:f>B12-I12</x:f>
        <x:v>-5441.641626720801</x:v>
      </x:c>
      <x:c r="K12" s="24" t="n">
        <x:f>Subsurface_Inputs!$C$25+Subsurface_Inputs!$C$26*SIN(2*PI()*(A12+Subsurface_Inputs!$C$27)/Subsurface_Inputs!$C$28)+Subsurface_Inputs!$C$29*COS(2*PI()*(A12-Subsurface_Inputs!$C$30)/Subsurface_Inputs!$C$31)-Subsurface_Inputs!$C$32*(B12-AVERAGE($B$2:$B$242))</x:f>
        <x:v>14606.307966267492</x:v>
      </x:c>
      <x:c r="L12" s="24" t="n">
        <x:f>B12-K12</x:f>
        <x:v>-14430.198202673148</x:v>
      </x:c>
      <x:c r="M12" s="24" t="n">
        <x:f>2*Subsurface_Inputs!$C$34*F12/Subsurface_Inputs!$C$35*1000000</x:f>
        <x:v>12.21287930628207</x:v>
      </x:c>
      <x:c r="N12" s="24" t="n">
        <x:f>2*Subsurface_Inputs!$C$34*I12/Subsurface_Inputs!$C$35*1000000</x:f>
        <x:v>66.71013368028729</x:v>
      </x:c>
      <x:c r="O12" s="24" t="n">
        <x:f>2*Subsurface_Inputs!$C$34*K12/Subsurface_Inputs!$C$35*1000000</x:f>
        <x:v>173.44818047394733</x:v>
      </x:c>
      <x:c r="P12" s="24" t="n">
        <x:f>Subsurface_Inputs!$C$37-2*Subsurface_Inputs!$C$36*(F12/1000)</x:f>
        <x:v>-11.851233817887007</x:v>
      </x:c>
      <x:c r="Q12" s="24" t="n">
        <x:f>Subsurface_Inputs!$C$38+Subsurface_Inputs!$C$39*H12-2*Subsurface_Inputs!$C$36*(I12/1000)</x:f>
        <x:v>-34.04193910889436</x:v>
      </x:c>
      <x:c r="R12" s="24" t="n">
        <x:f>Subsurface_Inputs!$C$40-2*Subsurface_Inputs!$C$36*(K12/1000)-Subsurface_Inputs!$C$41*ABS(L12-AVERAGE($L$2:$L$242))</x:f>
        <x:v>-33.61839204256027</x:v>
      </x:c>
      <x:c r="S12" s="24" t="n">
        <x:f>K12-AVERAGE($K$2:$K$242)</x:f>
        <x:v>-471.0767293066183</x:v>
      </x:c>
      <x:c r="T12" s="24" t="n">
        <x:f>K12/F12</x:f>
        <x:v>14.202071118866204</x:v>
      </x:c>
      <x:c r="U12" s="25" t="str">
        <x:f>IF(H12&gt;=Subsurface_Inputs!$C$42,"Lens visible","Weak/no lens")</x:f>
        <x:v>Weak/no lens</x:v>
      </x:c>
      <x:c r="V12" s="25" t="str">
        <x:f>IF(R12&gt;=W12,"Likely visible","Weak")</x:f>
        <x:v>Likely visible</x:v>
      </x:c>
      <x:c r="W12" s="24" t="n">
        <x:f>Subsurface_Inputs!$C$43</x:f>
        <x:v>-45</x:v>
      </x:c>
      <x:c r="X12" s="24" t="n">
        <x:f>Q12-W12</x:f>
        <x:v>10.958060891105639</x:v>
      </x:c>
      <x:c r="Y12" s="24" t="n">
        <x:f>R12-W12</x:f>
        <x:v>11.381607957439734</x:v>
      </x:c>
      <x:c r="Z12" s="24" t="n">
        <x:f>MAX(Q12,R12)-W12</x:f>
        <x:v>11.381607957439734</x:v>
      </x:c>
      <x:c r="AA12" s="24" t="n">
        <x:v>0</x:v>
      </x:c>
    </x:row>
    <x:row r="13">
      <x:c r="A13" s="24" t="n">
        <x:f>Model_Data!A13</x:f>
        <x:v>-54.5</x:v>
      </x:c>
      <x:c r="B13" s="24" t="n">
        <x:f>Model_Data!Y13</x:f>
        <x:v>194.40953580817023</x:v>
      </x:c>
      <x:c r="C13" s="24" t="n">
        <x:f>Model_Data!X13</x:f>
        <x:v>49.77469341509185</x:v>
      </x:c>
      <x:c r="D13" s="24" t="n">
        <x:f>Model_Data!B13</x:f>
        <x:v>403.30027777777775</x:v>
      </x:c>
      <x:c r="E13" s="24" t="n">
        <x:f>Inputs!$C$6</x:f>
        <x:v>25</x:v>
      </x:c>
      <x:c r="F13" s="24" t="n">
        <x:f>Subsurface_Inputs!$C$5+Subsurface_Inputs!$C$6*SIN(2*PI()*(A13+Subsurface_Inputs!$C$7)/Subsurface_Inputs!$C$8)+Subsurface_Inputs!$C$9*COS(2*PI()*A13/Subsurface_Inputs!$C$10)+Subsurface_Inputs!$C$11*(B13-AVERAGE($B$2:$B$242))</x:f>
        <x:v>1045.7515462573333</x:v>
      </x:c>
      <x:c r="G13" s="24" t="n">
        <x:f>B13-F13</x:f>
        <x:v>-851.3420104491631</x:v>
      </x:c>
      <x:c r="H13" s="24" t="n">
        <x:f>MIN(1,MAX(0,Subsurface_Inputs!$C$13*EXP(-0.5*((A13-Subsurface_Inputs!$C$14)/Subsurface_Inputs!$C$15)^2)+Subsurface_Inputs!$C$16*EXP(-0.5*((A13-Subsurface_Inputs!$C$17)/Subsurface_Inputs!$C$18)^2)))</x:f>
        <x:v>0.0090721745252693</x:v>
      </x:c>
      <x:c r="I13" s="24" t="n">
        <x:f>Subsurface_Inputs!$C$19+Subsurface_Inputs!$C$20*SIN(2*PI()*(A13-Subsurface_Inputs!$C$21)/Subsurface_Inputs!$C$22)-Subsurface_Inputs!$C$23*H13</x:f>
        <x:v>5616.29689472948</x:v>
      </x:c>
      <x:c r="J13" s="24" t="n">
        <x:f>B13-I13</x:f>
        <x:v>-5421.88735892131</x:v>
      </x:c>
      <x:c r="K13" s="24" t="n">
        <x:f>Subsurface_Inputs!$C$25+Subsurface_Inputs!$C$26*SIN(2*PI()*(A13+Subsurface_Inputs!$C$27)/Subsurface_Inputs!$C$28)+Subsurface_Inputs!$C$29*COS(2*PI()*(A13-Subsurface_Inputs!$C$30)/Subsurface_Inputs!$C$31)-Subsurface_Inputs!$C$32*(B13-AVERAGE($B$2:$B$242))</x:f>
        <x:v>14609.094149774926</x:v>
      </x:c>
      <x:c r="L13" s="24" t="n">
        <x:f>B13-K13</x:f>
        <x:v>-14414.684613966756</x:v>
      </x:c>
      <x:c r="M13" s="24" t="n">
        <x:f>2*Subsurface_Inputs!$C$34*F13/Subsurface_Inputs!$C$35*1000000</x:f>
        <x:v>12.418175992526491</x:v>
      </x:c>
      <x:c r="N13" s="24" t="n">
        <x:f>2*Subsurface_Inputs!$C$34*I13/Subsurface_Inputs!$C$35*1000000</x:f>
        <x:v>66.69286171714484</x:v>
      </x:c>
      <x:c r="O13" s="24" t="n">
        <x:f>2*Subsurface_Inputs!$C$34*K13/Subsurface_Inputs!$C$35*1000000</x:f>
        <x:v>173.48126607374073</x:v>
      </x:c>
      <x:c r="P13" s="24" t="n">
        <x:f>Subsurface_Inputs!$C$37-2*Subsurface_Inputs!$C$36*(F13/1000)</x:f>
        <x:v>-11.8823527832632</x:v>
      </x:c>
      <x:c r="Q13" s="24" t="n">
        <x:f>Subsurface_Inputs!$C$38+Subsurface_Inputs!$C$39*H13-2*Subsurface_Inputs!$C$36*(I13/1000)</x:f>
        <x:v>-34.027684839785636</x:v>
      </x:c>
      <x:c r="R13" s="24" t="n">
        <x:f>Subsurface_Inputs!$C$40-2*Subsurface_Inputs!$C$36*(K13/1000)-Subsurface_Inputs!$C$41*ABS(L13-AVERAGE($L$2:$L$242))</x:f>
        <x:v>-33.68546152769921</x:v>
      </x:c>
      <x:c r="S13" s="24" t="n">
        <x:f>K13-AVERAGE($K$2:$K$242)</x:f>
        <x:v>-468.29054579918375</x:v>
      </x:c>
      <x:c r="T13" s="24" t="n">
        <x:f>K13/F13</x:f>
        <x:v>13.969947452681073</x:v>
      </x:c>
      <x:c r="U13" s="25" t="str">
        <x:f>IF(H13&gt;=Subsurface_Inputs!$C$42,"Lens visible","Weak/no lens")</x:f>
        <x:v>Weak/no lens</x:v>
      </x:c>
      <x:c r="V13" s="25" t="str">
        <x:f>IF(R13&gt;=W13,"Likely visible","Weak")</x:f>
        <x:v>Likely visible</x:v>
      </x:c>
      <x:c r="W13" s="24" t="n">
        <x:f>Subsurface_Inputs!$C$43</x:f>
        <x:v>-45</x:v>
      </x:c>
      <x:c r="X13" s="24" t="n">
        <x:f>Q13-W13</x:f>
        <x:v>10.972315160214364</x:v>
      </x:c>
      <x:c r="Y13" s="24" t="n">
        <x:f>R13-W13</x:f>
        <x:v>11.31453847230079</x:v>
      </x:c>
      <x:c r="Z13" s="24" t="n">
        <x:f>MAX(Q13,R13)-W13</x:f>
        <x:v>11.31453847230079</x:v>
      </x:c>
      <x:c r="AA13" s="24" t="n">
        <x:v>0</x:v>
      </x:c>
    </x:row>
    <x:row r="14">
      <x:c r="A14" s="24" t="n">
        <x:f>Model_Data!A14</x:f>
        <x:v>-54</x:v>
      </x:c>
      <x:c r="B14" s="24" t="n">
        <x:f>Model_Data!Y14</x:f>
        <x:v>196.39629745562698</x:v>
      </x:c>
      <x:c r="C14" s="24" t="n">
        <x:f>Model_Data!X14</x:f>
        <x:v>37.91568406723211</x:v>
      </x:c>
      <x:c r="D14" s="24" t="n">
        <x:f>Model_Data!B14</x:f>
        <x:v>403.24</x:v>
      </x:c>
      <x:c r="E14" s="24" t="n">
        <x:f>Inputs!$C$6</x:f>
        <x:v>25</x:v>
      </x:c>
      <x:c r="F14" s="24" t="n">
        <x:f>Subsurface_Inputs!$C$5+Subsurface_Inputs!$C$6*SIN(2*PI()*(A14+Subsurface_Inputs!$C$7)/Subsurface_Inputs!$C$8)+Subsurface_Inputs!$C$9*COS(2*PI()*A14/Subsurface_Inputs!$C$10)+Subsurface_Inputs!$C$11*(B14-AVERAGE($B$2:$B$242))</x:f>
        <x:v>1063.4771219823376</x:v>
      </x:c>
      <x:c r="G14" s="24" t="n">
        <x:f>B14-F14</x:f>
        <x:v>-867.0808245267107</x:v>
      </x:c>
      <x:c r="H14" s="24" t="n">
        <x:f>MIN(1,MAX(0,Subsurface_Inputs!$C$13*EXP(-0.5*((A14-Subsurface_Inputs!$C$14)/Subsurface_Inputs!$C$15)^2)+Subsurface_Inputs!$C$16*EXP(-0.5*((A14-Subsurface_Inputs!$C$17)/Subsurface_Inputs!$C$18)^2)))</x:f>
        <x:v>0.01055354671133019</x:v>
      </x:c>
      <x:c r="I14" s="24" t="n">
        <x:f>Subsurface_Inputs!$C$19+Subsurface_Inputs!$C$20*SIN(2*PI()*(A14-Subsurface_Inputs!$C$21)/Subsurface_Inputs!$C$22)-Subsurface_Inputs!$C$23*H14</x:f>
        <x:v>5614.036235464312</x:v>
      </x:c>
      <x:c r="J14" s="24" t="n">
        <x:f>B14-I14</x:f>
        <x:v>-5417.639938008685</x:v>
      </x:c>
      <x:c r="K14" s="24" t="n">
        <x:f>Subsurface_Inputs!$C$25+Subsurface_Inputs!$C$26*SIN(2*PI()*(A14+Subsurface_Inputs!$C$27)/Subsurface_Inputs!$C$28)+Subsurface_Inputs!$C$29*COS(2*PI()*(A14-Subsurface_Inputs!$C$30)/Subsurface_Inputs!$C$31)-Subsurface_Inputs!$C$32*(B14-AVERAGE($B$2:$B$242))</x:f>
        <x:v>14613.717465260237</x:v>
      </x:c>
      <x:c r="L14" s="24" t="n">
        <x:f>B14-K14</x:f>
        <x:v>-14417.32116780461</x:v>
      </x:c>
      <x:c r="M14" s="24" t="n">
        <x:f>2*Subsurface_Inputs!$C$34*F14/Subsurface_Inputs!$C$35*1000000</x:f>
        <x:v>12.628665108903848</x:v>
      </x:c>
      <x:c r="N14" s="24" t="n">
        <x:f>2*Subsurface_Inputs!$C$34*I14/Subsurface_Inputs!$C$35*1000000</x:f>
        <x:v>66.66601665560563</x:v>
      </x:c>
      <x:c r="O14" s="24" t="n">
        <x:f>2*Subsurface_Inputs!$C$34*K14/Subsurface_Inputs!$C$35*1000000</x:f>
        <x:v>173.5361673986023</x:v>
      </x:c>
      <x:c r="P14" s="24" t="n">
        <x:f>Subsurface_Inputs!$C$37-2*Subsurface_Inputs!$C$36*(F14/1000)</x:f>
        <x:v>-11.914258819568207</x:v>
      </x:c>
      <x:c r="Q14" s="24" t="n">
        <x:f>Subsurface_Inputs!$C$38+Subsurface_Inputs!$C$39*H14-2*Subsurface_Inputs!$C$36*(I14/1000)</x:f>
        <x:v>-34.010283303433795</x:v>
      </x:c>
      <x:c r="R14" s="24" t="n">
        <x:f>Subsurface_Inputs!$C$40-2*Subsurface_Inputs!$C$36*(K14/1000)-Subsurface_Inputs!$C$41*ABS(L14-AVERAGE($L$2:$L$242))</x:f>
        <x:v>-33.683237280221356</x:v>
      </x:c>
      <x:c r="S14" s="24" t="n">
        <x:f>K14-AVERAGE($K$2:$K$242)</x:f>
        <x:v>-463.667230313873</x:v>
      </x:c>
      <x:c r="T14" s="24" t="n">
        <x:f>K14/F14</x:f>
        <x:v>13.741449781279774</x:v>
      </x:c>
      <x:c r="U14" s="25" t="str">
        <x:f>IF(H14&gt;=Subsurface_Inputs!$C$42,"Lens visible","Weak/no lens")</x:f>
        <x:v>Weak/no lens</x:v>
      </x:c>
      <x:c r="V14" s="25" t="str">
        <x:f>IF(R14&gt;=W14,"Likely visible","Weak")</x:f>
        <x:v>Likely visible</x:v>
      </x:c>
      <x:c r="W14" s="24" t="n">
        <x:f>Subsurface_Inputs!$C$43</x:f>
        <x:v>-45</x:v>
      </x:c>
      <x:c r="X14" s="24" t="n">
        <x:f>Q14-W14</x:f>
        <x:v>10.989716696566205</x:v>
      </x:c>
      <x:c r="Y14" s="24" t="n">
        <x:f>R14-W14</x:f>
        <x:v>11.316762719778644</x:v>
      </x:c>
      <x:c r="Z14" s="24" t="n">
        <x:f>MAX(Q14,R14)-W14</x:f>
        <x:v>11.316762719778644</x:v>
      </x:c>
      <x:c r="AA14" s="24" t="n">
        <x:v>0</x:v>
      </x:c>
    </x:row>
    <x:row r="15">
      <x:c r="A15" s="24" t="n">
        <x:f>Model_Data!A15</x:f>
        <x:v>-53.5</x:v>
      </x:c>
      <x:c r="B15" s="24" t="n">
        <x:f>Model_Data!Y15</x:f>
        <x:v>215.04504497494062</x:v>
      </x:c>
      <x:c r="C15" s="24" t="n">
        <x:f>Model_Data!X15</x:f>
        <x:v>49.305692333608725</x:v>
      </x:c>
      <x:c r="D15" s="24" t="n">
        <x:f>Model_Data!B15</x:f>
        <x:v>403.1802777777778</x:v>
      </x:c>
      <x:c r="E15" s="24" t="n">
        <x:f>Inputs!$C$6</x:f>
        <x:v>25</x:v>
      </x:c>
      <x:c r="F15" s="24" t="n">
        <x:f>Subsurface_Inputs!$C$5+Subsurface_Inputs!$C$6*SIN(2*PI()*(A15+Subsurface_Inputs!$C$7)/Subsurface_Inputs!$C$8)+Subsurface_Inputs!$C$9*COS(2*PI()*A15/Subsurface_Inputs!$C$10)+Subsurface_Inputs!$C$11*(B15-AVERAGE($B$2:$B$242))</x:f>
        <x:v>1082.7774674188674</x:v>
      </x:c>
      <x:c r="G15" s="24" t="n">
        <x:f>B15-F15</x:f>
        <x:v>-867.7324224439268</x:v>
      </x:c>
      <x:c r="H15" s="24" t="n">
        <x:f>MIN(1,MAX(0,Subsurface_Inputs!$C$13*EXP(-0.5*((A15-Subsurface_Inputs!$C$14)/Subsurface_Inputs!$C$15)^2)+Subsurface_Inputs!$C$16*EXP(-0.5*((A15-Subsurface_Inputs!$C$17)/Subsurface_Inputs!$C$18)^2)))</x:f>
        <x:v>0.012246154686801397</x:v>
      </x:c>
      <x:c r="I15" s="24" t="n">
        <x:f>Subsurface_Inputs!$C$19+Subsurface_Inputs!$C$20*SIN(2*PI()*(A15-Subsurface_Inputs!$C$21)/Subsurface_Inputs!$C$22)-Subsurface_Inputs!$C$23*H15</x:f>
        <x:v>5610.966743240949</x:v>
      </x:c>
      <x:c r="J15" s="24" t="n">
        <x:f>B15-I15</x:f>
        <x:v>-5395.921698266008</x:v>
      </x:c>
      <x:c r="K15" s="24" t="n">
        <x:f>Subsurface_Inputs!$C$25+Subsurface_Inputs!$C$26*SIN(2*PI()*(A15+Subsurface_Inputs!$C$27)/Subsurface_Inputs!$C$28)+Subsurface_Inputs!$C$29*COS(2*PI()*(A15-Subsurface_Inputs!$C$30)/Subsurface_Inputs!$C$31)-Subsurface_Inputs!$C$32*(B15-AVERAGE($B$2:$B$242))</x:f>
        <x:v>14615.557901101563</x:v>
      </x:c>
      <x:c r="L15" s="24" t="n">
        <x:f>B15-K15</x:f>
        <x:v>-14400.512856126623</x:v>
      </x:c>
      <x:c r="M15" s="24" t="n">
        <x:f>2*Subsurface_Inputs!$C$34*F15/Subsurface_Inputs!$C$35*1000000</x:f>
        <x:v>12.857854429450551</x:v>
      </x:c>
      <x:c r="N15" s="24" t="n">
        <x:f>2*Subsurface_Inputs!$C$34*I15/Subsurface_Inputs!$C$35*1000000</x:f>
        <x:v>66.62956679830077</x:v>
      </x:c>
      <x:c r="O15" s="24" t="n">
        <x:f>2*Subsurface_Inputs!$C$34*K15/Subsurface_Inputs!$C$35*1000000</x:f>
        <x:v>173.55802235665837</x:v>
      </x:c>
      <x:c r="P15" s="24" t="n">
        <x:f>Subsurface_Inputs!$C$37-2*Subsurface_Inputs!$C$36*(F15/1000)</x:f>
        <x:v>-11.948999441353962</x:v>
      </x:c>
      <x:c r="Q15" s="24" t="n">
        <x:f>Subsurface_Inputs!$C$38+Subsurface_Inputs!$C$39*H15-2*Subsurface_Inputs!$C$36*(I15/1000)</x:f>
        <x:v>-33.989524745652496</x:v>
      </x:c>
      <x:c r="R15" s="24" t="n">
        <x:f>Subsurface_Inputs!$C$40-2*Subsurface_Inputs!$C$36*(K15/1000)-Subsurface_Inputs!$C$41*ABS(L15-AVERAGE($L$2:$L$242))</x:f>
        <x:v>-33.75378331144769</x:v>
      </x:c>
      <x:c r="S15" s="24" t="n">
        <x:f>K15-AVERAGE($K$2:$K$242)</x:f>
        <x:v>-461.8267944725467</x:v>
      </x:c>
      <x:c r="T15" s="24" t="n">
        <x:f>K15/F15</x:f>
        <x:v>13.498210242536938</x:v>
      </x:c>
      <x:c r="U15" s="25" t="str">
        <x:f>IF(H15&gt;=Subsurface_Inputs!$C$42,"Lens visible","Weak/no lens")</x:f>
        <x:v>Weak/no lens</x:v>
      </x:c>
      <x:c r="V15" s="25" t="str">
        <x:f>IF(R15&gt;=W15,"Likely visible","Weak")</x:f>
        <x:v>Likely visible</x:v>
      </x:c>
      <x:c r="W15" s="24" t="n">
        <x:f>Subsurface_Inputs!$C$43</x:f>
        <x:v>-45</x:v>
      </x:c>
      <x:c r="X15" s="24" t="n">
        <x:f>Q15-W15</x:f>
        <x:v>11.010475254347504</x:v>
      </x:c>
      <x:c r="Y15" s="24" t="n">
        <x:f>R15-W15</x:f>
        <x:v>11.246216688552309</x:v>
      </x:c>
      <x:c r="Z15" s="24" t="n">
        <x:f>MAX(Q15,R15)-W15</x:f>
        <x:v>11.246216688552309</x:v>
      </x:c>
      <x:c r="AA15" s="24" t="n">
        <x:v>0</x:v>
      </x:c>
    </x:row>
    <x:row r="16">
      <x:c r="A16" s="24" t="n">
        <x:f>Model_Data!A16</x:f>
        <x:v>-53</x:v>
      </x:c>
      <x:c r="B16" s="24" t="n">
        <x:f>Model_Data!Y16</x:f>
        <x:v>220.27863667842527</x:v>
      </x:c>
      <x:c r="C16" s="24" t="n">
        <x:f>Model_Data!X16</x:f>
        <x:v>54.9618266833629</x:v>
      </x:c>
      <x:c r="D16" s="24" t="n">
        <x:f>Model_Data!B16</x:f>
        <x:v>403.12111111111113</x:v>
      </x:c>
      <x:c r="E16" s="24" t="n">
        <x:f>Inputs!$C$6</x:f>
        <x:v>25</x:v>
      </x:c>
      <x:c r="F16" s="24" t="n">
        <x:f>Subsurface_Inputs!$C$5+Subsurface_Inputs!$C$6*SIN(2*PI()*(A16+Subsurface_Inputs!$C$7)/Subsurface_Inputs!$C$8)+Subsurface_Inputs!$C$9*COS(2*PI()*A16/Subsurface_Inputs!$C$10)+Subsurface_Inputs!$C$11*(B16-AVERAGE($B$2:$B$242))</x:f>
        <x:v>1102.254523465439</x:v>
      </x:c>
      <x:c r="G16" s="24" t="n">
        <x:f>B16-F16</x:f>
        <x:v>-881.9758867870137</x:v>
      </x:c>
      <x:c r="H16" s="24" t="n">
        <x:f>MIN(1,MAX(0,Subsurface_Inputs!$C$13*EXP(-0.5*((A16-Subsurface_Inputs!$C$14)/Subsurface_Inputs!$C$15)^2)+Subsurface_Inputs!$C$16*EXP(-0.5*((A16-Subsurface_Inputs!$C$17)/Subsurface_Inputs!$C$18)^2)))</x:f>
        <x:v>0.014174746765614449</x:v>
      </x:c>
      <x:c r="I16" s="24" t="n">
        <x:f>Subsurface_Inputs!$C$19+Subsurface_Inputs!$C$20*SIN(2*PI()*(A16-Subsurface_Inputs!$C$21)/Subsurface_Inputs!$C$22)-Subsurface_Inputs!$C$23*H16</x:f>
        <x:v>5607.086387174617</x:v>
      </x:c>
      <x:c r="J16" s="24" t="n">
        <x:f>B16-I16</x:f>
        <x:v>-5386.807750496192</x:v>
      </x:c>
      <x:c r="K16" s="24" t="n">
        <x:f>Subsurface_Inputs!$C$25+Subsurface_Inputs!$C$26*SIN(2*PI()*(A16+Subsurface_Inputs!$C$27)/Subsurface_Inputs!$C$28)+Subsurface_Inputs!$C$29*COS(2*PI()*(A16-Subsurface_Inputs!$C$30)/Subsurface_Inputs!$C$31)-Subsurface_Inputs!$C$32*(B16-AVERAGE($B$2:$B$242))</x:f>
        <x:v>14618.824704591409</x:v>
      </x:c>
      <x:c r="L16" s="24" t="n">
        <x:f>B16-K16</x:f>
        <x:v>-14398.546067912983</x:v>
      </x:c>
      <x:c r="M16" s="24" t="n">
        <x:f>2*Subsurface_Inputs!$C$34*F16/Subsurface_Inputs!$C$35*1000000</x:f>
        <x:v>13.08914216760237</x:v>
      </x:c>
      <x:c r="N16" s="24" t="n">
        <x:f>2*Subsurface_Inputs!$C$34*I16/Subsurface_Inputs!$C$35*1000000</x:f>
        <x:v>66.58348802871365</x:v>
      </x:c>
      <x:c r="O16" s="24" t="n">
        <x:f>2*Subsurface_Inputs!$C$34*K16/Subsurface_Inputs!$C$35*1000000</x:f>
        <x:v>173.59681526192836</x:v>
      </x:c>
      <x:c r="P16" s="24" t="n">
        <x:f>Subsurface_Inputs!$C$37-2*Subsurface_Inputs!$C$36*(F16/1000)</x:f>
        <x:v>-11.98405814223779</x:v>
      </x:c>
      <x:c r="Q16" s="24" t="n">
        <x:f>Subsurface_Inputs!$C$38+Subsurface_Inputs!$C$39*H16-2*Subsurface_Inputs!$C$36*(I16/1000)</x:f>
        <x:v>-33.96518277602378</x:v>
      </x:c>
      <x:c r="R16" s="24" t="n">
        <x:f>Subsurface_Inputs!$C$40-2*Subsurface_Inputs!$C$36*(K16/1000)-Subsurface_Inputs!$C$41*ABS(L16-AVERAGE($L$2:$L$242))</x:f>
        <x:v>-33.76753071058397</x:v>
      </x:c>
      <x:c r="S16" s="24" t="n">
        <x:f>K16-AVERAGE($K$2:$K$242)</x:f>
        <x:v>-458.5599909827015</x:v>
      </x:c>
      <x:c r="T16" s="24" t="n">
        <x:f>K16/F16</x:f>
        <x:v>13.262657937325107</x:v>
      </x:c>
      <x:c r="U16" s="25" t="str">
        <x:f>IF(H16&gt;=Subsurface_Inputs!$C$42,"Lens visible","Weak/no lens")</x:f>
        <x:v>Weak/no lens</x:v>
      </x:c>
      <x:c r="V16" s="25" t="str">
        <x:f>IF(R16&gt;=W16,"Likely visible","Weak")</x:f>
        <x:v>Likely visible</x:v>
      </x:c>
      <x:c r="W16" s="24" t="n">
        <x:f>Subsurface_Inputs!$C$43</x:f>
        <x:v>-45</x:v>
      </x:c>
      <x:c r="X16" s="24" t="n">
        <x:f>Q16-W16</x:f>
        <x:v>11.03481722397622</x:v>
      </x:c>
      <x:c r="Y16" s="24" t="n">
        <x:f>R16-W16</x:f>
        <x:v>11.23246928941603</x:v>
      </x:c>
      <x:c r="Z16" s="24" t="n">
        <x:f>MAX(Q16,R16)-W16</x:f>
        <x:v>11.23246928941603</x:v>
      </x:c>
      <x:c r="AA16" s="24" t="n">
        <x:v>0</x:v>
      </x:c>
    </x:row>
    <x:row r="17">
      <x:c r="A17" s="24" t="n">
        <x:f>Model_Data!A17</x:f>
        <x:v>-52.5</x:v>
      </x:c>
      <x:c r="B17" s="24" t="n">
        <x:f>Model_Data!Y17</x:f>
        <x:v>228.48571186718385</x:v>
      </x:c>
      <x:c r="C17" s="24" t="n">
        <x:f>Model_Data!X17</x:f>
        <x:v>41.913539426844665</x:v>
      </x:c>
      <x:c r="D17" s="24" t="n">
        <x:f>Model_Data!B17</x:f>
        <x:v>403.0625</x:v>
      </x:c>
      <x:c r="E17" s="24" t="n">
        <x:f>Inputs!$C$6</x:f>
        <x:v>25</x:v>
      </x:c>
      <x:c r="F17" s="24" t="n">
        <x:f>Subsurface_Inputs!$C$5+Subsurface_Inputs!$C$6*SIN(2*PI()*(A17+Subsurface_Inputs!$C$7)/Subsurface_Inputs!$C$8)+Subsurface_Inputs!$C$9*COS(2*PI()*A17/Subsurface_Inputs!$C$10)+Subsurface_Inputs!$C$11*(B17-AVERAGE($B$2:$B$242))</x:f>
        <x:v>1122.3581700344505</x:v>
      </x:c>
      <x:c r="G17" s="24" t="n">
        <x:f>B17-F17</x:f>
        <x:v>-893.8724581672666</x:v>
      </x:c>
      <x:c r="H17" s="24" t="n">
        <x:f>MIN(1,MAX(0,Subsurface_Inputs!$C$13*EXP(-0.5*((A17-Subsurface_Inputs!$C$14)/Subsurface_Inputs!$C$15)^2)+Subsurface_Inputs!$C$16*EXP(-0.5*((A17-Subsurface_Inputs!$C$17)/Subsurface_Inputs!$C$18)^2)))</x:f>
        <x:v>0.01636609774605335</x:v>
      </x:c>
      <x:c r="I17" s="24" t="n">
        <x:f>Subsurface_Inputs!$C$19+Subsurface_Inputs!$C$20*SIN(2*PI()*(A17-Subsurface_Inputs!$C$21)/Subsurface_Inputs!$C$22)-Subsurface_Inputs!$C$23*H17</x:f>
        <x:v>5602.393756957393</x:v>
      </x:c>
      <x:c r="J17" s="24" t="n">
        <x:f>B17-I17</x:f>
        <x:v>-5373.908045090209</x:v>
      </x:c>
      <x:c r="K17" s="24" t="n">
        <x:f>Subsurface_Inputs!$C$25+Subsurface_Inputs!$C$26*SIN(2*PI()*(A17+Subsurface_Inputs!$C$27)/Subsurface_Inputs!$C$28)+Subsurface_Inputs!$C$29*COS(2*PI()*(A17-Subsurface_Inputs!$C$30)/Subsurface_Inputs!$C$31)-Subsurface_Inputs!$C$32*(B17-AVERAGE($B$2:$B$242))</x:f>
        <x:v>14621.223871899127</x:v>
      </x:c>
      <x:c r="L17" s="24" t="n">
        <x:f>B17-K17</x:f>
        <x:v>-14392.738160031942</x:v>
      </x:c>
      <x:c r="M17" s="24" t="n">
        <x:f>2*Subsurface_Inputs!$C$34*F17/Subsurface_Inputs!$C$35*1000000</x:f>
        <x:v>13.327870594138307</x:v>
      </x:c>
      <x:c r="N17" s="24" t="n">
        <x:f>2*Subsurface_Inputs!$C$34*I17/Subsurface_Inputs!$C$35*1000000</x:f>
        <x:v>66.52776359960436</x:v>
      </x:c>
      <x:c r="O17" s="24" t="n">
        <x:f>2*Subsurface_Inputs!$C$34*K17/Subsurface_Inputs!$C$35*1000000</x:f>
        <x:v>173.6253050900997</x:v>
      </x:c>
      <x:c r="P17" s="24" t="n">
        <x:f>Subsurface_Inputs!$C$37-2*Subsurface_Inputs!$C$36*(F17/1000)</x:f>
        <x:v>-12.02024470606201</x:v>
      </x:c>
      <x:c r="Q17" s="24" t="n">
        <x:f>Subsurface_Inputs!$C$38+Subsurface_Inputs!$C$39*H17-2*Subsurface_Inputs!$C$36*(I17/1000)</x:f>
        <x:v>-33.93701388280883</x:v>
      </x:c>
      <x:c r="R17" s="24" t="n">
        <x:f>Subsurface_Inputs!$C$40-2*Subsurface_Inputs!$C$36*(K17/1000)-Subsurface_Inputs!$C$41*ABS(L17-AVERAGE($L$2:$L$242))</x:f>
        <x:v>-33.79508084326202</x:v>
      </x:c>
      <x:c r="S17" s="24" t="n">
        <x:f>K17-AVERAGE($K$2:$K$242)</x:f>
        <x:v>-456.1608236749835</x:v>
      </x:c>
      <x:c r="T17" s="24" t="n">
        <x:f>K17/F17</x:f>
        <x:v>13.027235210886674</x:v>
      </x:c>
      <x:c r="U17" s="25" t="str">
        <x:f>IF(H17&gt;=Subsurface_Inputs!$C$42,"Lens visible","Weak/no lens")</x:f>
        <x:v>Weak/no lens</x:v>
      </x:c>
      <x:c r="V17" s="25" t="str">
        <x:f>IF(R17&gt;=W17,"Likely visible","Weak")</x:f>
        <x:v>Likely visible</x:v>
      </x:c>
      <x:c r="W17" s="24" t="n">
        <x:f>Subsurface_Inputs!$C$43</x:f>
        <x:v>-45</x:v>
      </x:c>
      <x:c r="X17" s="24" t="n">
        <x:f>Q17-W17</x:f>
        <x:v>11.062986117191173</x:v>
      </x:c>
      <x:c r="Y17" s="24" t="n">
        <x:f>R17-W17</x:f>
        <x:v>11.20491915673798</x:v>
      </x:c>
      <x:c r="Z17" s="24" t="n">
        <x:f>MAX(Q17,R17)-W17</x:f>
        <x:v>11.20491915673798</x:v>
      </x:c>
      <x:c r="AA17" s="24" t="n">
        <x:v>0</x:v>
      </x:c>
    </x:row>
    <x:row r="18">
      <x:c r="A18" s="24" t="n">
        <x:f>Model_Data!A18</x:f>
        <x:v>-52</x:v>
      </x:c>
      <x:c r="B18" s="24" t="n">
        <x:f>Model_Data!Y18</x:f>
        <x:v>241.24392327938918</x:v>
      </x:c>
      <x:c r="C18" s="24" t="n">
        <x:f>Model_Data!X18</x:f>
        <x:v>44.0092440465048</x:v>
      </x:c>
      <x:c r="D18" s="24" t="n">
        <x:f>Model_Data!B18</x:f>
        <x:v>403.00444444444446</x:v>
      </x:c>
      <x:c r="E18" s="24" t="n">
        <x:f>Inputs!$C$6</x:f>
        <x:v>25</x:v>
      </x:c>
      <x:c r="F18" s="24" t="n">
        <x:f>Subsurface_Inputs!$C$5+Subsurface_Inputs!$C$6*SIN(2*PI()*(A18+Subsurface_Inputs!$C$7)/Subsurface_Inputs!$C$8)+Subsurface_Inputs!$C$9*COS(2*PI()*A18/Subsurface_Inputs!$C$10)+Subsurface_Inputs!$C$11*(B18-AVERAGE($B$2:$B$242))</x:f>
        <x:v>1142.9381294460443</x:v>
      </x:c>
      <x:c r="G18" s="24" t="n">
        <x:f>B18-F18</x:f>
        <x:v>-901.6942061666551</x:v>
      </x:c>
      <x:c r="H18" s="24" t="n">
        <x:f>MIN(1,MAX(0,Subsurface_Inputs!$C$13*EXP(-0.5*((A18-Subsurface_Inputs!$C$14)/Subsurface_Inputs!$C$15)^2)+Subsurface_Inputs!$C$16*EXP(-0.5*((A18-Subsurface_Inputs!$C$17)/Subsurface_Inputs!$C$18)^2)))</x:f>
        <x:v>0.018849040007151784</x:v>
      </x:c>
      <x:c r="I18" s="24" t="n">
        <x:f>Subsurface_Inputs!$C$19+Subsurface_Inputs!$C$20*SIN(2*PI()*(A18-Subsurface_Inputs!$C$21)/Subsurface_Inputs!$C$22)-Subsurface_Inputs!$C$23*H18</x:f>
        <x:v>5596.888048033917</x:v>
      </x:c>
      <x:c r="J18" s="24" t="n">
        <x:f>B18-I18</x:f>
        <x:v>-5355.644124754527</x:v>
      </x:c>
      <x:c r="K18" s="24" t="n">
        <x:f>Subsurface_Inputs!$C$25+Subsurface_Inputs!$C$26*SIN(2*PI()*(A18+Subsurface_Inputs!$C$27)/Subsurface_Inputs!$C$28)+Subsurface_Inputs!$C$29*COS(2*PI()*(A18-Subsurface_Inputs!$C$30)/Subsurface_Inputs!$C$31)-Subsurface_Inputs!$C$32*(B18-AVERAGE($B$2:$B$242))</x:f>
        <x:v>14622.536888707544</x:v>
      </x:c>
      <x:c r="L18" s="24" t="n">
        <x:f>B18-K18</x:f>
        <x:v>-14381.292965428154</x:v>
      </x:c>
      <x:c r="M18" s="24" t="n">
        <x:f>2*Subsurface_Inputs!$C$34*F18/Subsurface_Inputs!$C$35*1000000</x:f>
        <x:v>13.572255179374519</x:v>
      </x:c>
      <x:c r="N18" s="24" t="n">
        <x:f>2*Subsurface_Inputs!$C$34*I18/Subsurface_Inputs!$C$35*1000000</x:f>
        <x:v>66.46238395697314</x:v>
      </x:c>
      <x:c r="O18" s="24" t="n">
        <x:f>2*Subsurface_Inputs!$C$34*K18/Subsurface_Inputs!$C$35*1000000</x:f>
        <x:v>173.64089700948665</x:v>
      </x:c>
      <x:c r="P18" s="24" t="n">
        <x:f>Subsurface_Inputs!$C$37-2*Subsurface_Inputs!$C$36*(F18/1000)</x:f>
        <x:v>-12.05728863300288</x:v>
      </x:c>
      <x:c r="Q18" s="24" t="n">
        <x:f>Subsurface_Inputs!$C$38+Subsurface_Inputs!$C$39*H18-2*Subsurface_Inputs!$C$36*(I18/1000)</x:f>
        <x:v>-33.90475712639669</x:v>
      </x:c>
      <x:c r="R18" s="24" t="n">
        <x:f>Subsurface_Inputs!$C$40-2*Subsurface_Inputs!$C$36*(K18/1000)-Subsurface_Inputs!$C$41*ABS(L18-AVERAGE($L$2:$L$242))</x:f>
        <x:v>-33.843225051932336</x:v>
      </x:c>
      <x:c r="S18" s="24" t="n">
        <x:f>K18-AVERAGE($K$2:$K$242)</x:f>
        <x:v>-454.8478068665663</x:v>
      </x:c>
      <x:c r="T18" s="24" t="n">
        <x:f>K18/F18</x:f>
        <x:v>12.793813166242646</x:v>
      </x:c>
      <x:c r="U18" s="25" t="str">
        <x:f>IF(H18&gt;=Subsurface_Inputs!$C$42,"Lens visible","Weak/no lens")</x:f>
        <x:v>Weak/no lens</x:v>
      </x:c>
      <x:c r="V18" s="25" t="str">
        <x:f>IF(R18&gt;=W18,"Likely visible","Weak")</x:f>
        <x:v>Likely visible</x:v>
      </x:c>
      <x:c r="W18" s="24" t="n">
        <x:f>Subsurface_Inputs!$C$43</x:f>
        <x:v>-45</x:v>
      </x:c>
      <x:c r="X18" s="24" t="n">
        <x:f>Q18-W18</x:f>
        <x:v>11.095242873603311</x:v>
      </x:c>
      <x:c r="Y18" s="24" t="n">
        <x:f>R18-W18</x:f>
        <x:v>11.156774948067664</x:v>
      </x:c>
      <x:c r="Z18" s="24" t="n">
        <x:f>MAX(Q18,R18)-W18</x:f>
        <x:v>11.156774948067664</x:v>
      </x:c>
      <x:c r="AA18" s="24" t="n">
        <x:v>0</x:v>
      </x:c>
    </x:row>
    <x:row r="19">
      <x:c r="A19" s="24" t="n">
        <x:f>Model_Data!A19</x:f>
        <x:v>-51.5</x:v>
      </x:c>
      <x:c r="B19" s="24" t="n">
        <x:f>Model_Data!Y19</x:f>
        <x:v>261.3961473371179</x:v>
      </x:c>
      <x:c r="C19" s="24" t="n">
        <x:f>Model_Data!X19</x:f>
        <x:v>32.491619283106324</x:v>
      </x:c>
      <x:c r="D19" s="24" t="n">
        <x:f>Model_Data!B19</x:f>
        <x:v>402.94694444444445</x:v>
      </x:c>
      <x:c r="E19" s="24" t="n">
        <x:f>Inputs!$C$6</x:f>
        <x:v>25</x:v>
      </x:c>
      <x:c r="F19" s="24" t="n">
        <x:f>Subsurface_Inputs!$C$5+Subsurface_Inputs!$C$6*SIN(2*PI()*(A19+Subsurface_Inputs!$C$7)/Subsurface_Inputs!$C$8)+Subsurface_Inputs!$C$9*COS(2*PI()*A19/Subsurface_Inputs!$C$10)+Subsurface_Inputs!$C$11*(B19-AVERAGE($B$2:$B$242))</x:f>
        <x:v>1163.890122985942</x:v>
      </x:c>
      <x:c r="G19" s="24" t="n">
        <x:f>B19-F19</x:f>
        <x:v>-902.4939756488242</x:v>
      </x:c>
      <x:c r="H19" s="24" t="n">
        <x:f>MIN(1,MAX(0,Subsurface_Inputs!$C$13*EXP(-0.5*((A19-Subsurface_Inputs!$C$14)/Subsurface_Inputs!$C$15)^2)+Subsurface_Inputs!$C$16*EXP(-0.5*((A19-Subsurface_Inputs!$C$17)/Subsurface_Inputs!$C$18)^2)))</x:f>
        <x:v>0.02165447183943173</x:v>
      </x:c>
      <x:c r="I19" s="24" t="n">
        <x:f>Subsurface_Inputs!$C$19+Subsurface_Inputs!$C$20*SIN(2*PI()*(A19-Subsurface_Inputs!$C$21)/Subsurface_Inputs!$C$22)-Subsurface_Inputs!$C$23*H19</x:f>
        <x:v>5590.5690506271</x:v>
      </x:c>
      <x:c r="J19" s="24" t="n">
        <x:f>B19-I19</x:f>
        <x:v>-5329.172903289982</x:v>
      </x:c>
      <x:c r="K19" s="24" t="n">
        <x:f>Subsurface_Inputs!$C$25+Subsurface_Inputs!$C$26*SIN(2*PI()*(A19+Subsurface_Inputs!$C$27)/Subsurface_Inputs!$C$28)+Subsurface_Inputs!$C$29*COS(2*PI()*(A19-Subsurface_Inputs!$C$30)/Subsurface_Inputs!$C$31)-Subsurface_Inputs!$C$32*(B19-AVERAGE($B$2:$B$242))</x:f>
        <x:v>14622.37004851927</x:v>
      </x:c>
      <x:c r="L19" s="24" t="n">
        <x:f>B19-K19</x:f>
        <x:v>-14360.973901182151</x:v>
      </x:c>
      <x:c r="M19" s="24" t="n">
        <x:f>2*Subsurface_Inputs!$C$34*F19/Subsurface_Inputs!$C$35*1000000</x:f>
        <x:v>13.821057625905834</x:v>
      </x:c>
      <x:c r="N19" s="24" t="n">
        <x:f>2*Subsurface_Inputs!$C$34*I19/Subsurface_Inputs!$C$35*1000000</x:f>
        <x:v>66.38734660974185</x:v>
      </x:c>
      <x:c r="O19" s="24" t="n">
        <x:f>2*Subsurface_Inputs!$C$34*K19/Subsurface_Inputs!$C$35*1000000</x:f>
        <x:v>173.63891580197324</x:v>
      </x:c>
      <x:c r="P19" s="24" t="n">
        <x:f>Subsurface_Inputs!$C$37-2*Subsurface_Inputs!$C$36*(F19/1000)</x:f>
        <x:v>-12.095002221374695</x:v>
      </x:c>
      <x:c r="Q19" s="24" t="n">
        <x:f>Subsurface_Inputs!$C$38+Subsurface_Inputs!$C$39*H19-2*Subsurface_Inputs!$C$36*(I19/1000)</x:f>
        <x:v>-33.86813404457389</x:v>
      </x:c>
      <x:c r="R19" s="24" t="n">
        <x:f>Subsurface_Inputs!$C$40-2*Subsurface_Inputs!$C$36*(K19/1000)-Subsurface_Inputs!$C$41*ABS(L19-AVERAGE($L$2:$L$242))</x:f>
        <x:v>-33.924200996577454</x:v>
      </x:c>
      <x:c r="S19" s="24" t="n">
        <x:f>K19-AVERAGE($K$2:$K$242)</x:f>
        <x:v>-455.0146470548407</x:v>
      </x:c>
      <x:c r="T19" s="24" t="n">
        <x:f>K19/F19</x:f>
        <x:v>12.56335951284285</x:v>
      </x:c>
      <x:c r="U19" s="25" t="str">
        <x:f>IF(H19&gt;=Subsurface_Inputs!$C$42,"Lens visible","Weak/no lens")</x:f>
        <x:v>Weak/no lens</x:v>
      </x:c>
      <x:c r="V19" s="25" t="str">
        <x:f>IF(R19&gt;=W19,"Likely visible","Weak")</x:f>
        <x:v>Likely visible</x:v>
      </x:c>
      <x:c r="W19" s="24" t="n">
        <x:f>Subsurface_Inputs!$C$43</x:f>
        <x:v>-45</x:v>
      </x:c>
      <x:c r="X19" s="24" t="n">
        <x:f>Q19-W19</x:f>
        <x:v>11.131865955426107</x:v>
      </x:c>
      <x:c r="Y19" s="24" t="n">
        <x:f>R19-W19</x:f>
        <x:v>11.075799003422546</x:v>
      </x:c>
      <x:c r="Z19" s="24" t="n">
        <x:f>MAX(Q19,R19)-W19</x:f>
        <x:v>11.131865955426107</x:v>
      </x:c>
      <x:c r="AA19" s="24" t="n">
        <x:v>0</x:v>
      </x:c>
    </x:row>
    <x:row r="20">
      <x:c r="A20" s="24" t="n">
        <x:f>Model_Data!A20</x:f>
        <x:v>-51</x:v>
      </x:c>
      <x:c r="B20" s="24" t="n">
        <x:f>Model_Data!Y20</x:f>
        <x:v>251.96732827517536</x:v>
      </x:c>
      <x:c r="C20" s="24" t="n">
        <x:f>Model_Data!X20</x:f>
        <x:v>39.10881658677256</x:v>
      </x:c>
      <x:c r="D20" s="24" t="n">
        <x:f>Model_Data!B20</x:f>
        <x:v>402.89</x:v>
      </x:c>
      <x:c r="E20" s="24" t="n">
        <x:f>Inputs!$C$6</x:f>
        <x:v>25</x:v>
      </x:c>
      <x:c r="F20" s="24" t="n">
        <x:f>Subsurface_Inputs!$C$5+Subsurface_Inputs!$C$6*SIN(2*PI()*(A20+Subsurface_Inputs!$C$7)/Subsurface_Inputs!$C$8)+Subsurface_Inputs!$C$9*COS(2*PI()*A20/Subsurface_Inputs!$C$10)+Subsurface_Inputs!$C$11*(B20-AVERAGE($B$2:$B$242))</x:f>
        <x:v>1183.5157338191023</x:v>
      </x:c>
      <x:c r="G20" s="24" t="n">
        <x:f>B20-F20</x:f>
        <x:v>-931.548405543927</x:v>
      </x:c>
      <x:c r="H20" s="24" t="n">
        <x:f>MIN(1,MAX(0,Subsurface_Inputs!$C$13*EXP(-0.5*((A20-Subsurface_Inputs!$C$14)/Subsurface_Inputs!$C$15)^2)+Subsurface_Inputs!$C$16*EXP(-0.5*((A20-Subsurface_Inputs!$C$17)/Subsurface_Inputs!$C$18)^2)))</x:f>
        <x:v>0.02481533936122231</x:v>
      </x:c>
      <x:c r="I20" s="24" t="n">
        <x:f>Subsurface_Inputs!$C$19+Subsurface_Inputs!$C$20*SIN(2*PI()*(A20-Subsurface_Inputs!$C$21)/Subsurface_Inputs!$C$22)-Subsurface_Inputs!$C$23*H20</x:f>
        <x:v>5583.437143502679</x:v>
      </x:c>
      <x:c r="J20" s="24" t="n">
        <x:f>B20-I20</x:f>
        <x:v>-5331.469815227503</x:v>
      </x:c>
      <x:c r="K20" s="24" t="n">
        <x:f>Subsurface_Inputs!$C$25+Subsurface_Inputs!$C$26*SIN(2*PI()*(A20+Subsurface_Inputs!$C$27)/Subsurface_Inputs!$C$28)+Subsurface_Inputs!$C$29*COS(2*PI()*(A20-Subsurface_Inputs!$C$30)/Subsurface_Inputs!$C$31)-Subsurface_Inputs!$C$32*(B20-AVERAGE($B$2:$B$242))</x:f>
        <x:v>14625.906076815862</x:v>
      </x:c>
      <x:c r="L20" s="24" t="n">
        <x:f>B20-K20</x:f>
        <x:v>-14373.938748540686</x:v>
      </x:c>
      <x:c r="M20" s="24" t="n">
        <x:f>2*Subsurface_Inputs!$C$34*F20/Subsurface_Inputs!$C$35*1000000</x:f>
        <x:v>14.054109434587591</x:v>
      </x:c>
      <x:c r="N20" s="24" t="n">
        <x:f>2*Subsurface_Inputs!$C$34*I20/Subsurface_Inputs!$C$35*1000000</x:f>
        <x:v>66.30265605570884</x:v>
      </x:c>
      <x:c r="O20" s="24" t="n">
        <x:f>2*Subsurface_Inputs!$C$34*K20/Subsurface_Inputs!$C$35*1000000</x:f>
        <x:v>173.68090571999804</x:v>
      </x:c>
      <x:c r="P20" s="24" t="n">
        <x:f>Subsurface_Inputs!$C$37-2*Subsurface_Inputs!$C$36*(F20/1000)</x:f>
        <x:v>-12.130328320874384</x:v>
      </x:c>
      <x:c r="Q20" s="24" t="n">
        <x:f>Subsurface_Inputs!$C$38+Subsurface_Inputs!$C$39*H20-2*Subsurface_Inputs!$C$36*(I20/1000)</x:f>
        <x:v>-33.826848804053824</x:v>
      </x:c>
      <x:c r="R20" s="24" t="n">
        <x:f>Subsurface_Inputs!$C$40-2*Subsurface_Inputs!$C$36*(K20/1000)-Subsurface_Inputs!$C$41*ABS(L20-AVERAGE($L$2:$L$242))</x:f>
        <x:v>-33.878706458077176</x:v>
      </x:c>
      <x:c r="S20" s="24" t="n">
        <x:f>K20-AVERAGE($K$2:$K$242)</x:f>
        <x:v>-451.47861875824856</x:v>
      </x:c>
      <x:c r="T20" s="24" t="n">
        <x:f>K20/F20</x:f>
        <x:v>12.358015748231193</x:v>
      </x:c>
      <x:c r="U20" s="25" t="str">
        <x:f>IF(H20&gt;=Subsurface_Inputs!$C$42,"Lens visible","Weak/no lens")</x:f>
        <x:v>Weak/no lens</x:v>
      </x:c>
      <x:c r="V20" s="25" t="str">
        <x:f>IF(R20&gt;=W20,"Likely visible","Weak")</x:f>
        <x:v>Likely visible</x:v>
      </x:c>
      <x:c r="W20" s="24" t="n">
        <x:f>Subsurface_Inputs!$C$43</x:f>
        <x:v>-45</x:v>
      </x:c>
      <x:c r="X20" s="24" t="n">
        <x:f>Q20-W20</x:f>
        <x:v>11.173151195946176</x:v>
      </x:c>
      <x:c r="Y20" s="24" t="n">
        <x:f>R20-W20</x:f>
        <x:v>11.121293541922824</x:v>
      </x:c>
      <x:c r="Z20" s="24" t="n">
        <x:f>MAX(Q20,R20)-W20</x:f>
        <x:v>11.173151195946176</x:v>
      </x:c>
      <x:c r="AA20" s="24" t="n">
        <x:v>0</x:v>
      </x:c>
    </x:row>
    <x:row r="21">
      <x:c r="A21" s="24" t="n">
        <x:f>Model_Data!A21</x:f>
        <x:v>-50.5</x:v>
      </x:c>
      <x:c r="B21" s="24" t="n">
        <x:f>Model_Data!Y21</x:f>
        <x:v>249.7278681272967</x:v>
      </x:c>
      <x:c r="C21" s="24" t="n">
        <x:f>Model_Data!X21</x:f>
        <x:v>47.99583170220943</x:v>
      </x:c>
      <x:c r="D21" s="24" t="n">
        <x:f>Model_Data!B21</x:f>
        <x:v>402.8336111111111</x:v>
      </x:c>
      <x:c r="E21" s="24" t="n">
        <x:f>Inputs!$C$6</x:f>
        <x:v>25</x:v>
      </x:c>
      <x:c r="F21" s="24" t="n">
        <x:f>Subsurface_Inputs!$C$5+Subsurface_Inputs!$C$6*SIN(2*PI()*(A21+Subsurface_Inputs!$C$7)/Subsurface_Inputs!$C$8)+Subsurface_Inputs!$C$9*COS(2*PI()*A21/Subsurface_Inputs!$C$10)+Subsurface_Inputs!$C$11*(B21-AVERAGE($B$2:$B$242))</x:f>
        <x:v>1203.0681582051104</x:v>
      </x:c>
      <x:c r="G21" s="24" t="n">
        <x:f>B21-F21</x:f>
        <x:v>-953.3402900778137</x:v>
      </x:c>
      <x:c r="H21" s="24" t="n">
        <x:f>MIN(1,MAX(0,Subsurface_Inputs!$C$13*EXP(-0.5*((A21-Subsurface_Inputs!$C$14)/Subsurface_Inputs!$C$15)^2)+Subsurface_Inputs!$C$16*EXP(-0.5*((A21-Subsurface_Inputs!$C$17)/Subsurface_Inputs!$C$18)^2)))</x:f>
        <x:v>0.028366588309059755</x:v>
      </x:c>
      <x:c r="I21" s="24" t="n">
        <x:f>Subsurface_Inputs!$C$19+Subsurface_Inputs!$C$20*SIN(2*PI()*(A21-Subsurface_Inputs!$C$21)/Subsurface_Inputs!$C$22)-Subsurface_Inputs!$C$23*H21</x:f>
        <x:v>5575.493293378915</x:v>
      </x:c>
      <x:c r="J21" s="24" t="n">
        <x:f>B21-I21</x:f>
        <x:v>-5325.765425251619</x:v>
      </x:c>
      <x:c r="K21" s="24" t="n">
        <x:f>Subsurface_Inputs!$C$25+Subsurface_Inputs!$C$26*SIN(2*PI()*(A21+Subsurface_Inputs!$C$27)/Subsurface_Inputs!$C$28)+Subsurface_Inputs!$C$29*COS(2*PI()*(A21-Subsurface_Inputs!$C$30)/Subsurface_Inputs!$C$31)-Subsurface_Inputs!$C$32*(B21-AVERAGE($B$2:$B$242))</x:f>
        <x:v>14628.005233442185</x:v>
      </x:c>
      <x:c r="L21" s="24" t="n">
        <x:f>B21-K21</x:f>
        <x:v>-14378.277365314889</x:v>
      </x:c>
      <x:c r="M21" s="24" t="n">
        <x:f>2*Subsurface_Inputs!$C$34*F21/Subsurface_Inputs!$C$35*1000000</x:f>
        <x:v>14.286292162860859</x:v>
      </x:c>
      <x:c r="N21" s="24" t="n">
        <x:f>2*Subsurface_Inputs!$C$34*I21/Subsurface_Inputs!$C$35*1000000</x:f>
        <x:v>66.20832377453918</x:v>
      </x:c>
      <x:c r="O21" s="24" t="n">
        <x:f>2*Subsurface_Inputs!$C$34*K21/Subsurface_Inputs!$C$35*1000000</x:f>
        <x:v>173.70583295679234</x:v>
      </x:c>
      <x:c r="P21" s="24" t="n">
        <x:f>Subsurface_Inputs!$C$37-2*Subsurface_Inputs!$C$36*(F21/1000)</x:f>
        <x:v>-12.165522684769199</x:v>
      </x:c>
      <x:c r="Q21" s="24" t="n">
        <x:f>Subsurface_Inputs!$C$38+Subsurface_Inputs!$C$39*H21-2*Subsurface_Inputs!$C$36*(I21/1000)</x:f>
        <x:v>-33.78058863330051</x:v>
      </x:c>
      <x:c r="R21" s="24" t="n">
        <x:f>Subsurface_Inputs!$C$40-2*Subsurface_Inputs!$C$36*(K21/1000)-Subsurface_Inputs!$C$41*ABS(L21-AVERAGE($L$2:$L$242))</x:f>
        <x:v>-33.86513047290775</x:v>
      </x:c>
      <x:c r="S21" s="24" t="n">
        <x:f>K21-AVERAGE($K$2:$K$242)</x:f>
        <x:v>-449.3794621319248</x:v>
      </x:c>
      <x:c r="T21" s="24" t="n">
        <x:f>K21/F21</x:f>
        <x:v>12.158916461778938</x:v>
      </x:c>
      <x:c r="U21" s="25" t="str">
        <x:f>IF(H21&gt;=Subsurface_Inputs!$C$42,"Lens visible","Weak/no lens")</x:f>
        <x:v>Weak/no lens</x:v>
      </x:c>
      <x:c r="V21" s="25" t="str">
        <x:f>IF(R21&gt;=W21,"Likely visible","Weak")</x:f>
        <x:v>Likely visible</x:v>
      </x:c>
      <x:c r="W21" s="24" t="n">
        <x:f>Subsurface_Inputs!$C$43</x:f>
        <x:v>-45</x:v>
      </x:c>
      <x:c r="X21" s="24" t="n">
        <x:f>Q21-W21</x:f>
        <x:v>11.21941136669949</x:v>
      </x:c>
      <x:c r="Y21" s="24" t="n">
        <x:f>R21-W21</x:f>
        <x:v>11.134869527092249</x:v>
      </x:c>
      <x:c r="Z21" s="24" t="n">
        <x:f>MAX(Q21,R21)-W21</x:f>
        <x:v>11.21941136669949</x:v>
      </x:c>
      <x:c r="AA21" s="24" t="n">
        <x:v>0</x:v>
      </x:c>
    </x:row>
    <x:row r="22">
      <x:c r="A22" s="24" t="n">
        <x:f>Model_Data!A22</x:f>
        <x:v>-50</x:v>
      </x:c>
      <x:c r="B22" s="24" t="n">
        <x:f>Model_Data!Y22</x:f>
        <x:v>273.71504099052385</x:v>
      </x:c>
      <x:c r="C22" s="24" t="n">
        <x:f>Model_Data!X22</x:f>
        <x:v>29.034419664389077</x:v>
      </x:c>
      <x:c r="D22" s="24" t="n">
        <x:f>Model_Data!B22</x:f>
        <x:v>402.77777777777777</x:v>
      </x:c>
      <x:c r="E22" s="24" t="n">
        <x:f>Inputs!$C$6</x:f>
        <x:v>25</x:v>
      </x:c>
      <x:c r="F22" s="24" t="n">
        <x:f>Subsurface_Inputs!$C$5+Subsurface_Inputs!$C$6*SIN(2*PI()*(A22+Subsurface_Inputs!$C$7)/Subsurface_Inputs!$C$8)+Subsurface_Inputs!$C$9*COS(2*PI()*A22/Subsurface_Inputs!$C$10)+Subsurface_Inputs!$C$11*(B22-AVERAGE($B$2:$B$242))</x:f>
        <x:v>1223.0962491259838</x:v>
      </x:c>
      <x:c r="G22" s="24" t="n">
        <x:f>B22-F22</x:f>
        <x:v>-949.3812081354599</x:v>
      </x:c>
      <x:c r="H22" s="24" t="n">
        <x:f>MIN(1,MAX(0,Subsurface_Inputs!$C$13*EXP(-0.5*((A22-Subsurface_Inputs!$C$14)/Subsurface_Inputs!$C$15)^2)+Subsurface_Inputs!$C$16*EXP(-0.5*((A22-Subsurface_Inputs!$C$17)/Subsurface_Inputs!$C$18)^2)))</x:f>
        <x:v>0.03234508199786936</x:v>
      </x:c>
      <x:c r="I22" s="24" t="n">
        <x:f>Subsurface_Inputs!$C$19+Subsurface_Inputs!$C$20*SIN(2*PI()*(A22-Subsurface_Inputs!$C$21)/Subsurface_Inputs!$C$22)-Subsurface_Inputs!$C$23*H22</x:f>
        <x:v>5566.739060888317</x:v>
      </x:c>
      <x:c r="J22" s="24" t="n">
        <x:f>B22-I22</x:f>
        <x:v>-5293.024019897794</x:v>
      </x:c>
      <x:c r="K22" s="24" t="n">
        <x:f>Subsurface_Inputs!$C$25+Subsurface_Inputs!$C$26*SIN(2*PI()*(A22+Subsurface_Inputs!$C$27)/Subsurface_Inputs!$C$28)+Subsurface_Inputs!$C$29*COS(2*PI()*(A22-Subsurface_Inputs!$C$30)/Subsurface_Inputs!$C$31)-Subsurface_Inputs!$C$32*(B22-AVERAGE($B$2:$B$242))</x:f>
        <x:v>14626.012286300014</x:v>
      </x:c>
      <x:c r="L22" s="24" t="n">
        <x:f>B22-K22</x:f>
        <x:v>-14352.29724530949</x:v>
      </x:c>
      <x:c r="M22" s="24" t="n">
        <x:f>2*Subsurface_Inputs!$C$34*F22/Subsurface_Inputs!$C$35*1000000</x:f>
        <x:v>14.524123375006662</x:v>
      </x:c>
      <x:c r="N22" s="24" t="n">
        <x:f>2*Subsurface_Inputs!$C$34*I22/Subsurface_Inputs!$C$35*1000000</x:f>
        <x:v>66.10436829855944</x:v>
      </x:c>
      <x:c r="O22" s="24" t="n">
        <x:f>2*Subsurface_Inputs!$C$34*K22/Subsurface_Inputs!$C$35*1000000</x:f>
        <x:v>173.6821669450672</x:v>
      </x:c>
      <x:c r="P22" s="24" t="n">
        <x:f>Subsurface_Inputs!$C$37-2*Subsurface_Inputs!$C$36*(F22/1000)</x:f>
        <x:v>-12.20157324842677</x:v>
      </x:c>
      <x:c r="Q22" s="24" t="n">
        <x:f>Subsurface_Inputs!$C$38+Subsurface_Inputs!$C$39*H22-2*Subsurface_Inputs!$C$36*(I22/1000)</x:f>
        <x:v>-33.72902457161815</x:v>
      </x:c>
      <x:c r="R22" s="24" t="n">
        <x:f>Subsurface_Inputs!$C$40-2*Subsurface_Inputs!$C$36*(K22/1000)-Subsurface_Inputs!$C$41*ABS(L22-AVERAGE($L$2:$L$242))</x:f>
        <x:v>-33.96546364807343</x:v>
      </x:c>
      <x:c r="S22" s="24" t="n">
        <x:f>K22-AVERAGE($K$2:$K$242)</x:f>
        <x:v>-451.37240927409584</x:v>
      </x:c>
      <x:c r="T22" s="24" t="n">
        <x:f>K22/F22</x:f>
        <x:v>11.958185871922723</x:v>
      </x:c>
      <x:c r="U22" s="25" t="str">
        <x:f>IF(H22&gt;=Subsurface_Inputs!$C$42,"Lens visible","Weak/no lens")</x:f>
        <x:v>Weak/no lens</x:v>
      </x:c>
      <x:c r="V22" s="25" t="str">
        <x:f>IF(R22&gt;=W22,"Likely visible","Weak")</x:f>
        <x:v>Likely visible</x:v>
      </x:c>
      <x:c r="W22" s="24" t="n">
        <x:f>Subsurface_Inputs!$C$43</x:f>
        <x:v>-45</x:v>
      </x:c>
      <x:c r="X22" s="24" t="n">
        <x:f>Q22-W22</x:f>
        <x:v>11.270975428381853</x:v>
      </x:c>
      <x:c r="Y22" s="24" t="n">
        <x:f>R22-W22</x:f>
        <x:v>11.034536351926569</x:v>
      </x:c>
      <x:c r="Z22" s="24" t="n">
        <x:f>MAX(Q22,R22)-W22</x:f>
        <x:v>11.270975428381853</x:v>
      </x:c>
      <x:c r="AA22" s="24" t="n">
        <x:v>0</x:v>
      </x:c>
    </x:row>
    <x:row r="23">
      <x:c r="A23" s="24" t="n">
        <x:f>Model_Data!A23</x:f>
        <x:v>-49.5</x:v>
      </x:c>
      <x:c r="B23" s="24" t="n">
        <x:f>Model_Data!Y23</x:f>
        <x:v>258.91748425644914</x:v>
      </x:c>
      <x:c r="C23" s="24" t="n">
        <x:f>Model_Data!X23</x:f>
        <x:v>51.90461728837901</x:v>
      </x:c>
      <x:c r="D23" s="24" t="n">
        <x:f>Model_Data!B23</x:f>
        <x:v>402.7225</x:v>
      </x:c>
      <x:c r="E23" s="24" t="n">
        <x:f>Inputs!$C$6</x:f>
        <x:v>25</x:v>
      </x:c>
      <x:c r="F23" s="24" t="n">
        <x:f>Subsurface_Inputs!$C$5+Subsurface_Inputs!$C$6*SIN(2*PI()*(A23+Subsurface_Inputs!$C$7)/Subsurface_Inputs!$C$8)+Subsurface_Inputs!$C$9*COS(2*PI()*A23/Subsurface_Inputs!$C$10)+Subsurface_Inputs!$C$11*(B23-AVERAGE($B$2:$B$242))</x:f>
        <x:v>1240.7949999125224</x:v>
      </x:c>
      <x:c r="G23" s="24" t="n">
        <x:f>B23-F23</x:f>
        <x:v>-981.8775156560732</x:v>
      </x:c>
      <x:c r="H23" s="24" t="n">
        <x:f>MIN(1,MAX(0,Subsurface_Inputs!$C$13*EXP(-0.5*((A23-Subsurface_Inputs!$C$14)/Subsurface_Inputs!$C$15)^2)+Subsurface_Inputs!$C$16*EXP(-0.5*((A23-Subsurface_Inputs!$C$17)/Subsurface_Inputs!$C$18)^2)))</x:f>
        <x:v>0.03678948183408114</x:v>
      </x:c>
      <x:c r="I23" s="24" t="n">
        <x:f>Subsurface_Inputs!$C$19+Subsurface_Inputs!$C$20*SIN(2*PI()*(A23-Subsurface_Inputs!$C$21)/Subsurface_Inputs!$C$22)-Subsurface_Inputs!$C$23*H23</x:f>
        <x:v>5557.17661397957</x:v>
      </x:c>
      <x:c r="J23" s="24" t="n">
        <x:f>B23-I23</x:f>
        <x:v>-5298.259129723121</x:v>
      </x:c>
      <x:c r="K23" s="24" t="n">
        <x:f>Subsurface_Inputs!$C$25+Subsurface_Inputs!$C$26*SIN(2*PI()*(A23+Subsurface_Inputs!$C$27)/Subsurface_Inputs!$C$28)+Subsurface_Inputs!$C$29*COS(2*PI()*(A23-Subsurface_Inputs!$C$30)/Subsurface_Inputs!$C$31)-Subsurface_Inputs!$C$32*(B23-AVERAGE($B$2:$B$242))</x:f>
        <x:v>14629.040649051138</x:v>
      </x:c>
      <x:c r="L23" s="24" t="n">
        <x:f>B23-K23</x:f>
        <x:v>-14370.123164794688</x:v>
      </x:c>
      <x:c r="M23" s="24" t="n">
        <x:f>2*Subsurface_Inputs!$C$34*F23/Subsurface_Inputs!$C$35*1000000</x:f>
        <x:v>14.734293948410736</x:v>
      </x:c>
      <x:c r="N23" s="24" t="n">
        <x:f>2*Subsurface_Inputs!$C$34*I23/Subsurface_Inputs!$C$35*1000000</x:f>
        <x:v>65.99081537190395</x:v>
      </x:c>
      <x:c r="O23" s="24" t="n">
        <x:f>2*Subsurface_Inputs!$C$34*K23/Subsurface_Inputs!$C$35*1000000</x:f>
        <x:v>173.71812839475118</x:v>
      </x:c>
      <x:c r="P23" s="24" t="n">
        <x:f>Subsurface_Inputs!$C$37-2*Subsurface_Inputs!$C$36*(F23/1000)</x:f>
        <x:v>-12.23343099984254</x:v>
      </x:c>
      <x:c r="Q23" s="24" t="n">
        <x:f>Subsurface_Inputs!$C$38+Subsurface_Inputs!$C$39*H23-2*Subsurface_Inputs!$C$36*(I23/1000)</x:f>
        <x:v>-33.67181256865649</x:v>
      </x:c>
      <x:c r="R23" s="24" t="n">
        <x:f>Subsurface_Inputs!$C$40-2*Subsurface_Inputs!$C$36*(K23/1000)-Subsurface_Inputs!$C$41*ABS(L23-AVERAGE($L$2:$L$242))</x:f>
        <x:v>-33.89961102308467</x:v>
      </x:c>
      <x:c r="S23" s="24" t="n">
        <x:f>K23-AVERAGE($K$2:$K$242)</x:f>
        <x:v>-448.34404652297235</x:v>
      </x:c>
      <x:c r="T23" s="24" t="n">
        <x:f>K23/F23</x:f>
        <x:v>11.790054481266045</x:v>
      </x:c>
      <x:c r="U23" s="25" t="str">
        <x:f>IF(H23&gt;=Subsurface_Inputs!$C$42,"Lens visible","Weak/no lens")</x:f>
        <x:v>Weak/no lens</x:v>
      </x:c>
      <x:c r="V23" s="25" t="str">
        <x:f>IF(R23&gt;=W23,"Likely visible","Weak")</x:f>
        <x:v>Likely visible</x:v>
      </x:c>
      <x:c r="W23" s="24" t="n">
        <x:f>Subsurface_Inputs!$C$43</x:f>
        <x:v>-45</x:v>
      </x:c>
      <x:c r="X23" s="24" t="n">
        <x:f>Q23-W23</x:f>
        <x:v>11.328187431343508</x:v>
      </x:c>
      <x:c r="Y23" s="24" t="n">
        <x:f>R23-W23</x:f>
        <x:v>11.100388976915333</x:v>
      </x:c>
      <x:c r="Z23" s="24" t="n">
        <x:f>MAX(Q23,R23)-W23</x:f>
        <x:v>11.328187431343508</x:v>
      </x:c>
      <x:c r="AA23" s="24" t="n">
        <x:v>0</x:v>
      </x:c>
    </x:row>
    <x:row r="24">
      <x:c r="A24" s="24" t="n">
        <x:f>Model_Data!A24</x:f>
        <x:v>-49</x:v>
      </x:c>
      <x:c r="B24" s="24" t="n">
        <x:f>Model_Data!Y24</x:f>
        <x:v>268.7927966209557</x:v>
      </x:c>
      <x:c r="C24" s="24" t="n">
        <x:f>Model_Data!X24</x:f>
        <x:v>39.64300304421553</x:v>
      </x:c>
      <x:c r="D24" s="24" t="n">
        <x:f>Model_Data!B24</x:f>
        <x:v>402.66777777777776</x:v>
      </x:c>
      <x:c r="E24" s="24" t="n">
        <x:f>Inputs!$C$6</x:f>
        <x:v>25</x:v>
      </x:c>
      <x:c r="F24" s="24" t="n">
        <x:f>Subsurface_Inputs!$C$5+Subsurface_Inputs!$C$6*SIN(2*PI()*(A24+Subsurface_Inputs!$C$7)/Subsurface_Inputs!$C$8)+Subsurface_Inputs!$C$9*COS(2*PI()*A24/Subsurface_Inputs!$C$10)+Subsurface_Inputs!$C$11*(B24-AVERAGE($B$2:$B$242))</x:f>
        <x:v>1258.5092160335162</x:v>
      </x:c>
      <x:c r="G24" s="24" t="n">
        <x:f>B24-F24</x:f>
        <x:v>-989.7164194125605</x:v>
      </x:c>
      <x:c r="H24" s="24" t="n">
        <x:f>MIN(1,MAX(0,Subsurface_Inputs!$C$13*EXP(-0.5*((A24-Subsurface_Inputs!$C$14)/Subsurface_Inputs!$C$15)^2)+Subsurface_Inputs!$C$16*EXP(-0.5*((A24-Subsurface_Inputs!$C$17)/Subsurface_Inputs!$C$18)^2)))</x:f>
        <x:v>0.04174008694223705</x:v>
      </x:c>
      <x:c r="I24" s="24" t="n">
        <x:f>Subsurface_Inputs!$C$19+Subsurface_Inputs!$C$20*SIN(2*PI()*(A24-Subsurface_Inputs!$C$21)/Subsurface_Inputs!$C$22)-Subsurface_Inputs!$C$23*H24</x:f>
        <x:v>5546.808749607553</x:v>
      </x:c>
      <x:c r="J24" s="24" t="n">
        <x:f>B24-I24</x:f>
        <x:v>-5278.015952986598</x:v>
      </x:c>
      <x:c r="K24" s="24" t="n">
        <x:f>Subsurface_Inputs!$C$25+Subsurface_Inputs!$C$26*SIN(2*PI()*(A24+Subsurface_Inputs!$C$27)/Subsurface_Inputs!$C$28)+Subsurface_Inputs!$C$29*COS(2*PI()*(A24-Subsurface_Inputs!$C$30)/Subsurface_Inputs!$C$31)-Subsurface_Inputs!$C$32*(B24-AVERAGE($B$2:$B$242))</x:f>
        <x:v>14628.219878746673</x:v>
      </x:c>
      <x:c r="L24" s="24" t="n">
        <x:f>B24-K24</x:f>
        <x:v>-14359.427082125718</x:v>
      </x:c>
      <x:c r="M24" s="24" t="n">
        <x:f>2*Subsurface_Inputs!$C$34*F24/Subsurface_Inputs!$C$35*1000000</x:f>
        <x:v>14.944648170833295</x:v>
      </x:c>
      <x:c r="N24" s="24" t="n">
        <x:f>2*Subsurface_Inputs!$C$34*I24/Subsurface_Inputs!$C$35*1000000</x:f>
        <x:v>65.86769820808131</x:v>
      </x:c>
      <x:c r="O24" s="24" t="n">
        <x:f>2*Subsurface_Inputs!$C$34*K24/Subsurface_Inputs!$C$35*1000000</x:f>
        <x:v>173.7083818444097</x:v>
      </x:c>
      <x:c r="P24" s="24" t="n">
        <x:f>Subsurface_Inputs!$C$37-2*Subsurface_Inputs!$C$36*(F24/1000)</x:f>
        <x:v>-12.26531658886033</x:v>
      </x:c>
      <x:c r="Q24" s="24" t="n">
        <x:f>Subsurface_Inputs!$C$38+Subsurface_Inputs!$C$39*H24-2*Subsurface_Inputs!$C$36*(I24/1000)</x:f>
        <x:v>-33.60859496681346</x:v>
      </x:c>
      <x:c r="R24" s="24" t="n">
        <x:f>Subsurface_Inputs!$C$40-2*Subsurface_Inputs!$C$36*(K24/1000)-Subsurface_Inputs!$C$41*ABS(L24-AVERAGE($L$2:$L$242))</x:f>
        <x:v>-33.94091796721251</x:v>
      </x:c>
      <x:c r="S24" s="24" t="n">
        <x:f>K24-AVERAGE($K$2:$K$242)</x:f>
        <x:v>-449.1648168274369</x:v>
      </x:c>
      <x:c r="T24" s="24" t="n">
        <x:f>K24/F24</x:f>
        <x:v>11.623450740274198</x:v>
      </x:c>
      <x:c r="U24" s="25" t="str">
        <x:f>IF(H24&gt;=Subsurface_Inputs!$C$42,"Lens visible","Weak/no lens")</x:f>
        <x:v>Weak/no lens</x:v>
      </x:c>
      <x:c r="V24" s="25" t="str">
        <x:f>IF(R24&gt;=W24,"Likely visible","Weak")</x:f>
        <x:v>Likely visible</x:v>
      </x:c>
      <x:c r="W24" s="24" t="n">
        <x:f>Subsurface_Inputs!$C$43</x:f>
        <x:v>-45</x:v>
      </x:c>
      <x:c r="X24" s="24" t="n">
        <x:f>Q24-W24</x:f>
        <x:v>11.391405033186537</x:v>
      </x:c>
      <x:c r="Y24" s="24" t="n">
        <x:f>R24-W24</x:f>
        <x:v>11.059082032787487</x:v>
      </x:c>
      <x:c r="Z24" s="24" t="n">
        <x:f>MAX(Q24,R24)-W24</x:f>
        <x:v>11.391405033186537</x:v>
      </x:c>
      <x:c r="AA24" s="24" t="n">
        <x:v>0</x:v>
      </x:c>
    </x:row>
    <x:row r="25">
      <x:c r="A25" s="24" t="n">
        <x:f>Model_Data!A25</x:f>
        <x:v>-48.5</x:v>
      </x:c>
      <x:c r="B25" s="24" t="n">
        <x:f>Model_Data!Y25</x:f>
        <x:v>265.4824606971943</x:v>
      </x:c>
      <x:c r="C25" s="24" t="n">
        <x:f>Model_Data!X25</x:f>
        <x:v>40.329360187280464</x:v>
      </x:c>
      <x:c r="D25" s="24" t="n">
        <x:f>Model_Data!B25</x:f>
        <x:v>402.6136111111111</x:v>
      </x:c>
      <x:c r="E25" s="24" t="n">
        <x:f>Inputs!$C$6</x:f>
        <x:v>25</x:v>
      </x:c>
      <x:c r="F25" s="24" t="n">
        <x:f>Subsurface_Inputs!$C$5+Subsurface_Inputs!$C$6*SIN(2*PI()*(A25+Subsurface_Inputs!$C$7)/Subsurface_Inputs!$C$8)+Subsurface_Inputs!$C$9*COS(2*PI()*A25/Subsurface_Inputs!$C$10)+Subsurface_Inputs!$C$11*(B25-AVERAGE($B$2:$B$242))</x:f>
        <x:v>1274.5448931869018</x:v>
      </x:c>
      <x:c r="G25" s="24" t="n">
        <x:f>B25-F25</x:f>
        <x:v>-1009.0624324897076</x:v>
      </x:c>
      <x:c r="H25" s="24" t="n">
        <x:f>MIN(1,MAX(0,Subsurface_Inputs!$C$13*EXP(-0.5*((A25-Subsurface_Inputs!$C$14)/Subsurface_Inputs!$C$15)^2)+Subsurface_Inputs!$C$16*EXP(-0.5*((A25-Subsurface_Inputs!$C$17)/Subsurface_Inputs!$C$18)^2)))</x:f>
        <x:v>0.0472386297417321</x:v>
      </x:c>
      <x:c r="I25" s="24" t="n">
        <x:f>Subsurface_Inputs!$C$19+Subsurface_Inputs!$C$20*SIN(2*PI()*(A25-Subsurface_Inputs!$C$21)/Subsurface_Inputs!$C$22)-Subsurface_Inputs!$C$23*H25</x:f>
        <x:v>5535.638924495328</x:v>
      </x:c>
      <x:c r="J25" s="24" t="n">
        <x:f>B25-I25</x:f>
        <x:v>-5270.156463798134</x:v>
      </x:c>
      <x:c r="K25" s="24" t="n">
        <x:f>Subsurface_Inputs!$C$25+Subsurface_Inputs!$C$26*SIN(2*PI()*(A25+Subsurface_Inputs!$C$27)/Subsurface_Inputs!$C$28)+Subsurface_Inputs!$C$29*COS(2*PI()*(A25-Subsurface_Inputs!$C$30)/Subsurface_Inputs!$C$31)-Subsurface_Inputs!$C$32*(B25-AVERAGE($B$2:$B$242))</x:f>
        <x:v>14628.865542990865</x:v>
      </x:c>
      <x:c r="L25" s="24" t="n">
        <x:f>B25-K25</x:f>
        <x:v>-14363.38308229367</x:v>
      </x:c>
      <x:c r="M25" s="24" t="n">
        <x:f>2*Subsurface_Inputs!$C$34*F25/Subsurface_Inputs!$C$35*1000000</x:f>
        <x:v>15.13506994143719</x:v>
      </x:c>
      <x:c r="N25" s="24" t="n">
        <x:f>2*Subsurface_Inputs!$C$34*I25/Subsurface_Inputs!$C$35*1000000</x:f>
        <x:v>65.73505785526922</x:v>
      </x:c>
      <x:c r="O25" s="24" t="n">
        <x:f>2*Subsurface_Inputs!$C$34*K25/Subsurface_Inputs!$C$35*1000000</x:f>
        <x:v>173.7160490309849</x:v>
      </x:c>
      <x:c r="P25" s="24" t="n">
        <x:f>Subsurface_Inputs!$C$37-2*Subsurface_Inputs!$C$36*(F25/1000)</x:f>
        <x:v>-12.294180807736424</x:v>
      </x:c>
      <x:c r="Q25" s="24" t="n">
        <x:f>Subsurface_Inputs!$C$38+Subsurface_Inputs!$C$39*H25-2*Subsurface_Inputs!$C$36*(I25/1000)</x:f>
        <x:v>-33.539002396416</x:v>
      </x:c>
      <x:c r="R25" s="24" t="n">
        <x:f>Subsurface_Inputs!$C$40-2*Subsurface_Inputs!$C$36*(K25/1000)-Subsurface_Inputs!$C$41*ABS(L25-AVERAGE($L$2:$L$242))</x:f>
        <x:v>-33.92625616218024</x:v>
      </x:c>
      <x:c r="S25" s="24" t="n">
        <x:f>K25-AVERAGE($K$2:$K$242)</x:f>
        <x:v>-448.51915258324516</x:v>
      </x:c>
      <x:c r="T25" s="24" t="n">
        <x:f>K25/F25</x:f>
        <x:v>11.477716964847357</x:v>
      </x:c>
      <x:c r="U25" s="25" t="str">
        <x:f>IF(H25&gt;=Subsurface_Inputs!$C$42,"Lens visible","Weak/no lens")</x:f>
        <x:v>Weak/no lens</x:v>
      </x:c>
      <x:c r="V25" s="25" t="str">
        <x:f>IF(R25&gt;=W25,"Likely visible","Weak")</x:f>
        <x:v>Likely visible</x:v>
      </x:c>
      <x:c r="W25" s="24" t="n">
        <x:f>Subsurface_Inputs!$C$43</x:f>
        <x:v>-45</x:v>
      </x:c>
      <x:c r="X25" s="24" t="n">
        <x:f>Q25-W25</x:f>
        <x:v>11.460997603583998</x:v>
      </x:c>
      <x:c r="Y25" s="24" t="n">
        <x:f>R25-W25</x:f>
        <x:v>11.073743837819762</x:v>
      </x:c>
      <x:c r="Z25" s="24" t="n">
        <x:f>MAX(Q25,R25)-W25</x:f>
        <x:v>11.460997603583998</x:v>
      </x:c>
      <x:c r="AA25" s="24" t="n">
        <x:v>0</x:v>
      </x:c>
    </x:row>
    <x:row r="26">
      <x:c r="A26" s="24" t="n">
        <x:f>Model_Data!A26</x:f>
        <x:v>-48</x:v>
      </x:c>
      <x:c r="B26" s="24" t="n">
        <x:f>Model_Data!Y26</x:f>
        <x:v>253.6370227527636</x:v>
      </x:c>
      <x:c r="C26" s="24" t="n">
        <x:f>Model_Data!X26</x:f>
        <x:v>55.67705400563339</x:v>
      </x:c>
      <x:c r="D26" s="24" t="n">
        <x:f>Model_Data!B26</x:f>
        <x:v>402.56</x:v>
      </x:c>
      <x:c r="E26" s="24" t="n">
        <x:f>Inputs!$C$6</x:f>
        <x:v>25</x:v>
      </x:c>
      <x:c r="F26" s="24" t="n">
        <x:f>Subsurface_Inputs!$C$5+Subsurface_Inputs!$C$6*SIN(2*PI()*(A26+Subsurface_Inputs!$C$7)/Subsurface_Inputs!$C$8)+Subsurface_Inputs!$C$9*COS(2*PI()*A26/Subsurface_Inputs!$C$10)+Subsurface_Inputs!$C$11*(B26-AVERAGE($B$2:$B$242))</x:f>
        <x:v>1288.9247717898286</x:v>
      </x:c>
      <x:c r="G26" s="24" t="n">
        <x:f>B26-F26</x:f>
        <x:v>-1035.287749037065</x:v>
      </x:c>
      <x:c r="H26" s="24" t="n">
        <x:f>MIN(1,MAX(0,Subsurface_Inputs!$C$13*EXP(-0.5*((A26-Subsurface_Inputs!$C$14)/Subsurface_Inputs!$C$15)^2)+Subsurface_Inputs!$C$16*EXP(-0.5*((A26-Subsurface_Inputs!$C$17)/Subsurface_Inputs!$C$18)^2)))</x:f>
        <x:v>0.053328024692427034</x:v>
      </x:c>
      <x:c r="I26" s="24" t="n">
        <x:f>Subsurface_Inputs!$C$19+Subsurface_Inputs!$C$20*SIN(2*PI()*(A26-Subsurface_Inputs!$C$21)/Subsurface_Inputs!$C$22)-Subsurface_Inputs!$C$23*H26</x:f>
        <x:v>5523.6712956624315</x:v>
      </x:c>
      <x:c r="J26" s="24" t="n">
        <x:f>B26-I26</x:f>
        <x:v>-5270.034272909668</x:v>
      </x:c>
      <x:c r="K26" s="24" t="n">
        <x:f>Subsurface_Inputs!$C$25+Subsurface_Inputs!$C$26*SIN(2*PI()*(A26+Subsurface_Inputs!$C$27)/Subsurface_Inputs!$C$28)+Subsurface_Inputs!$C$29*COS(2*PI()*(A26-Subsurface_Inputs!$C$30)/Subsurface_Inputs!$C$31)-Subsurface_Inputs!$C$32*(B26-AVERAGE($B$2:$B$242))</x:f>
        <x:v>14630.343646203191</x:v>
      </x:c>
      <x:c r="L26" s="24" t="n">
        <x:f>B26-K26</x:f>
        <x:v>-14376.706623450427</x:v>
      </x:c>
      <x:c r="M26" s="24" t="n">
        <x:f>2*Subsurface_Inputs!$C$34*F26/Subsurface_Inputs!$C$35*1000000</x:f>
        <x:v>15.305829299987893</x:v>
      </x:c>
      <x:c r="N26" s="24" t="n">
        <x:f>2*Subsurface_Inputs!$C$34*I26/Subsurface_Inputs!$C$35*1000000</x:f>
        <x:v>65.5929436775833</x:v>
      </x:c>
      <x:c r="O26" s="24" t="n">
        <x:f>2*Subsurface_Inputs!$C$34*K26/Subsurface_Inputs!$C$35*1000000</x:f>
        <x:v>173.7336013319033</x:v>
      </x:c>
      <x:c r="P26" s="24" t="n">
        <x:f>Subsurface_Inputs!$C$37-2*Subsurface_Inputs!$C$36*(F26/1000)</x:f>
        <x:v>-12.320064589221692</x:v>
      </x:c>
      <x:c r="Q26" s="24" t="n">
        <x:f>Subsurface_Inputs!$C$38+Subsurface_Inputs!$C$39*H26-2*Subsurface_Inputs!$C$36*(I26/1000)</x:f>
        <x:v>-33.462656109960534</x:v>
      </x:c>
      <x:c r="R26" s="24" t="n">
        <x:f>Subsurface_Inputs!$C$40-2*Subsurface_Inputs!$C$36*(K26/1000)-Subsurface_Inputs!$C$41*ABS(L26-AVERAGE($L$2:$L$242))</x:f>
        <x:v>-33.87562258333541</x:v>
      </x:c>
      <x:c r="S26" s="24" t="n">
        <x:f>K26-AVERAGE($K$2:$K$242)</x:f>
        <x:v>-447.0410493709187</x:v>
      </x:c>
      <x:c r="T26" s="24" t="n">
        <x:f>K26/F26</x:f>
        <x:v>11.350812682331478</x:v>
      </x:c>
      <x:c r="U26" s="25" t="str">
        <x:f>IF(H26&gt;=Subsurface_Inputs!$C$42,"Lens visible","Weak/no lens")</x:f>
        <x:v>Weak/no lens</x:v>
      </x:c>
      <x:c r="V26" s="25" t="str">
        <x:f>IF(R26&gt;=W26,"Likely visible","Weak")</x:f>
        <x:v>Likely visible</x:v>
      </x:c>
      <x:c r="W26" s="24" t="n">
        <x:f>Subsurface_Inputs!$C$43</x:f>
        <x:v>-45</x:v>
      </x:c>
      <x:c r="X26" s="24" t="n">
        <x:f>Q26-W26</x:f>
        <x:v>11.537343890039466</x:v>
      </x:c>
      <x:c r="Y26" s="24" t="n">
        <x:f>R26-W26</x:f>
        <x:v>11.124377416664593</x:v>
      </x:c>
      <x:c r="Z26" s="24" t="n">
        <x:f>MAX(Q26,R26)-W26</x:f>
        <x:v>11.537343890039466</x:v>
      </x:c>
      <x:c r="AA26" s="24" t="n">
        <x:v>0</x:v>
      </x:c>
    </x:row>
    <x:row r="27">
      <x:c r="A27" s="24" t="n">
        <x:f>Model_Data!A27</x:f>
        <x:v>-47.5</x:v>
      </x:c>
      <x:c r="B27" s="24" t="n">
        <x:f>Model_Data!Y27</x:f>
        <x:v>262.7548434853875</x:v>
      </x:c>
      <x:c r="C27" s="24" t="n">
        <x:f>Model_Data!X27</x:f>
        <x:v>53.974959185609514</x:v>
      </x:c>
      <x:c r="D27" s="24" t="n">
        <x:f>Model_Data!B27</x:f>
        <x:v>402.50694444444446</x:v>
      </x:c>
      <x:c r="E27" s="24" t="n">
        <x:f>Inputs!$C$6</x:f>
        <x:v>25</x:v>
      </x:c>
      <x:c r="F27" s="24" t="n">
        <x:f>Subsurface_Inputs!$C$5+Subsurface_Inputs!$C$6*SIN(2*PI()*(A27+Subsurface_Inputs!$C$7)/Subsurface_Inputs!$C$8)+Subsurface_Inputs!$C$9*COS(2*PI()*A27/Subsurface_Inputs!$C$10)+Subsurface_Inputs!$C$11*(B27-AVERAGE($B$2:$B$242))</x:f>
        <x:v>1302.684157443889</x:v>
      </x:c>
      <x:c r="G27" s="24" t="n">
        <x:f>B27-F27</x:f>
        <x:v>-1039.9293139585016</x:v>
      </x:c>
      <x:c r="H27" s="24" t="n">
        <x:f>MIN(1,MAX(0,Subsurface_Inputs!$C$13*EXP(-0.5*((A27-Subsurface_Inputs!$C$14)/Subsurface_Inputs!$C$15)^2)+Subsurface_Inputs!$C$16*EXP(-0.5*((A27-Subsurface_Inputs!$C$17)/Subsurface_Inputs!$C$18)^2)))</x:f>
        <x:v>0.06005206792152438</x:v>
      </x:c>
      <x:c r="I27" s="24" t="n">
        <x:f>Subsurface_Inputs!$C$19+Subsurface_Inputs!$C$20*SIN(2*PI()*(A27-Subsurface_Inputs!$C$21)/Subsurface_Inputs!$C$22)-Subsurface_Inputs!$C$23*H27</x:f>
        <x:v>5510.910771297527</x:v>
      </x:c>
      <x:c r="J27" s="24" t="n">
        <x:f>B27-I27</x:f>
        <x:v>-5248.15592781214</x:v>
      </x:c>
      <x:c r="K27" s="24" t="n">
        <x:f>Subsurface_Inputs!$C$25+Subsurface_Inputs!$C$26*SIN(2*PI()*(A27+Subsurface_Inputs!$C$27)/Subsurface_Inputs!$C$28)+Subsurface_Inputs!$C$29*COS(2*PI()*(A27-Subsurface_Inputs!$C$30)/Subsurface_Inputs!$C$31)-Subsurface_Inputs!$C$32*(B27-AVERAGE($B$2:$B$242))</x:f>
        <x:v>14628.54315116047</x:v>
      </x:c>
      <x:c r="L27" s="24" t="n">
        <x:f>B27-K27</x:f>
        <x:v>-14365.788307675082</x:v>
      </x:c>
      <x:c r="M27" s="24" t="n">
        <x:f>2*Subsurface_Inputs!$C$34*F27/Subsurface_Inputs!$C$35*1000000</x:f>
        <x:v>15.46922037811987</x:v>
      </x:c>
      <x:c r="N27" s="24" t="n">
        <x:f>2*Subsurface_Inputs!$C$34*I27/Subsurface_Inputs!$C$35*1000000</x:f>
        <x:v>65.44141395918372</x:v>
      </x:c>
      <x:c r="O27" s="24" t="n">
        <x:f>2*Subsurface_Inputs!$C$34*K27/Subsurface_Inputs!$C$35*1000000</x:f>
        <x:v>173.71222066610918</x:v>
      </x:c>
      <x:c r="P27" s="24" t="n">
        <x:f>Subsurface_Inputs!$C$37-2*Subsurface_Inputs!$C$36*(F27/1000)</x:f>
        <x:v>-12.344831483399</x:v>
      </x:c>
      <x:c r="Q27" s="24" t="n">
        <x:f>Subsurface_Inputs!$C$38+Subsurface_Inputs!$C$39*H27-2*Subsurface_Inputs!$C$36*(I27/1000)</x:f>
        <x:v>-33.37917077704183</x:v>
      </x:c>
      <x:c r="R27" s="24" t="n">
        <x:f>Subsurface_Inputs!$C$40-2*Subsurface_Inputs!$C$36*(K27/1000)-Subsurface_Inputs!$C$41*ABS(L27-AVERAGE($L$2:$L$242))</x:f>
        <x:v>-33.91605495535989</x:v>
      </x:c>
      <x:c r="S27" s="24" t="n">
        <x:f>K27-AVERAGE($K$2:$K$242)</x:f>
        <x:v>-448.8415444136408</x:v>
      </x:c>
      <x:c r="T27" s="24" t="n">
        <x:f>K27/F27</x:f>
        <x:v>11.229539460942258</x:v>
      </x:c>
      <x:c r="U27" s="25" t="str">
        <x:f>IF(H27&gt;=Subsurface_Inputs!$C$42,"Lens visible","Weak/no lens")</x:f>
        <x:v>Weak/no lens</x:v>
      </x:c>
      <x:c r="V27" s="25" t="str">
        <x:f>IF(R27&gt;=W27,"Likely visible","Weak")</x:f>
        <x:v>Likely visible</x:v>
      </x:c>
      <x:c r="W27" s="24" t="n">
        <x:f>Subsurface_Inputs!$C$43</x:f>
        <x:v>-45</x:v>
      </x:c>
      <x:c r="X27" s="24" t="n">
        <x:f>Q27-W27</x:f>
        <x:v>11.620829222958172</x:v>
      </x:c>
      <x:c r="Y27" s="24" t="n">
        <x:f>R27-W27</x:f>
        <x:v>11.08394504464011</x:v>
      </x:c>
      <x:c r="Z27" s="24" t="n">
        <x:f>MAX(Q27,R27)-W27</x:f>
        <x:v>11.620829222958172</x:v>
      </x:c>
      <x:c r="AA27" s="24" t="n">
        <x:v>0</x:v>
      </x:c>
    </x:row>
    <x:row r="28">
      <x:c r="A28" s="24" t="n">
        <x:f>Model_Data!A28</x:f>
        <x:v>-47</x:v>
      </x:c>
      <x:c r="B28" s="24" t="n">
        <x:f>Model_Data!Y28</x:f>
        <x:v>253.91481019774176</x:v>
      </x:c>
      <x:c r="C28" s="24" t="n">
        <x:f>Model_Data!X28</x:f>
        <x:v>61.213442747759345</x:v>
      </x:c>
      <x:c r="D28" s="24" t="n">
        <x:f>Model_Data!B28</x:f>
        <x:v>402.45444444444445</x:v>
      </x:c>
      <x:c r="E28" s="24" t="n">
        <x:f>Inputs!$C$6</x:f>
        <x:v>25</x:v>
      </x:c>
      <x:c r="F28" s="24" t="n">
        <x:f>Subsurface_Inputs!$C$5+Subsurface_Inputs!$C$6*SIN(2*PI()*(A28+Subsurface_Inputs!$C$7)/Subsurface_Inputs!$C$8)+Subsurface_Inputs!$C$9*COS(2*PI()*A28/Subsurface_Inputs!$C$10)+Subsurface_Inputs!$C$11*(B28-AVERAGE($B$2:$B$242))</x:f>
        <x:v>1314.1421850088739</x:v>
      </x:c>
      <x:c r="G28" s="24" t="n">
        <x:f>B28-F28</x:f>
        <x:v>-1060.227374811132</x:v>
      </x:c>
      <x:c r="H28" s="24" t="n">
        <x:f>MIN(1,MAX(0,Subsurface_Inputs!$C$13*EXP(-0.5*((A28-Subsurface_Inputs!$C$14)/Subsurface_Inputs!$C$15)^2)+Subsurface_Inputs!$C$16*EXP(-0.5*((A28-Subsurface_Inputs!$C$17)/Subsurface_Inputs!$C$18)^2)))</x:f>
        <x:v>0.06745508605265516</x:v>
      </x:c>
      <x:c r="I28" s="24" t="n">
        <x:f>Subsurface_Inputs!$C$19+Subsurface_Inputs!$C$20*SIN(2*PI()*(A28-Subsurface_Inputs!$C$21)/Subsurface_Inputs!$C$22)-Subsurface_Inputs!$C$23*H28</x:f>
        <x:v>5497.363072409545</x:v>
      </x:c>
      <x:c r="J28" s="24" t="n">
        <x:f>B28-I28</x:f>
        <x:v>-5243.448262211803</x:v>
      </x:c>
      <x:c r="K28" s="24" t="n">
        <x:f>Subsurface_Inputs!$C$25+Subsurface_Inputs!$C$26*SIN(2*PI()*(A28+Subsurface_Inputs!$C$27)/Subsurface_Inputs!$C$28)+Subsurface_Inputs!$C$29*COS(2*PI()*(A28-Subsurface_Inputs!$C$30)/Subsurface_Inputs!$C$31)-Subsurface_Inputs!$C$32*(B28-AVERAGE($B$2:$B$242))</x:f>
        <x:v>14628.933341310483</x:v>
      </x:c>
      <x:c r="L28" s="24" t="n">
        <x:f>B28-K28</x:f>
        <x:v>-14375.01853111274</x:v>
      </x:c>
      <x:c r="M28" s="24" t="n">
        <x:f>2*Subsurface_Inputs!$C$34*F28/Subsurface_Inputs!$C$35*1000000</x:f>
        <x:v>15.605283100989787</x:v>
      </x:c>
      <x:c r="N28" s="24" t="n">
        <x:f>2*Subsurface_Inputs!$C$34*I28/Subsurface_Inputs!$C$35*1000000</x:f>
        <x:v>65.28053663637522</x:v>
      </x:c>
      <x:c r="O28" s="24" t="n">
        <x:f>2*Subsurface_Inputs!$C$34*K28/Subsurface_Inputs!$C$35*1000000</x:f>
        <x:v>173.71685412801585</x:v>
      </x:c>
      <x:c r="P28" s="24" t="n">
        <x:f>Subsurface_Inputs!$C$37-2*Subsurface_Inputs!$C$36*(F28/1000)</x:f>
        <x:v>-12.365455933015973</x:v>
      </x:c>
      <x:c r="Q28" s="24" t="n">
        <x:f>Subsurface_Inputs!$C$38+Subsurface_Inputs!$C$39*H28-2*Subsurface_Inputs!$C$36*(I28/1000)</x:f>
        <x:v>-33.28815775586328</x:v>
      </x:c>
      <x:c r="R28" s="24" t="n">
        <x:f>Subsurface_Inputs!$C$40-2*Subsurface_Inputs!$C$36*(K28/1000)-Subsurface_Inputs!$C$41*ABS(L28-AVERAGE($L$2:$L$242))</x:f>
        <x:v>-33.87983640387928</x:v>
      </x:c>
      <x:c r="S28" s="24" t="n">
        <x:f>K28-AVERAGE($K$2:$K$242)</x:f>
        <x:v>-448.45135426362685</x:v>
      </x:c>
      <x:c r="T28" s="24" t="n">
        <x:f>K28/F28</x:f>
        <x:v>11.1319258358727</x:v>
      </x:c>
      <x:c r="U28" s="25" t="str">
        <x:f>IF(H28&gt;=Subsurface_Inputs!$C$42,"Lens visible","Weak/no lens")</x:f>
        <x:v>Weak/no lens</x:v>
      </x:c>
      <x:c r="V28" s="25" t="str">
        <x:f>IF(R28&gt;=W28,"Likely visible","Weak")</x:f>
        <x:v>Likely visible</x:v>
      </x:c>
      <x:c r="W28" s="24" t="n">
        <x:f>Subsurface_Inputs!$C$43</x:f>
        <x:v>-45</x:v>
      </x:c>
      <x:c r="X28" s="24" t="n">
        <x:f>Q28-W28</x:f>
        <x:v>11.711842244136719</x:v>
      </x:c>
      <x:c r="Y28" s="24" t="n">
        <x:f>R28-W28</x:f>
        <x:v>11.120163596120719</x:v>
      </x:c>
      <x:c r="Z28" s="24" t="n">
        <x:f>MAX(Q28,R28)-W28</x:f>
        <x:v>11.711842244136719</x:v>
      </x:c>
      <x:c r="AA28" s="24" t="n">
        <x:v>0</x:v>
      </x:c>
    </x:row>
    <x:row r="29">
      <x:c r="A29" s="24" t="n">
        <x:f>Model_Data!A29</x:f>
        <x:v>-46.5</x:v>
      </x:c>
      <x:c r="B29" s="24" t="n">
        <x:f>Model_Data!Y29</x:f>
        <x:v>253.748238320312</x:v>
      </x:c>
      <x:c r="C29" s="24" t="n">
        <x:f>Model_Data!X29</x:f>
        <x:v>57.529820703344</x:v>
      </x:c>
      <x:c r="D29" s="24" t="n">
        <x:f>Model_Data!B29</x:f>
        <x:v>402.4025</x:v>
      </x:c>
      <x:c r="E29" s="24" t="n">
        <x:f>Inputs!$C$6</x:f>
        <x:v>25</x:v>
      </x:c>
      <x:c r="F29" s="24" t="n">
        <x:f>Subsurface_Inputs!$C$5+Subsurface_Inputs!$C$6*SIN(2*PI()*(A29+Subsurface_Inputs!$C$7)/Subsurface_Inputs!$C$8)+Subsurface_Inputs!$C$9*COS(2*PI()*A29/Subsurface_Inputs!$C$10)+Subsurface_Inputs!$C$11*(B29-AVERAGE($B$2:$B$242))</x:f>
        <x:v>1324.2623031045136</x:v>
      </x:c>
      <x:c r="G29" s="24" t="n">
        <x:f>B29-F29</x:f>
        <x:v>-1070.5140647842018</x:v>
      </x:c>
      <x:c r="H29" s="24" t="n">
        <x:f>MIN(1,MAX(0,Subsurface_Inputs!$C$13*EXP(-0.5*((A29-Subsurface_Inputs!$C$14)/Subsurface_Inputs!$C$15)^2)+Subsurface_Inputs!$C$16*EXP(-0.5*((A29-Subsurface_Inputs!$C$17)/Subsurface_Inputs!$C$18)^2)))</x:f>
        <x:v>0.0755815332823163</x:v>
      </x:c>
      <x:c r="I29" s="24" t="n">
        <x:f>Subsurface_Inputs!$C$19+Subsurface_Inputs!$C$20*SIN(2*PI()*(A29-Subsurface_Inputs!$C$21)/Subsurface_Inputs!$C$22)-Subsurface_Inputs!$C$23*H29</x:f>
        <x:v>5483.034805519655</x:v>
      </x:c>
      <x:c r="J29" s="24" t="n">
        <x:f>B29-I29</x:f>
        <x:v>-5229.286567199342</x:v>
      </x:c>
      <x:c r="K29" s="24" t="n">
        <x:f>Subsurface_Inputs!$C$25+Subsurface_Inputs!$C$26*SIN(2*PI()*(A29+Subsurface_Inputs!$C$27)/Subsurface_Inputs!$C$28)+Subsurface_Inputs!$C$29*COS(2*PI()*(A29-Subsurface_Inputs!$C$30)/Subsurface_Inputs!$C$31)-Subsurface_Inputs!$C$32*(B29-AVERAGE($B$2:$B$242))</x:f>
        <x:v>14627.807692098573</x:v>
      </x:c>
      <x:c r="L29" s="24" t="n">
        <x:f>B29-K29</x:f>
        <x:v>-14374.059453778262</x:v>
      </x:c>
      <x:c r="M29" s="24" t="n">
        <x:f>2*Subsurface_Inputs!$C$34*F29/Subsurface_Inputs!$C$35*1000000</x:f>
        <x:v>15.725458307066779</x:v>
      </x:c>
      <x:c r="N29" s="24" t="n">
        <x:f>2*Subsurface_Inputs!$C$34*I29/Subsurface_Inputs!$C$35*1000000</x:f>
        <x:v>65.11039016081575</x:v>
      </x:c>
      <x:c r="O29" s="24" t="n">
        <x:f>2*Subsurface_Inputs!$C$34*K29/Subsurface_Inputs!$C$35*1000000</x:f>
        <x:v>173.7034871766885</x:v>
      </x:c>
      <x:c r="P29" s="24" t="n">
        <x:f>Subsurface_Inputs!$C$37-2*Subsurface_Inputs!$C$36*(F29/1000)</x:f>
        <x:v>-12.383672145588125</x:v>
      </x:c>
      <x:c r="Q29" s="24" t="n">
        <x:f>Subsurface_Inputs!$C$38+Subsurface_Inputs!$C$39*H29-2*Subsurface_Inputs!$C$36*(I29/1000)</x:f>
        <x:v>-33.18922885039453</x:v>
      </x:c>
      <x:c r="R29" s="24" t="n">
        <x:f>Subsurface_Inputs!$C$40-2*Subsurface_Inputs!$C$36*(K29/1000)-Subsurface_Inputs!$C$41*ABS(L29-AVERAGE($L$2:$L$242))</x:f>
        <x:v>-33.88164654463575</x:v>
      </x:c>
      <x:c r="S29" s="24" t="n">
        <x:f>K29-AVERAGE($K$2:$K$242)</x:f>
        <x:v>-449.5770034755369</x:v>
      </x:c>
      <x:c r="T29" s="24" t="n">
        <x:f>K29/F29</x:f>
        <x:v>11.046004751329175</x:v>
      </x:c>
      <x:c r="U29" s="25" t="str">
        <x:f>IF(H29&gt;=Subsurface_Inputs!$C$42,"Lens visible","Weak/no lens")</x:f>
        <x:v>Weak/no lens</x:v>
      </x:c>
      <x:c r="V29" s="25" t="str">
        <x:f>IF(R29&gt;=W29,"Likely visible","Weak")</x:f>
        <x:v>Likely visible</x:v>
      </x:c>
      <x:c r="W29" s="24" t="n">
        <x:f>Subsurface_Inputs!$C$43</x:f>
        <x:v>-45</x:v>
      </x:c>
      <x:c r="X29" s="24" t="n">
        <x:f>Q29-W29</x:f>
        <x:v>11.810771149605472</x:v>
      </x:c>
      <x:c r="Y29" s="24" t="n">
        <x:f>R29-W29</x:f>
        <x:v>11.11835345536425</x:v>
      </x:c>
      <x:c r="Z29" s="24" t="n">
        <x:f>MAX(Q29,R29)-W29</x:f>
        <x:v>11.810771149605472</x:v>
      </x:c>
      <x:c r="AA29" s="24" t="n">
        <x:v>0</x:v>
      </x:c>
    </x:row>
    <x:row r="30">
      <x:c r="A30" s="24" t="n">
        <x:f>Model_Data!A30</x:f>
        <x:v>-46</x:v>
      </x:c>
      <x:c r="B30" s="24" t="n">
        <x:f>Model_Data!Y30</x:f>
        <x:v>237.40469511010875</x:v>
      </x:c>
      <x:c r="C30" s="24" t="n">
        <x:f>Model_Data!X30</x:f>
        <x:v>49.53962065283257</x:v>
      </x:c>
      <x:c r="D30" s="24" t="n">
        <x:f>Model_Data!B30</x:f>
        <x:v>402.3511111111111</x:v>
      </x:c>
      <x:c r="E30" s="24" t="n">
        <x:f>Inputs!$C$6</x:f>
        <x:v>25</x:v>
      </x:c>
      <x:c r="F30" s="24" t="n">
        <x:f>Subsurface_Inputs!$C$5+Subsurface_Inputs!$C$6*SIN(2*PI()*(A30+Subsurface_Inputs!$C$7)/Subsurface_Inputs!$C$8)+Subsurface_Inputs!$C$9*COS(2*PI()*A30/Subsurface_Inputs!$C$10)+Subsurface_Inputs!$C$11*(B30-AVERAGE($B$2:$B$242))</x:f>
        <x:v>1331.9721423160381</x:v>
      </x:c>
      <x:c r="G30" s="24" t="n">
        <x:f>B30-F30</x:f>
        <x:v>-1094.5674472059293</x:v>
      </x:c>
      <x:c r="H30" s="24" t="n">
        <x:f>MIN(1,MAX(0,Subsurface_Inputs!$C$13*EXP(-0.5*((A30-Subsurface_Inputs!$C$14)/Subsurface_Inputs!$C$15)^2)+Subsurface_Inputs!$C$16*EXP(-0.5*((A30-Subsurface_Inputs!$C$17)/Subsurface_Inputs!$C$18)^2)))</x:f>
        <x:v>0.08447553658641699</x:v>
      </x:c>
      <x:c r="I30" s="24" t="n">
        <x:f>Subsurface_Inputs!$C$19+Subsurface_Inputs!$C$20*SIN(2*PI()*(A30-Subsurface_Inputs!$C$21)/Subsurface_Inputs!$C$22)-Subsurface_Inputs!$C$23*H30</x:f>
        <x:v>5467.933546457481</x:v>
      </x:c>
      <x:c r="J30" s="24" t="n">
        <x:f>B30-I30</x:f>
        <x:v>-5230.5288513473715</x:v>
      </x:c>
      <x:c r="K30" s="24" t="n">
        <x:f>Subsurface_Inputs!$C$25+Subsurface_Inputs!$C$26*SIN(2*PI()*(A30+Subsurface_Inputs!$C$27)/Subsurface_Inputs!$C$28)+Subsurface_Inputs!$C$29*COS(2*PI()*(A30-Subsurface_Inputs!$C$30)/Subsurface_Inputs!$C$31)-Subsurface_Inputs!$C$32*(B30-AVERAGE($B$2:$B$242))</x:f>
        <x:v>14628.668588877104</x:v>
      </x:c>
      <x:c r="L30" s="24" t="n">
        <x:f>B30-K30</x:f>
        <x:v>-14391.263893766996</x:v>
      </x:c>
      <x:c r="M30" s="24" t="n">
        <x:f>2*Subsurface_Inputs!$C$34*F30/Subsurface_Inputs!$C$35*1000000</x:f>
        <x:v>15.817011736316248</x:v>
      </x:c>
      <x:c r="N30" s="24" t="n">
        <x:f>2*Subsurface_Inputs!$C$34*I30/Subsurface_Inputs!$C$35*1000000</x:f>
        <x:v>64.93106449458655</x:v>
      </x:c>
      <x:c r="O30" s="24" t="n">
        <x:f>2*Subsurface_Inputs!$C$34*K30/Subsurface_Inputs!$C$35*1000000</x:f>
        <x:v>173.7137102241661</x:v>
      </x:c>
      <x:c r="P30" s="24" t="n">
        <x:f>Subsurface_Inputs!$C$37-2*Subsurface_Inputs!$C$36*(F30/1000)</x:f>
        <x:v>-12.397549856168869</x:v>
      </x:c>
      <x:c r="Q30" s="24" t="n">
        <x:f>Subsurface_Inputs!$C$38+Subsurface_Inputs!$C$39*H30-2*Subsurface_Inputs!$C$36*(I30/1000)</x:f>
        <x:v>-33.08200055434571</x:v>
      </x:c>
      <x:c r="R30" s="24" t="n">
        <x:f>Subsurface_Inputs!$C$40-2*Subsurface_Inputs!$C$36*(K30/1000)-Subsurface_Inputs!$C$41*ABS(L30-AVERAGE($L$2:$L$242))</x:f>
        <x:v>-33.81437839888218</x:v>
      </x:c>
      <x:c r="S30" s="24" t="n">
        <x:f>K30-AVERAGE($K$2:$K$242)</x:f>
        <x:v>-448.71610669700567</x:v>
      </x:c>
      <x:c r="T30" s="24" t="n">
        <x:f>K30/F30</x:f>
        <x:v>10.982713620001633</x:v>
      </x:c>
      <x:c r="U30" s="25" t="str">
        <x:f>IF(H30&gt;=Subsurface_Inputs!$C$42,"Lens visible","Weak/no lens")</x:f>
        <x:v>Weak/no lens</x:v>
      </x:c>
      <x:c r="V30" s="25" t="str">
        <x:f>IF(R30&gt;=W30,"Likely visible","Weak")</x:f>
        <x:v>Likely visible</x:v>
      </x:c>
      <x:c r="W30" s="24" t="n">
        <x:f>Subsurface_Inputs!$C$43</x:f>
        <x:v>-45</x:v>
      </x:c>
      <x:c r="X30" s="24" t="n">
        <x:f>Q30-W30</x:f>
        <x:v>11.917999445654289</x:v>
      </x:c>
      <x:c r="Y30" s="24" t="n">
        <x:f>R30-W30</x:f>
        <x:v>11.185621601117823</x:v>
      </x:c>
      <x:c r="Z30" s="24" t="n">
        <x:f>MAX(Q30,R30)-W30</x:f>
        <x:v>11.917999445654289</x:v>
      </x:c>
      <x:c r="AA30" s="24" t="n">
        <x:v>0</x:v>
      </x:c>
    </x:row>
    <x:row r="31">
      <x:c r="A31" s="24" t="n">
        <x:f>Model_Data!A31</x:f>
        <x:v>-45.5</x:v>
      </x:c>
      <x:c r="B31" s="24" t="n">
        <x:f>Model_Data!Y31</x:f>
        <x:v>230.03534200748854</x:v>
      </x:c>
      <x:c r="C31" s="24" t="n">
        <x:f>Model_Data!X31</x:f>
        <x:v>36.8829185081177</x:v>
      </x:c>
      <x:c r="D31" s="24" t="n">
        <x:f>Model_Data!B31</x:f>
        <x:v>402.30027777777775</x:v>
      </x:c>
      <x:c r="E31" s="24" t="n">
        <x:f>Inputs!$C$6</x:f>
        <x:v>25</x:v>
      </x:c>
      <x:c r="F31" s="24" t="n">
        <x:f>Subsurface_Inputs!$C$5+Subsurface_Inputs!$C$6*SIN(2*PI()*(A31+Subsurface_Inputs!$C$7)/Subsurface_Inputs!$C$8)+Subsurface_Inputs!$C$9*COS(2*PI()*A31/Subsurface_Inputs!$C$10)+Subsurface_Inputs!$C$11*(B31-AVERAGE($B$2:$B$242))</x:f>
        <x:v>1338.2236916497875</x:v>
      </x:c>
      <x:c r="G31" s="24" t="n">
        <x:f>B31-F31</x:f>
        <x:v>-1108.188349642299</x:v>
      </x:c>
      <x:c r="H31" s="24" t="n">
        <x:f>MIN(1,MAX(0,Subsurface_Inputs!$C$13*EXP(-0.5*((A31-Subsurface_Inputs!$C$14)/Subsurface_Inputs!$C$15)^2)+Subsurface_Inputs!$C$16*EXP(-0.5*((A31-Subsurface_Inputs!$C$17)/Subsurface_Inputs!$C$18)^2)))</x:f>
        <x:v>0.09418038988521002</x:v>
      </x:c>
      <x:c r="I31" s="24" t="n">
        <x:f>Subsurface_Inputs!$C$19+Subsurface_Inputs!$C$20*SIN(2*PI()*(A31-Subsurface_Inputs!$C$21)/Subsurface_Inputs!$C$22)-Subsurface_Inputs!$C$23*H31</x:f>
        <x:v>5452.067935099958</x:v>
      </x:c>
      <x:c r="J31" s="24" t="n">
        <x:f>B31-I31</x:f>
        <x:v>-5222.032593092469</x:v>
      </x:c>
      <x:c r="K31" s="24" t="n">
        <x:f>Subsurface_Inputs!$C$25+Subsurface_Inputs!$C$26*SIN(2*PI()*(A31+Subsurface_Inputs!$C$27)/Subsurface_Inputs!$C$28)+Subsurface_Inputs!$C$29*COS(2*PI()*(A31-Subsurface_Inputs!$C$30)/Subsurface_Inputs!$C$31)-Subsurface_Inputs!$C$32*(B31-AVERAGE($B$2:$B$242))</x:f>
        <x:v>14628.019588067555</x:v>
      </x:c>
      <x:c r="L31" s="24" t="n">
        <x:f>B31-K31</x:f>
        <x:v>-14397.984246060067</x:v>
      </x:c>
      <x:c r="M31" s="24" t="n">
        <x:f>2*Subsurface_Inputs!$C$34*F31/Subsurface_Inputs!$C$35*1000000</x:f>
        <x:v>15.891248145652963</x:v>
      </x:c>
      <x:c r="N31" s="24" t="n">
        <x:f>2*Subsurface_Inputs!$C$34*I31/Subsurface_Inputs!$C$35*1000000</x:f>
        <x:v>64.7426622352049</x:v>
      </x:c>
      <x:c r="O31" s="24" t="n">
        <x:f>2*Subsurface_Inputs!$C$34*K31/Subsurface_Inputs!$C$35*1000000</x:f>
        <x:v>173.70600341627173</x:v>
      </x:c>
      <x:c r="P31" s="24" t="n">
        <x:f>Subsurface_Inputs!$C$37-2*Subsurface_Inputs!$C$36*(F31/1000)</x:f>
        <x:v>-12.408802644969619</x:v>
      </x:c>
      <x:c r="Q31" s="24" t="n">
        <x:f>Subsurface_Inputs!$C$38+Subsurface_Inputs!$C$39*H31-2*Subsurface_Inputs!$C$36*(I31/1000)</x:f>
        <x:v>-32.96609877421304</x:v>
      </x:c>
      <x:c r="R31" s="24" t="n">
        <x:f>Subsurface_Inputs!$C$40-2*Subsurface_Inputs!$C$36*(K31/1000)-Subsurface_Inputs!$C$41*ABS(L31-AVERAGE($L$2:$L$242))</x:f>
        <x:v>-33.7863287882527</x:v>
      </x:c>
      <x:c r="S31" s="24" t="n">
        <x:f>K31-AVERAGE($K$2:$K$242)</x:f>
        <x:v>-449.36510750655543</x:v>
      </x:c>
      <x:c r="T31" s="24" t="n">
        <x:f>K31/F31</x:f>
        <x:v>10.93092259488685</x:v>
      </x:c>
      <x:c r="U31" s="25" t="str">
        <x:f>IF(H31&gt;=Subsurface_Inputs!$C$42,"Lens visible","Weak/no lens")</x:f>
        <x:v>Weak/no lens</x:v>
      </x:c>
      <x:c r="V31" s="25" t="str">
        <x:f>IF(R31&gt;=W31,"Likely visible","Weak")</x:f>
        <x:v>Likely visible</x:v>
      </x:c>
      <x:c r="W31" s="24" t="n">
        <x:f>Subsurface_Inputs!$C$43</x:f>
        <x:v>-45</x:v>
      </x:c>
      <x:c r="X31" s="24" t="n">
        <x:f>Q31-W31</x:f>
        <x:v>12.033901225786963</x:v>
      </x:c>
      <x:c r="Y31" s="24" t="n">
        <x:f>R31-W31</x:f>
        <x:v>11.213671211747297</x:v>
      </x:c>
      <x:c r="Z31" s="24" t="n">
        <x:f>MAX(Q31,R31)-W31</x:f>
        <x:v>12.033901225786963</x:v>
      </x:c>
      <x:c r="AA31" s="24" t="n">
        <x:v>0</x:v>
      </x:c>
    </x:row>
    <x:row r="32">
      <x:c r="A32" s="24" t="n">
        <x:f>Model_Data!A32</x:f>
        <x:v>-45</x:v>
      </x:c>
      <x:c r="B32" s="24" t="n">
        <x:f>Model_Data!Y32</x:f>
        <x:v>208.8220272535724</x:v>
      </x:c>
      <x:c r="C32" s="24" t="n">
        <x:f>Model_Data!X32</x:f>
        <x:v>46.59917835352822</x:v>
      </x:c>
      <x:c r="D32" s="24" t="n">
        <x:f>Model_Data!B32</x:f>
        <x:v>402.25</x:v>
      </x:c>
      <x:c r="E32" s="24" t="n">
        <x:f>Inputs!$C$6</x:f>
        <x:v>25</x:v>
      </x:c>
      <x:c r="F32" s="24" t="n">
        <x:f>Subsurface_Inputs!$C$5+Subsurface_Inputs!$C$6*SIN(2*PI()*(A32+Subsurface_Inputs!$C$7)/Subsurface_Inputs!$C$8)+Subsurface_Inputs!$C$9*COS(2*PI()*A32/Subsurface_Inputs!$C$10)+Subsurface_Inputs!$C$11*(B32-AVERAGE($B$2:$B$242))</x:f>
        <x:v>1342.0749002532702</x:v>
      </x:c>
      <x:c r="G32" s="24" t="n">
        <x:f>B32-F32</x:f>
        <x:v>-1133.252872999698</x:v>
      </x:c>
      <x:c r="H32" s="24" t="n">
        <x:f>MIN(1,MAX(0,Subsurface_Inputs!$C$13*EXP(-0.5*((A32-Subsurface_Inputs!$C$14)/Subsurface_Inputs!$C$15)^2)+Subsurface_Inputs!$C$16*EXP(-0.5*((A32-Subsurface_Inputs!$C$17)/Subsurface_Inputs!$C$18)^2)))</x:f>
        <x:v>0.10473799903926095</x:v>
      </x:c>
      <x:c r="I32" s="24" t="n">
        <x:f>Subsurface_Inputs!$C$19+Subsurface_Inputs!$C$20*SIN(2*PI()*(A32-Subsurface_Inputs!$C$21)/Subsurface_Inputs!$C$22)-Subsurface_Inputs!$C$23*H32</x:f>
        <x:v>5435.447780642543</x:v>
      </x:c>
      <x:c r="J32" s="24" t="n">
        <x:f>B32-I32</x:f>
        <x:v>-5226.62575338897</x:v>
      </x:c>
      <x:c r="K32" s="24" t="n">
        <x:f>Subsurface_Inputs!$C$25+Subsurface_Inputs!$C$26*SIN(2*PI()*(A32+Subsurface_Inputs!$C$27)/Subsurface_Inputs!$C$28)+Subsurface_Inputs!$C$29*COS(2*PI()*(A32-Subsurface_Inputs!$C$30)/Subsurface_Inputs!$C$31)-Subsurface_Inputs!$C$32*(B32-AVERAGE($B$2:$B$242))</x:f>
        <x:v>14629.081269338794</x:v>
      </x:c>
      <x:c r="L32" s="24" t="n">
        <x:f>B32-K32</x:f>
        <x:v>-14420.259242085222</x:v>
      </x:c>
      <x:c r="M32" s="24" t="n">
        <x:f>2*Subsurface_Inputs!$C$34*F32/Subsurface_Inputs!$C$35*1000000</x:f>
        <x:v>15.93698079256431</x:v>
      </x:c>
      <x:c r="N32" s="24" t="n">
        <x:f>2*Subsurface_Inputs!$C$34*I32/Subsurface_Inputs!$C$35*1000000</x:f>
        <x:v>64.54529986570726</x:v>
      </x:c>
      <x:c r="O32" s="24" t="n">
        <x:f>2*Subsurface_Inputs!$C$34*K32/Subsurface_Inputs!$C$35*1000000</x:f>
        <x:v>173.71861075586534</x:v>
      </x:c>
      <x:c r="P32" s="24" t="n">
        <x:f>Subsurface_Inputs!$C$37-2*Subsurface_Inputs!$C$36*(F32/1000)</x:f>
        <x:v>-12.415734820455887</x:v>
      </x:c>
      <x:c r="Q32" s="24" t="n">
        <x:f>Subsurface_Inputs!$C$38+Subsurface_Inputs!$C$39*H32-2*Subsurface_Inputs!$C$36*(I32/1000)</x:f>
        <x:v>-32.84116401380323</x:v>
      </x:c>
      <x:c r="R32" s="24" t="n">
        <x:f>Subsurface_Inputs!$C$40-2*Subsurface_Inputs!$C$36*(K32/1000)-Subsurface_Inputs!$C$41*ABS(L32-AVERAGE($L$2:$L$242))</x:f>
        <x:v>-33.699139830440316</x:v>
      </x:c>
      <x:c r="S32" s="24" t="n">
        <x:f>K32-AVERAGE($K$2:$K$242)</x:f>
        <x:v>-448.3034262353158</x:v>
      </x:c>
      <x:c r="T32" s="24" t="n">
        <x:f>K32/F32</x:f>
        <x:v>10.900346371560977</x:v>
      </x:c>
      <x:c r="U32" s="25" t="str">
        <x:f>IF(H32&gt;=Subsurface_Inputs!$C$42,"Lens visible","Weak/no lens")</x:f>
        <x:v>Weak/no lens</x:v>
      </x:c>
      <x:c r="V32" s="25" t="str">
        <x:f>IF(R32&gt;=W32,"Likely visible","Weak")</x:f>
        <x:v>Likely visible</x:v>
      </x:c>
      <x:c r="W32" s="24" t="n">
        <x:f>Subsurface_Inputs!$C$43</x:f>
        <x:v>-45</x:v>
      </x:c>
      <x:c r="X32" s="24" t="n">
        <x:f>Q32-W32</x:f>
        <x:v>12.15883598619677</x:v>
      </x:c>
      <x:c r="Y32" s="24" t="n">
        <x:f>R32-W32</x:f>
        <x:v>11.300860169559684</x:v>
      </x:c>
      <x:c r="Z32" s="24" t="n">
        <x:f>MAX(Q32,R32)-W32</x:f>
        <x:v>12.15883598619677</x:v>
      </x:c>
      <x:c r="AA32" s="24" t="n">
        <x:v>0</x:v>
      </x:c>
    </x:row>
    <x:row r="33">
      <x:c r="A33" s="24" t="n">
        <x:f>Model_Data!A33</x:f>
        <x:v>-44.5</x:v>
      </x:c>
      <x:c r="B33" s="24" t="n">
        <x:f>Model_Data!Y33</x:f>
        <x:v>201.66422960156285</x:v>
      </x:c>
      <x:c r="C33" s="24" t="n">
        <x:f>Model_Data!X33</x:f>
        <x:v>27.91531821493412</x:v>
      </x:c>
      <x:c r="D33" s="24" t="n">
        <x:f>Model_Data!B33</x:f>
        <x:v>402.2002777777778</x:v>
      </x:c>
      <x:c r="E33" s="24" t="n">
        <x:f>Inputs!$C$6</x:f>
        <x:v>25</x:v>
      </x:c>
      <x:c r="F33" s="24" t="n">
        <x:f>Subsurface_Inputs!$C$5+Subsurface_Inputs!$C$6*SIN(2*PI()*(A33+Subsurface_Inputs!$C$7)/Subsurface_Inputs!$C$8)+Subsurface_Inputs!$C$9*COS(2*PI()*A33/Subsurface_Inputs!$C$10)+Subsurface_Inputs!$C$11*(B33-AVERAGE($B$2:$B$242))</x:f>
        <x:v>1344.637183455526</x:v>
      </x:c>
      <x:c r="G33" s="24" t="n">
        <x:f>B33-F33</x:f>
        <x:v>-1142.9729538539632</x:v>
      </x:c>
      <x:c r="H33" s="24" t="n">
        <x:f>MIN(1,MAX(0,Subsurface_Inputs!$C$13*EXP(-0.5*((A33-Subsurface_Inputs!$C$14)/Subsurface_Inputs!$C$15)^2)+Subsurface_Inputs!$C$16*EXP(-0.5*((A33-Subsurface_Inputs!$C$17)/Subsurface_Inputs!$C$18)^2)))</x:f>
        <x:v>0.11618828067955557</x:v>
      </x:c>
      <x:c r="I33" s="24" t="n">
        <x:f>Subsurface_Inputs!$C$19+Subsurface_Inputs!$C$20*SIN(2*PI()*(A33-Subsurface_Inputs!$C$21)/Subsurface_Inputs!$C$22)-Subsurface_Inputs!$C$23*H33</x:f>
        <x:v>5418.084176723001</x:v>
      </x:c>
      <x:c r="J33" s="24" t="n">
        <x:f>B33-I33</x:f>
        <x:v>-5216.419947121439</x:v>
      </x:c>
      <x:c r="K33" s="24" t="n">
        <x:f>Subsurface_Inputs!$C$25+Subsurface_Inputs!$C$26*SIN(2*PI()*(A33+Subsurface_Inputs!$C$27)/Subsurface_Inputs!$C$28)+Subsurface_Inputs!$C$29*COS(2*PI()*(A33-Subsurface_Inputs!$C$30)/Subsurface_Inputs!$C$31)-Subsurface_Inputs!$C$32*(B33-AVERAGE($B$2:$B$242))</x:f>
        <x:v>14627.9749848833</x:v>
      </x:c>
      <x:c r="L33" s="24" t="n">
        <x:f>B33-K33</x:f>
        <x:v>-14426.310755281736</x:v>
      </x:c>
      <x:c r="M33" s="24" t="n">
        <x:f>2*Subsurface_Inputs!$C$34*F33/Subsurface_Inputs!$C$35*1000000</x:f>
        <x:v>15.967407602701176</x:v>
      </x:c>
      <x:c r="N33" s="24" t="n">
        <x:f>2*Subsurface_Inputs!$C$34*I33/Subsurface_Inputs!$C$35*1000000</x:f>
        <x:v>64.33910912173076</x:v>
      </x:c>
      <x:c r="O33" s="24" t="n">
        <x:f>2*Subsurface_Inputs!$C$34*K33/Subsurface_Inputs!$C$35*1000000</x:f>
        <x:v>173.7054737587313</x:v>
      </x:c>
      <x:c r="P33" s="24" t="n">
        <x:f>Subsurface_Inputs!$C$37-2*Subsurface_Inputs!$C$36*(F33/1000)</x:f>
        <x:v>-12.420346930219946</x:v>
      </x:c>
      <x:c r="Q33" s="24" t="n">
        <x:f>Subsurface_Inputs!$C$38+Subsurface_Inputs!$C$39*H33-2*Subsurface_Inputs!$C$36*(I33/1000)</x:f>
        <x:v>-32.706856991985404</x:v>
      </x:c>
      <x:c r="R33" s="24" t="n">
        <x:f>Subsurface_Inputs!$C$40-2*Subsurface_Inputs!$C$36*(K33/1000)-Subsurface_Inputs!$C$41*ABS(L33-AVERAGE($L$2:$L$242))</x:f>
        <x:v>-33.672942465634364</x:v>
      </x:c>
      <x:c r="S33" s="24" t="n">
        <x:f>K33-AVERAGE($K$2:$K$242)</x:f>
        <x:v>-449.40971069081024</x:v>
      </x:c>
      <x:c r="T33" s="24" t="n">
        <x:f>K33/F33</x:f>
        <x:v>10.878752398689057</x:v>
      </x:c>
      <x:c r="U33" s="25" t="str">
        <x:f>IF(H33&gt;=Subsurface_Inputs!$C$42,"Lens visible","Weak/no lens")</x:f>
        <x:v>Weak/no lens</x:v>
      </x:c>
      <x:c r="V33" s="25" t="str">
        <x:f>IF(R33&gt;=W33,"Likely visible","Weak")</x:f>
        <x:v>Likely visible</x:v>
      </x:c>
      <x:c r="W33" s="24" t="n">
        <x:f>Subsurface_Inputs!$C$43</x:f>
        <x:v>-45</x:v>
      </x:c>
      <x:c r="X33" s="24" t="n">
        <x:f>Q33-W33</x:f>
        <x:v>12.293143008014596</x:v>
      </x:c>
      <x:c r="Y33" s="24" t="n">
        <x:f>R33-W33</x:f>
        <x:v>11.327057534365636</x:v>
      </x:c>
      <x:c r="Z33" s="24" t="n">
        <x:f>MAX(Q33,R33)-W33</x:f>
        <x:v>12.293143008014596</x:v>
      </x:c>
      <x:c r="AA33" s="24" t="n">
        <x:v>0</x:v>
      </x:c>
    </x:row>
    <x:row r="34">
      <x:c r="A34" s="24" t="n">
        <x:f>Model_Data!A34</x:f>
        <x:v>-44</x:v>
      </x:c>
      <x:c r="B34" s="24" t="n">
        <x:f>Model_Data!Y34</x:f>
        <x:v>200.11672258234324</x:v>
      </x:c>
      <x:c r="C34" s="24" t="n">
        <x:f>Model_Data!X34</x:f>
        <x:v>18.82539201019003</x:v>
      </x:c>
      <x:c r="D34" s="24" t="n">
        <x:f>Model_Data!B34</x:f>
        <x:v>402.1511111111111</x:v>
      </x:c>
      <x:c r="E34" s="24" t="n">
        <x:f>Inputs!$C$6</x:f>
        <x:v>25</x:v>
      </x:c>
      <x:c r="F34" s="24" t="n">
        <x:f>Subsurface_Inputs!$C$5+Subsurface_Inputs!$C$6*SIN(2*PI()*(A34+Subsurface_Inputs!$C$7)/Subsurface_Inputs!$C$8)+Subsurface_Inputs!$C$9*COS(2*PI()*A34/Subsurface_Inputs!$C$10)+Subsurface_Inputs!$C$11*(B34-AVERAGE($B$2:$B$242))</x:f>
        <x:v>1345.5925502759046</x:v>
      </x:c>
      <x:c r="G34" s="24" t="n">
        <x:f>B34-F34</x:f>
        <x:v>-1145.4758276935613</x:v>
      </x:c>
      <x:c r="H34" s="24" t="n">
        <x:f>MIN(1,MAX(0,Subsurface_Inputs!$C$13*EXP(-0.5*((A34-Subsurface_Inputs!$C$14)/Subsurface_Inputs!$C$15)^2)+Subsurface_Inputs!$C$16*EXP(-0.5*((A34-Subsurface_Inputs!$C$17)/Subsurface_Inputs!$C$18)^2)))</x:f>
        <x:v>0.12856851907478206</x:v>
      </x:c>
      <x:c r="I34" s="24" t="n">
        <x:f>Subsurface_Inputs!$C$19+Subsurface_Inputs!$C$20*SIN(2*PI()*(A34-Subsurface_Inputs!$C$21)/Subsurface_Inputs!$C$22)-Subsurface_Inputs!$C$23*H34</x:f>
        <x:v>5399.989625431864</x:v>
      </x:c>
      <x:c r="J34" s="24" t="n">
        <x:f>B34-I34</x:f>
        <x:v>-5199.872902849521</x:v>
      </x:c>
      <x:c r="K34" s="24" t="n">
        <x:f>Subsurface_Inputs!$C$25+Subsurface_Inputs!$C$26*SIN(2*PI()*(A34+Subsurface_Inputs!$C$27)/Subsurface_Inputs!$C$28)+Subsurface_Inputs!$C$29*COS(2*PI()*(A34-Subsurface_Inputs!$C$30)/Subsurface_Inputs!$C$31)-Subsurface_Inputs!$C$32*(B34-AVERAGE($B$2:$B$242))</x:f>
        <x:v>14625.911504274929</x:v>
      </x:c>
      <x:c r="L34" s="24" t="n">
        <x:f>B34-K34</x:f>
        <x:v>-14425.794781692586</x:v>
      </x:c>
      <x:c r="M34" s="24" t="n">
        <x:f>2*Subsurface_Inputs!$C$34*F34/Subsurface_Inputs!$C$35*1000000</x:f>
        <x:v>15.978752470758357</x:v>
      </x:c>
      <x:c r="N34" s="24" t="n">
        <x:f>2*Subsurface_Inputs!$C$34*I34/Subsurface_Inputs!$C$35*1000000</x:f>
        <x:v>64.12423846412253</x:v>
      </x:c>
      <x:c r="O34" s="24" t="n">
        <x:f>2*Subsurface_Inputs!$C$34*K34/Subsurface_Inputs!$C$35*1000000</x:f>
        <x:v>173.6809701704329</x:v>
      </x:c>
      <x:c r="P34" s="24" t="n">
        <x:f>Subsurface_Inputs!$C$37-2*Subsurface_Inputs!$C$36*(F34/1000)</x:f>
        <x:v>-12.422066590496629</x:v>
      </x:c>
      <x:c r="Q34" s="24" t="n">
        <x:f>Subsurface_Inputs!$C$38+Subsurface_Inputs!$C$39*H34-2*Subsurface_Inputs!$C$36*(I34/1000)</x:f>
        <x:v>-32.56286465410432</x:v>
      </x:c>
      <x:c r="R34" s="24" t="n">
        <x:f>Subsurface_Inputs!$C$40-2*Subsurface_Inputs!$C$36*(K34/1000)-Subsurface_Inputs!$C$41*ABS(L34-AVERAGE($L$2:$L$242))</x:f>
        <x:v>-33.671292094895904</x:v>
      </x:c>
      <x:c r="S34" s="24" t="n">
        <x:f>K34-AVERAGE($K$2:$K$242)</x:f>
        <x:v>-451.47319129918105</x:v>
      </x:c>
      <x:c r="T34" s="24" t="n">
        <x:f>K34/F34</x:f>
        <x:v>10.869495005212377</x:v>
      </x:c>
      <x:c r="U34" s="25" t="str">
        <x:f>IF(H34&gt;=Subsurface_Inputs!$C$42,"Lens visible","Weak/no lens")</x:f>
        <x:v>Weak/no lens</x:v>
      </x:c>
      <x:c r="V34" s="25" t="str">
        <x:f>IF(R34&gt;=W34,"Likely visible","Weak")</x:f>
        <x:v>Likely visible</x:v>
      </x:c>
      <x:c r="W34" s="24" t="n">
        <x:f>Subsurface_Inputs!$C$43</x:f>
        <x:v>-45</x:v>
      </x:c>
      <x:c r="X34" s="24" t="n">
        <x:f>Q34-W34</x:f>
        <x:v>12.437135345895683</x:v>
      </x:c>
      <x:c r="Y34" s="24" t="n">
        <x:f>R34-W34</x:f>
        <x:v>11.328707905104096</x:v>
      </x:c>
      <x:c r="Z34" s="24" t="n">
        <x:f>MAX(Q34,R34)-W34</x:f>
        <x:v>12.437135345895683</x:v>
      </x:c>
      <x:c r="AA34" s="24" t="n">
        <x:v>0</x:v>
      </x:c>
    </x:row>
    <x:row r="35">
      <x:c r="A35" s="24" t="n">
        <x:f>Model_Data!A35</x:f>
        <x:v>-43.5</x:v>
      </x:c>
      <x:c r="B35" s="24" t="n">
        <x:f>Model_Data!Y35</x:f>
        <x:v>210.8483953416035</x:v>
      </x:c>
      <x:c r="C35" s="24" t="n">
        <x:f>Model_Data!X35</x:f>
        <x:v>22.55480739682735</x:v>
      </x:c>
      <x:c r="D35" s="24" t="n">
        <x:f>Model_Data!B35</x:f>
        <x:v>402.1025</x:v>
      </x:c>
      <x:c r="E35" s="24" t="n">
        <x:f>Inputs!$C$6</x:f>
        <x:v>25</x:v>
      </x:c>
      <x:c r="F35" s="24" t="n">
        <x:f>Subsurface_Inputs!$C$5+Subsurface_Inputs!$C$6*SIN(2*PI()*(A35+Subsurface_Inputs!$C$7)/Subsurface_Inputs!$C$8)+Subsurface_Inputs!$C$9*COS(2*PI()*A35/Subsurface_Inputs!$C$10)+Subsurface_Inputs!$C$11*(B35-AVERAGE($B$2:$B$242))</x:f>
        <x:v>1345.2511794984607</x:v>
      </x:c>
      <x:c r="G35" s="24" t="n">
        <x:f>B35-F35</x:f>
        <x:v>-1134.4027841568573</x:v>
      </x:c>
      <x:c r="H35" s="24" t="n">
        <x:f>MIN(1,MAX(0,Subsurface_Inputs!$C$13*EXP(-0.5*((A35-Subsurface_Inputs!$C$14)/Subsurface_Inputs!$C$15)^2)+Subsurface_Inputs!$C$16*EXP(-0.5*((A35-Subsurface_Inputs!$C$17)/Subsurface_Inputs!$C$18)^2)))</x:f>
        <x:v>0.14191268648789712</x:v>
      </x:c>
      <x:c r="I35" s="24" t="n">
        <x:f>Subsurface_Inputs!$C$19+Subsurface_Inputs!$C$20*SIN(2*PI()*(A35-Subsurface_Inputs!$C$21)/Subsurface_Inputs!$C$22)-Subsurface_Inputs!$C$23*H35</x:f>
        <x:v>5381.1781689455565</x:v>
      </x:c>
      <x:c r="J35" s="24" t="n">
        <x:f>B35-I35</x:f>
        <x:v>-5170.329773603953</x:v>
      </x:c>
      <x:c r="K35" s="24" t="n">
        <x:f>Subsurface_Inputs!$C$25+Subsurface_Inputs!$C$26*SIN(2*PI()*(A35+Subsurface_Inputs!$C$27)/Subsurface_Inputs!$C$28)+Subsurface_Inputs!$C$29*COS(2*PI()*(A35-Subsurface_Inputs!$C$30)/Subsurface_Inputs!$C$31)-Subsurface_Inputs!$C$32*(B35-AVERAGE($B$2:$B$242))</x:f>
        <x:v>14621.986694083294</x:v>
      </x:c>
      <x:c r="L35" s="24" t="n">
        <x:f>B35-K35</x:f>
        <x:v>-14411.138298741691</x:v>
      </x:c>
      <x:c r="M35" s="24" t="n">
        <x:f>2*Subsurface_Inputs!$C$34*F35/Subsurface_Inputs!$C$35*1000000</x:f>
        <x:v>15.974698733129973</x:v>
      </x:c>
      <x:c r="N35" s="24" t="n">
        <x:f>2*Subsurface_Inputs!$C$34*I35/Subsurface_Inputs!$C$35*1000000</x:f>
        <x:v>63.90085464206769</x:v>
      </x:c>
      <x:c r="O35" s="24" t="n">
        <x:f>2*Subsurface_Inputs!$C$34*K35/Subsurface_Inputs!$C$35*1000000</x:f>
        <x:v>173.63436351336273</x:v>
      </x:c>
      <x:c r="P35" s="24" t="n">
        <x:f>Subsurface_Inputs!$C$37-2*Subsurface_Inputs!$C$36*(F35/1000)</x:f>
        <x:v>-12.421452123097229</x:v>
      </x:c>
      <x:c r="Q35" s="24" t="n">
        <x:f>Subsurface_Inputs!$C$38+Subsurface_Inputs!$C$39*H35-2*Subsurface_Inputs!$C$36*(I35/1000)</x:f>
        <x:v>-32.40890652571093</x:v>
      </x:c>
      <x:c r="R35" s="24" t="n">
        <x:f>Subsurface_Inputs!$C$40-2*Subsurface_Inputs!$C$36*(K35/1000)-Subsurface_Inputs!$C$41*ABS(L35-AVERAGE($L$2:$L$242))</x:f>
        <x:v>-33.72285336835454</x:v>
      </x:c>
      <x:c r="S35" s="24" t="n">
        <x:f>K35-AVERAGE($K$2:$K$242)</x:f>
        <x:v>-455.39800149081566</x:v>
      </x:c>
      <x:c r="T35" s="24" t="n">
        <x:f>K35/F35</x:f>
        <x:v>10.869335717315403</x:v>
      </x:c>
      <x:c r="U35" s="25" t="str">
        <x:f>IF(H35&gt;=Subsurface_Inputs!$C$42,"Lens visible","Weak/no lens")</x:f>
        <x:v>Weak/no lens</x:v>
      </x:c>
      <x:c r="V35" s="25" t="str">
        <x:f>IF(R35&gt;=W35,"Likely visible","Weak")</x:f>
        <x:v>Likely visible</x:v>
      </x:c>
      <x:c r="W35" s="24" t="n">
        <x:f>Subsurface_Inputs!$C$43</x:f>
        <x:v>-45</x:v>
      </x:c>
      <x:c r="X35" s="24" t="n">
        <x:f>Q35-W35</x:f>
        <x:v>12.591093474289067</x:v>
      </x:c>
      <x:c r="Y35" s="24" t="n">
        <x:f>R35-W35</x:f>
        <x:v>11.277146631645458</x:v>
      </x:c>
      <x:c r="Z35" s="24" t="n">
        <x:f>MAX(Q35,R35)-W35</x:f>
        <x:v>12.591093474289067</x:v>
      </x:c>
      <x:c r="AA35" s="24" t="n">
        <x:v>0</x:v>
      </x:c>
    </x:row>
    <x:row r="36">
      <x:c r="A36" s="24" t="n">
        <x:f>Model_Data!A36</x:f>
        <x:v>-43</x:v>
      </x:c>
      <x:c r="B36" s="24" t="n">
        <x:f>Model_Data!Y36</x:f>
        <x:v>180.5581841932563</x:v>
      </x:c>
      <x:c r="C36" s="24" t="n">
        <x:f>Model_Data!X36</x:f>
        <x:v>3.69479063881065</x:v>
      </x:c>
      <x:c r="D36" s="24" t="n">
        <x:f>Model_Data!B36</x:f>
        <x:v>402.05444444444447</x:v>
      </x:c>
      <x:c r="E36" s="24" t="n">
        <x:f>Inputs!$C$6</x:f>
        <x:v>25</x:v>
      </x:c>
      <x:c r="F36" s="24" t="n">
        <x:f>Subsurface_Inputs!$C$5+Subsurface_Inputs!$C$6*SIN(2*PI()*(A36+Subsurface_Inputs!$C$7)/Subsurface_Inputs!$C$8)+Subsurface_Inputs!$C$9*COS(2*PI()*A36/Subsurface_Inputs!$C$10)+Subsurface_Inputs!$C$11*(B36-AVERAGE($B$2:$B$242))</x:f>
        <x:v>1341.5468992266901</x:v>
      </x:c>
      <x:c r="G36" s="24" t="n">
        <x:f>B36-F36</x:f>
        <x:v>-1160.988715033434</x:v>
      </x:c>
      <x:c r="H36" s="24" t="n">
        <x:f>MIN(1,MAX(0,Subsurface_Inputs!$C$13*EXP(-0.5*((A36-Subsurface_Inputs!$C$14)/Subsurface_Inputs!$C$15)^2)+Subsurface_Inputs!$C$16*EXP(-0.5*((A36-Subsurface_Inputs!$C$17)/Subsurface_Inputs!$C$18)^2)))</x:f>
        <x:v>0.15625073374829715</x:v>
      </x:c>
      <x:c r="I36" s="24" t="n">
        <x:f>Subsurface_Inputs!$C$19+Subsurface_Inputs!$C$20*SIN(2*PI()*(A36-Subsurface_Inputs!$C$21)/Subsurface_Inputs!$C$22)-Subsurface_Inputs!$C$23*H36</x:f>
        <x:v>5361.6655272140915</x:v>
      </x:c>
      <x:c r="J36" s="24" t="n">
        <x:f>B36-I36</x:f>
        <x:v>-5181.107343020835</x:v>
      </x:c>
      <x:c r="K36" s="24" t="n">
        <x:f>Subsurface_Inputs!$C$25+Subsurface_Inputs!$C$26*SIN(2*PI()*(A36+Subsurface_Inputs!$C$27)/Subsurface_Inputs!$C$28)+Subsurface_Inputs!$C$29*COS(2*PI()*(A36-Subsurface_Inputs!$C$30)/Subsurface_Inputs!$C$31)-Subsurface_Inputs!$C$32*(B36-AVERAGE($B$2:$B$242))</x:f>
        <x:v>14623.693198890636</x:v>
      </x:c>
      <x:c r="L36" s="24" t="n">
        <x:f>B36-K36</x:f>
        <x:v>-14443.13501469738</x:v>
      </x:c>
      <x:c r="M36" s="24" t="n">
        <x:f>2*Subsurface_Inputs!$C$34*F36/Subsurface_Inputs!$C$35*1000000</x:f>
        <x:v>15.93071084278917</x:v>
      </x:c>
      <x:c r="N36" s="24" t="n">
        <x:f>2*Subsurface_Inputs!$C$34*I36/Subsurface_Inputs!$C$35*1000000</x:f>
        <x:v>63.66914432811438</x:v>
      </x:c>
      <x:c r="O36" s="24" t="n">
        <x:f>2*Subsurface_Inputs!$C$34*K36/Subsurface_Inputs!$C$35*1000000</x:f>
        <x:v>173.65462805622238</x:v>
      </x:c>
      <x:c r="P36" s="24" t="n">
        <x:f>Subsurface_Inputs!$C$37-2*Subsurface_Inputs!$C$36*(F36/1000)</x:f>
        <x:v>-12.414784418608043</x:v>
      </x:c>
      <x:c r="Q36" s="24" t="n">
        <x:f>Subsurface_Inputs!$C$38+Subsurface_Inputs!$C$39*H36-2*Subsurface_Inputs!$C$36*(I36/1000)</x:f>
        <x:v>-32.24474134525069</x:v>
      </x:c>
      <x:c r="R36" s="24" t="n">
        <x:f>Subsurface_Inputs!$C$40-2*Subsurface_Inputs!$C$36*(K36/1000)-Subsurface_Inputs!$C$41*ABS(L36-AVERAGE($L$2:$L$242))</x:f>
        <x:v>-33.597938213184996</x:v>
      </x:c>
      <x:c r="S36" s="24" t="n">
        <x:f>K36-AVERAGE($K$2:$K$242)</x:f>
        <x:v>-453.6914966834738</x:v>
      </x:c>
      <x:c r="T36" s="24" t="n">
        <x:f>K36/F36</x:f>
        <x:v>10.900620177587674</x:v>
      </x:c>
      <x:c r="U36" s="25" t="str">
        <x:f>IF(H36&gt;=Subsurface_Inputs!$C$42,"Lens visible","Weak/no lens")</x:f>
        <x:v>Weak/no lens</x:v>
      </x:c>
      <x:c r="V36" s="25" t="str">
        <x:f>IF(R36&gt;=W36,"Likely visible","Weak")</x:f>
        <x:v>Likely visible</x:v>
      </x:c>
      <x:c r="W36" s="24" t="n">
        <x:f>Subsurface_Inputs!$C$43</x:f>
        <x:v>-45</x:v>
      </x:c>
      <x:c r="X36" s="24" t="n">
        <x:f>Q36-W36</x:f>
        <x:v>12.755258654749312</x:v>
      </x:c>
      <x:c r="Y36" s="24" t="n">
        <x:f>R36-W36</x:f>
        <x:v>11.402061786815004</x:v>
      </x:c>
      <x:c r="Z36" s="24" t="n">
        <x:f>MAX(Q36,R36)-W36</x:f>
        <x:v>12.755258654749312</x:v>
      </x:c>
      <x:c r="AA36" s="24" t="n">
        <x:v>0</x:v>
      </x:c>
    </x:row>
    <x:row r="37">
      <x:c r="A37" s="24" t="n">
        <x:f>Model_Data!A37</x:f>
        <x:v>-42.5</x:v>
      </x:c>
      <x:c r="B37" s="24" t="n">
        <x:f>Model_Data!Y37</x:f>
        <x:v>181.7291755177202</x:v>
      </x:c>
      <x:c r="C37" s="24" t="n">
        <x:f>Model_Data!X37</x:f>
        <x:v>9.477549494288523</x:v>
      </x:c>
      <x:c r="D37" s="24" t="n">
        <x:f>Model_Data!B37</x:f>
        <x:v>402.00694444444446</x:v>
      </x:c>
      <x:c r="E37" s="24" t="n">
        <x:f>Inputs!$C$6</x:f>
        <x:v>25</x:v>
      </x:c>
      <x:c r="F37" s="24" t="n">
        <x:f>Subsurface_Inputs!$C$5+Subsurface_Inputs!$C$6*SIN(2*PI()*(A37+Subsurface_Inputs!$C$7)/Subsurface_Inputs!$C$8)+Subsurface_Inputs!$C$9*COS(2*PI()*A37/Subsurface_Inputs!$C$10)+Subsurface_Inputs!$C$11*(B37-AVERAGE($B$2:$B$242))</x:f>
        <x:v>1337.4658358603704</x:v>
      </x:c>
      <x:c r="G37" s="24" t="n">
        <x:f>B37-F37</x:f>
        <x:v>-1155.73666034265</x:v>
      </x:c>
      <x:c r="H37" s="24" t="n">
        <x:f>MIN(1,MAX(0,Subsurface_Inputs!$C$13*EXP(-0.5*((A37-Subsurface_Inputs!$C$14)/Subsurface_Inputs!$C$15)^2)+Subsurface_Inputs!$C$16*EXP(-0.5*((A37-Subsurface_Inputs!$C$17)/Subsurface_Inputs!$C$18)^2)))</x:f>
        <x:v>0.17160785903794926</x:v>
      </x:c>
      <x:c r="I37" s="24" t="n">
        <x:f>Subsurface_Inputs!$C$19+Subsurface_Inputs!$C$20*SIN(2*PI()*(A37-Subsurface_Inputs!$C$21)/Subsurface_Inputs!$C$22)-Subsurface_Inputs!$C$23*H37</x:f>
        <x:v>5341.4692398315265</x:v>
      </x:c>
      <x:c r="J37" s="24" t="n">
        <x:f>B37-I37</x:f>
        <x:v>-5159.740064313806</x:v>
      </x:c>
      <x:c r="K37" s="24" t="n">
        <x:f>Subsurface_Inputs!$C$25+Subsurface_Inputs!$C$26*SIN(2*PI()*(A37+Subsurface_Inputs!$C$27)/Subsurface_Inputs!$C$28)+Subsurface_Inputs!$C$29*COS(2*PI()*(A37-Subsurface_Inputs!$C$30)/Subsurface_Inputs!$C$31)-Subsurface_Inputs!$C$32*(B37-AVERAGE($B$2:$B$242))</x:f>
        <x:v>14620.914775457455</x:v>
      </x:c>
      <x:c r="L37" s="24" t="n">
        <x:f>B37-K37</x:f>
        <x:v>-14439.185599939736</x:v>
      </x:c>
      <x:c r="M37" s="24" t="n">
        <x:f>2*Subsurface_Inputs!$C$34*F37/Subsurface_Inputs!$C$35*1000000</x:f>
        <x:v>15.882248697740483</x:v>
      </x:c>
      <x:c r="N37" s="24" t="n">
        <x:f>2*Subsurface_Inputs!$C$34*I37/Subsurface_Inputs!$C$35*1000000</x:f>
        <x:v>63.42931580286864</x:v>
      </x:c>
      <x:c r="O37" s="24" t="n">
        <x:f>2*Subsurface_Inputs!$C$34*K37/Subsurface_Inputs!$C$35*1000000</x:f>
        <x:v>173.6216346063934</x:v>
      </x:c>
      <x:c r="P37" s="24" t="n">
        <x:f>Subsurface_Inputs!$C$37-2*Subsurface_Inputs!$C$36*(F37/1000)</x:f>
        <x:v>-12.407438504548667</x:v>
      </x:c>
      <x:c r="Q37" s="24" t="n">
        <x:f>Subsurface_Inputs!$C$38+Subsurface_Inputs!$C$39*H37-2*Subsurface_Inputs!$C$36*(I37/1000)</x:f>
        <x:v>-32.0701739003552</x:v>
      </x:c>
      <x:c r="R37" s="24" t="n">
        <x:f>Subsurface_Inputs!$C$40-2*Subsurface_Inputs!$C$36*(K37/1000)-Subsurface_Inputs!$C$41*ABS(L37-AVERAGE($L$2:$L$242))</x:f>
        <x:v>-33.60873471003585</x:v>
      </x:c>
      <x:c r="S37" s="24" t="n">
        <x:f>K37-AVERAGE($K$2:$K$242)</x:f>
        <x:v>-456.469920116655</x:v>
      </x:c>
      <x:c r="T37" s="24" t="n">
        <x:f>K37/F37</x:f>
        <x:v>10.931804299922215</x:v>
      </x:c>
      <x:c r="U37" s="25" t="str">
        <x:f>IF(H37&gt;=Subsurface_Inputs!$C$42,"Lens visible","Weak/no lens")</x:f>
        <x:v>Weak/no lens</x:v>
      </x:c>
      <x:c r="V37" s="25" t="str">
        <x:f>IF(R37&gt;=W37,"Likely visible","Weak")</x:f>
        <x:v>Likely visible</x:v>
      </x:c>
      <x:c r="W37" s="24" t="n">
        <x:f>Subsurface_Inputs!$C$43</x:f>
        <x:v>-45</x:v>
      </x:c>
      <x:c r="X37" s="24" t="n">
        <x:f>Q37-W37</x:f>
        <x:v>12.9298260996448</x:v>
      </x:c>
      <x:c r="Y37" s="24" t="n">
        <x:f>R37-W37</x:f>
        <x:v>11.391265289964153</x:v>
      </x:c>
      <x:c r="Z37" s="24" t="n">
        <x:f>MAX(Q37,R37)-W37</x:f>
        <x:v>12.9298260996448</x:v>
      </x:c>
      <x:c r="AA37" s="24" t="n">
        <x:v>0</x:v>
      </x:c>
    </x:row>
    <x:row r="38">
      <x:c r="A38" s="24" t="n">
        <x:f>Model_Data!A38</x:f>
        <x:v>-42</x:v>
      </x:c>
      <x:c r="B38" s="24" t="n">
        <x:f>Model_Data!Y38</x:f>
        <x:v>170.62817299697477</x:v>
      </x:c>
      <x:c r="C38" s="24" t="n">
        <x:f>Model_Data!X38</x:f>
        <x:v>-8.691303525994272</x:v>
      </x:c>
      <x:c r="D38" s="24" t="n">
        <x:f>Model_Data!B38</x:f>
        <x:v>401.96</x:v>
      </x:c>
      <x:c r="E38" s="24" t="n">
        <x:f>Inputs!$C$6</x:f>
        <x:v>25</x:v>
      </x:c>
      <x:c r="F38" s="24" t="n">
        <x:f>Subsurface_Inputs!$C$5+Subsurface_Inputs!$C$6*SIN(2*PI()*(A38+Subsurface_Inputs!$C$7)/Subsurface_Inputs!$C$8)+Subsurface_Inputs!$C$9*COS(2*PI()*A38/Subsurface_Inputs!$C$10)+Subsurface_Inputs!$C$11*(B38-AVERAGE($B$2:$B$242))</x:f>
        <x:v>1331.3645540494858</x:v>
      </x:c>
      <x:c r="G38" s="24" t="n">
        <x:f>B38-F38</x:f>
        <x:v>-1160.736381052511</x:v>
      </x:c>
      <x:c r="H38" s="24" t="n">
        <x:f>MIN(1,MAX(0,Subsurface_Inputs!$C$13*EXP(-0.5*((A38-Subsurface_Inputs!$C$14)/Subsurface_Inputs!$C$15)^2)+Subsurface_Inputs!$C$16*EXP(-0.5*((A38-Subsurface_Inputs!$C$17)/Subsurface_Inputs!$C$18)^2)))</x:f>
        <x:v>0.18800376412943393</x:v>
      </x:c>
      <x:c r="I38" s="24" t="n">
        <x:f>Subsurface_Inputs!$C$19+Subsurface_Inputs!$C$20*SIN(2*PI()*(A38-Subsurface_Inputs!$C$21)/Subsurface_Inputs!$C$22)-Subsurface_Inputs!$C$23*H38</x:f>
        <x:v>5320.608809921433</x:v>
      </x:c>
      <x:c r="J38" s="24" t="n">
        <x:f>B38-I38</x:f>
        <x:v>-5149.980636924458</x:v>
      </x:c>
      <x:c r="K38" s="24" t="n">
        <x:f>Subsurface_Inputs!$C$25+Subsurface_Inputs!$C$26*SIN(2*PI()*(A38+Subsurface_Inputs!$C$27)/Subsurface_Inputs!$C$28)+Subsurface_Inputs!$C$29*COS(2*PI()*(A38-Subsurface_Inputs!$C$30)/Subsurface_Inputs!$C$31)-Subsurface_Inputs!$C$32*(B38-AVERAGE($B$2:$B$242))</x:f>
        <x:v>14619.806259259834</x:v>
      </x:c>
      <x:c r="L38" s="24" t="n">
        <x:f>B38-K38</x:f>
        <x:v>-14449.17808626286</x:v>
      </x:c>
      <x:c r="M38" s="24" t="n">
        <x:f>2*Subsurface_Inputs!$C$34*F38/Subsurface_Inputs!$C$35*1000000</x:f>
        <x:v>15.809796697474523</x:v>
      </x:c>
      <x:c r="N38" s="24" t="n">
        <x:f>2*Subsurface_Inputs!$C$34*I38/Subsurface_Inputs!$C$35*1000000</x:f>
        <x:v>63.18160066361744</x:v>
      </x:c>
      <x:c r="O38" s="24" t="n">
        <x:f>2*Subsurface_Inputs!$C$34*K38/Subsurface_Inputs!$C$35*1000000</x:f>
        <x:v>173.60847110758542</x:v>
      </x:c>
      <x:c r="P38" s="24" t="n">
        <x:f>Subsurface_Inputs!$C$37-2*Subsurface_Inputs!$C$36*(F38/1000)</x:f>
        <x:v>-12.396456197289075</x:v>
      </x:c>
      <x:c r="Q38" s="24" t="n">
        <x:f>Subsurface_Inputs!$C$38+Subsurface_Inputs!$C$39*H38-2*Subsurface_Inputs!$C$36*(I38/1000)</x:f>
        <x:v>-31.885061980693674</x:v>
      </x:c>
      <x:c r="R38" s="24" t="n">
        <x:f>Subsurface_Inputs!$C$40-2*Subsurface_Inputs!$C$36*(K38/1000)-Subsurface_Inputs!$C$41*ABS(L38-AVERAGE($L$2:$L$242))</x:f>
        <x:v>-33.56676943558763</x:v>
      </x:c>
      <x:c r="S38" s="24" t="n">
        <x:f>K38-AVERAGE($K$2:$K$242)</x:f>
        <x:v>-457.5784363142757</x:v>
      </x:c>
      <x:c r="T38" s="24" t="n">
        <x:f>K38/F38</x:f>
        <x:v>10.98106917056801</x:v>
      </x:c>
      <x:c r="U38" s="25" t="str">
        <x:f>IF(H38&gt;=Subsurface_Inputs!$C$42,"Lens visible","Weak/no lens")</x:f>
        <x:v>Lens visible</x:v>
      </x:c>
      <x:c r="V38" s="25" t="str">
        <x:f>IF(R38&gt;=W38,"Likely visible","Weak")</x:f>
        <x:v>Likely visible</x:v>
      </x:c>
      <x:c r="W38" s="24" t="n">
        <x:f>Subsurface_Inputs!$C$43</x:f>
        <x:v>-45</x:v>
      </x:c>
      <x:c r="X38" s="24" t="n">
        <x:f>Q38-W38</x:f>
        <x:v>13.114938019306326</x:v>
      </x:c>
      <x:c r="Y38" s="24" t="n">
        <x:f>R38-W38</x:f>
        <x:v>11.43323056441237</x:v>
      </x:c>
      <x:c r="Z38" s="24" t="n">
        <x:f>MAX(Q38,R38)-W38</x:f>
        <x:v>13.114938019306326</x:v>
      </x:c>
      <x:c r="AA38" s="24" t="n">
        <x:v>0</x:v>
      </x:c>
    </x:row>
    <x:row r="39">
      <x:c r="A39" s="24" t="n">
        <x:f>Model_Data!A39</x:f>
        <x:v>-41.5</x:v>
      </x:c>
      <x:c r="B39" s="24" t="n">
        <x:f>Model_Data!Y39</x:f>
        <x:v>171.38557913735212</x:v>
      </x:c>
      <x:c r="C39" s="24" t="n">
        <x:f>Model_Data!X39</x:f>
        <x:v>-15.792555414769886</x:v>
      </x:c>
      <x:c r="D39" s="24" t="n">
        <x:f>Model_Data!B39</x:f>
        <x:v>401.9136111111111</x:v>
      </x:c>
      <x:c r="E39" s="24" t="n">
        <x:f>Inputs!$C$6</x:f>
        <x:v>25</x:v>
      </x:c>
      <x:c r="F39" s="24" t="n">
        <x:f>Subsurface_Inputs!$C$5+Subsurface_Inputs!$C$6*SIN(2*PI()*(A39+Subsurface_Inputs!$C$7)/Subsurface_Inputs!$C$8)+Subsurface_Inputs!$C$9*COS(2*PI()*A39/Subsurface_Inputs!$C$10)+Subsurface_Inputs!$C$11*(B39-AVERAGE($B$2:$B$242))</x:f>
        <x:v>1324.3311172125022</x:v>
      </x:c>
      <x:c r="G39" s="24" t="n">
        <x:f>B39-F39</x:f>
        <x:v>-1152.9455380751501</x:v>
      </x:c>
      <x:c r="H39" s="24" t="n">
        <x:f>MIN(1,MAX(0,Subsurface_Inputs!$C$13*EXP(-0.5*((A39-Subsurface_Inputs!$C$14)/Subsurface_Inputs!$C$15)^2)+Subsurface_Inputs!$C$16*EXP(-0.5*((A39-Subsurface_Inputs!$C$17)/Subsurface_Inputs!$C$18)^2)))</x:f>
        <x:v>0.2054519084883929</x:v>
      </x:c>
      <x:c r="I39" s="24" t="n">
        <x:f>Subsurface_Inputs!$C$19+Subsurface_Inputs!$C$20*SIN(2*PI()*(A39-Subsurface_Inputs!$C$21)/Subsurface_Inputs!$C$22)-Subsurface_Inputs!$C$23*H39</x:f>
        <x:v>5299.105847589162</x:v>
      </x:c>
      <x:c r="J39" s="24" t="n">
        <x:f>B39-I39</x:f>
        <x:v>-5127.720268451811</x:v>
      </x:c>
      <x:c r="K39" s="24" t="n">
        <x:f>Subsurface_Inputs!$C$25+Subsurface_Inputs!$C$26*SIN(2*PI()*(A39+Subsurface_Inputs!$C$27)/Subsurface_Inputs!$C$28)+Subsurface_Inputs!$C$29*COS(2*PI()*(A39-Subsurface_Inputs!$C$30)/Subsurface_Inputs!$C$31)-Subsurface_Inputs!$C$32*(B39-AVERAGE($B$2:$B$242))</x:f>
        <x:v>14617.022284654113</x:v>
      </x:c>
      <x:c r="L39" s="24" t="n">
        <x:f>B39-K39</x:f>
        <x:v>-14445.636705516761</x:v>
      </x:c>
      <x:c r="M39" s="24" t="n">
        <x:f>2*Subsurface_Inputs!$C$34*F39/Subsurface_Inputs!$C$35*1000000</x:f>
        <x:v>15.72627546646456</x:v>
      </x:c>
      <x:c r="N39" s="24" t="n">
        <x:f>2*Subsurface_Inputs!$C$34*I39/Subsurface_Inputs!$C$35*1000000</x:f>
        <x:v>62.926255527807236</x:v>
      </x:c>
      <x:c r="O39" s="24" t="n">
        <x:f>2*Subsurface_Inputs!$C$34*K39/Subsurface_Inputs!$C$35*1000000</x:f>
        <x:v>173.57541173823873</x:v>
      </x:c>
      <x:c r="P39" s="24" t="n">
        <x:f>Subsurface_Inputs!$C$37-2*Subsurface_Inputs!$C$36*(F39/1000)</x:f>
        <x:v>-12.383796010982504</x:v>
      </x:c>
      <x:c r="Q39" s="24" t="n">
        <x:f>Subsurface_Inputs!$C$38+Subsurface_Inputs!$C$39*H39-2*Subsurface_Inputs!$C$36*(I39/1000)</x:f>
        <x:v>-31.689323349264956</x:v>
      </x:c>
      <x:c r="R39" s="24" t="n">
        <x:f>Subsurface_Inputs!$C$40-2*Subsurface_Inputs!$C$36*(K39/1000)-Subsurface_Inputs!$C$41*ABS(L39-AVERAGE($L$2:$L$242))</x:f>
        <x:v>-33.57592380428172</x:v>
      </x:c>
      <x:c r="S39" s="24" t="n">
        <x:f>K39-AVERAGE($K$2:$K$242)</x:f>
        <x:v>-460.3624109199973</x:v>
      </x:c>
      <x:c r="T39" s="24" t="n">
        <x:f>K39/F39</x:f>
        <x:v>11.037286743983275</x:v>
      </x:c>
      <x:c r="U39" s="25" t="str">
        <x:f>IF(H39&gt;=Subsurface_Inputs!$C$42,"Lens visible","Weak/no lens")</x:f>
        <x:v>Lens visible</x:v>
      </x:c>
      <x:c r="V39" s="25" t="str">
        <x:f>IF(R39&gt;=W39,"Likely visible","Weak")</x:f>
        <x:v>Likely visible</x:v>
      </x:c>
      <x:c r="W39" s="24" t="n">
        <x:f>Subsurface_Inputs!$C$43</x:f>
        <x:v>-45</x:v>
      </x:c>
      <x:c r="X39" s="24" t="n">
        <x:f>Q39-W39</x:f>
        <x:v>13.310676650735044</x:v>
      </x:c>
      <x:c r="Y39" s="24" t="n">
        <x:f>R39-W39</x:f>
        <x:v>11.424076195718278</x:v>
      </x:c>
      <x:c r="Z39" s="24" t="n">
        <x:f>MAX(Q39,R39)-W39</x:f>
        <x:v>13.310676650735044</x:v>
      </x:c>
      <x:c r="AA39" s="24" t="n">
        <x:v>0</x:v>
      </x:c>
    </x:row>
    <x:row r="40">
      <x:c r="A40" s="24" t="n">
        <x:f>Model_Data!A40</x:f>
        <x:v>-41</x:v>
      </x:c>
      <x:c r="B40" s="24" t="n">
        <x:f>Model_Data!Y40</x:f>
        <x:v>176.66624192778235</x:v>
      </x:c>
      <x:c r="C40" s="24" t="n">
        <x:f>Model_Data!X40</x:f>
        <x:v>-17.886266996681616</x:v>
      </x:c>
      <x:c r="D40" s="24" t="n">
        <x:f>Model_Data!B40</x:f>
        <x:v>401.8677777777778</x:v>
      </x:c>
      <x:c r="E40" s="24" t="n">
        <x:f>Inputs!$C$6</x:f>
        <x:v>25</x:v>
      </x:c>
      <x:c r="F40" s="24" t="n">
        <x:f>Subsurface_Inputs!$C$5+Subsurface_Inputs!$C$6*SIN(2*PI()*(A40+Subsurface_Inputs!$C$7)/Subsurface_Inputs!$C$8)+Subsurface_Inputs!$C$9*COS(2*PI()*A40/Subsurface_Inputs!$C$10)+Subsurface_Inputs!$C$11*(B40-AVERAGE($B$2:$B$242))</x:f>
        <x:v>1316.2095353260072</x:v>
      </x:c>
      <x:c r="G40" s="24" t="n">
        <x:f>B40-F40</x:f>
        <x:v>-1139.543293398225</x:v>
      </x:c>
      <x:c r="H40" s="24" t="n">
        <x:f>MIN(1,MAX(0,Subsurface_Inputs!$C$13*EXP(-0.5*((A40-Subsurface_Inputs!$C$14)/Subsurface_Inputs!$C$15)^2)+Subsurface_Inputs!$C$16*EXP(-0.5*((A40-Subsurface_Inputs!$C$17)/Subsurface_Inputs!$C$18)^2)))</x:f>
        <x:v>0.22395877272807038</x:v>
      </x:c>
      <x:c r="I40" s="24" t="n">
        <x:f>Subsurface_Inputs!$C$19+Subsurface_Inputs!$C$20*SIN(2*PI()*(A40-Subsurface_Inputs!$C$21)/Subsurface_Inputs!$C$22)-Subsurface_Inputs!$C$23*H40</x:f>
        <x:v>5276.984210236083</x:v>
      </x:c>
      <x:c r="J40" s="24" t="n">
        <x:f>B40-I40</x:f>
        <x:v>-5100.3179683083</x:v>
      </x:c>
      <x:c r="K40" s="24" t="n">
        <x:f>Subsurface_Inputs!$C$25+Subsurface_Inputs!$C$26*SIN(2*PI()*(A40+Subsurface_Inputs!$C$27)/Subsurface_Inputs!$C$28)+Subsurface_Inputs!$C$29*COS(2*PI()*(A40-Subsurface_Inputs!$C$30)/Subsurface_Inputs!$C$31)-Subsurface_Inputs!$C$32*(B40-AVERAGE($B$2:$B$242))</x:f>
        <x:v>14613.623267805096</x:v>
      </x:c>
      <x:c r="L40" s="24" t="n">
        <x:f>B40-K40</x:f>
        <x:v>-14436.957025877315</x:v>
      </x:c>
      <x:c r="M40" s="24" t="n">
        <x:f>2*Subsurface_Inputs!$C$34*F40/Subsurface_Inputs!$C$35*1000000</x:f>
        <x:v>15.62983264162231</x:v>
      </x:c>
      <x:c r="N40" s="24" t="n">
        <x:f>2*Subsurface_Inputs!$C$34*I40/Subsurface_Inputs!$C$35*1000000</x:f>
        <x:v>62.663563699259086</x:v>
      </x:c>
      <x:c r="O40" s="24" t="n">
        <x:f>2*Subsurface_Inputs!$C$34*K40/Subsurface_Inputs!$C$35*1000000</x:f>
        <x:v>173.53504881495766</x:v>
      </x:c>
      <x:c r="P40" s="24" t="n">
        <x:f>Subsurface_Inputs!$C$37-2*Subsurface_Inputs!$C$36*(F40/1000)</x:f>
        <x:v>-12.369177163586812</x:v>
      </x:c>
      <x:c r="Q40" s="24" t="n">
        <x:f>Subsurface_Inputs!$C$38+Subsurface_Inputs!$C$39*H40-2*Subsurface_Inputs!$C$36*(I40/1000)</x:f>
        <x:v>-31.48294262387232</x:v>
      </x:c>
      <x:c r="R40" s="24" t="n">
        <x:f>Subsurface_Inputs!$C$40-2*Subsurface_Inputs!$C$36*(K40/1000)-Subsurface_Inputs!$C$41*ABS(L40-AVERAGE($L$2:$L$242))</x:f>
        <x:v>-33.604524292511286</x:v>
      </x:c>
      <x:c r="S40" s="24" t="n">
        <x:f>K40-AVERAGE($K$2:$K$242)</x:f>
        <x:v>-463.7614277690136</x:v>
      </x:c>
      <x:c r="T40" s="24" t="n">
        <x:f>K40/F40</x:f>
        <x:v>11.102809146710443</x:v>
      </x:c>
      <x:c r="U40" s="25" t="str">
        <x:f>IF(H40&gt;=Subsurface_Inputs!$C$42,"Lens visible","Weak/no lens")</x:f>
        <x:v>Lens visible</x:v>
      </x:c>
      <x:c r="V40" s="25" t="str">
        <x:f>IF(R40&gt;=W40,"Likely visible","Weak")</x:f>
        <x:v>Likely visible</x:v>
      </x:c>
      <x:c r="W40" s="24" t="n">
        <x:f>Subsurface_Inputs!$C$43</x:f>
        <x:v>-45</x:v>
      </x:c>
      <x:c r="X40" s="24" t="n">
        <x:f>Q40-W40</x:f>
        <x:v>13.517057376127681</x:v>
      </x:c>
      <x:c r="Y40" s="24" t="n">
        <x:f>R40-W40</x:f>
        <x:v>11.395475707488714</x:v>
      </x:c>
      <x:c r="Z40" s="24" t="n">
        <x:f>MAX(Q40,R40)-W40</x:f>
        <x:v>13.517057376127681</x:v>
      </x:c>
      <x:c r="AA40" s="24" t="n">
        <x:v>0</x:v>
      </x:c>
    </x:row>
    <x:row r="41">
      <x:c r="A41" s="24" t="n">
        <x:f>Model_Data!A41</x:f>
        <x:v>-40.5</x:v>
      </x:c>
      <x:c r="B41" s="24" t="n">
        <x:f>Model_Data!Y41</x:f>
        <x:v>191.24651788731785</x:v>
      </x:c>
      <x:c r="C41" s="24" t="n">
        <x:f>Model_Data!X41</x:f>
        <x:v>-15.042977474303433</x:v>
      </x:c>
      <x:c r="D41" s="24" t="n">
        <x:f>Model_Data!B41</x:f>
        <x:v>401.8225</x:v>
      </x:c>
      <x:c r="E41" s="24" t="n">
        <x:f>Inputs!$C$6</x:f>
        <x:v>25</x:v>
      </x:c>
      <x:c r="F41" s="24" t="n">
        <x:f>Subsurface_Inputs!$C$5+Subsurface_Inputs!$C$6*SIN(2*PI()*(A41+Subsurface_Inputs!$C$7)/Subsurface_Inputs!$C$8)+Subsurface_Inputs!$C$9*COS(2*PI()*A41/Subsurface_Inputs!$C$10)+Subsurface_Inputs!$C$11*(B41-AVERAGE($B$2:$B$242))</x:f>
        <x:v>1307.3402550301425</x:v>
      </x:c>
      <x:c r="G41" s="24" t="n">
        <x:f>B41-F41</x:f>
        <x:v>-1116.0937371428247</x:v>
      </x:c>
      <x:c r="H41" s="24" t="n">
        <x:f>MIN(1,MAX(0,Subsurface_Inputs!$C$13*EXP(-0.5*((A41-Subsurface_Inputs!$C$14)/Subsurface_Inputs!$C$15)^2)+Subsurface_Inputs!$C$16*EXP(-0.5*((A41-Subsurface_Inputs!$C$17)/Subsurface_Inputs!$C$18)^2)))</x:f>
        <x:v>0.24352314384431997</x:v>
      </x:c>
      <x:c r="I41" s="24" t="n">
        <x:f>Subsurface_Inputs!$C$19+Subsurface_Inputs!$C$20*SIN(2*PI()*(A41-Subsurface_Inputs!$C$21)/Subsurface_Inputs!$C$22)-Subsurface_Inputs!$C$23*H41</x:f>
        <x:v>5254.27013680646</x:v>
      </x:c>
      <x:c r="J41" s="24" t="n">
        <x:f>B41-I41</x:f>
        <x:v>-5063.023618919142</x:v>
      </x:c>
      <x:c r="K41" s="24" t="n">
        <x:f>Subsurface_Inputs!$C$25+Subsurface_Inputs!$C$26*SIN(2*PI()*(A41+Subsurface_Inputs!$C$27)/Subsurface_Inputs!$C$28)+Subsurface_Inputs!$C$29*COS(2*PI()*(A41-Subsurface_Inputs!$C$30)/Subsurface_Inputs!$C$31)-Subsurface_Inputs!$C$32*(B41-AVERAGE($B$2:$B$242))</x:f>
        <x:v>14608.974517463</x:v>
      </x:c>
      <x:c r="L41" s="24" t="n">
        <x:f>B41-K41</x:f>
        <x:v>-14417.727999575683</x:v>
      </x:c>
      <x:c r="M41" s="24" t="n">
        <x:f>2*Subsurface_Inputs!$C$34*F41/Subsurface_Inputs!$C$35*1000000</x:f>
        <x:v>15.524510986554931</x:v>
      </x:c>
      <x:c r="N41" s="24" t="n">
        <x:f>2*Subsurface_Inputs!$C$34*I41/Subsurface_Inputs!$C$35*1000000</x:f>
        <x:v>62.393836762334416</x:v>
      </x:c>
      <x:c r="O41" s="24" t="n">
        <x:f>2*Subsurface_Inputs!$C$34*K41/Subsurface_Inputs!$C$35*1000000</x:f>
        <x:v>173.47984545417845</x:v>
      </x:c>
      <x:c r="P41" s="24" t="n">
        <x:f>Subsurface_Inputs!$C$37-2*Subsurface_Inputs!$C$36*(F41/1000)</x:f>
        <x:v>-12.353212459054257</x:v>
      </x:c>
      <x:c r="Q41" s="24" t="n">
        <x:f>Subsurface_Inputs!$C$38+Subsurface_Inputs!$C$39*H41-2*Subsurface_Inputs!$C$36*(I41/1000)</x:f>
        <x:v>-31.26597795165275</x:v>
      </x:c>
      <x:c r="R41" s="24" t="n">
        <x:f>Subsurface_Inputs!$C$40-2*Subsurface_Inputs!$C$36*(K41/1000)-Subsurface_Inputs!$C$41*ABS(L41-AVERAGE($L$2:$L$242))</x:f>
        <x:v>-33.67307264710203</x:v>
      </x:c>
      <x:c r="S41" s="24" t="n">
        <x:f>K41-AVERAGE($K$2:$K$242)</x:f>
        <x:v>-468.4101781111094</x:v>
      </x:c>
      <x:c r="T41" s="24" t="n">
        <x:f>K41/F41</x:f>
        <x:v>11.174577131893006</x:v>
      </x:c>
      <x:c r="U41" s="25" t="str">
        <x:f>IF(H41&gt;=Subsurface_Inputs!$C$42,"Lens visible","Weak/no lens")</x:f>
        <x:v>Lens visible</x:v>
      </x:c>
      <x:c r="V41" s="25" t="str">
        <x:f>IF(R41&gt;=W41,"Likely visible","Weak")</x:f>
        <x:v>Likely visible</x:v>
      </x:c>
      <x:c r="W41" s="24" t="n">
        <x:f>Subsurface_Inputs!$C$43</x:f>
        <x:v>-45</x:v>
      </x:c>
      <x:c r="X41" s="24" t="n">
        <x:f>Q41-W41</x:f>
        <x:v>13.73402204834725</x:v>
      </x:c>
      <x:c r="Y41" s="24" t="n">
        <x:f>R41-W41</x:f>
        <x:v>11.326927352897968</x:v>
      </x:c>
      <x:c r="Z41" s="24" t="n">
        <x:f>MAX(Q41,R41)-W41</x:f>
        <x:v>13.73402204834725</x:v>
      </x:c>
      <x:c r="AA41" s="24" t="n">
        <x:v>0</x:v>
      </x:c>
    </x:row>
    <x:row r="42">
      <x:c r="A42" s="24" t="n">
        <x:f>Model_Data!A42</x:f>
        <x:v>-40</x:v>
      </x:c>
      <x:c r="B42" s="24" t="n">
        <x:f>Model_Data!Y42</x:f>
        <x:v>197.66557297497732</x:v>
      </x:c>
      <x:c r="C42" s="24" t="n">
        <x:f>Model_Data!X42</x:f>
        <x:v>-31.231711064274894</x:v>
      </x:c>
      <x:c r="D42" s="24" t="n">
        <x:f>Model_Data!B42</x:f>
        <x:v>401.77777777777777</x:v>
      </x:c>
      <x:c r="E42" s="24" t="n">
        <x:f>Inputs!$C$6</x:f>
        <x:v>25</x:v>
      </x:c>
      <x:c r="F42" s="24" t="n">
        <x:f>Subsurface_Inputs!$C$5+Subsurface_Inputs!$C$6*SIN(2*PI()*(A42+Subsurface_Inputs!$C$7)/Subsurface_Inputs!$C$8)+Subsurface_Inputs!$C$9*COS(2*PI()*A42/Subsurface_Inputs!$C$10)+Subsurface_Inputs!$C$11*(B42-AVERAGE($B$2:$B$242))</x:f>
        <x:v>1297.1834613829596</x:v>
      </x:c>
      <x:c r="G42" s="24" t="n">
        <x:f>B42-F42</x:f>
        <x:v>-1099.5178884079824</x:v>
      </x:c>
      <x:c r="H42" s="24" t="n">
        <x:f>MIN(1,MAX(0,Subsurface_Inputs!$C$13*EXP(-0.5*((A42-Subsurface_Inputs!$C$14)/Subsurface_Inputs!$C$15)^2)+Subsurface_Inputs!$C$16*EXP(-0.5*((A42-Subsurface_Inputs!$C$17)/Subsurface_Inputs!$C$18)^2)))</x:f>
        <x:v>0.26413543543053436</x:v>
      </x:c>
      <x:c r="I42" s="24" t="n">
        <x:f>Subsurface_Inputs!$C$19+Subsurface_Inputs!$C$20*SIN(2*PI()*(A42-Subsurface_Inputs!$C$21)/Subsurface_Inputs!$C$22)-Subsurface_Inputs!$C$23*H42</x:f>
        <x:v>5230.9923728538715</x:v>
      </x:c>
      <x:c r="J42" s="24" t="n">
        <x:f>B42-I42</x:f>
        <x:v>-5033.326799878894</x:v>
      </x:c>
      <x:c r="K42" s="24" t="n">
        <x:f>Subsurface_Inputs!$C$25+Subsurface_Inputs!$C$26*SIN(2*PI()*(A42+Subsurface_Inputs!$C$27)/Subsurface_Inputs!$C$28)+Subsurface_Inputs!$C$29*COS(2*PI()*(A42-Subsurface_Inputs!$C$30)/Subsurface_Inputs!$C$31)-Subsurface_Inputs!$C$32*(B42-AVERAGE($B$2:$B$242))</x:f>
        <x:v>14605.554950848293</x:v>
      </x:c>
      <x:c r="L42" s="24" t="n">
        <x:f>B42-K42</x:f>
        <x:v>-14407.889377873315</x:v>
      </x:c>
      <x:c r="M42" s="24" t="n">
        <x:f>2*Subsurface_Inputs!$C$34*F42/Subsurface_Inputs!$C$35*1000000</x:f>
        <x:v>15.403900262638814</x:v>
      </x:c>
      <x:c r="N42" s="24" t="n">
        <x:f>2*Subsurface_Inputs!$C$34*I42/Subsurface_Inputs!$C$35*1000000</x:f>
        <x:v>62.11741606708393</x:v>
      </x:c>
      <x:c r="O42" s="24" t="n">
        <x:f>2*Subsurface_Inputs!$C$34*K42/Subsurface_Inputs!$C$35*1000000</x:f>
        <x:v>173.439238504859</x:v>
      </x:c>
      <x:c r="P42" s="24" t="n">
        <x:f>Subsurface_Inputs!$C$37-2*Subsurface_Inputs!$C$36*(F42/1000)</x:f>
        <x:v>-12.334930230489327</x:v>
      </x:c>
      <x:c r="Q42" s="24" t="n">
        <x:f>Subsurface_Inputs!$C$38+Subsurface_Inputs!$C$39*H42-2*Subsurface_Inputs!$C$36*(I42/1000)</x:f>
        <x:v>-31.03856735226216</x:v>
      </x:c>
      <x:c r="R42" s="24" t="n">
        <x:f>Subsurface_Inputs!$C$40-2*Subsurface_Inputs!$C$36*(K42/1000)-Subsurface_Inputs!$C$41*ABS(L42-AVERAGE($L$2:$L$242))</x:f>
        <x:v>-33.706271914005036</x:v>
      </x:c>
      <x:c r="S42" s="24" t="n">
        <x:f>K42-AVERAGE($K$2:$K$242)</x:f>
        <x:v>-471.82974472581736</x:v>
      </x:c>
      <x:c r="T42" s="24" t="n">
        <x:f>K42/F42</x:f>
        <x:v>11.259436606813463</x:v>
      </x:c>
      <x:c r="U42" s="25" t="str">
        <x:f>IF(H42&gt;=Subsurface_Inputs!$C$42,"Lens visible","Weak/no lens")</x:f>
        <x:v>Lens visible</x:v>
      </x:c>
      <x:c r="V42" s="25" t="str">
        <x:f>IF(R42&gt;=W42,"Likely visible","Weak")</x:f>
        <x:v>Likely visible</x:v>
      </x:c>
      <x:c r="W42" s="24" t="n">
        <x:f>Subsurface_Inputs!$C$43</x:f>
        <x:v>-45</x:v>
      </x:c>
      <x:c r="X42" s="24" t="n">
        <x:f>Q42-W42</x:f>
        <x:v>13.96143264773784</x:v>
      </x:c>
      <x:c r="Y42" s="24" t="n">
        <x:f>R42-W42</x:f>
        <x:v>11.293728085994964</x:v>
      </x:c>
      <x:c r="Z42" s="24" t="n">
        <x:f>MAX(Q42,R42)-W42</x:f>
        <x:v>13.96143264773784</x:v>
      </x:c>
      <x:c r="AA42" s="24" t="n">
        <x:v>0</x:v>
      </x:c>
    </x:row>
    <x:row r="43">
      <x:c r="A43" s="24" t="n">
        <x:f>Model_Data!A43</x:f>
        <x:v>-39.5</x:v>
      </x:c>
      <x:c r="B43" s="24" t="n">
        <x:f>Model_Data!Y43</x:f>
        <x:v>200.98178735327417</x:v>
      </x:c>
      <x:c r="C43" s="24" t="n">
        <x:f>Model_Data!X43</x:f>
        <x:v>-33.241151326098546</x:v>
      </x:c>
      <x:c r="D43" s="24" t="n">
        <x:f>Model_Data!B43</x:f>
        <x:v>401.7336111111111</x:v>
      </x:c>
      <x:c r="E43" s="24" t="n">
        <x:f>Inputs!$C$6</x:f>
        <x:v>25</x:v>
      </x:c>
      <x:c r="F43" s="24" t="n">
        <x:f>Subsurface_Inputs!$C$5+Subsurface_Inputs!$C$6*SIN(2*PI()*(A43+Subsurface_Inputs!$C$7)/Subsurface_Inputs!$C$8)+Subsurface_Inputs!$C$9*COS(2*PI()*A43/Subsurface_Inputs!$C$10)+Subsurface_Inputs!$C$11*(B43-AVERAGE($B$2:$B$242))</x:f>
        <x:v>1286.1064769535044</x:v>
      </x:c>
      <x:c r="G43" s="24" t="n">
        <x:f>B43-F43</x:f>
        <x:v>-1085.1246896002303</x:v>
      </x:c>
      <x:c r="H43" s="24" t="n">
        <x:f>MIN(1,MAX(0,Subsurface_Inputs!$C$13*EXP(-0.5*((A43-Subsurface_Inputs!$C$14)/Subsurface_Inputs!$C$15)^2)+Subsurface_Inputs!$C$16*EXP(-0.5*((A43-Subsurface_Inputs!$C$17)/Subsurface_Inputs!$C$18)^2)))</x:f>
        <x:v>0.2857770566394118</x:v>
      </x:c>
      <x:c r="I43" s="24" t="n">
        <x:f>Subsurface_Inputs!$C$19+Subsurface_Inputs!$C$20*SIN(2*PI()*(A43-Subsurface_Inputs!$C$21)/Subsurface_Inputs!$C$22)-Subsurface_Inputs!$C$23*H43</x:f>
        <x:v>5207.182283178962</x:v>
      </x:c>
      <x:c r="J43" s="24" t="n">
        <x:f>B43-I43</x:f>
        <x:v>-5006.200495825688</x:v>
      </x:c>
      <x:c r="K43" s="24" t="n">
        <x:f>Subsurface_Inputs!$C$25+Subsurface_Inputs!$C$26*SIN(2*PI()*(A43+Subsurface_Inputs!$C$27)/Subsurface_Inputs!$C$28)+Subsurface_Inputs!$C$29*COS(2*PI()*(A43-Subsurface_Inputs!$C$30)/Subsurface_Inputs!$C$31)-Subsurface_Inputs!$C$32*(B43-AVERAGE($B$2:$B$242))</x:f>
        <x:v>14602.691093675494</x:v>
      </x:c>
      <x:c r="L43" s="24" t="n">
        <x:f>B43-K43</x:f>
        <x:v>-14401.70930632222</x:v>
      </x:c>
      <x:c r="M43" s="24" t="n">
        <x:f>2*Subsurface_Inputs!$C$34*F43/Subsurface_Inputs!$C$35*1000000</x:f>
        <x:v>15.27236238195984</x:v>
      </x:c>
      <x:c r="N43" s="24" t="n">
        <x:f>2*Subsurface_Inputs!$C$34*I43/Subsurface_Inputs!$C$35*1000000</x:f>
        <x:v>61.8346740668076</x:v>
      </x:c>
      <x:c r="O43" s="24" t="n">
        <x:f>2*Subsurface_Inputs!$C$34*K43/Subsurface_Inputs!$C$35*1000000</x:f>
        <x:v>173.4052305394713</x:v>
      </x:c>
      <x:c r="P43" s="24" t="n">
        <x:f>Subsurface_Inputs!$C$37-2*Subsurface_Inputs!$C$36*(F43/1000)</x:f>
        <x:v>-12.314991658516309</x:v>
      </x:c>
      <x:c r="Q43" s="24" t="n">
        <x:f>Subsurface_Inputs!$C$38+Subsurface_Inputs!$C$39*H43-2*Subsurface_Inputs!$C$36*(I43/1000)</x:f>
        <x:v>-30.800934599967427</x:v>
      </x:c>
      <x:c r="R43" s="24" t="n">
        <x:f>Subsurface_Inputs!$C$40-2*Subsurface_Inputs!$C$36*(K43/1000)-Subsurface_Inputs!$C$41*ABS(L43-AVERAGE($L$2:$L$242))</x:f>
        <x:v>-33.72583725729838</x:v>
      </x:c>
      <x:c r="S43" s="24" t="n">
        <x:f>K43-AVERAGE($K$2:$K$242)</x:f>
        <x:v>-474.6936018986162</x:v>
      </x:c>
      <x:c r="T43" s="24" t="n">
        <x:f>K43/F43</x:f>
        <x:v>11.354185174672294</x:v>
      </x:c>
      <x:c r="U43" s="25" t="str">
        <x:f>IF(H43&gt;=Subsurface_Inputs!$C$42,"Lens visible","Weak/no lens")</x:f>
        <x:v>Lens visible</x:v>
      </x:c>
      <x:c r="V43" s="25" t="str">
        <x:f>IF(R43&gt;=W43,"Likely visible","Weak")</x:f>
        <x:v>Likely visible</x:v>
      </x:c>
      <x:c r="W43" s="24" t="n">
        <x:f>Subsurface_Inputs!$C$43</x:f>
        <x:v>-45</x:v>
      </x:c>
      <x:c r="X43" s="24" t="n">
        <x:f>Q43-W43</x:f>
        <x:v>14.199065400032573</x:v>
      </x:c>
      <x:c r="Y43" s="24" t="n">
        <x:f>R43-W43</x:f>
        <x:v>11.27416274270162</x:v>
      </x:c>
      <x:c r="Z43" s="24" t="n">
        <x:f>MAX(Q43,R43)-W43</x:f>
        <x:v>14.199065400032573</x:v>
      </x:c>
      <x:c r="AA43" s="24" t="n">
        <x:v>0</x:v>
      </x:c>
    </x:row>
    <x:row r="44">
      <x:c r="A44" s="24" t="n">
        <x:f>Model_Data!A44</x:f>
        <x:v>-39</x:v>
      </x:c>
      <x:c r="B44" s="24" t="n">
        <x:f>Model_Data!Y44</x:f>
        <x:v>184.54420924136062</x:v>
      </x:c>
      <x:c r="C44" s="24" t="n">
        <x:f>Model_Data!X44</x:f>
        <x:v>-32.02020136507765</x:v>
      </x:c>
      <x:c r="D44" s="24" t="n">
        <x:f>Model_Data!B44</x:f>
        <x:v>401.69</x:v>
      </x:c>
      <x:c r="E44" s="24" t="n">
        <x:f>Inputs!$C$6</x:f>
        <x:v>25</x:v>
      </x:c>
      <x:c r="F44" s="24" t="n">
        <x:f>Subsurface_Inputs!$C$5+Subsurface_Inputs!$C$6*SIN(2*PI()*(A44+Subsurface_Inputs!$C$7)/Subsurface_Inputs!$C$8)+Subsurface_Inputs!$C$9*COS(2*PI()*A44/Subsurface_Inputs!$C$10)+Subsurface_Inputs!$C$11*(B44-AVERAGE($B$2:$B$242))</x:f>
        <x:v>1273.611708739217</x:v>
      </x:c>
      <x:c r="G44" s="24" t="n">
        <x:f>B44-F44</x:f>
        <x:v>-1089.0674994978563</x:v>
      </x:c>
      <x:c r="H44" s="24" t="n">
        <x:f>MIN(1,MAX(0,Subsurface_Inputs!$C$13*EXP(-0.5*((A44-Subsurface_Inputs!$C$14)/Subsurface_Inputs!$C$15)^2)+Subsurface_Inputs!$C$16*EXP(-0.5*((A44-Subsurface_Inputs!$C$17)/Subsurface_Inputs!$C$18)^2)))</x:f>
        <x:v>0.3084198439904323</x:v>
      </x:c>
      <x:c r="I44" s="24" t="n">
        <x:f>Subsurface_Inputs!$C$19+Subsurface_Inputs!$C$20*SIN(2*PI()*(A44-Subsurface_Inputs!$C$21)/Subsurface_Inputs!$C$22)-Subsurface_Inputs!$C$23*H44</x:f>
        <x:v>5182.873948711796</x:v>
      </x:c>
      <x:c r="J44" s="24" t="n">
        <x:f>B44-I44</x:f>
        <x:v>-4998.329739470436</x:v>
      </x:c>
      <x:c r="K44" s="24" t="n">
        <x:f>Subsurface_Inputs!$C$25+Subsurface_Inputs!$C$26*SIN(2*PI()*(A44+Subsurface_Inputs!$C$27)/Subsurface_Inputs!$C$28)+Subsurface_Inputs!$C$29*COS(2*PI()*(A44-Subsurface_Inputs!$C$30)/Subsurface_Inputs!$C$31)-Subsurface_Inputs!$C$32*(B44-AVERAGE($B$2:$B$242))</x:f>
        <x:v>14602.748972256197</x:v>
      </x:c>
      <x:c r="L44" s="24" t="n">
        <x:f>B44-K44</x:f>
        <x:v>-14418.204763014835</x:v>
      </x:c>
      <x:c r="M44" s="24" t="n">
        <x:f>2*Subsurface_Inputs!$C$34*F44/Subsurface_Inputs!$C$35*1000000</x:f>
        <x:v>15.123988486433547</x:v>
      </x:c>
      <x:c r="N44" s="24" t="n">
        <x:f>2*Subsurface_Inputs!$C$34*I44/Subsurface_Inputs!$C$35*1000000</x:f>
        <x:v>61.54601546852122</x:v>
      </x:c>
      <x:c r="O44" s="24" t="n">
        <x:f>2*Subsurface_Inputs!$C$34*K44/Subsurface_Inputs!$C$35*1000000</x:f>
        <x:v>173.40591784077523</x:v>
      </x:c>
      <x:c r="P44" s="24" t="n">
        <x:f>Subsurface_Inputs!$C$37-2*Subsurface_Inputs!$C$36*(F44/1000)</x:f>
        <x:v>-12.292501075730591</x:v>
      </x:c>
      <x:c r="Q44" s="24" t="n">
        <x:f>Subsurface_Inputs!$C$38+Subsurface_Inputs!$C$39*H44-2*Subsurface_Inputs!$C$36*(I44/1000)</x:f>
        <x:v>-30.553394511767344</x:v>
      </x:c>
      <x:c r="R44" s="24" t="n">
        <x:f>Subsurface_Inputs!$C$40-2*Subsurface_Inputs!$C$36*(K44/1000)-Subsurface_Inputs!$C$41*ABS(L44-AVERAGE($L$2:$L$242))</x:f>
        <x:v>-33.659959611973186</x:v>
      </x:c>
      <x:c r="S44" s="24" t="n">
        <x:f>K44-AVERAGE($K$2:$K$242)</x:f>
        <x:v>-474.6357233179133</x:v>
      </x:c>
      <x:c r="T44" s="24" t="n">
        <x:f>K44/F44</x:f>
        <x:v>11.465620857641028</x:v>
      </x:c>
      <x:c r="U44" s="25" t="str">
        <x:f>IF(H44&gt;=Subsurface_Inputs!$C$42,"Lens visible","Weak/no lens")</x:f>
        <x:v>Lens visible</x:v>
      </x:c>
      <x:c r="V44" s="25" t="str">
        <x:f>IF(R44&gt;=W44,"Likely visible","Weak")</x:f>
        <x:v>Likely visible</x:v>
      </x:c>
      <x:c r="W44" s="24" t="n">
        <x:f>Subsurface_Inputs!$C$43</x:f>
        <x:v>-45</x:v>
      </x:c>
      <x:c r="X44" s="24" t="n">
        <x:f>Q44-W44</x:f>
        <x:v>14.446605488232656</x:v>
      </x:c>
      <x:c r="Y44" s="24" t="n">
        <x:f>R44-W44</x:f>
        <x:v>11.340040388026814</x:v>
      </x:c>
      <x:c r="Z44" s="24" t="n">
        <x:f>MAX(Q44,R44)-W44</x:f>
        <x:v>14.446605488232656</x:v>
      </x:c>
      <x:c r="AA44" s="24" t="n">
        <x:v>0</x:v>
      </x:c>
    </x:row>
    <x:row r="45">
      <x:c r="A45" s="24" t="n">
        <x:f>Model_Data!A45</x:f>
        <x:v>-38.5</x:v>
      </x:c>
      <x:c r="B45" s="24" t="n">
        <x:f>Model_Data!Y45</x:f>
        <x:v>211.63430992610967</x:v>
      </x:c>
      <x:c r="C45" s="24" t="n">
        <x:f>Model_Data!X45</x:f>
        <x:v>-34.295384147954024</x:v>
      </x:c>
      <x:c r="D45" s="24" t="n">
        <x:f>Model_Data!B45</x:f>
        <x:v>401.64694444444444</x:v>
      </x:c>
      <x:c r="E45" s="24" t="n">
        <x:f>Inputs!$C$6</x:f>
        <x:v>25</x:v>
      </x:c>
      <x:c r="F45" s="24" t="n">
        <x:f>Subsurface_Inputs!$C$5+Subsurface_Inputs!$C$6*SIN(2*PI()*(A45+Subsurface_Inputs!$C$7)/Subsurface_Inputs!$C$8)+Subsurface_Inputs!$C$9*COS(2*PI()*A45/Subsurface_Inputs!$C$10)+Subsurface_Inputs!$C$11*(B45-AVERAGE($B$2:$B$242))</x:f>
        <x:v>1262.3994063143114</x:v>
      </x:c>
      <x:c r="G45" s="24" t="n">
        <x:f>B45-F45</x:f>
        <x:v>-1050.7650963882018</x:v>
      </x:c>
      <x:c r="H45" s="24" t="n">
        <x:f>MIN(1,MAX(0,Subsurface_Inputs!$C$13*EXP(-0.5*((A45-Subsurface_Inputs!$C$14)/Subsurface_Inputs!$C$15)^2)+Subsurface_Inputs!$C$16*EXP(-0.5*((A45-Subsurface_Inputs!$C$17)/Subsurface_Inputs!$C$18)^2)))</x:f>
        <x:v>0.33202557018976875</x:v>
      </x:c>
      <x:c r="I45" s="24" t="n">
        <x:f>Subsurface_Inputs!$C$19+Subsurface_Inputs!$C$20*SIN(2*PI()*(A45-Subsurface_Inputs!$C$21)/Subsurface_Inputs!$C$22)-Subsurface_Inputs!$C$23*H45</x:f>
        <x:v>5158.104244296719</x:v>
      </x:c>
      <x:c r="J45" s="24" t="n">
        <x:f>B45-I45</x:f>
        <x:v>-4946.46993437061</x:v>
      </x:c>
      <x:c r="K45" s="24" t="n">
        <x:f>Subsurface_Inputs!$C$25+Subsurface_Inputs!$C$26*SIN(2*PI()*(A45+Subsurface_Inputs!$C$27)/Subsurface_Inputs!$C$28)+Subsurface_Inputs!$C$29*COS(2*PI()*(A45-Subsurface_Inputs!$C$30)/Subsurface_Inputs!$C$31)-Subsurface_Inputs!$C$32*(B45-AVERAGE($B$2:$B$242))</x:f>
        <x:v>14596.90416266791</x:v>
      </x:c>
      <x:c r="L45" s="24" t="n">
        <x:f>B45-K45</x:f>
        <x:v>-14385.2698527418</x:v>
      </x:c>
      <x:c r="M45" s="24" t="n">
        <x:f>2*Subsurface_Inputs!$C$34*F45/Subsurface_Inputs!$C$35*1000000</x:f>
        <x:v>14.990843720554667</x:v>
      </x:c>
      <x:c r="N45" s="24" t="n">
        <x:f>2*Subsurface_Inputs!$C$34*I45/Subsurface_Inputs!$C$35*1000000</x:f>
        <x:v>61.25187815664235</x:v>
      </x:c>
      <x:c r="O45" s="24" t="n">
        <x:f>2*Subsurface_Inputs!$C$34*K45/Subsurface_Inputs!$C$35*1000000</x:f>
        <x:v>173.33651141783483</x:v>
      </x:c>
      <x:c r="P45" s="24" t="n">
        <x:f>Subsurface_Inputs!$C$37-2*Subsurface_Inputs!$C$36*(F45/1000)</x:f>
        <x:v>-12.27231893136576</x:v>
      </x:c>
      <x:c r="Q45" s="24" t="n">
        <x:f>Subsurface_Inputs!$C$38+Subsurface_Inputs!$C$39*H45-2*Subsurface_Inputs!$C$36*(I45/1000)</x:f>
        <x:v>-30.296357508026176</x:v>
      </x:c>
      <x:c r="R45" s="24" t="n">
        <x:f>Subsurface_Inputs!$C$40-2*Subsurface_Inputs!$C$36*(K45/1000)-Subsurface_Inputs!$C$41*ABS(L45-AVERAGE($L$2:$L$242))</x:f>
        <x:v>-33.78117859580641</x:v>
      </x:c>
      <x:c r="S45" s="24" t="n">
        <x:f>K45-AVERAGE($K$2:$K$242)</x:f>
        <x:v>-480.4805329062001</x:v>
      </x:c>
      <x:c r="T45" s="24" t="n">
        <x:f>K45/F45</x:f>
        <x:v>11.56282559200886</x:v>
      </x:c>
      <x:c r="U45" s="25" t="str">
        <x:f>IF(H45&gt;=Subsurface_Inputs!$C$42,"Lens visible","Weak/no lens")</x:f>
        <x:v>Lens visible</x:v>
      </x:c>
      <x:c r="V45" s="25" t="str">
        <x:f>IF(R45&gt;=W45,"Likely visible","Weak")</x:f>
        <x:v>Likely visible</x:v>
      </x:c>
      <x:c r="W45" s="24" t="n">
        <x:f>Subsurface_Inputs!$C$43</x:f>
        <x:v>-45</x:v>
      </x:c>
      <x:c r="X45" s="24" t="n">
        <x:f>Q45-W45</x:f>
        <x:v>14.703642491973824</x:v>
      </x:c>
      <x:c r="Y45" s="24" t="n">
        <x:f>R45-W45</x:f>
        <x:v>11.21882140419359</x:v>
      </x:c>
      <x:c r="Z45" s="24" t="n">
        <x:f>MAX(Q45,R45)-W45</x:f>
        <x:v>14.703642491973824</x:v>
      </x:c>
      <x:c r="AA45" s="24" t="n">
        <x:v>0</x:v>
      </x:c>
    </x:row>
    <x:row r="46">
      <x:c r="A46" s="24" t="n">
        <x:f>Model_Data!A46</x:f>
        <x:v>-38</x:v>
      </x:c>
      <x:c r="B46" s="24" t="n">
        <x:f>Model_Data!Y46</x:f>
        <x:v>202.93658014849487</x:v>
      </x:c>
      <x:c r="C46" s="24" t="n">
        <x:f>Model_Data!X46</x:f>
        <x:v>-21.15737906152213</x:v>
      </x:c>
      <x:c r="D46" s="24" t="n">
        <x:f>Model_Data!B46</x:f>
        <x:v>401.6044444444444</x:v>
      </x:c>
      <x:c r="E46" s="24" t="n">
        <x:f>Inputs!$C$6</x:f>
        <x:v>25</x:v>
      </x:c>
      <x:c r="F46" s="24" t="n">
        <x:f>Subsurface_Inputs!$C$5+Subsurface_Inputs!$C$6*SIN(2*PI()*(A46+Subsurface_Inputs!$C$7)/Subsurface_Inputs!$C$8)+Subsurface_Inputs!$C$9*COS(2*PI()*A46/Subsurface_Inputs!$C$10)+Subsurface_Inputs!$C$11*(B46-AVERAGE($B$2:$B$242))</x:f>
        <x:v>1249.4636258013068</x:v>
      </x:c>
      <x:c r="G46" s="24" t="n">
        <x:f>B46-F46</x:f>
        <x:v>-1046.527045652812</x:v>
      </x:c>
      <x:c r="H46" s="24" t="n">
        <x:f>MIN(1,MAX(0,Subsurface_Inputs!$C$13*EXP(-0.5*((A46-Subsurface_Inputs!$C$14)/Subsurface_Inputs!$C$15)^2)+Subsurface_Inputs!$C$16*EXP(-0.5*((A46-Subsurface_Inputs!$C$17)/Subsurface_Inputs!$C$18)^2)))</x:f>
        <x:v>0.35654554390882975</x:v>
      </x:c>
      <x:c r="I46" s="24" t="n">
        <x:f>Subsurface_Inputs!$C$19+Subsurface_Inputs!$C$20*SIN(2*PI()*(A46-Subsurface_Inputs!$C$21)/Subsurface_Inputs!$C$22)-Subsurface_Inputs!$C$23*H46</x:f>
        <x:v>5132.9128940915125</x:v>
      </x:c>
      <x:c r="J46" s="24" t="n">
        <x:f>B46-I46</x:f>
        <x:v>-4929.976313943018</x:v>
      </x:c>
      <x:c r="K46" s="24" t="n">
        <x:f>Subsurface_Inputs!$C$25+Subsurface_Inputs!$C$26*SIN(2*PI()*(A46+Subsurface_Inputs!$C$27)/Subsurface_Inputs!$C$28)+Subsurface_Inputs!$C$29*COS(2*PI()*(A46-Subsurface_Inputs!$C$30)/Subsurface_Inputs!$C$31)-Subsurface_Inputs!$C$32*(B46-AVERAGE($B$2:$B$242))</x:f>
        <x:v>14596.295801636577</x:v>
      </x:c>
      <x:c r="L46" s="24" t="n">
        <x:f>B46-K46</x:f>
        <x:v>-14393.359221488083</x:v>
      </x:c>
      <x:c r="M46" s="24" t="n">
        <x:f>2*Subsurface_Inputs!$C$34*F46/Subsurface_Inputs!$C$35*1000000</x:f>
        <x:v>14.837232856113586</x:v>
      </x:c>
      <x:c r="N46" s="24" t="n">
        <x:f>2*Subsurface_Inputs!$C$34*I46/Subsurface_Inputs!$C$35*1000000</x:f>
        <x:v>60.95273385084885</x:v>
      </x:c>
      <x:c r="O46" s="24" t="n">
        <x:f>2*Subsurface_Inputs!$C$34*K46/Subsurface_Inputs!$C$35*1000000</x:f>
        <x:v>173.32928720250268</x:v>
      </x:c>
      <x:c r="P46" s="24" t="n">
        <x:f>Subsurface_Inputs!$C$37-2*Subsurface_Inputs!$C$36*(F46/1000)</x:f>
        <x:v>-12.249034526442353</x:v>
      </x:c>
      <x:c r="Q46" s="24" t="n">
        <x:f>Subsurface_Inputs!$C$38+Subsurface_Inputs!$C$39*H46-2*Subsurface_Inputs!$C$36*(I46/1000)</x:f>
        <x:v>-30.030333314185256</x:v>
      </x:c>
      <x:c r="R46" s="24" t="n">
        <x:f>Subsurface_Inputs!$C$40-2*Subsurface_Inputs!$C$36*(K46/1000)-Subsurface_Inputs!$C$41*ABS(L46-AVERAGE($L$2:$L$242))</x:f>
        <x:v>-33.74772607096488</x:v>
      </x:c>
      <x:c r="S46" s="24" t="n">
        <x:f>K46-AVERAGE($K$2:$K$242)</x:f>
        <x:v>-481.0888939375327</x:v>
      </x:c>
      <x:c r="T46" s="24" t="n">
        <x:f>K46/F46</x:f>
        <x:v>11.6820494012186</x:v>
      </x:c>
      <x:c r="U46" s="25" t="str">
        <x:f>IF(H46&gt;=Subsurface_Inputs!$C$42,"Lens visible","Weak/no lens")</x:f>
        <x:v>Lens visible</x:v>
      </x:c>
      <x:c r="V46" s="25" t="str">
        <x:f>IF(R46&gt;=W46,"Likely visible","Weak")</x:f>
        <x:v>Likely visible</x:v>
      </x:c>
      <x:c r="W46" s="24" t="n">
        <x:f>Subsurface_Inputs!$C$43</x:f>
        <x:v>-45</x:v>
      </x:c>
      <x:c r="X46" s="24" t="n">
        <x:f>Q46-W46</x:f>
        <x:v>14.969666685814744</x:v>
      </x:c>
      <x:c r="Y46" s="24" t="n">
        <x:f>R46-W46</x:f>
        <x:v>11.25227392903512</x:v>
      </x:c>
      <x:c r="Z46" s="24" t="n">
        <x:f>MAX(Q46,R46)-W46</x:f>
        <x:v>14.969666685814744</x:v>
      </x:c>
      <x:c r="AA46" s="24" t="n">
        <x:v>0</x:v>
      </x:c>
    </x:row>
    <x:row r="47">
      <x:c r="A47" s="24" t="n">
        <x:f>Model_Data!A47</x:f>
        <x:v>-37.5</x:v>
      </x:c>
      <x:c r="B47" s="24" t="n">
        <x:f>Model_Data!Y47</x:f>
        <x:v>239.1871485288169</x:v>
      </x:c>
      <x:c r="C47" s="24" t="n">
        <x:f>Model_Data!X47</x:f>
        <x:v>-18.69341167436205</x:v>
      </x:c>
      <x:c r="D47" s="24" t="n">
        <x:f>Model_Data!B47</x:f>
        <x:v>401.5625</x:v>
      </x:c>
      <x:c r="E47" s="24" t="n">
        <x:f>Inputs!$C$6</x:f>
        <x:v>25</x:v>
      </x:c>
      <x:c r="F47" s="24" t="n">
        <x:f>Subsurface_Inputs!$C$5+Subsurface_Inputs!$C$6*SIN(2*PI()*(A47+Subsurface_Inputs!$C$7)/Subsurface_Inputs!$C$8)+Subsurface_Inputs!$C$9*COS(2*PI()*A47/Subsurface_Inputs!$C$10)+Subsurface_Inputs!$C$11*(B47-AVERAGE($B$2:$B$242))</x:f>
        <x:v>1238.1954185553418</x:v>
      </x:c>
      <x:c r="G47" s="24" t="n">
        <x:f>B47-F47</x:f>
        <x:v>-999.0082700265249</x:v>
      </x:c>
      <x:c r="H47" s="24" t="n">
        <x:f>MIN(1,MAX(0,Subsurface_Inputs!$C$13*EXP(-0.5*((A47-Subsurface_Inputs!$C$14)/Subsurface_Inputs!$C$15)^2)+Subsurface_Inputs!$C$16*EXP(-0.5*((A47-Subsurface_Inputs!$C$17)/Subsurface_Inputs!$C$18)^2)))</x:f>
        <x:v>0.3819203139399223</x:v>
      </x:c>
      <x:c r="I47" s="24" t="n">
        <x:f>Subsurface_Inputs!$C$19+Subsurface_Inputs!$C$20*SIN(2*PI()*(A47-Subsurface_Inputs!$C$21)/Subsurface_Inputs!$C$22)-Subsurface_Inputs!$C$23*H47</x:f>
        <x:v>5107.342501420047</x:v>
      </x:c>
      <x:c r="J47" s="24" t="n">
        <x:f>B47-I47</x:f>
        <x:v>-4868.15535289123</x:v>
      </x:c>
      <x:c r="K47" s="24" t="n">
        <x:f>Subsurface_Inputs!$C$25+Subsurface_Inputs!$C$26*SIN(2*PI()*(A47+Subsurface_Inputs!$C$27)/Subsurface_Inputs!$C$28)+Subsurface_Inputs!$C$29*COS(2*PI()*(A47-Subsurface_Inputs!$C$30)/Subsurface_Inputs!$C$31)-Subsurface_Inputs!$C$32*(B47-AVERAGE($B$2:$B$242))</x:f>
        <x:v>14589.655674119576</x:v>
      </x:c>
      <x:c r="L47" s="24" t="n">
        <x:f>B47-K47</x:f>
        <x:v>-14350.468525590759</x:v>
      </x:c>
      <x:c r="M47" s="24" t="n">
        <x:f>2*Subsurface_Inputs!$C$34*F47/Subsurface_Inputs!$C$35*1000000</x:f>
        <x:v>14.703424227093187</x:v>
      </x:c>
      <x:c r="N47" s="24" t="n">
        <x:f>2*Subsurface_Inputs!$C$34*I47/Subsurface_Inputs!$C$35*1000000</x:f>
        <x:v>60.649088460575506</x:v>
      </x:c>
      <x:c r="O47" s="24" t="n">
        <x:f>2*Subsurface_Inputs!$C$34*K47/Subsurface_Inputs!$C$35*1000000</x:f>
        <x:v>173.25043647317403</x:v>
      </x:c>
      <x:c r="P47" s="24" t="n">
        <x:f>Subsurface_Inputs!$C$37-2*Subsurface_Inputs!$C$36*(F47/1000)</x:f>
        <x:v>-12.228751753399616</x:v>
      </x:c>
      <x:c r="Q47" s="24" t="n">
        <x:f>Subsurface_Inputs!$C$38+Subsurface_Inputs!$C$39*H47-2*Subsurface_Inputs!$C$36*(I47/1000)</x:f>
        <x:v>-29.755933677096785</x:v>
      </x:c>
      <x:c r="R47" s="24" t="n">
        <x:f>Subsurface_Inputs!$C$40-2*Subsurface_Inputs!$C$36*(K47/1000)-Subsurface_Inputs!$C$41*ABS(L47-AVERAGE($L$2:$L$242))</x:f>
        <x:v>-33.90733662502357</x:v>
      </x:c>
      <x:c r="S47" s="24" t="n">
        <x:f>K47-AVERAGE($K$2:$K$242)</x:f>
        <x:v>-487.7290214545337</x:v>
      </x:c>
      <x:c r="T47" s="24" t="n">
        <x:f>K47/F47</x:f>
        <x:v>11.782999238635515</x:v>
      </x:c>
      <x:c r="U47" s="25" t="str">
        <x:f>IF(H47&gt;=Subsurface_Inputs!$C$42,"Lens visible","Weak/no lens")</x:f>
        <x:v>Lens visible</x:v>
      </x:c>
      <x:c r="V47" s="25" t="str">
        <x:f>IF(R47&gt;=W47,"Likely visible","Weak")</x:f>
        <x:v>Likely visible</x:v>
      </x:c>
      <x:c r="W47" s="24" t="n">
        <x:f>Subsurface_Inputs!$C$43</x:f>
        <x:v>-45</x:v>
      </x:c>
      <x:c r="X47" s="24" t="n">
        <x:f>Q47-W47</x:f>
        <x:v>15.244066322903215</x:v>
      </x:c>
      <x:c r="Y47" s="24" t="n">
        <x:f>R47-W47</x:f>
        <x:v>11.092663374976432</x:v>
      </x:c>
      <x:c r="Z47" s="24" t="n">
        <x:f>MAX(Q47,R47)-W47</x:f>
        <x:v>15.244066322903215</x:v>
      </x:c>
      <x:c r="AA47" s="24" t="n">
        <x:v>0</x:v>
      </x:c>
    </x:row>
    <x:row r="48">
      <x:c r="A48" s="24" t="n">
        <x:f>Model_Data!A48</x:f>
        <x:v>-37</x:v>
      </x:c>
      <x:c r="B48" s="24" t="n">
        <x:f>Model_Data!Y48</x:f>
        <x:v>236.18872035541293</x:v>
      </x:c>
      <x:c r="C48" s="24" t="n">
        <x:f>Model_Data!X48</x:f>
        <x:v>-25.83766278531854</x:v>
      </x:c>
      <x:c r="D48" s="24" t="n">
        <x:f>Model_Data!B48</x:f>
        <x:v>401.5211111111111</x:v>
      </x:c>
      <x:c r="E48" s="24" t="n">
        <x:f>Inputs!$C$6</x:f>
        <x:v>25</x:v>
      </x:c>
      <x:c r="F48" s="24" t="n">
        <x:f>Subsurface_Inputs!$C$5+Subsurface_Inputs!$C$6*SIN(2*PI()*(A48+Subsurface_Inputs!$C$7)/Subsurface_Inputs!$C$8)+Subsurface_Inputs!$C$9*COS(2*PI()*A48/Subsurface_Inputs!$C$10)+Subsurface_Inputs!$C$11*(B48-AVERAGE($B$2:$B$242))</x:f>
        <x:v>1225.3808258835852</x:v>
      </x:c>
      <x:c r="G48" s="24" t="n">
        <x:f>B48-F48</x:f>
        <x:v>-989.1921055281723</x:v>
      </x:c>
      <x:c r="H48" s="24" t="n">
        <x:f>MIN(1,MAX(0,Subsurface_Inputs!$C$13*EXP(-0.5*((A48-Subsurface_Inputs!$C$14)/Subsurface_Inputs!$C$15)^2)+Subsurface_Inputs!$C$16*EXP(-0.5*((A48-Subsurface_Inputs!$C$17)/Subsurface_Inputs!$C$18)^2)))</x:f>
        <x:v>0.4080794903002025</x:v>
      </x:c>
      <x:c r="I48" s="24" t="n">
        <x:f>Subsurface_Inputs!$C$19+Subsurface_Inputs!$C$20*SIN(2*PI()*(A48-Subsurface_Inputs!$C$21)/Subsurface_Inputs!$C$22)-Subsurface_Inputs!$C$23*H48</x:f>
        <x:v>5081.438550121767</x:v>
      </x:c>
      <x:c r="J48" s="24" t="n">
        <x:f>B48-I48</x:f>
        <x:v>-4845.249829766353</x:v>
      </x:c>
      <x:c r="K48" s="24" t="n">
        <x:f>Subsurface_Inputs!$C$25+Subsurface_Inputs!$C$26*SIN(2*PI()*(A48+Subsurface_Inputs!$C$27)/Subsurface_Inputs!$C$28)+Subsurface_Inputs!$C$29*COS(2*PI()*(A48-Subsurface_Inputs!$C$30)/Subsurface_Inputs!$C$31)-Subsurface_Inputs!$C$32*(B48-AVERAGE($B$2:$B$242))</x:f>
        <x:v>14588.806016104165</x:v>
      </x:c>
      <x:c r="L48" s="24" t="n">
        <x:f>B48-K48</x:f>
        <x:v>-14352.617295748752</x:v>
      </x:c>
      <x:c r="M48" s="24" t="n">
        <x:f>2*Subsurface_Inputs!$C$34*F48/Subsurface_Inputs!$C$35*1000000</x:f>
        <x:v>14.5512524539412</x:v>
      </x:c>
      <x:c r="N48" s="24" t="n">
        <x:f>2*Subsurface_Inputs!$C$34*I48/Subsurface_Inputs!$C$35*1000000</x:f>
        <x:v>60.34148210103901</x:v>
      </x:c>
      <x:c r="O48" s="24" t="n">
        <x:f>2*Subsurface_Inputs!$C$34*K48/Subsurface_Inputs!$C$35*1000000</x:f>
        <x:v>173.2403468846799</x:v>
      </x:c>
      <x:c r="P48" s="24" t="n">
        <x:f>Subsurface_Inputs!$C$37-2*Subsurface_Inputs!$C$36*(F48/1000)</x:f>
        <x:v>-12.205685486590454</x:v>
      </x:c>
      <x:c r="Q48" s="24" t="n">
        <x:f>Subsurface_Inputs!$C$38+Subsurface_Inputs!$C$39*H48-2*Subsurface_Inputs!$C$36*(I48/1000)</x:f>
        <x:v>-29.473873977517357</x:v>
      </x:c>
      <x:c r="R48" s="24" t="n">
        <x:f>Subsurface_Inputs!$C$40-2*Subsurface_Inputs!$C$36*(K48/1000)-Subsurface_Inputs!$C$41*ABS(L48-AVERAGE($L$2:$L$242))</x:f>
        <x:v>-33.89721215996386</x:v>
      </x:c>
      <x:c r="S48" s="24" t="n">
        <x:f>K48-AVERAGE($K$2:$K$242)</x:f>
        <x:v>-488.5786794699452</x:v>
      </x:c>
      <x:c r="T48" s="24" t="n">
        <x:f>K48/F48</x:f>
        <x:v>11.90552823085396</x:v>
      </x:c>
      <x:c r="U48" s="25" t="str">
        <x:f>IF(H48&gt;=Subsurface_Inputs!$C$42,"Lens visible","Weak/no lens")</x:f>
        <x:v>Lens visible</x:v>
      </x:c>
      <x:c r="V48" s="25" t="str">
        <x:f>IF(R48&gt;=W48,"Likely visible","Weak")</x:f>
        <x:v>Likely visible</x:v>
      </x:c>
      <x:c r="W48" s="24" t="n">
        <x:f>Subsurface_Inputs!$C$43</x:f>
        <x:v>-45</x:v>
      </x:c>
      <x:c r="X48" s="24" t="n">
        <x:f>Q48-W48</x:f>
        <x:v>15.526126022482643</x:v>
      </x:c>
      <x:c r="Y48" s="24" t="n">
        <x:f>R48-W48</x:f>
        <x:v>11.102787840036143</x:v>
      </x:c>
      <x:c r="Z48" s="24" t="n">
        <x:f>MAX(Q48,R48)-W48</x:f>
        <x:v>15.526126022482643</x:v>
      </x:c>
      <x:c r="AA48" s="24" t="n">
        <x:v>0</x:v>
      </x:c>
    </x:row>
    <x:row r="49">
      <x:c r="A49" s="24" t="n">
        <x:f>Model_Data!A49</x:f>
        <x:v>-36.5</x:v>
      </x:c>
      <x:c r="B49" s="24" t="n">
        <x:f>Model_Data!Y49</x:f>
        <x:v>264.8535608975177</x:v>
      </x:c>
      <x:c r="C49" s="24" t="n">
        <x:f>Model_Data!X49</x:f>
        <x:v>-21.548035323184823</x:v>
      </x:c>
      <x:c r="D49" s="24" t="n">
        <x:f>Model_Data!B49</x:f>
        <x:v>401.48027777777776</x:v>
      </x:c>
      <x:c r="E49" s="24" t="n">
        <x:f>Inputs!$C$6</x:f>
        <x:v>25</x:v>
      </x:c>
      <x:c r="F49" s="24" t="n">
        <x:f>Subsurface_Inputs!$C$5+Subsurface_Inputs!$C$6*SIN(2*PI()*(A49+Subsurface_Inputs!$C$7)/Subsurface_Inputs!$C$8)+Subsurface_Inputs!$C$9*COS(2*PI()*A49/Subsurface_Inputs!$C$10)+Subsurface_Inputs!$C$11*(B49-AVERAGE($B$2:$B$242))</x:f>
        <x:v>1214.0001949726325</x:v>
      </x:c>
      <x:c r="G49" s="24" t="n">
        <x:f>B49-F49</x:f>
        <x:v>-949.1466340751148</x:v>
      </x:c>
      <x:c r="H49" s="24" t="n">
        <x:f>MIN(1,MAX(0,Subsurface_Inputs!$C$13*EXP(-0.5*((A49-Subsurface_Inputs!$C$14)/Subsurface_Inputs!$C$15)^2)+Subsurface_Inputs!$C$16*EXP(-0.5*((A49-Subsurface_Inputs!$C$17)/Subsurface_Inputs!$C$18)^2)))</x:f>
        <x:v>0.4349416936830342</x:v>
      </x:c>
      <x:c r="I49" s="24" t="n">
        <x:f>Subsurface_Inputs!$C$19+Subsurface_Inputs!$C$20*SIN(2*PI()*(A49-Subsurface_Inputs!$C$21)/Subsurface_Inputs!$C$22)-Subsurface_Inputs!$C$23*H49</x:f>
        <x:v>5055.24937472324</x:v>
      </x:c>
      <x:c r="J49" s="24" t="n">
        <x:f>B49-I49</x:f>
        <x:v>-4790.395813825722</x:v>
      </x:c>
      <x:c r="K49" s="24" t="n">
        <x:f>Subsurface_Inputs!$C$25+Subsurface_Inputs!$C$26*SIN(2*PI()*(A49+Subsurface_Inputs!$C$27)/Subsurface_Inputs!$C$28)+Subsurface_Inputs!$C$29*COS(2*PI()*(A49-Subsurface_Inputs!$C$30)/Subsurface_Inputs!$C$31)-Subsurface_Inputs!$C$32*(B49-AVERAGE($B$2:$B$242))</x:f>
        <x:v>14583.853391519191</x:v>
      </x:c>
      <x:c r="L49" s="24" t="n">
        <x:f>B49-K49</x:f>
        <x:v>-14318.999830621673</x:v>
      </x:c>
      <x:c r="M49" s="24" t="n">
        <x:f>2*Subsurface_Inputs!$C$34*F49/Subsurface_Inputs!$C$35*1000000</x:f>
        <x:v>14.416108807188776</x:v>
      </x:c>
      <x:c r="N49" s="24" t="n">
        <x:f>2*Subsurface_Inputs!$C$34*I49/Subsurface_Inputs!$C$35*1000000</x:f>
        <x:v>60.030488739028705</x:v>
      </x:c>
      <x:c r="O49" s="24" t="n">
        <x:f>2*Subsurface_Inputs!$C$34*K49/Subsurface_Inputs!$C$35*1000000</x:f>
        <x:v>173.18153505318776</x:v>
      </x:c>
      <x:c r="P49" s="24" t="n">
        <x:f>Subsurface_Inputs!$C$37-2*Subsurface_Inputs!$C$36*(F49/1000)</x:f>
        <x:v>-12.185200350950739</x:v>
      </x:c>
      <x:c r="Q49" s="24" t="n">
        <x:f>Subsurface_Inputs!$C$38+Subsurface_Inputs!$C$39*H49-2*Subsurface_Inputs!$C$36*(I49/1000)</x:f>
        <x:v>-29.184973631354524</x:v>
      </x:c>
      <x:c r="R49" s="24" t="n">
        <x:f>Subsurface_Inputs!$C$40-2*Subsurface_Inputs!$C$36*(K49/1000)-Subsurface_Inputs!$C$41*ABS(L49-AVERAGE($L$2:$L$242))</x:f>
        <x:v>-34.02276729621923</x:v>
      </x:c>
      <x:c r="S49" s="24" t="n">
        <x:f>K49-AVERAGE($K$2:$K$242)</x:f>
        <x:v>-493.531304054919</x:v>
      </x:c>
      <x:c r="T49" s="24" t="n">
        <x:f>K49/F49</x:f>
        <x:v>12.013056877513895</x:v>
      </x:c>
      <x:c r="U49" s="25" t="str">
        <x:f>IF(H49&gt;=Subsurface_Inputs!$C$42,"Lens visible","Weak/no lens")</x:f>
        <x:v>Lens visible</x:v>
      </x:c>
      <x:c r="V49" s="25" t="str">
        <x:f>IF(R49&gt;=W49,"Likely visible","Weak")</x:f>
        <x:v>Likely visible</x:v>
      </x:c>
      <x:c r="W49" s="24" t="n">
        <x:f>Subsurface_Inputs!$C$43</x:f>
        <x:v>-45</x:v>
      </x:c>
      <x:c r="X49" s="24" t="n">
        <x:f>Q49-W49</x:f>
        <x:v>15.815026368645476</x:v>
      </x:c>
      <x:c r="Y49" s="24" t="n">
        <x:f>R49-W49</x:f>
        <x:v>10.977232703780771</x:v>
      </x:c>
      <x:c r="Z49" s="24" t="n">
        <x:f>MAX(Q49,R49)-W49</x:f>
        <x:v>15.815026368645476</x:v>
      </x:c>
      <x:c r="AA49" s="24" t="n">
        <x:v>0</x:v>
      </x:c>
    </x:row>
    <x:row r="50">
      <x:c r="A50" s="24" t="n">
        <x:f>Model_Data!A50</x:f>
        <x:v>-36</x:v>
      </x:c>
      <x:c r="B50" s="24" t="n">
        <x:f>Model_Data!Y50</x:f>
        <x:v>273.24610443212225</x:v>
      </x:c>
      <x:c r="C50" s="24" t="n">
        <x:f>Model_Data!X50</x:f>
        <x:v>-2.286662206392558</x:v>
      </x:c>
      <x:c r="D50" s="24" t="n">
        <x:f>Model_Data!B50</x:f>
        <x:v>401.44</x:v>
      </x:c>
      <x:c r="E50" s="24" t="n">
        <x:f>Inputs!$C$6</x:f>
        <x:v>25</x:v>
      </x:c>
      <x:c r="F50" s="24" t="n">
        <x:f>Subsurface_Inputs!$C$5+Subsurface_Inputs!$C$6*SIN(2*PI()*(A50+Subsurface_Inputs!$C$7)/Subsurface_Inputs!$C$8)+Subsurface_Inputs!$C$9*COS(2*PI()*A50/Subsurface_Inputs!$C$10)+Subsurface_Inputs!$C$11*(B50-AVERAGE($B$2:$B$242))</x:f>
        <x:v>1202.107721447054</x:v>
      </x:c>
      <x:c r="G50" s="24" t="n">
        <x:f>B50-F50</x:f>
        <x:v>-928.8616170149318</x:v>
      </x:c>
      <x:c r="H50" s="24" t="n">
        <x:f>MIN(1,MAX(0,Subsurface_Inputs!$C$13*EXP(-0.5*((A50-Subsurface_Inputs!$C$14)/Subsurface_Inputs!$C$15)^2)+Subsurface_Inputs!$C$16*EXP(-0.5*((A50-Subsurface_Inputs!$C$17)/Subsurface_Inputs!$C$18)^2)))</x:f>
        <x:v>0.4624146431619742</x:v>
      </x:c>
      <x:c r="I50" s="24" t="n">
        <x:f>Subsurface_Inputs!$C$19+Subsurface_Inputs!$C$20*SIN(2*PI()*(A50-Subsurface_Inputs!$C$21)/Subsurface_Inputs!$C$22)-Subsurface_Inputs!$C$23*H50</x:f>
        <x:v>5028.826097116104</x:v>
      </x:c>
      <x:c r="J50" s="24" t="n">
        <x:f>B50-I50</x:f>
        <x:v>-4755.579992683982</x:v>
      </x:c>
      <x:c r="K50" s="24" t="n">
        <x:f>Subsurface_Inputs!$C$25+Subsurface_Inputs!$C$26*SIN(2*PI()*(A50+Subsurface_Inputs!$C$27)/Subsurface_Inputs!$C$28)+Subsurface_Inputs!$C$29*COS(2*PI()*(A50-Subsurface_Inputs!$C$30)/Subsurface_Inputs!$C$31)-Subsurface_Inputs!$C$32*(B50-AVERAGE($B$2:$B$242))</x:f>
        <x:v>14582.102622173152</x:v>
      </x:c>
      <x:c r="L50" s="24" t="n">
        <x:f>B50-K50</x:f>
        <x:v>-14308.85651774103</x:v>
      </x:c>
      <x:c r="M50" s="24" t="n">
        <x:f>2*Subsurface_Inputs!$C$34*F50/Subsurface_Inputs!$C$35*1000000</x:f>
        <x:v>14.274887089893078</x:v>
      </x:c>
      <x:c r="N50" s="24" t="n">
        <x:f>2*Subsurface_Inputs!$C$34*I50/Subsurface_Inputs!$C$35*1000000</x:f>
        <x:v>59.716715440964606</x:v>
      </x:c>
      <x:c r="O50" s="24" t="n">
        <x:f>2*Subsurface_Inputs!$C$34*K50/Subsurface_Inputs!$C$35*1000000</x:f>
        <x:v>173.16074487416364</x:v>
      </x:c>
      <x:c r="P50" s="24" t="n">
        <x:f>Subsurface_Inputs!$C$37-2*Subsurface_Inputs!$C$36*(F50/1000)</x:f>
        <x:v>-12.163793898604697</x:v>
      </x:c>
      <x:c r="Q50" s="24" t="n">
        <x:f>Subsurface_Inputs!$C$38+Subsurface_Inputs!$C$39*H50-2*Subsurface_Inputs!$C$36*(I50/1000)</x:f>
        <x:v>-28.89015518635122</x:v>
      </x:c>
      <x:c r="R50" s="24" t="n">
        <x:f>Subsurface_Inputs!$C$40-2*Subsurface_Inputs!$C$36*(K50/1000)-Subsurface_Inputs!$C$41*ABS(L50-AVERAGE($L$2:$L$242))</x:f>
        <x:v>-34.060189162918924</x:v>
      </x:c>
      <x:c r="S50" s="24" t="n">
        <x:f>K50-AVERAGE($K$2:$K$242)</x:f>
        <x:v>-495.2820734009583</x:v>
      </x:c>
      <x:c r="T50" s="24" t="n">
        <x:f>K50/F50</x:f>
        <x:v>12.130445851075427</x:v>
      </x:c>
      <x:c r="U50" s="25" t="str">
        <x:f>IF(H50&gt;=Subsurface_Inputs!$C$42,"Lens visible","Weak/no lens")</x:f>
        <x:v>Lens visible</x:v>
      </x:c>
      <x:c r="V50" s="25" t="str">
        <x:f>IF(R50&gt;=W50,"Likely visible","Weak")</x:f>
        <x:v>Likely visible</x:v>
      </x:c>
      <x:c r="W50" s="24" t="n">
        <x:f>Subsurface_Inputs!$C$43</x:f>
        <x:v>-45</x:v>
      </x:c>
      <x:c r="X50" s="24" t="n">
        <x:f>Q50-W50</x:f>
        <x:v>16.10984481364878</x:v>
      </x:c>
      <x:c r="Y50" s="24" t="n">
        <x:f>R50-W50</x:f>
        <x:v>10.939810837081076</x:v>
      </x:c>
      <x:c r="Z50" s="24" t="n">
        <x:f>MAX(Q50,R50)-W50</x:f>
        <x:v>16.10984481364878</x:v>
      </x:c>
      <x:c r="AA50" s="24" t="n">
        <x:v>0</x:v>
      </x:c>
    </x:row>
    <x:row r="51">
      <x:c r="A51" s="24" t="n">
        <x:f>Model_Data!A51</x:f>
        <x:v>-35.5</x:v>
      </x:c>
      <x:c r="B51" s="24" t="n">
        <x:f>Model_Data!Y51</x:f>
        <x:v>284.9525044867838</x:v>
      </x:c>
      <x:c r="C51" s="24" t="n">
        <x:f>Model_Data!X51</x:f>
        <x:v>-0.6339718611461809</x:v>
      </x:c>
      <x:c r="D51" s="24" t="n">
        <x:f>Model_Data!B51</x:f>
        <x:v>401.4002777777778</x:v>
      </x:c>
      <x:c r="E51" s="24" t="n">
        <x:f>Inputs!$C$6</x:f>
        <x:v>25</x:v>
      </x:c>
      <x:c r="F51" s="24" t="n">
        <x:f>Subsurface_Inputs!$C$5+Subsurface_Inputs!$C$6*SIN(2*PI()*(A51+Subsurface_Inputs!$C$7)/Subsurface_Inputs!$C$8)+Subsurface_Inputs!$C$9*COS(2*PI()*A51/Subsurface_Inputs!$C$10)+Subsurface_Inputs!$C$11*(B51-AVERAGE($B$2:$B$242))</x:f>
        <x:v>1190.7643485527497</x:v>
      </x:c>
      <x:c r="G51" s="24" t="n">
        <x:f>B51-F51</x:f>
        <x:v>-905.8118440659658</x:v>
      </x:c>
      <x:c r="H51" s="24" t="n">
        <x:f>MIN(1,MAX(0,Subsurface_Inputs!$C$13*EXP(-0.5*((A51-Subsurface_Inputs!$C$14)/Subsurface_Inputs!$C$15)^2)+Subsurface_Inputs!$C$16*EXP(-0.5*((A51-Subsurface_Inputs!$C$17)/Subsurface_Inputs!$C$18)^2)))</x:f>
        <x:v>0.49039539024822354</x:v>
      </x:c>
      <x:c r="I51" s="24" t="n">
        <x:f>Subsurface_Inputs!$C$19+Subsurface_Inputs!$C$20*SIN(2*PI()*(A51-Subsurface_Inputs!$C$21)/Subsurface_Inputs!$C$22)-Subsurface_Inputs!$C$23*H51</x:f>
        <x:v>5002.222527859245</x:v>
      </x:c>
      <x:c r="J51" s="24" t="n">
        <x:f>B51-I51</x:f>
        <x:v>-4717.270023372461</x:v>
      </x:c>
      <x:c r="K51" s="24" t="n">
        <x:f>Subsurface_Inputs!$C$25+Subsurface_Inputs!$C$26*SIN(2*PI()*(A51+Subsurface_Inputs!$C$27)/Subsurface_Inputs!$C$28)+Subsurface_Inputs!$C$29*COS(2*PI()*(A51-Subsurface_Inputs!$C$30)/Subsurface_Inputs!$C$31)-Subsurface_Inputs!$C$32*(B51-AVERAGE($B$2:$B$242))</x:f>
        <x:v>14580.284946826363</x:v>
      </x:c>
      <x:c r="L51" s="24" t="n">
        <x:f>B51-K51</x:f>
        <x:v>-14295.332442339579</x:v>
      </x:c>
      <x:c r="M51" s="24" t="n">
        <x:f>2*Subsurface_Inputs!$C$34*F51/Subsurface_Inputs!$C$35*1000000</x:f>
        <x:v>14.14018587768405</x:v>
      </x:c>
      <x:c r="N51" s="24" t="n">
        <x:f>2*Subsurface_Inputs!$C$34*I51/Subsurface_Inputs!$C$35*1000000</x:f>
        <x:v>59.400801200872486</x:v>
      </x:c>
      <x:c r="O51" s="24" t="n">
        <x:f>2*Subsurface_Inputs!$C$34*K51/Subsurface_Inputs!$C$35*1000000</x:f>
        <x:v>173.13916019428967</x:v>
      </x:c>
      <x:c r="P51" s="24" t="n">
        <x:f>Subsurface_Inputs!$C$37-2*Subsurface_Inputs!$C$36*(F51/1000)</x:f>
        <x:v>-12.14337582739495</x:v>
      </x:c>
      <x:c r="Q51" s="24" t="n">
        <x:f>Subsurface_Inputs!$C$38+Subsurface_Inputs!$C$39*H51-2*Subsurface_Inputs!$C$36*(I51/1000)</x:f>
        <x:v>-28.59044203791263</x:v>
      </x:c>
      <x:c r="R51" s="24" t="n">
        <x:f>Subsurface_Inputs!$C$40-2*Subsurface_Inputs!$C$36*(K51/1000)-Subsurface_Inputs!$C$41*ABS(L51-AVERAGE($L$2:$L$242))</x:f>
        <x:v>-34.11101364890051</x:v>
      </x:c>
      <x:c r="S51" s="24" t="n">
        <x:f>K51-AVERAGE($K$2:$K$242)</x:f>
        <x:v>-497.09974874774707</x:v>
      </x:c>
      <x:c r="T51" s="24" t="n">
        <x:f>K51/F51</x:f>
        <x:v>12.244475545935838</x:v>
      </x:c>
      <x:c r="U51" s="25" t="str">
        <x:f>IF(H51&gt;=Subsurface_Inputs!$C$42,"Lens visible","Weak/no lens")</x:f>
        <x:v>Lens visible</x:v>
      </x:c>
      <x:c r="V51" s="25" t="str">
        <x:f>IF(R51&gt;=W51,"Likely visible","Weak")</x:f>
        <x:v>Likely visible</x:v>
      </x:c>
      <x:c r="W51" s="24" t="n">
        <x:f>Subsurface_Inputs!$C$43</x:f>
        <x:v>-45</x:v>
      </x:c>
      <x:c r="X51" s="24" t="n">
        <x:f>Q51-W51</x:f>
        <x:v>16.40955796208737</x:v>
      </x:c>
      <x:c r="Y51" s="24" t="n">
        <x:f>R51-W51</x:f>
        <x:v>10.88898635109949</x:v>
      </x:c>
      <x:c r="Z51" s="24" t="n">
        <x:f>MAX(Q51,R51)-W51</x:f>
        <x:v>16.40955796208737</x:v>
      </x:c>
      <x:c r="AA51" s="24" t="n">
        <x:v>0</x:v>
      </x:c>
    </x:row>
    <x:row r="52">
      <x:c r="A52" s="24" t="n">
        <x:f>Model_Data!A52</x:f>
        <x:v>-35</x:v>
      </x:c>
      <x:c r="B52" s="24" t="n">
        <x:f>Model_Data!Y52</x:f>
        <x:v>280.71344003946786</x:v>
      </x:c>
      <x:c r="C52" s="24" t="n">
        <x:f>Model_Data!X52</x:f>
        <x:v>-9.708529731781153</x:v>
      </x:c>
      <x:c r="D52" s="24" t="n">
        <x:f>Model_Data!B52</x:f>
        <x:v>401.3611111111111</x:v>
      </x:c>
      <x:c r="E52" s="24" t="n">
        <x:f>Inputs!$C$6</x:f>
        <x:v>25</x:v>
      </x:c>
      <x:c r="F52" s="24" t="n">
        <x:f>Subsurface_Inputs!$C$5+Subsurface_Inputs!$C$6*SIN(2*PI()*(A52+Subsurface_Inputs!$C$7)/Subsurface_Inputs!$C$8)+Subsurface_Inputs!$C$9*COS(2*PI()*A52/Subsurface_Inputs!$C$10)+Subsurface_Inputs!$C$11*(B52-AVERAGE($B$2:$B$242))</x:f>
        <x:v>1179.3015074463274</x:v>
      </x:c>
      <x:c r="G52" s="24" t="n">
        <x:f>B52-F52</x:f>
        <x:v>-898.5880674068595</x:v>
      </x:c>
      <x:c r="H52" s="24" t="n">
        <x:f>MIN(1,MAX(0,Subsurface_Inputs!$C$13*EXP(-0.5*((A52-Subsurface_Inputs!$C$14)/Subsurface_Inputs!$C$15)^2)+Subsurface_Inputs!$C$16*EXP(-0.5*((A52-Subsurface_Inputs!$C$17)/Subsurface_Inputs!$C$18)^2)))</x:f>
        <x:v>0.5187707053077272</x:v>
      </x:c>
      <x:c r="I52" s="24" t="n">
        <x:f>Subsurface_Inputs!$C$19+Subsurface_Inputs!$C$20*SIN(2*PI()*(A52-Subsurface_Inputs!$C$21)/Subsurface_Inputs!$C$22)-Subsurface_Inputs!$C$23*H52</x:f>
        <x:v>4975.495030726145</x:v>
      </x:c>
      <x:c r="J52" s="24" t="n">
        <x:f>B52-I52</x:f>
        <x:v>-4694.781590686677</x:v>
      </x:c>
      <x:c r="K52" s="24" t="n">
        <x:f>Subsurface_Inputs!$C$25+Subsurface_Inputs!$C$26*SIN(2*PI()*(A52+Subsurface_Inputs!$C$27)/Subsurface_Inputs!$C$28)+Subsurface_Inputs!$C$29*COS(2*PI()*(A52-Subsurface_Inputs!$C$30)/Subsurface_Inputs!$C$31)-Subsurface_Inputs!$C$32*(B52-AVERAGE($B$2:$B$242))</x:f>
        <x:v>14581.129325609454</x:v>
      </x:c>
      <x:c r="L52" s="24" t="n">
        <x:f>B52-K52</x:f>
        <x:v>-14300.415885569986</x:v>
      </x:c>
      <x:c r="M52" s="24" t="n">
        <x:f>2*Subsurface_Inputs!$C$34*F52/Subsurface_Inputs!$C$35*1000000</x:f>
        <x:v>14.004065994578575</x:v>
      </x:c>
      <x:c r="N52" s="24" t="n">
        <x:f>2*Subsurface_Inputs!$C$34*I52/Subsurface_Inputs!$C$35*1000000</x:f>
        <x:v>59.08341533189964</x:v>
      </x:c>
      <x:c r="O52" s="24" t="n">
        <x:f>2*Subsurface_Inputs!$C$34*K52/Subsurface_Inputs!$C$35*1000000</x:f>
        <x:v>173.14918709252404</x:v>
      </x:c>
      <x:c r="P52" s="24" t="n">
        <x:f>Subsurface_Inputs!$C$37-2*Subsurface_Inputs!$C$36*(F52/1000)</x:f>
        <x:v>-12.12274271340339</x:v>
      </x:c>
      <x:c r="Q52" s="24" t="n">
        <x:f>Subsurface_Inputs!$C$38+Subsurface_Inputs!$C$39*H52-2*Subsurface_Inputs!$C$36*(I52/1000)</x:f>
        <x:v>-28.286954707537518</x:v>
      </x:c>
      <x:c r="R52" s="24" t="n">
        <x:f>Subsurface_Inputs!$C$40-2*Subsurface_Inputs!$C$36*(K52/1000)-Subsurface_Inputs!$C$41*ABS(L52-AVERAGE($L$2:$L$242))</x:f>
        <x:v>-34.09219975778844</x:v>
      </x:c>
      <x:c r="S52" s="24" t="n">
        <x:f>K52-AVERAGE($K$2:$K$242)</x:f>
        <x:v>-496.255369964656</x:v>
      </x:c>
      <x:c r="T52" s="24" t="n">
        <x:f>K52/F52</x:f>
        <x:v>12.364208163511632</x:v>
      </x:c>
      <x:c r="U52" s="25" t="str">
        <x:f>IF(H52&gt;=Subsurface_Inputs!$C$42,"Lens visible","Weak/no lens")</x:f>
        <x:v>Lens visible</x:v>
      </x:c>
      <x:c r="V52" s="25" t="str">
        <x:f>IF(R52&gt;=W52,"Likely visible","Weak")</x:f>
        <x:v>Likely visible</x:v>
      </x:c>
      <x:c r="W52" s="24" t="n">
        <x:f>Subsurface_Inputs!$C$43</x:f>
        <x:v>-45</x:v>
      </x:c>
      <x:c r="X52" s="24" t="n">
        <x:f>Q52-W52</x:f>
        <x:v>16.713045292462482</x:v>
      </x:c>
      <x:c r="Y52" s="24" t="n">
        <x:f>R52-W52</x:f>
        <x:v>10.907800242211557</x:v>
      </x:c>
      <x:c r="Z52" s="24" t="n">
        <x:f>MAX(Q52,R52)-W52</x:f>
        <x:v>16.713045292462482</x:v>
      </x:c>
      <x:c r="AA52" s="24" t="n">
        <x:v>0</x:v>
      </x:c>
    </x:row>
    <x:row r="53">
      <x:c r="A53" s="24" t="n">
        <x:f>Model_Data!A53</x:f>
        <x:v>-34.5</x:v>
      </x:c>
      <x:c r="B53" s="24" t="n">
        <x:f>Model_Data!Y53</x:f>
        <x:v>316.314878049505</x:v>
      </x:c>
      <x:c r="C53" s="24" t="n">
        <x:f>Model_Data!X53</x:f>
        <x:v>-9.85965082687293</x:v>
      </x:c>
      <x:c r="D53" s="24" t="n">
        <x:f>Model_Data!B53</x:f>
        <x:v>401.3225</x:v>
      </x:c>
      <x:c r="E53" s="24" t="n">
        <x:f>Inputs!$C$6</x:f>
        <x:v>25</x:v>
      </x:c>
      <x:c r="F53" s="24" t="n">
        <x:f>Subsurface_Inputs!$C$5+Subsurface_Inputs!$C$6*SIN(2*PI()*(A53+Subsurface_Inputs!$C$7)/Subsurface_Inputs!$C$8)+Subsurface_Inputs!$C$9*COS(2*PI()*A53/Subsurface_Inputs!$C$10)+Subsurface_Inputs!$C$11*(B53-AVERAGE($B$2:$B$242))</x:f>
        <x:v>1170.0355124387293</x:v>
      </x:c>
      <x:c r="G53" s="24" t="n">
        <x:f>B53-F53</x:f>
        <x:v>-853.7206343892242</x:v>
      </x:c>
      <x:c r="H53" s="24" t="n">
        <x:f>MIN(1,MAX(0,Subsurface_Inputs!$C$13*EXP(-0.5*((A53-Subsurface_Inputs!$C$14)/Subsurface_Inputs!$C$15)^2)+Subsurface_Inputs!$C$16*EXP(-0.5*((A53-Subsurface_Inputs!$C$17)/Subsurface_Inputs!$C$18)^2)))</x:f>
        <x:v>0.5474176199882151</x:v>
      </x:c>
      <x:c r="I53" s="24" t="n">
        <x:f>Subsurface_Inputs!$C$19+Subsurface_Inputs!$C$20*SIN(2*PI()*(A53-Subsurface_Inputs!$C$21)/Subsurface_Inputs!$C$22)-Subsurface_Inputs!$C$23*H53</x:f>
        <x:v>4948.70234968401</x:v>
      </x:c>
      <x:c r="J53" s="24" t="n">
        <x:f>B53-I53</x:f>
        <x:v>-4632.387471634505</x:v>
      </x:c>
      <x:c r="K53" s="24" t="n">
        <x:f>Subsurface_Inputs!$C$25+Subsurface_Inputs!$C$26*SIN(2*PI()*(A53+Subsurface_Inputs!$C$27)/Subsurface_Inputs!$C$28)+Subsurface_Inputs!$C$29*COS(2*PI()*(A53-Subsurface_Inputs!$C$30)/Subsurface_Inputs!$C$31)-Subsurface_Inputs!$C$32*(B53-AVERAGE($B$2:$B$242))</x:f>
        <x:v>14576.85763200879</x:v>
      </x:c>
      <x:c r="L53" s="24" t="n">
        <x:f>B53-K53</x:f>
        <x:v>-14260.542753959286</x:v>
      </x:c>
      <x:c r="M53" s="24" t="n">
        <x:f>2*Subsurface_Inputs!$C$34*F53/Subsurface_Inputs!$C$35*1000000</x:f>
        <x:v>13.894033399205378</x:v>
      </x:c>
      <x:c r="N53" s="24" t="n">
        <x:f>2*Subsurface_Inputs!$C$34*I53/Subsurface_Inputs!$C$35*1000000</x:f>
        <x:v>58.765255411712445</x:v>
      </x:c>
      <x:c r="O53" s="24" t="n">
        <x:f>2*Subsurface_Inputs!$C$34*K53/Subsurface_Inputs!$C$35*1000000</x:f>
        <x:v>173.09846123597708</x:v>
      </x:c>
      <x:c r="P53" s="24" t="n">
        <x:f>Subsurface_Inputs!$C$37-2*Subsurface_Inputs!$C$36*(F53/1000)</x:f>
        <x:v>-12.106063922389712</x:v>
      </x:c>
      <x:c r="Q53" s="24" t="n">
        <x:f>Subsurface_Inputs!$C$38+Subsurface_Inputs!$C$39*H53-2*Subsurface_Inputs!$C$36*(I53/1000)</x:f>
        <x:v>-27.980905649537284</x:v>
      </x:c>
      <x:c r="R53" s="24" t="n">
        <x:f>Subsurface_Inputs!$C$40-2*Subsurface_Inputs!$C$36*(K53/1000)-Subsurface_Inputs!$C$41*ABS(L53-AVERAGE($L$2:$L$242))</x:f>
        <x:v>-34.24400323575005</x:v>
      </x:c>
      <x:c r="S53" s="24" t="n">
        <x:f>K53-AVERAGE($K$2:$K$242)</x:f>
        <x:v>-500.5270635653196</x:v>
      </x:c>
      <x:c r="T53" s="24" t="n">
        <x:f>K53/F53</x:f>
        <x:v>12.458474530936197</x:v>
      </x:c>
      <x:c r="U53" s="25" t="str">
        <x:f>IF(H53&gt;=Subsurface_Inputs!$C$42,"Lens visible","Weak/no lens")</x:f>
        <x:v>Lens visible</x:v>
      </x:c>
      <x:c r="V53" s="25" t="str">
        <x:f>IF(R53&gt;=W53,"Likely visible","Weak")</x:f>
        <x:v>Likely visible</x:v>
      </x:c>
      <x:c r="W53" s="24" t="n">
        <x:f>Subsurface_Inputs!$C$43</x:f>
        <x:v>-45</x:v>
      </x:c>
      <x:c r="X53" s="24" t="n">
        <x:f>Q53-W53</x:f>
        <x:v>17.019094350462716</x:v>
      </x:c>
      <x:c r="Y53" s="24" t="n">
        <x:f>R53-W53</x:f>
        <x:v>10.75599676424995</x:v>
      </x:c>
      <x:c r="Z53" s="24" t="n">
        <x:f>MAX(Q53,R53)-W53</x:f>
        <x:v>17.019094350462716</x:v>
      </x:c>
      <x:c r="AA53" s="24" t="n">
        <x:v>0</x:v>
      </x:c>
    </x:row>
    <x:row r="54">
      <x:c r="A54" s="24" t="n">
        <x:f>Model_Data!A54</x:f>
        <x:v>-34</x:v>
      </x:c>
      <x:c r="B54" s="24" t="n">
        <x:f>Model_Data!Y54</x:f>
        <x:v>319.4152549266823</x:v>
      </x:c>
      <x:c r="C54" s="24" t="n">
        <x:f>Model_Data!X54</x:f>
        <x:v>0.233219012771956</x:v>
      </x:c>
      <x:c r="D54" s="24" t="n">
        <x:f>Model_Data!B54</x:f>
        <x:v>401.28444444444443</x:v>
      </x:c>
      <x:c r="E54" s="24" t="n">
        <x:f>Inputs!$C$6</x:f>
        <x:v>25</x:v>
      </x:c>
      <x:c r="F54" s="24" t="n">
        <x:f>Subsurface_Inputs!$C$5+Subsurface_Inputs!$C$6*SIN(2*PI()*(A54+Subsurface_Inputs!$C$7)/Subsurface_Inputs!$C$8)+Subsurface_Inputs!$C$9*COS(2*PI()*A54/Subsurface_Inputs!$C$10)+Subsurface_Inputs!$C$11*(B54-AVERAGE($B$2:$B$242))</x:f>
        <x:v>1160.1397690104457</x:v>
      </x:c>
      <x:c r="G54" s="24" t="n">
        <x:f>B54-F54</x:f>
        <x:v>-840.7245140837633</x:v>
      </x:c>
      <x:c r="H54" s="24" t="n">
        <x:f>MIN(1,MAX(0,Subsurface_Inputs!$C$13*EXP(-0.5*((A54-Subsurface_Inputs!$C$14)/Subsurface_Inputs!$C$15)^2)+Subsurface_Inputs!$C$16*EXP(-0.5*((A54-Subsurface_Inputs!$C$17)/Subsurface_Inputs!$C$18)^2)))</x:f>
        <x:v>0.5762041267270106</x:v>
      </x:c>
      <x:c r="I54" s="24" t="n">
        <x:f>Subsurface_Inputs!$C$19+Subsurface_Inputs!$C$20*SIN(2*PI()*(A54-Subsurface_Inputs!$C$21)/Subsurface_Inputs!$C$22)-Subsurface_Inputs!$C$23*H54</x:f>
        <x:v>4921.90539811054</x:v>
      </x:c>
      <x:c r="J54" s="24" t="n">
        <x:f>B54-I54</x:f>
        <x:v>-4602.490143183858</x:v>
      </x:c>
      <x:c r="K54" s="24" t="n">
        <x:f>Subsurface_Inputs!$C$25+Subsurface_Inputs!$C$26*SIN(2*PI()*(A54+Subsurface_Inputs!$C$27)/Subsurface_Inputs!$C$28)+Subsurface_Inputs!$C$29*COS(2*PI()*(A54-Subsurface_Inputs!$C$30)/Subsurface_Inputs!$C$31)-Subsurface_Inputs!$C$32*(B54-AVERAGE($B$2:$B$242))</x:f>
        <x:v>14577.628747923229</x:v>
      </x:c>
      <x:c r="L54" s="24" t="n">
        <x:f>B54-K54</x:f>
        <x:v>-14258.213492996547</x:v>
      </x:c>
      <x:c r="M54" s="24" t="n">
        <x:f>2*Subsurface_Inputs!$C$34*F54/Subsurface_Inputs!$C$35*1000000</x:f>
        <x:v>13.776522615779703</x:v>
      </x:c>
      <x:c r="N54" s="24" t="n">
        <x:f>2*Subsurface_Inputs!$C$34*I54/Subsurface_Inputs!$C$35*1000000</x:f>
        <x:v>58.44704477947048</x:v>
      </x:c>
      <x:c r="O54" s="24" t="n">
        <x:f>2*Subsurface_Inputs!$C$34*K54/Subsurface_Inputs!$C$35*1000000</x:f>
        <x:v>173.10761814630672</x:v>
      </x:c>
      <x:c r="P54" s="24" t="n">
        <x:f>Subsurface_Inputs!$C$37-2*Subsurface_Inputs!$C$36*(F54/1000)</x:f>
        <x:v>-12.088251584218803</x:v>
      </x:c>
      <x:c r="Q54" s="24" t="n">
        <x:f>Subsurface_Inputs!$C$38+Subsurface_Inputs!$C$39*H54-2*Subsurface_Inputs!$C$36*(I54/1000)</x:f>
        <x:v>-27.673592576055874</x:v>
      </x:c>
      <x:c r="R54" s="24" t="n">
        <x:f>Subsurface_Inputs!$C$40-2*Subsurface_Inputs!$C$36*(K54/1000)-Subsurface_Inputs!$C$41*ABS(L54-AVERAGE($L$2:$L$242))</x:f>
        <x:v>-34.254708288246995</x:v>
      </x:c>
      <x:c r="S54" s="24" t="n">
        <x:f>K54-AVERAGE($K$2:$K$242)</x:f>
        <x:v>-499.75594765088135</x:v>
      </x:c>
      <x:c r="T54" s="24" t="n">
        <x:f>K54/F54</x:f>
        <x:v>12.565407321875865</x:v>
      </x:c>
      <x:c r="U54" s="25" t="str">
        <x:f>IF(H54&gt;=Subsurface_Inputs!$C$42,"Lens visible","Weak/no lens")</x:f>
        <x:v>Lens visible</x:v>
      </x:c>
      <x:c r="V54" s="25" t="str">
        <x:f>IF(R54&gt;=W54,"Likely visible","Weak")</x:f>
        <x:v>Likely visible</x:v>
      </x:c>
      <x:c r="W54" s="24" t="n">
        <x:f>Subsurface_Inputs!$C$43</x:f>
        <x:v>-45</x:v>
      </x:c>
      <x:c r="X54" s="24" t="n">
        <x:f>Q54-W54</x:f>
        <x:v>17.326407423944126</x:v>
      </x:c>
      <x:c r="Y54" s="24" t="n">
        <x:f>R54-W54</x:f>
        <x:v>10.745291711753005</x:v>
      </x:c>
      <x:c r="Z54" s="24" t="n">
        <x:f>MAX(Q54,R54)-W54</x:f>
        <x:v>17.326407423944126</x:v>
      </x:c>
      <x:c r="AA54" s="24" t="n">
        <x:v>0</x:v>
      </x:c>
    </x:row>
    <x:row r="55">
      <x:c r="A55" s="24" t="n">
        <x:f>Model_Data!A55</x:f>
        <x:v>-33.5</x:v>
      </x:c>
      <x:c r="B55" s="24" t="n">
        <x:f>Model_Data!Y55</x:f>
        <x:v>328.4448057508986</x:v>
      </x:c>
      <x:c r="C55" s="24" t="n">
        <x:f>Model_Data!X55</x:f>
        <x:v>8.500195567439437</x:v>
      </x:c>
      <x:c r="D55" s="24" t="n">
        <x:f>Model_Data!B55</x:f>
        <x:v>401.24694444444447</x:v>
      </x:c>
      <x:c r="E55" s="24" t="n">
        <x:f>Inputs!$C$6</x:f>
        <x:v>25</x:v>
      </x:c>
      <x:c r="F55" s="24" t="n">
        <x:f>Subsurface_Inputs!$C$5+Subsurface_Inputs!$C$6*SIN(2*PI()*(A55+Subsurface_Inputs!$C$7)/Subsurface_Inputs!$C$8)+Subsurface_Inputs!$C$9*COS(2*PI()*A55/Subsurface_Inputs!$C$10)+Subsurface_Inputs!$C$11*(B55-AVERAGE($B$2:$B$242))</x:f>
        <x:v>1151.2002362045403</x:v>
      </x:c>
      <x:c r="G55" s="24" t="n">
        <x:f>B55-F55</x:f>
        <x:v>-822.7554304536417</x:v>
      </x:c>
      <x:c r="H55" s="24" t="n">
        <x:f>MIN(1,MAX(0,Subsurface_Inputs!$C$13*EXP(-0.5*((A55-Subsurface_Inputs!$C$14)/Subsurface_Inputs!$C$15)^2)+Subsurface_Inputs!$C$16*EXP(-0.5*((A55-Subsurface_Inputs!$C$17)/Subsurface_Inputs!$C$18)^2)))</x:f>
        <x:v>0.6049900336531705</x:v>
      </x:c>
      <x:c r="I55" s="24" t="n">
        <x:f>Subsurface_Inputs!$C$19+Subsurface_Inputs!$C$20*SIN(2*PI()*(A55-Subsurface_Inputs!$C$21)/Subsurface_Inputs!$C$22)-Subsurface_Inputs!$C$23*H55</x:f>
        <x:v>4895.167010716071</x:v>
      </x:c>
      <x:c r="J55" s="24" t="n">
        <x:f>B55-I55</x:f>
        <x:v>-4566.722204965172</x:v>
      </x:c>
      <x:c r="K55" s="24" t="n">
        <x:f>Subsurface_Inputs!$C$25+Subsurface_Inputs!$C$26*SIN(2*PI()*(A55+Subsurface_Inputs!$C$27)/Subsurface_Inputs!$C$28)+Subsurface_Inputs!$C$29*COS(2*PI()*(A55-Subsurface_Inputs!$C$30)/Subsurface_Inputs!$C$31)-Subsurface_Inputs!$C$32*(B55-AVERAGE($B$2:$B$242))</x:f>
        <x:v>14578.092560023488</x:v>
      </x:c>
      <x:c r="L55" s="24" t="n">
        <x:f>B55-K55</x:f>
        <x:v>-14249.64775427259</x:v>
      </x:c>
      <x:c r="M55" s="24" t="n">
        <x:f>2*Subsurface_Inputs!$C$34*F55/Subsurface_Inputs!$C$35*1000000</x:f>
        <x:v>13.670366720460203</x:v>
      </x:c>
      <x:c r="N55" s="24" t="n">
        <x:f>2*Subsurface_Inputs!$C$34*I55/Subsurface_Inputs!$C$35*1000000</x:f>
        <x:v>58.12952958993122</x:v>
      </x:c>
      <x:c r="O55" s="24" t="n">
        <x:f>2*Subsurface_Inputs!$C$34*K55/Subsurface_Inputs!$C$35*1000000</x:f>
        <x:v>173.11312586016965</x:v>
      </x:c>
      <x:c r="P55" s="24" t="n">
        <x:f>Subsurface_Inputs!$C$37-2*Subsurface_Inputs!$C$36*(F55/1000)</x:f>
        <x:v>-12.072160425168173</x:v>
      </x:c>
      <x:c r="Q55" s="24" t="n">
        <x:f>Subsurface_Inputs!$C$38+Subsurface_Inputs!$C$39*H55-2*Subsurface_Inputs!$C$36*(I55/1000)</x:f>
        <x:v>-27.366390316410396</x:v>
      </x:c>
      <x:c r="R55" s="24" t="n">
        <x:f>Subsurface_Inputs!$C$40-2*Subsurface_Inputs!$C$36*(K55/1000)-Subsurface_Inputs!$C$41*ABS(L55-AVERAGE($L$2:$L$242))</x:f>
        <x:v>-34.28980610492329</x:v>
      </x:c>
      <x:c r="S55" s="24" t="n">
        <x:f>K55-AVERAGE($K$2:$K$242)</x:f>
        <x:v>-499.29213555062233</x:v>
      </x:c>
      <x:c r="T55" s="24" t="n">
        <x:f>K55/F55</x:f>
        <x:v>12.663385657465515</x:v>
      </x:c>
      <x:c r="U55" s="25" t="str">
        <x:f>IF(H55&gt;=Subsurface_Inputs!$C$42,"Lens visible","Weak/no lens")</x:f>
        <x:v>Lens visible</x:v>
      </x:c>
      <x:c r="V55" s="25" t="str">
        <x:f>IF(R55&gt;=W55,"Likely visible","Weak")</x:f>
        <x:v>Likely visible</x:v>
      </x:c>
      <x:c r="W55" s="24" t="n">
        <x:f>Subsurface_Inputs!$C$43</x:f>
        <x:v>-45</x:v>
      </x:c>
      <x:c r="X55" s="24" t="n">
        <x:f>Q55-W55</x:f>
        <x:v>17.633609683589604</x:v>
      </x:c>
      <x:c r="Y55" s="24" t="n">
        <x:f>R55-W55</x:f>
        <x:v>10.710193895076713</x:v>
      </x:c>
      <x:c r="Z55" s="24" t="n">
        <x:f>MAX(Q55,R55)-W55</x:f>
        <x:v>17.633609683589604</x:v>
      </x:c>
      <x:c r="AA55" s="24" t="n">
        <x:v>0</x:v>
      </x:c>
    </x:row>
    <x:row r="56">
      <x:c r="A56" s="24" t="n">
        <x:f>Model_Data!A56</x:f>
        <x:v>-33</x:v>
      </x:c>
      <x:c r="B56" s="24" t="n">
        <x:f>Model_Data!Y56</x:f>
        <x:v>342.0571204684842</x:v>
      </x:c>
      <x:c r="C56" s="24" t="n">
        <x:f>Model_Data!X56</x:f>
        <x:v>12.884972617306985</x:v>
      </x:c>
      <x:c r="D56" s="24" t="n">
        <x:f>Model_Data!B56</x:f>
        <x:v>401.21</x:v>
      </x:c>
      <x:c r="E56" s="24" t="n">
        <x:f>Inputs!$C$6</x:f>
        <x:v>25</x:v>
      </x:c>
      <x:c r="F56" s="24" t="n">
        <x:f>Subsurface_Inputs!$C$5+Subsurface_Inputs!$C$6*SIN(2*PI()*(A56+Subsurface_Inputs!$C$7)/Subsurface_Inputs!$C$8)+Subsurface_Inputs!$C$9*COS(2*PI()*A56/Subsurface_Inputs!$C$10)+Subsurface_Inputs!$C$11*(B56-AVERAGE($B$2:$B$242))</x:f>
        <x:v>1143.1933519509057</x:v>
      </x:c>
      <x:c r="G56" s="24" t="n">
        <x:f>B56-F56</x:f>
        <x:v>-801.1362314824215</x:v>
      </x:c>
      <x:c r="H56" s="24" t="n">
        <x:f>MIN(1,MAX(0,Subsurface_Inputs!$C$13*EXP(-0.5*((A56-Subsurface_Inputs!$C$14)/Subsurface_Inputs!$C$15)^2)+Subsurface_Inputs!$C$16*EXP(-0.5*((A56-Subsurface_Inputs!$C$17)/Subsurface_Inputs!$C$18)^2)))</x:f>
        <x:v>0.6336279703155745</x:v>
      </x:c>
      <x:c r="I56" s="24" t="n">
        <x:f>Subsurface_Inputs!$C$19+Subsurface_Inputs!$C$20*SIN(2*PI()*(A56-Subsurface_Inputs!$C$21)/Subsurface_Inputs!$C$22)-Subsurface_Inputs!$C$23*H56</x:f>
        <x:v>4868.551659330447</x:v>
      </x:c>
      <x:c r="J56" s="24" t="n">
        <x:f>B56-I56</x:f>
        <x:v>-4526.4945388619635</x:v>
      </x:c>
      <x:c r="K56" s="24" t="n">
        <x:f>Subsurface_Inputs!$C$25+Subsurface_Inputs!$C$26*SIN(2*PI()*(A56+Subsurface_Inputs!$C$27)/Subsurface_Inputs!$C$28)+Subsurface_Inputs!$C$29*COS(2*PI()*(A56-Subsurface_Inputs!$C$30)/Subsurface_Inputs!$C$31)-Subsurface_Inputs!$C$32*(B56-AVERAGE($B$2:$B$242))</x:f>
        <x:v>14578.466646582594</x:v>
      </x:c>
      <x:c r="L56" s="24" t="n">
        <x:f>B56-K56</x:f>
        <x:v>-14236.40952611411</x:v>
      </x:c>
      <x:c r="M56" s="24" t="n">
        <x:f>2*Subsurface_Inputs!$C$34*F56/Subsurface_Inputs!$C$35*1000000</x:f>
        <x:v>13.575285916449653</x:v>
      </x:c>
      <x:c r="N56" s="24" t="n">
        <x:f>2*Subsurface_Inputs!$C$34*I56/Subsurface_Inputs!$C$35*1000000</x:f>
        <x:v>57.813475438452805</x:v>
      </x:c>
      <x:c r="O56" s="24" t="n">
        <x:f>2*Subsurface_Inputs!$C$34*K56/Subsurface_Inputs!$C$35*1000000</x:f>
        <x:v>173.1175680938379</x:v>
      </x:c>
      <x:c r="P56" s="24" t="n">
        <x:f>Subsurface_Inputs!$C$37-2*Subsurface_Inputs!$C$36*(F56/1000)</x:f>
        <x:v>-12.05774803351163</x:v>
      </x:c>
      <x:c r="Q56" s="24" t="n">
        <x:f>Subsurface_Inputs!$C$38+Subsurface_Inputs!$C$39*H56-2*Subsurface_Inputs!$C$36*(I56/1000)</x:f>
        <x:v>-27.060741253954635</x:v>
      </x:c>
      <x:c r="R56" s="24" t="n">
        <x:f>Subsurface_Inputs!$C$40-2*Subsurface_Inputs!$C$36*(K56/1000)-Subsurface_Inputs!$C$41*ABS(L56-AVERAGE($L$2:$L$242))</x:f>
        <x:v>-34.3434323733636</x:v>
      </x:c>
      <x:c r="S56" s="24" t="n">
        <x:f>K56-AVERAGE($K$2:$K$242)</x:f>
        <x:v>-498.9180489915161</x:v>
      </x:c>
      <x:c r="T56" s="24" t="n">
        <x:f>K56/F56</x:f>
        <x:v>12.752406775025284</x:v>
      </x:c>
      <x:c r="U56" s="25" t="str">
        <x:f>IF(H56&gt;=Subsurface_Inputs!$C$42,"Lens visible","Weak/no lens")</x:f>
        <x:v>Lens visible</x:v>
      </x:c>
      <x:c r="V56" s="25" t="str">
        <x:f>IF(R56&gt;=W56,"Likely visible","Weak")</x:f>
        <x:v>Likely visible</x:v>
      </x:c>
      <x:c r="W56" s="24" t="n">
        <x:f>Subsurface_Inputs!$C$43</x:f>
        <x:v>-45</x:v>
      </x:c>
      <x:c r="X56" s="24" t="n">
        <x:f>Q56-W56</x:f>
        <x:v>17.939258746045365</x:v>
      </x:c>
      <x:c r="Y56" s="24" t="n">
        <x:f>R56-W56</x:f>
        <x:v>10.656567626636402</x:v>
      </x:c>
      <x:c r="Z56" s="24" t="n">
        <x:f>MAX(Q56,R56)-W56</x:f>
        <x:v>17.939258746045365</x:v>
      </x:c>
      <x:c r="AA56" s="24" t="n">
        <x:v>0</x:v>
      </x:c>
    </x:row>
    <x:row r="57">
      <x:c r="A57" s="24" t="n">
        <x:f>Model_Data!A57</x:f>
        <x:v>-32.5</x:v>
      </x:c>
      <x:c r="B57" s="24" t="n">
        <x:f>Model_Data!Y57</x:f>
        <x:v>350.9183412247295</x:v>
      </x:c>
      <x:c r="C57" s="24" t="n">
        <x:f>Model_Data!X57</x:f>
        <x:v>14.196906765365963</x:v>
      </x:c>
      <x:c r="D57" s="24" t="n">
        <x:f>Model_Data!B57</x:f>
        <x:v>401.1736111111111</x:v>
      </x:c>
      <x:c r="E57" s="24" t="n">
        <x:f>Inputs!$C$6</x:f>
        <x:v>25</x:v>
      </x:c>
      <x:c r="F57" s="24" t="n">
        <x:f>Subsurface_Inputs!$C$5+Subsurface_Inputs!$C$6*SIN(2*PI()*(A57+Subsurface_Inputs!$C$7)/Subsurface_Inputs!$C$8)+Subsurface_Inputs!$C$9*COS(2*PI()*A57/Subsurface_Inputs!$C$10)+Subsurface_Inputs!$C$11*(B57-AVERAGE($B$2:$B$242))</x:f>
        <x:v>1135.757836125959</x:v>
      </x:c>
      <x:c r="G57" s="24" t="n">
        <x:f>B57-F57</x:f>
        <x:v>-784.8394949012296</x:v>
      </x:c>
      <x:c r="H57" s="24" t="n">
        <x:f>MIN(1,MAX(0,Subsurface_Inputs!$C$13*EXP(-0.5*((A57-Subsurface_Inputs!$C$14)/Subsurface_Inputs!$C$15)^2)+Subsurface_Inputs!$C$16*EXP(-0.5*((A57-Subsurface_Inputs!$C$17)/Subsurface_Inputs!$C$18)^2)))</x:f>
        <x:v>0.6619645367212721</x:v>
      </x:c>
      <x:c r="I57" s="24" t="n">
        <x:f>Subsurface_Inputs!$C$19+Subsurface_Inputs!$C$20*SIN(2*PI()*(A57-Subsurface_Inputs!$C$21)/Subsurface_Inputs!$C$22)-Subsurface_Inputs!$C$23*H57</x:f>
        <x:v>4842.125134421267</x:v>
      </x:c>
      <x:c r="J57" s="24" t="n">
        <x:f>B57-I57</x:f>
        <x:v>-4491.206793196538</x:v>
      </x:c>
      <x:c r="K57" s="24" t="n">
        <x:f>Subsurface_Inputs!$C$25+Subsurface_Inputs!$C$26*SIN(2*PI()*(A57+Subsurface_Inputs!$C$27)/Subsurface_Inputs!$C$28)+Subsurface_Inputs!$C$29*COS(2*PI()*(A57-Subsurface_Inputs!$C$30)/Subsurface_Inputs!$C$31)-Subsurface_Inputs!$C$32*(B57-AVERAGE($B$2:$B$242))</x:f>
        <x:v>14580.08569704939</x:v>
      </x:c>
      <x:c r="L57" s="24" t="n">
        <x:f>B57-K57</x:f>
        <x:v>-14229.16735582466</x:v>
      </x:c>
      <x:c r="M57" s="24" t="n">
        <x:f>2*Subsurface_Inputs!$C$34*F57/Subsurface_Inputs!$C$35*1000000</x:f>
        <x:v>13.48699004498777</x:v>
      </x:c>
      <x:c r="N57" s="24" t="n">
        <x:f>2*Subsurface_Inputs!$C$34*I57/Subsurface_Inputs!$C$35*1000000</x:f>
        <x:v>57.49966357906079</x:v>
      </x:c>
      <x:c r="O57" s="24" t="n">
        <x:f>2*Subsurface_Inputs!$C$34*K57/Subsurface_Inputs!$C$35*1000000</x:f>
        <x:v>173.13679412674162</x:v>
      </x:c>
      <x:c r="P57" s="24" t="n">
        <x:f>Subsurface_Inputs!$C$37-2*Subsurface_Inputs!$C$36*(F57/1000)</x:f>
        <x:v>-12.044364105026727</x:v>
      </x:c>
      <x:c r="Q57" s="24" t="n">
        <x:f>Subsurface_Inputs!$C$38+Subsurface_Inputs!$C$39*H57-2*Subsurface_Inputs!$C$36*(I57/1000)</x:f>
        <x:v>-26.758144411466834</x:v>
      </x:c>
      <x:c r="R57" s="24" t="n">
        <x:f>Subsurface_Inputs!$C$40-2*Subsurface_Inputs!$C$36*(K57/1000)-Subsurface_Inputs!$C$41*ABS(L57-AVERAGE($L$2:$L$242))</x:f>
        <x:v>-34.37531534536163</x:v>
      </x:c>
      <x:c r="S57" s="24" t="n">
        <x:f>K57-AVERAGE($K$2:$K$242)</x:f>
        <x:v>-497.29899852472045</x:v>
      </x:c>
      <x:c r="T57" s="24" t="n">
        <x:f>K57/F57</x:f>
        <x:v>12.837319042219148</x:v>
      </x:c>
      <x:c r="U57" s="25" t="str">
        <x:f>IF(H57&gt;=Subsurface_Inputs!$C$42,"Lens visible","Weak/no lens")</x:f>
        <x:v>Lens visible</x:v>
      </x:c>
      <x:c r="V57" s="25" t="str">
        <x:f>IF(R57&gt;=W57,"Likely visible","Weak")</x:f>
        <x:v>Likely visible</x:v>
      </x:c>
      <x:c r="W57" s="24" t="n">
        <x:f>Subsurface_Inputs!$C$43</x:f>
        <x:v>-45</x:v>
      </x:c>
      <x:c r="X57" s="24" t="n">
        <x:f>Q57-W57</x:f>
        <x:v>18.241855588533166</x:v>
      </x:c>
      <x:c r="Y57" s="24" t="n">
        <x:f>R57-W57</x:f>
        <x:v>10.624684654638372</x:v>
      </x:c>
      <x:c r="Z57" s="24" t="n">
        <x:f>MAX(Q57,R57)-W57</x:f>
        <x:v>18.241855588533166</x:v>
      </x:c>
      <x:c r="AA57" s="24" t="n">
        <x:v>0</x:v>
      </x:c>
    </x:row>
    <x:row r="58">
      <x:c r="A58" s="24" t="n">
        <x:f>Model_Data!A58</x:f>
        <x:v>-32</x:v>
      </x:c>
      <x:c r="B58" s="24" t="n">
        <x:f>Model_Data!Y58</x:f>
        <x:v>340.91681406553505</x:v>
      </x:c>
      <x:c r="C58" s="24" t="n">
        <x:f>Model_Data!X58</x:f>
        <x:v>5.730826646134426</x:v>
      </x:c>
      <x:c r="D58" s="24" t="n">
        <x:f>Model_Data!B58</x:f>
        <x:v>401.1377777777778</x:v>
      </x:c>
      <x:c r="E58" s="24" t="n">
        <x:f>Inputs!$C$6</x:f>
        <x:v>25</x:v>
      </x:c>
      <x:c r="F58" s="24" t="n">
        <x:f>Subsurface_Inputs!$C$5+Subsurface_Inputs!$C$6*SIN(2*PI()*(A58+Subsurface_Inputs!$C$7)/Subsurface_Inputs!$C$8)+Subsurface_Inputs!$C$9*COS(2*PI()*A58/Subsurface_Inputs!$C$10)+Subsurface_Inputs!$C$11*(B58-AVERAGE($B$2:$B$242))</x:f>
        <x:v>1128.3236750252931</x:v>
      </x:c>
      <x:c r="G58" s="24" t="n">
        <x:f>B58-F58</x:f>
        <x:v>-787.4068609597581</x:v>
      </x:c>
      <x:c r="H58" s="24" t="n">
        <x:f>MIN(1,MAX(0,Subsurface_Inputs!$C$13*EXP(-0.5*((A58-Subsurface_Inputs!$C$14)/Subsurface_Inputs!$C$15)^2)+Subsurface_Inputs!$C$16*EXP(-0.5*((A58-Subsurface_Inputs!$C$17)/Subsurface_Inputs!$C$18)^2)))</x:f>
        <x:v>0.6898415852200699</x:v>
      </x:c>
      <x:c r="I58" s="24" t="n">
        <x:f>Subsurface_Inputs!$C$19+Subsurface_Inputs!$C$20*SIN(2*PI()*(A58-Subsurface_Inputs!$C$21)/Subsurface_Inputs!$C$22)-Subsurface_Inputs!$C$23*H58</x:f>
        <x:v>4815.954194917552</x:v>
      </x:c>
      <x:c r="J58" s="24" t="n">
        <x:f>B58-I58</x:f>
        <x:v>-4475.037380852017</x:v>
      </x:c>
      <x:c r="K58" s="24" t="n">
        <x:f>Subsurface_Inputs!$C$25+Subsurface_Inputs!$C$26*SIN(2*PI()*(A58+Subsurface_Inputs!$C$27)/Subsurface_Inputs!$C$28)+Subsurface_Inputs!$C$29*COS(2*PI()*(A58-Subsurface_Inputs!$C$30)/Subsurface_Inputs!$C$31)-Subsurface_Inputs!$C$32*(B58-AVERAGE($B$2:$B$242))</x:f>
        <x:v>14584.952070760557</x:v>
      </x:c>
      <x:c r="L58" s="24" t="n">
        <x:f>B58-K58</x:f>
        <x:v>-14244.035256695022</x:v>
      </x:c>
      <x:c r="M58" s="24" t="n">
        <x:f>2*Subsurface_Inputs!$C$34*F58/Subsurface_Inputs!$C$35*1000000</x:f>
        <x:v>13.398710260716578</x:v>
      </x:c>
      <x:c r="N58" s="24" t="n">
        <x:f>2*Subsurface_Inputs!$C$34*I58/Subsurface_Inputs!$C$35*1000000</x:f>
        <x:v>57.18888676614568</x:v>
      </x:c>
      <x:c r="O58" s="24" t="n">
        <x:f>2*Subsurface_Inputs!$C$34*K58/Subsurface_Inputs!$C$35*1000000</x:f>
        <x:v>173.19458173930306</x:v>
      </x:c>
      <x:c r="P58" s="24" t="n">
        <x:f>Subsurface_Inputs!$C$37-2*Subsurface_Inputs!$C$36*(F58/1000)</x:f>
        <x:v>-12.030982615045527</x:v>
      </x:c>
      <x:c r="Q58" s="24" t="n">
        <x:f>Subsurface_Inputs!$C$38+Subsurface_Inputs!$C$39*H58-2*Subsurface_Inputs!$C$36*(I58/1000)</x:f>
        <x:v>-26.460143283870963</x:v>
      </x:c>
      <x:c r="R58" s="24" t="n">
        <x:f>Subsurface_Inputs!$C$40-2*Subsurface_Inputs!$C$36*(K58/1000)-Subsurface_Inputs!$C$41*ABS(L58-AVERAGE($L$2:$L$242))</x:f>
        <x:v>-34.324603214560284</x:v>
      </x:c>
      <x:c r="S58" s="24" t="n">
        <x:f>K58-AVERAGE($K$2:$K$242)</x:f>
        <x:v>-492.43262481355305</x:v>
      </x:c>
      <x:c r="T58" s="24" t="n">
        <x:f>K58/F58</x:f>
        <x:v>12.926212924171438</x:v>
      </x:c>
      <x:c r="U58" s="25" t="str">
        <x:f>IF(H58&gt;=Subsurface_Inputs!$C$42,"Lens visible","Weak/no lens")</x:f>
        <x:v>Lens visible</x:v>
      </x:c>
      <x:c r="V58" s="25" t="str">
        <x:f>IF(R58&gt;=W58,"Likely visible","Weak")</x:f>
        <x:v>Likely visible</x:v>
      </x:c>
      <x:c r="W58" s="24" t="n">
        <x:f>Subsurface_Inputs!$C$43</x:f>
        <x:v>-45</x:v>
      </x:c>
      <x:c r="X58" s="24" t="n">
        <x:f>Q58-W58</x:f>
        <x:v>18.539856716129037</x:v>
      </x:c>
      <x:c r="Y58" s="24" t="n">
        <x:f>R58-W58</x:f>
        <x:v>10.675396785439716</x:v>
      </x:c>
      <x:c r="Z58" s="24" t="n">
        <x:f>MAX(Q58,R58)-W58</x:f>
        <x:v>18.539856716129037</x:v>
      </x:c>
      <x:c r="AA58" s="24" t="n">
        <x:v>0</x:v>
      </x:c>
    </x:row>
    <x:row r="59">
      <x:c r="A59" s="24" t="n">
        <x:f>Model_Data!A59</x:f>
        <x:v>-31.5</x:v>
      </x:c>
      <x:c r="B59" s="24" t="n">
        <x:f>Model_Data!Y59</x:f>
        <x:v>355.15219987006986</x:v>
      </x:c>
      <x:c r="C59" s="24" t="n">
        <x:f>Model_Data!X59</x:f>
        <x:v>9.295817115602365</x:v>
      </x:c>
      <x:c r="D59" s="24" t="n">
        <x:f>Model_Data!B59</x:f>
        <x:v>401.1025</x:v>
      </x:c>
      <x:c r="E59" s="24" t="n">
        <x:f>Inputs!$C$6</x:f>
        <x:v>25</x:v>
      </x:c>
      <x:c r="F59" s="24" t="n">
        <x:f>Subsurface_Inputs!$C$5+Subsurface_Inputs!$C$6*SIN(2*PI()*(A59+Subsurface_Inputs!$C$7)/Subsurface_Inputs!$C$8)+Subsurface_Inputs!$C$9*COS(2*PI()*A59/Subsurface_Inputs!$C$10)+Subsurface_Inputs!$C$11*(B59-AVERAGE($B$2:$B$242))</x:f>
        <x:v>1122.5926316922605</x:v>
      </x:c>
      <x:c r="G59" s="24" t="n">
        <x:f>B59-F59</x:f>
        <x:v>-767.4404318221907</x:v>
      </x:c>
      <x:c r="H59" s="24" t="n">
        <x:f>MIN(1,MAX(0,Subsurface_Inputs!$C$13*EXP(-0.5*((A59-Subsurface_Inputs!$C$14)/Subsurface_Inputs!$C$15)^2)+Subsurface_Inputs!$C$16*EXP(-0.5*((A59-Subsurface_Inputs!$C$17)/Subsurface_Inputs!$C$18)^2)))</x:f>
        <x:v>0.7170976218896598</x:v>
      </x:c>
      <x:c r="I59" s="24" t="n">
        <x:f>Subsurface_Inputs!$C$19+Subsurface_Inputs!$C$20*SIN(2*PI()*(A59-Subsurface_Inputs!$C$21)/Subsurface_Inputs!$C$22)-Subsurface_Inputs!$C$23*H59</x:f>
        <x:v>4790.106189604217</x:v>
      </x:c>
      <x:c r="J59" s="24" t="n">
        <x:f>B59-I59</x:f>
        <x:v>-4434.953989734147</x:v>
      </x:c>
      <x:c r="K59" s="24" t="n">
        <x:f>Subsurface_Inputs!$C$25+Subsurface_Inputs!$C$26*SIN(2*PI()*(A59+Subsurface_Inputs!$C$27)/Subsurface_Inputs!$C$28)+Subsurface_Inputs!$C$29*COS(2*PI()*(A59-Subsurface_Inputs!$C$30)/Subsurface_Inputs!$C$31)-Subsurface_Inputs!$C$32*(B59-AVERAGE($B$2:$B$242))</x:f>
        <x:v>14587.057234351585</x:v>
      </x:c>
      <x:c r="L59" s="24" t="n">
        <x:f>B59-K59</x:f>
        <x:v>-14231.905034481515</x:v>
      </x:c>
      <x:c r="M59" s="24" t="n">
        <x:f>2*Subsurface_Inputs!$C$34*F59/Subsurface_Inputs!$C$35*1000000</x:f>
        <x:v>13.330654798608869</x:v>
      </x:c>
      <x:c r="N59" s="24" t="n">
        <x:f>2*Subsurface_Inputs!$C$34*I59/Subsurface_Inputs!$C$35*1000000</x:f>
        <x:v>56.88194475856699</x:v>
      </x:c>
      <x:c r="O59" s="24" t="n">
        <x:f>2*Subsurface_Inputs!$C$34*K59/Subsurface_Inputs!$C$35*1000000</x:f>
        <x:v>173.21958030809316</x:v>
      </x:c>
      <x:c r="P59" s="24" t="n">
        <x:f>Subsurface_Inputs!$C$37-2*Subsurface_Inputs!$C$36*(F59/1000)</x:f>
        <x:v>-12.020666737046069</x:v>
      </x:c>
      <x:c r="Q59" s="24" t="n">
        <x:f>Subsurface_Inputs!$C$38+Subsurface_Inputs!$C$39*H59-2*Subsurface_Inputs!$C$36*(I59/1000)</x:f>
        <x:v>-26.168312544280653</x:v>
      </x:c>
      <x:c r="R59" s="24" t="n">
        <x:f>Subsurface_Inputs!$C$40-2*Subsurface_Inputs!$C$36*(K59/1000)-Subsurface_Inputs!$C$41*ABS(L59-AVERAGE($L$2:$L$242))</x:f>
        <x:v>-34.376913397878155</x:v>
      </x:c>
      <x:c r="S59" s="24" t="n">
        <x:f>K59-AVERAGE($K$2:$K$242)</x:f>
        <x:v>-490.327461222525</x:v>
      </x:c>
      <x:c r="T59" s="24" t="n">
        <x:f>K59/F59</x:f>
        <x:v>12.994078904973943</x:v>
      </x:c>
      <x:c r="U59" s="25" t="str">
        <x:f>IF(H59&gt;=Subsurface_Inputs!$C$42,"Lens visible","Weak/no lens")</x:f>
        <x:v>Lens visible</x:v>
      </x:c>
      <x:c r="V59" s="25" t="str">
        <x:f>IF(R59&gt;=W59,"Likely visible","Weak")</x:f>
        <x:v>Likely visible</x:v>
      </x:c>
      <x:c r="W59" s="24" t="n">
        <x:f>Subsurface_Inputs!$C$43</x:f>
        <x:v>-45</x:v>
      </x:c>
      <x:c r="X59" s="24" t="n">
        <x:f>Q59-W59</x:f>
        <x:v>18.831687455719347</x:v>
      </x:c>
      <x:c r="Y59" s="24" t="n">
        <x:f>R59-W59</x:f>
        <x:v>10.623086602121845</x:v>
      </x:c>
      <x:c r="Z59" s="24" t="n">
        <x:f>MAX(Q59,R59)-W59</x:f>
        <x:v>18.831687455719347</x:v>
      </x:c>
      <x:c r="AA59" s="24" t="n">
        <x:v>0</x:v>
      </x:c>
    </x:row>
    <x:row r="60">
      <x:c r="A60" s="24" t="n">
        <x:f>Model_Data!A60</x:f>
        <x:v>-31</x:v>
      </x:c>
      <x:c r="B60" s="24" t="n">
        <x:f>Model_Data!Y60</x:f>
        <x:v>353.2610093246909</x:v>
      </x:c>
      <x:c r="C60" s="24" t="n">
        <x:f>Model_Data!X60</x:f>
        <x:v>-13.189582675327635</x:v>
      </x:c>
      <x:c r="D60" s="24" t="n">
        <x:f>Model_Data!B60</x:f>
        <x:v>401.0677777777778</x:v>
      </x:c>
      <x:c r="E60" s="24" t="n">
        <x:f>Inputs!$C$6</x:f>
        <x:v>25</x:v>
      </x:c>
      <x:c r="F60" s="24" t="n">
        <x:f>Subsurface_Inputs!$C$5+Subsurface_Inputs!$C$6*SIN(2*PI()*(A60+Subsurface_Inputs!$C$7)/Subsurface_Inputs!$C$8)+Subsurface_Inputs!$C$9*COS(2*PI()*A60/Subsurface_Inputs!$C$10)+Subsurface_Inputs!$C$11*(B60-AVERAGE($B$2:$B$242))</x:f>
        <x:v>1116.9125383628448</x:v>
      </x:c>
      <x:c r="G60" s="24" t="n">
        <x:f>B60-F60</x:f>
        <x:v>-763.6515290381539</x:v>
      </x:c>
      <x:c r="H60" s="24" t="n">
        <x:f>MIN(1,MAX(0,Subsurface_Inputs!$C$13*EXP(-0.5*((A60-Subsurface_Inputs!$C$14)/Subsurface_Inputs!$C$15)^2)+Subsurface_Inputs!$C$16*EXP(-0.5*((A60-Subsurface_Inputs!$C$17)/Subsurface_Inputs!$C$18)^2)))</x:f>
        <x:v>0.7435693113299408</x:v>
      </x:c>
      <x:c r="I60" s="24" t="n">
        <x:f>Subsurface_Inputs!$C$19+Subsurface_Inputs!$C$20*SIN(2*PI()*(A60-Subsurface_Inputs!$C$21)/Subsurface_Inputs!$C$22)-Subsurface_Inputs!$C$23*H60</x:f>
        <x:v>4764.648654011315</x:v>
      </x:c>
      <x:c r="J60" s="24" t="n">
        <x:f>B60-I60</x:f>
        <x:v>-4411.387644686623</x:v>
      </x:c>
      <x:c r="K60" s="24" t="n">
        <x:f>Subsurface_Inputs!$C$25+Subsurface_Inputs!$C$26*SIN(2*PI()*(A60+Subsurface_Inputs!$C$27)/Subsurface_Inputs!$C$28)+Subsurface_Inputs!$C$29*COS(2*PI()*(A60-Subsurface_Inputs!$C$30)/Subsurface_Inputs!$C$31)-Subsurface_Inputs!$C$32*(B60-AVERAGE($B$2:$B$242))</x:f>
        <x:v>14592.076103026691</x:v>
      </x:c>
      <x:c r="L60" s="24" t="n">
        <x:f>B60-K60</x:f>
        <x:v>-14238.815093702</x:v>
      </x:c>
      <x:c r="M60" s="24" t="n">
        <x:f>2*Subsurface_Inputs!$C$34*F60/Subsurface_Inputs!$C$35*1000000</x:f>
        <x:v>13.26320436177126</x:v>
      </x:c>
      <x:c r="N60" s="24" t="n">
        <x:f>2*Subsurface_Inputs!$C$34*I60/Subsurface_Inputs!$C$35*1000000</x:f>
        <x:v>56.57963953276062</x:v>
      </x:c>
      <x:c r="O60" s="24" t="n">
        <x:f>2*Subsurface_Inputs!$C$34*K60/Subsurface_Inputs!$C$35*1000000</x:f>
        <x:v>173.27917878032483</x:v>
      </x:c>
      <x:c r="P60" s="24" t="n">
        <x:f>Subsurface_Inputs!$C$37-2*Subsurface_Inputs!$C$36*(F60/1000)</x:f>
        <x:v>-12.01044256905312</x:v>
      </x:c>
      <x:c r="Q60" s="24" t="n">
        <x:f>Subsurface_Inputs!$C$38+Subsurface_Inputs!$C$39*H60-2*Subsurface_Inputs!$C$36*(I60/1000)</x:f>
        <x:v>-25.8842437752509</x:v>
      </x:c>
      <x:c r="R60" s="24" t="n">
        <x:f>Subsurface_Inputs!$C$40-2*Subsurface_Inputs!$C$36*(K60/1000)-Subsurface_Inputs!$C$41*ABS(L60-AVERAGE($L$2:$L$242))</x:f>
        <x:v>-34.358307124611414</x:v>
      </x:c>
      <x:c r="S60" s="24" t="n">
        <x:f>K60-AVERAGE($K$2:$K$242)</x:f>
        <x:v>-485.3085925474188</x:v>
      </x:c>
      <x:c r="T60" s="24" t="n">
        <x:f>K60/F60</x:f>
        <x:v>13.06465421582209</x:v>
      </x:c>
      <x:c r="U60" s="25" t="str">
        <x:f>IF(H60&gt;=Subsurface_Inputs!$C$42,"Lens visible","Weak/no lens")</x:f>
        <x:v>Lens visible</x:v>
      </x:c>
      <x:c r="V60" s="25" t="str">
        <x:f>IF(R60&gt;=W60,"Likely visible","Weak")</x:f>
        <x:v>Likely visible</x:v>
      </x:c>
      <x:c r="W60" s="24" t="n">
        <x:f>Subsurface_Inputs!$C$43</x:f>
        <x:v>-45</x:v>
      </x:c>
      <x:c r="X60" s="24" t="n">
        <x:f>Q60-W60</x:f>
        <x:v>19.1157562247491</x:v>
      </x:c>
      <x:c r="Y60" s="24" t="n">
        <x:f>R60-W60</x:f>
        <x:v>10.641692875388586</x:v>
      </x:c>
      <x:c r="Z60" s="24" t="n">
        <x:f>MAX(Q60,R60)-W60</x:f>
        <x:v>19.1157562247491</x:v>
      </x:c>
      <x:c r="AA60" s="24" t="n">
        <x:v>0</x:v>
      </x:c>
    </x:row>
    <x:row r="61">
      <x:c r="A61" s="24" t="n">
        <x:f>Model_Data!A61</x:f>
        <x:v>-30.5</x:v>
      </x:c>
      <x:c r="B61" s="24" t="n">
        <x:f>Model_Data!Y61</x:f>
        <x:v>338.6571544092517</x:v>
      </x:c>
      <x:c r="C61" s="24" t="n">
        <x:f>Model_Data!X61</x:f>
        <x:v>-7.467318037700602</x:v>
      </x:c>
      <x:c r="D61" s="24" t="n">
        <x:f>Model_Data!B61</x:f>
        <x:v>401.0336111111111</x:v>
      </x:c>
      <x:c r="E61" s="24" t="n">
        <x:f>Inputs!$C$6</x:f>
        <x:v>25</x:v>
      </x:c>
      <x:c r="F61" s="24" t="n">
        <x:f>Subsurface_Inputs!$C$5+Subsurface_Inputs!$C$6*SIN(2*PI()*(A61+Subsurface_Inputs!$C$7)/Subsurface_Inputs!$C$8)+Subsurface_Inputs!$C$9*COS(2*PI()*A61/Subsurface_Inputs!$C$10)+Subsurface_Inputs!$C$11*(B61-AVERAGE($B$2:$B$242))</x:f>
        <x:v>1111.368486255422</x:v>
      </x:c>
      <x:c r="G61" s="24" t="n">
        <x:f>B61-F61</x:f>
        <x:v>-772.7113318461704</x:v>
      </x:c>
      <x:c r="H61" s="24" t="n">
        <x:f>MIN(1,MAX(0,Subsurface_Inputs!$C$13*EXP(-0.5*((A61-Subsurface_Inputs!$C$14)/Subsurface_Inputs!$C$15)^2)+Subsurface_Inputs!$C$16*EXP(-0.5*((A61-Subsurface_Inputs!$C$17)/Subsurface_Inputs!$C$18)^2)))</x:f>
        <x:v>0.7690930662347593</x:v>
      </x:c>
      <x:c r="I61" s="24" t="n">
        <x:f>Subsurface_Inputs!$C$19+Subsurface_Inputs!$C$20*SIN(2*PI()*(A61-Subsurface_Inputs!$C$21)/Subsurface_Inputs!$C$22)-Subsurface_Inputs!$C$23*H61</x:f>
        <x:v>4739.6488873312355</x:v>
      </x:c>
      <x:c r="J61" s="24" t="n">
        <x:f>B61-I61</x:f>
        <x:v>-4400.991732921984</x:v>
      </x:c>
      <x:c r="K61" s="24" t="n">
        <x:f>Subsurface_Inputs!$C$25+Subsurface_Inputs!$C$26*SIN(2*PI()*(A61+Subsurface_Inputs!$C$27)/Subsurface_Inputs!$C$28)+Subsurface_Inputs!$C$29*COS(2*PI()*(A61-Subsurface_Inputs!$C$30)/Subsurface_Inputs!$C$31)-Subsurface_Inputs!$C$32*(B61-AVERAGE($B$2:$B$242))</x:f>
        <x:v>14599.553282966977</x:v>
      </x:c>
      <x:c r="L61" s="24" t="n">
        <x:f>B61-K61</x:f>
        <x:v>-14260.896128557726</x:v>
      </x:c>
      <x:c r="M61" s="24" t="n">
        <x:f>2*Subsurface_Inputs!$C$34*F61/Subsurface_Inputs!$C$35*1000000</x:f>
        <x:v>13.197369398363259</x:v>
      </x:c>
      <x:c r="N61" s="24" t="n">
        <x:f>2*Subsurface_Inputs!$C$34*I61/Subsurface_Inputs!$C$35*1000000</x:f>
        <x:v>56.28277025868075</x:v>
      </x:c>
      <x:c r="O61" s="24" t="n">
        <x:f>2*Subsurface_Inputs!$C$34*K61/Subsurface_Inputs!$C$35*1000000</x:f>
        <x:v>173.36796940823118</x:v>
      </x:c>
      <x:c r="P61" s="24" t="n">
        <x:f>Subsurface_Inputs!$C$37-2*Subsurface_Inputs!$C$36*(F61/1000)</x:f>
        <x:v>-12.00046327525976</x:v>
      </x:c>
      <x:c r="Q61" s="24" t="n">
        <x:f>Subsurface_Inputs!$C$38+Subsurface_Inputs!$C$39*H61-2*Subsurface_Inputs!$C$36*(I61/1000)</x:f>
        <x:v>-25.60953040108339</x:v>
      </x:c>
      <x:c r="R61" s="24" t="n">
        <x:f>Subsurface_Inputs!$C$40-2*Subsurface_Inputs!$C$36*(K61/1000)-Subsurface_Inputs!$C$41*ABS(L61-AVERAGE($L$2:$L$242))</x:f>
        <x:v>-34.28344190908103</x:v>
      </x:c>
      <x:c r="S61" s="24" t="n">
        <x:f>K61-AVERAGE($K$2:$K$242)</x:f>
        <x:v>-477.83141260713273</x:v>
      </x:c>
      <x:c r="T61" s="24" t="n">
        <x:f>K61/F61</x:f>
        <x:v>13.136555034197372</x:v>
      </x:c>
      <x:c r="U61" s="25" t="str">
        <x:f>IF(H61&gt;=Subsurface_Inputs!$C$42,"Lens visible","Weak/no lens")</x:f>
        <x:v>Lens visible</x:v>
      </x:c>
      <x:c r="V61" s="25" t="str">
        <x:f>IF(R61&gt;=W61,"Likely visible","Weak")</x:f>
        <x:v>Likely visible</x:v>
      </x:c>
      <x:c r="W61" s="24" t="n">
        <x:f>Subsurface_Inputs!$C$43</x:f>
        <x:v>-45</x:v>
      </x:c>
      <x:c r="X61" s="24" t="n">
        <x:f>Q61-W61</x:f>
        <x:v>19.39046959891661</x:v>
      </x:c>
      <x:c r="Y61" s="24" t="n">
        <x:f>R61-W61</x:f>
        <x:v>10.716558090918973</x:v>
      </x:c>
      <x:c r="Z61" s="24" t="n">
        <x:f>MAX(Q61,R61)-W61</x:f>
        <x:v>19.39046959891661</x:v>
      </x:c>
      <x:c r="AA61" s="24" t="n">
        <x:v>0</x:v>
      </x:c>
    </x:row>
    <x:row r="62">
      <x:c r="A62" s="24" t="n">
        <x:f>Model_Data!A62</x:f>
        <x:v>-30</x:v>
      </x:c>
      <x:c r="B62" s="24" t="n">
        <x:f>Model_Data!Y62</x:f>
        <x:v>336.97644838088075</x:v>
      </x:c>
      <x:c r="C62" s="24" t="n">
        <x:f>Model_Data!X62</x:f>
        <x:v>-17.51801383367469</x:v>
      </x:c>
      <x:c r="D62" s="24" t="n">
        <x:f>Model_Data!B62</x:f>
        <x:v>401</x:v>
      </x:c>
      <x:c r="E62" s="24" t="n">
        <x:f>Inputs!$C$6</x:f>
        <x:v>25</x:v>
      </x:c>
      <x:c r="F62" s="24" t="n">
        <x:f>Subsurface_Inputs!$C$5+Subsurface_Inputs!$C$6*SIN(2*PI()*(A62+Subsurface_Inputs!$C$7)/Subsurface_Inputs!$C$8)+Subsurface_Inputs!$C$9*COS(2*PI()*A62/Subsurface_Inputs!$C$10)+Subsurface_Inputs!$C$11*(B62-AVERAGE($B$2:$B$242))</x:f>
        <x:v>1106.9224359335371</x:v>
      </x:c>
      <x:c r="G62" s="24" t="n">
        <x:f>B62-F62</x:f>
        <x:v>-769.9459875526563</x:v>
      </x:c>
      <x:c r="H62" s="24" t="n">
        <x:f>MIN(1,MAX(0,Subsurface_Inputs!$C$13*EXP(-0.5*((A62-Subsurface_Inputs!$C$14)/Subsurface_Inputs!$C$15)^2)+Subsurface_Inputs!$C$16*EXP(-0.5*((A62-Subsurface_Inputs!$C$17)/Subsurface_Inputs!$C$18)^2)))</x:f>
        <x:v>0.7935067008411355</x:v>
      </x:c>
      <x:c r="I62" s="24" t="n">
        <x:f>Subsurface_Inputs!$C$19+Subsurface_Inputs!$C$20*SIN(2*PI()*(A62-Subsurface_Inputs!$C$21)/Subsurface_Inputs!$C$22)-Subsurface_Inputs!$C$23*H62</x:f>
        <x:v>4715.173514440928</x:v>
      </x:c>
      <x:c r="J62" s="24" t="n">
        <x:f>B62-I62</x:f>
        <x:v>-4378.197066060047</x:v>
      </x:c>
      <x:c r="K62" s="24" t="n">
        <x:f>Subsurface_Inputs!$C$25+Subsurface_Inputs!$C$26*SIN(2*PI()*(A62+Subsurface_Inputs!$C$27)/Subsurface_Inputs!$C$28)+Subsurface_Inputs!$C$29*COS(2*PI()*(A62-Subsurface_Inputs!$C$30)/Subsurface_Inputs!$C$31)-Subsurface_Inputs!$C$32*(B62-AVERAGE($B$2:$B$242))</x:f>
        <x:v>14605.92076461545</x:v>
      </x:c>
      <x:c r="L62" s="24" t="n">
        <x:f>B62-K62</x:f>
        <x:v>-14268.944316234569</x:v>
      </x:c>
      <x:c r="M62" s="24" t="n">
        <x:f>2*Subsurface_Inputs!$C$34*F62/Subsurface_Inputs!$C$35*1000000</x:f>
        <x:v>13.14457307636269</x:v>
      </x:c>
      <x:c r="N62" s="24" t="n">
        <x:f>2*Subsurface_Inputs!$C$34*I62/Subsurface_Inputs!$C$35*1000000</x:f>
        <x:v>55.99212809886532</x:v>
      </x:c>
      <x:c r="O62" s="24" t="n">
        <x:f>2*Subsurface_Inputs!$C$34*K62/Subsurface_Inputs!$C$35*1000000</x:f>
        <x:v>173.4435825001008</x:v>
      </x:c>
      <x:c r="P62" s="24" t="n">
        <x:f>Subsurface_Inputs!$C$37-2*Subsurface_Inputs!$C$36*(F62/1000)</x:f>
        <x:v>-11.992460384680367</x:v>
      </x:c>
      <x:c r="Q62" s="24" t="n">
        <x:f>Subsurface_Inputs!$C$38+Subsurface_Inputs!$C$39*H62-2*Subsurface_Inputs!$C$36*(I62/1000)</x:f>
        <x:v>-25.345752018423447</x:v>
      </x:c>
      <x:c r="R62" s="24" t="n">
        <x:f>Subsurface_Inputs!$C$40-2*Subsurface_Inputs!$C$36*(K62/1000)-Subsurface_Inputs!$C$41*ABS(L62-AVERAGE($L$2:$L$242))</x:f>
        <x:v>-34.2627106253409</x:v>
      </x:c>
      <x:c r="S62" s="24" t="n">
        <x:f>K62-AVERAGE($K$2:$K$242)</x:f>
        <x:v>-471.46393095866006</x:v>
      </x:c>
      <x:c r="T62" s="24" t="n">
        <x:f>K62/F62</x:f>
        <x:v>13.195071570030434</x:v>
      </x:c>
      <x:c r="U62" s="25" t="str">
        <x:f>IF(H62&gt;=Subsurface_Inputs!$C$42,"Lens visible","Weak/no lens")</x:f>
        <x:v>Lens visible</x:v>
      </x:c>
      <x:c r="V62" s="25" t="str">
        <x:f>IF(R62&gt;=W62,"Likely visible","Weak")</x:f>
        <x:v>Likely visible</x:v>
      </x:c>
      <x:c r="W62" s="24" t="n">
        <x:f>Subsurface_Inputs!$C$43</x:f>
        <x:v>-45</x:v>
      </x:c>
      <x:c r="X62" s="24" t="n">
        <x:f>Q62-W62</x:f>
        <x:v>19.654247981576553</x:v>
      </x:c>
      <x:c r="Y62" s="24" t="n">
        <x:f>R62-W62</x:f>
        <x:v>10.737289374659099</x:v>
      </x:c>
      <x:c r="Z62" s="24" t="n">
        <x:f>MAX(Q62,R62)-W62</x:f>
        <x:v>19.654247981576553</x:v>
      </x:c>
      <x:c r="AA62" s="24" t="n">
        <x:v>0</x:v>
      </x:c>
    </x:row>
    <x:row r="63">
      <x:c r="A63" s="24" t="n">
        <x:f>Model_Data!A63</x:f>
        <x:v>-29.5</x:v>
      </x:c>
      <x:c r="B63" s="24" t="n">
        <x:f>Model_Data!Y63</x:f>
        <x:v>326.24732503276135</x:v>
      </x:c>
      <x:c r="C63" s="24" t="n">
        <x:f>Model_Data!X63</x:f>
        <x:v>-36.167878297776255</x:v>
      </x:c>
      <x:c r="D63" s="24" t="n">
        <x:f>Model_Data!B63</x:f>
        <x:v>400.96694444444444</x:v>
      </x:c>
      <x:c r="E63" s="24" t="n">
        <x:f>Inputs!$C$6</x:f>
        <x:v>25</x:v>
      </x:c>
      <x:c r="F63" s="24" t="n">
        <x:f>Subsurface_Inputs!$C$5+Subsurface_Inputs!$C$6*SIN(2*PI()*(A63+Subsurface_Inputs!$C$7)/Subsurface_Inputs!$C$8)+Subsurface_Inputs!$C$9*COS(2*PI()*A63/Subsurface_Inputs!$C$10)+Subsurface_Inputs!$C$11*(B63-AVERAGE($B$2:$B$242))</x:f>
        <x:v>1102.622100101891</x:v>
      </x:c>
      <x:c r="G63" s="24" t="n">
        <x:f>B63-F63</x:f>
        <x:v>-776.3747750691296</x:v>
      </x:c>
      <x:c r="H63" s="24" t="n">
        <x:f>MIN(1,MAX(0,Subsurface_Inputs!$C$13*EXP(-0.5*((A63-Subsurface_Inputs!$C$14)/Subsurface_Inputs!$C$15)^2)+Subsurface_Inputs!$C$16*EXP(-0.5*((A63-Subsurface_Inputs!$C$17)/Subsurface_Inputs!$C$18)^2)))</x:f>
        <x:v>0.8166511254230964</x:v>
      </x:c>
      <x:c r="I63" s="24" t="n">
        <x:f>Subsurface_Inputs!$C$19+Subsurface_Inputs!$C$20*SIN(2*PI()*(A63-Subsurface_Inputs!$C$21)/Subsurface_Inputs!$C$22)-Subsurface_Inputs!$C$23*H63</x:f>
        <x:v>4691.288038569361</x:v>
      </x:c>
      <x:c r="J63" s="24" t="n">
        <x:f>B63-I63</x:f>
        <x:v>-4365.0407135365995</x:v>
      </x:c>
      <x:c r="K63" s="24" t="n">
        <x:f>Subsurface_Inputs!$C$25+Subsurface_Inputs!$C$26*SIN(2*PI()*(A63+Subsurface_Inputs!$C$27)/Subsurface_Inputs!$C$28)+Subsurface_Inputs!$C$29*COS(2*PI()*(A63-Subsurface_Inputs!$C$30)/Subsurface_Inputs!$C$31)-Subsurface_Inputs!$C$32*(B63-AVERAGE($B$2:$B$242))</x:f>
        <x:v>14614.27394913712</x:v>
      </x:c>
      <x:c r="L63" s="24" t="n">
        <x:f>B63-K63</x:f>
        <x:v>-14288.026624104357</x:v>
      </x:c>
      <x:c r="M63" s="24" t="n">
        <x:f>2*Subsurface_Inputs!$C$34*F63/Subsurface_Inputs!$C$35*1000000</x:f>
        <x:v>13.093507096708658</x:v>
      </x:c>
      <x:c r="N63" s="24" t="n">
        <x:f>2*Subsurface_Inputs!$C$34*I63/Subsurface_Inputs!$C$35*1000000</x:f>
        <x:v>55.708490896415164</x:v>
      </x:c>
      <x:c r="O63" s="24" t="n">
        <x:f>2*Subsurface_Inputs!$C$34*K63/Subsurface_Inputs!$C$35*1000000</x:f>
        <x:v>173.54277557885777</x:v>
      </x:c>
      <x:c r="P63" s="24" t="n">
        <x:f>Subsurface_Inputs!$C$37-2*Subsurface_Inputs!$C$36*(F63/1000)</x:f>
        <x:v>-11.984719780183404</x:v>
      </x:c>
      <x:c r="Q63" s="24" t="n">
        <x:f>Subsurface_Inputs!$C$38+Subsurface_Inputs!$C$39*H63-2*Subsurface_Inputs!$C$36*(I63/1000)</x:f>
        <x:v>-25.09445834061698</x:v>
      </x:c>
      <x:c r="R63" s="24" t="n">
        <x:f>Subsurface_Inputs!$C$40-2*Subsurface_Inputs!$C$36*(K63/1000)-Subsurface_Inputs!$C$41*ABS(L63-AVERAGE($L$2:$L$242))</x:f>
        <x:v>-34.201417126000756</x:v>
      </x:c>
      <x:c r="S63" s="24" t="n">
        <x:f>K63-AVERAGE($K$2:$K$242)</x:f>
        <x:v>-463.11074643699067</x:v>
      </x:c>
      <x:c r="T63" s="24" t="n">
        <x:f>K63/F63</x:f>
        <x:v>13.254109406828183</x:v>
      </x:c>
      <x:c r="U63" s="25" t="str">
        <x:f>IF(H63&gt;=Subsurface_Inputs!$C$42,"Lens visible","Weak/no lens")</x:f>
        <x:v>Lens visible</x:v>
      </x:c>
      <x:c r="V63" s="25" t="str">
        <x:f>IF(R63&gt;=W63,"Likely visible","Weak")</x:f>
        <x:v>Likely visible</x:v>
      </x:c>
      <x:c r="W63" s="24" t="n">
        <x:f>Subsurface_Inputs!$C$43</x:f>
        <x:v>-45</x:v>
      </x:c>
      <x:c r="X63" s="24" t="n">
        <x:f>Q63-W63</x:f>
        <x:v>19.90554165938302</x:v>
      </x:c>
      <x:c r="Y63" s="24" t="n">
        <x:f>R63-W63</x:f>
        <x:v>10.798582873999244</x:v>
      </x:c>
      <x:c r="Z63" s="24" t="n">
        <x:f>MAX(Q63,R63)-W63</x:f>
        <x:v>19.90554165938302</x:v>
      </x:c>
      <x:c r="AA63" s="24" t="n">
        <x:v>0</x:v>
      </x:c>
    </x:row>
    <x:row r="64">
      <x:c r="A64" s="24" t="n">
        <x:f>Model_Data!A64</x:f>
        <x:v>-29</x:v>
      </x:c>
      <x:c r="B64" s="24" t="n">
        <x:f>Model_Data!Y64</x:f>
        <x:v>331.8773601232655</x:v>
      </x:c>
      <x:c r="C64" s="24" t="n">
        <x:f>Model_Data!X64</x:f>
        <x:v>-22.86382175599607</x:v>
      </x:c>
      <x:c r="D64" s="24" t="n">
        <x:f>Model_Data!B64</x:f>
        <x:v>400.93444444444447</x:v>
      </x:c>
      <x:c r="E64" s="24" t="n">
        <x:f>Inputs!$C$6</x:f>
        <x:v>25</x:v>
      </x:c>
      <x:c r="F64" s="24" t="n">
        <x:f>Subsurface_Inputs!$C$5+Subsurface_Inputs!$C$6*SIN(2*PI()*(A64+Subsurface_Inputs!$C$7)/Subsurface_Inputs!$C$8)+Subsurface_Inputs!$C$9*COS(2*PI()*A64/Subsurface_Inputs!$C$10)+Subsurface_Inputs!$C$11*(B64-AVERAGE($B$2:$B$242))</x:f>
        <x:v>1099.4026390140548</x:v>
      </x:c>
      <x:c r="G64" s="24" t="n">
        <x:f>B64-F64</x:f>
        <x:v>-767.5252788907893</x:v>
      </x:c>
      <x:c r="H64" s="24" t="n">
        <x:f>MIN(1,MAX(0,Subsurface_Inputs!$C$13*EXP(-0.5*((A64-Subsurface_Inputs!$C$14)/Subsurface_Inputs!$C$15)^2)+Subsurface_Inputs!$C$16*EXP(-0.5*((A64-Subsurface_Inputs!$C$17)/Subsurface_Inputs!$C$18)^2)))</x:f>
        <x:v>0.8383720574564479</x:v>
      </x:c>
      <x:c r="I64" s="24" t="n">
        <x:f>Subsurface_Inputs!$C$19+Subsurface_Inputs!$C$20*SIN(2*PI()*(A64-Subsurface_Inputs!$C$21)/Subsurface_Inputs!$C$22)-Subsurface_Inputs!$C$23*H64</x:f>
        <x:v>4668.056390519633</x:v>
      </x:c>
      <x:c r="J64" s="24" t="n">
        <x:f>B64-I64</x:f>
        <x:v>-4336.179030396368</x:v>
      </x:c>
      <x:c r="K64" s="24" t="n">
        <x:f>Subsurface_Inputs!$C$25+Subsurface_Inputs!$C$26*SIN(2*PI()*(A64+Subsurface_Inputs!$C$27)/Subsurface_Inputs!$C$28)+Subsurface_Inputs!$C$29*COS(2*PI()*(A64-Subsurface_Inputs!$C$30)/Subsurface_Inputs!$C$31)-Subsurface_Inputs!$C$32*(B64-AVERAGE($B$2:$B$242))</x:f>
        <x:v>14621.073466646072</x:v>
      </x:c>
      <x:c r="L64" s="24" t="n">
        <x:f>B64-K64</x:f>
        <x:v>-14289.196106522806</x:v>
      </x:c>
      <x:c r="M64" s="24" t="n">
        <x:f>2*Subsurface_Inputs!$C$34*F64/Subsurface_Inputs!$C$35*1000000</x:f>
        <x:v>13.055276376866143</x:v>
      </x:c>
      <x:c r="N64" s="24" t="n">
        <x:f>2*Subsurface_Inputs!$C$34*I64/Subsurface_Inputs!$C$35*1000000</x:f>
        <x:v>55.43261782205973</x:v>
      </x:c>
      <x:c r="O64" s="24" t="n">
        <x:f>2*Subsurface_Inputs!$C$34*K64/Subsurface_Inputs!$C$35*1000000</x:f>
        <x:v>173.6235190454992</x:v>
      </x:c>
      <x:c r="P64" s="24" t="n">
        <x:f>Subsurface_Inputs!$C$37-2*Subsurface_Inputs!$C$36*(F64/1000)</x:f>
        <x:v>-11.978924750225298</x:v>
      </x:c>
      <x:c r="Q64" s="24" t="n">
        <x:f>Subsurface_Inputs!$C$38+Subsurface_Inputs!$C$39*H64-2*Subsurface_Inputs!$C$36*(I64/1000)</x:f>
        <x:v>-24.85715298582731</x:v>
      </x:c>
      <x:c r="R64" s="24" t="n">
        <x:f>Subsurface_Inputs!$C$40-2*Subsurface_Inputs!$C$36*(K64/1000)-Subsurface_Inputs!$C$41*ABS(L64-AVERAGE($L$2:$L$242))</x:f>
        <x:v>-34.20897832784308</x:v>
      </x:c>
      <x:c r="S64" s="24" t="n">
        <x:f>K64-AVERAGE($K$2:$K$242)</x:f>
        <x:v>-456.31122892803796</x:v>
      </x:c>
      <x:c r="T64" s="24" t="n">
        <x:f>K64/F64</x:f>
        <x:v>13.299107122171604</x:v>
      </x:c>
      <x:c r="U64" s="25" t="str">
        <x:f>IF(H64&gt;=Subsurface_Inputs!$C$42,"Lens visible","Weak/no lens")</x:f>
        <x:v>Lens visible</x:v>
      </x:c>
      <x:c r="V64" s="25" t="str">
        <x:f>IF(R64&gt;=W64,"Likely visible","Weak")</x:f>
        <x:v>Likely visible</x:v>
      </x:c>
      <x:c r="W64" s="24" t="n">
        <x:f>Subsurface_Inputs!$C$43</x:f>
        <x:v>-45</x:v>
      </x:c>
      <x:c r="X64" s="24" t="n">
        <x:f>Q64-W64</x:f>
        <x:v>20.14284701417269</x:v>
      </x:c>
      <x:c r="Y64" s="24" t="n">
        <x:f>R64-W64</x:f>
        <x:v>10.791021672156923</x:v>
      </x:c>
      <x:c r="Z64" s="24" t="n">
        <x:f>MAX(Q64,R64)-W64</x:f>
        <x:v>20.14284701417269</x:v>
      </x:c>
      <x:c r="AA64" s="24" t="n">
        <x:v>0</x:v>
      </x:c>
    </x:row>
    <x:row r="65">
      <x:c r="A65" s="24" t="n">
        <x:f>Model_Data!A65</x:f>
        <x:v>-28.5</x:v>
      </x:c>
      <x:c r="B65" s="24" t="n">
        <x:f>Model_Data!Y65</x:f>
        <x:v>310.24247262167495</x:v>
      </x:c>
      <x:c r="C65" s="24" t="n">
        <x:f>Model_Data!X65</x:f>
        <x:v>-29.731374520275047</x:v>
      </x:c>
      <x:c r="D65" s="24" t="n">
        <x:f>Model_Data!B65</x:f>
        <x:v>400.9025</x:v>
      </x:c>
      <x:c r="E65" s="24" t="n">
        <x:f>Inputs!$C$6</x:f>
        <x:v>25</x:v>
      </x:c>
      <x:c r="F65" s="24" t="n">
        <x:f>Subsurface_Inputs!$C$5+Subsurface_Inputs!$C$6*SIN(2*PI()*(A65+Subsurface_Inputs!$C$7)/Subsurface_Inputs!$C$8)+Subsurface_Inputs!$C$9*COS(2*PI()*A65/Subsurface_Inputs!$C$10)+Subsurface_Inputs!$C$11*(B65-AVERAGE($B$2:$B$242))</x:f>
        <x:v>1095.4325971248734</x:v>
      </x:c>
      <x:c r="G65" s="24" t="n">
        <x:f>B65-F65</x:f>
        <x:v>-785.1901245031984</x:v>
      </x:c>
      <x:c r="H65" s="24" t="n">
        <x:f>MIN(1,MAX(0,Subsurface_Inputs!$C$13*EXP(-0.5*((A65-Subsurface_Inputs!$C$14)/Subsurface_Inputs!$C$15)^2)+Subsurface_Inputs!$C$16*EXP(-0.5*((A65-Subsurface_Inputs!$C$17)/Subsurface_Inputs!$C$18)^2)))</x:f>
        <x:v>0.8585217239812488</x:v>
      </x:c>
      <x:c r="I65" s="24" t="n">
        <x:f>Subsurface_Inputs!$C$19+Subsurface_Inputs!$C$20*SIN(2*PI()*(A65-Subsurface_Inputs!$C$21)/Subsurface_Inputs!$C$22)-Subsurface_Inputs!$C$23*H65</x:f>
        <x:v>4645.540480618124</x:v>
      </x:c>
      <x:c r="J65" s="24" t="n">
        <x:f>B65-I65</x:f>
        <x:v>-4335.298007996449</x:v>
      </x:c>
      <x:c r="K65" s="24" t="n">
        <x:f>Subsurface_Inputs!$C$25+Subsurface_Inputs!$C$26*SIN(2*PI()*(A65+Subsurface_Inputs!$C$27)/Subsurface_Inputs!$C$28)+Subsurface_Inputs!$C$29*COS(2*PI()*(A65-Subsurface_Inputs!$C$30)/Subsurface_Inputs!$C$31)-Subsurface_Inputs!$C$32*(B65-AVERAGE($B$2:$B$242))</x:f>
        <x:v>14632.4426235159</x:v>
      </x:c>
      <x:c r="L65" s="24" t="n">
        <x:f>B65-K65</x:f>
        <x:v>-14322.200150894227</x:v>
      </x:c>
      <x:c r="M65" s="24" t="n">
        <x:f>2*Subsurface_Inputs!$C$34*F65/Subsurface_Inputs!$C$35*1000000</x:f>
        <x:v>13.00813259873452</x:v>
      </x:c>
      <x:c r="N65" s="24" t="n">
        <x:f>2*Subsurface_Inputs!$C$34*I65/Subsurface_Inputs!$C$35*1000000</x:f>
        <x:v>55.165244053606315</x:v>
      </x:c>
      <x:c r="O65" s="24" t="n">
        <x:f>2*Subsurface_Inputs!$C$34*K65/Subsurface_Inputs!$C$35*1000000</x:f>
        <x:v>173.75852643936963</x:v>
      </x:c>
      <x:c r="P65" s="24" t="n">
        <x:f>Subsurface_Inputs!$C$37-2*Subsurface_Inputs!$C$36*(F65/1000)</x:f>
        <x:v>-11.971778674824773</x:v>
      </x:c>
      <x:c r="Q65" s="24" t="n">
        <x:f>Subsurface_Inputs!$C$38+Subsurface_Inputs!$C$39*H65-2*Subsurface_Inputs!$C$36*(I65/1000)</x:f>
        <x:v>-24.635277349281388</x:v>
      </x:c>
      <x:c r="R65" s="24" t="n">
        <x:f>Subsurface_Inputs!$C$40-2*Subsurface_Inputs!$C$36*(K65/1000)-Subsurface_Inputs!$C$41*ABS(L65-AVERAGE($L$2:$L$242))</x:f>
        <x:v>-34.097426632723085</x:v>
      </x:c>
      <x:c r="S65" s="24" t="n">
        <x:f>K65-AVERAGE($K$2:$K$242)</x:f>
        <x:v>-444.9420720582093</x:v>
      </x:c>
      <x:c r="T65" s="24" t="n">
        <x:f>K65/F65</x:f>
        <x:v>13.357684134944435</x:v>
      </x:c>
      <x:c r="U65" s="25" t="str">
        <x:f>IF(H65&gt;=Subsurface_Inputs!$C$42,"Lens visible","Weak/no lens")</x:f>
        <x:v>Lens visible</x:v>
      </x:c>
      <x:c r="V65" s="25" t="str">
        <x:f>IF(R65&gt;=W65,"Likely visible","Weak")</x:f>
        <x:v>Likely visible</x:v>
      </x:c>
      <x:c r="W65" s="24" t="n">
        <x:f>Subsurface_Inputs!$C$43</x:f>
        <x:v>-45</x:v>
      </x:c>
      <x:c r="X65" s="24" t="n">
        <x:f>Q65-W65</x:f>
        <x:v>20.364722650718612</x:v>
      </x:c>
      <x:c r="Y65" s="24" t="n">
        <x:f>R65-W65</x:f>
        <x:v>10.902573367276915</x:v>
      </x:c>
      <x:c r="Z65" s="24" t="n">
        <x:f>MAX(Q65,R65)-W65</x:f>
        <x:v>20.364722650718612</x:v>
      </x:c>
      <x:c r="AA65" s="24" t="n">
        <x:v>0</x:v>
      </x:c>
    </x:row>
    <x:row r="66">
      <x:c r="A66" s="24" t="n">
        <x:f>Model_Data!A66</x:f>
        <x:v>-28</x:v>
      </x:c>
      <x:c r="B66" s="24" t="n">
        <x:f>Model_Data!Y66</x:f>
        <x:v>313.2831784265769</x:v>
      </x:c>
      <x:c r="C66" s="24" t="n">
        <x:f>Model_Data!X66</x:f>
        <x:v>-53.01751827704016</x:v>
      </x:c>
      <x:c r="D66" s="24" t="n">
        <x:f>Model_Data!B66</x:f>
        <x:v>400.87111111111113</x:v>
      </x:c>
      <x:c r="E66" s="24" t="n">
        <x:f>Inputs!$C$6</x:f>
        <x:v>25</x:v>
      </x:c>
      <x:c r="F66" s="24" t="n">
        <x:f>Subsurface_Inputs!$C$5+Subsurface_Inputs!$C$6*SIN(2*PI()*(A66+Subsurface_Inputs!$C$7)/Subsurface_Inputs!$C$8)+Subsurface_Inputs!$C$9*COS(2*PI()*A66/Subsurface_Inputs!$C$10)+Subsurface_Inputs!$C$11*(B66-AVERAGE($B$2:$B$242))</x:f>
        <x:v>1092.7002069781608</x:v>
      </x:c>
      <x:c r="G66" s="24" t="n">
        <x:f>B66-F66</x:f>
        <x:v>-779.4170285515839</x:v>
      </x:c>
      <x:c r="H66" s="24" t="n">
        <x:f>MIN(1,MAX(0,Subsurface_Inputs!$C$13*EXP(-0.5*((A66-Subsurface_Inputs!$C$14)/Subsurface_Inputs!$C$15)^2)+Subsurface_Inputs!$C$16*EXP(-0.5*((A66-Subsurface_Inputs!$C$17)/Subsurface_Inputs!$C$18)^2)))</x:f>
        <x:v>0.8769605290700035</x:v>
      </x:c>
      <x:c r="I66" s="24" t="n">
        <x:f>Subsurface_Inputs!$C$19+Subsurface_Inputs!$C$20*SIN(2*PI()*(A66-Subsurface_Inputs!$C$21)/Subsurface_Inputs!$C$22)-Subsurface_Inputs!$C$23*H66</x:f>
        <x:v>4623.799759710701</x:v>
      </x:c>
      <x:c r="J66" s="24" t="n">
        <x:f>B66-I66</x:f>
        <x:v>-4310.516581284124</x:v>
      </x:c>
      <x:c r="K66" s="24" t="n">
        <x:f>Subsurface_Inputs!$C$25+Subsurface_Inputs!$C$26*SIN(2*PI()*(A66+Subsurface_Inputs!$C$27)/Subsurface_Inputs!$C$28)+Subsurface_Inputs!$C$29*COS(2*PI()*(A66-Subsurface_Inputs!$C$30)/Subsurface_Inputs!$C$31)-Subsurface_Inputs!$C$32*(B66-AVERAGE($B$2:$B$242))</x:f>
        <x:v>14641.123866777607</x:v>
      </x:c>
      <x:c r="L66" s="24" t="n">
        <x:f>B66-K66</x:f>
        <x:v>-14327.84068835103</x:v>
      </x:c>
      <x:c r="M66" s="24" t="n">
        <x:f>2*Subsurface_Inputs!$C$34*F66/Subsurface_Inputs!$C$35*1000000</x:f>
        <x:v>12.975685788740732</x:v>
      </x:c>
      <x:c r="N66" s="24" t="n">
        <x:f>2*Subsurface_Inputs!$C$34*I66/Subsurface_Inputs!$C$35*1000000</x:f>
        <x:v>54.90707556282186</x:v>
      </x:c>
      <x:c r="O66" s="24" t="n">
        <x:f>2*Subsurface_Inputs!$C$34*K66/Subsurface_Inputs!$C$35*1000000</x:f>
        <x:v>173.8616151768844</x:v>
      </x:c>
      <x:c r="P66" s="24" t="n">
        <x:f>Subsurface_Inputs!$C$37-2*Subsurface_Inputs!$C$36*(F66/1000)</x:f>
        <x:v>-11.966860372560689</x:v>
      </x:c>
      <x:c r="Q66" s="24" t="n">
        <x:f>Subsurface_Inputs!$C$38+Subsurface_Inputs!$C$39*H66-2*Subsurface_Inputs!$C$36*(I66/1000)</x:f>
        <x:v>-24.430194805849233</x:v>
      </x:c>
      <x:c r="R66" s="24" t="n">
        <x:f>Subsurface_Inputs!$C$40-2*Subsurface_Inputs!$C$36*(K66/1000)-Subsurface_Inputs!$C$41*ABS(L66-AVERAGE($L$2:$L$242))</x:f>
        <x:v>-34.090490720766944</x:v>
      </x:c>
      <x:c r="S66" s="24" t="n">
        <x:f>K66-AVERAGE($K$2:$K$242)</x:f>
        <x:v>-436.2608287965031</x:v>
      </x:c>
      <x:c r="T66" s="24" t="n">
        <x:f>K66/F66</x:f>
        <x:v>13.39903092657713</x:v>
      </x:c>
      <x:c r="U66" s="25" t="str">
        <x:f>IF(H66&gt;=Subsurface_Inputs!$C$42,"Lens visible","Weak/no lens")</x:f>
        <x:v>Lens visible</x:v>
      </x:c>
      <x:c r="V66" s="25" t="str">
        <x:f>IF(R66&gt;=W66,"Likely visible","Weak")</x:f>
        <x:v>Likely visible</x:v>
      </x:c>
      <x:c r="W66" s="24" t="n">
        <x:f>Subsurface_Inputs!$C$43</x:f>
        <x:v>-45</x:v>
      </x:c>
      <x:c r="X66" s="24" t="n">
        <x:f>Q66-W66</x:f>
        <x:v>20.569805194150767</x:v>
      </x:c>
      <x:c r="Y66" s="24" t="n">
        <x:f>R66-W66</x:f>
        <x:v>10.909509279233056</x:v>
      </x:c>
      <x:c r="Z66" s="24" t="n">
        <x:f>MAX(Q66,R66)-W66</x:f>
        <x:v>20.569805194150767</x:v>
      </x:c>
      <x:c r="AA66" s="24" t="n">
        <x:v>0</x:v>
      </x:c>
    </x:row>
    <x:row r="67">
      <x:c r="A67" s="24" t="n">
        <x:f>Model_Data!A67</x:f>
        <x:v>-27.5</x:v>
      </x:c>
      <x:c r="B67" s="24" t="n">
        <x:f>Model_Data!Y67</x:f>
        <x:v>296.8437612590685</x:v>
      </x:c>
      <x:c r="C67" s="24" t="n">
        <x:f>Model_Data!X67</x:f>
        <x:v>-63.02108594889231</x:v>
      </x:c>
      <x:c r="D67" s="24" t="n">
        <x:f>Model_Data!B67</x:f>
        <x:v>400.84027777777777</x:v>
      </x:c>
      <x:c r="E67" s="24" t="n">
        <x:f>Inputs!$C$6</x:f>
        <x:v>25</x:v>
      </x:c>
      <x:c r="F67" s="24" t="n">
        <x:f>Subsurface_Inputs!$C$5+Subsurface_Inputs!$C$6*SIN(2*PI()*(A67+Subsurface_Inputs!$C$7)/Subsurface_Inputs!$C$8)+Subsurface_Inputs!$C$9*COS(2*PI()*A67/Subsurface_Inputs!$C$10)+Subsurface_Inputs!$C$11*(B67-AVERAGE($B$2:$B$242))</x:f>
        <x:v>1089.349444497371</x:v>
      </x:c>
      <x:c r="G67" s="24" t="n">
        <x:f>B67-F67</x:f>
        <x:v>-792.5056832383025</x:v>
      </x:c>
      <x:c r="H67" s="24" t="n">
        <x:f>MIN(1,MAX(0,Subsurface_Inputs!$C$13*EXP(-0.5*((A67-Subsurface_Inputs!$C$14)/Subsurface_Inputs!$C$15)^2)+Subsurface_Inputs!$C$16*EXP(-0.5*((A67-Subsurface_Inputs!$C$17)/Subsurface_Inputs!$C$18)^2)))</x:f>
        <x:v>0.8935586602003637</x:v>
      </x:c>
      <x:c r="I67" s="24" t="n">
        <x:f>Subsurface_Inputs!$C$19+Subsurface_Inputs!$C$20*SIN(2*PI()*(A67-Subsurface_Inputs!$C$21)/Subsurface_Inputs!$C$22)-Subsurface_Inputs!$C$23*H67</x:f>
        <x:v>4602.890795551278</x:v>
      </x:c>
      <x:c r="J67" s="24" t="n">
        <x:f>B67-I67</x:f>
        <x:v>-4306.047034292209</x:v>
      </x:c>
      <x:c r="K67" s="24" t="n">
        <x:f>Subsurface_Inputs!$C$25+Subsurface_Inputs!$C$26*SIN(2*PI()*(A67+Subsurface_Inputs!$C$27)/Subsurface_Inputs!$C$28)+Subsurface_Inputs!$C$29*COS(2*PI()*(A67-Subsurface_Inputs!$C$30)/Subsurface_Inputs!$C$31)-Subsurface_Inputs!$C$32*(B67-AVERAGE($B$2:$B$242))</x:f>
        <x:v>14653.311244711229</x:v>
      </x:c>
      <x:c r="L67" s="24" t="n">
        <x:f>B67-K67</x:f>
        <x:v>-14356.467483452161</x:v>
      </x:c>
      <x:c r="M67" s="24" t="n">
        <x:f>2*Subsurface_Inputs!$C$34*F67/Subsurface_Inputs!$C$35*1000000</x:f>
        <x:v>12.935895880378155</x:v>
      </x:c>
      <x:c r="N67" s="24" t="n">
        <x:f>2*Subsurface_Inputs!$C$34*I67/Subsurface_Inputs!$C$35*1000000</x:f>
        <x:v>54.658784085097125</x:v>
      </x:c>
      <x:c r="O67" s="24" t="n">
        <x:f>2*Subsurface_Inputs!$C$34*K67/Subsurface_Inputs!$C$35*1000000</x:f>
        <x:v>174.0063388491647</x:v>
      </x:c>
      <x:c r="P67" s="24" t="n">
        <x:f>Subsurface_Inputs!$C$37-2*Subsurface_Inputs!$C$36*(F67/1000)</x:f>
        <x:v>-11.960829000095268</x:v>
      </x:c>
      <x:c r="Q67" s="24" t="n">
        <x:f>Subsurface_Inputs!$C$38+Subsurface_Inputs!$C$39*H67-2*Subsurface_Inputs!$C$36*(I67/1000)</x:f>
        <x:v>-24.243175490189028</x:v>
      </x:c>
      <x:c r="R67" s="24" t="n">
        <x:f>Subsurface_Inputs!$C$40-2*Subsurface_Inputs!$C$36*(K67/1000)-Subsurface_Inputs!$C$41*ABS(L67-AVERAGE($L$2:$L$242))</x:f>
        <x:v>-33.99792082064294</x:v>
      </x:c>
      <x:c r="S67" s="24" t="n">
        <x:f>K67-AVERAGE($K$2:$K$242)</x:f>
        <x:v>-424.07345086288115</x:v>
      </x:c>
      <x:c r="T67" s="24" t="n">
        <x:f>K67/F67</x:f>
        <x:v>13.451433163829545</x:v>
      </x:c>
      <x:c r="U67" s="25" t="str">
        <x:f>IF(H67&gt;=Subsurface_Inputs!$C$42,"Lens visible","Weak/no lens")</x:f>
        <x:v>Lens visible</x:v>
      </x:c>
      <x:c r="V67" s="25" t="str">
        <x:f>IF(R67&gt;=W67,"Likely visible","Weak")</x:f>
        <x:v>Likely visible</x:v>
      </x:c>
      <x:c r="W67" s="24" t="n">
        <x:f>Subsurface_Inputs!$C$43</x:f>
        <x:v>-45</x:v>
      </x:c>
      <x:c r="X67" s="24" t="n">
        <x:f>Q67-W67</x:f>
        <x:v>20.756824509810972</x:v>
      </x:c>
      <x:c r="Y67" s="24" t="n">
        <x:f>R67-W67</x:f>
        <x:v>11.002079179357061</x:v>
      </x:c>
      <x:c r="Z67" s="24" t="n">
        <x:f>MAX(Q67,R67)-W67</x:f>
        <x:v>20.756824509810972</x:v>
      </x:c>
      <x:c r="AA67" s="24" t="n">
        <x:v>0</x:v>
      </x:c>
    </x:row>
    <x:row r="68">
      <x:c r="A68" s="24" t="n">
        <x:f>Model_Data!A68</x:f>
        <x:v>-27</x:v>
      </x:c>
      <x:c r="B68" s="24" t="n">
        <x:f>Model_Data!Y68</x:f>
        <x:v>289.34226854097847</x:v>
      </x:c>
      <x:c r="C68" s="24" t="n">
        <x:f>Model_Data!X68</x:f>
        <x:v>-69.67153928411518</x:v>
      </x:c>
      <x:c r="D68" s="24" t="n">
        <x:f>Model_Data!B68</x:f>
        <x:v>400.81</x:v>
      </x:c>
      <x:c r="E68" s="24" t="n">
        <x:f>Inputs!$C$6</x:f>
        <x:v>25</x:v>
      </x:c>
      <x:c r="F68" s="24" t="n">
        <x:f>Subsurface_Inputs!$C$5+Subsurface_Inputs!$C$6*SIN(2*PI()*(A68+Subsurface_Inputs!$C$7)/Subsurface_Inputs!$C$8)+Subsurface_Inputs!$C$9*COS(2*PI()*A68/Subsurface_Inputs!$C$10)+Subsurface_Inputs!$C$11*(B68-AVERAGE($B$2:$B$242))</x:f>
        <x:v>1086.429301032078</x:v>
      </x:c>
      <x:c r="G68" s="24" t="n">
        <x:f>B68-F68</x:f>
        <x:v>-797.0870324910995</x:v>
      </x:c>
      <x:c r="H68" s="24" t="n">
        <x:f>MIN(1,MAX(0,Subsurface_Inputs!$C$13*EXP(-0.5*((A68-Subsurface_Inputs!$C$14)/Subsurface_Inputs!$C$15)^2)+Subsurface_Inputs!$C$16*EXP(-0.5*((A68-Subsurface_Inputs!$C$17)/Subsurface_Inputs!$C$18)^2)))</x:f>
        <x:v>0.9081976077480743</x:v>
      </x:c>
      <x:c r="I68" s="24" t="n">
        <x:f>Subsurface_Inputs!$C$19+Subsurface_Inputs!$C$20*SIN(2*PI()*(A68-Subsurface_Inputs!$C$21)/Subsurface_Inputs!$C$22)-Subsurface_Inputs!$C$23*H68</x:f>
        <x:v>4582.86687082678</x:v>
      </x:c>
      <x:c r="J68" s="24" t="n">
        <x:f>B68-I68</x:f>
        <x:v>-4293.524602285801</x:v>
      </x:c>
      <x:c r="K68" s="24" t="n">
        <x:f>Subsurface_Inputs!$C$25+Subsurface_Inputs!$C$26*SIN(2*PI()*(A68+Subsurface_Inputs!$C$27)/Subsurface_Inputs!$C$28)+Subsurface_Inputs!$C$29*COS(2*PI()*(A68-Subsurface_Inputs!$C$30)/Subsurface_Inputs!$C$31)-Subsurface_Inputs!$C$32*(B68-AVERAGE($B$2:$B$242))</x:f>
        <x:v>14665.036556690677</x:v>
      </x:c>
      <x:c r="L68" s="24" t="n">
        <x:f>B68-K68</x:f>
        <x:v>-14375.694288149698</x:v>
      </x:c>
      <x:c r="M68" s="24" t="n">
        <x:f>2*Subsurface_Inputs!$C$34*F68/Subsurface_Inputs!$C$35*1000000</x:f>
        <x:v>12.901219521920721</x:v>
      </x:c>
      <x:c r="N68" s="24" t="n">
        <x:f>2*Subsurface_Inputs!$C$34*I68/Subsurface_Inputs!$C$35*1000000</x:f>
        <x:v>54.421002346040794</x:v>
      </x:c>
      <x:c r="O68" s="24" t="n">
        <x:f>2*Subsurface_Inputs!$C$34*K68/Subsurface_Inputs!$C$35*1000000</x:f>
        <x:v>174.14557554286043</x:v>
      </x:c>
      <x:c r="P68" s="24" t="n">
        <x:f>Subsurface_Inputs!$C$37-2*Subsurface_Inputs!$C$36*(F68/1000)</x:f>
        <x:v>-11.95557274185774</x:v>
      </x:c>
      <x:c r="Q68" s="24" t="n">
        <x:f>Subsurface_Inputs!$C$38+Subsurface_Inputs!$C$39*H68-2*Subsurface_Inputs!$C$36*(I68/1000)</x:f>
        <x:v>-24.075381897755534</x:v>
      </x:c>
      <x:c r="R68" s="24" t="n">
        <x:f>Subsurface_Inputs!$C$40-2*Subsurface_Inputs!$C$36*(K68/1000)-Subsurface_Inputs!$C$41*ABS(L68-AVERAGE($L$2:$L$242))</x:f>
        <x:v>-33.942119163415796</x:v>
      </x:c>
      <x:c r="S68" s="24" t="n">
        <x:f>K68-AVERAGE($K$2:$K$242)</x:f>
        <x:v>-412.3481388834334</x:v>
      </x:c>
      <x:c r="T68" s="24" t="n">
        <x:f>K68/F68</x:f>
        <x:v>13.4983809280174</x:v>
      </x:c>
      <x:c r="U68" s="25" t="str">
        <x:f>IF(H68&gt;=Subsurface_Inputs!$C$42,"Lens visible","Weak/no lens")</x:f>
        <x:v>Lens visible</x:v>
      </x:c>
      <x:c r="V68" s="25" t="str">
        <x:f>IF(R68&gt;=W68,"Likely visible","Weak")</x:f>
        <x:v>Likely visible</x:v>
      </x:c>
      <x:c r="W68" s="24" t="n">
        <x:f>Subsurface_Inputs!$C$43</x:f>
        <x:v>-45</x:v>
      </x:c>
      <x:c r="X68" s="24" t="n">
        <x:f>Q68-W68</x:f>
        <x:v>20.924618102244466</x:v>
      </x:c>
      <x:c r="Y68" s="24" t="n">
        <x:f>R68-W68</x:f>
        <x:v>11.057880836584204</x:v>
      </x:c>
      <x:c r="Z68" s="24" t="n">
        <x:f>MAX(Q68,R68)-W68</x:f>
        <x:v>20.924618102244466</x:v>
      </x:c>
      <x:c r="AA68" s="24" t="n">
        <x:v>0</x:v>
      </x:c>
    </x:row>
    <x:row r="69">
      <x:c r="A69" s="24" t="n">
        <x:f>Model_Data!A69</x:f>
        <x:v>-26.5</x:v>
      </x:c>
      <x:c r="B69" s="24" t="n">
        <x:f>Model_Data!Y69</x:f>
        <x:v>290.55977847508683</x:v>
      </x:c>
      <x:c r="C69" s="24" t="n">
        <x:f>Model_Data!X69</x:f>
        <x:v>-78.11942002863731</x:v>
      </x:c>
      <x:c r="D69" s="24" t="n">
        <x:f>Model_Data!B69</x:f>
        <x:v>400.78027777777777</x:v>
      </x:c>
      <x:c r="E69" s="24" t="n">
        <x:f>Inputs!$C$6</x:f>
        <x:v>25</x:v>
      </x:c>
      <x:c r="F69" s="24" t="n">
        <x:f>Subsurface_Inputs!$C$5+Subsurface_Inputs!$C$6*SIN(2*PI()*(A69+Subsurface_Inputs!$C$7)/Subsurface_Inputs!$C$8)+Subsurface_Inputs!$C$9*COS(2*PI()*A69/Subsurface_Inputs!$C$10)+Subsurface_Inputs!$C$11*(B69-AVERAGE($B$2:$B$242))</x:f>
        <x:v>1083.8477594852473</x:v>
      </x:c>
      <x:c r="G69" s="24" t="n">
        <x:f>B69-F69</x:f>
        <x:v>-793.2879810101604</x:v>
      </x:c>
      <x:c r="H69" s="24" t="n">
        <x:f>MIN(1,MAX(0,Subsurface_Inputs!$C$13*EXP(-0.5*((A69-Subsurface_Inputs!$C$14)/Subsurface_Inputs!$C$15)^2)+Subsurface_Inputs!$C$16*EXP(-0.5*((A69-Subsurface_Inputs!$C$17)/Subsurface_Inputs!$C$18)^2)))</x:f>
        <x:v>0.9207715727628553</x:v>
      </x:c>
      <x:c r="I69" s="24" t="n">
        <x:f>Subsurface_Inputs!$C$19+Subsurface_Inputs!$C$20*SIN(2*PI()*(A69-Subsurface_Inputs!$C$21)/Subsurface_Inputs!$C$22)-Subsurface_Inputs!$C$23*H69</x:f>
        <x:v>4563.7776088342625</x:v>
      </x:c>
      <x:c r="J69" s="24" t="n">
        <x:f>B69-I69</x:f>
        <x:v>-4273.217830359175</x:v>
      </x:c>
      <x:c r="K69" s="24" t="n">
        <x:f>Subsurface_Inputs!$C$25+Subsurface_Inputs!$C$26*SIN(2*PI()*(A69+Subsurface_Inputs!$C$27)/Subsurface_Inputs!$C$28)+Subsurface_Inputs!$C$29*COS(2*PI()*(A69-Subsurface_Inputs!$C$30)/Subsurface_Inputs!$C$31)-Subsurface_Inputs!$C$32*(B69-AVERAGE($B$2:$B$242))</x:f>
        <x:v>14676.338809952047</x:v>
      </x:c>
      <x:c r="L69" s="24" t="n">
        <x:f>B69-K69</x:f>
        <x:v>-14385.77903147696</x:v>
      </x:c>
      <x:c r="M69" s="24" t="n">
        <x:f>2*Subsurface_Inputs!$C$34*F69/Subsurface_Inputs!$C$35*1000000</x:f>
        <x:v>12.870564021218573</x:v>
      </x:c>
      <x:c r="N69" s="24" t="n">
        <x:f>2*Subsurface_Inputs!$C$34*I69/Subsurface_Inputs!$C$35*1000000</x:f>
        <x:v>54.19431961643937</x:v>
      </x:c>
      <x:c r="O69" s="24" t="n">
        <x:f>2*Subsurface_Inputs!$C$34*K69/Subsurface_Inputs!$C$35*1000000</x:f>
        <x:v>174.27978846428914</x:v>
      </x:c>
      <x:c r="P69" s="24" t="n">
        <x:f>Subsurface_Inputs!$C$37-2*Subsurface_Inputs!$C$36*(F69/1000)</x:f>
        <x:v>-11.950925967073445</x:v>
      </x:c>
      <x:c r="Q69" s="24" t="n">
        <x:f>Subsurface_Inputs!$C$38+Subsurface_Inputs!$C$39*H69-2*Subsurface_Inputs!$C$36*(I69/1000)</x:f>
        <x:v>-23.927855541035974</x:v>
      </x:c>
      <x:c r="R69" s="24" t="n">
        <x:f>Subsurface_Inputs!$C$40-2*Subsurface_Inputs!$C$36*(K69/1000)-Subsurface_Inputs!$C$41*ABS(L69-AVERAGE($L$2:$L$242))</x:f>
        <x:v>-33.92212424597721</x:v>
      </x:c>
      <x:c r="S69" s="24" t="n">
        <x:f>K69-AVERAGE($K$2:$K$242)</x:f>
        <x:v>-401.045885622063</x:v>
      </x:c>
      <x:c r="T69" s="24" t="n">
        <x:f>K69/F69</x:f>
        <x:v>13.540959679542349</x:v>
      </x:c>
      <x:c r="U69" s="25" t="str">
        <x:f>IF(H69&gt;=Subsurface_Inputs!$C$42,"Lens visible","Weak/no lens")</x:f>
        <x:v>Lens visible</x:v>
      </x:c>
      <x:c r="V69" s="25" t="str">
        <x:f>IF(R69&gt;=W69,"Likely visible","Weak")</x:f>
        <x:v>Likely visible</x:v>
      </x:c>
      <x:c r="W69" s="24" t="n">
        <x:f>Subsurface_Inputs!$C$43</x:f>
        <x:v>-45</x:v>
      </x:c>
      <x:c r="X69" s="24" t="n">
        <x:f>Q69-W69</x:f>
        <x:v>21.072144458964026</x:v>
      </x:c>
      <x:c r="Y69" s="24" t="n">
        <x:f>R69-W69</x:f>
        <x:v>11.077875754022791</x:v>
      </x:c>
      <x:c r="Z69" s="24" t="n">
        <x:f>MAX(Q69,R69)-W69</x:f>
        <x:v>21.072144458964026</x:v>
      </x:c>
      <x:c r="AA69" s="24" t="n">
        <x:v>0</x:v>
      </x:c>
    </x:row>
    <x:row r="70">
      <x:c r="A70" s="24" t="n">
        <x:f>Model_Data!A70</x:f>
        <x:v>-26</x:v>
      </x:c>
      <x:c r="B70" s="24" t="n">
        <x:f>Model_Data!Y70</x:f>
        <x:v>271.74352983421755</x:v>
      </x:c>
      <x:c r="C70" s="24" t="n">
        <x:f>Model_Data!X70</x:f>
        <x:v>-82.17349441978894</x:v>
      </x:c>
      <x:c r="D70" s="24" t="n">
        <x:f>Model_Data!B70</x:f>
        <x:v>400.75111111111113</x:v>
      </x:c>
      <x:c r="E70" s="24" t="n">
        <x:f>Inputs!$C$6</x:f>
        <x:v>25</x:v>
      </x:c>
      <x:c r="F70" s="24" t="n">
        <x:f>Subsurface_Inputs!$C$5+Subsurface_Inputs!$C$6*SIN(2*PI()*(A70+Subsurface_Inputs!$C$7)/Subsurface_Inputs!$C$8)+Subsurface_Inputs!$C$9*COS(2*PI()*A70/Subsurface_Inputs!$C$10)+Subsurface_Inputs!$C$11*(B70-AVERAGE($B$2:$B$242))</x:f>
        <x:v>1080.3782090598897</x:v>
      </x:c>
      <x:c r="G70" s="24" t="n">
        <x:f>B70-F70</x:f>
        <x:v>-808.6346792256722</x:v>
      </x:c>
      <x:c r="H70" s="24" t="n">
        <x:f>MIN(1,MAX(0,Subsurface_Inputs!$C$13*EXP(-0.5*((A70-Subsurface_Inputs!$C$14)/Subsurface_Inputs!$C$15)^2)+Subsurface_Inputs!$C$16*EXP(-0.5*((A70-Subsurface_Inputs!$C$17)/Subsurface_Inputs!$C$18)^2)))</x:f>
        <x:v>0.9311887396574456</x:v>
      </x:c>
      <x:c r="I70" s="24" t="n">
        <x:f>Subsurface_Inputs!$C$19+Subsurface_Inputs!$C$20*SIN(2*PI()*(A70-Subsurface_Inputs!$C$21)/Subsurface_Inputs!$C$22)-Subsurface_Inputs!$C$23*H70</x:f>
        <x:v>4545.668632472401</x:v>
      </x:c>
      <x:c r="J70" s="24" t="n">
        <x:f>B70-I70</x:f>
        <x:v>-4273.9251026381835</x:v>
      </x:c>
      <x:c r="K70" s="24" t="n">
        <x:f>Subsurface_Inputs!$C$25+Subsurface_Inputs!$C$26*SIN(2*PI()*(A70+Subsurface_Inputs!$C$27)/Subsurface_Inputs!$C$28)+Subsurface_Inputs!$C$29*COS(2*PI()*(A70-Subsurface_Inputs!$C$30)/Subsurface_Inputs!$C$31)-Subsurface_Inputs!$C$32*(B70-AVERAGE($B$2:$B$242))</x:f>
        <x:v>14691.249740602572</x:v>
      </x:c>
      <x:c r="L70" s="24" t="n">
        <x:f>B70-K70</x:f>
        <x:v>-14419.506210768355</x:v>
      </x:c>
      <x:c r="M70" s="24" t="n">
        <x:f>2*Subsurface_Inputs!$C$34*F70/Subsurface_Inputs!$C$35*1000000</x:f>
        <x:v>12.82936352005629</x:v>
      </x:c>
      <x:c r="N70" s="24" t="n">
        <x:f>2*Subsurface_Inputs!$C$34*I70/Subsurface_Inputs!$C$35*1000000</x:f>
        <x:v>53.979277662821495</x:v>
      </x:c>
      <x:c r="O70" s="24" t="n">
        <x:f>2*Subsurface_Inputs!$C$34*K70/Subsurface_Inputs!$C$35*1000000</x:f>
        <x:v>174.45685400312894</x:v>
      </x:c>
      <x:c r="P70" s="24" t="n">
        <x:f>Subsurface_Inputs!$C$37-2*Subsurface_Inputs!$C$36*(F70/1000)</x:f>
        <x:v>-11.944680776307802</x:v>
      </x:c>
      <x:c r="Q70" s="24" t="n">
        <x:f>Subsurface_Inputs!$C$38+Subsurface_Inputs!$C$39*H70-2*Subsurface_Inputs!$C$36*(I70/1000)</x:f>
        <x:v>-23.80150488153331</x:v>
      </x:c>
      <x:c r="R70" s="24" t="n">
        <x:f>Subsurface_Inputs!$C$40-2*Subsurface_Inputs!$C$36*(K70/1000)-Subsurface_Inputs!$C$41*ABS(L70-AVERAGE($L$2:$L$242))</x:f>
        <x:v>-33.814055203982576</x:v>
      </x:c>
      <x:c r="S70" s="24" t="n">
        <x:f>K70-AVERAGE($K$2:$K$242)</x:f>
        <x:v>-386.1349549715378</x:v>
      </x:c>
      <x:c r="T70" s="24" t="n">
        <x:f>K70/F70</x:f>
        <x:v>13.598247000359645</x:v>
      </x:c>
      <x:c r="U70" s="25" t="str">
        <x:f>IF(H70&gt;=Subsurface_Inputs!$C$42,"Lens visible","Weak/no lens")</x:f>
        <x:v>Lens visible</x:v>
      </x:c>
      <x:c r="V70" s="25" t="str">
        <x:f>IF(R70&gt;=W70,"Likely visible","Weak")</x:f>
        <x:v>Likely visible</x:v>
      </x:c>
      <x:c r="W70" s="24" t="n">
        <x:f>Subsurface_Inputs!$C$43</x:f>
        <x:v>-45</x:v>
      </x:c>
      <x:c r="X70" s="24" t="n">
        <x:f>Q70-W70</x:f>
        <x:v>21.19849511846669</x:v>
      </x:c>
      <x:c r="Y70" s="24" t="n">
        <x:f>R70-W70</x:f>
        <x:v>11.185944796017424</x:v>
      </x:c>
      <x:c r="Z70" s="24" t="n">
        <x:f>MAX(Q70,R70)-W70</x:f>
        <x:v>21.19849511846669</x:v>
      </x:c>
      <x:c r="AA70" s="24" t="n">
        <x:v>0</x:v>
      </x:c>
    </x:row>
    <x:row r="71">
      <x:c r="A71" s="24" t="n">
        <x:f>Model_Data!A71</x:f>
        <x:v>-25.5</x:v>
      </x:c>
      <x:c r="B71" s="24" t="n">
        <x:f>Model_Data!Y71</x:f>
        <x:v>271.72277085410076</x:v>
      </x:c>
      <x:c r="C71" s="24" t="n">
        <x:f>Model_Data!X71</x:f>
        <x:v>-104.31813701930129</x:v>
      </x:c>
      <x:c r="D71" s="24" t="n">
        <x:f>Model_Data!B71</x:f>
        <x:v>400.7225</x:v>
      </x:c>
      <x:c r="E71" s="24" t="n">
        <x:f>Inputs!$C$6</x:f>
        <x:v>25</x:v>
      </x:c>
      <x:c r="F71" s="24" t="n">
        <x:f>Subsurface_Inputs!$C$5+Subsurface_Inputs!$C$6*SIN(2*PI()*(A71+Subsurface_Inputs!$C$7)/Subsurface_Inputs!$C$8)+Subsurface_Inputs!$C$9*COS(2*PI()*A71/Subsurface_Inputs!$C$10)+Subsurface_Inputs!$C$11*(B71-AVERAGE($B$2:$B$242))</x:f>
        <x:v>1077.506206100406</x:v>
      </x:c>
      <x:c r="G71" s="24" t="n">
        <x:f>B71-F71</x:f>
        <x:v>-805.7834352463052</x:v>
      </x:c>
      <x:c r="H71" s="24" t="n">
        <x:f>MIN(1,MAX(0,Subsurface_Inputs!$C$13*EXP(-0.5*((A71-Subsurface_Inputs!$C$14)/Subsurface_Inputs!$C$15)^2)+Subsurface_Inputs!$C$16*EXP(-0.5*((A71-Subsurface_Inputs!$C$17)/Subsurface_Inputs!$C$18)^2)))</x:f>
        <x:v>0.9393723924054478</x:v>
      </x:c>
      <x:c r="I71" s="24" t="n">
        <x:f>Subsurface_Inputs!$C$19+Subsurface_Inputs!$C$20*SIN(2*PI()*(A71-Subsurface_Inputs!$C$21)/Subsurface_Inputs!$C$22)-Subsurface_Inputs!$C$23*H71</x:f>
        <x:v>4528.581261736598</x:v>
      </x:c>
      <x:c r="J71" s="24" t="n">
        <x:f>B71-I71</x:f>
        <x:v>-4256.858490882498</x:v>
      </x:c>
      <x:c r="K71" s="24" t="n">
        <x:f>Subsurface_Inputs!$C$25+Subsurface_Inputs!$C$26*SIN(2*PI()*(A71+Subsurface_Inputs!$C$27)/Subsurface_Inputs!$C$28)+Subsurface_Inputs!$C$29*COS(2*PI()*(A71-Subsurface_Inputs!$C$30)/Subsurface_Inputs!$C$31)-Subsurface_Inputs!$C$32*(B71-AVERAGE($B$2:$B$242))</x:f>
        <x:v>14704.33755909024</x:v>
      </x:c>
      <x:c r="L71" s="24" t="n">
        <x:f>B71-K71</x:f>
        <x:v>-14432.614788236138</x:v>
      </x:c>
      <x:c r="M71" s="24" t="n">
        <x:f>2*Subsurface_Inputs!$C$34*F71/Subsurface_Inputs!$C$35*1000000</x:f>
        <x:v>12.795258824414606</x:v>
      </x:c>
      <x:c r="N71" s="24" t="n">
        <x:f>2*Subsurface_Inputs!$C$34*I71/Subsurface_Inputs!$C$35*1000000</x:f>
        <x:v>53.77636715524808</x:v>
      </x:c>
      <x:c r="O71" s="24" t="n">
        <x:f>2*Subsurface_Inputs!$C$34*K71/Subsurface_Inputs!$C$35*1000000</x:f>
        <x:v>174.61227030054656</x:v>
      </x:c>
      <x:c r="P71" s="24" t="n">
        <x:f>Subsurface_Inputs!$C$37-2*Subsurface_Inputs!$C$36*(F71/1000)</x:f>
        <x:v>-11.939511170980731</x:v>
      </x:c>
      <x:c r="Q71" s="24" t="n">
        <x:f>Subsurface_Inputs!$C$38+Subsurface_Inputs!$C$39*H71-2*Subsurface_Inputs!$C$36*(I71/1000)</x:f>
        <x:v>-23.697094739476846</x:v>
      </x:c>
      <x:c r="R71" s="24" t="n">
        <x:f>Subsurface_Inputs!$C$40-2*Subsurface_Inputs!$C$36*(K71/1000)-Subsurface_Inputs!$C$41*ABS(L71-AVERAGE($L$2:$L$242))</x:f>
        <x:v>-33.78517896738924</x:v>
      </x:c>
      <x:c r="S71" s="24" t="n">
        <x:f>K71-AVERAGE($K$2:$K$242)</x:f>
        <x:v>-373.0471364838704</x:v>
      </x:c>
      <x:c r="T71" s="24" t="n">
        <x:f>K71/F71</x:f>
        <x:v>13.64663839135237</x:v>
      </x:c>
      <x:c r="U71" s="25" t="str">
        <x:f>IF(H71&gt;=Subsurface_Inputs!$C$42,"Lens visible","Weak/no lens")</x:f>
        <x:v>Lens visible</x:v>
      </x:c>
      <x:c r="V71" s="25" t="str">
        <x:f>IF(R71&gt;=W71,"Likely visible","Weak")</x:f>
        <x:v>Likely visible</x:v>
      </x:c>
      <x:c r="W71" s="24" t="n">
        <x:f>Subsurface_Inputs!$C$43</x:f>
        <x:v>-45</x:v>
      </x:c>
      <x:c r="X71" s="24" t="n">
        <x:f>Q71-W71</x:f>
        <x:v>21.302905260523154</x:v>
      </x:c>
      <x:c r="Y71" s="24" t="n">
        <x:f>R71-W71</x:f>
        <x:v>11.214821032610757</x:v>
      </x:c>
      <x:c r="Z71" s="24" t="n">
        <x:f>MAX(Q71,R71)-W71</x:f>
        <x:v>21.302905260523154</x:v>
      </x:c>
      <x:c r="AA71" s="24" t="n">
        <x:v>0</x:v>
      </x:c>
    </x:row>
    <x:row r="72">
      <x:c r="A72" s="24" t="n">
        <x:f>Model_Data!A72</x:f>
        <x:v>-25</x:v>
      </x:c>
      <x:c r="B72" s="24" t="n">
        <x:f>Model_Data!Y72</x:f>
        <x:v>260.2713841318971</x:v>
      </x:c>
      <x:c r="C72" s="24" t="n">
        <x:f>Model_Data!X72</x:f>
        <x:v>-97.55297588358108</x:v>
      </x:c>
      <x:c r="D72" s="24" t="n">
        <x:f>Model_Data!B72</x:f>
        <x:v>400.69444444444446</x:v>
      </x:c>
      <x:c r="E72" s="24" t="n">
        <x:f>Inputs!$C$6</x:f>
        <x:v>25</x:v>
      </x:c>
      <x:c r="F72" s="24" t="n">
        <x:f>Subsurface_Inputs!$C$5+Subsurface_Inputs!$C$6*SIN(2*PI()*(A72+Subsurface_Inputs!$C$7)/Subsurface_Inputs!$C$8)+Subsurface_Inputs!$C$9*COS(2*PI()*A72/Subsurface_Inputs!$C$10)+Subsurface_Inputs!$C$11*(B72-AVERAGE($B$2:$B$242))</x:f>
        <x:v>1073.9658997599292</x:v>
      </x:c>
      <x:c r="G72" s="24" t="n">
        <x:f>B72-F72</x:f>
        <x:v>-813.6945156280321</x:v>
      </x:c>
      <x:c r="H72" s="24" t="n">
        <x:f>MIN(1,MAX(0,Subsurface_Inputs!$C$13*EXP(-0.5*((A72-Subsurface_Inputs!$C$14)/Subsurface_Inputs!$C$15)^2)+Subsurface_Inputs!$C$16*EXP(-0.5*((A72-Subsurface_Inputs!$C$17)/Subsurface_Inputs!$C$18)^2)))</x:f>
        <x:v>0.9452618552711984</x:v>
      </x:c>
      <x:c r="I72" s="24" t="n">
        <x:f>Subsurface_Inputs!$C$19+Subsurface_Inputs!$C$20*SIN(2*PI()*(A72-Subsurface_Inputs!$C$21)/Subsurface_Inputs!$C$22)-Subsurface_Inputs!$C$23*H72</x:f>
        <x:v>4512.552254322947</x:v>
      </x:c>
      <x:c r="J72" s="24" t="n">
        <x:f>B72-I72</x:f>
        <x:v>-4252.28087019105</x:v>
      </x:c>
      <x:c r="K72" s="24" t="n">
        <x:f>Subsurface_Inputs!$C$25+Subsurface_Inputs!$C$26*SIN(2*PI()*(A72+Subsurface_Inputs!$C$27)/Subsurface_Inputs!$C$28)+Subsurface_Inputs!$C$29*COS(2*PI()*(A72-Subsurface_Inputs!$C$30)/Subsurface_Inputs!$C$31)-Subsurface_Inputs!$C$32*(B72-AVERAGE($B$2:$B$242))</x:f>
        <x:v>14719.836152269878</x:v>
      </x:c>
      <x:c r="L72" s="24" t="n">
        <x:f>B72-K72</x:f>
        <x:v>-14459.564768137981</x:v>
      </x:c>
      <x:c r="M72" s="24" t="n">
        <x:f>2*Subsurface_Inputs!$C$34*F72/Subsurface_Inputs!$C$35*1000000</x:f>
        <x:v>12.753218105124406</x:v>
      </x:c>
      <x:c r="N72" s="24" t="n">
        <x:f>2*Subsurface_Inputs!$C$34*I72/Subsurface_Inputs!$C$35*1000000</x:f>
        <x:v>53.5860245870151</x:v>
      </x:c>
      <x:c r="O72" s="24" t="n">
        <x:f>2*Subsurface_Inputs!$C$34*K72/Subsurface_Inputs!$C$35*1000000</x:f>
        <x:v>174.79631426245138</x:v>
      </x:c>
      <x:c r="P72" s="24" t="n">
        <x:f>Subsurface_Inputs!$C$37-2*Subsurface_Inputs!$C$36*(F72/1000)</x:f>
        <x:v>-11.933138619567872</x:v>
      </x:c>
      <x:c r="Q72" s="24" t="n">
        <x:f>Subsurface_Inputs!$C$38+Subsurface_Inputs!$C$39*H72-2*Subsurface_Inputs!$C$36*(I72/1000)</x:f>
        <x:v>-23.61523736034052</x:v>
      </x:c>
      <x:c r="R72" s="24" t="n">
        <x:f>Subsurface_Inputs!$C$40-2*Subsurface_Inputs!$C$36*(K72/1000)-Subsurface_Inputs!$C$41*ABS(L72-AVERAGE($L$2:$L$242))</x:f>
        <x:v>-33.70527651550522</x:v>
      </x:c>
      <x:c r="S72" s="24" t="n">
        <x:f>K72-AVERAGE($K$2:$K$242)</x:f>
        <x:v>-357.5485433042322</x:v>
      </x:c>
      <x:c r="T72" s="24" t="n">
        <x:f>K72/F72</x:f>
        <x:v>13.706055430214592</x:v>
      </x:c>
      <x:c r="U72" s="25" t="str">
        <x:f>IF(H72&gt;=Subsurface_Inputs!$C$42,"Lens visible","Weak/no lens")</x:f>
        <x:v>Lens visible</x:v>
      </x:c>
      <x:c r="V72" s="25" t="str">
        <x:f>IF(R72&gt;=W72,"Likely visible","Weak")</x:f>
        <x:v>Likely visible</x:v>
      </x:c>
      <x:c r="W72" s="24" t="n">
        <x:f>Subsurface_Inputs!$C$43</x:f>
        <x:v>-45</x:v>
      </x:c>
      <x:c r="X72" s="24" t="n">
        <x:f>Q72-W72</x:f>
        <x:v>21.38476263965948</x:v>
      </x:c>
      <x:c r="Y72" s="24" t="n">
        <x:f>R72-W72</x:f>
        <x:v>11.294723484494781</x:v>
      </x:c>
      <x:c r="Z72" s="24" t="n">
        <x:f>MAX(Q72,R72)-W72</x:f>
        <x:v>21.38476263965948</x:v>
      </x:c>
      <x:c r="AA72" s="24" t="n">
        <x:v>0</x:v>
      </x:c>
    </x:row>
    <x:row r="73">
      <x:c r="A73" s="24" t="n">
        <x:f>Model_Data!A73</x:f>
        <x:v>-24.5</x:v>
      </x:c>
      <x:c r="B73" s="24" t="n">
        <x:f>Model_Data!Y73</x:f>
        <x:v>276.49363528949897</x:v>
      </x:c>
      <x:c r="C73" s="24" t="n">
        <x:f>Model_Data!X73</x:f>
        <x:v>-113.61582851930044</x:v>
      </x:c>
      <x:c r="D73" s="24" t="n">
        <x:f>Model_Data!B73</x:f>
        <x:v>400.6669444444444</x:v>
      </x:c>
      <x:c r="E73" s="24" t="n">
        <x:f>Inputs!$C$6</x:f>
        <x:v>25</x:v>
      </x:c>
      <x:c r="F73" s="24" t="n">
        <x:f>Subsurface_Inputs!$C$5+Subsurface_Inputs!$C$6*SIN(2*PI()*(A73+Subsurface_Inputs!$C$7)/Subsurface_Inputs!$C$8)+Subsurface_Inputs!$C$9*COS(2*PI()*A73/Subsurface_Inputs!$C$10)+Subsurface_Inputs!$C$11*(B73-AVERAGE($B$2:$B$242))</x:f>
        <x:v>1071.277136928097</x:v>
      </x:c>
      <x:c r="G73" s="24" t="n">
        <x:f>B73-F73</x:f>
        <x:v>-794.783501638598</x:v>
      </x:c>
      <x:c r="H73" s="24" t="n">
        <x:f>MIN(1,MAX(0,Subsurface_Inputs!$C$13*EXP(-0.5*((A73-Subsurface_Inputs!$C$14)/Subsurface_Inputs!$C$15)^2)+Subsurface_Inputs!$C$16*EXP(-0.5*((A73-Subsurface_Inputs!$C$17)/Subsurface_Inputs!$C$18)^2)))</x:f>
        <x:v>0.9488132419368659</x:v>
      </x:c>
      <x:c r="I73" s="24" t="n">
        <x:f>Subsurface_Inputs!$C$19+Subsurface_Inputs!$C$20*SIN(2*PI()*(A73-Subsurface_Inputs!$C$21)/Subsurface_Inputs!$C$22)-Subsurface_Inputs!$C$23*H73</x:f>
        <x:v>4497.613593262742</x:v>
      </x:c>
      <x:c r="J73" s="24" t="n">
        <x:f>B73-I73</x:f>
        <x:v>-4221.119957973243</x:v>
      </x:c>
      <x:c r="K73" s="24" t="n">
        <x:f>Subsurface_Inputs!$C$25+Subsurface_Inputs!$C$26*SIN(2*PI()*(A73+Subsurface_Inputs!$C$27)/Subsurface_Inputs!$C$28)+Subsurface_Inputs!$C$29*COS(2*PI()*(A73-Subsurface_Inputs!$C$30)/Subsurface_Inputs!$C$31)-Subsurface_Inputs!$C$32*(B73-AVERAGE($B$2:$B$242))</x:f>
        <x:v>14732.271053468106</x:v>
      </x:c>
      <x:c r="L73" s="24" t="n">
        <x:f>B73-K73</x:f>
        <x:v>-14455.777418178608</x:v>
      </x:c>
      <x:c r="M73" s="24" t="n">
        <x:f>2*Subsurface_Inputs!$C$34*F73/Subsurface_Inputs!$C$35*1000000</x:f>
        <x:v>12.721289364337595</x:v>
      </x:c>
      <x:c r="N73" s="24" t="n">
        <x:f>2*Subsurface_Inputs!$C$34*I73/Subsurface_Inputs!$C$35*1000000</x:f>
        <x:v>53.40862975283842</x:v>
      </x:c>
      <x:c r="O73" s="24" t="n">
        <x:f>2*Subsurface_Inputs!$C$34*K73/Subsurface_Inputs!$C$35*1000000</x:f>
        <x:v>174.94397724423894</x:v>
      </x:c>
      <x:c r="P73" s="24" t="n">
        <x:f>Subsurface_Inputs!$C$37-2*Subsurface_Inputs!$C$36*(F73/1000)</x:f>
        <x:v>-11.928298846470575</x:v>
      </x:c>
      <x:c r="Q73" s="24" t="n">
        <x:f>Subsurface_Inputs!$C$38+Subsurface_Inputs!$C$39*H73-2*Subsurface_Inputs!$C$36*(I73/1000)</x:f>
        <x:v>-23.556385290441142</x:v>
      </x:c>
      <x:c r="R73" s="24" t="n">
        <x:f>Subsurface_Inputs!$C$40-2*Subsurface_Inputs!$C$36*(K73/1000)-Subsurface_Inputs!$C$41*ABS(L73-AVERAGE($L$2:$L$242))</x:f>
        <x:v>-33.74280873749953</x:v>
      </x:c>
      <x:c r="S73" s="24" t="n">
        <x:f>K73-AVERAGE($K$2:$K$242)</x:f>
        <x:v>-345.1136421060037</x:v>
      </x:c>
      <x:c r="T73" s="24" t="n">
        <x:f>K73/F73</x:f>
        <x:v>13.752063350958009</x:v>
      </x:c>
      <x:c r="U73" s="25" t="str">
        <x:f>IF(H73&gt;=Subsurface_Inputs!$C$42,"Lens visible","Weak/no lens")</x:f>
        <x:v>Lens visible</x:v>
      </x:c>
      <x:c r="V73" s="25" t="str">
        <x:f>IF(R73&gt;=W73,"Likely visible","Weak")</x:f>
        <x:v>Likely visible</x:v>
      </x:c>
      <x:c r="W73" s="24" t="n">
        <x:f>Subsurface_Inputs!$C$43</x:f>
        <x:v>-45</x:v>
      </x:c>
      <x:c r="X73" s="24" t="n">
        <x:f>Q73-W73</x:f>
        <x:v>21.443614709558858</x:v>
      </x:c>
      <x:c r="Y73" s="24" t="n">
        <x:f>R73-W73</x:f>
        <x:v>11.25719126250047</x:v>
      </x:c>
      <x:c r="Z73" s="24" t="n">
        <x:f>MAX(Q73,R73)-W73</x:f>
        <x:v>21.443614709558858</x:v>
      </x:c>
      <x:c r="AA73" s="24" t="n">
        <x:v>0</x:v>
      </x:c>
    </x:row>
    <x:row r="74">
      <x:c r="A74" s="24" t="n">
        <x:f>Model_Data!A74</x:f>
        <x:v>-24</x:v>
      </x:c>
      <x:c r="B74" s="24" t="n">
        <x:f>Model_Data!Y74</x:f>
        <x:v>268.5791759815676</x:v>
      </x:c>
      <x:c r="C74" s="24" t="n">
        <x:f>Model_Data!X74</x:f>
        <x:v>-111.48853690711687</x:v>
      </x:c>
      <x:c r="D74" s="24" t="n">
        <x:f>Model_Data!B74</x:f>
        <x:v>400.64</x:v>
      </x:c>
      <x:c r="E74" s="24" t="n">
        <x:f>Inputs!$C$6</x:f>
        <x:v>25</x:v>
      </x:c>
      <x:c r="F74" s="24" t="n">
        <x:f>Subsurface_Inputs!$C$5+Subsurface_Inputs!$C$6*SIN(2*PI()*(A74+Subsurface_Inputs!$C$7)/Subsurface_Inputs!$C$8)+Subsurface_Inputs!$C$9*COS(2*PI()*A74/Subsurface_Inputs!$C$10)+Subsurface_Inputs!$C$11*(B74-AVERAGE($B$2:$B$242))</x:f>
        <x:v>1067.3370569913695</x:v>
      </x:c>
      <x:c r="G74" s="24" t="n">
        <x:f>B74-F74</x:f>
        <x:v>-798.757881009802</x:v>
      </x:c>
      <x:c r="H74" s="24" t="n">
        <x:f>MIN(1,MAX(0,Subsurface_Inputs!$C$13*EXP(-0.5*((A74-Subsurface_Inputs!$C$14)/Subsurface_Inputs!$C$15)^2)+Subsurface_Inputs!$C$16*EXP(-0.5*((A74-Subsurface_Inputs!$C$17)/Subsurface_Inputs!$C$18)^2)))</x:f>
        <x:v>0.9500000000893978</x:v>
      </x:c>
      <x:c r="I74" s="24" t="n">
        <x:f>Subsurface_Inputs!$C$19+Subsurface_Inputs!$C$20*SIN(2*PI()*(A74-Subsurface_Inputs!$C$21)/Subsurface_Inputs!$C$22)-Subsurface_Inputs!$C$23*H74</x:f>
        <x:v>4483.792324740323</x:v>
      </x:c>
      <x:c r="J74" s="24" t="n">
        <x:f>B74-I74</x:f>
        <x:v>-4215.213148758756</x:v>
      </x:c>
      <x:c r="K74" s="24" t="n">
        <x:f>Subsurface_Inputs!$C$25+Subsurface_Inputs!$C$26*SIN(2*PI()*(A74+Subsurface_Inputs!$C$27)/Subsurface_Inputs!$C$28)+Subsurface_Inputs!$C$29*COS(2*PI()*(A74-Subsurface_Inputs!$C$30)/Subsurface_Inputs!$C$31)-Subsurface_Inputs!$C$32*(B74-AVERAGE($B$2:$B$242))</x:f>
        <x:v>14748.893722340972</x:v>
      </x:c>
      <x:c r="L74" s="24" t="n">
        <x:f>B74-K74</x:f>
        <x:v>-14480.314546359405</x:v>
      </x:c>
      <x:c r="M74" s="24" t="n">
        <x:f>2*Subsurface_Inputs!$C$34*F74/Subsurface_Inputs!$C$35*1000000</x:f>
        <x:v>12.674501380849533</x:v>
      </x:c>
      <x:c r="N74" s="24" t="n">
        <x:f>2*Subsurface_Inputs!$C$34*I74/Subsurface_Inputs!$C$35*1000000</x:f>
        <x:v>53.24450382295991</x:v>
      </x:c>
      <x:c r="O74" s="24" t="n">
        <x:f>2*Subsurface_Inputs!$C$34*K74/Subsurface_Inputs!$C$35*1000000</x:f>
        <x:v>175.14136947212282</x:v>
      </x:c>
      <x:c r="P74" s="24" t="n">
        <x:f>Subsurface_Inputs!$C$37-2*Subsurface_Inputs!$C$36*(F74/1000)</x:f>
        <x:v>-11.921206702584465</x:v>
      </x:c>
      <x:c r="Q74" s="24" t="n">
        <x:f>Subsurface_Inputs!$C$38+Subsurface_Inputs!$C$39*H74-2*Subsurface_Inputs!$C$36*(I74/1000)</x:f>
        <x:v>-23.520826183728</x:v>
      </x:c>
      <x:c r="R74" s="24" t="n">
        <x:f>Subsurface_Inputs!$C$40-2*Subsurface_Inputs!$C$36*(K74/1000)-Subsurface_Inputs!$C$41*ABS(L74-AVERAGE($L$2:$L$242))</x:f>
        <x:v>-33.674581028747504</x:v>
      </x:c>
      <x:c r="S74" s="24" t="n">
        <x:f>K74-AVERAGE($K$2:$K$242)</x:f>
        <x:v>-328.490973233138</x:v>
      </x:c>
      <x:c r="T74" s="24" t="n">
        <x:f>K74/F74</x:f>
        <x:v>13.818403123672518</x:v>
      </x:c>
      <x:c r="U74" s="25" t="str">
        <x:f>IF(H74&gt;=Subsurface_Inputs!$C$42,"Lens visible","Weak/no lens")</x:f>
        <x:v>Lens visible</x:v>
      </x:c>
      <x:c r="V74" s="25" t="str">
        <x:f>IF(R74&gt;=W74,"Likely visible","Weak")</x:f>
        <x:v>Likely visible</x:v>
      </x:c>
      <x:c r="W74" s="24" t="n">
        <x:f>Subsurface_Inputs!$C$43</x:f>
        <x:v>-45</x:v>
      </x:c>
      <x:c r="X74" s="24" t="n">
        <x:f>Q74-W74</x:f>
        <x:v>21.479173816272</x:v>
      </x:c>
      <x:c r="Y74" s="24" t="n">
        <x:f>R74-W74</x:f>
        <x:v>11.325418971252496</x:v>
      </x:c>
      <x:c r="Z74" s="24" t="n">
        <x:f>MAX(Q74,R74)-W74</x:f>
        <x:v>21.479173816272</x:v>
      </x:c>
      <x:c r="AA74" s="24" t="n">
        <x:v>0</x:v>
      </x:c>
    </x:row>
    <x:row r="75">
      <x:c r="A75" s="24" t="n">
        <x:f>Model_Data!A75</x:f>
        <x:v>-23.5</x:v>
      </x:c>
      <x:c r="B75" s="24" t="n">
        <x:f>Model_Data!Y75</x:f>
        <x:v>273.93459884711217</x:v>
      </x:c>
      <x:c r="C75" s="24" t="n">
        <x:f>Model_Data!X75</x:f>
        <x:v>-125.65162794647964</x:v>
      </x:c>
      <x:c r="D75" s="24" t="n">
        <x:f>Model_Data!B75</x:f>
        <x:v>400.6136111111111</x:v>
      </x:c>
      <x:c r="E75" s="24" t="n">
        <x:f>Inputs!$C$6</x:f>
        <x:v>25</x:v>
      </x:c>
      <x:c r="F75" s="24" t="n">
        <x:f>Subsurface_Inputs!$C$5+Subsurface_Inputs!$C$6*SIN(2*PI()*(A75+Subsurface_Inputs!$C$7)/Subsurface_Inputs!$C$8)+Subsurface_Inputs!$C$9*COS(2*PI()*A75/Subsurface_Inputs!$C$10)+Subsurface_Inputs!$C$11*(B75-AVERAGE($B$2:$B$242))</x:f>
        <x:v>1063.6264391684263</x:v>
      </x:c>
      <x:c r="G75" s="24" t="n">
        <x:f>B75-F75</x:f>
        <x:v>-789.6918403213141</x:v>
      </x:c>
      <x:c r="H75" s="24" t="n">
        <x:f>MIN(1,MAX(0,Subsurface_Inputs!$C$13*EXP(-0.5*((A75-Subsurface_Inputs!$C$14)/Subsurface_Inputs!$C$15)^2)+Subsurface_Inputs!$C$16*EXP(-0.5*((A75-Subsurface_Inputs!$C$17)/Subsurface_Inputs!$C$18)^2)))</x:f>
        <x:v>0.9488132420144012</x:v>
      </x:c>
      <x:c r="I75" s="24" t="n">
        <x:f>Subsurface_Inputs!$C$19+Subsurface_Inputs!$C$20*SIN(2*PI()*(A75-Subsurface_Inputs!$C$21)/Subsurface_Inputs!$C$22)-Subsurface_Inputs!$C$23*H75</x:f>
        <x:v>4471.110448409133</x:v>
      </x:c>
      <x:c r="J75" s="24" t="n">
        <x:f>B75-I75</x:f>
        <x:v>-4197.175849562021</x:v>
      </x:c>
      <x:c r="K75" s="24" t="n">
        <x:f>Subsurface_Inputs!$C$25+Subsurface_Inputs!$C$26*SIN(2*PI()*(A75+Subsurface_Inputs!$C$27)/Subsurface_Inputs!$C$28)+Subsurface_Inputs!$C$29*COS(2*PI()*(A75-Subsurface_Inputs!$C$30)/Subsurface_Inputs!$C$31)-Subsurface_Inputs!$C$32*(B75-AVERAGE($B$2:$B$242))</x:f>
        <x:v>14764.46311292151</x:v>
      </x:c>
      <x:c r="L75" s="24" t="n">
        <x:f>B75-K75</x:f>
        <x:v>-14490.528514074398</x:v>
      </x:c>
      <x:c r="M75" s="24" t="n">
        <x:f>2*Subsurface_Inputs!$C$34*F75/Subsurface_Inputs!$C$35*1000000</x:f>
        <x:v>12.630438232837724</x:v>
      </x:c>
      <x:c r="N75" s="24" t="n">
        <x:f>2*Subsurface_Inputs!$C$34*I75/Subsurface_Inputs!$C$35*1000000</x:f>
        <x:v>53.09390804066363</x:v>
      </x:c>
      <x:c r="O75" s="24" t="n">
        <x:f>2*Subsurface_Inputs!$C$34*K75/Subsurface_Inputs!$C$35*1000000</x:f>
        <x:v>175.32625414479432</x:v>
      </x:c>
      <x:c r="P75" s="24" t="n">
        <x:f>Subsurface_Inputs!$C$37-2*Subsurface_Inputs!$C$36*(F75/1000)</x:f>
        <x:v>-11.914527590503168</x:v>
      </x:c>
      <x:c r="Q75" s="24" t="n">
        <x:f>Subsurface_Inputs!$C$38+Subsurface_Inputs!$C$39*H75-2*Subsurface_Inputs!$C$36*(I75/1000)</x:f>
        <x:v>-23.508679629006828</x:v>
      </x:c>
      <x:c r="R75" s="24" t="n">
        <x:f>Subsurface_Inputs!$C$40-2*Subsurface_Inputs!$C$36*(K75/1000)-Subsurface_Inputs!$C$41*ABS(L75-AVERAGE($L$2:$L$242))</x:f>
        <x:v>-33.6617500609325</x:v>
      </x:c>
      <x:c r="S75" s="24" t="n">
        <x:f>K75-AVERAGE($K$2:$K$242)</x:f>
        <x:v>-312.9215826525997</x:v>
      </x:c>
      <x:c r="T75" s="24" t="n">
        <x:f>K75/F75</x:f>
        <x:v>13.881248687711066</x:v>
      </x:c>
      <x:c r="U75" s="25" t="str">
        <x:f>IF(H75&gt;=Subsurface_Inputs!$C$42,"Lens visible","Weak/no lens")</x:f>
        <x:v>Lens visible</x:v>
      </x:c>
      <x:c r="V75" s="25" t="str">
        <x:f>IF(R75&gt;=W75,"Likely visible","Weak")</x:f>
        <x:v>Likely visible</x:v>
      </x:c>
      <x:c r="W75" s="24" t="n">
        <x:f>Subsurface_Inputs!$C$43</x:f>
        <x:v>-45</x:v>
      </x:c>
      <x:c r="X75" s="24" t="n">
        <x:f>Q75-W75</x:f>
        <x:v>21.491320370993172</x:v>
      </x:c>
      <x:c r="Y75" s="24" t="n">
        <x:f>R75-W75</x:f>
        <x:v>11.338249939067502</x:v>
      </x:c>
      <x:c r="Z75" s="24" t="n">
        <x:f>MAX(Q75,R75)-W75</x:f>
        <x:v>21.491320370993172</x:v>
      </x:c>
      <x:c r="AA75" s="24" t="n">
        <x:v>0</x:v>
      </x:c>
    </x:row>
    <x:row r="76">
      <x:c r="A76" s="24" t="n">
        <x:f>Model_Data!A76</x:f>
        <x:v>-23</x:v>
      </x:c>
      <x:c r="B76" s="24" t="n">
        <x:f>Model_Data!Y76</x:f>
        <x:v>279.55588840773</x:v>
      </x:c>
      <x:c r="C76" s="24" t="n">
        <x:f>Model_Data!X76</x:f>
        <x:v>-132.5457898426781</x:v>
      </x:c>
      <x:c r="D76" s="24" t="n">
        <x:f>Model_Data!B76</x:f>
        <x:v>400.5877777777778</x:v>
      </x:c>
      <x:c r="E76" s="24" t="n">
        <x:f>Inputs!$C$6</x:f>
        <x:v>25</x:v>
      </x:c>
      <x:c r="F76" s="24" t="n">
        <x:f>Subsurface_Inputs!$C$5+Subsurface_Inputs!$C$6*SIN(2*PI()*(A76+Subsurface_Inputs!$C$7)/Subsurface_Inputs!$C$8)+Subsurface_Inputs!$C$9*COS(2*PI()*A76/Subsurface_Inputs!$C$10)+Subsurface_Inputs!$C$11*(B76-AVERAGE($B$2:$B$242))</x:f>
        <x:v>1059.6253530699855</x:v>
      </x:c>
      <x:c r="G76" s="24" t="n">
        <x:f>B76-F76</x:f>
        <x:v>-780.0694646622555</x:v>
      </x:c>
      <x:c r="H76" s="24" t="n">
        <x:f>MIN(1,MAX(0,Subsurface_Inputs!$C$13*EXP(-0.5*((A76-Subsurface_Inputs!$C$14)/Subsurface_Inputs!$C$15)^2)+Subsurface_Inputs!$C$16*EXP(-0.5*((A76-Subsurface_Inputs!$C$17)/Subsurface_Inputs!$C$18)^2)))</x:f>
        <x:v>0.9452618554392868</x:v>
      </x:c>
      <x:c r="I76" s="24" t="n">
        <x:f>Subsurface_Inputs!$C$19+Subsurface_Inputs!$C$20*SIN(2*PI()*(A76-Subsurface_Inputs!$C$21)/Subsurface_Inputs!$C$22)-Subsurface_Inputs!$C$23*H76</x:f>
        <x:v>4459.584861632389</x:v>
      </x:c>
      <x:c r="J76" s="24" t="n">
        <x:f>B76-I76</x:f>
        <x:v>-4180.028973224659</x:v>
      </x:c>
      <x:c r="K76" s="24" t="n">
        <x:f>Subsurface_Inputs!$C$25+Subsurface_Inputs!$C$26*SIN(2*PI()*(A76+Subsurface_Inputs!$C$27)/Subsurface_Inputs!$C$28)+Subsurface_Inputs!$C$29*COS(2*PI()*(A76-Subsurface_Inputs!$C$30)/Subsurface_Inputs!$C$31)-Subsurface_Inputs!$C$32*(B76-AVERAGE($B$2:$B$242))</x:f>
        <x:v>14780.793521743944</x:v>
      </x:c>
      <x:c r="L76" s="24" t="n">
        <x:f>B76-K76</x:f>
        <x:v>-14501.237633336215</x:v>
      </x:c>
      <x:c r="M76" s="24" t="n">
        <x:f>2*Subsurface_Inputs!$C$34*F76/Subsurface_Inputs!$C$35*1000000</x:f>
        <x:v>12.582925808390911</x:v>
      </x:c>
      <x:c r="N76" s="24" t="n">
        <x:f>2*Subsurface_Inputs!$C$34*I76/Subsurface_Inputs!$C$35*1000000</x:f>
        <x:v>52.95704306014031</x:v>
      </x:c>
      <x:c r="O76" s="24" t="n">
        <x:f>2*Subsurface_Inputs!$C$34*K76/Subsurface_Inputs!$C$35*1000000</x:f>
        <x:v>175.52017581912764</x:v>
      </x:c>
      <x:c r="P76" s="24" t="n">
        <x:f>Subsurface_Inputs!$C$37-2*Subsurface_Inputs!$C$36*(F76/1000)</x:f>
        <x:v>-11.907325635525973</x:v>
      </x:c>
      <x:c r="Q76" s="24" t="n">
        <x:f>Subsurface_Inputs!$C$38+Subsurface_Inputs!$C$39*H76-2*Subsurface_Inputs!$C$36*(I76/1000)</x:f>
        <x:v>-23.51989605198472</x:v>
      </x:c>
      <x:c r="R76" s="24" t="n">
        <x:f>Subsurface_Inputs!$C$40-2*Subsurface_Inputs!$C$36*(K76/1000)-Subsurface_Inputs!$C$41*ABS(L76-AVERAGE($L$2:$L$242))</x:f>
        <x:v>-33.64830831976561</x:v>
      </x:c>
      <x:c r="S76" s="24" t="n">
        <x:f>K76-AVERAGE($K$2:$K$242)</x:f>
        <x:v>-296.59117383016564</x:v>
      </x:c>
      <x:c r="T76" s="24" t="n">
        <x:f>K76/F76</x:f>
        <x:v>13.949074999876593</x:v>
      </x:c>
      <x:c r="U76" s="25" t="str">
        <x:f>IF(H76&gt;=Subsurface_Inputs!$C$42,"Lens visible","Weak/no lens")</x:f>
        <x:v>Lens visible</x:v>
      </x:c>
      <x:c r="V76" s="25" t="str">
        <x:f>IF(R76&gt;=W76,"Likely visible","Weak")</x:f>
        <x:v>Likely visible</x:v>
      </x:c>
      <x:c r="W76" s="24" t="n">
        <x:f>Subsurface_Inputs!$C$43</x:f>
        <x:v>-45</x:v>
      </x:c>
      <x:c r="X76" s="24" t="n">
        <x:f>Q76-W76</x:f>
        <x:v>21.48010394801528</x:v>
      </x:c>
      <x:c r="Y76" s="24" t="n">
        <x:f>R76-W76</x:f>
        <x:v>11.351691680234389</x:v>
      </x:c>
      <x:c r="Z76" s="24" t="n">
        <x:f>MAX(Q76,R76)-W76</x:f>
        <x:v>21.48010394801528</x:v>
      </x:c>
      <x:c r="AA76" s="24" t="n">
        <x:v>0</x:v>
      </x:c>
    </x:row>
    <x:row r="77">
      <x:c r="A77" s="24" t="n">
        <x:f>Model_Data!A77</x:f>
        <x:v>-22.5</x:v>
      </x:c>
      <x:c r="B77" s="24" t="n">
        <x:f>Model_Data!Y77</x:f>
        <x:v>286.69936407981004</x:v>
      </x:c>
      <x:c r="C77" s="24" t="n">
        <x:f>Model_Data!X77</x:f>
        <x:v>-138.29494668428998</x:v>
      </x:c>
      <x:c r="D77" s="24" t="n">
        <x:f>Model_Data!B77</x:f>
        <x:v>400.5625</x:v>
      </x:c>
      <x:c r="E77" s="24" t="n">
        <x:f>Inputs!$C$6</x:f>
        <x:v>25</x:v>
      </x:c>
      <x:c r="F77" s="24" t="n">
        <x:f>Subsurface_Inputs!$C$5+Subsurface_Inputs!$C$6*SIN(2*PI()*(A77+Subsurface_Inputs!$C$7)/Subsurface_Inputs!$C$8)+Subsurface_Inputs!$C$9*COS(2*PI()*A77/Subsurface_Inputs!$C$10)+Subsurface_Inputs!$C$11*(B77-AVERAGE($B$2:$B$242))</x:f>
        <x:v>1055.4003997163388</x:v>
      </x:c>
      <x:c r="G77" s="24" t="n">
        <x:f>B77-F77</x:f>
        <x:v>-768.7010356365288</x:v>
      </x:c>
      <x:c r="H77" s="24" t="n">
        <x:f>MIN(1,MAX(0,Subsurface_Inputs!$C$13*EXP(-0.5*((A77-Subsurface_Inputs!$C$14)/Subsurface_Inputs!$C$15)^2)+Subsurface_Inputs!$C$16*EXP(-0.5*((A77-Subsurface_Inputs!$C$17)/Subsurface_Inputs!$C$18)^2)))</x:f>
        <x:v>0.9393723926920916</x:v>
      </x:c>
      <x:c r="I77" s="24" t="n">
        <x:f>Subsurface_Inputs!$C$19+Subsurface_Inputs!$C$20*SIN(2*PI()*(A77-Subsurface_Inputs!$C$21)/Subsurface_Inputs!$C$22)-Subsurface_Inputs!$C$23*H77</x:f>
        <x:v>4449.227358155205</x:v>
      </x:c>
      <x:c r="J77" s="24" t="n">
        <x:f>B77-I77</x:f>
        <x:v>-4162.527994075395</x:v>
      </x:c>
      <x:c r="K77" s="24" t="n">
        <x:f>Subsurface_Inputs!$C$25+Subsurface_Inputs!$C$26*SIN(2*PI()*(A77+Subsurface_Inputs!$C$27)/Subsurface_Inputs!$C$28)+Subsurface_Inputs!$C$29*COS(2*PI()*(A77-Subsurface_Inputs!$C$30)/Subsurface_Inputs!$C$31)-Subsurface_Inputs!$C$32*(B77-AVERAGE($B$2:$B$242))</x:f>
        <x:v>14797.700652613988</x:v>
      </x:c>
      <x:c r="L77" s="24" t="n">
        <x:f>B77-K77</x:f>
        <x:v>-14511.001288534178</x:v>
      </x:c>
      <x:c r="M77" s="24" t="n">
        <x:f>2*Subsurface_Inputs!$C$34*F77/Subsurface_Inputs!$C$35*1000000</x:f>
        <x:v>12.532754986752089</x:v>
      </x:c>
      <x:c r="N77" s="24" t="n">
        <x:f>2*Subsurface_Inputs!$C$34*I77/Subsurface_Inputs!$C$35*1000000</x:f>
        <x:v>52.834048930719035</x:v>
      </x:c>
      <x:c r="O77" s="24" t="n">
        <x:f>2*Subsurface_Inputs!$C$34*K77/Subsurface_Inputs!$C$35*1000000</x:f>
        <x:v>175.7209459996015</x:v>
      </x:c>
      <x:c r="P77" s="24" t="n">
        <x:f>Subsurface_Inputs!$C$37-2*Subsurface_Inputs!$C$36*(F77/1000)</x:f>
        <x:v>-11.89972071948941</x:v>
      </x:c>
      <x:c r="Q77" s="24" t="n">
        <x:f>Subsurface_Inputs!$C$38+Subsurface_Inputs!$C$39*H77-2*Subsurface_Inputs!$C$36*(I77/1000)</x:f>
        <x:v>-23.554257710450546</x:v>
      </x:c>
      <x:c r="R77" s="24" t="n">
        <x:f>Subsurface_Inputs!$C$40-2*Subsurface_Inputs!$C$36*(K77/1000)-Subsurface_Inputs!$C$41*ABS(L77-AVERAGE($L$2:$L$242))</x:f>
        <x:v>-33.63968653453984</x:v>
      </x:c>
      <x:c r="S77" s="24" t="n">
        <x:f>K77-AVERAGE($K$2:$K$242)</x:f>
        <x:v>-279.6840429601216</x:v>
      </x:c>
      <x:c r="T77" s="24" t="n">
        <x:f>K77/F77</x:f>
        <x:v>14.020935236135198</x:v>
      </x:c>
      <x:c r="U77" s="25" t="str">
        <x:f>IF(H77&gt;=Subsurface_Inputs!$C$42,"Lens visible","Weak/no lens")</x:f>
        <x:v>Lens visible</x:v>
      </x:c>
      <x:c r="V77" s="25" t="str">
        <x:f>IF(R77&gt;=W77,"Likely visible","Weak")</x:f>
        <x:v>Likely visible</x:v>
      </x:c>
      <x:c r="W77" s="24" t="n">
        <x:f>Subsurface_Inputs!$C$43</x:f>
        <x:v>-45</x:v>
      </x:c>
      <x:c r="X77" s="24" t="n">
        <x:f>Q77-W77</x:f>
        <x:v>21.445742289549454</x:v>
      </x:c>
      <x:c r="Y77" s="24" t="n">
        <x:f>R77-W77</x:f>
        <x:v>11.360313465460159</x:v>
      </x:c>
      <x:c r="Z77" s="24" t="n">
        <x:f>MAX(Q77,R77)-W77</x:f>
        <x:v>21.445742289549454</x:v>
      </x:c>
      <x:c r="AA77" s="24" t="n">
        <x:v>0</x:v>
      </x:c>
    </x:row>
    <x:row r="78">
      <x:c r="A78" s="24" t="n">
        <x:f>Model_Data!A78</x:f>
        <x:v>-22</x:v>
      </x:c>
      <x:c r="B78" s="24" t="n">
        <x:f>Model_Data!Y78</x:f>
        <x:v>316.60820817766927</x:v>
      </x:c>
      <x:c r="C78" s="24" t="n">
        <x:f>Model_Data!X78</x:f>
        <x:v>-144.0992283446906</x:v>
      </x:c>
      <x:c r="D78" s="24" t="n">
        <x:f>Model_Data!B78</x:f>
        <x:v>400.53777777777776</x:v>
      </x:c>
      <x:c r="E78" s="24" t="n">
        <x:f>Inputs!$C$6</x:f>
        <x:v>25</x:v>
      </x:c>
      <x:c r="F78" s="24" t="n">
        <x:f>Subsurface_Inputs!$C$5+Subsurface_Inputs!$C$6*SIN(2*PI()*(A78+Subsurface_Inputs!$C$7)/Subsurface_Inputs!$C$8)+Subsurface_Inputs!$C$9*COS(2*PI()*A78/Subsurface_Inputs!$C$10)+Subsurface_Inputs!$C$11*(B78-AVERAGE($B$2:$B$242))</x:f>
        <x:v>1051.833816935632</x:v>
      </x:c>
      <x:c r="G78" s="24" t="n">
        <x:f>B78-F78</x:f>
        <x:v>-735.2256087579628</x:v>
      </x:c>
      <x:c r="H78" s="24" t="n">
        <x:f>MIN(1,MAX(0,Subsurface_Inputs!$C$13*EXP(-0.5*((A78-Subsurface_Inputs!$C$14)/Subsurface_Inputs!$C$15)^2)+Subsurface_Inputs!$C$16*EXP(-0.5*((A78-Subsurface_Inputs!$C$17)/Subsurface_Inputs!$C$18)^2)))</x:f>
        <x:v>0.9311887401098284</x:v>
      </x:c>
      <x:c r="I78" s="24" t="n">
        <x:f>Subsurface_Inputs!$C$19+Subsurface_Inputs!$C$20*SIN(2*PI()*(A78-Subsurface_Inputs!$C$21)/Subsurface_Inputs!$C$22)-Subsurface_Inputs!$C$23*H78</x:f>
        <x:v>4440.044680785027</x:v>
      </x:c>
      <x:c r="J78" s="24" t="n">
        <x:f>B78-I78</x:f>
        <x:v>-4123.436472607357</x:v>
      </x:c>
      <x:c r="K78" s="24" t="n">
        <x:f>Subsurface_Inputs!$C$25+Subsurface_Inputs!$C$26*SIN(2*PI()*(A78+Subsurface_Inputs!$C$27)/Subsurface_Inputs!$C$28)+Subsurface_Inputs!$C$29*COS(2*PI()*(A78-Subsurface_Inputs!$C$30)/Subsurface_Inputs!$C$31)-Subsurface_Inputs!$C$32*(B78-AVERAGE($B$2:$B$242))</x:f>
        <x:v>14812.199905041163</x:v>
      </x:c>
      <x:c r="L78" s="24" t="n">
        <x:f>B78-K78</x:f>
        <x:v>-14495.591696863494</x:v>
      </x:c>
      <x:c r="M78" s="24" t="n">
        <x:f>2*Subsurface_Inputs!$C$34*F78/Subsurface_Inputs!$C$35*1000000</x:f>
        <x:v>12.49040223784032</x:v>
      </x:c>
      <x:c r="N78" s="24" t="n">
        <x:f>2*Subsurface_Inputs!$C$34*I78/Subsurface_Inputs!$C$35*1000000</x:f>
        <x:v>52.725005722441146</x:v>
      </x:c>
      <x:c r="O78" s="24" t="n">
        <x:f>2*Subsurface_Inputs!$C$34*K78/Subsurface_Inputs!$C$35*1000000</x:f>
        <x:v>175.89312290820385</x:v>
      </x:c>
      <x:c r="P78" s="24" t="n">
        <x:f>Subsurface_Inputs!$C$37-2*Subsurface_Inputs!$C$36*(F78/1000)</x:f>
        <x:v>-11.893300870484138</x:v>
      </x:c>
      <x:c r="Q78" s="24" t="n">
        <x:f>Subsurface_Inputs!$C$38+Subsurface_Inputs!$C$39*H78-2*Subsurface_Inputs!$C$36*(I78/1000)</x:f>
        <x:v>-23.611381764424593</x:v>
      </x:c>
      <x:c r="R78" s="24" t="n">
        <x:f>Subsurface_Inputs!$C$40-2*Subsurface_Inputs!$C$36*(K78/1000)-Subsurface_Inputs!$C$41*ABS(L78-AVERAGE($L$2:$L$242))</x:f>
        <x:v>-33.727423555591486</x:v>
      </x:c>
      <x:c r="S78" s="24" t="n">
        <x:f>K78-AVERAGE($K$2:$K$242)</x:f>
        <x:v>-265.18479053294686</x:v>
      </x:c>
      <x:c r="T78" s="24" t="n">
        <x:f>K78/F78</x:f>
        <x:v>14.082262489139584</x:v>
      </x:c>
      <x:c r="U78" s="25" t="str">
        <x:f>IF(H78&gt;=Subsurface_Inputs!$C$42,"Lens visible","Weak/no lens")</x:f>
        <x:v>Lens visible</x:v>
      </x:c>
      <x:c r="V78" s="25" t="str">
        <x:f>IF(R78&gt;=W78,"Likely visible","Weak")</x:f>
        <x:v>Likely visible</x:v>
      </x:c>
      <x:c r="W78" s="24" t="n">
        <x:f>Subsurface_Inputs!$C$43</x:f>
        <x:v>-45</x:v>
      </x:c>
      <x:c r="X78" s="24" t="n">
        <x:f>Q78-W78</x:f>
        <x:v>21.388618235575407</x:v>
      </x:c>
      <x:c r="Y78" s="24" t="n">
        <x:f>R78-W78</x:f>
        <x:v>11.272576444408514</x:v>
      </x:c>
      <x:c r="Z78" s="24" t="n">
        <x:f>MAX(Q78,R78)-W78</x:f>
        <x:v>21.388618235575407</x:v>
      </x:c>
      <x:c r="AA78" s="24" t="n">
        <x:v>0</x:v>
      </x:c>
    </x:row>
    <x:row r="79">
      <x:c r="A79" s="24" t="n">
        <x:f>Model_Data!A79</x:f>
        <x:v>-21.5</x:v>
      </x:c>
      <x:c r="B79" s="24" t="n">
        <x:f>Model_Data!Y79</x:f>
        <x:v>332.44947759769417</x:v>
      </x:c>
      <x:c r="C79" s="24" t="n">
        <x:f>Model_Data!X79</x:f>
        <x:v>-156.9345481530768</x:v>
      </x:c>
      <x:c r="D79" s="24" t="n">
        <x:f>Model_Data!B79</x:f>
        <x:v>400.5136111111111</x:v>
      </x:c>
      <x:c r="E79" s="24" t="n">
        <x:f>Inputs!$C$6</x:f>
        <x:v>25</x:v>
      </x:c>
      <x:c r="F79" s="24" t="n">
        <x:f>Subsurface_Inputs!$C$5+Subsurface_Inputs!$C$6*SIN(2*PI()*(A79+Subsurface_Inputs!$C$7)/Subsurface_Inputs!$C$8)+Subsurface_Inputs!$C$9*COS(2*PI()*A79/Subsurface_Inputs!$C$10)+Subsurface_Inputs!$C$11*(B79-AVERAGE($B$2:$B$242))</x:f>
        <x:v>1047.5006423149634</x:v>
      </x:c>
      <x:c r="G79" s="24" t="n">
        <x:f>B79-F79</x:f>
        <x:v>-715.0511647172693</x:v>
      </x:c>
      <x:c r="H79" s="24" t="n">
        <x:f>MIN(1,MAX(0,Subsurface_Inputs!$C$13*EXP(-0.5*((A79-Subsurface_Inputs!$C$14)/Subsurface_Inputs!$C$15)^2)+Subsurface_Inputs!$C$16*EXP(-0.5*((A79-Subsurface_Inputs!$C$17)/Subsurface_Inputs!$C$18)^2)))</x:f>
        <x:v>0.920771573454323</x:v>
      </x:c>
      <x:c r="I79" s="24" t="n">
        <x:f>Subsurface_Inputs!$C$19+Subsurface_Inputs!$C$20*SIN(2*PI()*(A79-Subsurface_Inputs!$C$21)/Subsurface_Inputs!$C$22)-Subsurface_Inputs!$C$23*H79</x:f>
        <x:v>4432.038626737618</x:v>
      </x:c>
      <x:c r="J79" s="24" t="n">
        <x:f>B79-I79</x:f>
        <x:v>-4099.589149139923</x:v>
      </x:c>
      <x:c r="K79" s="24" t="n">
        <x:f>Subsurface_Inputs!$C$25+Subsurface_Inputs!$C$26*SIN(2*PI()*(A79+Subsurface_Inputs!$C$27)/Subsurface_Inputs!$C$28)+Subsurface_Inputs!$C$29*COS(2*PI()*(A79-Subsurface_Inputs!$C$30)/Subsurface_Inputs!$C$31)-Subsurface_Inputs!$C$32*(B79-AVERAGE($B$2:$B$242))</x:f>
        <x:v>14829.43520052092</x:v>
      </x:c>
      <x:c r="L79" s="24" t="n">
        <x:f>B79-K79</x:f>
        <x:v>-14496.985722923226</x:v>
      </x:c>
      <x:c r="M79" s="24" t="n">
        <x:f>2*Subsurface_Inputs!$C$34*F79/Subsurface_Inputs!$C$35*1000000</x:f>
        <x:v>12.438946301448551</x:v>
      </x:c>
      <x:c r="N79" s="24" t="n">
        <x:f>2*Subsurface_Inputs!$C$34*I79/Subsurface_Inputs!$C$35*1000000</x:f>
        <x:v>52.62993477703138</x:v>
      </x:c>
      <x:c r="O79" s="24" t="n">
        <x:f>2*Subsurface_Inputs!$C$34*K79/Subsurface_Inputs!$C$35*1000000</x:f>
        <x:v>176.09779000462538</x:v>
      </x:c>
      <x:c r="P79" s="24" t="n">
        <x:f>Subsurface_Inputs!$C$37-2*Subsurface_Inputs!$C$36*(F79/1000)</x:f>
        <x:v>-11.885501156166935</x:v>
      </x:c>
      <x:c r="Q79" s="24" t="n">
        <x:f>Subsurface_Inputs!$C$38+Subsurface_Inputs!$C$39*H79-2*Subsurface_Inputs!$C$36*(I79/1000)</x:f>
        <x:v>-23.690725367038805</x:v>
      </x:c>
      <x:c r="R79" s="24" t="n">
        <x:f>Subsurface_Inputs!$C$40-2*Subsurface_Inputs!$C$36*(K79/1000)-Subsurface_Inputs!$C$41*ABS(L79-AVERAGE($L$2:$L$242))</x:f>
        <x:v>-33.75287098321613</x:v>
      </x:c>
      <x:c r="S79" s="24" t="n">
        <x:f>K79-AVERAGE($K$2:$K$242)</x:f>
        <x:v>-247.94949505318982</x:v>
      </x:c>
      <x:c r="T79" s="24" t="n">
        <x:f>K79/F79</x:f>
        <x:v>14.156970030823134</x:v>
      </x:c>
      <x:c r="U79" s="25" t="str">
        <x:f>IF(H79&gt;=Subsurface_Inputs!$C$42,"Lens visible","Weak/no lens")</x:f>
        <x:v>Lens visible</x:v>
      </x:c>
      <x:c r="V79" s="25" t="str">
        <x:f>IF(R79&gt;=W79,"Likely visible","Weak")</x:f>
        <x:v>Likely visible</x:v>
      </x:c>
      <x:c r="W79" s="24" t="n">
        <x:f>Subsurface_Inputs!$C$43</x:f>
        <x:v>-45</x:v>
      </x:c>
      <x:c r="X79" s="24" t="n">
        <x:f>Q79-W79</x:f>
        <x:v>21.309274632961195</x:v>
      </x:c>
      <x:c r="Y79" s="24" t="n">
        <x:f>R79-W79</x:f>
        <x:v>11.247129016783873</x:v>
      </x:c>
      <x:c r="Z79" s="24" t="n">
        <x:f>MAX(Q79,R79)-W79</x:f>
        <x:v>21.309274632961195</x:v>
      </x:c>
      <x:c r="AA79" s="24" t="n">
        <x:v>0</x:v>
      </x:c>
    </x:row>
    <x:row r="80">
      <x:c r="A80" s="24" t="n">
        <x:f>Model_Data!A80</x:f>
        <x:v>-21</x:v>
      </x:c>
      <x:c r="B80" s="24" t="n">
        <x:f>Model_Data!Y80</x:f>
        <x:v>317.91812880175183</x:v>
      </x:c>
      <x:c r="C80" s="24" t="n">
        <x:f>Model_Data!X80</x:f>
        <x:v>-142.37794992196604</x:v>
      </x:c>
      <x:c r="D80" s="24" t="n">
        <x:f>Model_Data!B80</x:f>
        <x:v>400.49</x:v>
      </x:c>
      <x:c r="E80" s="24" t="n">
        <x:f>Inputs!$C$6</x:f>
        <x:v>25</x:v>
      </x:c>
      <x:c r="F80" s="24" t="n">
        <x:f>Subsurface_Inputs!$C$5+Subsurface_Inputs!$C$6*SIN(2*PI()*(A80+Subsurface_Inputs!$C$7)/Subsurface_Inputs!$C$8)+Subsurface_Inputs!$C$9*COS(2*PI()*A80/Subsurface_Inputs!$C$10)+Subsurface_Inputs!$C$11*(B80-AVERAGE($B$2:$B$242))</x:f>
        <x:v>1041.8121991926196</x:v>
      </x:c>
      <x:c r="G80" s="24" t="n">
        <x:f>B80-F80</x:f>
        <x:v>-723.8940703908677</x:v>
      </x:c>
      <x:c r="H80" s="24" t="n">
        <x:f>MIN(1,MAX(0,Subsurface_Inputs!$C$13*EXP(-0.5*((A80-Subsurface_Inputs!$C$14)/Subsurface_Inputs!$C$15)^2)+Subsurface_Inputs!$C$16*EXP(-0.5*((A80-Subsurface_Inputs!$C$17)/Subsurface_Inputs!$C$18)^2)))</x:f>
        <x:v>0.9081976087888108</x:v>
      </x:c>
      <x:c r="I80" s="24" t="n">
        <x:f>Subsurface_Inputs!$C$19+Subsurface_Inputs!$C$20*SIN(2*PI()*(A80-Subsurface_Inputs!$C$21)/Subsurface_Inputs!$C$22)-Subsurface_Inputs!$C$23*H80</x:f>
        <x:v>4425.206203416996</x:v>
      </x:c>
      <x:c r="J80" s="24" t="n">
        <x:f>B80-I80</x:f>
        <x:v>-4107.288074615244</x:v>
      </x:c>
      <x:c r="K80" s="24" t="n">
        <x:f>Subsurface_Inputs!$C$25+Subsurface_Inputs!$C$26*SIN(2*PI()*(A80+Subsurface_Inputs!$C$27)/Subsurface_Inputs!$C$28)+Subsurface_Inputs!$C$29*COS(2*PI()*(A80-Subsurface_Inputs!$C$30)/Subsurface_Inputs!$C$31)-Subsurface_Inputs!$C$32*(B80-AVERAGE($B$2:$B$242))</x:f>
        <x:v>14851.674432510064</x:v>
      </x:c>
      <x:c r="L80" s="24" t="n">
        <x:f>B80-K80</x:f>
        <x:v>-14533.756303708313</x:v>
      </x:c>
      <x:c r="M80" s="24" t="n">
        <x:f>2*Subsurface_Inputs!$C$34*F80/Subsurface_Inputs!$C$35*1000000</x:f>
        <x:v>12.371396711806959</x:v>
      </x:c>
      <x:c r="N80" s="24" t="n">
        <x:f>2*Subsurface_Inputs!$C$34*I80/Subsurface_Inputs!$C$35*1000000</x:f>
        <x:v>52.548800557766214</x:v>
      </x:c>
      <x:c r="O80" s="24" t="n">
        <x:f>2*Subsurface_Inputs!$C$34*K80/Subsurface_Inputs!$C$35*1000000</x:f>
        <x:v>176.36187825557582</x:v>
      </x:c>
      <x:c r="P80" s="24" t="n">
        <x:f>Subsurface_Inputs!$C$37-2*Subsurface_Inputs!$C$36*(F80/1000)</x:f>
        <x:v>-11.875261958546716</x:v>
      </x:c>
      <x:c r="Q80" s="24" t="n">
        <x:f>Subsurface_Inputs!$C$38+Subsurface_Inputs!$C$39*H80-2*Subsurface_Inputs!$C$36*(I80/1000)</x:f>
        <x:v>-23.791592687051295</x:v>
      </x:c>
      <x:c r="R80" s="24" t="n">
        <x:f>Subsurface_Inputs!$C$40-2*Subsurface_Inputs!$C$36*(K80/1000)-Subsurface_Inputs!$C$41*ABS(L80-AVERAGE($L$2:$L$242))</x:f>
        <x:v>-33.64581927765624</x:v>
      </x:c>
      <x:c r="S80" s="24" t="n">
        <x:f>K80-AVERAGE($K$2:$K$242)</x:f>
        <x:v>-225.71026306404565</x:v>
      </x:c>
      <x:c r="T80" s="24" t="n">
        <x:f>K80/F80</x:f>
        <x:v>14.255615785666333</x:v>
      </x:c>
      <x:c r="U80" s="25" t="str">
        <x:f>IF(H80&gt;=Subsurface_Inputs!$C$42,"Lens visible","Weak/no lens")</x:f>
        <x:v>Lens visible</x:v>
      </x:c>
      <x:c r="V80" s="25" t="str">
        <x:f>IF(R80&gt;=W80,"Likely visible","Weak")</x:f>
        <x:v>Likely visible</x:v>
      </x:c>
      <x:c r="W80" s="24" t="n">
        <x:f>Subsurface_Inputs!$C$43</x:f>
        <x:v>-45</x:v>
      </x:c>
      <x:c r="X80" s="24" t="n">
        <x:f>Q80-W80</x:f>
        <x:v>21.208407312948705</x:v>
      </x:c>
      <x:c r="Y80" s="24" t="n">
        <x:f>R80-W80</x:f>
        <x:v>11.354180722343763</x:v>
      </x:c>
      <x:c r="Z80" s="24" t="n">
        <x:f>MAX(Q80,R80)-W80</x:f>
        <x:v>21.208407312948705</x:v>
      </x:c>
      <x:c r="AA80" s="24" t="n">
        <x:v>0</x:v>
      </x:c>
    </x:row>
    <x:row r="81">
      <x:c r="A81" s="24" t="n">
        <x:f>Model_Data!A81</x:f>
        <x:v>-20.5</x:v>
      </x:c>
      <x:c r="B81" s="24" t="n">
        <x:f>Model_Data!Y81</x:f>
        <x:v>343.37986587370784</x:v>
      </x:c>
      <x:c r="C81" s="24" t="n">
        <x:f>Model_Data!X81</x:f>
        <x:v>-140.5508651158499</x:v>
      </x:c>
      <x:c r="D81" s="24" t="n">
        <x:f>Model_Data!B81</x:f>
        <x:v>400.46694444444444</x:v>
      </x:c>
      <x:c r="E81" s="24" t="n">
        <x:f>Inputs!$C$6</x:f>
        <x:v>25</x:v>
      </x:c>
      <x:c r="F81" s="24" t="n">
        <x:f>Subsurface_Inputs!$C$5+Subsurface_Inputs!$C$6*SIN(2*PI()*(A81+Subsurface_Inputs!$C$7)/Subsurface_Inputs!$C$8)+Subsurface_Inputs!$C$9*COS(2*PI()*A81/Subsurface_Inputs!$C$10)+Subsurface_Inputs!$C$11*(B81-AVERAGE($B$2:$B$242))</x:f>
        <x:v>1037.6607893939624</x:v>
      </x:c>
      <x:c r="G81" s="24" t="n">
        <x:f>B81-F81</x:f>
        <x:v>-694.2809235202546</x:v>
      </x:c>
      <x:c r="H81" s="24" t="n">
        <x:f>MIN(1,MAX(0,Subsurface_Inputs!$C$13*EXP(-0.5*((A81-Subsurface_Inputs!$C$14)/Subsurface_Inputs!$C$15)^2)+Subsurface_Inputs!$C$16*EXP(-0.5*((A81-Subsurface_Inputs!$C$17)/Subsurface_Inputs!$C$18)^2)))</x:f>
        <x:v>0.8935586617531279</x:v>
      </x:c>
      <x:c r="I81" s="24" t="n">
        <x:f>Subsurface_Inputs!$C$19+Subsurface_Inputs!$C$20*SIN(2*PI()*(A81-Subsurface_Inputs!$C$21)/Subsurface_Inputs!$C$22)-Subsurface_Inputs!$C$23*H81</x:f>
        <x:v>4419.5398315595</x:v>
      </x:c>
      <x:c r="J81" s="24" t="n">
        <x:f>B81-I81</x:f>
        <x:v>-4076.1599656857925</x:v>
      </x:c>
      <x:c r="K81" s="24" t="n">
        <x:f>Subsurface_Inputs!$C$25+Subsurface_Inputs!$C$26*SIN(2*PI()*(A81+Subsurface_Inputs!$C$27)/Subsurface_Inputs!$C$28)+Subsurface_Inputs!$C$29*COS(2*PI()*(A81-Subsurface_Inputs!$C$30)/Subsurface_Inputs!$C$31)-Subsurface_Inputs!$C$32*(B81-AVERAGE($B$2:$B$242))</x:f>
        <x:v>14869.049486702861</x:v>
      </x:c>
      <x:c r="L81" s="24" t="n">
        <x:f>B81-K81</x:f>
        <x:v>-14525.669620829152</x:v>
      </x:c>
      <x:c r="M81" s="24" t="n">
        <x:f>2*Subsurface_Inputs!$C$34*F81/Subsurface_Inputs!$C$35*1000000</x:f>
        <x:v>12.322099211189986</x:v>
      </x:c>
      <x:c r="N81" s="24" t="n">
        <x:f>2*Subsurface_Inputs!$C$34*I81/Subsurface_Inputs!$C$35*1000000</x:f>
        <x:v>52.481513061785634</x:v>
      </x:c>
      <x:c r="O81" s="24" t="n">
        <x:f>2*Subsurface_Inputs!$C$34*K81/Subsurface_Inputs!$C$35*1000000</x:f>
        <x:v>176.5682049701937</x:v>
      </x:c>
      <x:c r="P81" s="24" t="n">
        <x:f>Subsurface_Inputs!$C$37-2*Subsurface_Inputs!$C$36*(F81/1000)</x:f>
        <x:v>-11.867789420909132</x:v>
      </x:c>
      <x:c r="Q81" s="24" t="n">
        <x:f>Subsurface_Inputs!$C$38+Subsurface_Inputs!$C$39*H81-2*Subsurface_Inputs!$C$36*(I81/1000)</x:f>
        <x:v>-23.91314374102895</x:v>
      </x:c>
      <x:c r="R81" s="24" t="n">
        <x:f>Subsurface_Inputs!$C$40-2*Subsurface_Inputs!$C$36*(K81/1000)-Subsurface_Inputs!$C$41*ABS(L81-AVERAGE($L$2:$L$242))</x:f>
        <x:v>-33.709441106719915</x:v>
      </x:c>
      <x:c r="S81" s="24" t="n">
        <x:f>K81-AVERAGE($K$2:$K$242)</x:f>
        <x:v>-208.33520887124905</x:v>
      </x:c>
      <x:c r="T81" s="24" t="n">
        <x:f>K81/F81</x:f>
        <x:v>14.329393226265214</x:v>
      </x:c>
      <x:c r="U81" s="25" t="str">
        <x:f>IF(H81&gt;=Subsurface_Inputs!$C$42,"Lens visible","Weak/no lens")</x:f>
        <x:v>Lens visible</x:v>
      </x:c>
      <x:c r="V81" s="25" t="str">
        <x:f>IF(R81&gt;=W81,"Likely visible","Weak")</x:f>
        <x:v>Likely visible</x:v>
      </x:c>
      <x:c r="W81" s="24" t="n">
        <x:f>Subsurface_Inputs!$C$43</x:f>
        <x:v>-45</x:v>
      </x:c>
      <x:c r="X81" s="24" t="n">
        <x:f>Q81-W81</x:f>
        <x:v>21.08685625897105</x:v>
      </x:c>
      <x:c r="Y81" s="24" t="n">
        <x:f>R81-W81</x:f>
        <x:v>11.290558893280085</x:v>
      </x:c>
      <x:c r="Z81" s="24" t="n">
        <x:f>MAX(Q81,R81)-W81</x:f>
        <x:v>21.08685625897105</x:v>
      </x:c>
      <x:c r="AA81" s="24" t="n">
        <x:v>0</x:v>
      </x:c>
    </x:row>
    <x:row r="82">
      <x:c r="A82" s="24" t="n">
        <x:f>Model_Data!A82</x:f>
        <x:v>-20</x:v>
      </x:c>
      <x:c r="B82" s="24" t="n">
        <x:f>Model_Data!Y82</x:f>
        <x:v>338.15830709992554</x:v>
      </x:c>
      <x:c r="C82" s="24" t="n">
        <x:f>Model_Data!X82</x:f>
        <x:v>-146.32822187126578</x:v>
      </x:c>
      <x:c r="D82" s="24" t="n">
        <x:f>Model_Data!B82</x:f>
        <x:v>400.44444444444446</x:v>
      </x:c>
      <x:c r="E82" s="24" t="n">
        <x:f>Inputs!$C$6</x:f>
        <x:v>25</x:v>
      </x:c>
      <x:c r="F82" s="24" t="n">
        <x:f>Subsurface_Inputs!$C$5+Subsurface_Inputs!$C$6*SIN(2*PI()*(A82+Subsurface_Inputs!$C$7)/Subsurface_Inputs!$C$8)+Subsurface_Inputs!$C$9*COS(2*PI()*A82/Subsurface_Inputs!$C$10)+Subsurface_Inputs!$C$11*(B82-AVERAGE($B$2:$B$242))</x:f>
        <x:v>1032.3098306448765</x:v>
      </x:c>
      <x:c r="G82" s="24" t="n">
        <x:f>B82-F82</x:f>
        <x:v>-694.1515235449509</x:v>
      </x:c>
      <x:c r="H82" s="24" t="n">
        <x:f>MIN(1,MAX(0,Subsurface_Inputs!$C$13*EXP(-0.5*((A82-Subsurface_Inputs!$C$14)/Subsurface_Inputs!$C$15)^2)+Subsurface_Inputs!$C$16*EXP(-0.5*((A82-Subsurface_Inputs!$C$17)/Subsurface_Inputs!$C$18)^2)))</x:f>
        <x:v>0.8769605313729038</x:v>
      </x:c>
      <x:c r="I82" s="24" t="n">
        <x:f>Subsurface_Inputs!$C$19+Subsurface_Inputs!$C$20*SIN(2*PI()*(A82-Subsurface_Inputs!$C$21)/Subsurface_Inputs!$C$22)-Subsurface_Inputs!$C$23*H82</x:f>
        <x:v>4415.027591902696</x:v>
      </x:c>
      <x:c r="J82" s="24" t="n">
        <x:f>B82-I82</x:f>
        <x:v>-4076.869284802771</x:v>
      </x:c>
      <x:c r="K82" s="24" t="n">
        <x:f>Subsurface_Inputs!$C$25+Subsurface_Inputs!$C$26*SIN(2*PI()*(A82+Subsurface_Inputs!$C$27)/Subsurface_Inputs!$C$28)+Subsurface_Inputs!$C$29*COS(2*PI()*(A82-Subsurface_Inputs!$C$30)/Subsurface_Inputs!$C$31)-Subsurface_Inputs!$C$32*(B82-AVERAGE($B$2:$B$242))</x:f>
        <x:v>14891.436062206292</x:v>
      </x:c>
      <x:c r="L82" s="24" t="n">
        <x:f>B82-K82</x:f>
        <x:v>-14553.277755106366</x:v>
      </x:c>
      <x:c r="M82" s="24" t="n">
        <x:f>2*Subsurface_Inputs!$C$34*F82/Subsurface_Inputs!$C$35*1000000</x:f>
        <x:v>12.258557208586481</x:v>
      </x:c>
      <x:c r="N82" s="24" t="n">
        <x:f>2*Subsurface_Inputs!$C$34*I82/Subsurface_Inputs!$C$35*1000000</x:f>
        <x:v>52.42793074925721</x:v>
      </x:c>
      <x:c r="O82" s="24" t="n">
        <x:f>2*Subsurface_Inputs!$C$34*K82/Subsurface_Inputs!$C$35*1000000</x:f>
        <x:v>176.83404290795866</x:v>
      </x:c>
      <x:c r="P82" s="24" t="n">
        <x:f>Subsurface_Inputs!$C$37-2*Subsurface_Inputs!$C$36*(F82/1000)</x:f>
        <x:v>-11.858157695160777</x:v>
      </x:c>
      <x:c r="Q82" s="24" t="n">
        <x:f>Subsurface_Inputs!$C$38+Subsurface_Inputs!$C$39*H82-2*Subsurface_Inputs!$C$36*(I82/1000)</x:f>
        <x:v>-24.05440488306872</x:v>
      </x:c>
      <x:c r="R82" s="24" t="n">
        <x:f>Subsurface_Inputs!$C$40-2*Subsurface_Inputs!$C$36*(K82/1000)-Subsurface_Inputs!$C$41*ABS(L82-AVERAGE($L$2:$L$242))</x:f>
        <x:v>-33.63930440551723</x:v>
      </x:c>
      <x:c r="S82" s="24" t="n">
        <x:f>K82-AVERAGE($K$2:$K$242)</x:f>
        <x:v>-185.94863336781782</x:v>
      </x:c>
      <x:c r="T82" s="24" t="n">
        <x:f>K82/F82</x:f>
        <x:v>14.42535527623884</x:v>
      </x:c>
      <x:c r="U82" s="25" t="str">
        <x:f>IF(H82&gt;=Subsurface_Inputs!$C$42,"Lens visible","Weak/no lens")</x:f>
        <x:v>Lens visible</x:v>
      </x:c>
      <x:c r="V82" s="25" t="str">
        <x:f>IF(R82&gt;=W82,"Likely visible","Weak")</x:f>
        <x:v>Likely visible</x:v>
      </x:c>
      <x:c r="W82" s="24" t="n">
        <x:f>Subsurface_Inputs!$C$43</x:f>
        <x:v>-45</x:v>
      </x:c>
      <x:c r="X82" s="24" t="n">
        <x:f>Q82-W82</x:f>
        <x:v>20.94559511693128</x:v>
      </x:c>
      <x:c r="Y82" s="24" t="n">
        <x:f>R82-W82</x:f>
        <x:v>11.36069559448277</x:v>
      </x:c>
      <x:c r="Z82" s="24" t="n">
        <x:f>MAX(Q82,R82)-W82</x:f>
        <x:v>20.94559511693128</x:v>
      </x:c>
      <x:c r="AA82" s="24" t="n">
        <x:v>0</x:v>
      </x:c>
    </x:row>
    <x:row r="83">
      <x:c r="A83" s="24" t="n">
        <x:f>Model_Data!A83</x:f>
        <x:v>-19.5</x:v>
      </x:c>
      <x:c r="B83" s="24" t="n">
        <x:f>Model_Data!Y83</x:f>
        <x:v>363.81454233496186</x:v>
      </x:c>
      <x:c r="C83" s="24" t="n">
        <x:f>Model_Data!X83</x:f>
        <x:v>-140.0483381286437</x:v>
      </x:c>
      <x:c r="D83" s="24" t="n">
        <x:f>Model_Data!B83</x:f>
        <x:v>400.4225</x:v>
      </x:c>
      <x:c r="E83" s="24" t="n">
        <x:f>Inputs!$C$6</x:f>
        <x:v>25</x:v>
      </x:c>
      <x:c r="F83" s="24" t="n">
        <x:f>Subsurface_Inputs!$C$5+Subsurface_Inputs!$C$6*SIN(2*PI()*(A83+Subsurface_Inputs!$C$7)/Subsurface_Inputs!$C$8)+Subsurface_Inputs!$C$9*COS(2*PI()*A83/Subsurface_Inputs!$C$10)+Subsurface_Inputs!$C$11*(B83-AVERAGE($B$2:$B$242))</x:f>
        <x:v>1028.323386141019</x:v>
      </x:c>
      <x:c r="G83" s="24" t="n">
        <x:f>B83-F83</x:f>
        <x:v>-664.5088438060571</x:v>
      </x:c>
      <x:c r="H83" s="24" t="n">
        <x:f>MIN(1,MAX(0,Subsurface_Inputs!$C$13*EXP(-0.5*((A83-Subsurface_Inputs!$C$14)/Subsurface_Inputs!$C$15)^2)+Subsurface_Inputs!$C$16*EXP(-0.5*((A83-Subsurface_Inputs!$C$17)/Subsurface_Inputs!$C$18)^2)))</x:f>
        <x:v>0.8585217273803433</x:v>
      </x:c>
      <x:c r="I83" s="24" t="n">
        <x:f>Subsurface_Inputs!$C$19+Subsurface_Inputs!$C$20*SIN(2*PI()*(A83-Subsurface_Inputs!$C$21)/Subsurface_Inputs!$C$22)-Subsurface_Inputs!$C$23*H83</x:f>
        <x:v>4411.653510855628</x:v>
      </x:c>
      <x:c r="J83" s="24" t="n">
        <x:f>B83-I83</x:f>
        <x:v>-4047.838968520666</x:v>
      </x:c>
      <x:c r="K83" s="24" t="n">
        <x:f>Subsurface_Inputs!$C$25+Subsurface_Inputs!$C$26*SIN(2*PI()*(A83+Subsurface_Inputs!$C$27)/Subsurface_Inputs!$C$28)+Subsurface_Inputs!$C$29*COS(2*PI()*(A83-Subsurface_Inputs!$C$30)/Subsurface_Inputs!$C$31)-Subsurface_Inputs!$C$32*(B83-AVERAGE($B$2:$B$242))</x:f>
        <x:v>14910.194563445193</x:v>
      </x:c>
      <x:c r="L83" s="24" t="n">
        <x:f>B83-K83</x:f>
        <x:v>-14546.380021110232</x:v>
      </x:c>
      <x:c r="M83" s="24" t="n">
        <x:f>2*Subsurface_Inputs!$C$34*F83/Subsurface_Inputs!$C$35*1000000</x:f>
        <x:v>12.21121865134455</x:v>
      </x:c>
      <x:c r="N83" s="24" t="n">
        <x:f>2*Subsurface_Inputs!$C$34*I83/Subsurface_Inputs!$C$35*1000000</x:f>
        <x:v>52.387863935676585</x:v>
      </x:c>
      <x:c r="O83" s="24" t="n">
        <x:f>2*Subsurface_Inputs!$C$34*K83/Subsurface_Inputs!$C$35*1000000</x:f>
        <x:v>177.05679789271045</x:v>
      </x:c>
      <x:c r="P83" s="24" t="n">
        <x:f>Subsurface_Inputs!$C$37-2*Subsurface_Inputs!$C$36*(F83/1000)</x:f>
        <x:v>-11.850982095053833</x:v>
      </x:c>
      <x:c r="Q83" s="24" t="n">
        <x:f>Subsurface_Inputs!$C$38+Subsurface_Inputs!$C$39*H83-2*Subsurface_Inputs!$C$36*(I83/1000)</x:f>
        <x:v>-24.214280773117043</x:v>
      </x:c>
      <x:c r="R83" s="24" t="n">
        <x:f>Subsurface_Inputs!$C$40-2*Subsurface_Inputs!$C$36*(K83/1000)-Subsurface_Inputs!$C$41*ABS(L83-AVERAGE($L$2:$L$242))</x:f>
        <x:v>-33.700660643731794</x:v>
      </x:c>
      <x:c r="S83" s="24" t="n">
        <x:f>K83-AVERAGE($K$2:$K$242)</x:f>
        <x:v>-167.19013212891696</x:v>
      </x:c>
      <x:c r="T83" s="24" t="n">
        <x:f>K83/F83</x:f>
        <x:v>14.499519085526744</x:v>
      </x:c>
      <x:c r="U83" s="25" t="str">
        <x:f>IF(H83&gt;=Subsurface_Inputs!$C$42,"Lens visible","Weak/no lens")</x:f>
        <x:v>Lens visible</x:v>
      </x:c>
      <x:c r="V83" s="25" t="str">
        <x:f>IF(R83&gt;=W83,"Likely visible","Weak")</x:f>
        <x:v>Likely visible</x:v>
      </x:c>
      <x:c r="W83" s="24" t="n">
        <x:f>Subsurface_Inputs!$C$43</x:f>
        <x:v>-45</x:v>
      </x:c>
      <x:c r="X83" s="24" t="n">
        <x:f>Q83-W83</x:f>
        <x:v>20.785719226882957</x:v>
      </x:c>
      <x:c r="Y83" s="24" t="n">
        <x:f>R83-W83</x:f>
        <x:v>11.299339356268206</x:v>
      </x:c>
      <x:c r="Z83" s="24" t="n">
        <x:f>MAX(Q83,R83)-W83</x:f>
        <x:v>20.785719226882957</x:v>
      </x:c>
      <x:c r="AA83" s="24" t="n">
        <x:v>0</x:v>
      </x:c>
    </x:row>
    <x:row r="84">
      <x:c r="A84" s="24" t="n">
        <x:f>Model_Data!A84</x:f>
        <x:v>-19</x:v>
      </x:c>
      <x:c r="B84" s="24" t="n">
        <x:f>Model_Data!Y84</x:f>
        <x:v>371.18641988344854</x:v>
      </x:c>
      <x:c r="C84" s="24" t="n">
        <x:f>Model_Data!X84</x:f>
        <x:v>-144.88352309984418</x:v>
      </x:c>
      <x:c r="D84" s="24" t="n">
        <x:f>Model_Data!B84</x:f>
        <x:v>400.4011111111111</x:v>
      </x:c>
      <x:c r="E84" s="24" t="n">
        <x:f>Inputs!$C$6</x:f>
        <x:v>25</x:v>
      </x:c>
      <x:c r="F84" s="24" t="n">
        <x:f>Subsurface_Inputs!$C$5+Subsurface_Inputs!$C$6*SIN(2*PI()*(A84+Subsurface_Inputs!$C$7)/Subsurface_Inputs!$C$8)+Subsurface_Inputs!$C$9*COS(2*PI()*A84/Subsurface_Inputs!$C$10)+Subsurface_Inputs!$C$11*(B84-AVERAGE($B$2:$B$242))</x:f>
        <x:v>1023.8458104268644</x:v>
      </x:c>
      <x:c r="G84" s="24" t="n">
        <x:f>B84-F84</x:f>
        <x:v>-652.6593905434158</x:v>
      </x:c>
      <x:c r="H84" s="24" t="n">
        <x:f>MIN(1,MAX(0,Subsurface_Inputs!$C$13*EXP(-0.5*((A84-Subsurface_Inputs!$C$14)/Subsurface_Inputs!$C$15)^2)+Subsurface_Inputs!$C$16*EXP(-0.5*((A84-Subsurface_Inputs!$C$17)/Subsurface_Inputs!$C$18)^2)))</x:f>
        <x:v>0.8383720624520692</x:v>
      </x:c>
      <x:c r="I84" s="24" t="n">
        <x:f>Subsurface_Inputs!$C$19+Subsurface_Inputs!$C$20*SIN(2*PI()*(A84-Subsurface_Inputs!$C$21)/Subsurface_Inputs!$C$22)-Subsurface_Inputs!$C$23*H84</x:f>
        <x:v>4409.397880062132</x:v>
      </x:c>
      <x:c r="J84" s="24" t="n">
        <x:f>B84-I84</x:f>
        <x:v>-4038.211460178683</x:v>
      </x:c>
      <x:c r="K84" s="24" t="n">
        <x:f>Subsurface_Inputs!$C$25+Subsurface_Inputs!$C$26*SIN(2*PI()*(A84+Subsurface_Inputs!$C$27)/Subsurface_Inputs!$C$28)+Subsurface_Inputs!$C$29*COS(2*PI()*(A84-Subsurface_Inputs!$C$30)/Subsurface_Inputs!$C$31)-Subsurface_Inputs!$C$32*(B84-AVERAGE($B$2:$B$242))</x:f>
        <x:v>14932.184635308318</x:v>
      </x:c>
      <x:c r="L84" s="24" t="n">
        <x:f>B84-K84</x:f>
        <x:v>-14560.99821542487</x:v>
      </x:c>
      <x:c r="M84" s="24" t="n">
        <x:f>2*Subsurface_Inputs!$C$34*F84/Subsurface_Inputs!$C$35*1000000</x:f>
        <x:v>12.158047969037424</x:v>
      </x:c>
      <x:c r="N84" s="24" t="n">
        <x:f>2*Subsurface_Inputs!$C$34*I84/Subsurface_Inputs!$C$35*1000000</x:f>
        <x:v>52.361078586644055</x:v>
      </x:c>
      <x:c r="O84" s="24" t="n">
        <x:f>2*Subsurface_Inputs!$C$34*K84/Subsurface_Inputs!$C$35*1000000</x:f>
        <x:v>177.31792739661788</x:v>
      </x:c>
      <x:c r="P84" s="24" t="n">
        <x:f>Subsurface_Inputs!$C$37-2*Subsurface_Inputs!$C$36*(F84/1000)</x:f>
        <x:v>-11.842922458768356</x:v>
      </x:c>
      <x:c r="Q84" s="24" t="n">
        <x:f>Subsurface_Inputs!$C$38+Subsurface_Inputs!$C$39*H84-2*Subsurface_Inputs!$C$36*(I84/1000)</x:f>
        <x:v>-24.391567622043215</x:v>
      </x:c>
      <x:c r="R84" s="24" t="n">
        <x:f>Subsurface_Inputs!$C$40-2*Subsurface_Inputs!$C$36*(K84/1000)-Subsurface_Inputs!$C$41*ABS(L84-AVERAGE($L$2:$L$242))</x:f>
        <x:v>-33.68176999582686</x:v>
      </x:c>
      <x:c r="S84" s="24" t="n">
        <x:f>K84-AVERAGE($K$2:$K$242)</x:f>
        <x:v>-145.20006026579176</x:v>
      </x:c>
      <x:c r="T84" s="24" t="n">
        <x:f>K84/F84</x:f>
        <x:v>14.584407616106525</x:v>
      </x:c>
      <x:c r="U84" s="25" t="str">
        <x:f>IF(H84&gt;=Subsurface_Inputs!$C$42,"Lens visible","Weak/no lens")</x:f>
        <x:v>Lens visible</x:v>
      </x:c>
      <x:c r="V84" s="25" t="str">
        <x:f>IF(R84&gt;=W84,"Likely visible","Weak")</x:f>
        <x:v>Likely visible</x:v>
      </x:c>
      <x:c r="W84" s="24" t="n">
        <x:f>Subsurface_Inputs!$C$43</x:f>
        <x:v>-45</x:v>
      </x:c>
      <x:c r="X84" s="24" t="n">
        <x:f>Q84-W84</x:f>
        <x:v>20.608432377956785</x:v>
      </x:c>
      <x:c r="Y84" s="24" t="n">
        <x:f>R84-W84</x:f>
        <x:v>11.318230004173138</x:v>
      </x:c>
      <x:c r="Z84" s="24" t="n">
        <x:f>MAX(Q84,R84)-W84</x:f>
        <x:v>20.608432377956785</x:v>
      </x:c>
      <x:c r="AA84" s="24" t="n">
        <x:v>0</x:v>
      </x:c>
    </x:row>
    <x:row r="85">
      <x:c r="A85" s="24" t="n">
        <x:f>Model_Data!A85</x:f>
        <x:v>-18.5</x:v>
      </x:c>
      <x:c r="B85" s="24" t="n">
        <x:f>Model_Data!Y85</x:f>
        <x:v>365.6884368087795</x:v>
      </x:c>
      <x:c r="C85" s="24" t="n">
        <x:f>Model_Data!X85</x:f>
        <x:v>-136.66366560462208</x:v>
      </x:c>
      <x:c r="D85" s="24" t="n">
        <x:f>Model_Data!B85</x:f>
        <x:v>400.3802777777778</x:v>
      </x:c>
      <x:c r="E85" s="24" t="n">
        <x:f>Inputs!$C$6</x:f>
        <x:v>25</x:v>
      </x:c>
      <x:c r="F85" s="24" t="n">
        <x:f>Subsurface_Inputs!$C$5+Subsurface_Inputs!$C$6*SIN(2*PI()*(A85+Subsurface_Inputs!$C$7)/Subsurface_Inputs!$C$8)+Subsurface_Inputs!$C$9*COS(2*PI()*A85/Subsurface_Inputs!$C$10)+Subsurface_Inputs!$C$11*(B85-AVERAGE($B$2:$B$242))</x:f>
        <x:v>1019.2115825935768</x:v>
      </x:c>
      <x:c r="G85" s="24" t="n">
        <x:f>B85-F85</x:f>
        <x:v>-653.5231457847974</x:v>
      </x:c>
      <x:c r="H85" s="24" t="n">
        <x:f>MIN(1,MAX(0,Subsurface_Inputs!$C$13*EXP(-0.5*((A85-Subsurface_Inputs!$C$14)/Subsurface_Inputs!$C$15)^2)+Subsurface_Inputs!$C$16*EXP(-0.5*((A85-Subsurface_Inputs!$C$17)/Subsurface_Inputs!$C$18)^2)))</x:f>
        <x:v>0.8166511327352994</x:v>
      </x:c>
      <x:c r="I85" s="24" t="n">
        <x:f>Subsurface_Inputs!$C$19+Subsurface_Inputs!$C$20*SIN(2*PI()*(A85-Subsurface_Inputs!$C$21)/Subsurface_Inputs!$C$22)-Subsurface_Inputs!$C$23*H85</x:f>
        <x:v>4408.237604274964</x:v>
      </x:c>
      <x:c r="J85" s="24" t="n">
        <x:f>B85-I85</x:f>
        <x:v>-4042.5491674661844</x:v>
      </x:c>
      <x:c r="K85" s="24" t="n">
        <x:f>Subsurface_Inputs!$C$25+Subsurface_Inputs!$C$26*SIN(2*PI()*(A85+Subsurface_Inputs!$C$27)/Subsurface_Inputs!$C$28)+Subsurface_Inputs!$C$29*COS(2*PI()*(A85-Subsurface_Inputs!$C$30)/Subsurface_Inputs!$C$31)-Subsurface_Inputs!$C$32*(B85-AVERAGE($B$2:$B$242))</x:f>
        <x:v>14956.623219107312</x:v>
      </x:c>
      <x:c r="L85" s="24" t="n">
        <x:f>B85-K85</x:f>
        <x:v>-14590.934782298533</x:v>
      </x:c>
      <x:c r="M85" s="24" t="n">
        <x:f>2*Subsurface_Inputs!$C$34*F85/Subsurface_Inputs!$C$35*1000000</x:f>
        <x:v>12.103017061333588</x:v>
      </x:c>
      <x:c r="N85" s="24" t="n">
        <x:f>2*Subsurface_Inputs!$C$34*I85/Subsurface_Inputs!$C$35*1000000</x:f>
        <x:v>52.34730044882874</x:v>
      </x:c>
      <x:c r="O85" s="24" t="n">
        <x:f>2*Subsurface_Inputs!$C$34*K85/Subsurface_Inputs!$C$35*1000000</x:f>
        <x:v>177.6081326903228</x:v>
      </x:c>
      <x:c r="P85" s="24" t="n">
        <x:f>Subsurface_Inputs!$C$37-2*Subsurface_Inputs!$C$36*(F85/1000)</x:f>
        <x:v>-11.834580848668438</x:v>
      </x:c>
      <x:c r="Q85" s="24" t="n">
        <x:f>Subsurface_Inputs!$C$38+Subsurface_Inputs!$C$39*H85-2*Subsurface_Inputs!$C$36*(I85/1000)</x:f>
        <x:v>-24.58496749307724</x:v>
      </x:c>
      <x:c r="R85" s="24" t="n">
        <x:f>Subsurface_Inputs!$C$40-2*Subsurface_Inputs!$C$36*(K85/1000)-Subsurface_Inputs!$C$41*ABS(L85-AVERAGE($L$2:$L$242))</x:f>
        <x:v>-33.606013179170404</x:v>
      </x:c>
      <x:c r="S85" s="24" t="n">
        <x:f>K85-AVERAGE($K$2:$K$242)</x:f>
        <x:v>-120.76147646679783</x:v>
      </x:c>
      <x:c r="T85" s="24" t="n">
        <x:f>K85/F85</x:f>
        <x:v>14.674699026719606</x:v>
      </x:c>
      <x:c r="U85" s="25" t="str">
        <x:f>IF(H85&gt;=Subsurface_Inputs!$C$42,"Lens visible","Weak/no lens")</x:f>
        <x:v>Lens visible</x:v>
      </x:c>
      <x:c r="V85" s="25" t="str">
        <x:f>IF(R85&gt;=W85,"Likely visible","Weak")</x:f>
        <x:v>Likely visible</x:v>
      </x:c>
      <x:c r="W85" s="24" t="n">
        <x:f>Subsurface_Inputs!$C$43</x:f>
        <x:v>-45</x:v>
      </x:c>
      <x:c r="X85" s="24" t="n">
        <x:f>Q85-W85</x:f>
        <x:v>20.41503250692276</x:v>
      </x:c>
      <x:c r="Y85" s="24" t="n">
        <x:f>R85-W85</x:f>
        <x:v>11.393986820829596</x:v>
      </x:c>
      <x:c r="Z85" s="24" t="n">
        <x:f>MAX(Q85,R85)-W85</x:f>
        <x:v>20.41503250692276</x:v>
      </x:c>
      <x:c r="AA85" s="24" t="n">
        <x:v>0</x:v>
      </x:c>
    </x:row>
    <x:row r="86">
      <x:c r="A86" s="24" t="n">
        <x:f>Model_Data!A86</x:f>
        <x:v>-18</x:v>
      </x:c>
      <x:c r="B86" s="24" t="n">
        <x:f>Model_Data!Y86</x:f>
        <x:v>392.0220541536099</x:v>
      </x:c>
      <x:c r="C86" s="24" t="n">
        <x:f>Model_Data!X86</x:f>
        <x:v>-149.12259877495586</x:v>
      </x:c>
      <x:c r="D86" s="24" t="n">
        <x:f>Model_Data!B86</x:f>
        <x:v>400.36</x:v>
      </x:c>
      <x:c r="E86" s="24" t="n">
        <x:f>Inputs!$C$6</x:f>
        <x:v>25</x:v>
      </x:c>
      <x:c r="F86" s="24" t="n">
        <x:f>Subsurface_Inputs!$C$5+Subsurface_Inputs!$C$6*SIN(2*PI()*(A86+Subsurface_Inputs!$C$7)/Subsurface_Inputs!$C$8)+Subsurface_Inputs!$C$9*COS(2*PI()*A86/Subsurface_Inputs!$C$10)+Subsurface_Inputs!$C$11*(B86-AVERAGE($B$2:$B$242))</x:f>
        <x:v>1016.3313604829789</x:v>
      </x:c>
      <x:c r="G86" s="24" t="n">
        <x:f>B86-F86</x:f>
        <x:v>-624.3093063293691</x:v>
      </x:c>
      <x:c r="H86" s="24" t="n">
        <x:f>MIN(1,MAX(0,Subsurface_Inputs!$C$13*EXP(-0.5*((A86-Subsurface_Inputs!$C$14)/Subsurface_Inputs!$C$15)^2)+Subsurface_Inputs!$C$16*EXP(-0.5*((A86-Subsurface_Inputs!$C$17)/Subsurface_Inputs!$C$18)^2)))</x:f>
        <x:v>0.7935067115016943</x:v>
      </x:c>
      <x:c r="I86" s="24" t="n">
        <x:f>Subsurface_Inputs!$C$19+Subsurface_Inputs!$C$20*SIN(2*PI()*(A86-Subsurface_Inputs!$C$21)/Subsurface_Inputs!$C$22)-Subsurface_Inputs!$C$23*H86</x:f>
        <x:v>4408.14657160396</x:v>
      </x:c>
      <x:c r="J86" s="24" t="n">
        <x:f>B86-I86</x:f>
        <x:v>-4016.12451745035</x:v>
      </x:c>
      <x:c r="K86" s="24" t="n">
        <x:f>Subsurface_Inputs!$C$25+Subsurface_Inputs!$C$26*SIN(2*PI()*(A86+Subsurface_Inputs!$C$27)/Subsurface_Inputs!$C$28)+Subsurface_Inputs!$C$29*COS(2*PI()*(A86-Subsurface_Inputs!$C$30)/Subsurface_Inputs!$C$31)-Subsurface_Inputs!$C$32*(B86-AVERAGE($B$2:$B$242))</x:f>
        <x:v>14977.225154246555</x:v>
      </x:c>
      <x:c r="L86" s="24" t="n">
        <x:f>B86-K86</x:f>
        <x:v>-14585.203100092946</x:v>
      </x:c>
      <x:c r="M86" s="24" t="n">
        <x:f>2*Subsurface_Inputs!$C$34*F86/Subsurface_Inputs!$C$35*1000000</x:f>
        <x:v>12.068814764244019</x:v>
      </x:c>
      <x:c r="N86" s="24" t="n">
        <x:f>2*Subsurface_Inputs!$C$34*I86/Subsurface_Inputs!$C$35*1000000</x:f>
        <x:v>52.34621944662163</x:v>
      </x:c>
      <x:c r="O86" s="24" t="n">
        <x:f>2*Subsurface_Inputs!$C$34*K86/Subsurface_Inputs!$C$35*1000000</x:f>
        <x:v>177.8527782347271</x:v>
      </x:c>
      <x:c r="P86" s="24" t="n">
        <x:f>Subsurface_Inputs!$C$37-2*Subsurface_Inputs!$C$36*(F86/1000)</x:f>
        <x:v>-11.829396448869362</x:v>
      </x:c>
      <x:c r="Q86" s="24" t="n">
        <x:f>Subsurface_Inputs!$C$38+Subsurface_Inputs!$C$39*H86-2*Subsurface_Inputs!$C$36*(I86/1000)</x:f>
        <x:v>-24.79310342537188</x:v>
      </x:c>
      <x:c r="R86" s="24" t="n">
        <x:f>Subsurface_Inputs!$C$40-2*Subsurface_Inputs!$C$36*(K86/1000)-Subsurface_Inputs!$C$41*ABS(L86-AVERAGE($L$2:$L$242))</x:f>
        <x:v>-33.666023391243385</x:v>
      </x:c>
      <x:c r="S86" s="24" t="n">
        <x:f>K86-AVERAGE($K$2:$K$242)</x:f>
        <x:v>-100.15954132755542</x:v>
      </x:c>
      <x:c r="T86" s="24" t="n">
        <x:f>K86/F86</x:f>
        <x:v>14.73655712751903</x:v>
      </x:c>
      <x:c r="U86" s="25" t="str">
        <x:f>IF(H86&gt;=Subsurface_Inputs!$C$42,"Lens visible","Weak/no lens")</x:f>
        <x:v>Lens visible</x:v>
      </x:c>
      <x:c r="V86" s="25" t="str">
        <x:f>IF(R86&gt;=W86,"Likely visible","Weak")</x:f>
        <x:v>Likely visible</x:v>
      </x:c>
      <x:c r="W86" s="24" t="n">
        <x:f>Subsurface_Inputs!$C$43</x:f>
        <x:v>-45</x:v>
      </x:c>
      <x:c r="X86" s="24" t="n">
        <x:f>Q86-W86</x:f>
        <x:v>20.20689657462812</x:v>
      </x:c>
      <x:c r="Y86" s="24" t="n">
        <x:f>R86-W86</x:f>
        <x:v>11.333976608756615</x:v>
      </x:c>
      <x:c r="Z86" s="24" t="n">
        <x:f>MAX(Q86,R86)-W86</x:f>
        <x:v>20.20689657462812</x:v>
      </x:c>
      <x:c r="AA86" s="24" t="n">
        <x:v>0</x:v>
      </x:c>
    </x:row>
    <x:row r="87">
      <x:c r="A87" s="24" t="n">
        <x:f>Model_Data!A87</x:f>
        <x:v>-17.5</x:v>
      </x:c>
      <x:c r="B87" s="24" t="n">
        <x:f>Model_Data!Y87</x:f>
        <x:v>397.07097057156574</x:v>
      </x:c>
      <x:c r="C87" s="24" t="n">
        <x:f>Model_Data!X87</x:f>
        <x:v>-139.0731304771746</x:v>
      </x:c>
      <x:c r="D87" s="24" t="n">
        <x:f>Model_Data!B87</x:f>
        <x:v>400.34027777777777</x:v>
      </x:c>
      <x:c r="E87" s="24" t="n">
        <x:f>Inputs!$C$6</x:f>
        <x:v>25</x:v>
      </x:c>
      <x:c r="F87" s="24" t="n">
        <x:f>Subsurface_Inputs!$C$5+Subsurface_Inputs!$C$6*SIN(2*PI()*(A87+Subsurface_Inputs!$C$7)/Subsurface_Inputs!$C$8)+Subsurface_Inputs!$C$9*COS(2*PI()*A87/Subsurface_Inputs!$C$10)+Subsurface_Inputs!$C$11*(B87-AVERAGE($B$2:$B$242))</x:f>
        <x:v>1013.2052820771048</x:v>
      </x:c>
      <x:c r="G87" s="24" t="n">
        <x:f>B87-F87</x:f>
        <x:v>-616.134311505539</x:v>
      </x:c>
      <x:c r="H87" s="24" t="n">
        <x:f>MIN(1,MAX(0,Subsurface_Inputs!$C$13*EXP(-0.5*((A87-Subsurface_Inputs!$C$14)/Subsurface_Inputs!$C$15)^2)+Subsurface_Inputs!$C$16*EXP(-0.5*((A87-Subsurface_Inputs!$C$17)/Subsurface_Inputs!$C$18)^2)))</x:f>
        <x:v>0.7690930817158687</x:v>
      </x:c>
      <x:c r="I87" s="24" t="n">
        <x:f>Subsurface_Inputs!$C$19+Subsurface_Inputs!$C$20*SIN(2*PI()*(A87-Subsurface_Inputs!$C$21)/Subsurface_Inputs!$C$22)-Subsurface_Inputs!$C$23*H87</x:f>
        <x:v>4409.096039971746</x:v>
      </x:c>
      <x:c r="J87" s="24" t="n">
        <x:f>B87-I87</x:f>
        <x:v>-4012.02506940018</x:v>
      </x:c>
      <x:c r="K87" s="24" t="n">
        <x:f>Subsurface_Inputs!$C$25+Subsurface_Inputs!$C$26*SIN(2*PI()*(A87+Subsurface_Inputs!$C$27)/Subsurface_Inputs!$C$28)+Subsurface_Inputs!$C$29*COS(2*PI()*(A87-Subsurface_Inputs!$C$30)/Subsurface_Inputs!$C$31)-Subsurface_Inputs!$C$32*(B87-AVERAGE($B$2:$B$242))</x:f>
        <x:v>15001.397890806353</x:v>
      </x:c>
      <x:c r="L87" s="24" t="n">
        <x:f>B87-K87</x:f>
        <x:v>-14604.326920234787</x:v>
      </x:c>
      <x:c r="M87" s="24" t="n">
        <x:f>2*Subsurface_Inputs!$C$34*F87/Subsurface_Inputs!$C$35*1000000</x:f>
        <x:v>12.03169295271095</x:v>
      </x:c>
      <x:c r="N87" s="24" t="n">
        <x:f>2*Subsurface_Inputs!$C$34*I87/Subsurface_Inputs!$C$35*1000000</x:f>
        <x:v>52.35749427125153</x:v>
      </x:c>
      <x:c r="O87" s="24" t="n">
        <x:f>2*Subsurface_Inputs!$C$34*K87/Subsurface_Inputs!$C$35*1000000</x:f>
        <x:v>178.13982662389265</x:v>
      </x:c>
      <x:c r="P87" s="24" t="n">
        <x:f>Subsurface_Inputs!$C$37-2*Subsurface_Inputs!$C$36*(F87/1000)</x:f>
        <x:v>-11.823769507738788</x:v>
      </x:c>
      <x:c r="Q87" s="24" t="n">
        <x:f>Subsurface_Inputs!$C$38+Subsurface_Inputs!$C$39*H87-2*Subsurface_Inputs!$C$36*(I87/1000)</x:f>
        <x:v>-25.014535136506325</x:v>
      </x:c>
      <x:c r="R87" s="24" t="n">
        <x:f>Subsurface_Inputs!$C$40-2*Subsurface_Inputs!$C$36*(K87/1000)-Subsurface_Inputs!$C$41*ABS(L87-AVERAGE($L$2:$L$242))</x:f>
        <x:v>-33.63303903648366</x:v>
      </x:c>
      <x:c r="S87" s="24" t="n">
        <x:f>K87-AVERAGE($K$2:$K$242)</x:f>
        <x:v>-75.98680476775735</x:v>
      </x:c>
      <x:c r="T87" s="24" t="n">
        <x:f>K87/F87</x:f>
        <x:v>14.805882042040862</x:v>
      </x:c>
      <x:c r="U87" s="25" t="str">
        <x:f>IF(H87&gt;=Subsurface_Inputs!$C$42,"Lens visible","Weak/no lens")</x:f>
        <x:v>Lens visible</x:v>
      </x:c>
      <x:c r="V87" s="25" t="str">
        <x:f>IF(R87&gt;=W87,"Likely visible","Weak")</x:f>
        <x:v>Likely visible</x:v>
      </x:c>
      <x:c r="W87" s="24" t="n">
        <x:f>Subsurface_Inputs!$C$43</x:f>
        <x:v>-45</x:v>
      </x:c>
      <x:c r="X87" s="24" t="n">
        <x:f>Q87-W87</x:f>
        <x:v>19.985464863493675</x:v>
      </x:c>
      <x:c r="Y87" s="24" t="n">
        <x:f>R87-W87</x:f>
        <x:v>11.366960963516341</x:v>
      </x:c>
      <x:c r="Z87" s="24" t="n">
        <x:f>MAX(Q87,R87)-W87</x:f>
        <x:v>19.985464863493675</x:v>
      </x:c>
      <x:c r="AA87" s="24" t="n">
        <x:v>0</x:v>
      </x:c>
    </x:row>
    <x:row r="88">
      <x:c r="A88" s="24" t="n">
        <x:f>Model_Data!A88</x:f>
        <x:v>-17</x:v>
      </x:c>
      <x:c r="B88" s="24" t="n">
        <x:f>Model_Data!Y88</x:f>
        <x:v>381.37310246850825</x:v>
      </x:c>
      <x:c r="C88" s="24" t="n">
        <x:f>Model_Data!X88</x:f>
        <x:v>-125.70874899839603</x:v>
      </x:c>
      <x:c r="D88" s="24" t="n">
        <x:f>Model_Data!B88</x:f>
        <x:v>400.3211111111111</x:v>
      </x:c>
      <x:c r="E88" s="24" t="n">
        <x:f>Inputs!$C$6</x:f>
        <x:v>25</x:v>
      </x:c>
      <x:c r="F88" s="24" t="n">
        <x:f>Subsurface_Inputs!$C$5+Subsurface_Inputs!$C$6*SIN(2*PI()*(A88+Subsurface_Inputs!$C$7)/Subsurface_Inputs!$C$8)+Subsurface_Inputs!$C$9*COS(2*PI()*A88/Subsurface_Inputs!$C$10)+Subsurface_Inputs!$C$11*(B88-AVERAGE($B$2:$B$242))</x:f>
        <x:v>1009.979232008099</x:v>
      </x:c>
      <x:c r="G88" s="24" t="n">
        <x:f>B88-F88</x:f>
        <x:v>-628.6061295395907</x:v>
      </x:c>
      <x:c r="H88" s="24" t="n">
        <x:f>MIN(1,MAX(0,Subsurface_Inputs!$C$13*EXP(-0.5*((A88-Subsurface_Inputs!$C$14)/Subsurface_Inputs!$C$15)^2)+Subsurface_Inputs!$C$16*EXP(-0.5*((A88-Subsurface_Inputs!$C$17)/Subsurface_Inputs!$C$18)^2)))</x:f>
        <x:v>0.7435693337234462</x:v>
      </x:c>
      <x:c r="I88" s="24" t="n">
        <x:f>Subsurface_Inputs!$C$19+Subsurface_Inputs!$C$20*SIN(2*PI()*(A88-Subsurface_Inputs!$C$21)/Subsurface_Inputs!$C$22)-Subsurface_Inputs!$C$23*H88</x:f>
        <x:v>4411.055033508008</x:v>
      </x:c>
      <x:c r="J88" s="24" t="n">
        <x:f>B88-I88</x:f>
        <x:v>-4029.6819310394994</x:v>
      </x:c>
      <x:c r="K88" s="24" t="n">
        <x:f>Subsurface_Inputs!$C$25+Subsurface_Inputs!$C$26*SIN(2*PI()*(A88+Subsurface_Inputs!$C$27)/Subsurface_Inputs!$C$28)+Subsurface_Inputs!$C$29*COS(2*PI()*(A88-Subsurface_Inputs!$C$30)/Subsurface_Inputs!$C$31)-Subsurface_Inputs!$C$32*(B88-AVERAGE($B$2:$B$242))</x:f>
        <x:v>15029.035468184995</x:v>
      </x:c>
      <x:c r="L88" s="24" t="n">
        <x:f>B88-K88</x:f>
        <x:v>-14647.662365716487</x:v>
      </x:c>
      <x:c r="M88" s="24" t="n">
        <x:f>2*Subsurface_Inputs!$C$34*F88/Subsurface_Inputs!$C$35*1000000</x:f>
        <x:v>11.993383989495934</x:v>
      </x:c>
      <x:c r="N88" s="24" t="n">
        <x:f>2*Subsurface_Inputs!$C$34*I88/Subsurface_Inputs!$C$35*1000000</x:f>
        <x:v>52.380757087920166</x:v>
      </x:c>
      <x:c r="O88" s="24" t="n">
        <x:f>2*Subsurface_Inputs!$C$34*K88/Subsurface_Inputs!$C$35*1000000</x:f>
        <x:v>178.46801958819984</x:v>
      </x:c>
      <x:c r="P88" s="24" t="n">
        <x:f>Subsurface_Inputs!$C$37-2*Subsurface_Inputs!$C$36*(F88/1000)</x:f>
        <x:v>-11.817962617614578</x:v>
      </x:c>
      <x:c r="Q88" s="24" t="n">
        <x:f>Subsurface_Inputs!$C$38+Subsurface_Inputs!$C$39*H88-2*Subsurface_Inputs!$C$36*(I88/1000)</x:f>
        <x:v>-25.2477750568034</x:v>
      </x:c>
      <x:c r="R88" s="24" t="n">
        <x:f>Subsurface_Inputs!$C$40-2*Subsurface_Inputs!$C$36*(K88/1000)-Subsurface_Inputs!$C$41*ABS(L88-AVERAGE($L$2:$L$242))</x:f>
        <x:v>-33.50944489383841</x:v>
      </x:c>
      <x:c r="S88" s="24" t="n">
        <x:f>K88-AVERAGE($K$2:$K$242)</x:f>
        <x:v>-48.349227389115185</x:v>
      </x:c>
      <x:c r="T88" s="24" t="n">
        <x:f>K88/F88</x:f>
        <x:v>14.880539115941424</x:v>
      </x:c>
      <x:c r="U88" s="25" t="str">
        <x:f>IF(H88&gt;=Subsurface_Inputs!$C$42,"Lens visible","Weak/no lens")</x:f>
        <x:v>Lens visible</x:v>
      </x:c>
      <x:c r="V88" s="25" t="str">
        <x:f>IF(R88&gt;=W88,"Likely visible","Weak")</x:f>
        <x:v>Likely visible</x:v>
      </x:c>
      <x:c r="W88" s="24" t="n">
        <x:f>Subsurface_Inputs!$C$43</x:f>
        <x:v>-45</x:v>
      </x:c>
      <x:c r="X88" s="24" t="n">
        <x:f>Q88-W88</x:f>
        <x:v>19.7522249431966</x:v>
      </x:c>
      <x:c r="Y88" s="24" t="n">
        <x:f>R88-W88</x:f>
        <x:v>11.490555106161587</x:v>
      </x:c>
      <x:c r="Z88" s="24" t="n">
        <x:f>MAX(Q88,R88)-W88</x:f>
        <x:v>19.7522249431966</x:v>
      </x:c>
      <x:c r="AA88" s="24" t="n">
        <x:v>0</x:v>
      </x:c>
    </x:row>
    <x:row r="89">
      <x:c r="A89" s="24" t="n">
        <x:f>Model_Data!A89</x:f>
        <x:v>-16.5</x:v>
      </x:c>
      <x:c r="B89" s="24" t="n">
        <x:f>Model_Data!Y89</x:f>
        <x:v>387.1431058674635</x:v>
      </x:c>
      <x:c r="C89" s="24" t="n">
        <x:f>Model_Data!X89</x:f>
        <x:v>-123.86861357235706</x:v>
      </x:c>
      <x:c r="D89" s="24" t="n">
        <x:f>Model_Data!B89</x:f>
        <x:v>400.3025</x:v>
      </x:c>
      <x:c r="E89" s="24" t="n">
        <x:f>Inputs!$C$6</x:f>
        <x:v>25</x:v>
      </x:c>
      <x:c r="F89" s="24" t="n">
        <x:f>Subsurface_Inputs!$C$5+Subsurface_Inputs!$C$6*SIN(2*PI()*(A89+Subsurface_Inputs!$C$7)/Subsurface_Inputs!$C$8)+Subsurface_Inputs!$C$9*COS(2*PI()*A89/Subsurface_Inputs!$C$10)+Subsurface_Inputs!$C$11*(B89-AVERAGE($B$2:$B$242))</x:f>
        <x:v>1008.4630768777304</x:v>
      </x:c>
      <x:c r="G89" s="24" t="n">
        <x:f>B89-F89</x:f>
        <x:v>-621.319971010267</x:v>
      </x:c>
      <x:c r="H89" s="24" t="n">
        <x:f>MIN(1,MAX(0,Subsurface_Inputs!$C$13*EXP(-0.5*((A89-Subsurface_Inputs!$C$14)/Subsurface_Inputs!$C$15)^2)+Subsurface_Inputs!$C$16*EXP(-0.5*((A89-Subsurface_Inputs!$C$17)/Subsurface_Inputs!$C$18)^2)))</x:f>
        <x:v>0.7170976541555157</x:v>
      </x:c>
      <x:c r="I89" s="24" t="n">
        <x:f>Subsurface_Inputs!$C$19+Subsurface_Inputs!$C$20*SIN(2*PI()*(A89-Subsurface_Inputs!$C$21)/Subsurface_Inputs!$C$22)-Subsurface_Inputs!$C$23*H89</x:f>
        <x:v>4413.9907426368945</x:v>
      </x:c>
      <x:c r="J89" s="24" t="n">
        <x:f>B89-I89</x:f>
        <x:v>-4026.847636769431</x:v>
      </x:c>
      <x:c r="K89" s="24" t="n">
        <x:f>Subsurface_Inputs!$C$25+Subsurface_Inputs!$C$26*SIN(2*PI()*(A89+Subsurface_Inputs!$C$27)/Subsurface_Inputs!$C$28)+Subsurface_Inputs!$C$29*COS(2*PI()*(A89-Subsurface_Inputs!$C$30)/Subsurface_Inputs!$C$31)-Subsurface_Inputs!$C$32*(B89-AVERAGE($B$2:$B$242))</x:f>
        <x:v>15054.19542273615</x:v>
      </x:c>
      <x:c r="L89" s="24" t="n">
        <x:f>B89-K89</x:f>
        <x:v>-14667.052316868685</x:v>
      </x:c>
      <x:c r="M89" s="24" t="n">
        <x:f>2*Subsurface_Inputs!$C$34*F89/Subsurface_Inputs!$C$35*1000000</x:f>
        <x:v>11.97537982654894</x:v>
      </x:c>
      <x:c r="N89" s="24" t="n">
        <x:f>2*Subsurface_Inputs!$C$34*I89/Subsurface_Inputs!$C$35*1000000</x:f>
        <x:v>52.41561828679274</x:v>
      </x:c>
      <x:c r="O89" s="24" t="n">
        <x:f>2*Subsurface_Inputs!$C$34*K89/Subsurface_Inputs!$C$35*1000000</x:f>
        <x:v>178.76679107431278</x:v>
      </x:c>
      <x:c r="P89" s="24" t="n">
        <x:f>Subsurface_Inputs!$C$37-2*Subsurface_Inputs!$C$36*(F89/1000)</x:f>
        <x:v>-11.815233538379914</x:v>
      </x:c>
      <x:c r="Q89" s="24" t="n">
        <x:f>Subsurface_Inputs!$C$38+Subsurface_Inputs!$C$39*H89-2*Subsurface_Inputs!$C$36*(I89/1000)</x:f>
        <x:v>-25.49130444934677</x:v>
      </x:c>
      <x:c r="R89" s="24" t="n">
        <x:f>Subsurface_Inputs!$C$40-2*Subsurface_Inputs!$C$36*(K89/1000)-Subsurface_Inputs!$C$41*ABS(L89-AVERAGE($L$2:$L$242))</x:f>
        <x:v>-33.477173007421705</x:v>
      </x:c>
      <x:c r="S89" s="24" t="n">
        <x:f>K89-AVERAGE($K$2:$K$242)</x:f>
        <x:v>-23.189272837960743</x:v>
      </x:c>
      <x:c r="T89" s="24" t="n">
        <x:f>K89/F89</x:f>
        <x:v>14.927859797648669</x:v>
      </x:c>
      <x:c r="U89" s="25" t="str">
        <x:f>IF(H89&gt;=Subsurface_Inputs!$C$42,"Lens visible","Weak/no lens")</x:f>
        <x:v>Lens visible</x:v>
      </x:c>
      <x:c r="V89" s="25" t="str">
        <x:f>IF(R89&gt;=W89,"Likely visible","Weak")</x:f>
        <x:v>Likely visible</x:v>
      </x:c>
      <x:c r="W89" s="24" t="n">
        <x:f>Subsurface_Inputs!$C$43</x:f>
        <x:v>-45</x:v>
      </x:c>
      <x:c r="X89" s="24" t="n">
        <x:f>Q89-W89</x:f>
        <x:v>19.50869555065323</x:v>
      </x:c>
      <x:c r="Y89" s="24" t="n">
        <x:f>R89-W89</x:f>
        <x:v>11.522826992578295</x:v>
      </x:c>
      <x:c r="Z89" s="24" t="n">
        <x:f>MAX(Q89,R89)-W89</x:f>
        <x:v>19.50869555065323</x:v>
      </x:c>
      <x:c r="AA89" s="24" t="n">
        <x:v>0</x:v>
      </x:c>
    </x:row>
    <x:row r="90">
      <x:c r="A90" s="24" t="n">
        <x:f>Model_Data!A90</x:f>
        <x:v>-16</x:v>
      </x:c>
      <x:c r="B90" s="24" t="n">
        <x:f>Model_Data!Y90</x:f>
        <x:v>413.2956148642764</x:v>
      </x:c>
      <x:c r="C90" s="24" t="n">
        <x:f>Model_Data!X90</x:f>
        <x:v>-97.48037396441562</x:v>
      </x:c>
      <x:c r="D90" s="24" t="n">
        <x:f>Model_Data!B90</x:f>
        <x:v>400.28444444444443</x:v>
      </x:c>
      <x:c r="E90" s="24" t="n">
        <x:f>Inputs!$C$6</x:f>
        <x:v>25</x:v>
      </x:c>
      <x:c r="F90" s="24" t="n">
        <x:f>Subsurface_Inputs!$C$5+Subsurface_Inputs!$C$6*SIN(2*PI()*(A90+Subsurface_Inputs!$C$7)/Subsurface_Inputs!$C$8)+Subsurface_Inputs!$C$9*COS(2*PI()*A90/Subsurface_Inputs!$C$10)+Subsurface_Inputs!$C$11*(B90-AVERAGE($B$2:$B$242))</x:f>
        <x:v>1008.7289279861761</x:v>
      </x:c>
      <x:c r="G90" s="24" t="n">
        <x:f>B90-F90</x:f>
        <x:v>-595.4333131218998</x:v>
      </x:c>
      <x:c r="H90" s="24" t="n">
        <x:f>MIN(1,MAX(0,Subsurface_Inputs!$C$13*EXP(-0.5*((A90-Subsurface_Inputs!$C$14)/Subsurface_Inputs!$C$15)^2)+Subsurface_Inputs!$C$16*EXP(-0.5*((A90-Subsurface_Inputs!$C$17)/Subsurface_Inputs!$C$18)^2)))</x:f>
        <x:v>0.6898416315292178</x:v>
      </x:c>
      <x:c r="I90" s="24" t="n">
        <x:f>Subsurface_Inputs!$C$19+Subsurface_Inputs!$C$20*SIN(2*PI()*(A90-Subsurface_Inputs!$C$21)/Subsurface_Inputs!$C$22)-Subsurface_Inputs!$C$23*H90</x:f>
        <x:v>4417.868921757957</x:v>
      </x:c>
      <x:c r="J90" s="24" t="n">
        <x:f>B90-I90</x:f>
        <x:v>-4004.57330689368</x:v>
      </x:c>
      <x:c r="K90" s="24" t="n">
        <x:f>Subsurface_Inputs!$C$25+Subsurface_Inputs!$C$26*SIN(2*PI()*(A90+Subsurface_Inputs!$C$27)/Subsurface_Inputs!$C$28)+Subsurface_Inputs!$C$29*COS(2*PI()*(A90-Subsurface_Inputs!$C$30)/Subsurface_Inputs!$C$31)-Subsurface_Inputs!$C$32*(B90-AVERAGE($B$2:$B$242))</x:f>
        <x:v>15076.99559977411</x:v>
      </x:c>
      <x:c r="L90" s="24" t="n">
        <x:f>B90-K90</x:f>
        <x:v>-14663.699984909834</x:v>
      </x:c>
      <x:c r="M90" s="24" t="n">
        <x:f>2*Subsurface_Inputs!$C$34*F90/Subsurface_Inputs!$C$35*1000000</x:f>
        <x:v>11.978536777035222</x:v>
      </x:c>
      <x:c r="N90" s="24" t="n">
        <x:f>2*Subsurface_Inputs!$C$34*I90/Subsurface_Inputs!$C$35*1000000</x:f>
        <x:v>52.46167120541214</x:v>
      </x:c>
      <x:c r="O90" s="24" t="n">
        <x:f>2*Subsurface_Inputs!$C$34*K90/Subsurface_Inputs!$C$35*1000000</x:f>
        <x:v>179.0375404814081</x:v>
      </x:c>
      <x:c r="P90" s="24" t="n">
        <x:f>Subsurface_Inputs!$C$37-2*Subsurface_Inputs!$C$36*(F90/1000)</x:f>
        <x:v>-11.815712070375117</x:v>
      </x:c>
      <x:c r="Q90" s="24" t="n">
        <x:f>Subsurface_Inputs!$C$38+Subsurface_Inputs!$C$39*H90-2*Subsurface_Inputs!$C$36*(I90/1000)</x:f>
        <x:v>-25.74358937540136</x:v>
      </x:c>
      <x:c r="R90" s="24" t="n">
        <x:f>Subsurface_Inputs!$C$40-2*Subsurface_Inputs!$C$36*(K90/1000)-Subsurface_Inputs!$C$41*ABS(L90-AVERAGE($L$2:$L$242))</x:f>
        <x:v>-33.53162265392544</x:v>
      </x:c>
      <x:c r="S90" s="24" t="n">
        <x:f>K90-AVERAGE($K$2:$K$242)</x:f>
        <x:v>-0.3890957999992679</x:v>
      </x:c>
      <x:c r="T90" s="24" t="n">
        <x:f>K90/F90</x:f>
        <x:v>14.946528429469934</x:v>
      </x:c>
      <x:c r="U90" s="25" t="str">
        <x:f>IF(H90&gt;=Subsurface_Inputs!$C$42,"Lens visible","Weak/no lens")</x:f>
        <x:v>Lens visible</x:v>
      </x:c>
      <x:c r="V90" s="25" t="str">
        <x:f>IF(R90&gt;=W90,"Likely visible","Weak")</x:f>
        <x:v>Likely visible</x:v>
      </x:c>
      <x:c r="W90" s="24" t="n">
        <x:f>Subsurface_Inputs!$C$43</x:f>
        <x:v>-45</x:v>
      </x:c>
      <x:c r="X90" s="24" t="n">
        <x:f>Q90-W90</x:f>
        <x:v>19.25641062459864</x:v>
      </x:c>
      <x:c r="Y90" s="24" t="n">
        <x:f>R90-W90</x:f>
        <x:v>11.468377346074561</x:v>
      </x:c>
      <x:c r="Z90" s="24" t="n">
        <x:f>MAX(Q90,R90)-W90</x:f>
        <x:v>19.25641062459864</x:v>
      </x:c>
      <x:c r="AA90" s="24" t="n">
        <x:v>0</x:v>
      </x:c>
    </x:row>
    <x:row r="91">
      <x:c r="A91" s="24" t="n">
        <x:f>Model_Data!A91</x:f>
        <x:v>-15.5</x:v>
      </x:c>
      <x:c r="B91" s="24" t="n">
        <x:f>Model_Data!Y91</x:f>
        <x:v>405.1793484681727</x:v>
      </x:c>
      <x:c r="C91" s="24" t="n">
        <x:f>Model_Data!X91</x:f>
        <x:v>-109.31712972071381</x:v>
      </x:c>
      <x:c r="D91" s="24" t="n">
        <x:f>Model_Data!B91</x:f>
        <x:v>400.26694444444445</x:v>
      </x:c>
      <x:c r="E91" s="24" t="n">
        <x:f>Inputs!$C$6</x:f>
        <x:v>25</x:v>
      </x:c>
      <x:c r="F91" s="24" t="n">
        <x:f>Subsurface_Inputs!$C$5+Subsurface_Inputs!$C$6*SIN(2*PI()*(A91+Subsurface_Inputs!$C$7)/Subsurface_Inputs!$C$8)+Subsurface_Inputs!$C$9*COS(2*PI()*A91/Subsurface_Inputs!$C$10)+Subsurface_Inputs!$C$11*(B91-AVERAGE($B$2:$B$242))</x:f>
        <x:v>1008.6978894988346</x:v>
      </x:c>
      <x:c r="G91" s="24" t="n">
        <x:f>B91-F91</x:f>
        <x:v>-603.5185410306619</x:v>
      </x:c>
      <x:c r="H91" s="24" t="n">
        <x:f>MIN(1,MAX(0,Subsurface_Inputs!$C$13*EXP(-0.5*((A91-Subsurface_Inputs!$C$14)/Subsurface_Inputs!$C$15)^2)+Subsurface_Inputs!$C$16*EXP(-0.5*((A91-Subsurface_Inputs!$C$17)/Subsurface_Inputs!$C$18)^2)))</x:f>
        <x:v>0.6619646029266818</x:v>
      </x:c>
      <x:c r="I91" s="24" t="n">
        <x:f>Subsurface_Inputs!$C$19+Subsurface_Inputs!$C$20*SIN(2*PI()*(A91-Subsurface_Inputs!$C$21)/Subsurface_Inputs!$C$22)-Subsurface_Inputs!$C$23*H91</x:f>
        <x:v>4422.654278682052</x:v>
      </x:c>
      <x:c r="J91" s="24" t="n">
        <x:f>B91-I91</x:f>
        <x:v>-4017.4749302138794</x:v>
      </x:c>
      <x:c r="K91" s="24" t="n">
        <x:f>Subsurface_Inputs!$C$25+Subsurface_Inputs!$C$26*SIN(2*PI()*(A91+Subsurface_Inputs!$C$27)/Subsurface_Inputs!$C$28)+Subsurface_Inputs!$C$29*COS(2*PI()*(A91-Subsurface_Inputs!$C$30)/Subsurface_Inputs!$C$31)-Subsurface_Inputs!$C$32*(B91-AVERAGE($B$2:$B$242))</x:f>
        <x:v>15105.051448537502</x:v>
      </x:c>
      <x:c r="L91" s="24" t="n">
        <x:f>B91-K91</x:f>
        <x:v>-14699.87210006933</x:v>
      </x:c>
      <x:c r="M91" s="24" t="n">
        <x:f>2*Subsurface_Inputs!$C$34*F91/Subsurface_Inputs!$C$35*1000000</x:f>
        <x:v>11.97816819866713</x:v>
      </x:c>
      <x:c r="N91" s="24" t="n">
        <x:f>2*Subsurface_Inputs!$C$34*I91/Subsurface_Inputs!$C$35*1000000</x:f>
        <x:v>52.51849675320419</x:v>
      </x:c>
      <x:c r="O91" s="24" t="n">
        <x:f>2*Subsurface_Inputs!$C$34*K91/Subsurface_Inputs!$C$35*1000000</x:f>
        <x:v>179.37070036896495</x:v>
      </x:c>
      <x:c r="P91" s="24" t="n">
        <x:f>Subsurface_Inputs!$C$37-2*Subsurface_Inputs!$C$36*(F91/1000)</x:f>
        <x:v>-11.815656201097902</x:v>
      </x:c>
      <x:c r="Q91" s="24" t="n">
        <x:f>Subsurface_Inputs!$C$38+Subsurface_Inputs!$C$39*H91-2*Subsurface_Inputs!$C$36*(I91/1000)</x:f>
        <x:v>-26.003096275287557</x:v>
      </x:c>
      <x:c r="R91" s="24" t="n">
        <x:f>Subsurface_Inputs!$C$40-2*Subsurface_Inputs!$C$36*(K91/1000)-Subsurface_Inputs!$C$41*ABS(L91-AVERAGE($L$2:$L$242))</x:f>
        <x:v>-33.43743472106155</x:v>
      </x:c>
      <x:c r="S91" s="24" t="n">
        <x:f>K91-AVERAGE($K$2:$K$242)</x:f>
        <x:v>27.666752963392355</x:v>
      </x:c>
      <x:c r="T91" s="24" t="n">
        <x:f>K91/F91</x:f>
        <x:v>14.974802273099188</x:v>
      </x:c>
      <x:c r="U91" s="25" t="str">
        <x:f>IF(H91&gt;=Subsurface_Inputs!$C$42,"Lens visible","Weak/no lens")</x:f>
        <x:v>Lens visible</x:v>
      </x:c>
      <x:c r="V91" s="25" t="str">
        <x:f>IF(R91&gt;=W91,"Likely visible","Weak")</x:f>
        <x:v>Likely visible</x:v>
      </x:c>
      <x:c r="W91" s="24" t="n">
        <x:f>Subsurface_Inputs!$C$43</x:f>
        <x:v>-45</x:v>
      </x:c>
      <x:c r="X91" s="24" t="n">
        <x:f>Q91-W91</x:f>
        <x:v>18.996903724712443</x:v>
      </x:c>
      <x:c r="Y91" s="24" t="n">
        <x:f>R91-W91</x:f>
        <x:v>11.56256527893845</x:v>
      </x:c>
      <x:c r="Z91" s="24" t="n">
        <x:f>MAX(Q91,R91)-W91</x:f>
        <x:v>18.996903724712443</x:v>
      </x:c>
      <x:c r="AA91" s="24" t="n">
        <x:v>0</x:v>
      </x:c>
    </x:row>
    <x:row r="92">
      <x:c r="A92" s="24" t="n">
        <x:f>Model_Data!A92</x:f>
        <x:v>-15</x:v>
      </x:c>
      <x:c r="B92" s="24" t="n">
        <x:f>Model_Data!Y92</x:f>
        <x:v>416.63024006091615</x:v>
      </x:c>
      <x:c r="C92" s="24" t="n">
        <x:f>Model_Data!X92</x:f>
        <x:v>-90.49530902944495</x:v>
      </x:c>
      <x:c r="D92" s="24" t="n">
        <x:f>Model_Data!B92</x:f>
        <x:v>400.25</x:v>
      </x:c>
      <x:c r="E92" s="24" t="n">
        <x:f>Inputs!$C$6</x:f>
        <x:v>25</x:v>
      </x:c>
      <x:c r="F92" s="24" t="n">
        <x:f>Subsurface_Inputs!$C$5+Subsurface_Inputs!$C$6*SIN(2*PI()*(A92+Subsurface_Inputs!$C$7)/Subsurface_Inputs!$C$8)+Subsurface_Inputs!$C$9*COS(2*PI()*A92/Subsurface_Inputs!$C$10)+Subsurface_Inputs!$C$11*(B92-AVERAGE($B$2:$B$242))</x:f>
        <x:v>1010.6196695489465</x:v>
      </x:c>
      <x:c r="G92" s="24" t="n">
        <x:f>B92-F92</x:f>
        <x:v>-593.9894294880303</x:v>
      </x:c>
      <x:c r="H92" s="24" t="n">
        <x:f>MIN(1,MAX(0,Subsurface_Inputs!$C$13*EXP(-0.5*((A92-Subsurface_Inputs!$C$14)/Subsurface_Inputs!$C$15)^2)+Subsurface_Inputs!$C$16*EXP(-0.5*((A92-Subsurface_Inputs!$C$17)/Subsurface_Inputs!$C$18)^2)))</x:f>
        <x:v>0.6336280645964288</x:v>
      </x:c>
      <x:c r="I92" s="24" t="n">
        <x:f>Subsurface_Inputs!$C$19+Subsurface_Inputs!$C$20*SIN(2*PI()*(A92-Subsurface_Inputs!$C$21)/Subsurface_Inputs!$C$22)-Subsurface_Inputs!$C$23*H92</x:f>
        <x:v>4428.310850350436</x:v>
      </x:c>
      <x:c r="J92" s="24" t="n">
        <x:f>B92-I92</x:f>
        <x:v>-4011.6806102895202</x:v>
      </x:c>
      <x:c r="K92" s="24" t="n">
        <x:f>Subsurface_Inputs!$C$25+Subsurface_Inputs!$C$26*SIN(2*PI()*(A92+Subsurface_Inputs!$C$27)/Subsurface_Inputs!$C$28)+Subsurface_Inputs!$C$29*COS(2*PI()*(A92-Subsurface_Inputs!$C$30)/Subsurface_Inputs!$C$31)-Subsurface_Inputs!$C$32*(B92-AVERAGE($B$2:$B$242))</x:f>
        <x:v>15130.78865834882</x:v>
      </x:c>
      <x:c r="L92" s="24" t="n">
        <x:f>B92-K92</x:f>
        <x:v>-14714.158418287903</x:v>
      </x:c>
      <x:c r="M92" s="24" t="n">
        <x:f>2*Subsurface_Inputs!$C$34*F92/Subsurface_Inputs!$C$35*1000000</x:f>
        <x:v>12.00098910958677</x:v>
      </x:c>
      <x:c r="N92" s="24" t="n">
        <x:f>2*Subsurface_Inputs!$C$34*I92/Subsurface_Inputs!$C$35*1000000</x:f>
        <x:v>52.58566787309757</x:v>
      </x:c>
      <x:c r="O92" s="24" t="n">
        <x:f>2*Subsurface_Inputs!$C$34*K92/Subsurface_Inputs!$C$35*1000000</x:f>
        <x:v>179.67632669305442</x:v>
      </x:c>
      <x:c r="P92" s="24" t="n">
        <x:f>Subsurface_Inputs!$C$37-2*Subsurface_Inputs!$C$36*(F92/1000)</x:f>
        <x:v>-11.819115405188104</x:v>
      </x:c>
      <x:c r="Q92" s="24" t="n">
        <x:f>Subsurface_Inputs!$C$38+Subsurface_Inputs!$C$39*H92-2*Subsurface_Inputs!$C$36*(I92/1000)</x:f>
        <x:v>-26.26830694926293</x:v>
      </x:c>
      <x:c r="R92" s="24" t="n">
        <x:f>Subsurface_Inputs!$C$40-2*Subsurface_Inputs!$C$36*(K92/1000)-Subsurface_Inputs!$C$41*ABS(L92-AVERAGE($L$2:$L$242))</x:f>
        <x:v>-33.426616425847634</x:v>
      </x:c>
      <x:c r="S92" s="24" t="n">
        <x:f>K92-AVERAGE($K$2:$K$242)</x:f>
        <x:v>53.403962774709726</x:v>
      </x:c>
      <x:c r="T92" s="24" t="n">
        <x:f>K92/F92</x:f>
        <x:v>14.971793162408861</x:v>
      </x:c>
      <x:c r="U92" s="25" t="str">
        <x:f>IF(H92&gt;=Subsurface_Inputs!$C$42,"Lens visible","Weak/no lens")</x:f>
        <x:v>Lens visible</x:v>
      </x:c>
      <x:c r="V92" s="25" t="str">
        <x:f>IF(R92&gt;=W92,"Likely visible","Weak")</x:f>
        <x:v>Likely visible</x:v>
      </x:c>
      <x:c r="W92" s="24" t="n">
        <x:f>Subsurface_Inputs!$C$43</x:f>
        <x:v>-45</x:v>
      </x:c>
      <x:c r="X92" s="24" t="n">
        <x:f>Q92-W92</x:f>
        <x:v>18.73169305073707</x:v>
      </x:c>
      <x:c r="Y92" s="24" t="n">
        <x:f>R92-W92</x:f>
        <x:v>11.573383574152366</x:v>
      </x:c>
      <x:c r="Z92" s="24" t="n">
        <x:f>MAX(Q92,R92)-W92</x:f>
        <x:v>18.73169305073707</x:v>
      </x:c>
      <x:c r="AA92" s="24" t="n">
        <x:v>0</x:v>
      </x:c>
    </x:row>
    <x:row r="93">
      <x:c r="A93" s="24" t="n">
        <x:f>Model_Data!A93</x:f>
        <x:v>-14.5</x:v>
      </x:c>
      <x:c r="B93" s="24" t="n">
        <x:f>Model_Data!Y93</x:f>
        <x:v>425.31373753688456</x:v>
      </x:c>
      <x:c r="C93" s="24" t="n">
        <x:f>Model_Data!X93</x:f>
        <x:v>-86.65248482679937</x:v>
      </x:c>
      <x:c r="D93" s="24" t="n">
        <x:f>Model_Data!B93</x:f>
        <x:v>400.2336111111111</x:v>
      </x:c>
      <x:c r="E93" s="24" t="n">
        <x:f>Inputs!$C$6</x:f>
        <x:v>25</x:v>
      </x:c>
      <x:c r="F93" s="24" t="n">
        <x:f>Subsurface_Inputs!$C$5+Subsurface_Inputs!$C$6*SIN(2*PI()*(A93+Subsurface_Inputs!$C$7)/Subsurface_Inputs!$C$8)+Subsurface_Inputs!$C$9*COS(2*PI()*A93/Subsurface_Inputs!$C$10)+Subsurface_Inputs!$C$11*(B93-AVERAGE($B$2:$B$242))</x:f>
        <x:v>1013.683909927708</x:v>
      </x:c>
      <x:c r="G93" s="24" t="n">
        <x:f>B93-F93</x:f>
        <x:v>-588.3701723908234</x:v>
      </x:c>
      <x:c r="H93" s="24" t="n">
        <x:f>MIN(1,MAX(0,Subsurface_Inputs!$C$13*EXP(-0.5*((A93-Subsurface_Inputs!$C$14)/Subsurface_Inputs!$C$15)^2)+Subsurface_Inputs!$C$16*EXP(-0.5*((A93-Subsurface_Inputs!$C$17)/Subsurface_Inputs!$C$18)^2)))</x:f>
        <x:v>0.6049901673918389</x:v>
      </x:c>
      <x:c r="I93" s="24" t="n">
        <x:f>Subsurface_Inputs!$C$19+Subsurface_Inputs!$C$20*SIN(2*PI()*(A93-Subsurface_Inputs!$C$21)/Subsurface_Inputs!$C$22)-Subsurface_Inputs!$C$23*H93</x:f>
        <x:v>4434.802359825959</x:v>
      </x:c>
      <x:c r="J93" s="24" t="n">
        <x:f>B93-I93</x:f>
        <x:v>-4009.488622289074</x:v>
      </x:c>
      <x:c r="K93" s="24" t="n">
        <x:f>Subsurface_Inputs!$C$25+Subsurface_Inputs!$C$26*SIN(2*PI()*(A93+Subsurface_Inputs!$C$27)/Subsurface_Inputs!$C$28)+Subsurface_Inputs!$C$29*COS(2*PI()*(A93-Subsurface_Inputs!$C$30)/Subsurface_Inputs!$C$31)-Subsurface_Inputs!$C$32*(B93-AVERAGE($B$2:$B$242))</x:f>
        <x:v>15157.295315059795</x:v>
      </x:c>
      <x:c r="L93" s="24" t="n">
        <x:f>B93-K93</x:f>
        <x:v>-14731.98157752291</x:v>
      </x:c>
      <x:c r="M93" s="24" t="n">
        <x:f>2*Subsurface_Inputs!$C$34*F93/Subsurface_Inputs!$C$35*1000000</x:f>
        <x:v>12.037376601857812</x:v>
      </x:c>
      <x:c r="N93" s="24" t="n">
        <x:f>2*Subsurface_Inputs!$C$34*I93/Subsurface_Inputs!$C$35*1000000</x:f>
        <x:v>52.66275378075193</x:v>
      </x:c>
      <x:c r="O93" s="24" t="n">
        <x:f>2*Subsurface_Inputs!$C$34*K93/Subsurface_Inputs!$C$35*1000000</x:f>
        <x:v>179.9910901081203</x:v>
      </x:c>
      <x:c r="P93" s="24" t="n">
        <x:f>Subsurface_Inputs!$C$37-2*Subsurface_Inputs!$C$36*(F93/1000)</x:f>
        <x:v>-11.824631037869874</x:v>
      </x:c>
      <x:c r="Q93" s="24" t="n">
        <x:f>Subsurface_Inputs!$C$38+Subsurface_Inputs!$C$39*H93-2*Subsurface_Inputs!$C$36*(I93/1000)</x:f>
        <x:v>-26.537732741160173</x:v>
      </x:c>
      <x:c r="R93" s="24" t="n">
        <x:f>Subsurface_Inputs!$C$40-2*Subsurface_Inputs!$C$36*(K93/1000)-Subsurface_Inputs!$C$41*ABS(L93-AVERAGE($L$2:$L$242))</x:f>
        <x:v>-33.40303577098736</x:v>
      </x:c>
      <x:c r="S93" s="24" t="n">
        <x:f>K93-AVERAGE($K$2:$K$242)</x:f>
        <x:v>79.91061948568495</x:v>
      </x:c>
      <x:c r="T93" s="24" t="n">
        <x:f>K93/F93</x:f>
        <x:v>14.952684132217069</x:v>
      </x:c>
      <x:c r="U93" s="25" t="str">
        <x:f>IF(H93&gt;=Subsurface_Inputs!$C$42,"Lens visible","Weak/no lens")</x:f>
        <x:v>Lens visible</x:v>
      </x:c>
      <x:c r="V93" s="25" t="str">
        <x:f>IF(R93&gt;=W93,"Likely visible","Weak")</x:f>
        <x:v>Likely visible</x:v>
      </x:c>
      <x:c r="W93" s="24" t="n">
        <x:f>Subsurface_Inputs!$C$43</x:f>
        <x:v>-45</x:v>
      </x:c>
      <x:c r="X93" s="24" t="n">
        <x:f>Q93-W93</x:f>
        <x:v>18.462267258839827</x:v>
      </x:c>
      <x:c r="Y93" s="24" t="n">
        <x:f>R93-W93</x:f>
        <x:v>11.596964229012642</x:v>
      </x:c>
      <x:c r="Z93" s="24" t="n">
        <x:f>MAX(Q93,R93)-W93</x:f>
        <x:v>18.462267258839827</x:v>
      </x:c>
      <x:c r="AA93" s="24" t="n">
        <x:v>0</x:v>
      </x:c>
    </x:row>
    <x:row r="94">
      <x:c r="A94" s="24" t="n">
        <x:f>Model_Data!A94</x:f>
        <x:v>-14</x:v>
      </x:c>
      <x:c r="B94" s="24" t="n">
        <x:f>Model_Data!Y94</x:f>
        <x:v>420.9575928892744</x:v>
      </x:c>
      <x:c r="C94" s="24" t="n">
        <x:f>Model_Data!X94</x:f>
        <x:v>-84.36597258140502</x:v>
      </x:c>
      <x:c r="D94" s="24" t="n">
        <x:f>Model_Data!B94</x:f>
        <x:v>400.21777777777777</x:v>
      </x:c>
      <x:c r="E94" s="24" t="n">
        <x:f>Inputs!$C$6</x:f>
        <x:v>25</x:v>
      </x:c>
      <x:c r="F94" s="24" t="n">
        <x:f>Subsurface_Inputs!$C$5+Subsurface_Inputs!$C$6*SIN(2*PI()*(A94+Subsurface_Inputs!$C$7)/Subsurface_Inputs!$C$8)+Subsurface_Inputs!$C$9*COS(2*PI()*A94/Subsurface_Inputs!$C$10)+Subsurface_Inputs!$C$11*(B94-AVERAGE($B$2:$B$242))</x:f>
        <x:v>1017.5473342998755</x:v>
      </x:c>
      <x:c r="G94" s="24" t="n">
        <x:f>B94-F94</x:f>
        <x:v>-596.5897414106012</x:v>
      </x:c>
      <x:c r="H94" s="24" t="n">
        <x:f>MIN(1,MAX(0,Subsurface_Inputs!$C$13*EXP(-0.5*((A94-Subsurface_Inputs!$C$14)/Subsurface_Inputs!$C$15)^2)+Subsurface_Inputs!$C$16*EXP(-0.5*((A94-Subsurface_Inputs!$C$17)/Subsurface_Inputs!$C$18)^2)))</x:f>
        <x:v>0.576204315697497</x:v>
      </x:c>
      <x:c r="I94" s="24" t="n">
        <x:f>Subsurface_Inputs!$C$19+Subsurface_Inputs!$C$20*SIN(2*PI()*(A94-Subsurface_Inputs!$C$21)/Subsurface_Inputs!$C$22)-Subsurface_Inputs!$C$23*H94</x:f>
        <x:v>4442.0925500861795</x:v>
      </x:c>
      <x:c r="J94" s="24" t="n">
        <x:f>B94-I94</x:f>
        <x:v>-4021.134957196905</x:v>
      </x:c>
      <x:c r="K94" s="24" t="n">
        <x:f>Subsurface_Inputs!$C$25+Subsurface_Inputs!$C$26*SIN(2*PI()*(A94+Subsurface_Inputs!$C$27)/Subsurface_Inputs!$C$28)+Subsurface_Inputs!$C$29*COS(2*PI()*(A94-Subsurface_Inputs!$C$30)/Subsurface_Inputs!$C$31)-Subsurface_Inputs!$C$32*(B94-AVERAGE($B$2:$B$242))</x:f>
        <x:v>15185.969392963387</x:v>
      </x:c>
      <x:c r="L94" s="24" t="n">
        <x:f>B94-K94</x:f>
        <x:v>-14765.011800074113</x:v>
      </x:c>
      <x:c r="M94" s="24" t="n">
        <x:f>2*Subsurface_Inputs!$C$34*F94/Subsurface_Inputs!$C$35*1000000</x:f>
        <x:v>12.083254309578251</x:v>
      </x:c>
      <x:c r="N94" s="24" t="n">
        <x:f>2*Subsurface_Inputs!$C$34*I94/Subsurface_Inputs!$C$35*1000000</x:f>
        <x:v>52.74932392831177</x:v>
      </x:c>
      <x:c r="O94" s="24" t="n">
        <x:f>2*Subsurface_Inputs!$C$34*K94/Subsurface_Inputs!$C$35*1000000</x:f>
        <x:v>180.3315913936356</x:v>
      </x:c>
      <x:c r="P94" s="24" t="n">
        <x:f>Subsurface_Inputs!$C$37-2*Subsurface_Inputs!$C$36*(F94/1000)</x:f>
        <x:v>-11.831585201739776</x:v>
      </x:c>
      <x:c r="Q94" s="24" t="n">
        <x:f>Subsurface_Inputs!$C$38+Subsurface_Inputs!$C$39*H94-2*Subsurface_Inputs!$C$36*(I94/1000)</x:f>
        <x:v>-26.80992774887765</x:v>
      </x:c>
      <x:c r="R94" s="24" t="n">
        <x:f>Subsurface_Inputs!$C$40-2*Subsurface_Inputs!$C$36*(K94/1000)-Subsurface_Inputs!$C$41*ABS(L94-AVERAGE($L$2:$L$242))</x:f>
        <x:v>-33.34696159365918</x:v>
      </x:c>
      <x:c r="S94" s="24" t="n">
        <x:f>K94-AVERAGE($K$2:$K$242)</x:f>
        <x:v>108.5846973892767</x:v>
      </x:c>
      <x:c r="T94" s="24" t="n">
        <x:f>K94/F94</x:f>
        <x:v>14.924091372527755</x:v>
      </x:c>
      <x:c r="U94" s="25" t="str">
        <x:f>IF(H94&gt;=Subsurface_Inputs!$C$42,"Lens visible","Weak/no lens")</x:f>
        <x:v>Lens visible</x:v>
      </x:c>
      <x:c r="V94" s="25" t="str">
        <x:f>IF(R94&gt;=W94,"Likely visible","Weak")</x:f>
        <x:v>Likely visible</x:v>
      </x:c>
      <x:c r="W94" s="24" t="n">
        <x:f>Subsurface_Inputs!$C$43</x:f>
        <x:v>-45</x:v>
      </x:c>
      <x:c r="X94" s="24" t="n">
        <x:f>Q94-W94</x:f>
        <x:v>18.19007225112235</x:v>
      </x:c>
      <x:c r="Y94" s="24" t="n">
        <x:f>R94-W94</x:f>
        <x:v>11.65303840634082</x:v>
      </x:c>
      <x:c r="Z94" s="24" t="n">
        <x:f>MAX(Q94,R94)-W94</x:f>
        <x:v>18.19007225112235</x:v>
      </x:c>
      <x:c r="AA94" s="24" t="n">
        <x:v>0</x:v>
      </x:c>
    </x:row>
    <x:row r="95">
      <x:c r="A95" s="24" t="n">
        <x:f>Model_Data!A95</x:f>
        <x:v>-13.5</x:v>
      </x:c>
      <x:c r="B95" s="24" t="n">
        <x:f>Model_Data!Y95</x:f>
        <x:v>418.7700178970381</x:v>
      </x:c>
      <x:c r="C95" s="24" t="n">
        <x:f>Model_Data!X95</x:f>
        <x:v>-61.03205493353448</x:v>
      </x:c>
      <x:c r="D95" s="24" t="n">
        <x:f>Model_Data!B95</x:f>
        <x:v>400.2025</x:v>
      </x:c>
      <x:c r="E95" s="24" t="n">
        <x:f>Inputs!$C$6</x:f>
        <x:v>25</x:v>
      </x:c>
      <x:c r="F95" s="24" t="n">
        <x:f>Subsurface_Inputs!$C$5+Subsurface_Inputs!$C$6*SIN(2*PI()*(A95+Subsurface_Inputs!$C$7)/Subsurface_Inputs!$C$8)+Subsurface_Inputs!$C$9*COS(2*PI()*A95/Subsurface_Inputs!$C$10)+Subsurface_Inputs!$C$11*(B95-AVERAGE($B$2:$B$242))</x:f>
        <x:v>1022.8685537598412</x:v>
      </x:c>
      <x:c r="G95" s="24" t="n">
        <x:f>B95-F95</x:f>
        <x:v>-604.0985358628031</x:v>
      </x:c>
      <x:c r="H95" s="24" t="n">
        <x:f>MIN(1,MAX(0,Subsurface_Inputs!$C$13*EXP(-0.5*((A95-Subsurface_Inputs!$C$14)/Subsurface_Inputs!$C$15)^2)+Subsurface_Inputs!$C$16*EXP(-0.5*((A95-Subsurface_Inputs!$C$17)/Subsurface_Inputs!$C$18)^2)))</x:f>
        <x:v>0.5474178859593395</x:v>
      </x:c>
      <x:c r="I95" s="24" t="n">
        <x:f>Subsurface_Inputs!$C$19+Subsurface_Inputs!$C$20*SIN(2*PI()*(A95-Subsurface_Inputs!$C$21)/Subsurface_Inputs!$C$22)-Subsurface_Inputs!$C$23*H95</x:f>
        <x:v>4450.145490754214</x:v>
      </x:c>
      <x:c r="J95" s="24" t="n">
        <x:f>B95-I95</x:f>
        <x:v>-4031.3754728571757</x:v>
      </x:c>
      <x:c r="K95" s="24" t="n">
        <x:f>Subsurface_Inputs!$C$25+Subsurface_Inputs!$C$26*SIN(2*PI()*(A95+Subsurface_Inputs!$C$27)/Subsurface_Inputs!$C$28)+Subsurface_Inputs!$C$29*COS(2*PI()*(A95-Subsurface_Inputs!$C$30)/Subsurface_Inputs!$C$31)-Subsurface_Inputs!$C$32*(B95-AVERAGE($B$2:$B$242))</x:f>
        <x:v>15214.640299238325</x:v>
      </x:c>
      <x:c r="L95" s="24" t="n">
        <x:f>B95-K95</x:f>
        <x:v>-14795.870281341286</x:v>
      </x:c>
      <x:c r="M95" s="24" t="n">
        <x:f>2*Subsurface_Inputs!$C$34*F95/Subsurface_Inputs!$C$35*1000000</x:f>
        <x:v>12.14644316163896</x:v>
      </x:c>
      <x:c r="N95" s="24" t="n">
        <x:f>2*Subsurface_Inputs!$C$34*I95/Subsurface_Inputs!$C$35*1000000</x:f>
        <x:v>52.84495164679894</x:v>
      </x:c>
      <x:c r="O95" s="24" t="n">
        <x:f>2*Subsurface_Inputs!$C$34*K95/Subsurface_Inputs!$C$35*1000000</x:f>
        <x:v>180.6720550164355</x:v>
      </x:c>
      <x:c r="P95" s="24" t="n">
        <x:f>Subsurface_Inputs!$C$37-2*Subsurface_Inputs!$C$36*(F95/1000)</x:f>
        <x:v>-11.841163396767714</x:v>
      </x:c>
      <x:c r="Q95" s="24" t="n">
        <x:f>Subsurface_Inputs!$C$38+Subsurface_Inputs!$C$39*H95-2*Subsurface_Inputs!$C$36*(I95/1000)</x:f>
        <x:v>-27.083500909723533</x:v>
      </x:c>
      <x:c r="R95" s="24" t="n">
        <x:f>Subsurface_Inputs!$C$40-2*Subsurface_Inputs!$C$36*(K95/1000)-Subsurface_Inputs!$C$41*ABS(L95-AVERAGE($L$2:$L$242))</x:f>
        <x:v>-33.522003150022755</x:v>
      </x:c>
      <x:c r="S95" s="24" t="n">
        <x:f>K95-AVERAGE($K$2:$K$242)</x:f>
        <x:v>137.2556036642145</x:v>
      </x:c>
      <x:c r="T95" s="24" t="n">
        <x:f>K95/F95</x:f>
        <x:v>14.874482398850402</x:v>
      </x:c>
      <x:c r="U95" s="25" t="str">
        <x:f>IF(H95&gt;=Subsurface_Inputs!$C$42,"Lens visible","Weak/no lens")</x:f>
        <x:v>Lens visible</x:v>
      </x:c>
      <x:c r="V95" s="25" t="str">
        <x:f>IF(R95&gt;=W95,"Likely visible","Weak")</x:f>
        <x:v>Likely visible</x:v>
      </x:c>
      <x:c r="W95" s="24" t="n">
        <x:f>Subsurface_Inputs!$C$43</x:f>
        <x:v>-45</x:v>
      </x:c>
      <x:c r="X95" s="24" t="n">
        <x:f>Q95-W95</x:f>
        <x:v>17.916499090276467</x:v>
      </x:c>
      <x:c r="Y95" s="24" t="n">
        <x:f>R95-W95</x:f>
        <x:v>11.477996849977245</x:v>
      </x:c>
      <x:c r="Z95" s="24" t="n">
        <x:f>MAX(Q95,R95)-W95</x:f>
        <x:v>17.916499090276467</x:v>
      </x:c>
      <x:c r="AA95" s="24" t="n">
        <x:v>0</x:v>
      </x:c>
    </x:row>
    <x:row r="96">
      <x:c r="A96" s="24" t="n">
        <x:f>Model_Data!A96</x:f>
        <x:v>-13</x:v>
      </x:c>
      <x:c r="B96" s="24" t="n">
        <x:f>Model_Data!Y96</x:f>
        <x:v>432.8844458249992</x:v>
      </x:c>
      <x:c r="C96" s="24" t="n">
        <x:f>Model_Data!X96</x:f>
        <x:v>-64.09243482429542</x:v>
      </x:c>
      <x:c r="D96" s="24" t="n">
        <x:f>Model_Data!B96</x:f>
        <x:v>400.1877777777778</x:v>
      </x:c>
      <x:c r="E96" s="24" t="n">
        <x:f>Inputs!$C$6</x:f>
        <x:v>25</x:v>
      </x:c>
      <x:c r="F96" s="24" t="n">
        <x:f>Subsurface_Inputs!$C$5+Subsurface_Inputs!$C$6*SIN(2*PI()*(A96+Subsurface_Inputs!$C$7)/Subsurface_Inputs!$C$8)+Subsurface_Inputs!$C$9*COS(2*PI()*A96/Subsurface_Inputs!$C$10)+Subsurface_Inputs!$C$11*(B96-AVERAGE($B$2:$B$242))</x:f>
        <x:v>1030.2442188006125</x:v>
      </x:c>
      <x:c r="G96" s="24" t="n">
        <x:f>B96-F96</x:f>
        <x:v>-597.3597729756134</x:v>
      </x:c>
      <x:c r="H96" s="24" t="n">
        <x:f>MIN(1,MAX(0,Subsurface_Inputs!$C$13*EXP(-0.5*((A96-Subsurface_Inputs!$C$14)/Subsurface_Inputs!$C$15)^2)+Subsurface_Inputs!$C$16*EXP(-0.5*((A96-Subsurface_Inputs!$C$17)/Subsurface_Inputs!$C$18)^2)))</x:f>
        <x:v>0.5187710781958308</x:v>
      </x:c>
      <x:c r="I96" s="24" t="n">
        <x:f>Subsurface_Inputs!$C$19+Subsurface_Inputs!$C$20*SIN(2*PI()*(A96-Subsurface_Inputs!$C$21)/Subsurface_Inputs!$C$22)-Subsurface_Inputs!$C$23*H96</x:f>
        <x:v>4458.92585455797</x:v>
      </x:c>
      <x:c r="J96" s="24" t="n">
        <x:f>B96-I96</x:f>
        <x:v>-4026.0414087329705</x:v>
      </x:c>
      <x:c r="K96" s="24" t="n">
        <x:f>Subsurface_Inputs!$C$25+Subsurface_Inputs!$C$26*SIN(2*PI()*(A96+Subsurface_Inputs!$C$27)/Subsurface_Inputs!$C$28)+Subsurface_Inputs!$C$29*COS(2*PI()*(A96-Subsurface_Inputs!$C$30)/Subsurface_Inputs!$C$31)-Subsurface_Inputs!$C$32*(B96-AVERAGE($B$2:$B$242))</x:f>
        <x:v>15241.286697126148</x:v>
      </x:c>
      <x:c r="L96" s="24" t="n">
        <x:f>B96-K96</x:f>
        <x:v>-14808.40225130115</x:v>
      </x:c>
      <x:c r="M96" s="24" t="n">
        <x:f>2*Subsurface_Inputs!$C$34*F96/Subsurface_Inputs!$C$35*1000000</x:f>
        <x:v>12.234028312113777</x:v>
      </x:c>
      <x:c r="N96" s="24" t="n">
        <x:f>2*Subsurface_Inputs!$C$34*I96/Subsurface_Inputs!$C$35*1000000</x:f>
        <x:v>52.94921742903343</x:v>
      </x:c>
      <x:c r="O96" s="24" t="n">
        <x:f>2*Subsurface_Inputs!$C$34*K96/Subsurface_Inputs!$C$35*1000000</x:f>
        <x:v>180.98847784145752</x:v>
      </x:c>
      <x:c r="P96" s="24" t="n">
        <x:f>Subsurface_Inputs!$C$37-2*Subsurface_Inputs!$C$36*(F96/1000)</x:f>
        <x:v>-11.854439593841102</x:v>
      </x:c>
      <x:c r="Q96" s="24" t="n">
        <x:f>Subsurface_Inputs!$C$38+Subsurface_Inputs!$C$39*H96-2*Subsurface_Inputs!$C$36*(I96/1000)</x:f>
        <x:v>-27.35712683444187</x:v>
      </x:c>
      <x:c r="R96" s="24" t="n">
        <x:f>Subsurface_Inputs!$C$40-2*Subsurface_Inputs!$C$36*(K96/1000)-Subsurface_Inputs!$C$41*ABS(L96-AVERAGE($L$2:$L$242))</x:f>
        <x:v>-33.620094546060294</x:v>
      </x:c>
      <x:c r="S96" s="24" t="n">
        <x:f>K96-AVERAGE($K$2:$K$242)</x:f>
        <x:v>163.9020015520382</x:v>
      </x:c>
      <x:c r="T96" s="24" t="n">
        <x:f>K96/F96</x:f>
        <x:v>14.793858018315031</x:v>
      </x:c>
      <x:c r="U96" s="25" t="str">
        <x:f>IF(H96&gt;=Subsurface_Inputs!$C$42,"Lens visible","Weak/no lens")</x:f>
        <x:v>Lens visible</x:v>
      </x:c>
      <x:c r="V96" s="25" t="str">
        <x:f>IF(R96&gt;=W96,"Likely visible","Weak")</x:f>
        <x:v>Likely visible</x:v>
      </x:c>
      <x:c r="W96" s="24" t="n">
        <x:f>Subsurface_Inputs!$C$43</x:f>
        <x:v>-45</x:v>
      </x:c>
      <x:c r="X96" s="24" t="n">
        <x:f>Q96-W96</x:f>
        <x:v>17.64287316555813</x:v>
      </x:c>
      <x:c r="Y96" s="24" t="n">
        <x:f>R96-W96</x:f>
        <x:v>11.379905453939706</x:v>
      </x:c>
      <x:c r="Z96" s="24" t="n">
        <x:f>MAX(Q96,R96)-W96</x:f>
        <x:v>17.64287316555813</x:v>
      </x:c>
      <x:c r="AA96" s="24" t="n">
        <x:v>0</x:v>
      </x:c>
    </x:row>
    <x:row r="97">
      <x:c r="A97" s="24" t="n">
        <x:f>Model_Data!A97</x:f>
        <x:v>-12.5</x:v>
      </x:c>
      <x:c r="B97" s="24" t="n">
        <x:f>Model_Data!Y97</x:f>
        <x:v>448.8683161255995</x:v>
      </x:c>
      <x:c r="C97" s="24" t="n">
        <x:f>Model_Data!X97</x:f>
        <x:v>-70.18392228131138</x:v>
      </x:c>
      <x:c r="D97" s="24" t="n">
        <x:f>Model_Data!B97</x:f>
        <x:v>400.1736111111111</x:v>
      </x:c>
      <x:c r="E97" s="24" t="n">
        <x:f>Inputs!$C$6</x:f>
        <x:v>25</x:v>
      </x:c>
      <x:c r="F97" s="24" t="n">
        <x:f>Subsurface_Inputs!$C$5+Subsurface_Inputs!$C$6*SIN(2*PI()*(A97+Subsurface_Inputs!$C$7)/Subsurface_Inputs!$C$8)+Subsurface_Inputs!$C$9*COS(2*PI()*A97/Subsurface_Inputs!$C$10)+Subsurface_Inputs!$C$11*(B97-AVERAGE($B$2:$B$242))</x:f>
        <x:v>1039.1080488222817</x:v>
      </x:c>
      <x:c r="G97" s="24" t="n">
        <x:f>B97-F97</x:f>
        <x:v>-590.2397326966823</x:v>
      </x:c>
      <x:c r="H97" s="24" t="n">
        <x:f>MIN(1,MAX(0,Subsurface_Inputs!$C$13*EXP(-0.5*((A97-Subsurface_Inputs!$C$14)/Subsurface_Inputs!$C$15)^2)+Subsurface_Inputs!$C$16*EXP(-0.5*((A97-Subsurface_Inputs!$C$17)/Subsurface_Inputs!$C$18)^2)))</x:f>
        <x:v>0.4903959109944138</x:v>
      </x:c>
      <x:c r="I97" s="24" t="n">
        <x:f>Subsurface_Inputs!$C$19+Subsurface_Inputs!$C$20*SIN(2*PI()*(A97-Subsurface_Inputs!$C$21)/Subsurface_Inputs!$C$22)-Subsurface_Inputs!$C$23*H97</x:f>
        <x:v>4468.399160995559</x:v>
      </x:c>
      <x:c r="J97" s="24" t="n">
        <x:f>B97-I97</x:f>
        <x:v>-4019.5308448699598</x:v>
      </x:c>
      <x:c r="K97" s="24" t="n">
        <x:f>Subsurface_Inputs!$C$25+Subsurface_Inputs!$C$26*SIN(2*PI()*(A97+Subsurface_Inputs!$C$27)/Subsurface_Inputs!$C$28)+Subsurface_Inputs!$C$29*COS(2*PI()*(A97-Subsurface_Inputs!$C$30)/Subsurface_Inputs!$C$31)-Subsurface_Inputs!$C$32*(B97-AVERAGE($B$2:$B$242))</x:f>
        <x:v>15267.885369240817</x:v>
      </x:c>
      <x:c r="L97" s="24" t="n">
        <x:f>B97-K97</x:f>
        <x:v>-14819.017053115218</x:v>
      </x:c>
      <x:c r="M97" s="24" t="n">
        <x:f>2*Subsurface_Inputs!$C$34*F97/Subsurface_Inputs!$C$35*1000000</x:f>
        <x:v>12.33928524581937</x:v>
      </x:c>
      <x:c r="N97" s="24" t="n">
        <x:f>2*Subsurface_Inputs!$C$34*I97/Subsurface_Inputs!$C$35*1000000</x:f>
        <x:v>53.06171182313129</x:v>
      </x:c>
      <x:c r="O97" s="24" t="n">
        <x:f>2*Subsurface_Inputs!$C$34*K97/Subsurface_Inputs!$C$35*1000000</x:f>
        <x:v>181.30433392856506</x:v>
      </x:c>
      <x:c r="P97" s="24" t="n">
        <x:f>Subsurface_Inputs!$C$37-2*Subsurface_Inputs!$C$36*(F97/1000)</x:f>
        <x:v>-11.870394487880107</x:v>
      </x:c>
      <x:c r="Q97" s="24" t="n">
        <x:f>Subsurface_Inputs!$C$38+Subsurface_Inputs!$C$39*H97-2*Subsurface_Inputs!$C$36*(I97/1000)</x:f>
        <x:v>-27.629555290842283</x:v>
      </x:c>
      <x:c r="R97" s="24" t="n">
        <x:f>Subsurface_Inputs!$C$40-2*Subsurface_Inputs!$C$36*(K97/1000)-Subsurface_Inputs!$C$41*ABS(L97-AVERAGE($L$2:$L$242))</x:f>
        <x:v>-33.71043136312297</x:v>
      </x:c>
      <x:c r="S97" s="24" t="n">
        <x:f>K97-AVERAGE($K$2:$K$242)</x:f>
        <x:v>190.50067366670737</x:v>
      </x:c>
      <x:c r="T97" s="24" t="n">
        <x:f>K97/F97</x:f>
        <x:v>14.693260615722627</x:v>
      </x:c>
      <x:c r="U97" s="25" t="str">
        <x:f>IF(H97&gt;=Subsurface_Inputs!$C$42,"Lens visible","Weak/no lens")</x:f>
        <x:v>Lens visible</x:v>
      </x:c>
      <x:c r="V97" s="25" t="str">
        <x:f>IF(R97&gt;=W97,"Likely visible","Weak")</x:f>
        <x:v>Likely visible</x:v>
      </x:c>
      <x:c r="W97" s="24" t="n">
        <x:f>Subsurface_Inputs!$C$43</x:f>
        <x:v>-45</x:v>
      </x:c>
      <x:c r="X97" s="24" t="n">
        <x:f>Q97-W97</x:f>
        <x:v>17.370444709157717</x:v>
      </x:c>
      <x:c r="Y97" s="24" t="n">
        <x:f>R97-W97</x:f>
        <x:v>11.289568636877028</x:v>
      </x:c>
      <x:c r="Z97" s="24" t="n">
        <x:f>MAX(Q97,R97)-W97</x:f>
        <x:v>17.370444709157717</x:v>
      </x:c>
      <x:c r="AA97" s="24" t="n">
        <x:v>0</x:v>
      </x:c>
    </x:row>
    <x:row r="98">
      <x:c r="A98" s="24" t="n">
        <x:f>Model_Data!A98</x:f>
        <x:v>-12</x:v>
      </x:c>
      <x:c r="B98" s="24" t="n">
        <x:f>Model_Data!Y98</x:f>
        <x:v>437.9918993099811</x:v>
      </x:c>
      <x:c r="C98" s="24" t="n">
        <x:f>Model_Data!X98</x:f>
        <x:v>-47.55794552962975</x:v>
      </x:c>
      <x:c r="D98" s="24" t="n">
        <x:f>Model_Data!B98</x:f>
        <x:v>400.16</x:v>
      </x:c>
      <x:c r="E98" s="24" t="n">
        <x:f>Inputs!$C$6</x:f>
        <x:v>25</x:v>
      </x:c>
      <x:c r="F98" s="24" t="n">
        <x:f>Subsurface_Inputs!$C$5+Subsurface_Inputs!$C$6*SIN(2*PI()*(A98+Subsurface_Inputs!$C$7)/Subsurface_Inputs!$C$8)+Subsurface_Inputs!$C$9*COS(2*PI()*A98/Subsurface_Inputs!$C$10)+Subsurface_Inputs!$C$11*(B98-AVERAGE($B$2:$B$242))</x:f>
        <x:v>1048.3006086212238</x:v>
      </x:c>
      <x:c r="G98" s="24" t="n">
        <x:f>B98-F98</x:f>
        <x:v>-610.3087093112426</x:v>
      </x:c>
      <x:c r="H98" s="24" t="n">
        <x:f>MIN(1,MAX(0,Subsurface_Inputs!$C$13*EXP(-0.5*((A98-Subsurface_Inputs!$C$14)/Subsurface_Inputs!$C$15)^2)+Subsurface_Inputs!$C$16*EXP(-0.5*((A98-Subsurface_Inputs!$C$17)/Subsurface_Inputs!$C$18)^2)))</x:f>
        <x:v>0.46241536755992085</x:v>
      </x:c>
      <x:c r="I98" s="24" t="n">
        <x:f>Subsurface_Inputs!$C$19+Subsurface_Inputs!$C$20*SIN(2*PI()*(A98-Subsurface_Inputs!$C$21)/Subsurface_Inputs!$C$22)-Subsurface_Inputs!$C$23*H98</x:f>
        <x:v>4478.531985387254</x:v>
      </x:c>
      <x:c r="J98" s="24" t="n">
        <x:f>B98-I98</x:f>
        <x:v>-4040.5400860772734</x:v>
      </x:c>
      <x:c r="K98" s="24" t="n">
        <x:f>Subsurface_Inputs!$C$25+Subsurface_Inputs!$C$26*SIN(2*PI()*(A98+Subsurface_Inputs!$C$27)/Subsurface_Inputs!$C$28)+Subsurface_Inputs!$C$29*COS(2*PI()*(A98-Subsurface_Inputs!$C$30)/Subsurface_Inputs!$C$31)-Subsurface_Inputs!$C$32*(B98-AVERAGE($B$2:$B$242))</x:f>
        <x:v>15298.413678377061</x:v>
      </x:c>
      <x:c r="L98" s="24" t="n">
        <x:f>B98-K98</x:f>
        <x:v>-14860.42177906708</x:v>
      </x:c>
      <x:c r="M98" s="24" t="n">
        <x:f>2*Subsurface_Inputs!$C$34*F98/Subsurface_Inputs!$C$35*1000000</x:f>
        <x:v>12.448445806770618</x:v>
      </x:c>
      <x:c r="N98" s="24" t="n">
        <x:f>2*Subsurface_Inputs!$C$34*I98/Subsurface_Inputs!$C$35*1000000</x:f>
        <x:v>53.182037914971914</x:v>
      </x:c>
      <x:c r="O98" s="24" t="n">
        <x:f>2*Subsurface_Inputs!$C$34*K98/Subsurface_Inputs!$C$35*1000000</x:f>
        <x:v>181.66685399077764</x:v>
      </x:c>
      <x:c r="P98" s="24" t="n">
        <x:f>Subsurface_Inputs!$C$37-2*Subsurface_Inputs!$C$36*(F98/1000)</x:f>
        <x:v>-11.886941095518203</x:v>
      </x:c>
      <x:c r="Q98" s="24" t="n">
        <x:f>Subsurface_Inputs!$C$38+Subsurface_Inputs!$C$39*H98-2*Subsurface_Inputs!$C$36*(I98/1000)</x:f>
        <x:v>-27.89961926565777</x:v>
      </x:c>
      <x:c r="R98" s="24" t="n">
        <x:f>Subsurface_Inputs!$C$40-2*Subsurface_Inputs!$C$36*(K98/1000)-Subsurface_Inputs!$C$41*ABS(L98-AVERAGE($L$2:$L$242))</x:f>
        <x:v>-33.93100122337566</x:v>
      </x:c>
      <x:c r="S98" s="24" t="n">
        <x:f>K98-AVERAGE($K$2:$K$242)</x:f>
        <x:v>221.02898280295085</x:v>
      </x:c>
      <x:c r="T98" s="24" t="n">
        <x:f>K98/F98</x:f>
        <x:v>14.593536961214095</x:v>
      </x:c>
      <x:c r="U98" s="25" t="str">
        <x:f>IF(H98&gt;=Subsurface_Inputs!$C$42,"Lens visible","Weak/no lens")</x:f>
        <x:v>Lens visible</x:v>
      </x:c>
      <x:c r="V98" s="25" t="str">
        <x:f>IF(R98&gt;=W98,"Likely visible","Weak")</x:f>
        <x:v>Likely visible</x:v>
      </x:c>
      <x:c r="W98" s="24" t="n">
        <x:f>Subsurface_Inputs!$C$43</x:f>
        <x:v>-45</x:v>
      </x:c>
      <x:c r="X98" s="24" t="n">
        <x:f>Q98-W98</x:f>
        <x:v>17.10038073434223</x:v>
      </x:c>
      <x:c r="Y98" s="24" t="n">
        <x:f>R98-W98</x:f>
        <x:v>11.06899877662434</x:v>
      </x:c>
      <x:c r="Z98" s="24" t="n">
        <x:f>MAX(Q98,R98)-W98</x:f>
        <x:v>17.10038073434223</x:v>
      </x:c>
      <x:c r="AA98" s="24" t="n">
        <x:v>0</x:v>
      </x:c>
    </x:row>
    <x:row r="99">
      <x:c r="A99" s="24" t="n">
        <x:f>Model_Data!A99</x:f>
        <x:v>-11.5</x:v>
      </x:c>
      <x:c r="B99" s="24" t="n">
        <x:f>Model_Data!Y99</x:f>
        <x:v>458.910891472728</x:v>
      </x:c>
      <x:c r="C99" s="24" t="n">
        <x:f>Model_Data!X99</x:f>
        <x:v>-48.06780811544866</x:v>
      </x:c>
      <x:c r="D99" s="24" t="n">
        <x:f>Model_Data!B99</x:f>
        <x:v>400.14694444444444</x:v>
      </x:c>
      <x:c r="E99" s="24" t="n">
        <x:f>Inputs!$C$6</x:f>
        <x:v>25</x:v>
      </x:c>
      <x:c r="F99" s="24" t="n">
        <x:f>Subsurface_Inputs!$C$5+Subsurface_Inputs!$C$6*SIN(2*PI()*(A99+Subsurface_Inputs!$C$7)/Subsurface_Inputs!$C$8)+Subsurface_Inputs!$C$9*COS(2*PI()*A99/Subsurface_Inputs!$C$10)+Subsurface_Inputs!$C$11*(B99-AVERAGE($B$2:$B$242))</x:f>
        <x:v>1060.1360035426478</x:v>
      </x:c>
      <x:c r="G99" s="24" t="n">
        <x:f>B99-F99</x:f>
        <x:v>-601.2251120699198</x:v>
      </x:c>
      <x:c r="H99" s="24" t="n">
        <x:f>MIN(1,MAX(0,Subsurface_Inputs!$C$13*EXP(-0.5*((A99-Subsurface_Inputs!$C$14)/Subsurface_Inputs!$C$15)^2)+Subsurface_Inputs!$C$16*EXP(-0.5*((A99-Subsurface_Inputs!$C$17)/Subsurface_Inputs!$C$18)^2)))</x:f>
        <x:v>0.4349426974475908</x:v>
      </x:c>
      <x:c r="I99" s="24" t="n">
        <x:f>Subsurface_Inputs!$C$19+Subsurface_Inputs!$C$20*SIN(2*PI()*(A99-Subsurface_Inputs!$C$21)/Subsurface_Inputs!$C$22)-Subsurface_Inputs!$C$23*H99</x:f>
        <x:v>4489.292132196133</x:v>
      </x:c>
      <x:c r="J99" s="24" t="n">
        <x:f>B99-I99</x:f>
        <x:v>-4030.381240723405</x:v>
      </x:c>
      <x:c r="K99" s="24" t="n">
        <x:f>Subsurface_Inputs!$C$25+Subsurface_Inputs!$C$26*SIN(2*PI()*(A99+Subsurface_Inputs!$C$27)/Subsurface_Inputs!$C$28)+Subsurface_Inputs!$C$29*COS(2*PI()*(A99-Subsurface_Inputs!$C$30)/Subsurface_Inputs!$C$31)-Subsurface_Inputs!$C$32*(B99-AVERAGE($B$2:$B$242))</x:f>
        <x:v>15324.614103451211</x:v>
      </x:c>
      <x:c r="L99" s="24" t="n">
        <x:f>B99-K99</x:f>
        <x:v>-14865.703211978484</x:v>
      </x:c>
      <x:c r="M99" s="24" t="n">
        <x:f>2*Subsurface_Inputs!$C$34*F99/Subsurface_Inputs!$C$35*1000000</x:f>
        <x:v>12.588989722389302</x:v>
      </x:c>
      <x:c r="N99" s="24" t="n">
        <x:f>2*Subsurface_Inputs!$C$34*I99/Subsurface_Inputs!$C$35*1000000</x:f>
        <x:v>53.30981338636022</x:v>
      </x:c>
      <x:c r="O99" s="24" t="n">
        <x:f>2*Subsurface_Inputs!$C$34*K99/Subsurface_Inputs!$C$35*1000000</x:f>
        <x:v>181.97798094135612</x:v>
      </x:c>
      <x:c r="P99" s="24" t="n">
        <x:f>Subsurface_Inputs!$C$37-2*Subsurface_Inputs!$C$36*(F99/1000)</x:f>
        <x:v>-11.908244806376766</x:v>
      </x:c>
      <x:c r="Q99" s="24" t="n">
        <x:f>Subsurface_Inputs!$C$38+Subsurface_Inputs!$C$39*H99-2*Subsurface_Inputs!$C$36*(I99/1000)</x:f>
        <x:v>-28.16624156092472</x:v>
      </x:c>
      <x:c r="R99" s="24" t="n">
        <x:f>Subsurface_Inputs!$C$40-2*Subsurface_Inputs!$C$36*(K99/1000)-Subsurface_Inputs!$C$41*ABS(L99-AVERAGE($L$2:$L$242))</x:f>
        <x:v>-33.99928772015474</x:v>
      </x:c>
      <x:c r="S99" s="24" t="n">
        <x:f>K99-AVERAGE($K$2:$K$242)</x:f>
        <x:v>247.22940787710104</x:v>
      </x:c>
      <x:c r="T99" s="24" t="n">
        <x:f>K99/F99</x:f>
        <x:v>14.455328422241179</x:v>
      </x:c>
      <x:c r="U99" s="25" t="str">
        <x:f>IF(H99&gt;=Subsurface_Inputs!$C$42,"Lens visible","Weak/no lens")</x:f>
        <x:v>Lens visible</x:v>
      </x:c>
      <x:c r="V99" s="25" t="str">
        <x:f>IF(R99&gt;=W99,"Likely visible","Weak")</x:f>
        <x:v>Likely visible</x:v>
      </x:c>
      <x:c r="W99" s="24" t="n">
        <x:f>Subsurface_Inputs!$C$43</x:f>
        <x:v>-45</x:v>
      </x:c>
      <x:c r="X99" s="24" t="n">
        <x:f>Q99-W99</x:f>
        <x:v>16.83375843907528</x:v>
      </x:c>
      <x:c r="Y99" s="24" t="n">
        <x:f>R99-W99</x:f>
        <x:v>11.00071227984526</x:v>
      </x:c>
      <x:c r="Z99" s="24" t="n">
        <x:f>MAX(Q99,R99)-W99</x:f>
        <x:v>16.83375843907528</x:v>
      </x:c>
      <x:c r="AA99" s="24" t="n">
        <x:v>0</x:v>
      </x:c>
    </x:row>
    <x:row r="100">
      <x:c r="A100" s="24" t="n">
        <x:f>Model_Data!A100</x:f>
        <x:v>-11</x:v>
      </x:c>
      <x:c r="B100" s="24" t="n">
        <x:f>Model_Data!Y100</x:f>
        <x:v>462.5412492822977</x:v>
      </x:c>
      <x:c r="C100" s="24" t="n">
        <x:f>Model_Data!X100</x:f>
        <x:v>-43.28983557333215</x:v>
      </x:c>
      <x:c r="D100" s="24" t="n">
        <x:f>Model_Data!B100</x:f>
        <x:v>400.13444444444445</x:v>
      </x:c>
      <x:c r="E100" s="24" t="n">
        <x:f>Inputs!$C$6</x:f>
        <x:v>25</x:v>
      </x:c>
      <x:c r="F100" s="24" t="n">
        <x:f>Subsurface_Inputs!$C$5+Subsurface_Inputs!$C$6*SIN(2*PI()*(A100+Subsurface_Inputs!$C$7)/Subsurface_Inputs!$C$8)+Subsurface_Inputs!$C$9*COS(2*PI()*A100/Subsurface_Inputs!$C$10)+Subsurface_Inputs!$C$11*(B100-AVERAGE($B$2:$B$242))</x:f>
        <x:v>1072.5966479376732</x:v>
      </x:c>
      <x:c r="G100" s="24" t="n">
        <x:f>B100-F100</x:f>
        <x:v>-610.0553986553755</x:v>
      </x:c>
      <x:c r="H100" s="24" t="n">
        <x:f>MIN(1,MAX(0,Subsurface_Inputs!$C$13*EXP(-0.5*((A100-Subsurface_Inputs!$C$14)/Subsurface_Inputs!$C$15)^2)+Subsurface_Inputs!$C$16*EXP(-0.5*((A100-Subsurface_Inputs!$C$17)/Subsurface_Inputs!$C$18)^2)))</x:f>
        <x:v>0.4080808757475939</x:v>
      </x:c>
      <x:c r="I100" s="24" t="n">
        <x:f>Subsurface_Inputs!$C$19+Subsurface_Inputs!$C$20*SIN(2*PI()*(A100-Subsurface_Inputs!$C$21)/Subsurface_Inputs!$C$22)-Subsurface_Inputs!$C$23*H100</x:f>
        <x:v>4500.648772184944</x:v>
      </x:c>
      <x:c r="J100" s="24" t="n">
        <x:f>B100-I100</x:f>
        <x:v>-4038.1075229026465</x:v>
      </x:c>
      <x:c r="K100" s="24" t="n">
        <x:f>Subsurface_Inputs!$C$25+Subsurface_Inputs!$C$26*SIN(2*PI()*(A100+Subsurface_Inputs!$C$27)/Subsurface_Inputs!$C$28)+Subsurface_Inputs!$C$29*COS(2*PI()*(A100-Subsurface_Inputs!$C$30)/Subsurface_Inputs!$C$31)-Subsurface_Inputs!$C$32*(B100-AVERAGE($B$2:$B$242))</x:f>
        <x:v>15353.311864414836</x:v>
      </x:c>
      <x:c r="L100" s="24" t="n">
        <x:f>B100-K100</x:f>
        <x:v>-14890.770615132538</x:v>
      </x:c>
      <x:c r="M100" s="24" t="n">
        <x:f>2*Subsurface_Inputs!$C$34*F100/Subsurface_Inputs!$C$35*1000000</x:f>
        <x:v>12.73695840159567</x:v>
      </x:c>
      <x:c r="N100" s="24" t="n">
        <x:f>2*Subsurface_Inputs!$C$34*I100/Subsurface_Inputs!$C$35*1000000</x:f>
        <x:v>53.4446721437482</x:v>
      </x:c>
      <x:c r="O100" s="24" t="n">
        <x:f>2*Subsurface_Inputs!$C$34*K100/Subsurface_Inputs!$C$35*1000000</x:f>
        <x:v>182.3187634604097</x:v>
      </x:c>
      <x:c r="P100" s="24" t="n">
        <x:f>Subsurface_Inputs!$C$37-2*Subsurface_Inputs!$C$36*(F100/1000)</x:f>
        <x:v>-11.930673966287811</x:v>
      </x:c>
      <x:c r="Q100" s="24" t="n">
        <x:f>Subsurface_Inputs!$C$38+Subsurface_Inputs!$C$39*H100-2*Subsurface_Inputs!$C$36*(I100/1000)</x:f>
        <x:v>-28.428439908204552</x:v>
      </x:c>
      <x:c r="R100" s="24" t="n">
        <x:f>Subsurface_Inputs!$C$40-2*Subsurface_Inputs!$C$36*(K100/1000)-Subsurface_Inputs!$C$41*ABS(L100-AVERAGE($L$2:$L$242))</x:f>
        <x:v>-34.15121330250549</x:v>
      </x:c>
      <x:c r="S100" s="24" t="n">
        <x:f>K100-AVERAGE($K$2:$K$242)</x:f>
        <x:v>275.92716884072615</x:v>
      </x:c>
      <x:c r="T100" s="24" t="n">
        <x:f>K100/F100</x:f>
        <x:v>14.31415238331697</x:v>
      </x:c>
      <x:c r="U100" s="25" t="str">
        <x:f>IF(H100&gt;=Subsurface_Inputs!$C$42,"Lens visible","Weak/no lens")</x:f>
        <x:v>Lens visible</x:v>
      </x:c>
      <x:c r="V100" s="25" t="str">
        <x:f>IF(R100&gt;=W100,"Likely visible","Weak")</x:f>
        <x:v>Likely visible</x:v>
      </x:c>
      <x:c r="W100" s="24" t="n">
        <x:f>Subsurface_Inputs!$C$43</x:f>
        <x:v>-45</x:v>
      </x:c>
      <x:c r="X100" s="24" t="n">
        <x:f>Q100-W100</x:f>
        <x:v>16.571560091795448</x:v>
      </x:c>
      <x:c r="Y100" s="24" t="n">
        <x:f>R100-W100</x:f>
        <x:v>10.84878669749451</x:v>
      </x:c>
      <x:c r="Z100" s="24" t="n">
        <x:f>MAX(Q100,R100)-W100</x:f>
        <x:v>16.571560091795448</x:v>
      </x:c>
      <x:c r="AA100" s="24" t="n">
        <x:v>0</x:v>
      </x:c>
    </x:row>
    <x:row r="101">
      <x:c r="A101" s="24" t="n">
        <x:f>Model_Data!A101</x:f>
        <x:v>-10.5</x:v>
      </x:c>
      <x:c r="B101" s="24" t="n">
        <x:f>Model_Data!Y101</x:f>
        <x:v>470.10163194835394</x:v>
      </x:c>
      <x:c r="C101" s="24" t="n">
        <x:f>Model_Data!X101</x:f>
        <x:v>-52.09631463655199</x:v>
      </x:c>
      <x:c r="D101" s="24" t="n">
        <x:f>Model_Data!B101</x:f>
        <x:v>400.1225</x:v>
      </x:c>
      <x:c r="E101" s="24" t="n">
        <x:f>Inputs!$C$6</x:f>
        <x:v>25</x:v>
      </x:c>
      <x:c r="F101" s="24" t="n">
        <x:f>Subsurface_Inputs!$C$5+Subsurface_Inputs!$C$6*SIN(2*PI()*(A101+Subsurface_Inputs!$C$7)/Subsurface_Inputs!$C$8)+Subsurface_Inputs!$C$9*COS(2*PI()*A101/Subsurface_Inputs!$C$10)+Subsurface_Inputs!$C$11*(B101-AVERAGE($B$2:$B$242))</x:f>
        <x:v>1086.4551303799874</x:v>
      </x:c>
      <x:c r="G101" s="24" t="n">
        <x:f>B101-F101</x:f>
        <x:v>-616.3534984316334</x:v>
      </x:c>
      <x:c r="H101" s="24" t="n">
        <x:f>MIN(1,MAX(0,Subsurface_Inputs!$C$13*EXP(-0.5*((A101-Subsurface_Inputs!$C$14)/Subsurface_Inputs!$C$15)^2)+Subsurface_Inputs!$C$16*EXP(-0.5*((A101-Subsurface_Inputs!$C$17)/Subsurface_Inputs!$C$18)^2)))</x:f>
        <x:v>0.38192221875034676</x:v>
      </x:c>
      <x:c r="I101" s="24" t="n">
        <x:f>Subsurface_Inputs!$C$19+Subsurface_Inputs!$C$20*SIN(2*PI()*(A101-Subsurface_Inputs!$C$21)/Subsurface_Inputs!$C$22)-Subsurface_Inputs!$C$23*H101</x:f>
        <x:v>4512.572543631352</x:v>
      </x:c>
      <x:c r="J101" s="24" t="n">
        <x:f>B101-I101</x:f>
        <x:v>-4042.4709116829986</x:v>
      </x:c>
      <x:c r="K101" s="24" t="n">
        <x:f>Subsurface_Inputs!$C$25+Subsurface_Inputs!$C$26*SIN(2*PI()*(A101+Subsurface_Inputs!$C$27)/Subsurface_Inputs!$C$28)+Subsurface_Inputs!$C$29*COS(2*PI()*(A101-Subsurface_Inputs!$C$30)/Subsurface_Inputs!$C$31)-Subsurface_Inputs!$C$32*(B101-AVERAGE($B$2:$B$242))</x:f>
        <x:v>15381.489084576646</x:v>
      </x:c>
      <x:c r="L101" s="24" t="n">
        <x:f>B101-K101</x:f>
        <x:v>-14911.387452628293</x:v>
      </x:c>
      <x:c r="M101" s="24" t="n">
        <x:f>2*Subsurface_Inputs!$C$34*F101/Subsurface_Inputs!$C$35*1000000</x:f>
        <x:v>12.901526242373832</x:v>
      </x:c>
      <x:c r="N101" s="24" t="n">
        <x:f>2*Subsurface_Inputs!$C$34*I101/Subsurface_Inputs!$C$35*1000000</x:f>
        <x:v>53.586265520154</x:v>
      </x:c>
      <x:c r="O101" s="24" t="n">
        <x:f>2*Subsurface_Inputs!$C$34*K101/Subsurface_Inputs!$C$35*1000000</x:f>
        <x:v>182.6533646189754</x:v>
      </x:c>
      <x:c r="P101" s="24" t="n">
        <x:f>Subsurface_Inputs!$C$37-2*Subsurface_Inputs!$C$36*(F101/1000)</x:f>
        <x:v>-11.955619234683978</x:v>
      </x:c>
      <x:c r="Q101" s="24" t="n">
        <x:f>Subsurface_Inputs!$C$38+Subsurface_Inputs!$C$39*H101-2*Subsurface_Inputs!$C$36*(I101/1000)</x:f>
        <x:v>-28.685330609783314</x:v>
      </x:c>
      <x:c r="R101" s="24" t="n">
        <x:f>Subsurface_Inputs!$C$40-2*Subsurface_Inputs!$C$36*(K101/1000)-Subsurface_Inputs!$C$41*ABS(L101-AVERAGE($L$2:$L$242))</x:f>
        <x:v>-34.28439964877976</x:v>
      </x:c>
      <x:c r="S101" s="24" t="n">
        <x:f>K101-AVERAGE($K$2:$K$242)</x:f>
        <x:v>304.10438900253575</x:v>
      </x:c>
      <x:c r="T101" s="24" t="n">
        <x:f>K101/F101</x:f>
        <x:v>14.157500530368864</x:v>
      </x:c>
      <x:c r="U101" s="25" t="str">
        <x:f>IF(H101&gt;=Subsurface_Inputs!$C$42,"Lens visible","Weak/no lens")</x:f>
        <x:v>Lens visible</x:v>
      </x:c>
      <x:c r="V101" s="25" t="str">
        <x:f>IF(R101&gt;=W101,"Likely visible","Weak")</x:f>
        <x:v>Likely visible</x:v>
      </x:c>
      <x:c r="W101" s="24" t="n">
        <x:f>Subsurface_Inputs!$C$43</x:f>
        <x:v>-45</x:v>
      </x:c>
      <x:c r="X101" s="24" t="n">
        <x:f>Q101-W101</x:f>
        <x:v>16.314669390216686</x:v>
      </x:c>
      <x:c r="Y101" s="24" t="n">
        <x:f>R101-W101</x:f>
        <x:v>10.715600351220239</x:v>
      </x:c>
      <x:c r="Z101" s="24" t="n">
        <x:f>MAX(Q101,R101)-W101</x:f>
        <x:v>16.314669390216686</x:v>
      </x:c>
      <x:c r="AA101" s="24" t="n">
        <x:v>0</x:v>
      </x:c>
    </x:row>
    <x:row r="102">
      <x:c r="A102" s="24" t="n">
        <x:f>Model_Data!A102</x:f>
        <x:v>-10</x:v>
      </x:c>
      <x:c r="B102" s="24" t="n">
        <x:f>Model_Data!Y102</x:f>
        <x:v>471.5144848829251</x:v>
      </x:c>
      <x:c r="C102" s="24" t="n">
        <x:f>Model_Data!X102</x:f>
        <x:v>-49.423131521111884</x:v>
      </x:c>
      <x:c r="D102" s="24" t="n">
        <x:f>Model_Data!B102</x:f>
        <x:v>400.1111111111111</x:v>
      </x:c>
      <x:c r="E102" s="24" t="n">
        <x:f>Inputs!$C$6</x:f>
        <x:v>25</x:v>
      </x:c>
      <x:c r="F102" s="24" t="n">
        <x:f>Subsurface_Inputs!$C$5+Subsurface_Inputs!$C$6*SIN(2*PI()*(A102+Subsurface_Inputs!$C$7)/Subsurface_Inputs!$C$8)+Subsurface_Inputs!$C$9*COS(2*PI()*A102/Subsurface_Inputs!$C$10)+Subsurface_Inputs!$C$11*(B102-AVERAGE($B$2:$B$242))</x:f>
        <x:v>1101.2108186217388</x:v>
      </x:c>
      <x:c r="G102" s="24" t="n">
        <x:f>B102-F102</x:f>
        <x:v>-629.6963337388137</x:v>
      </x:c>
      <x:c r="H102" s="24" t="n">
        <x:f>MIN(1,MAX(0,Subsurface_Inputs!$C$13*EXP(-0.5*((A102-Subsurface_Inputs!$C$14)/Subsurface_Inputs!$C$15)^2)+Subsurface_Inputs!$C$16*EXP(-0.5*((A102-Subsurface_Inputs!$C$17)/Subsurface_Inputs!$C$18)^2)))</x:f>
        <x:v>0.35654815256605005</x:v>
      </x:c>
      <x:c r="I102" s="24" t="n">
        <x:f>Subsurface_Inputs!$C$19+Subsurface_Inputs!$C$20*SIN(2*PI()*(A102-Subsurface_Inputs!$C$21)/Subsurface_Inputs!$C$22)-Subsurface_Inputs!$C$23*H102</x:f>
        <x:v>4525.035618434776</x:v>
      </x:c>
      <x:c r="J102" s="24" t="n">
        <x:f>B102-I102</x:f>
        <x:v>-4053.5211335518507</x:v>
      </x:c>
      <x:c r="K102" s="24" t="n">
        <x:f>Subsurface_Inputs!$C$25+Subsurface_Inputs!$C$26*SIN(2*PI()*(A102+Subsurface_Inputs!$C$27)/Subsurface_Inputs!$C$28)+Subsurface_Inputs!$C$29*COS(2*PI()*(A102-Subsurface_Inputs!$C$30)/Subsurface_Inputs!$C$31)-Subsurface_Inputs!$C$32*(B102-AVERAGE($B$2:$B$242))</x:f>
        <x:v>15410.508745213148</x:v>
      </x:c>
      <x:c r="L102" s="24" t="n">
        <x:f>B102-K102</x:f>
        <x:v>-14938.994260330222</x:v>
      </x:c>
      <x:c r="M102" s="24" t="n">
        <x:f>2*Subsurface_Inputs!$C$34*F102/Subsurface_Inputs!$C$35*1000000</x:f>
        <x:v>13.076748295960769</x:v>
      </x:c>
      <x:c r="N102" s="24" t="n">
        <x:f>2*Subsurface_Inputs!$C$34*I102/Subsurface_Inputs!$C$35*1000000</x:f>
        <x:v>53.734263060172786</x:v>
      </x:c>
      <x:c r="O102" s="24" t="n">
        <x:f>2*Subsurface_Inputs!$C$34*K102/Subsurface_Inputs!$C$35*1000000</x:f>
        <x:v>182.9979696585923</x:v>
      </x:c>
      <x:c r="P102" s="24" t="n">
        <x:f>Subsurface_Inputs!$C$37-2*Subsurface_Inputs!$C$36*(F102/1000)</x:f>
        <x:v>-11.98217947351913</x:v>
      </x:c>
      <x:c r="Q102" s="24" t="n">
        <x:f>Subsurface_Inputs!$C$38+Subsurface_Inputs!$C$39*H102-2*Subsurface_Inputs!$C$36*(I102/1000)</x:f>
        <x:v>-28.936130740088146</x:v>
      </x:c>
      <x:c r="R102" s="24" t="n">
        <x:f>Subsurface_Inputs!$C$40-2*Subsurface_Inputs!$C$36*(K102/1000)-Subsurface_Inputs!$C$41*ABS(L102-AVERAGE($L$2:$L$242))</x:f>
        <x:v>-34.447062268733184</x:v>
      </x:c>
      <x:c r="S102" s="24" t="n">
        <x:f>K102-AVERAGE($K$2:$K$242)</x:f>
        <x:v>333.1240496390383</x:v>
      </x:c>
      <x:c r="T102" s="24" t="n">
        <x:f>K102/F102</x:f>
        <x:v>13.99414942590261</x:v>
      </x:c>
      <x:c r="U102" s="25" t="str">
        <x:f>IF(H102&gt;=Subsurface_Inputs!$C$42,"Lens visible","Weak/no lens")</x:f>
        <x:v>Lens visible</x:v>
      </x:c>
      <x:c r="V102" s="25" t="str">
        <x:f>IF(R102&gt;=W102,"Likely visible","Weak")</x:f>
        <x:v>Likely visible</x:v>
      </x:c>
      <x:c r="W102" s="24" t="n">
        <x:f>Subsurface_Inputs!$C$43</x:f>
        <x:v>-45</x:v>
      </x:c>
      <x:c r="X102" s="24" t="n">
        <x:f>Q102-W102</x:f>
        <x:v>16.063869259911854</x:v>
      </x:c>
      <x:c r="Y102" s="24" t="n">
        <x:f>R102-W102</x:f>
        <x:v>10.552937731266816</x:v>
      </x:c>
      <x:c r="Z102" s="24" t="n">
        <x:f>MAX(Q102,R102)-W102</x:f>
        <x:v>16.063869259911854</x:v>
      </x:c>
      <x:c r="AA102" s="24" t="n">
        <x:v>0</x:v>
      </x:c>
    </x:row>
    <x:row r="103">
      <x:c r="A103" s="24" t="n">
        <x:f>Model_Data!A103</x:f>
        <x:v>-9.5</x:v>
      </x:c>
      <x:c r="B103" s="24" t="n">
        <x:f>Model_Data!Y103</x:f>
        <x:v>470.5815738170562</x:v>
      </x:c>
      <x:c r="C103" s="24" t="n">
        <x:f>Model_Data!X103</x:f>
        <x:v>-32.277557975083496</x:v>
      </x:c>
      <x:c r="D103" s="24" t="n">
        <x:f>Model_Data!B103</x:f>
        <x:v>400.10027777777776</x:v>
      </x:c>
      <x:c r="E103" s="24" t="n">
        <x:f>Inputs!$C$6</x:f>
        <x:v>25</x:v>
      </x:c>
      <x:c r="F103" s="24" t="n">
        <x:f>Subsurface_Inputs!$C$5+Subsurface_Inputs!$C$6*SIN(2*PI()*(A103+Subsurface_Inputs!$C$7)/Subsurface_Inputs!$C$8)+Subsurface_Inputs!$C$9*COS(2*PI()*A103/Subsurface_Inputs!$C$10)+Subsurface_Inputs!$C$11*(B103-AVERAGE($B$2:$B$242))</x:f>
        <x:v>1116.89783097047</x:v>
      </x:c>
      <x:c r="G103" s="24" t="n">
        <x:f>B103-F103</x:f>
        <x:v>-646.3162571534139</x:v>
      </x:c>
      <x:c r="H103" s="24" t="n">
        <x:f>MIN(1,MAX(0,Subsurface_Inputs!$C$13*EXP(-0.5*((A103-Subsurface_Inputs!$C$14)/Subsurface_Inputs!$C$15)^2)+Subsurface_Inputs!$C$16*EXP(-0.5*((A103-Subsurface_Inputs!$C$17)/Subsurface_Inputs!$C$18)^2)))</x:f>
        <x:v>0.3320291288441442</x:v>
      </x:c>
      <x:c r="I103" s="24" t="n">
        <x:f>Subsurface_Inputs!$C$19+Subsurface_Inputs!$C$20*SIN(2*PI()*(A103-Subsurface_Inputs!$C$21)/Subsurface_Inputs!$C$22)-Subsurface_Inputs!$C$23*H103</x:f>
        <x:v>4538.011734504316</x:v>
      </x:c>
      <x:c r="J103" s="24" t="n">
        <x:f>B103-I103</x:f>
        <x:v>-4067.43016068726</x:v>
      </x:c>
      <x:c r="K103" s="24" t="n">
        <x:f>Subsurface_Inputs!$C$25+Subsurface_Inputs!$C$26*SIN(2*PI()*(A103+Subsurface_Inputs!$C$27)/Subsurface_Inputs!$C$28)+Subsurface_Inputs!$C$29*COS(2*PI()*(A103-Subsurface_Inputs!$C$30)/Subsurface_Inputs!$C$31)-Subsurface_Inputs!$C$32*(B103-AVERAGE($B$2:$B$242))</x:f>
        <x:v>15439.79021897657</x:v>
      </x:c>
      <x:c r="L103" s="24" t="n">
        <x:f>B103-K103</x:f>
        <x:v>-14969.208645159513</x:v>
      </x:c>
      <x:c r="M103" s="24" t="n">
        <x:f>2*Subsurface_Inputs!$C$34*F103/Subsurface_Inputs!$C$35*1000000</x:f>
        <x:v>13.263029713225386</x:v>
      </x:c>
      <x:c r="N103" s="24" t="n">
        <x:f>2*Subsurface_Inputs!$C$34*I103/Subsurface_Inputs!$C$35*1000000</x:f>
        <x:v>53.888352904579634</x:v>
      </x:c>
      <x:c r="O103" s="24" t="n">
        <x:f>2*Subsurface_Inputs!$C$34*K103/Subsurface_Inputs!$C$35*1000000</x:f>
        <x:v>183.3456836981422</x:v>
      </x:c>
      <x:c r="P103" s="24" t="n">
        <x:f>Subsurface_Inputs!$C$37-2*Subsurface_Inputs!$C$36*(F103/1000)</x:f>
        <x:v>-12.010416095746846</x:v>
      </x:c>
      <x:c r="Q103" s="24" t="n">
        <x:f>Subsurface_Inputs!$C$38+Subsurface_Inputs!$C$39*H103-2*Subsurface_Inputs!$C$36*(I103/1000)</x:f>
        <x:v>-29.180158962510472</x:v>
      </x:c>
      <x:c r="R103" s="24" t="n">
        <x:f>Subsurface_Inputs!$C$40-2*Subsurface_Inputs!$C$36*(K103/1000)-Subsurface_Inputs!$C$41*ABS(L103-AVERAGE($L$2:$L$242))</x:f>
        <x:v>-34.62062646082451</x:v>
      </x:c>
      <x:c r="S103" s="24" t="n">
        <x:f>K103-AVERAGE($K$2:$K$242)</x:f>
        <x:v>362.40552340245995</x:v>
      </x:c>
      <x:c r="T103" s="24" t="n">
        <x:f>K103/F103</x:f>
        <x:v>13.823816101031346</x:v>
      </x:c>
      <x:c r="U103" s="25" t="str">
        <x:f>IF(H103&gt;=Subsurface_Inputs!$C$42,"Lens visible","Weak/no lens")</x:f>
        <x:v>Lens visible</x:v>
      </x:c>
      <x:c r="V103" s="25" t="str">
        <x:f>IF(R103&gt;=W103,"Likely visible","Weak")</x:f>
        <x:v>Likely visible</x:v>
      </x:c>
      <x:c r="W103" s="24" t="n">
        <x:f>Subsurface_Inputs!$C$43</x:f>
        <x:v>-45</x:v>
      </x:c>
      <x:c r="X103" s="24" t="n">
        <x:f>Q103-W103</x:f>
        <x:v>15.819841037489528</x:v>
      </x:c>
      <x:c r="Y103" s="24" t="n">
        <x:f>R103-W103</x:f>
        <x:v>10.37937353917549</x:v>
      </x:c>
      <x:c r="Z103" s="24" t="n">
        <x:f>MAX(Q103,R103)-W103</x:f>
        <x:v>15.819841037489528</x:v>
      </x:c>
      <x:c r="AA103" s="24" t="n">
        <x:v>0</x:v>
      </x:c>
    </x:row>
    <x:row r="104">
      <x:c r="A104" s="24" t="n">
        <x:f>Model_Data!A104</x:f>
        <x:v>-9</x:v>
      </x:c>
      <x:c r="B104" s="24" t="n">
        <x:f>Model_Data!Y104</x:f>
        <x:v>480.618285675218</x:v>
      </x:c>
      <x:c r="C104" s="24" t="n">
        <x:f>Model_Data!X104</x:f>
        <x:v>-47.4214748383975</x:v>
      </x:c>
      <x:c r="D104" s="24" t="n">
        <x:f>Model_Data!B104</x:f>
        <x:v>400.09</x:v>
      </x:c>
      <x:c r="E104" s="24" t="n">
        <x:f>Inputs!$C$6</x:f>
        <x:v>25</x:v>
      </x:c>
      <x:c r="F104" s="24" t="n">
        <x:f>Subsurface_Inputs!$C$5+Subsurface_Inputs!$C$6*SIN(2*PI()*(A104+Subsurface_Inputs!$C$7)/Subsurface_Inputs!$C$8)+Subsurface_Inputs!$C$9*COS(2*PI()*A104/Subsurface_Inputs!$C$10)+Subsurface_Inputs!$C$11*(B104-AVERAGE($B$2:$B$242))</x:f>
        <x:v>1133.9117338896806</x:v>
      </x:c>
      <x:c r="G104" s="24" t="n">
        <x:f>B104-F104</x:f>
        <x:v>-653.2934482144626</x:v>
      </x:c>
      <x:c r="H104" s="24" t="n">
        <x:f>MIN(1,MAX(0,Subsurface_Inputs!$C$13*EXP(-0.5*((A104-Subsurface_Inputs!$C$14)/Subsurface_Inputs!$C$15)^2)+Subsurface_Inputs!$C$16*EXP(-0.5*((A104-Subsurface_Inputs!$C$17)/Subsurface_Inputs!$C$18)^2)))</x:f>
        <x:v>0.30842467967697906</x:v>
      </x:c>
      <x:c r="I104" s="24" t="n">
        <x:f>Subsurface_Inputs!$C$19+Subsurface_Inputs!$C$20*SIN(2*PI()*(A104-Subsurface_Inputs!$C$21)/Subsurface_Inputs!$C$22)-Subsurface_Inputs!$C$23*H104</x:f>
        <x:v>4551.476196309719</x:v>
      </x:c>
      <x:c r="J104" s="24" t="n">
        <x:f>B104-I104</x:f>
        <x:v>-4070.857910634501</x:v>
      </x:c>
      <x:c r="K104" s="24" t="n">
        <x:f>Subsurface_Inputs!$C$25+Subsurface_Inputs!$C$26*SIN(2*PI()*(A104+Subsurface_Inputs!$C$27)/Subsurface_Inputs!$C$28)+Subsurface_Inputs!$C$29*COS(2*PI()*(A104-Subsurface_Inputs!$C$30)/Subsurface_Inputs!$C$31)-Subsurface_Inputs!$C$32*(B104-AVERAGE($B$2:$B$242))</x:f>
        <x:v>15467.420577548042</x:v>
      </x:c>
      <x:c r="L104" s="24" t="n">
        <x:f>B104-K104</x:f>
        <x:v>-14986.802291872824</x:v>
      </x:c>
      <x:c r="M104" s="24" t="n">
        <x:f>2*Subsurface_Inputs!$C$34*F104/Subsurface_Inputs!$C$35*1000000</x:f>
        <x:v>13.465067799161456</x:v>
      </x:c>
      <x:c r="N104" s="24" t="n">
        <x:f>2*Subsurface_Inputs!$C$34*I104/Subsurface_Inputs!$C$35*1000000</x:f>
        <x:v>54.04824179687202</x:v>
      </x:c>
      <x:c r="O104" s="24" t="n">
        <x:f>2*Subsurface_Inputs!$C$34*K104/Subsurface_Inputs!$C$35*1000000</x:f>
        <x:v>183.67379093996766</x:v>
      </x:c>
      <x:c r="P104" s="24" t="n">
        <x:f>Subsurface_Inputs!$C$37-2*Subsurface_Inputs!$C$36*(F104/1000)</x:f>
        <x:v>-12.041041121001426</x:v>
      </x:c>
      <x:c r="Q104" s="24" t="n">
        <x:f>Subsurface_Inputs!$C$38+Subsurface_Inputs!$C$39*H104-2*Subsurface_Inputs!$C$36*(I104/1000)</x:f>
        <x:v>-29.416835036264683</x:v>
      </x:c>
      <x:c r="R104" s="24" t="n">
        <x:f>Subsurface_Inputs!$C$40-2*Subsurface_Inputs!$C$36*(K104/1000)-Subsurface_Inputs!$C$41*ABS(L104-AVERAGE($L$2:$L$242))</x:f>
        <x:v>-34.7407356931064</x:v>
      </x:c>
      <x:c r="S104" s="24" t="n">
        <x:f>K104-AVERAGE($K$2:$K$242)</x:f>
        <x:v>390.0358819739322</x:v>
      </x:c>
      <x:c r="T104" s="24" t="n">
        <x:f>K104/F104</x:f>
        <x:v>13.640762429091225</x:v>
      </x:c>
      <x:c r="U104" s="25" t="str">
        <x:f>IF(H104&gt;=Subsurface_Inputs!$C$42,"Lens visible","Weak/no lens")</x:f>
        <x:v>Lens visible</x:v>
      </x:c>
      <x:c r="V104" s="25" t="str">
        <x:f>IF(R104&gt;=W104,"Likely visible","Weak")</x:f>
        <x:v>Likely visible</x:v>
      </x:c>
      <x:c r="W104" s="24" t="n">
        <x:f>Subsurface_Inputs!$C$43</x:f>
        <x:v>-45</x:v>
      </x:c>
      <x:c r="X104" s="24" t="n">
        <x:f>Q104-W104</x:f>
        <x:v>15.583164963735317</x:v>
      </x:c>
      <x:c r="Y104" s="24" t="n">
        <x:f>R104-W104</x:f>
        <x:v>10.259264306893598</x:v>
      </x:c>
      <x:c r="Z104" s="24" t="n">
        <x:f>MAX(Q104,R104)-W104</x:f>
        <x:v>15.583164963735317</x:v>
      </x:c>
      <x:c r="AA104" s="24" t="n">
        <x:v>0</x:v>
      </x:c>
    </x:row>
    <x:row r="105">
      <x:c r="A105" s="24" t="n">
        <x:f>Model_Data!A105</x:f>
        <x:v>-8.5</x:v>
      </x:c>
      <x:c r="B105" s="24" t="n">
        <x:f>Model_Data!Y105</x:f>
        <x:v>460.6206107904381</x:v>
      </x:c>
      <x:c r="C105" s="24" t="n">
        <x:f>Model_Data!X105</x:f>
        <x:v>-61.84832289166857</x:v>
      </x:c>
      <x:c r="D105" s="24" t="n">
        <x:f>Model_Data!B105</x:f>
        <x:v>400.0802777777778</x:v>
      </x:c>
      <x:c r="E105" s="24" t="n">
        <x:f>Inputs!$C$6</x:f>
        <x:v>25</x:v>
      </x:c>
      <x:c r="F105" s="24" t="n">
        <x:f>Subsurface_Inputs!$C$5+Subsurface_Inputs!$C$6*SIN(2*PI()*(A105+Subsurface_Inputs!$C$7)/Subsurface_Inputs!$C$8)+Subsurface_Inputs!$C$9*COS(2*PI()*A105/Subsurface_Inputs!$C$10)+Subsurface_Inputs!$C$11*(B105-AVERAGE($B$2:$B$242))</x:f>
        <x:v>1150.4579025882579</x:v>
      </x:c>
      <x:c r="G105" s="24" t="n">
        <x:f>B105-F105</x:f>
        <x:v>-689.8372917978197</x:v>
      </x:c>
      <x:c r="H105" s="24" t="n">
        <x:f>MIN(1,MAX(0,Subsurface_Inputs!$C$13*EXP(-0.5*((A105-Subsurface_Inputs!$C$14)/Subsurface_Inputs!$C$15)^2)+Subsurface_Inputs!$C$16*EXP(-0.5*((A105-Subsurface_Inputs!$C$17)/Subsurface_Inputs!$C$18)^2)))</x:f>
        <x:v>0.28578360200652886</x:v>
      </x:c>
      <x:c r="I105" s="24" t="n">
        <x:f>Subsurface_Inputs!$C$19+Subsurface_Inputs!$C$20*SIN(2*PI()*(A105-Subsurface_Inputs!$C$21)/Subsurface_Inputs!$C$22)-Subsurface_Inputs!$C$23*H105</x:f>
        <x:v>4565.405845898684</x:v>
      </x:c>
      <x:c r="J105" s="24" t="n">
        <x:f>B105-I105</x:f>
        <x:v>-4104.785235108246</x:v>
      </x:c>
      <x:c r="K105" s="24" t="n">
        <x:f>Subsurface_Inputs!$C$25+Subsurface_Inputs!$C$26*SIN(2*PI()*(A105+Subsurface_Inputs!$C$27)/Subsurface_Inputs!$C$28)+Subsurface_Inputs!$C$29*COS(2*PI()*(A105-Subsurface_Inputs!$C$30)/Subsurface_Inputs!$C$31)-Subsurface_Inputs!$C$32*(B105-AVERAGE($B$2:$B$242))</x:f>
        <x:v>15499.09132522038</x:v>
      </x:c>
      <x:c r="L105" s="24" t="n">
        <x:f>B105-K105</x:f>
        <x:v>-15038.470714429943</x:v>
      </x:c>
      <x:c r="M105" s="24" t="n">
        <x:f>2*Subsurface_Inputs!$C$34*F105/Subsurface_Inputs!$C$35*1000000</x:f>
        <x:v>13.661551596518809</x:v>
      </x:c>
      <x:c r="N105" s="24" t="n">
        <x:f>2*Subsurface_Inputs!$C$34*I105/Subsurface_Inputs!$C$35*1000000</x:f>
        <x:v>54.21365473910393</x:v>
      </x:c>
      <x:c r="O105" s="24" t="n">
        <x:f>2*Subsurface_Inputs!$C$34*K105/Subsurface_Inputs!$C$35*1000000</x:f>
        <x:v>184.0498773247476</x:v>
      </x:c>
      <x:c r="P105" s="24" t="n">
        <x:f>Subsurface_Inputs!$C$37-2*Subsurface_Inputs!$C$36*(F105/1000)</x:f>
        <x:v>-12.070824224658864</x:v>
      </x:c>
      <x:c r="Q105" s="24" t="n">
        <x:f>Subsurface_Inputs!$C$38+Subsurface_Inputs!$C$39*H105-2*Subsurface_Inputs!$C$36*(I105/1000)</x:f>
        <x:v>-29.64567810455887</x:v>
      </x:c>
      <x:c r="R105" s="24" t="n">
        <x:f>Subsurface_Inputs!$C$40-2*Subsurface_Inputs!$C$36*(K105/1000)-Subsurface_Inputs!$C$41*ABS(L105-AVERAGE($L$2:$L$242))</x:f>
        <x:v>-35.00441672914509</x:v>
      </x:c>
      <x:c r="S105" s="24" t="n">
        <x:f>K105-AVERAGE($K$2:$K$242)</x:f>
        <x:v>421.7066296462708</x:v>
      </x:c>
      <x:c r="T105" s="24" t="n">
        <x:f>K105/F105</x:f>
        <x:v>13.47210644592131</x:v>
      </x:c>
      <x:c r="U105" s="25" t="str">
        <x:f>IF(H105&gt;=Subsurface_Inputs!$C$42,"Lens visible","Weak/no lens")</x:f>
        <x:v>Lens visible</x:v>
      </x:c>
      <x:c r="V105" s="25" t="str">
        <x:f>IF(R105&gt;=W105,"Likely visible","Weak")</x:f>
        <x:v>Likely visible</x:v>
      </x:c>
      <x:c r="W105" s="24" t="n">
        <x:f>Subsurface_Inputs!$C$43</x:f>
        <x:v>-45</x:v>
      </x:c>
      <x:c r="X105" s="24" t="n">
        <x:f>Q105-W105</x:f>
        <x:v>15.354321895441132</x:v>
      </x:c>
      <x:c r="Y105" s="24" t="n">
        <x:f>R105-W105</x:f>
        <x:v>9.995583270854908</x:v>
      </x:c>
      <x:c r="Z105" s="24" t="n">
        <x:f>MAX(Q105,R105)-W105</x:f>
        <x:v>15.354321895441132</x:v>
      </x:c>
      <x:c r="AA105" s="24" t="n">
        <x:v>0</x:v>
      </x:c>
    </x:row>
    <x:row r="106">
      <x:c r="A106" s="24" t="n">
        <x:f>Model_Data!A106</x:f>
        <x:v>-8</x:v>
      </x:c>
      <x:c r="B106" s="24" t="n">
        <x:f>Model_Data!Y106</x:f>
        <x:v>475.6659223963138</x:v>
      </x:c>
      <x:c r="C106" s="24" t="n">
        <x:f>Model_Data!X106</x:f>
        <x:v>-39.34099577037003</x:v>
      </x:c>
      <x:c r="D106" s="24" t="n">
        <x:f>Model_Data!B106</x:f>
        <x:v>400.0711111111111</x:v>
      </x:c>
      <x:c r="E106" s="24" t="n">
        <x:f>Inputs!$C$6</x:f>
        <x:v>25</x:v>
      </x:c>
      <x:c r="F106" s="24" t="n">
        <x:f>Subsurface_Inputs!$C$5+Subsurface_Inputs!$C$6*SIN(2*PI()*(A106+Subsurface_Inputs!$C$7)/Subsurface_Inputs!$C$8)+Subsurface_Inputs!$C$9*COS(2*PI()*A106/Subsurface_Inputs!$C$10)+Subsurface_Inputs!$C$11*(B106-AVERAGE($B$2:$B$242))</x:f>
        <x:v>1168.9695627914543</x:v>
      </x:c>
      <x:c r="G106" s="24" t="n">
        <x:f>B106-F106</x:f>
        <x:v>-693.3036403951405</x:v>
      </x:c>
      <x:c r="H106" s="24" t="n">
        <x:f>MIN(1,MAX(0,Subsurface_Inputs!$C$13*EXP(-0.5*((A106-Subsurface_Inputs!$C$14)/Subsurface_Inputs!$C$15)^2)+Subsurface_Inputs!$C$16*EXP(-0.5*((A106-Subsurface_Inputs!$C$17)/Subsurface_Inputs!$C$18)^2)))</x:f>
        <x:v>0.2641442604041583</x:v>
      </x:c>
      <x:c r="I106" s="24" t="n">
        <x:f>Subsurface_Inputs!$C$19+Subsurface_Inputs!$C$20*SIN(2*PI()*(A106-Subsurface_Inputs!$C$21)/Subsurface_Inputs!$C$22)-Subsurface_Inputs!$C$23*H106</x:f>
        <x:v>4579.779007029312</x:v>
      </x:c>
      <x:c r="J106" s="24" t="n">
        <x:f>B106-I106</x:f>
        <x:v>-4104.113084632998</x:v>
      </x:c>
      <x:c r="K106" s="24" t="n">
        <x:f>Subsurface_Inputs!$C$25+Subsurface_Inputs!$C$26*SIN(2*PI()*(A106+Subsurface_Inputs!$C$27)/Subsurface_Inputs!$C$28)+Subsurface_Inputs!$C$29*COS(2*PI()*(A106-Subsurface_Inputs!$C$30)/Subsurface_Inputs!$C$31)-Subsurface_Inputs!$C$32*(B106-AVERAGE($B$2:$B$242))</x:f>
        <x:v>15525.64240190194</x:v>
      </x:c>
      <x:c r="L106" s="24" t="n">
        <x:f>B106-K106</x:f>
        <x:v>-15049.976479505625</x:v>
      </x:c>
      <x:c r="M106" s="24" t="n">
        <x:f>2*Subsurface_Inputs!$C$34*F106/Subsurface_Inputs!$C$35*1000000</x:f>
        <x:v>13.881375373150906</x:v>
      </x:c>
      <x:c r="N106" s="24" t="n">
        <x:f>2*Subsurface_Inputs!$C$34*I106/Subsurface_Inputs!$C$35*1000000</x:f>
        <x:v>54.384334328465165</x:v>
      </x:c>
      <x:c r="O106" s="24" t="n">
        <x:f>2*Subsurface_Inputs!$C$34*K106/Subsurface_Inputs!$C$35*1000000</x:f>
        <x:v>184.36516822171325</x:v>
      </x:c>
      <x:c r="P106" s="24" t="n">
        <x:f>Subsurface_Inputs!$C$37-2*Subsurface_Inputs!$C$36*(F106/1000)</x:f>
        <x:v>-12.104145213024617</x:v>
      </x:c>
      <x:c r="Q106" s="24" t="n">
        <x:f>Subsurface_Inputs!$C$38+Subsurface_Inputs!$C$39*H106-2*Subsurface_Inputs!$C$36*(I106/1000)</x:f>
        <x:v>-29.86630386901534</x:v>
      </x:c>
      <x:c r="R106" s="24" t="n">
        <x:f>Subsurface_Inputs!$C$40-2*Subsurface_Inputs!$C$36*(K106/1000)-Subsurface_Inputs!$C$41*ABS(L106-AVERAGE($L$2:$L$242))</x:f>
        <x:v>-35.09823172747463</x:v>
      </x:c>
      <x:c r="S106" s="24" t="n">
        <x:f>K106-AVERAGE($K$2:$K$242)</x:f>
        <x:v>448.2577063278295</x:v>
      </x:c>
      <x:c r="T106" s="24" t="n">
        <x:f>K106/F106</x:f>
        <x:v>13.281477034207207</x:v>
      </x:c>
      <x:c r="U106" s="25" t="str">
        <x:f>IF(H106&gt;=Subsurface_Inputs!$C$42,"Lens visible","Weak/no lens")</x:f>
        <x:v>Lens visible</x:v>
      </x:c>
      <x:c r="V106" s="25" t="str">
        <x:f>IF(R106&gt;=W106,"Likely visible","Weak")</x:f>
        <x:v>Likely visible</x:v>
      </x:c>
      <x:c r="W106" s="24" t="n">
        <x:f>Subsurface_Inputs!$C$43</x:f>
        <x:v>-45</x:v>
      </x:c>
      <x:c r="X106" s="24" t="n">
        <x:f>Q106-W106</x:f>
        <x:v>15.13369613098466</x:v>
      </x:c>
      <x:c r="Y106" s="24" t="n">
        <x:f>R106-W106</x:f>
        <x:v>9.901768272525374</x:v>
      </x:c>
      <x:c r="Z106" s="24" t="n">
        <x:f>MAX(Q106,R106)-W106</x:f>
        <x:v>15.13369613098466</x:v>
      </x:c>
      <x:c r="AA106" s="24" t="n">
        <x:v>0</x:v>
      </x:c>
    </x:row>
    <x:row r="107">
      <x:c r="A107" s="24" t="n">
        <x:f>Model_Data!A107</x:f>
        <x:v>-7.5</x:v>
      </x:c>
      <x:c r="B107" s="24" t="n">
        <x:f>Model_Data!Y107</x:f>
        <x:v>470.2640951439132</x:v>
      </x:c>
      <x:c r="C107" s="24" t="n">
        <x:f>Model_Data!X107</x:f>
        <x:v>-43.22381145165265</x:v>
      </x:c>
      <x:c r="D107" s="24" t="n">
        <x:f>Model_Data!B107</x:f>
        <x:v>400.0625</x:v>
      </x:c>
      <x:c r="E107" s="24" t="n">
        <x:f>Inputs!$C$6</x:f>
        <x:v>25</x:v>
      </x:c>
      <x:c r="F107" s="24" t="n">
        <x:f>Subsurface_Inputs!$C$5+Subsurface_Inputs!$C$6*SIN(2*PI()*(A107+Subsurface_Inputs!$C$7)/Subsurface_Inputs!$C$8)+Subsurface_Inputs!$C$9*COS(2*PI()*A107/Subsurface_Inputs!$C$10)+Subsurface_Inputs!$C$11*(B107-AVERAGE($B$2:$B$242))</x:f>
        <x:v>1187.0441427572598</x:v>
      </x:c>
      <x:c r="G107" s="24" t="n">
        <x:f>B107-F107</x:f>
        <x:v>-716.7800476133466</x:v>
      </x:c>
      <x:c r="H107" s="24" t="n">
        <x:f>MIN(1,MAX(0,Subsurface_Inputs!$C$13*EXP(-0.5*((A107-Subsurface_Inputs!$C$14)/Subsurface_Inputs!$C$15)^2)+Subsurface_Inputs!$C$16*EXP(-0.5*((A107-Subsurface_Inputs!$C$17)/Subsurface_Inputs!$C$18)^2)))</x:f>
        <x:v>0.24353499597302528</x:v>
      </x:c>
      <x:c r="I107" s="24" t="n">
        <x:f>Subsurface_Inputs!$C$19+Subsurface_Inputs!$C$20*SIN(2*PI()*(A107-Subsurface_Inputs!$C$21)/Subsurface_Inputs!$C$22)-Subsurface_Inputs!$C$23*H107</x:f>
        <x:v>4594.57540533313</x:v>
      </x:c>
      <x:c r="J107" s="24" t="n">
        <x:f>B107-I107</x:f>
        <x:v>-4124.311310189217</x:v>
      </x:c>
      <x:c r="K107" s="24" t="n">
        <x:f>Subsurface_Inputs!$C$25+Subsurface_Inputs!$C$26*SIN(2*PI()*(A107+Subsurface_Inputs!$C$27)/Subsurface_Inputs!$C$28)+Subsurface_Inputs!$C$29*COS(2*PI()*(A107-Subsurface_Inputs!$C$30)/Subsurface_Inputs!$C$31)-Subsurface_Inputs!$C$32*(B107-AVERAGE($B$2:$B$242))</x:f>
        <x:v>15554.79313941637</x:v>
      </x:c>
      <x:c r="L107" s="24" t="n">
        <x:f>B107-K107</x:f>
        <x:v>-15084.529044272456</x:v>
      </x:c>
      <x:c r="M107" s="24" t="n">
        <x:f>2*Subsurface_Inputs!$C$34*F107/Subsurface_Inputs!$C$35*1000000</x:f>
        <x:v>14.096008873631655</x:v>
      </x:c>
      <x:c r="N107" s="24" t="n">
        <x:f>2*Subsurface_Inputs!$C$34*I107/Subsurface_Inputs!$C$35*1000000</x:f>
        <x:v>54.56003980922677</x:v>
      </x:c>
      <x:c r="O107" s="24" t="n">
        <x:f>2*Subsurface_Inputs!$C$34*K107/Subsurface_Inputs!$C$35*1000000</x:f>
        <x:v>184.71132978376085</x:v>
      </x:c>
      <x:c r="P107" s="24" t="n">
        <x:f>Subsurface_Inputs!$C$37-2*Subsurface_Inputs!$C$36*(F107/1000)</x:f>
        <x:v>-12.136679456963067</x:v>
      </x:c>
      <x:c r="Q107" s="24" t="n">
        <x:f>Subsurface_Inputs!$C$38+Subsurface_Inputs!$C$39*H107-2*Subsurface_Inputs!$C$36*(I107/1000)</x:f>
        <x:v>-30.07842076584241</x:v>
      </x:c>
      <x:c r="R107" s="24" t="n">
        <x:f>Subsurface_Inputs!$C$40-2*Subsurface_Inputs!$C$36*(K107/1000)-Subsurface_Inputs!$C$41*ABS(L107-AVERAGE($L$2:$L$242))</x:f>
        <x:v>-35.28891331406792</x:v>
      </x:c>
      <x:c r="S107" s="24" t="n">
        <x:f>K107-AVERAGE($K$2:$K$242)</x:f>
        <x:v>477.40844384225966</x:v>
      </x:c>
      <x:c r="T107" s="24" t="n">
        <x:f>K107/F107</x:f>
        <x:v>13.103803455266439</x:v>
      </x:c>
      <x:c r="U107" s="25" t="str">
        <x:f>IF(H107&gt;=Subsurface_Inputs!$C$42,"Lens visible","Weak/no lens")</x:f>
        <x:v>Lens visible</x:v>
      </x:c>
      <x:c r="V107" s="25" t="str">
        <x:f>IF(R107&gt;=W107,"Likely visible","Weak")</x:f>
        <x:v>Likely visible</x:v>
      </x:c>
      <x:c r="W107" s="24" t="n">
        <x:f>Subsurface_Inputs!$C$43</x:f>
        <x:v>-45</x:v>
      </x:c>
      <x:c r="X107" s="24" t="n">
        <x:f>Q107-W107</x:f>
        <x:v>14.92157923415759</x:v>
      </x:c>
      <x:c r="Y107" s="24" t="n">
        <x:f>R107-W107</x:f>
        <x:v>9.71108668593208</x:v>
      </x:c>
      <x:c r="Z107" s="24" t="n">
        <x:f>MAX(Q107,R107)-W107</x:f>
        <x:v>14.92157923415759</x:v>
      </x:c>
      <x:c r="AA107" s="24" t="n">
        <x:v>0</x:v>
      </x:c>
    </x:row>
    <x:row r="108">
      <x:c r="A108" s="24" t="n">
        <x:f>Model_Data!A108</x:f>
        <x:v>-7</x:v>
      </x:c>
      <x:c r="B108" s="24" t="n">
        <x:f>Model_Data!Y108</x:f>
        <x:v>442.95708145426426</x:v>
      </x:c>
      <x:c r="C108" s="24" t="n">
        <x:f>Model_Data!X108</x:f>
        <x:v>-48.04634011268098</x:v>
      </x:c>
      <x:c r="D108" s="24" t="n">
        <x:f>Model_Data!B108</x:f>
        <x:v>400.05444444444447</x:v>
      </x:c>
      <x:c r="E108" s="24" t="n">
        <x:f>Inputs!$C$6</x:f>
        <x:v>25</x:v>
      </x:c>
      <x:c r="F108" s="24" t="n">
        <x:f>Subsurface_Inputs!$C$5+Subsurface_Inputs!$C$6*SIN(2*PI()*(A108+Subsurface_Inputs!$C$7)/Subsurface_Inputs!$C$8)+Subsurface_Inputs!$C$9*COS(2*PI()*A108/Subsurface_Inputs!$C$10)+Subsurface_Inputs!$C$11*(B108-AVERAGE($B$2:$B$242))</x:f>
        <x:v>1204.4298221034699</x:v>
      </x:c>
      <x:c r="G108" s="24" t="n">
        <x:f>B108-F108</x:f>
        <x:v>-761.4727406492057</x:v>
      </x:c>
      <x:c r="H108" s="24" t="n">
        <x:f>MIN(1,MAX(0,Subsurface_Inputs!$C$13*EXP(-0.5*((A108-Subsurface_Inputs!$C$14)/Subsurface_Inputs!$C$15)^2)+Subsurface_Inputs!$C$16*EXP(-0.5*((A108-Subsurface_Inputs!$C$17)/Subsurface_Inputs!$C$18)^2)))</x:f>
        <x:v>0.22397462833383863</x:v>
      </x:c>
      <x:c r="I108" s="24" t="n">
        <x:f>Subsurface_Inputs!$C$19+Subsurface_Inputs!$C$20*SIN(2*PI()*(A108-Subsurface_Inputs!$C$21)/Subsurface_Inputs!$C$22)-Subsurface_Inputs!$C$23*H108</x:f>
        <x:v>4609.776067611265</x:v>
      </x:c>
      <x:c r="J108" s="24" t="n">
        <x:f>B108-I108</x:f>
        <x:v>-4166.818986157001</x:v>
      </x:c>
      <x:c r="K108" s="24" t="n">
        <x:f>Subsurface_Inputs!$C$25+Subsurface_Inputs!$C$26*SIN(2*PI()*(A108+Subsurface_Inputs!$C$27)/Subsurface_Inputs!$C$28)+Subsurface_Inputs!$C$29*COS(2*PI()*(A108-Subsurface_Inputs!$C$30)/Subsurface_Inputs!$C$31)-Subsurface_Inputs!$C$32*(B108-AVERAGE($B$2:$B$242))</x:f>
        <x:v>15586.69843418237</x:v>
      </x:c>
      <x:c r="L108" s="24" t="n">
        <x:f>B108-K108</x:f>
        <x:v>-15143.741352728106</x:v>
      </x:c>
      <x:c r="M108" s="24" t="n">
        <x:f>2*Subsurface_Inputs!$C$34*F108/Subsurface_Inputs!$C$35*1000000</x:f>
        <x:v>14.302461760690301</x:v>
      </x:c>
      <x:c r="N108" s="24" t="n">
        <x:f>2*Subsurface_Inputs!$C$34*I108/Subsurface_Inputs!$C$35*1000000</x:f>
        <x:v>54.74054587689495</x:v>
      </x:c>
      <x:c r="O108" s="24" t="n">
        <x:f>2*Subsurface_Inputs!$C$34*K108/Subsurface_Inputs!$C$35*1000000</x:f>
        <x:v>185.09020138755204</x:v>
      </x:c>
      <x:c r="P108" s="24" t="n">
        <x:f>Subsurface_Inputs!$C$37-2*Subsurface_Inputs!$C$36*(F108/1000)</x:f>
        <x:v>-12.167973679786247</x:v>
      </x:c>
      <x:c r="Q108" s="24" t="n">
        <x:f>Subsurface_Inputs!$C$38+Subsurface_Inputs!$C$39*H108-2*Subsurface_Inputs!$C$36*(I108/1000)</x:f>
        <x:v>-30.281825266695726</x:v>
      </x:c>
      <x:c r="R108" s="24" t="n">
        <x:f>Subsurface_Inputs!$C$40-2*Subsurface_Inputs!$C$36*(K108/1000)-Subsurface_Inputs!$C$41*ABS(L108-AVERAGE($L$2:$L$242))</x:f>
        <x:v>-35.583192078469324</x:v>
      </x:c>
      <x:c r="S108" s="24" t="n">
        <x:f>K108-AVERAGE($K$2:$K$242)</x:f>
        <x:v>509.3137386082599</x:v>
      </x:c>
      <x:c r="T108" s="24" t="n">
        <x:f>K108/F108</x:f>
        <x:v>12.94114289445363</x:v>
      </x:c>
      <x:c r="U108" s="25" t="str">
        <x:f>IF(H108&gt;=Subsurface_Inputs!$C$42,"Lens visible","Weak/no lens")</x:f>
        <x:v>Lens visible</x:v>
      </x:c>
      <x:c r="V108" s="25" t="str">
        <x:f>IF(R108&gt;=W108,"Likely visible","Weak")</x:f>
        <x:v>Likely visible</x:v>
      </x:c>
      <x:c r="W108" s="24" t="n">
        <x:f>Subsurface_Inputs!$C$43</x:f>
        <x:v>-45</x:v>
      </x:c>
      <x:c r="X108" s="24" t="n">
        <x:f>Q108-W108</x:f>
        <x:v>14.718174733304274</x:v>
      </x:c>
      <x:c r="Y108" s="24" t="n">
        <x:f>R108-W108</x:f>
        <x:v>9.416807921530676</x:v>
      </x:c>
      <x:c r="Z108" s="24" t="n">
        <x:f>MAX(Q108,R108)-W108</x:f>
        <x:v>14.718174733304274</x:v>
      </x:c>
      <x:c r="AA108" s="24" t="n">
        <x:v>0</x:v>
      </x:c>
    </x:row>
    <x:row r="109">
      <x:c r="A109" s="24" t="n">
        <x:f>Model_Data!A109</x:f>
        <x:v>-6.5</x:v>
      </x:c>
      <x:c r="B109" s="24" t="n">
        <x:f>Model_Data!Y109</x:f>
        <x:v>455.8100478474453</x:v>
      </x:c>
      <x:c r="C109" s="24" t="n">
        <x:f>Model_Data!X109</x:f>
        <x:v>-59.466303655605586</x:v>
      </x:c>
      <x:c r="D109" s="24" t="n">
        <x:f>Model_Data!B109</x:f>
        <x:v>400.0469444444444</x:v>
      </x:c>
      <x:c r="E109" s="24" t="n">
        <x:f>Inputs!$C$6</x:f>
        <x:v>25</x:v>
      </x:c>
      <x:c r="F109" s="24" t="n">
        <x:f>Subsurface_Inputs!$C$5+Subsurface_Inputs!$C$6*SIN(2*PI()*(A109+Subsurface_Inputs!$C$7)/Subsurface_Inputs!$C$8)+Subsurface_Inputs!$C$9*COS(2*PI()*A109/Subsurface_Inputs!$C$10)+Subsurface_Inputs!$C$11*(B109-AVERAGE($B$2:$B$242))</x:f>
        <x:v>1223.407958447489</x:v>
      </x:c>
      <x:c r="G109" s="24" t="n">
        <x:f>B109-F109</x:f>
        <x:v>-767.5979106000436</x:v>
      </x:c>
      <x:c r="H109" s="24" t="n">
        <x:f>MIN(1,MAX(0,Subsurface_Inputs!$C$13*EXP(-0.5*((A109-Subsurface_Inputs!$C$14)/Subsurface_Inputs!$C$15)^2)+Subsurface_Inputs!$C$16*EXP(-0.5*((A109-Subsurface_Inputs!$C$17)/Subsurface_Inputs!$C$18)^2)))</x:f>
        <x:v>0.20547303719226345</x:v>
      </x:c>
      <x:c r="I109" s="24" t="n">
        <x:f>Subsurface_Inputs!$C$19+Subsurface_Inputs!$C$20*SIN(2*PI()*(A109-Subsurface_Inputs!$C$21)/Subsurface_Inputs!$C$22)-Subsurface_Inputs!$C$23*H109</x:f>
        <x:v>4625.363203475164</x:v>
      </x:c>
      <x:c r="J109" s="24" t="n">
        <x:f>B109-I109</x:f>
        <x:v>-4169.553155627718</x:v>
      </x:c>
      <x:c r="K109" s="24" t="n">
        <x:f>Subsurface_Inputs!$C$25+Subsurface_Inputs!$C$26*SIN(2*PI()*(A109+Subsurface_Inputs!$C$27)/Subsurface_Inputs!$C$28)+Subsurface_Inputs!$C$29*COS(2*PI()*(A109-Subsurface_Inputs!$C$30)/Subsurface_Inputs!$C$31)-Subsurface_Inputs!$C$32*(B109-AVERAGE($B$2:$B$242))</x:f>
        <x:v>15612.620101689698</x:v>
      </x:c>
      <x:c r="L109" s="24" t="n">
        <x:f>B109-K109</x:f>
        <x:v>-15156.810053842251</x:v>
      </x:c>
      <x:c r="M109" s="24" t="n">
        <x:f>2*Subsurface_Inputs!$C$34*F109/Subsurface_Inputs!$C$35*1000000</x:f>
        <x:v>14.52782488635208</x:v>
      </x:c>
      <x:c r="N109" s="24" t="n">
        <x:f>2*Subsurface_Inputs!$C$34*I109/Subsurface_Inputs!$C$35*1000000</x:f>
        <x:v>54.925641272708674</x:v>
      </x:c>
      <x:c r="O109" s="24" t="n">
        <x:f>2*Subsurface_Inputs!$C$34*K109/Subsurface_Inputs!$C$35*1000000</x:f>
        <x:v>185.39801812497672</x:v>
      </x:c>
      <x:c r="P109" s="24" t="n">
        <x:f>Subsurface_Inputs!$C$37-2*Subsurface_Inputs!$C$36*(F109/1000)</x:f>
        <x:v>-12.20213432520548</x:v>
      </x:c>
      <x:c r="Q109" s="24" t="n">
        <x:f>Subsurface_Inputs!$C$38+Subsurface_Inputs!$C$39*H109-2*Subsurface_Inputs!$C$36*(I109/1000)</x:f>
        <x:v>-30.476396431524925</x:v>
      </x:c>
      <x:c r="R109" s="24" t="n">
        <x:f>Subsurface_Inputs!$C$40-2*Subsurface_Inputs!$C$36*(K109/1000)-Subsurface_Inputs!$C$41*ABS(L109-AVERAGE($L$2:$L$242))</x:f>
        <x:v>-35.682125884439095</x:v>
      </x:c>
      <x:c r="S109" s="24" t="n">
        <x:f>K109-AVERAGE($K$2:$K$242)</x:f>
        <x:v>535.2354061155875</x:v>
      </x:c>
      <x:c r="T109" s="24" t="n">
        <x:f>K109/F109</x:f>
        <x:v>12.76158128111427</x:v>
      </x:c>
      <x:c r="U109" s="25" t="str">
        <x:f>IF(H109&gt;=Subsurface_Inputs!$C$42,"Lens visible","Weak/no lens")</x:f>
        <x:v>Lens visible</x:v>
      </x:c>
      <x:c r="V109" s="25" t="str">
        <x:f>IF(R109&gt;=W109,"Likely visible","Weak")</x:f>
        <x:v>Likely visible</x:v>
      </x:c>
      <x:c r="W109" s="24" t="n">
        <x:f>Subsurface_Inputs!$C$43</x:f>
        <x:v>-45</x:v>
      </x:c>
      <x:c r="X109" s="24" t="n">
        <x:f>Q109-W109</x:f>
        <x:v>14.523603568475075</x:v>
      </x:c>
      <x:c r="Y109" s="24" t="n">
        <x:f>R109-W109</x:f>
        <x:v>9.317874115560905</x:v>
      </x:c>
      <x:c r="Z109" s="24" t="n">
        <x:f>MAX(Q109,R109)-W109</x:f>
        <x:v>14.523603568475075</x:v>
      </x:c>
      <x:c r="AA109" s="24" t="n">
        <x:v>0</x:v>
      </x:c>
    </x:row>
    <x:row r="110">
      <x:c r="A110" s="24" t="n">
        <x:f>Model_Data!A110</x:f>
        <x:v>-6</x:v>
      </x:c>
      <x:c r="B110" s="24" t="n">
        <x:f>Model_Data!Y110</x:f>
        <x:v>447.7534427220802</x:v>
      </x:c>
      <x:c r="C110" s="24" t="n">
        <x:f>Model_Data!X110</x:f>
        <x:v>-61.0986453608147</x:v>
      </x:c>
      <x:c r="D110" s="24" t="n">
        <x:f>Model_Data!B110</x:f>
        <x:v>400.04</x:v>
      </x:c>
      <x:c r="E110" s="24" t="n">
        <x:f>Inputs!$C$6</x:f>
        <x:v>25</x:v>
      </x:c>
      <x:c r="F110" s="24" t="n">
        <x:f>Subsurface_Inputs!$C$5+Subsurface_Inputs!$C$6*SIN(2*PI()*(A110+Subsurface_Inputs!$C$7)/Subsurface_Inputs!$C$8)+Subsurface_Inputs!$C$9*COS(2*PI()*A110/Subsurface_Inputs!$C$10)+Subsurface_Inputs!$C$11*(B110-AVERAGE($B$2:$B$242))</x:f>
        <x:v>1241.3297195139314</x:v>
      </x:c>
      <x:c r="G110" s="24" t="n">
        <x:f>B110-F110</x:f>
        <x:v>-793.5762767918512</x:v>
      </x:c>
      <x:c r="H110" s="24" t="n">
        <x:f>MIN(1,MAX(0,Subsurface_Inputs!$C$13*EXP(-0.5*((A110-Subsurface_Inputs!$C$14)/Subsurface_Inputs!$C$15)^2)+Subsurface_Inputs!$C$16*EXP(-0.5*((A110-Subsurface_Inputs!$C$17)/Subsurface_Inputs!$C$18)^2)))</x:f>
        <x:v>0.188031809837609</x:v>
      </x:c>
      <x:c r="I110" s="24" t="n">
        <x:f>Subsurface_Inputs!$C$19+Subsurface_Inputs!$C$20*SIN(2*PI()*(A110-Subsurface_Inputs!$C$21)/Subsurface_Inputs!$C$22)-Subsurface_Inputs!$C$23*H110</x:f>
        <x:v>4641.320072576792</x:v>
      </x:c>
      <x:c r="J110" s="24" t="n">
        <x:f>B110-I110</x:f>
        <x:v>-4193.566629854712</x:v>
      </x:c>
      <x:c r="K110" s="24" t="n">
        <x:f>Subsurface_Inputs!$C$25+Subsurface_Inputs!$C$26*SIN(2*PI()*(A110+Subsurface_Inputs!$C$27)/Subsurface_Inputs!$C$28)+Subsurface_Inputs!$C$29*COS(2*PI()*(A110-Subsurface_Inputs!$C$30)/Subsurface_Inputs!$C$31)-Subsurface_Inputs!$C$32*(B110-AVERAGE($B$2:$B$242))</x:f>
        <x:v>15641.05910048063</x:v>
      </x:c>
      <x:c r="L110" s="24" t="n">
        <x:f>B110-K110</x:f>
        <x:v>-15193.30565775855</x:v>
      </x:c>
      <x:c r="M110" s="24" t="n">
        <x:f>2*Subsurface_Inputs!$C$34*F110/Subsurface_Inputs!$C$35*1000000</x:f>
        <x:v>14.740643680467757</x:v>
      </x:c>
      <x:c r="N110" s="24" t="n">
        <x:f>2*Subsurface_Inputs!$C$34*I110/Subsurface_Inputs!$C$35*1000000</x:f>
        <x:v>55.11512720701393</x:v>
      </x:c>
      <x:c r="O110" s="24" t="n">
        <x:f>2*Subsurface_Inputs!$C$34*K110/Subsurface_Inputs!$C$35*1000000</x:f>
        <x:v>185.7357278738181</x:v>
      </x:c>
      <x:c r="P110" s="24" t="n">
        <x:f>Subsurface_Inputs!$C$37-2*Subsurface_Inputs!$C$36*(F110/1000)</x:f>
        <x:v>-12.234393495125076</x:v>
      </x:c>
      <x:c r="Q110" s="24" t="n">
        <x:f>Subsurface_Inputs!$C$38+Subsurface_Inputs!$C$39*H110-2*Subsurface_Inputs!$C$36*(I110/1000)</x:f>
        <x:v>-30.662089842099746</x:v>
      </x:c>
      <x:c r="R110" s="24" t="n">
        <x:f>Subsurface_Inputs!$C$40-2*Subsurface_Inputs!$C$36*(K110/1000)-Subsurface_Inputs!$C$41*ABS(L110-AVERAGE($L$2:$L$242))</x:f>
        <x:v>-35.87929849792797</x:v>
      </x:c>
      <x:c r="S110" s="24" t="n">
        <x:f>K110-AVERAGE($K$2:$K$242)</x:f>
        <x:v>563.6744049065201</x:v>
      </x:c>
      <x:c r="T110" s="24" t="n">
        <x:f>K110/F110</x:f>
        <x:v>12.600245409902225</x:v>
      </x:c>
      <x:c r="U110" s="25" t="str">
        <x:f>IF(H110&gt;=Subsurface_Inputs!$C$42,"Lens visible","Weak/no lens")</x:f>
        <x:v>Lens visible</x:v>
      </x:c>
      <x:c r="V110" s="25" t="str">
        <x:f>IF(R110&gt;=W110,"Likely visible","Weak")</x:f>
        <x:v>Likely visible</x:v>
      </x:c>
      <x:c r="W110" s="24" t="n">
        <x:f>Subsurface_Inputs!$C$43</x:f>
        <x:v>-45</x:v>
      </x:c>
      <x:c r="X110" s="24" t="n">
        <x:f>Q110-W110</x:f>
        <x:v>14.337910157900254</x:v>
      </x:c>
      <x:c r="Y110" s="24" t="n">
        <x:f>R110-W110</x:f>
        <x:v>9.12070150207203</x:v>
      </x:c>
      <x:c r="Z110" s="24" t="n">
        <x:f>MAX(Q110,R110)-W110</x:f>
        <x:v>14.337910157900254</x:v>
      </x:c>
      <x:c r="AA110" s="24" t="n">
        <x:v>0</x:v>
      </x:c>
    </x:row>
    <x:row r="111">
      <x:c r="A111" s="24" t="n">
        <x:f>Model_Data!A111</x:f>
        <x:v>-5.5</x:v>
      </x:c>
      <x:c r="B111" s="24" t="n">
        <x:f>Model_Data!Y111</x:f>
        <x:v>437.23203216912464</x:v>
      </x:c>
      <x:c r="C111" s="24" t="n">
        <x:f>Model_Data!X111</x:f>
        <x:v>-63.59054434613801</x:v>
      </x:c>
      <x:c r="D111" s="24" t="n">
        <x:f>Model_Data!B111</x:f>
        <x:v>400.0336111111111</x:v>
      </x:c>
      <x:c r="E111" s="24" t="n">
        <x:f>Inputs!$C$6</x:f>
        <x:v>25</x:v>
      </x:c>
      <x:c r="F111" s="24" t="n">
        <x:f>Subsurface_Inputs!$C$5+Subsurface_Inputs!$C$6*SIN(2*PI()*(A111+Subsurface_Inputs!$C$7)/Subsurface_Inputs!$C$8)+Subsurface_Inputs!$C$9*COS(2*PI()*A111/Subsurface_Inputs!$C$10)+Subsurface_Inputs!$C$11*(B111-AVERAGE($B$2:$B$242))</x:f>
        <x:v>1258.7251117027918</x:v>
      </x:c>
      <x:c r="G111" s="24" t="n">
        <x:f>B111-F111</x:f>
        <x:v>-821.4930795336671</x:v>
      </x:c>
      <x:c r="H111" s="24" t="n">
        <x:f>MIN(1,MAX(0,Subsurface_Inputs!$C$13*EXP(-0.5*((A111-Subsurface_Inputs!$C$14)/Subsurface_Inputs!$C$15)^2)+Subsurface_Inputs!$C$16*EXP(-0.5*((A111-Subsurface_Inputs!$C$17)/Subsurface_Inputs!$C$18)^2)))</x:f>
        <x:v>0.17164494106807282</x:v>
      </x:c>
      <x:c r="I111" s="24" t="n">
        <x:f>Subsurface_Inputs!$C$19+Subsurface_Inputs!$C$20*SIN(2*PI()*(A111-Subsurface_Inputs!$C$21)/Subsurface_Inputs!$C$22)-Subsurface_Inputs!$C$23*H111</x:f>
        <x:v>4657.630840636252</x:v>
      </x:c>
      <x:c r="J111" s="24" t="n">
        <x:f>B111-I111</x:f>
        <x:v>-4220.398808467127</x:v>
      </x:c>
      <x:c r="K111" s="24" t="n">
        <x:f>Subsurface_Inputs!$C$25+Subsurface_Inputs!$C$26*SIN(2*PI()*(A111+Subsurface_Inputs!$C$27)/Subsurface_Inputs!$C$28)+Subsurface_Inputs!$C$29*COS(2*PI()*(A111-Subsurface_Inputs!$C$30)/Subsurface_Inputs!$C$31)-Subsurface_Inputs!$C$32*(B111-AVERAGE($B$2:$B$242))</x:f>
        <x:v>15669.38478023053</x:v>
      </x:c>
      <x:c r="L111" s="24" t="n">
        <x:f>B111-K111</x:f>
        <x:v>-15232.152748061406</x:v>
      </x:c>
      <x:c r="M111" s="24" t="n">
        <x:f>2*Subsurface_Inputs!$C$34*F111/Subsurface_Inputs!$C$35*1000000</x:f>
        <x:v>14.947211906384712</x:v>
      </x:c>
      <x:c r="N111" s="24" t="n">
        <x:f>2*Subsurface_Inputs!$C$34*I111/Subsurface_Inputs!$C$35*1000000</x:f>
        <x:v>55.3088156496087</x:v>
      </x:c>
      <x:c r="O111" s="24" t="n">
        <x:f>2*Subsurface_Inputs!$C$34*K111/Subsurface_Inputs!$C$35*1000000</x:f>
        <x:v>186.0720919724428</x:v>
      </x:c>
      <x:c r="P111" s="24" t="n">
        <x:f>Subsurface_Inputs!$C$37-2*Subsurface_Inputs!$C$36*(F111/1000)</x:f>
        <x:v>-12.265705201065025</x:v>
      </x:c>
      <x:c r="Q111" s="24" t="n">
        <x:f>Subsurface_Inputs!$C$38+Subsurface_Inputs!$C$39*H111-2*Subsurface_Inputs!$C$36*(I111/1000)</x:f>
        <x:v>-30.838931043532597</x:v>
      </x:c>
      <x:c r="R111" s="24" t="n">
        <x:f>Subsurface_Inputs!$C$40-2*Subsurface_Inputs!$C$36*(K111/1000)-Subsurface_Inputs!$C$41*ABS(L111-AVERAGE($L$2:$L$242))</x:f>
        <x:v>-36.085673082689205</x:v>
      </x:c>
      <x:c r="S111" s="24" t="n">
        <x:f>K111-AVERAGE($K$2:$K$242)</x:f>
        <x:v>592.0000846564199</x:v>
      </x:c>
      <x:c r="T111" s="24" t="n">
        <x:f>K111/F111</x:f>
        <x:v>12.448615376420934</x:v>
      </x:c>
      <x:c r="U111" s="25" t="str">
        <x:f>IF(H111&gt;=Subsurface_Inputs!$C$42,"Lens visible","Weak/no lens")</x:f>
        <x:v>Weak/no lens</x:v>
      </x:c>
      <x:c r="V111" s="25" t="str">
        <x:f>IF(R111&gt;=W111,"Likely visible","Weak")</x:f>
        <x:v>Likely visible</x:v>
      </x:c>
      <x:c r="W111" s="24" t="n">
        <x:f>Subsurface_Inputs!$C$43</x:f>
        <x:v>-45</x:v>
      </x:c>
      <x:c r="X111" s="24" t="n">
        <x:f>Q111-W111</x:f>
        <x:v>14.161068956467403</x:v>
      </x:c>
      <x:c r="Y111" s="24" t="n">
        <x:f>R111-W111</x:f>
        <x:v>8.914326917310795</x:v>
      </x:c>
      <x:c r="Z111" s="24" t="n">
        <x:f>MAX(Q111,R111)-W111</x:f>
        <x:v>14.161068956467403</x:v>
      </x:c>
      <x:c r="AA111" s="24" t="n">
        <x:v>0</x:v>
      </x:c>
    </x:row>
    <x:row r="112">
      <x:c r="A112" s="24" t="n">
        <x:f>Model_Data!A112</x:f>
        <x:v>-5</x:v>
      </x:c>
      <x:c r="B112" s="24" t="n">
        <x:f>Model_Data!Y112</x:f>
        <x:v>426.4950993655156</x:v>
      </x:c>
      <x:c r="C112" s="24" t="n">
        <x:f>Model_Data!X112</x:f>
        <x:v>-73.64560445817172</x:v>
      </x:c>
      <x:c r="D112" s="24" t="n">
        <x:f>Model_Data!B112</x:f>
        <x:v>400.02777777777777</x:v>
      </x:c>
      <x:c r="E112" s="24" t="n">
        <x:f>Inputs!$C$6</x:f>
        <x:v>25</x:v>
      </x:c>
      <x:c r="F112" s="24" t="n">
        <x:f>Subsurface_Inputs!$C$5+Subsurface_Inputs!$C$6*SIN(2*PI()*(A112+Subsurface_Inputs!$C$7)/Subsurface_Inputs!$C$8)+Subsurface_Inputs!$C$9*COS(2*PI()*A112/Subsurface_Inputs!$C$10)+Subsurface_Inputs!$C$11*(B112-AVERAGE($B$2:$B$242))</x:f>
        <x:v>1275.477720117875</x:v>
      </x:c>
      <x:c r="G112" s="24" t="n">
        <x:f>B112-F112</x:f>
        <x:v>-848.9826207523593</x:v>
      </x:c>
      <x:c r="H112" s="24" t="n">
        <x:f>MIN(1,MAX(0,Subsurface_Inputs!$C$13*EXP(-0.5*((A112-Subsurface_Inputs!$C$14)/Subsurface_Inputs!$C$15)^2)+Subsurface_Inputs!$C$16*EXP(-0.5*((A112-Subsurface_Inputs!$C$17)/Subsurface_Inputs!$C$18)^2)))</x:f>
        <x:v>0.15629957245233433</x:v>
      </x:c>
      <x:c r="I112" s="24" t="n">
        <x:f>Subsurface_Inputs!$C$19+Subsurface_Inputs!$C$20*SIN(2*PI()*(A112-Subsurface_Inputs!$C$21)/Subsurface_Inputs!$C$22)-Subsurface_Inputs!$C$23*H112</x:f>
        <x:v>4674.280427373219</x:v>
      </x:c>
      <x:c r="J112" s="24" t="n">
        <x:f>B112-I112</x:f>
        <x:v>-4247.785328007703</x:v>
      </x:c>
      <x:c r="K112" s="24" t="n">
        <x:f>Subsurface_Inputs!$C$25+Subsurface_Inputs!$C$26*SIN(2*PI()*(A112+Subsurface_Inputs!$C$27)/Subsurface_Inputs!$C$28)+Subsurface_Inputs!$C$29*COS(2*PI()*(A112-Subsurface_Inputs!$C$30)/Subsurface_Inputs!$C$31)-Subsurface_Inputs!$C$32*(B112-AVERAGE($B$2:$B$242))</x:f>
        <x:v>15697.234366267416</x:v>
      </x:c>
      <x:c r="L112" s="24" t="n">
        <x:f>B112-K112</x:f>
        <x:v>-15270.739266901901</x:v>
      </x:c>
      <x:c r="M112" s="24" t="n">
        <x:f>2*Subsurface_Inputs!$C$34*F112/Subsurface_Inputs!$C$35*1000000</x:f>
        <x:v>15.14614715097214</x:v>
      </x:c>
      <x:c r="N112" s="24" t="n">
        <x:f>2*Subsurface_Inputs!$C$34*I112/Subsurface_Inputs!$C$35*1000000</x:f>
        <x:v>55.50652752394678</x:v>
      </x:c>
      <x:c r="O112" s="24" t="n">
        <x:f>2*Subsurface_Inputs!$C$34*K112/Subsurface_Inputs!$C$35*1000000</x:f>
        <x:v>186.40280251450488</x:v>
      </x:c>
      <x:c r="P112" s="24" t="n">
        <x:f>Subsurface_Inputs!$C$37-2*Subsurface_Inputs!$C$36*(F112/1000)</x:f>
        <x:v>-12.295859896212175</x:v>
      </x:c>
      <x:c r="Q112" s="24" t="n">
        <x:f>Subsurface_Inputs!$C$38+Subsurface_Inputs!$C$39*H112-2*Subsurface_Inputs!$C$36*(I112/1000)</x:f>
        <x:v>-31.007008617200782</x:v>
      </x:c>
      <x:c r="R112" s="24" t="n">
        <x:f>Subsurface_Inputs!$C$40-2*Subsurface_Inputs!$C$36*(K112/1000)-Subsurface_Inputs!$C$41*ABS(L112-AVERAGE($L$2:$L$242))</x:f>
        <x:v>-36.29014841291758</x:v>
      </x:c>
      <x:c r="S112" s="24" t="n">
        <x:f>K112-AVERAGE($K$2:$K$242)</x:f>
        <x:v>619.8496706933056</x:v>
      </x:c>
      <x:c r="T112" s="24" t="n">
        <x:f>K112/F112</x:f>
        <x:v>12.30694516938856</x:v>
      </x:c>
      <x:c r="U112" s="25" t="str">
        <x:f>IF(H112&gt;=Subsurface_Inputs!$C$42,"Lens visible","Weak/no lens")</x:f>
        <x:v>Weak/no lens</x:v>
      </x:c>
      <x:c r="V112" s="25" t="str">
        <x:f>IF(R112&gt;=W112,"Likely visible","Weak")</x:f>
        <x:v>Likely visible</x:v>
      </x:c>
      <x:c r="W112" s="24" t="n">
        <x:f>Subsurface_Inputs!$C$43</x:f>
        <x:v>-45</x:v>
      </x:c>
      <x:c r="X112" s="24" t="n">
        <x:f>Q112-W112</x:f>
        <x:v>13.992991382799218</x:v>
      </x:c>
      <x:c r="Y112" s="24" t="n">
        <x:f>R112-W112</x:f>
        <x:v>8.709851587082419</x:v>
      </x:c>
      <x:c r="Z112" s="24" t="n">
        <x:f>MAX(Q112,R112)-W112</x:f>
        <x:v>13.992991382799218</x:v>
      </x:c>
      <x:c r="AA112" s="24" t="n">
        <x:v>0</x:v>
      </x:c>
    </x:row>
    <x:row r="113">
      <x:c r="A113" s="24" t="n">
        <x:f>Model_Data!A113</x:f>
        <x:v>-4.5</x:v>
      </x:c>
      <x:c r="B113" s="24" t="n">
        <x:f>Model_Data!Y113</x:f>
        <x:v>423.30568039510905</x:v>
      </x:c>
      <x:c r="C113" s="24" t="n">
        <x:f>Model_Data!X113</x:f>
        <x:v>-73.08935088189128</x:v>
      </x:c>
      <x:c r="D113" s="24" t="n">
        <x:f>Model_Data!B113</x:f>
        <x:v>400.0225</x:v>
      </x:c>
      <x:c r="E113" s="24" t="n">
        <x:f>Inputs!$C$6</x:f>
        <x:v>25</x:v>
      </x:c>
      <x:c r="F113" s="24" t="n">
        <x:f>Subsurface_Inputs!$C$5+Subsurface_Inputs!$C$6*SIN(2*PI()*(A113+Subsurface_Inputs!$C$7)/Subsurface_Inputs!$C$8)+Subsurface_Inputs!$C$9*COS(2*PI()*A113/Subsurface_Inputs!$C$10)+Subsurface_Inputs!$C$11*(B113-AVERAGE($B$2:$B$242))</x:f>
        <x:v>1291.6962207555848</x:v>
      </x:c>
      <x:c r="G113" s="24" t="n">
        <x:f>B113-F113</x:f>
        <x:v>-868.3905403604758</x:v>
      </x:c>
      <x:c r="H113" s="24" t="n">
        <x:f>MIN(1,MAX(0,Subsurface_Inputs!$C$13*EXP(-0.5*((A113-Subsurface_Inputs!$C$14)/Subsurface_Inputs!$C$15)^2)+Subsurface_Inputs!$C$16*EXP(-0.5*((A113-Subsurface_Inputs!$C$17)/Subsurface_Inputs!$C$18)^2)))</x:f>
        <x:v>0.14197675849033212</x:v>
      </x:c>
      <x:c r="I113" s="24" t="n">
        <x:f>Subsurface_Inputs!$C$19+Subsurface_Inputs!$C$20*SIN(2*PI()*(A113-Subsurface_Inputs!$C$21)/Subsurface_Inputs!$C$22)-Subsurface_Inputs!$C$23*H113</x:f>
        <x:v>4691.25434928991</x:v>
      </x:c>
      <x:c r="J113" s="24" t="n">
        <x:f>B113-I113</x:f>
        <x:v>-4267.948668894801</x:v>
      </x:c>
      <x:c r="K113" s="24" t="n">
        <x:f>Subsurface_Inputs!$C$25+Subsurface_Inputs!$C$26*SIN(2*PI()*(A113+Subsurface_Inputs!$C$27)/Subsurface_Inputs!$C$28)+Subsurface_Inputs!$C$29*COS(2*PI()*(A113-Subsurface_Inputs!$C$30)/Subsurface_Inputs!$C$31)-Subsurface_Inputs!$C$32*(B113-AVERAGE($B$2:$B$242))</x:f>
        <x:v>15723.473778049667</x:v>
      </x:c>
      <x:c r="L113" s="24" t="n">
        <x:f>B113-K113</x:f>
        <x:v>-15300.168097654558</x:v>
      </x:c>
      <x:c r="M113" s="24" t="n">
        <x:f>2*Subsurface_Inputs!$C$34*F113/Subsurface_Inputs!$C$35*1000000</x:f>
        <x:v>15.338739928840646</x:v>
      </x:c>
      <x:c r="N113" s="24" t="n">
        <x:f>2*Subsurface_Inputs!$C$34*I113/Subsurface_Inputs!$C$35*1000000</x:f>
        <x:v>55.70809084020413</x:v>
      </x:c>
      <x:c r="O113" s="24" t="n">
        <x:f>2*Subsurface_Inputs!$C$34*K113/Subsurface_Inputs!$C$35*1000000</x:f>
        <x:v>186.71439242763344</x:v>
      </x:c>
      <x:c r="P113" s="24" t="n">
        <x:f>Subsurface_Inputs!$C$37-2*Subsurface_Inputs!$C$36*(F113/1000)</x:f>
        <x:v>-12.325053197360052</x:v>
      </x:c>
      <x:c r="Q113" s="24" t="n">
        <x:f>Subsurface_Inputs!$C$38+Subsurface_Inputs!$C$39*H113-2*Subsurface_Inputs!$C$36*(I113/1000)</x:f>
        <x:v>-31.16646700230885</x:v>
      </x:c>
      <x:c r="R113" s="24" t="n">
        <x:f>Subsurface_Inputs!$C$40-2*Subsurface_Inputs!$C$36*(K113/1000)-Subsurface_Inputs!$C$41*ABS(L113-AVERAGE($L$2:$L$242))</x:f>
        <x:v>-36.45509467713626</x:v>
      </x:c>
      <x:c r="S113" s="24" t="n">
        <x:f>K113-AVERAGE($K$2:$K$242)</x:f>
        <x:v>646.089082475557</x:v>
      </x:c>
      <x:c r="T113" s="24" t="n">
        <x:f>K113/F113</x:f>
        <x:v>12.172733437938012</x:v>
      </x:c>
      <x:c r="U113" s="25" t="str">
        <x:f>IF(H113&gt;=Subsurface_Inputs!$C$42,"Lens visible","Weak/no lens")</x:f>
        <x:v>Weak/no lens</x:v>
      </x:c>
      <x:c r="V113" s="25" t="str">
        <x:f>IF(R113&gt;=W113,"Likely visible","Weak")</x:f>
        <x:v>Likely visible</x:v>
      </x:c>
      <x:c r="W113" s="24" t="n">
        <x:f>Subsurface_Inputs!$C$43</x:f>
        <x:v>-45</x:v>
      </x:c>
      <x:c r="X113" s="24" t="n">
        <x:f>Q113-W113</x:f>
        <x:v>13.833532997691151</x:v>
      </x:c>
      <x:c r="Y113" s="24" t="n">
        <x:f>R113-W113</x:f>
        <x:v>8.544905322863741</x:v>
      </x:c>
      <x:c r="Z113" s="24" t="n">
        <x:f>MAX(Q113,R113)-W113</x:f>
        <x:v>13.833532997691151</x:v>
      </x:c>
      <x:c r="AA113" s="24" t="n">
        <x:v>0</x:v>
      </x:c>
    </x:row>
    <x:row r="114">
      <x:c r="A114" s="24" t="n">
        <x:f>Model_Data!A114</x:f>
        <x:v>-4</x:v>
      </x:c>
      <x:c r="B114" s="24" t="n">
        <x:f>Model_Data!Y114</x:f>
        <x:v>426.0147467563934</x:v>
      </x:c>
      <x:c r="C114" s="24" t="n">
        <x:f>Model_Data!X114</x:f>
        <x:v>-74.23673097551541</x:v>
      </x:c>
      <x:c r="D114" s="24" t="n">
        <x:f>Model_Data!B114</x:f>
        <x:v>400.0177777777778</x:v>
      </x:c>
      <x:c r="E114" s="24" t="n">
        <x:f>Inputs!$C$6</x:f>
        <x:v>25</x:v>
      </x:c>
      <x:c r="F114" s="24" t="n">
        <x:f>Subsurface_Inputs!$C$5+Subsurface_Inputs!$C$6*SIN(2*PI()*(A114+Subsurface_Inputs!$C$7)/Subsurface_Inputs!$C$8)+Subsurface_Inputs!$C$9*COS(2*PI()*A114/Subsurface_Inputs!$C$10)+Subsurface_Inputs!$C$11*(B114-AVERAGE($B$2:$B$242))</x:f>
        <x:v>1307.1204466457586</x:v>
      </x:c>
      <x:c r="G114" s="24" t="n">
        <x:f>B114-F114</x:f>
        <x:v>-881.1056998893653</x:v>
      </x:c>
      <x:c r="H114" s="24" t="n">
        <x:f>MIN(1,MAX(0,Subsurface_Inputs!$C$13*EXP(-0.5*((A114-Subsurface_Inputs!$C$14)/Subsurface_Inputs!$C$15)^2)+Subsurface_Inputs!$C$16*EXP(-0.5*((A114-Subsurface_Inputs!$C$17)/Subsurface_Inputs!$C$18)^2)))</x:f>
        <x:v>0.1286522480932888</x:v>
      </x:c>
      <x:c r="I114" s="24" t="n">
        <x:f>Subsurface_Inputs!$C$19+Subsurface_Inputs!$C$20*SIN(2*PI()*(A114-Subsurface_Inputs!$C$21)/Subsurface_Inputs!$C$22)-Subsurface_Inputs!$C$23*H114</x:f>
        <x:v>4708.538560045645</x:v>
      </x:c>
      <x:c r="J114" s="24" t="n">
        <x:f>B114-I114</x:f>
        <x:v>-4282.523813289252</x:v>
      </x:c>
      <x:c r="K114" s="24" t="n">
        <x:f>Subsurface_Inputs!$C$25+Subsurface_Inputs!$C$26*SIN(2*PI()*(A114+Subsurface_Inputs!$C$27)/Subsurface_Inputs!$C$28)+Subsurface_Inputs!$C$29*COS(2*PI()*(A114-Subsurface_Inputs!$C$30)/Subsurface_Inputs!$C$31)-Subsurface_Inputs!$C$32*(B114-AVERAGE($B$2:$B$242))</x:f>
        <x:v>15748.287353885475</x:v>
      </x:c>
      <x:c r="L114" s="24" t="n">
        <x:f>B114-K114</x:f>
        <x:v>-15322.272607129082</x:v>
      </x:c>
      <x:c r="M114" s="24" t="n">
        <x:f>2*Subsurface_Inputs!$C$34*F114/Subsurface_Inputs!$C$35*1000000</x:f>
        <x:v>15.521900787974129</x:v>
      </x:c>
      <x:c r="N114" s="24" t="n">
        <x:f>2*Subsurface_Inputs!$C$34*I114/Subsurface_Inputs!$C$35*1000000</x:f>
        <x:v>55.91333879974558</x:v>
      </x:c>
      <x:c r="O114" s="24" t="n">
        <x:f>2*Subsurface_Inputs!$C$34*K114/Subsurface_Inputs!$C$35*1000000</x:f>
        <x:v>187.0090507074474</x:v>
      </x:c>
      <x:c r="P114" s="24" t="n">
        <x:f>Subsurface_Inputs!$C$37-2*Subsurface_Inputs!$C$36*(F114/1000)</x:f>
        <x:v>-12.352816803962366</x:v>
      </x:c>
      <x:c r="Q114" s="24" t="n">
        <x:f>Subsurface_Inputs!$C$38+Subsurface_Inputs!$C$39*H114-2*Subsurface_Inputs!$C$36*(I114/1000)</x:f>
        <x:v>-31.31749917524256</x:v>
      </x:c>
      <x:c r="R114" s="24" t="n">
        <x:f>Subsurface_Inputs!$C$40-2*Subsurface_Inputs!$C$36*(K114/1000)-Subsurface_Inputs!$C$41*ABS(L114-AVERAGE($L$2:$L$242))</x:f>
        <x:v>-36.588177151538815</x:v>
      </x:c>
      <x:c r="S114" s="24" t="n">
        <x:f>K114-AVERAGE($K$2:$K$242)</x:f>
        <x:v>670.9026583113646</x:v>
      </x:c>
      <x:c r="T114" s="24" t="n">
        <x:f>K114/F114</x:f>
        <x:v>12.048076666765967</x:v>
      </x:c>
      <x:c r="U114" s="25" t="str">
        <x:f>IF(H114&gt;=Subsurface_Inputs!$C$42,"Lens visible","Weak/no lens")</x:f>
        <x:v>Weak/no lens</x:v>
      </x:c>
      <x:c r="V114" s="25" t="str">
        <x:f>IF(R114&gt;=W114,"Likely visible","Weak")</x:f>
        <x:v>Likely visible</x:v>
      </x:c>
      <x:c r="W114" s="24" t="n">
        <x:f>Subsurface_Inputs!$C$43</x:f>
        <x:v>-45</x:v>
      </x:c>
      <x:c r="X114" s="24" t="n">
        <x:f>Q114-W114</x:f>
        <x:v>13.68250082475744</x:v>
      </x:c>
      <x:c r="Y114" s="24" t="n">
        <x:f>R114-W114</x:f>
        <x:v>8.411822848461185</x:v>
      </x:c>
      <x:c r="Z114" s="24" t="n">
        <x:f>MAX(Q114,R114)-W114</x:f>
        <x:v>13.68250082475744</x:v>
      </x:c>
      <x:c r="AA114" s="24" t="n">
        <x:v>0</x:v>
      </x:c>
    </x:row>
    <x:row r="115">
      <x:c r="A115" s="24" t="n">
        <x:f>Model_Data!A115</x:f>
        <x:v>-3.5</x:v>
      </x:c>
      <x:c r="B115" s="24" t="n">
        <x:f>Model_Data!Y115</x:f>
        <x:v>404.9650488225026</x:v>
      </x:c>
      <x:c r="C115" s="24" t="n">
        <x:f>Model_Data!X115</x:f>
        <x:v>-78.64906809360804</x:v>
      </x:c>
      <x:c r="D115" s="24" t="n">
        <x:f>Model_Data!B115</x:f>
        <x:v>400.0136111111111</x:v>
      </x:c>
      <x:c r="E115" s="24" t="n">
        <x:f>Inputs!$C$6</x:f>
        <x:v>25</x:v>
      </x:c>
      <x:c r="F115" s="24" t="n">
        <x:f>Subsurface_Inputs!$C$5+Subsurface_Inputs!$C$6*SIN(2*PI()*(A115+Subsurface_Inputs!$C$7)/Subsurface_Inputs!$C$8)+Subsurface_Inputs!$C$9*COS(2*PI()*A115/Subsurface_Inputs!$C$10)+Subsurface_Inputs!$C$11*(B115-AVERAGE($B$2:$B$242))</x:f>
        <x:v>1320.3805424871002</x:v>
      </x:c>
      <x:c r="G115" s="24" t="n">
        <x:f>B115-F115</x:f>
        <x:v>-915.4154936645976</x:v>
      </x:c>
      <x:c r="H115" s="24" t="n">
        <x:f>MIN(1,MAX(0,Subsurface_Inputs!$C$13*EXP(-0.5*((A115-Subsurface_Inputs!$C$14)/Subsurface_Inputs!$C$15)^2)+Subsurface_Inputs!$C$16*EXP(-0.5*((A115-Subsurface_Inputs!$C$17)/Subsurface_Inputs!$C$18)^2)))</x:f>
        <x:v>0.11629727082714168</x:v>
      </x:c>
      <x:c r="I115" s="24" t="n">
        <x:f>Subsurface_Inputs!$C$19+Subsurface_Inputs!$C$20*SIN(2*PI()*(A115-Subsurface_Inputs!$C$21)/Subsurface_Inputs!$C$22)-Subsurface_Inputs!$C$23*H115</x:f>
        <x:v>4726.1192909153915</x:v>
      </x:c>
      <x:c r="J115" s="24" t="n">
        <x:f>B115-I115</x:f>
        <x:v>-4321.154242092889</x:v>
      </x:c>
      <x:c r="K115" s="24" t="n">
        <x:f>Subsurface_Inputs!$C$25+Subsurface_Inputs!$C$26*SIN(2*PI()*(A115+Subsurface_Inputs!$C$27)/Subsurface_Inputs!$C$28)+Subsurface_Inputs!$C$29*COS(2*PI()*(A115-Subsurface_Inputs!$C$30)/Subsurface_Inputs!$C$31)-Subsurface_Inputs!$C$32*(B115-AVERAGE($B$2:$B$242))</x:f>
        <x:v>15775.781421619797</x:v>
      </x:c>
      <x:c r="L115" s="24" t="n">
        <x:f>B115-K115</x:f>
        <x:v>-15370.816372797293</x:v>
      </x:c>
      <x:c r="M115" s="24" t="n">
        <x:f>2*Subsurface_Inputs!$C$34*F115/Subsurface_Inputs!$C$35*1000000</x:f>
        <x:v>15.679362858601587</x:v>
      </x:c>
      <x:c r="N115" s="24" t="n">
        <x:f>2*Subsurface_Inputs!$C$34*I115/Subsurface_Inputs!$C$35*1000000</x:f>
        <x:v>56.12210790058899</x:v>
      </x:c>
      <x:c r="O115" s="24" t="n">
        <x:f>2*Subsurface_Inputs!$C$34*K115/Subsurface_Inputs!$C$35*1000000</x:f>
        <x:v>187.3355395116927</x:v>
      </x:c>
      <x:c r="P115" s="24" t="n">
        <x:f>Subsurface_Inputs!$C$37-2*Subsurface_Inputs!$C$36*(F115/1000)</x:f>
        <x:v>-12.376684976476781</x:v>
      </x:c>
      <x:c r="Q115" s="24" t="n">
        <x:f>Subsurface_Inputs!$C$38+Subsurface_Inputs!$C$39*H115-2*Subsurface_Inputs!$C$36*(I115/1000)</x:f>
        <x:v>-31.46033928620343</x:v>
      </x:c>
      <x:c r="R115" s="24" t="n">
        <x:f>Subsurface_Inputs!$C$40-2*Subsurface_Inputs!$C$36*(K115/1000)-Subsurface_Inputs!$C$41*ABS(L115-AVERAGE($L$2:$L$242))</x:f>
        <x:v>-36.83184153613344</x:v>
      </x:c>
      <x:c r="S115" s="24" t="n">
        <x:f>K115-AVERAGE($K$2:$K$242)</x:f>
        <x:v>698.3967260456866</x:v>
      </x:c>
      <x:c r="T115" s="24" t="n">
        <x:f>K115/F115</x:f>
        <x:v>11.947905103103201</x:v>
      </x:c>
      <x:c r="U115" s="25" t="str">
        <x:f>IF(H115&gt;=Subsurface_Inputs!$C$42,"Lens visible","Weak/no lens")</x:f>
        <x:v>Weak/no lens</x:v>
      </x:c>
      <x:c r="V115" s="25" t="str">
        <x:f>IF(R115&gt;=W115,"Likely visible","Weak")</x:f>
        <x:v>Likely visible</x:v>
      </x:c>
      <x:c r="W115" s="24" t="n">
        <x:f>Subsurface_Inputs!$C$43</x:f>
        <x:v>-45</x:v>
      </x:c>
      <x:c r="X115" s="24" t="n">
        <x:f>Q115-W115</x:f>
        <x:v>13.539660713796572</x:v>
      </x:c>
      <x:c r="Y115" s="24" t="n">
        <x:f>R115-W115</x:f>
        <x:v>8.168158463866561</x:v>
      </x:c>
      <x:c r="Z115" s="24" t="n">
        <x:f>MAX(Q115,R115)-W115</x:f>
        <x:v>13.539660713796572</x:v>
      </x:c>
      <x:c r="AA115" s="24" t="n">
        <x:v>0</x:v>
      </x:c>
    </x:row>
    <x:row r="116">
      <x:c r="A116" s="24" t="n">
        <x:f>Model_Data!A116</x:f>
        <x:v>-3</x:v>
      </x:c>
      <x:c r="B116" s="24" t="n">
        <x:f>Model_Data!Y116</x:f>
        <x:v>420.14741895617453</x:v>
      </x:c>
      <x:c r="C116" s="24" t="n">
        <x:f>Model_Data!X116</x:f>
        <x:v>-67.68197739460362</x:v>
      </x:c>
      <x:c r="D116" s="24" t="n">
        <x:f>Model_Data!B116</x:f>
        <x:v>400.01</x:v>
      </x:c>
      <x:c r="E116" s="24" t="n">
        <x:f>Inputs!$C$6</x:f>
        <x:v>25</x:v>
      </x:c>
      <x:c r="F116" s="24" t="n">
        <x:f>Subsurface_Inputs!$C$5+Subsurface_Inputs!$C$6*SIN(2*PI()*(A116+Subsurface_Inputs!$C$7)/Subsurface_Inputs!$C$8)+Subsurface_Inputs!$C$9*COS(2*PI()*A116/Subsurface_Inputs!$C$10)+Subsurface_Inputs!$C$11*(B116-AVERAGE($B$2:$B$242))</x:f>
        <x:v>1333.7060672736254</x:v>
      </x:c>
      <x:c r="G116" s="24" t="n">
        <x:f>B116-F116</x:f>
        <x:v>-913.5586483174509</x:v>
      </x:c>
      <x:c r="H116" s="24" t="n">
        <x:f>MIN(1,MAX(0,Subsurface_Inputs!$C$13*EXP(-0.5*((A116-Subsurface_Inputs!$C$14)/Subsurface_Inputs!$C$15)^2)+Subsurface_Inputs!$C$16*EXP(-0.5*((A116-Subsurface_Inputs!$C$17)/Subsurface_Inputs!$C$18)^2)))</x:f>
        <x:v>0.10487931851518159</x:v>
      </x:c>
      <x:c r="I116" s="24" t="n">
        <x:f>Subsurface_Inputs!$C$19+Subsurface_Inputs!$C$20*SIN(2*PI()*(A116-Subsurface_Inputs!$C$21)/Subsurface_Inputs!$C$22)-Subsurface_Inputs!$C$23*H116</x:f>
        <x:v>4743.982893546545</x:v>
      </x:c>
      <x:c r="J116" s="24" t="n">
        <x:f>B116-I116</x:f>
        <x:v>-4323.835474590371</x:v>
      </x:c>
      <x:c r="K116" s="24" t="n">
        <x:f>Subsurface_Inputs!$C$25+Subsurface_Inputs!$C$26*SIN(2*PI()*(A116+Subsurface_Inputs!$C$27)/Subsurface_Inputs!$C$28)+Subsurface_Inputs!$C$29*COS(2*PI()*(A116-Subsurface_Inputs!$C$30)/Subsurface_Inputs!$C$31)-Subsurface_Inputs!$C$32*(B116-AVERAGE($B$2:$B$242))</x:f>
        <x:v>15797.512523197016</x:v>
      </x:c>
      <x:c r="L116" s="24" t="n">
        <x:f>B116-K116</x:f>
        <x:v>-15377.365104240842</x:v>
      </x:c>
      <x:c r="M116" s="24" t="n">
        <x:f>2*Subsurface_Inputs!$C$34*F116/Subsurface_Inputs!$C$35*1000000</x:f>
        <x:v>15.83760189021869</x:v>
      </x:c>
      <x:c r="N116" s="24" t="n">
        <x:f>2*Subsurface_Inputs!$C$34*I116/Subsurface_Inputs!$C$35*1000000</x:f>
        <x:v>56.33423607016057</x:v>
      </x:c>
      <x:c r="O116" s="24" t="n">
        <x:f>2*Subsurface_Inputs!$C$34*K116/Subsurface_Inputs!$C$35*1000000</x:f>
        <x:v>187.59359377406813</x:v>
      </x:c>
      <x:c r="P116" s="24" t="n">
        <x:f>Subsurface_Inputs!$C$37-2*Subsurface_Inputs!$C$36*(F116/1000)</x:f>
        <x:v>-12.400670921092527</x:v>
      </x:c>
      <x:c r="Q116" s="24" t="n">
        <x:f>Subsurface_Inputs!$C$38+Subsurface_Inputs!$C$39*H116-2*Subsurface_Inputs!$C$36*(I116/1000)</x:f>
        <x:v>-31.595255341747148</x:v>
      </x:c>
      <x:c r="R116" s="24" t="n">
        <x:f>Subsurface_Inputs!$C$40-2*Subsurface_Inputs!$C$36*(K116/1000)-Subsurface_Inputs!$C$41*ABS(L116-AVERAGE($L$2:$L$242))</x:f>
        <x:v>-36.897152444746624</x:v>
      </x:c>
      <x:c r="S116" s="24" t="n">
        <x:f>K116-AVERAGE($K$2:$K$242)</x:f>
        <x:v>720.1278276229059</x:v>
      </x:c>
      <x:c r="T116" s="24" t="n">
        <x:f>K116/F116</x:f>
        <x:v>11.844823166689524</x:v>
      </x:c>
      <x:c r="U116" s="25" t="str">
        <x:f>IF(H116&gt;=Subsurface_Inputs!$C$42,"Lens visible","Weak/no lens")</x:f>
        <x:v>Weak/no lens</x:v>
      </x:c>
      <x:c r="V116" s="25" t="str">
        <x:f>IF(R116&gt;=W116,"Likely visible","Weak")</x:f>
        <x:v>Likely visible</x:v>
      </x:c>
      <x:c r="W116" s="24" t="n">
        <x:f>Subsurface_Inputs!$C$43</x:f>
        <x:v>-45</x:v>
      </x:c>
      <x:c r="X116" s="24" t="n">
        <x:f>Q116-W116</x:f>
        <x:v>13.404744658252852</x:v>
      </x:c>
      <x:c r="Y116" s="24" t="n">
        <x:f>R116-W116</x:f>
        <x:v>8.102847555253376</x:v>
      </x:c>
      <x:c r="Z116" s="24" t="n">
        <x:f>MAX(Q116,R116)-W116</x:f>
        <x:v>13.404744658252852</x:v>
      </x:c>
      <x:c r="AA116" s="24" t="n">
        <x:v>0</x:v>
      </x:c>
    </x:row>
    <x:row r="117">
      <x:c r="A117" s="24" t="n">
        <x:f>Model_Data!A117</x:f>
        <x:v>-2.5</x:v>
      </x:c>
      <x:c r="B117" s="24" t="n">
        <x:f>Model_Data!Y117</x:f>
        <x:v>420.97624209793275</x:v>
      </x:c>
      <x:c r="C117" s="24" t="n">
        <x:f>Model_Data!X117</x:f>
        <x:v>-49.83449295863612</x:v>
      </x:c>
      <x:c r="D117" s="24" t="n">
        <x:f>Model_Data!B117</x:f>
        <x:v>400.00694444444446</x:v>
      </x:c>
      <x:c r="E117" s="24" t="n">
        <x:f>Inputs!$C$6</x:f>
        <x:v>25</x:v>
      </x:c>
      <x:c r="F117" s="24" t="n">
        <x:f>Subsurface_Inputs!$C$5+Subsurface_Inputs!$C$6*SIN(2*PI()*(A117+Subsurface_Inputs!$C$7)/Subsurface_Inputs!$C$8)+Subsurface_Inputs!$C$9*COS(2*PI()*A117/Subsurface_Inputs!$C$10)+Subsurface_Inputs!$C$11*(B117-AVERAGE($B$2:$B$242))</x:f>
        <x:v>1344.9196633073186</x:v>
      </x:c>
      <x:c r="G117" s="24" t="n">
        <x:f>B117-F117</x:f>
        <x:v>-923.9434212093859</x:v>
      </x:c>
      <x:c r="H117" s="24" t="n">
        <x:f>MIN(1,MAX(0,Subsurface_Inputs!$C$13*EXP(-0.5*((A117-Subsurface_Inputs!$C$14)/Subsurface_Inputs!$C$15)^2)+Subsurface_Inputs!$C$16*EXP(-0.5*((A117-Subsurface_Inputs!$C$17)/Subsurface_Inputs!$C$18)^2)))</x:f>
        <x:v>0.0943629140344782</x:v>
      </x:c>
      <x:c r="I117" s="24" t="n">
        <x:f>Subsurface_Inputs!$C$19+Subsurface_Inputs!$C$20*SIN(2*PI()*(A117-Subsurface_Inputs!$C$21)/Subsurface_Inputs!$C$22)-Subsurface_Inputs!$C$23*H117</x:f>
        <x:v>4762.1156869290735</x:v>
      </x:c>
      <x:c r="J117" s="24" t="n">
        <x:f>B117-I117</x:f>
        <x:v>-4341.13944483114</x:v>
      </x:c>
      <x:c r="K117" s="24" t="n">
        <x:f>Subsurface_Inputs!$C$25+Subsurface_Inputs!$C$26*SIN(2*PI()*(A117+Subsurface_Inputs!$C$27)/Subsurface_Inputs!$C$28)+Subsurface_Inputs!$C$29*COS(2*PI()*(A117-Subsurface_Inputs!$C$30)/Subsurface_Inputs!$C$31)-Subsurface_Inputs!$C$32*(B117-AVERAGE($B$2:$B$242))</x:f>
        <x:v>15820.518953735607</x:v>
      </x:c>
      <x:c r="L117" s="24" t="n">
        <x:f>B117-K117</x:f>
        <x:v>-15399.542711637674</x:v>
      </x:c>
      <x:c r="M117" s="24" t="n">
        <x:f>2*Subsurface_Inputs!$C$34*F117/Subsurface_Inputs!$C$35*1000000</x:f>
        <x:v>15.970762017549001</x:v>
      </x:c>
      <x:c r="N117" s="24" t="n">
        <x:f>2*Subsurface_Inputs!$C$34*I117/Subsurface_Inputs!$C$35*1000000</x:f>
        <x:v>56.549560848083445</x:v>
      </x:c>
      <x:c r="O117" s="24" t="n">
        <x:f>2*Subsurface_Inputs!$C$34*K117/Subsurface_Inputs!$C$35*1000000</x:f>
        <x:v>187.86679241710198</x:v>
      </x:c>
      <x:c r="P117" s="24" t="n">
        <x:f>Subsurface_Inputs!$C$37-2*Subsurface_Inputs!$C$36*(F117/1000)</x:f>
        <x:v>-12.420855393953174</x:v>
      </x:c>
      <x:c r="Q117" s="24" t="n">
        <x:f>Subsurface_Inputs!$C$38+Subsurface_Inputs!$C$39*H117-2*Subsurface_Inputs!$C$36*(I117/1000)</x:f>
        <x:v>-31.72254201016203</x:v>
      </x:c>
      <x:c r="R117" s="24" t="n">
        <x:f>Subsurface_Inputs!$C$40-2*Subsurface_Inputs!$C$36*(K117/1000)-Subsurface_Inputs!$C$41*ABS(L117-AVERAGE($L$2:$L$242))</x:f>
        <x:v>-37.02727444930342</x:v>
      </x:c>
      <x:c r="S117" s="24" t="n">
        <x:f>K117-AVERAGE($K$2:$K$242)</x:f>
        <x:v>743.1342581614972</x:v>
      </x:c>
      <x:c r="T117" s="24" t="n">
        <x:f>K117/F117</x:f>
        <x:v>11.763170236377581</x:v>
      </x:c>
      <x:c r="U117" s="25" t="str">
        <x:f>IF(H117&gt;=Subsurface_Inputs!$C$42,"Lens visible","Weak/no lens")</x:f>
        <x:v>Weak/no lens</x:v>
      </x:c>
      <x:c r="V117" s="25" t="str">
        <x:f>IF(R117&gt;=W117,"Likely visible","Weak")</x:f>
        <x:v>Likely visible</x:v>
      </x:c>
      <x:c r="W117" s="24" t="n">
        <x:f>Subsurface_Inputs!$C$43</x:f>
        <x:v>-45</x:v>
      </x:c>
      <x:c r="X117" s="24" t="n">
        <x:f>Q117-W117</x:f>
        <x:v>13.27745798983797</x:v>
      </x:c>
      <x:c r="Y117" s="24" t="n">
        <x:f>R117-W117</x:f>
        <x:v>7.97272555069658</x:v>
      </x:c>
      <x:c r="Z117" s="24" t="n">
        <x:f>MAX(Q117,R117)-W117</x:f>
        <x:v>13.27745798983797</x:v>
      </x:c>
      <x:c r="AA117" s="24" t="n">
        <x:v>0</x:v>
      </x:c>
    </x:row>
    <x:row r="118">
      <x:c r="A118" s="24" t="n">
        <x:f>Model_Data!A118</x:f>
        <x:v>-2</x:v>
      </x:c>
      <x:c r="B118" s="24" t="n">
        <x:f>Model_Data!Y118</x:f>
        <x:v>435.98300826713626</x:v>
      </x:c>
      <x:c r="C118" s="24" t="n">
        <x:f>Model_Data!X118</x:f>
        <x:v>-59.60727995622125</x:v>
      </x:c>
      <x:c r="D118" s="24" t="n">
        <x:f>Model_Data!B118</x:f>
        <x:v>400.00444444444446</x:v>
      </x:c>
      <x:c r="E118" s="24" t="n">
        <x:f>Inputs!$C$6</x:f>
        <x:v>25</x:v>
      </x:c>
      <x:c r="F118" s="24" t="n">
        <x:f>Subsurface_Inputs!$C$5+Subsurface_Inputs!$C$6*SIN(2*PI()*(A118+Subsurface_Inputs!$C$7)/Subsurface_Inputs!$C$8)+Subsurface_Inputs!$C$9*COS(2*PI()*A118/Subsurface_Inputs!$C$10)+Subsurface_Inputs!$C$11*(B118-AVERAGE($B$2:$B$242))</x:f>
        <x:v>1355.0272017032964</x:v>
      </x:c>
      <x:c r="G118" s="24" t="n">
        <x:f>B118-F118</x:f>
        <x:v>-919.0441934361602</x:v>
      </x:c>
      <x:c r="H118" s="24" t="n">
        <x:f>MIN(1,MAX(0,Subsurface_Inputs!$C$13*EXP(-0.5*((A118-Subsurface_Inputs!$C$14)/Subsurface_Inputs!$C$15)^2)+Subsurface_Inputs!$C$16*EXP(-0.5*((A118-Subsurface_Inputs!$C$17)/Subsurface_Inputs!$C$18)^2)))</x:f>
        <x:v>0.08471036042594875</x:v>
      </x:c>
      <x:c r="I118" s="24" t="n">
        <x:f>Subsurface_Inputs!$C$19+Subsurface_Inputs!$C$20*SIN(2*PI()*(A118-Subsurface_Inputs!$C$21)/Subsurface_Inputs!$C$22)-Subsurface_Inputs!$C$23*H118</x:f>
        <x:v>4780.50381018409</x:v>
      </x:c>
      <x:c r="J118" s="24" t="n">
        <x:f>B118-I118</x:f>
        <x:v>-4344.520801916954</x:v>
      </x:c>
      <x:c r="K118" s="24" t="n">
        <x:f>Subsurface_Inputs!$C$25+Subsurface_Inputs!$C$26*SIN(2*PI()*(A118+Subsurface_Inputs!$C$27)/Subsurface_Inputs!$C$28)+Subsurface_Inputs!$C$29*COS(2*PI()*(A118-Subsurface_Inputs!$C$30)/Subsurface_Inputs!$C$31)-Subsurface_Inputs!$C$32*(B118-AVERAGE($B$2:$B$242))</x:f>
        <x:v>15840.763766829245</x:v>
      </x:c>
      <x:c r="L118" s="24" t="n">
        <x:f>B118-K118</x:f>
        <x:v>-15404.780758562109</x:v>
      </x:c>
      <x:c r="M118" s="24" t="n">
        <x:f>2*Subsurface_Inputs!$C$34*F118/Subsurface_Inputs!$C$35*1000000</x:f>
        <x:v>16.090787841179562</x:v>
      </x:c>
      <x:c r="N118" s="24" t="n">
        <x:f>2*Subsurface_Inputs!$C$34*I118/Subsurface_Inputs!$C$35*1000000</x:f>
        <x:v>56.76791763805932</x:v>
      </x:c>
      <x:c r="O118" s="24" t="n">
        <x:f>2*Subsurface_Inputs!$C$34*K118/Subsurface_Inputs!$C$35*1000000</x:f>
        <x:v>188.10719717943041</x:v>
      </x:c>
      <x:c r="P118" s="24" t="n">
        <x:f>Subsurface_Inputs!$C$37-2*Subsurface_Inputs!$C$36*(F118/1000)</x:f>
        <x:v>-12.439048963065934</x:v>
      </x:c>
      <x:c r="Q118" s="24" t="n">
        <x:f>Subsurface_Inputs!$C$38+Subsurface_Inputs!$C$39*H118-2*Subsurface_Inputs!$C$36*(I118/1000)</x:f>
        <x:v>-31.842513614497825</x:v>
      </x:c>
      <x:c r="R118" s="24" t="n">
        <x:f>Subsurface_Inputs!$C$40-2*Subsurface_Inputs!$C$36*(K118/1000)-Subsurface_Inputs!$C$41*ABS(L118-AVERAGE($L$2:$L$242))</x:f>
        <x:v>-37.0846673005697</x:v>
      </x:c>
      <x:c r="S118" s="24" t="n">
        <x:f>K118-AVERAGE($K$2:$K$242)</x:f>
        <x:v>763.3790712551345</x:v>
      </x:c>
      <x:c r="T118" s="24" t="n">
        <x:f>K118/F118</x:f>
        <x:v>11.690365881155069</x:v>
      </x:c>
      <x:c r="U118" s="25" t="str">
        <x:f>IF(H118&gt;=Subsurface_Inputs!$C$42,"Lens visible","Weak/no lens")</x:f>
        <x:v>Weak/no lens</x:v>
      </x:c>
      <x:c r="V118" s="25" t="str">
        <x:f>IF(R118&gt;=W118,"Likely visible","Weak")</x:f>
        <x:v>Likely visible</x:v>
      </x:c>
      <x:c r="W118" s="24" t="n">
        <x:f>Subsurface_Inputs!$C$43</x:f>
        <x:v>-45</x:v>
      </x:c>
      <x:c r="X118" s="24" t="n">
        <x:f>Q118-W118</x:f>
        <x:v>13.157486385502175</x:v>
      </x:c>
      <x:c r="Y118" s="24" t="n">
        <x:f>R118-W118</x:f>
        <x:v>7.9153326994303015</x:v>
      </x:c>
      <x:c r="Z118" s="24" t="n">
        <x:f>MAX(Q118,R118)-W118</x:f>
        <x:v>13.157486385502175</x:v>
      </x:c>
      <x:c r="AA118" s="24" t="n">
        <x:v>0</x:v>
      </x:c>
    </x:row>
    <x:row r="119">
      <x:c r="A119" s="24" t="n">
        <x:f>Model_Data!A119</x:f>
        <x:v>-1.5</x:v>
      </x:c>
      <x:c r="B119" s="24" t="n">
        <x:f>Model_Data!Y119</x:f>
        <x:v>431.10580672292525</x:v>
      </x:c>
      <x:c r="C119" s="24" t="n">
        <x:f>Model_Data!X119</x:f>
        <x:v>-34.15455011761312</x:v>
      </x:c>
      <x:c r="D119" s="24" t="n">
        <x:f>Model_Data!B119</x:f>
        <x:v>400.0025</x:v>
      </x:c>
      <x:c r="E119" s="24" t="n">
        <x:f>Inputs!$C$6</x:f>
        <x:v>25</x:v>
      </x:c>
      <x:c r="F119" s="24" t="n">
        <x:f>Subsurface_Inputs!$C$5+Subsurface_Inputs!$C$6*SIN(2*PI()*(A119+Subsurface_Inputs!$C$7)/Subsurface_Inputs!$C$8)+Subsurface_Inputs!$C$9*COS(2*PI()*A119/Subsurface_Inputs!$C$10)+Subsurface_Inputs!$C$11*(B119-AVERAGE($B$2:$B$242))</x:f>
        <x:v>1362.551476601776</x:v>
      </x:c>
      <x:c r="G119" s="24" t="n">
        <x:f>B119-F119</x:f>
        <x:v>-931.4456698788506</x:v>
      </x:c>
      <x:c r="H119" s="24" t="n">
        <x:f>MIN(1,MAX(0,Subsurface_Inputs!$C$13*EXP(-0.5*((A119-Subsurface_Inputs!$C$14)/Subsurface_Inputs!$C$15)^2)+Subsurface_Inputs!$C$16*EXP(-0.5*((A119-Subsurface_Inputs!$C$17)/Subsurface_Inputs!$C$18)^2)))</x:f>
        <x:v>0.0758824647296312</x:v>
      </x:c>
      <x:c r="I119" s="24" t="n">
        <x:f>Subsurface_Inputs!$C$19+Subsurface_Inputs!$C$20*SIN(2*PI()*(A119-Subsurface_Inputs!$C$21)/Subsurface_Inputs!$C$22)-Subsurface_Inputs!$C$23*H119</x:f>
        <x:v>4799.133082464253</x:v>
      </x:c>
      <x:c r="J119" s="24" t="n">
        <x:f>B119-I119</x:f>
        <x:v>-4368.027275741328</x:v>
      </x:c>
      <x:c r="K119" s="24" t="n">
        <x:f>Subsurface_Inputs!$C$25+Subsurface_Inputs!$C$26*SIN(2*PI()*(A119+Subsurface_Inputs!$C$27)/Subsurface_Inputs!$C$28)+Subsurface_Inputs!$C$29*COS(2*PI()*(A119-Subsurface_Inputs!$C$30)/Subsurface_Inputs!$C$31)-Subsurface_Inputs!$C$32*(B119-AVERAGE($B$2:$B$242))</x:f>
        <x:v>15862.974345451357</x:v>
      </x:c>
      <x:c r="L119" s="24" t="n">
        <x:f>B119-K119</x:f>
        <x:v>-15431.868538728431</x:v>
      </x:c>
      <x:c r="M119" s="24" t="n">
        <x:f>2*Subsurface_Inputs!$C$34*F119/Subsurface_Inputs!$C$35*1000000</x:f>
        <x:v>16.180137716147357</x:v>
      </x:c>
      <x:c r="N119" s="24" t="n">
        <x:f>2*Subsurface_Inputs!$C$34*I119/Subsurface_Inputs!$C$35*1000000</x:f>
        <x:v>56.98913804420237</x:v>
      </x:c>
      <x:c r="O119" s="24" t="n">
        <x:f>2*Subsurface_Inputs!$C$34*K119/Subsurface_Inputs!$C$35*1000000</x:f>
        <x:v>188.3709451750345</x:v>
      </x:c>
      <x:c r="P119" s="24" t="n">
        <x:f>Subsurface_Inputs!$C$37-2*Subsurface_Inputs!$C$36*(F119/1000)</x:f>
        <x:v>-12.452592657883196</x:v>
      </x:c>
      <x:c r="Q119" s="24" t="n">
        <x:f>Subsurface_Inputs!$C$38+Subsurface_Inputs!$C$39*H119-2*Subsurface_Inputs!$C$36*(I119/1000)</x:f>
        <x:v>-31.955497365868972</x:v>
      </x:c>
      <x:c r="R119" s="24" t="n">
        <x:f>Subsurface_Inputs!$C$40-2*Subsurface_Inputs!$C$36*(K119/1000)-Subsurface_Inputs!$C$41*ABS(L119-AVERAGE($L$2:$L$242))</x:f>
        <x:v>-37.232997462754795</x:v>
      </x:c>
      <x:c r="S119" s="24" t="n">
        <x:f>K119-AVERAGE($K$2:$K$242)</x:f>
        <x:v>785.5896498772472</x:v>
      </x:c>
      <x:c r="T119" s="24" t="n">
        <x:f>K119/F119</x:f>
        <x:v>11.642110127841816</x:v>
      </x:c>
      <x:c r="U119" s="25" t="str">
        <x:f>IF(H119&gt;=Subsurface_Inputs!$C$42,"Lens visible","Weak/no lens")</x:f>
        <x:v>Weak/no lens</x:v>
      </x:c>
      <x:c r="V119" s="25" t="str">
        <x:f>IF(R119&gt;=W119,"Likely visible","Weak")</x:f>
        <x:v>Likely visible</x:v>
      </x:c>
      <x:c r="W119" s="24" t="n">
        <x:f>Subsurface_Inputs!$C$43</x:f>
        <x:v>-45</x:v>
      </x:c>
      <x:c r="X119" s="24" t="n">
        <x:f>Q119-W119</x:f>
        <x:v>13.044502634131028</x:v>
      </x:c>
      <x:c r="Y119" s="24" t="n">
        <x:f>R119-W119</x:f>
        <x:v>7.7670025372452045</x:v>
      </x:c>
      <x:c r="Z119" s="24" t="n">
        <x:f>MAX(Q119,R119)-W119</x:f>
        <x:v>13.044502634131028</x:v>
      </x:c>
      <x:c r="AA119" s="24" t="n">
        <x:v>0</x:v>
      </x:c>
    </x:row>
    <x:row r="120">
      <x:c r="A120" s="24" t="n">
        <x:f>Model_Data!A120</x:f>
        <x:v>-1</x:v>
      </x:c>
      <x:c r="B120" s="24" t="n">
        <x:f>Model_Data!Y120</x:f>
        <x:v>440.9944102420088</x:v>
      </x:c>
      <x:c r="C120" s="24" t="n">
        <x:f>Model_Data!X120</x:f>
        <x:v>-38.26579288799343</x:v>
      </x:c>
      <x:c r="D120" s="24" t="n">
        <x:f>Model_Data!B120</x:f>
        <x:v>400.00111111111113</x:v>
      </x:c>
      <x:c r="E120" s="24" t="n">
        <x:f>Inputs!$C$6</x:f>
        <x:v>25</x:v>
      </x:c>
      <x:c r="F120" s="24" t="n">
        <x:f>Subsurface_Inputs!$C$5+Subsurface_Inputs!$C$6*SIN(2*PI()*(A120+Subsurface_Inputs!$C$7)/Subsurface_Inputs!$C$8)+Subsurface_Inputs!$C$9*COS(2*PI()*A120/Subsurface_Inputs!$C$10)+Subsurface_Inputs!$C$11*(B120-AVERAGE($B$2:$B$242))</x:f>
        <x:v>1368.7861969163891</x:v>
      </x:c>
      <x:c r="G120" s="24" t="n">
        <x:f>B120-F120</x:f>
        <x:v>-927.7917866743803</x:v>
      </x:c>
      <x:c r="H120" s="24" t="n">
        <x:f>MIN(1,MAX(0,Subsurface_Inputs!$C$13*EXP(-0.5*((A120-Subsurface_Inputs!$C$14)/Subsurface_Inputs!$C$15)^2)+Subsurface_Inputs!$C$16*EXP(-0.5*((A120-Subsurface_Inputs!$C$17)/Subsurface_Inputs!$C$18)^2)))</x:f>
        <x:v>0.06783923221605759</x:v>
      </x:c>
      <x:c r="I120" s="24" t="n">
        <x:f>Subsurface_Inputs!$C$19+Subsurface_Inputs!$C$20*SIN(2*PI()*(A120-Subsurface_Inputs!$C$21)/Subsurface_Inputs!$C$22)-Subsurface_Inputs!$C$23*H120</x:f>
        <x:v>4817.988870955649</x:v>
      </x:c>
      <x:c r="J120" s="24" t="n">
        <x:f>B120-I120</x:f>
        <x:v>-4376.99446071364</x:v>
      </x:c>
      <x:c r="K120" s="24" t="n">
        <x:f>Subsurface_Inputs!$C$25+Subsurface_Inputs!$C$26*SIN(2*PI()*(A120+Subsurface_Inputs!$C$27)/Subsurface_Inputs!$C$28)+Subsurface_Inputs!$C$29*COS(2*PI()*(A120-Subsurface_Inputs!$C$30)/Subsurface_Inputs!$C$31)-Subsurface_Inputs!$C$32*(B120-AVERAGE($B$2:$B$242))</x:f>
        <x:v>15882.259787427232</x:v>
      </x:c>
      <x:c r="L120" s="24" t="n">
        <x:f>B120-K120</x:f>
        <x:v>-15441.265377185224</x:v>
      </x:c>
      <x:c r="M120" s="24" t="n">
        <x:f>2*Subsurface_Inputs!$C$34*F120/Subsurface_Inputs!$C$35*1000000</x:f>
        <x:v>16.254174282871205</x:v>
      </x:c>
      <x:c r="N120" s="24" t="n">
        <x:f>2*Subsurface_Inputs!$C$34*I120/Subsurface_Inputs!$C$35*1000000</x:f>
        <x:v>57.213048303577104</x:v>
      </x:c>
      <x:c r="O120" s="24" t="n">
        <x:f>2*Subsurface_Inputs!$C$34*K120/Subsurface_Inputs!$C$35*1000000</x:f>
        <x:v>188.5999575187477</x:v>
      </x:c>
      <x:c r="P120" s="24" t="n">
        <x:f>Subsurface_Inputs!$C$37-2*Subsurface_Inputs!$C$36*(F120/1000)</x:f>
        <x:v>-12.4638151544495</x:v>
      </x:c>
      <x:c r="Q120" s="24" t="n">
        <x:f>Subsurface_Inputs!$C$38+Subsurface_Inputs!$C$39*H120-2*Subsurface_Inputs!$C$36*(I120/1000)</x:f>
        <x:v>-32.06182687777565</x:v>
      </x:c>
      <x:c r="R120" s="24" t="n">
        <x:f>Subsurface_Inputs!$C$40-2*Subsurface_Inputs!$C$36*(K120/1000)-Subsurface_Inputs!$C$41*ABS(L120-AVERAGE($L$2:$L$242))</x:f>
        <x:v>-37.30529861213854</x:v>
      </x:c>
      <x:c r="S120" s="24" t="n">
        <x:f>K120-AVERAGE($K$2:$K$242)</x:f>
        <x:v>804.8750918531223</x:v>
      </x:c>
      <x:c r="T120" s="24" t="n">
        <x:f>K120/F120</x:f>
        <x:v>11.603170621684303</x:v>
      </x:c>
      <x:c r="U120" s="25" t="str">
        <x:f>IF(H120&gt;=Subsurface_Inputs!$C$42,"Lens visible","Weak/no lens")</x:f>
        <x:v>Weak/no lens</x:v>
      </x:c>
      <x:c r="V120" s="25" t="str">
        <x:f>IF(R120&gt;=W120,"Likely visible","Weak")</x:f>
        <x:v>Likely visible</x:v>
      </x:c>
      <x:c r="W120" s="24" t="n">
        <x:f>Subsurface_Inputs!$C$43</x:f>
        <x:v>-45</x:v>
      </x:c>
      <x:c r="X120" s="24" t="n">
        <x:f>Q120-W120</x:f>
        <x:v>12.938173122224349</x:v>
      </x:c>
      <x:c r="Y120" s="24" t="n">
        <x:f>R120-W120</x:f>
        <x:v>7.694701387861457</x:v>
      </x:c>
      <x:c r="Z120" s="24" t="n">
        <x:f>MAX(Q120,R120)-W120</x:f>
        <x:v>12.938173122224349</x:v>
      </x:c>
      <x:c r="AA120" s="24" t="n">
        <x:v>0</x:v>
      </x:c>
    </x:row>
    <x:row r="121">
      <x:c r="A121" s="24" t="n">
        <x:f>Model_Data!A121</x:f>
        <x:v>-0.5</x:v>
      </x:c>
      <x:c r="B121" s="24" t="n">
        <x:f>Model_Data!Y121</x:f>
        <x:v>474.23278667183286</x:v>
      </x:c>
      <x:c r="C121" s="24" t="n">
        <x:f>Model_Data!X121</x:f>
        <x:v>-15.949828195457984</x:v>
      </x:c>
      <x:c r="D121" s="24" t="n">
        <x:f>Model_Data!B121</x:f>
        <x:v>400.0002777777778</x:v>
      </x:c>
      <x:c r="E121" s="24" t="n">
        <x:f>Inputs!$C$6</x:f>
        <x:v>25</x:v>
      </x:c>
      <x:c r="F121" s="24" t="n">
        <x:f>Subsurface_Inputs!$C$5+Subsurface_Inputs!$C$6*SIN(2*PI()*(A121+Subsurface_Inputs!$C$7)/Subsurface_Inputs!$C$8)+Subsurface_Inputs!$C$9*COS(2*PI()*A121/Subsurface_Inputs!$C$10)+Subsurface_Inputs!$C$11*(B121-AVERAGE($B$2:$B$242))</x:f>
        <x:v>1374.0063177418228</x:v>
      </x:c>
      <x:c r="G121" s="24" t="n">
        <x:f>B121-F121</x:f>
        <x:v>-899.77353106999</x:v>
      </x:c>
      <x:c r="H121" s="24" t="n">
        <x:f>MIN(1,MAX(0,Subsurface_Inputs!$C$13*EXP(-0.5*((A121-Subsurface_Inputs!$C$14)/Subsurface_Inputs!$C$15)^2)+Subsurface_Inputs!$C$16*EXP(-0.5*((A121-Subsurface_Inputs!$C$17)/Subsurface_Inputs!$C$18)^2)))</x:f>
        <x:v>0.06054052787473558</x:v>
      </x:c>
      <x:c r="I121" s="24" t="n">
        <x:f>Subsurface_Inputs!$C$19+Subsurface_Inputs!$C$20*SIN(2*PI()*(A121-Subsurface_Inputs!$C$21)/Subsurface_Inputs!$C$22)-Subsurface_Inputs!$C$23*H121</x:f>
        <x:v>4837.0559676836865</x:v>
      </x:c>
      <x:c r="J121" s="24" t="n">
        <x:f>B121-I121</x:f>
        <x:v>-4362.823181011854</x:v>
      </x:c>
      <x:c r="K121" s="24" t="n">
        <x:f>Subsurface_Inputs!$C$25+Subsurface_Inputs!$C$26*SIN(2*PI()*(A121+Subsurface_Inputs!$C$27)/Subsurface_Inputs!$C$28)+Subsurface_Inputs!$C$29*COS(2*PI()*(A121-Subsurface_Inputs!$C$30)/Subsurface_Inputs!$C$31)-Subsurface_Inputs!$C$32*(B121-AVERAGE($B$2:$B$242))</x:f>
        <x:v>15897.379848026414</x:v>
      </x:c>
      <x:c r="L121" s="24" t="n">
        <x:f>B121-K121</x:f>
        <x:v>-15423.14706135458</x:v>
      </x:c>
      <x:c r="M121" s="24" t="n">
        <x:f>2*Subsurface_Inputs!$C$34*F121/Subsurface_Inputs!$C$35*1000000</x:f>
        <x:v>16.31616260059781</x:v>
      </x:c>
      <x:c r="N121" s="24" t="n">
        <x:f>2*Subsurface_Inputs!$C$34*I121/Subsurface_Inputs!$C$35*1000000</x:f>
        <x:v>57.43946782328302</x:v>
      </x:c>
      <x:c r="O121" s="24" t="n">
        <x:f>2*Subsurface_Inputs!$C$34*K121/Subsurface_Inputs!$C$35*1000000</x:f>
        <x:v>188.77950645100628</x:v>
      </x:c>
      <x:c r="P121" s="24" t="n">
        <x:f>Subsurface_Inputs!$C$37-2*Subsurface_Inputs!$C$36*(F121/1000)</x:f>
        <x:v>-12.473211371935282</x:v>
      </x:c>
      <x:c r="Q121" s="24" t="n">
        <x:f>Subsurface_Inputs!$C$38+Subsurface_Inputs!$C$39*H121-2*Subsurface_Inputs!$C$36*(I121/1000)</x:f>
        <x:v>-32.16183599095802</x:v>
      </x:c>
      <x:c r="R121" s="24" t="n">
        <x:f>Subsurface_Inputs!$C$40-2*Subsurface_Inputs!$C$36*(K121/1000)-Subsurface_Inputs!$C$41*ABS(L121-AVERAGE($L$2:$L$242))</x:f>
        <x:v>-37.260041457894495</x:v>
      </x:c>
      <x:c r="S121" s="24" t="n">
        <x:f>K121-AVERAGE($K$2:$K$242)</x:f>
        <x:v>819.995152452304</x:v>
      </x:c>
      <x:c r="T121" s="24" t="n">
        <x:f>K121/F121</x:f>
        <x:v>11.570092249760345</x:v>
      </x:c>
      <x:c r="U121" s="25" t="str">
        <x:f>IF(H121&gt;=Subsurface_Inputs!$C$42,"Lens visible","Weak/no lens")</x:f>
        <x:v>Weak/no lens</x:v>
      </x:c>
      <x:c r="V121" s="25" t="str">
        <x:f>IF(R121&gt;=W121,"Likely visible","Weak")</x:f>
        <x:v>Likely visible</x:v>
      </x:c>
      <x:c r="W121" s="24" t="n">
        <x:f>Subsurface_Inputs!$C$43</x:f>
        <x:v>-45</x:v>
      </x:c>
      <x:c r="X121" s="24" t="n">
        <x:f>Q121-W121</x:f>
        <x:v>12.838164009041982</x:v>
      </x:c>
      <x:c r="Y121" s="24" t="n">
        <x:f>R121-W121</x:f>
        <x:v>7.739958542105505</x:v>
      </x:c>
      <x:c r="Z121" s="24" t="n">
        <x:f>MAX(Q121,R121)-W121</x:f>
        <x:v>12.838164009041982</x:v>
      </x:c>
      <x:c r="AA121" s="24" t="n">
        <x:v>0</x:v>
      </x:c>
    </x:row>
    <x:row r="122">
      <x:c r="A122" s="24" t="n">
        <x:f>Model_Data!A122</x:f>
        <x:v>0</x:v>
      </x:c>
      <x:c r="B122" s="24" t="n">
        <x:f>Model_Data!Y122</x:f>
        <x:v>480.44802858922253</x:v>
      </x:c>
      <x:c r="C122" s="24" t="n">
        <x:f>Model_Data!X122</x:f>
        <x:v>-4.948127387128106</x:v>
      </x:c>
      <x:c r="D122" s="24" t="n">
        <x:f>Model_Data!B122</x:f>
        <x:v>400</x:v>
      </x:c>
      <x:c r="E122" s="24" t="n">
        <x:f>Inputs!$C$6</x:f>
        <x:v>25</x:v>
      </x:c>
      <x:c r="F122" s="24" t="n">
        <x:f>Subsurface_Inputs!$C$5+Subsurface_Inputs!$C$6*SIN(2*PI()*(A122+Subsurface_Inputs!$C$7)/Subsurface_Inputs!$C$8)+Subsurface_Inputs!$C$9*COS(2*PI()*A122/Subsurface_Inputs!$C$10)+Subsurface_Inputs!$C$11*(B122-AVERAGE($B$2:$B$242))</x:f>
        <x:v>1376.1534460093067</x:v>
      </x:c>
      <x:c r="G122" s="24" t="n">
        <x:f>B122-F122</x:f>
        <x:v>-895.7054174200841</x:v>
      </x:c>
      <x:c r="H122" s="24" t="n">
        <x:f>MIN(1,MAX(0,Subsurface_Inputs!$C$13*EXP(-0.5*((A122-Subsurface_Inputs!$C$14)/Subsurface_Inputs!$C$15)^2)+Subsurface_Inputs!$C$16*EXP(-0.5*((A122-Subsurface_Inputs!$C$17)/Subsurface_Inputs!$C$18)^2)))</x:f>
        <x:v>0.05394670310728157</x:v>
      </x:c>
      <x:c r="I122" s="24" t="n">
        <x:f>Subsurface_Inputs!$C$19+Subsurface_Inputs!$C$20*SIN(2*PI()*(A122-Subsurface_Inputs!$C$21)/Subsurface_Inputs!$C$22)-Subsurface_Inputs!$C$23*H122</x:f>
        <x:v>4856.318475563433</x:v>
      </x:c>
      <x:c r="J122" s="24" t="n">
        <x:f>B122-I122</x:f>
        <x:v>-4375.870446974211</x:v>
      </x:c>
      <x:c r="K122" s="24" t="n">
        <x:f>Subsurface_Inputs!$C$25+Subsurface_Inputs!$C$26*SIN(2*PI()*(A122+Subsurface_Inputs!$C$27)/Subsurface_Inputs!$C$28)+Subsurface_Inputs!$C$29*COS(2*PI()*(A122-Subsurface_Inputs!$C$30)/Subsurface_Inputs!$C$31)-Subsurface_Inputs!$C$32*(B122-AVERAGE($B$2:$B$242))</x:f>
        <x:v>15915.349780721906</x:v>
      </x:c>
      <x:c r="L122" s="24" t="n">
        <x:f>B122-K122</x:f>
        <x:v>-15434.901752132684</x:v>
      </x:c>
      <x:c r="M122" s="24" t="n">
        <x:f>2*Subsurface_Inputs!$C$34*F122/Subsurface_Inputs!$C$35*1000000</x:f>
        <x:v>16.34165949496012</x:v>
      </x:c>
      <x:c r="N122" s="24" t="n">
        <x:f>2*Subsurface_Inputs!$C$34*I122/Subsurface_Inputs!$C$35*1000000</x:f>
        <x:v>57.66820782731573</x:v>
      </x:c>
      <x:c r="O122" s="24" t="n">
        <x:f>2*Subsurface_Inputs!$C$34*K122/Subsurface_Inputs!$C$35*1000000</x:f>
        <x:v>188.99289727752253</x:v>
      </x:c>
      <x:c r="P122" s="24" t="n">
        <x:f>Subsurface_Inputs!$C$37-2*Subsurface_Inputs!$C$36*(F122/1000)</x:f>
        <x:v>-12.477076202816752</x:v>
      </x:c>
      <x:c r="Q122" s="24" t="n">
        <x:f>Subsurface_Inputs!$C$38+Subsurface_Inputs!$C$39*H122-2*Subsurface_Inputs!$C$36*(I122/1000)</x:f>
        <x:v>-32.25585292804865</x:v>
      </x:c>
      <x:c r="R122" s="24" t="n">
        <x:f>Subsurface_Inputs!$C$40-2*Subsurface_Inputs!$C$36*(K122/1000)-Subsurface_Inputs!$C$41*ABS(L122-AVERAGE($L$2:$L$242))</x:f>
        <x:v>-37.33940609985879</x:v>
      </x:c>
      <x:c r="S122" s="24" t="n">
        <x:f>K122-AVERAGE($K$2:$K$242)</x:f>
        <x:v>837.9650851477963</x:v>
      </x:c>
      <x:c r="T122" s="24" t="n">
        <x:f>K122/F122</x:f>
        <x:v>11.565098228598465</x:v>
      </x:c>
      <x:c r="U122" s="25" t="str">
        <x:f>IF(H122&gt;=Subsurface_Inputs!$C$42,"Lens visible","Weak/no lens")</x:f>
        <x:v>Weak/no lens</x:v>
      </x:c>
      <x:c r="V122" s="25" t="str">
        <x:f>IF(R122&gt;=W122,"Likely visible","Weak")</x:f>
        <x:v>Likely visible</x:v>
      </x:c>
      <x:c r="W122" s="24" t="n">
        <x:f>Subsurface_Inputs!$C$43</x:f>
        <x:v>-45</x:v>
      </x:c>
      <x:c r="X122" s="24" t="n">
        <x:f>Q122-W122</x:f>
        <x:v>12.744147071951353</x:v>
      </x:c>
      <x:c r="Y122" s="24" t="n">
        <x:f>R122-W122</x:f>
        <x:v>7.660593900141208</x:v>
      </x:c>
      <x:c r="Z122" s="24" t="n">
        <x:f>MAX(Q122,R122)-W122</x:f>
        <x:v>12.744147071951353</x:v>
      </x:c>
      <x:c r="AA122" s="24" t="n">
        <x:v>0</x:v>
      </x:c>
    </x:row>
    <x:row r="123">
      <x:c r="A123" s="24" t="n">
        <x:f>Model_Data!A123</x:f>
        <x:v>0.5</x:v>
      </x:c>
      <x:c r="B123" s="24" t="n">
        <x:f>Model_Data!Y123</x:f>
        <x:v>482.7451811280071</x:v>
      </x:c>
      <x:c r="C123" s="24" t="n">
        <x:f>Model_Data!X123</x:f>
        <x:v>2.259569132321303</x:v>
      </x:c>
      <x:c r="D123" s="24" t="n">
        <x:f>Model_Data!B123</x:f>
        <x:v>400.0002777777778</x:v>
      </x:c>
      <x:c r="E123" s="24" t="n">
        <x:f>Inputs!$C$6</x:f>
        <x:v>25</x:v>
      </x:c>
      <x:c r="F123" s="24" t="n">
        <x:f>Subsurface_Inputs!$C$5+Subsurface_Inputs!$C$6*SIN(2*PI()*(A123+Subsurface_Inputs!$C$7)/Subsurface_Inputs!$C$8)+Subsurface_Inputs!$C$9*COS(2*PI()*A123/Subsurface_Inputs!$C$10)+Subsurface_Inputs!$C$11*(B123-AVERAGE($B$2:$B$242))</x:f>
        <x:v>1376.133881324049</x:v>
      </x:c>
      <x:c r="G123" s="24" t="n">
        <x:f>B123-F123</x:f>
        <x:v>-893.388700196042</x:v>
      </x:c>
      <x:c r="H123" s="24" t="n">
        <x:f>MIN(1,MAX(0,Subsurface_Inputs!$C$13*EXP(-0.5*((A123-Subsurface_Inputs!$C$14)/Subsurface_Inputs!$C$15)^2)+Subsurface_Inputs!$C$16*EXP(-0.5*((A123-Subsurface_Inputs!$C$17)/Subsurface_Inputs!$C$18)^2)))</x:f>
        <x:v>0.04801918652444669</x:v>
      </x:c>
      <x:c r="I123" s="24" t="n">
        <x:f>Subsurface_Inputs!$C$19+Subsurface_Inputs!$C$20*SIN(2*PI()*(A123-Subsurface_Inputs!$C$21)/Subsurface_Inputs!$C$22)-Subsurface_Inputs!$C$23*H123</x:f>
        <x:v>4875.759703905036</x:v>
      </x:c>
      <x:c r="J123" s="24" t="n">
        <x:f>B123-I123</x:f>
        <x:v>-4393.014522777029</x:v>
      </x:c>
      <x:c r="K123" s="24" t="n">
        <x:f>Subsurface_Inputs!$C$25+Subsurface_Inputs!$C$26*SIN(2*PI()*(A123+Subsurface_Inputs!$C$27)/Subsurface_Inputs!$C$28)+Subsurface_Inputs!$C$29*COS(2*PI()*(A123-Subsurface_Inputs!$C$30)/Subsurface_Inputs!$C$31)-Subsurface_Inputs!$C$32*(B123-AVERAGE($B$2:$B$242))</x:f>
        <x:v>15932.899548678191</x:v>
      </x:c>
      <x:c r="L123" s="24" t="n">
        <x:f>B123-K123</x:f>
        <x:v>-15450.154367550183</x:v>
      </x:c>
      <x:c r="M123" s="24" t="n">
        <x:f>2*Subsurface_Inputs!$C$34*F123/Subsurface_Inputs!$C$35*1000000</x:f>
        <x:v>16.341427166635444</x:v>
      </x:c>
      <x:c r="N123" s="24" t="n">
        <x:f>2*Subsurface_Inputs!$C$34*I123/Subsurface_Inputs!$C$35*1000000</x:f>
        <x:v>57.89907011570627</x:v>
      </x:c>
      <x:c r="O123" s="24" t="n">
        <x:f>2*Subsurface_Inputs!$C$34*K123/Subsurface_Inputs!$C$35*1000000</x:f>
        <x:v>189.20129869742874</x:v>
      </x:c>
      <x:c r="P123" s="24" t="n">
        <x:f>Subsurface_Inputs!$C$37-2*Subsurface_Inputs!$C$36*(F123/1000)</x:f>
        <x:v>-12.477040986383289</x:v>
      </x:c>
      <x:c r="Q123" s="24" t="n">
        <x:f>Subsurface_Inputs!$C$38+Subsurface_Inputs!$C$39*H123-2*Subsurface_Inputs!$C$36*(I123/1000)</x:f>
        <x:v>-32.34419478830904</x:v>
      </x:c>
      <x:c r="R123" s="24" t="n">
        <x:f>Subsurface_Inputs!$C$40-2*Subsurface_Inputs!$C$36*(K123/1000)-Subsurface_Inputs!$C$41*ABS(L123-AVERAGE($L$2:$L$242))</x:f>
        <x:v>-37.43200614385011</x:v>
      </x:c>
      <x:c r="S123" s="24" t="n">
        <x:f>K123-AVERAGE($K$2:$K$242)</x:f>
        <x:v>855.5148531040813</x:v>
      </x:c>
      <x:c r="T123" s="24" t="n">
        <x:f>K123/F123</x:f>
        <x:v>11.57801560219441</x:v>
      </x:c>
      <x:c r="U123" s="25" t="str">
        <x:f>IF(H123&gt;=Subsurface_Inputs!$C$42,"Lens visible","Weak/no lens")</x:f>
        <x:v>Weak/no lens</x:v>
      </x:c>
      <x:c r="V123" s="25" t="str">
        <x:f>IF(R123&gt;=W123,"Likely visible","Weak")</x:f>
        <x:v>Likely visible</x:v>
      </x:c>
      <x:c r="W123" s="24" t="n">
        <x:f>Subsurface_Inputs!$C$43</x:f>
        <x:v>-45</x:v>
      </x:c>
      <x:c r="X123" s="24" t="n">
        <x:f>Q123-W123</x:f>
        <x:v>12.65580521169096</x:v>
      </x:c>
      <x:c r="Y123" s="24" t="n">
        <x:f>R123-W123</x:f>
        <x:v>7.56799385614989</x:v>
      </x:c>
      <x:c r="Z123" s="24" t="n">
        <x:f>MAX(Q123,R123)-W123</x:f>
        <x:v>12.65580521169096</x:v>
      </x:c>
      <x:c r="AA123" s="24" t="n">
        <x:v>0</x:v>
      </x:c>
    </x:row>
    <x:row r="124">
      <x:c r="A124" s="24" t="n">
        <x:f>Model_Data!A124</x:f>
        <x:v>1</x:v>
      </x:c>
      <x:c r="B124" s="24" t="n">
        <x:f>Model_Data!Y124</x:f>
        <x:v>497.58165314697214</x:v>
      </x:c>
      <x:c r="C124" s="24" t="n">
        <x:f>Model_Data!X124</x:f>
        <x:v>43.07644622126787</x:v>
      </x:c>
      <x:c r="D124" s="24" t="n">
        <x:f>Model_Data!B124</x:f>
        <x:v>400.00111111111113</x:v>
      </x:c>
      <x:c r="E124" s="24" t="n">
        <x:f>Inputs!$C$6</x:f>
        <x:v>25</x:v>
      </x:c>
      <x:c r="F124" s="24" t="n">
        <x:f>Subsurface_Inputs!$C$5+Subsurface_Inputs!$C$6*SIN(2*PI()*(A124+Subsurface_Inputs!$C$7)/Subsurface_Inputs!$C$8)+Subsurface_Inputs!$C$9*COS(2*PI()*A124/Subsurface_Inputs!$C$10)+Subsurface_Inputs!$C$11*(B124-AVERAGE($B$2:$B$242))</x:f>
        <x:v>1374.6138282324848</x:v>
      </x:c>
      <x:c r="G124" s="24" t="n">
        <x:f>B124-F124</x:f>
        <x:v>-877.0321750855127</x:v>
      </x:c>
      <x:c r="H124" s="24" t="n">
        <x:f>MIN(1,MAX(0,Subsurface_Inputs!$C$13*EXP(-0.5*((A124-Subsurface_Inputs!$C$14)/Subsurface_Inputs!$C$15)^2)+Subsurface_Inputs!$C$16*EXP(-0.5*((A124-Subsurface_Inputs!$C$17)/Subsurface_Inputs!$C$18)^2)))</x:f>
        <x:v>0.04272103853545682</x:v>
      </x:c>
      <x:c r="I124" s="24" t="n">
        <x:f>Subsurface_Inputs!$C$19+Subsurface_Inputs!$C$20*SIN(2*PI()*(A124-Subsurface_Inputs!$C$21)/Subsurface_Inputs!$C$22)-Subsurface_Inputs!$C$23*H124</x:f>
        <x:v>4895.362073394291</x:v>
      </x:c>
      <x:c r="J124" s="24" t="n">
        <x:f>B124-I124</x:f>
        <x:v>-4397.780420247319</x:v>
      </x:c>
      <x:c r="K124" s="24" t="n">
        <x:f>Subsurface_Inputs!$C$25+Subsurface_Inputs!$C$26*SIN(2*PI()*(A124+Subsurface_Inputs!$C$27)/Subsurface_Inputs!$C$28)+Subsurface_Inputs!$C$29*COS(2*PI()*(A124-Subsurface_Inputs!$C$30)/Subsurface_Inputs!$C$31)-Subsurface_Inputs!$C$32*(B124-AVERAGE($B$2:$B$242))</x:f>
        <x:v>15947.69149082374</x:v>
      </x:c>
      <x:c r="L124" s="24" t="n">
        <x:f>B124-K124</x:f>
        <x:v>-15450.109837676768</x:v>
      </x:c>
      <x:c r="M124" s="24" t="n">
        <x:f>2*Subsurface_Inputs!$C$34*F124/Subsurface_Inputs!$C$35*1000000</x:f>
        <x:v>16.32337671586003</x:v>
      </x:c>
      <x:c r="N124" s="24" t="n">
        <x:f>2*Subsurface_Inputs!$C$34*I124/Subsurface_Inputs!$C$35*1000000</x:f>
        <x:v>58.13184593617653</x:v>
      </x:c>
      <x:c r="O124" s="24" t="n">
        <x:f>2*Subsurface_Inputs!$C$34*K124/Subsurface_Inputs!$C$35*1000000</x:f>
        <x:v>189.37695126183766</x:v>
      </x:c>
      <x:c r="P124" s="24" t="n">
        <x:f>Subsurface_Inputs!$C$37-2*Subsurface_Inputs!$C$36*(F124/1000)</x:f>
        <x:v>-12.474304890818473</x:v>
      </x:c>
      <x:c r="Q124" s="24" t="n">
        <x:f>Subsurface_Inputs!$C$38+Subsurface_Inputs!$C$39*H124-2*Subsurface_Inputs!$C$36*(I124/1000)</x:f>
        <x:v>-32.427162385290615</x:v>
      </x:c>
      <x:c r="R124" s="24" t="n">
        <x:f>Subsurface_Inputs!$C$40-2*Subsurface_Inputs!$C$36*(K124/1000)-Subsurface_Inputs!$C$41*ABS(L124-AVERAGE($L$2:$L$242))</x:f>
        <x:v>-37.458453520218434</x:v>
      </x:c>
      <x:c r="S124" s="24" t="n">
        <x:f>K124-AVERAGE($K$2:$K$242)</x:f>
        <x:v>870.3067952496294</x:v>
      </x:c>
      <x:c r="T124" s="24" t="n">
        <x:f>K124/F124</x:f>
        <x:v>11.601579413273987</x:v>
      </x:c>
      <x:c r="U124" s="25" t="str">
        <x:f>IF(H124&gt;=Subsurface_Inputs!$C$42,"Lens visible","Weak/no lens")</x:f>
        <x:v>Weak/no lens</x:v>
      </x:c>
      <x:c r="V124" s="25" t="str">
        <x:f>IF(R124&gt;=W124,"Likely visible","Weak")</x:f>
        <x:v>Likely visible</x:v>
      </x:c>
      <x:c r="W124" s="24" t="n">
        <x:f>Subsurface_Inputs!$C$43</x:f>
        <x:v>-45</x:v>
      </x:c>
      <x:c r="X124" s="24" t="n">
        <x:f>Q124-W124</x:f>
        <x:v>12.572837614709385</x:v>
      </x:c>
      <x:c r="Y124" s="24" t="n">
        <x:f>R124-W124</x:f>
        <x:v>7.541546479781566</x:v>
      </x:c>
      <x:c r="Z124" s="24" t="n">
        <x:f>MAX(Q124,R124)-W124</x:f>
        <x:v>12.572837614709385</x:v>
      </x:c>
      <x:c r="AA124" s="24" t="n">
        <x:v>0</x:v>
      </x:c>
    </x:row>
    <x:row r="125">
      <x:c r="A125" s="24" t="n">
        <x:f>Model_Data!A125</x:f>
        <x:v>1.5</x:v>
      </x:c>
      <x:c r="B125" s="24" t="n">
        <x:f>Model_Data!Y125</x:f>
        <x:v>516.864115303311</x:v>
      </x:c>
      <x:c r="C125" s="24" t="n">
        <x:f>Model_Data!X125</x:f>
        <x:v>46.8149548284789</x:v>
      </x:c>
      <x:c r="D125" s="24" t="n">
        <x:f>Model_Data!B125</x:f>
        <x:v>400.0025</x:v>
      </x:c>
      <x:c r="E125" s="24" t="n">
        <x:f>Inputs!$C$6</x:f>
        <x:v>25</x:v>
      </x:c>
      <x:c r="F125" s="24" t="n">
        <x:f>Subsurface_Inputs!$C$5+Subsurface_Inputs!$C$6*SIN(2*PI()*(A125+Subsurface_Inputs!$C$7)/Subsurface_Inputs!$C$8)+Subsurface_Inputs!$C$9*COS(2*PI()*A125/Subsurface_Inputs!$C$10)+Subsurface_Inputs!$C$11*(B125-AVERAGE($B$2:$B$242))</x:f>
        <x:v>1371.3030922152293</x:v>
      </x:c>
      <x:c r="G125" s="24" t="n">
        <x:f>B125-F125</x:f>
        <x:v>-854.4389769119183</x:v>
      </x:c>
      <x:c r="H125" s="24" t="n">
        <x:f>MIN(1,MAX(0,Subsurface_Inputs!$C$13*EXP(-0.5*((A125-Subsurface_Inputs!$C$14)/Subsurface_Inputs!$C$15)^2)+Subsurface_Inputs!$C$16*EXP(-0.5*((A125-Subsurface_Inputs!$C$17)/Subsurface_Inputs!$C$18)^2)))</x:f>
        <x:v>0.03801747002116902</x:v>
      </x:c>
      <x:c r="I125" s="24" t="n">
        <x:f>Subsurface_Inputs!$C$19+Subsurface_Inputs!$C$20*SIN(2*PI()*(A125-Subsurface_Inputs!$C$21)/Subsurface_Inputs!$C$22)-Subsurface_Inputs!$C$23*H125</x:f>
        <x:v>4915.107030422499</x:v>
      </x:c>
      <x:c r="J125" s="24" t="n">
        <x:f>B125-I125</x:f>
        <x:v>-4398.242915119187</x:v>
      </x:c>
      <x:c r="K125" s="24" t="n">
        <x:f>Subsurface_Inputs!$C$25+Subsurface_Inputs!$C$26*SIN(2*PI()*(A125+Subsurface_Inputs!$C$27)/Subsurface_Inputs!$C$28)+Subsurface_Inputs!$C$29*COS(2*PI()*(A125-Subsurface_Inputs!$C$30)/Subsurface_Inputs!$C$31)-Subsurface_Inputs!$C$32*(B125-AVERAGE($B$2:$B$242))</x:f>
        <x:v>15960.826835798127</x:v>
      </x:c>
      <x:c r="L125" s="24" t="n">
        <x:f>B125-K125</x:f>
        <x:v>-15443.962720494816</x:v>
      </x:c>
      <x:c r="M125" s="24" t="n">
        <x:f>2*Subsurface_Inputs!$C$34*F125/Subsurface_Inputs!$C$35*1000000</x:f>
        <x:v>16.284062117020355</x:v>
      </x:c>
      <x:c r="N125" s="24" t="n">
        <x:f>2*Subsurface_Inputs!$C$34*I125/Subsurface_Inputs!$C$35*1000000</x:f>
        <x:v>58.36631496681647</x:v>
      </x:c>
      <x:c r="O125" s="24" t="n">
        <x:f>2*Subsurface_Inputs!$C$34*K125/Subsurface_Inputs!$C$35*1000000</x:f>
        <x:v>189.53293193066696</x:v>
      </x:c>
      <x:c r="P125" s="24" t="n">
        <x:f>Subsurface_Inputs!$C$37-2*Subsurface_Inputs!$C$36*(F125/1000)</x:f>
        <x:v>-12.468345565987413</x:v>
      </x:c>
      <x:c r="Q125" s="24" t="n">
        <x:f>Subsurface_Inputs!$C$38+Subsurface_Inputs!$C$39*H125-2*Subsurface_Inputs!$C$36*(I125/1000)</x:f>
        <x:v>-32.505035424569975</x:v>
      </x:c>
      <x:c r="R125" s="24" t="n">
        <x:f>Subsurface_Inputs!$C$40-2*Subsurface_Inputs!$C$36*(K125/1000)-Subsurface_Inputs!$C$41*ABS(L125-AVERAGE($L$2:$L$242))</x:f>
        <x:v>-37.45750867244452</x:v>
      </x:c>
      <x:c r="S125" s="24" t="n">
        <x:f>K125-AVERAGE($K$2:$K$242)</x:f>
        <x:v>883.4421402240168</x:v>
      </x:c>
      <x:c r="T125" s="24" t="n">
        <x:f>K125/F125</x:f>
        <x:v>11.639167829786413</x:v>
      </x:c>
      <x:c r="U125" s="25" t="str">
        <x:f>IF(H125&gt;=Subsurface_Inputs!$C$42,"Lens visible","Weak/no lens")</x:f>
        <x:v>Weak/no lens</x:v>
      </x:c>
      <x:c r="V125" s="25" t="str">
        <x:f>IF(R125&gt;=W125,"Likely visible","Weak")</x:f>
        <x:v>Likely visible</x:v>
      </x:c>
      <x:c r="W125" s="24" t="n">
        <x:f>Subsurface_Inputs!$C$43</x:f>
        <x:v>-45</x:v>
      </x:c>
      <x:c r="X125" s="24" t="n">
        <x:f>Q125-W125</x:f>
        <x:v>12.494964575430025</x:v>
      </x:c>
      <x:c r="Y125" s="24" t="n">
        <x:f>R125-W125</x:f>
        <x:v>7.5424913275554815</x:v>
      </x:c>
      <x:c r="Z125" s="24" t="n">
        <x:f>MAX(Q125,R125)-W125</x:f>
        <x:v>12.494964575430025</x:v>
      </x:c>
      <x:c r="AA125" s="24" t="n">
        <x:v>0</x:v>
      </x:c>
    </x:row>
    <x:row r="126">
      <x:c r="A126" s="24" t="n">
        <x:f>Model_Data!A126</x:f>
        <x:v>2</x:v>
      </x:c>
      <x:c r="B126" s="24" t="n">
        <x:f>Model_Data!Y126</x:f>
        <x:v>534.5064840723982</x:v>
      </x:c>
      <x:c r="C126" s="24" t="n">
        <x:f>Model_Data!X126</x:f>
        <x:v>65.55817790320465</x:v>
      </x:c>
      <x:c r="D126" s="24" t="n">
        <x:f>Model_Data!B126</x:f>
        <x:v>400.00444444444446</x:v>
      </x:c>
      <x:c r="E126" s="24" t="n">
        <x:f>Inputs!$C$6</x:f>
        <x:v>25</x:v>
      </x:c>
      <x:c r="F126" s="24" t="n">
        <x:f>Subsurface_Inputs!$C$5+Subsurface_Inputs!$C$6*SIN(2*PI()*(A126+Subsurface_Inputs!$C$7)/Subsurface_Inputs!$C$8)+Subsurface_Inputs!$C$9*COS(2*PI()*A126/Subsurface_Inputs!$C$10)+Subsurface_Inputs!$C$11*(B126-AVERAGE($B$2:$B$242))</x:f>
        <x:v>1366.016806901526</x:v>
      </x:c>
      <x:c r="G126" s="24" t="n">
        <x:f>B126-F126</x:f>
        <x:v>-831.5103228291279</x:v>
      </x:c>
      <x:c r="H126" s="24" t="n">
        <x:f>MIN(1,MAX(0,Subsurface_Inputs!$C$13*EXP(-0.5*((A126-Subsurface_Inputs!$C$14)/Subsurface_Inputs!$C$15)^2)+Subsurface_Inputs!$C$16*EXP(-0.5*((A126-Subsurface_Inputs!$C$17)/Subsurface_Inputs!$C$18)^2)))</x:f>
        <x:v>0.03387632578059738</x:v>
      </x:c>
      <x:c r="I126" s="24" t="n">
        <x:f>Subsurface_Inputs!$C$19+Subsurface_Inputs!$C$20*SIN(2*PI()*(A126-Subsurface_Inputs!$C$21)/Subsurface_Inputs!$C$22)-Subsurface_Inputs!$C$23*H126</x:f>
        <x:v>4934.974970543156</x:v>
      </x:c>
      <x:c r="J126" s="24" t="n">
        <x:f>B126-I126</x:f>
        <x:v>-4400.468486470758</x:v>
      </x:c>
      <x:c r="K126" s="24" t="n">
        <x:f>Subsurface_Inputs!$C$25+Subsurface_Inputs!$C$26*SIN(2*PI()*(A126+Subsurface_Inputs!$C$27)/Subsurface_Inputs!$C$28)+Subsurface_Inputs!$C$29*COS(2*PI()*(A126-Subsurface_Inputs!$C$30)/Subsurface_Inputs!$C$31)-Subsurface_Inputs!$C$32*(B126-AVERAGE($B$2:$B$242))</x:f>
        <x:v>15973.127659706997</x:v>
      </x:c>
      <x:c r="L126" s="24" t="n">
        <x:f>B126-K126</x:f>
        <x:v>-15438.621175634598</x:v>
      </x:c>
      <x:c r="M126" s="24" t="n">
        <x:f>2*Subsurface_Inputs!$C$34*F126/Subsurface_Inputs!$C$35*1000000</x:f>
        <x:v>16.221288103816917</x:v>
      </x:c>
      <x:c r="N126" s="24" t="n">
        <x:f>2*Subsurface_Inputs!$C$34*I126/Subsurface_Inputs!$C$35*1000000</x:f>
        <x:v>58.60224440714128</x:v>
      </x:c>
      <x:c r="O126" s="24" t="n">
        <x:f>2*Subsurface_Inputs!$C$34*K126/Subsurface_Inputs!$C$35*1000000</x:f>
        <x:v>189.67900276049275</x:v>
      </x:c>
      <x:c r="P126" s="24" t="n">
        <x:f>Subsurface_Inputs!$C$37-2*Subsurface_Inputs!$C$36*(F126/1000)</x:f>
        <x:v>-12.458830252422747</x:v>
      </x:c>
      <x:c r="Q126" s="24" t="n">
        <x:f>Subsurface_Inputs!$C$38+Subsurface_Inputs!$C$39*H126-2*Subsurface_Inputs!$C$36*(I126/1000)</x:f>
        <x:v>-32.57806801495231</x:v>
      </x:c>
      <x:c r="R126" s="24" t="n">
        <x:f>Subsurface_Inputs!$C$40-2*Subsurface_Inputs!$C$36*(K126/1000)-Subsurface_Inputs!$C$41*ABS(L126-AVERAGE($L$2:$L$242))</x:f>
        <x:v>-37.45828397603962</x:v>
      </x:c>
      <x:c r="S126" s="24" t="n">
        <x:f>K126-AVERAGE($K$2:$K$242)</x:f>
        <x:v>895.7429641328872</x:v>
      </x:c>
      <x:c r="T126" s="24" t="n">
        <x:f>K126/F126</x:f>
        <x:v>11.69321459224072</x:v>
      </x:c>
      <x:c r="U126" s="25" t="str">
        <x:f>IF(H126&gt;=Subsurface_Inputs!$C$42,"Lens visible","Weak/no lens")</x:f>
        <x:v>Weak/no lens</x:v>
      </x:c>
      <x:c r="V126" s="25" t="str">
        <x:f>IF(R126&gt;=W126,"Likely visible","Weak")</x:f>
        <x:v>Likely visible</x:v>
      </x:c>
      <x:c r="W126" s="24" t="n">
        <x:f>Subsurface_Inputs!$C$43</x:f>
        <x:v>-45</x:v>
      </x:c>
      <x:c r="X126" s="24" t="n">
        <x:f>Q126-W126</x:f>
        <x:v>12.421931985047692</x:v>
      </x:c>
      <x:c r="Y126" s="24" t="n">
        <x:f>R126-W126</x:f>
        <x:v>7.541716023960383</x:v>
      </x:c>
      <x:c r="Z126" s="24" t="n">
        <x:f>MAX(Q126,R126)-W126</x:f>
        <x:v>12.421931985047692</x:v>
      </x:c>
      <x:c r="AA126" s="24" t="n">
        <x:v>0</x:v>
      </x:c>
    </x:row>
    <x:row r="127">
      <x:c r="A127" s="24" t="n">
        <x:f>Model_Data!A127</x:f>
        <x:v>2.5</x:v>
      </x:c>
      <x:c r="B127" s="24" t="n">
        <x:f>Model_Data!Y127</x:f>
        <x:v>549.7308148691991</x:v>
      </x:c>
      <x:c r="C127" s="24" t="n">
        <x:f>Model_Data!X127</x:f>
        <x:v>70.90088362648228</x:v>
      </x:c>
      <x:c r="D127" s="24" t="n">
        <x:f>Model_Data!B127</x:f>
        <x:v>400.00694444444446</x:v>
      </x:c>
      <x:c r="E127" s="24" t="n">
        <x:f>Inputs!$C$6</x:f>
        <x:v>25</x:v>
      </x:c>
      <x:c r="F127" s="24" t="n">
        <x:f>Subsurface_Inputs!$C$5+Subsurface_Inputs!$C$6*SIN(2*PI()*(A127+Subsurface_Inputs!$C$7)/Subsurface_Inputs!$C$8)+Subsurface_Inputs!$C$9*COS(2*PI()*A127/Subsurface_Inputs!$C$10)+Subsurface_Inputs!$C$11*(B127-AVERAGE($B$2:$B$242))</x:f>
        <x:v>1358.8064762795648</x:v>
      </x:c>
      <x:c r="G127" s="24" t="n">
        <x:f>B127-F127</x:f>
        <x:v>-809.0756614103657</x:v>
      </x:c>
      <x:c r="H127" s="24" t="n">
        <x:f>MIN(1,MAX(0,Subsurface_Inputs!$C$13*EXP(-0.5*((A127-Subsurface_Inputs!$C$14)/Subsurface_Inputs!$C$15)^2)+Subsurface_Inputs!$C$16*EXP(-0.5*((A127-Subsurface_Inputs!$C$17)/Subsurface_Inputs!$C$18)^2)))</x:f>
        <x:v>0.030268533619586264</x:v>
      </x:c>
      <x:c r="I127" s="24" t="n">
        <x:f>Subsurface_Inputs!$C$19+Subsurface_Inputs!$C$20*SIN(2*PI()*(A127-Subsurface_Inputs!$C$21)/Subsurface_Inputs!$C$22)-Subsurface_Inputs!$C$23*H127</x:f>
        <x:v>4954.945170789036</x:v>
      </x:c>
      <x:c r="J127" s="24" t="n">
        <x:f>B127-I127</x:f>
        <x:v>-4405.214355919837</x:v>
      </x:c>
      <x:c r="K127" s="24" t="n">
        <x:f>Subsurface_Inputs!$C$25+Subsurface_Inputs!$C$26*SIN(2*PI()*(A127+Subsurface_Inputs!$C$27)/Subsurface_Inputs!$C$28)+Subsurface_Inputs!$C$29*COS(2*PI()*(A127-Subsurface_Inputs!$C$30)/Subsurface_Inputs!$C$31)-Subsurface_Inputs!$C$32*(B127-AVERAGE($B$2:$B$242))</x:f>
        <x:v>15984.674832252715</x:v>
      </x:c>
      <x:c r="L127" s="24" t="n">
        <x:f>B127-K127</x:f>
        <x:v>-15434.944017383516</x:v>
      </x:c>
      <x:c r="M127" s="24" t="n">
        <x:f>2*Subsurface_Inputs!$C$34*F127/Subsurface_Inputs!$C$35*1000000</x:f>
        <x:v>16.13566628002113</x:v>
      </x:c>
      <x:c r="N127" s="24" t="n">
        <x:f>2*Subsurface_Inputs!$C$34*I127/Subsurface_Inputs!$C$35*1000000</x:f>
        <x:v>58.83938817436484</x:v>
      </x:c>
      <x:c r="O127" s="24" t="n">
        <x:f>2*Subsurface_Inputs!$C$34*K127/Subsurface_Inputs!$C$35*1000000</x:f>
        <x:v>189.81612406947096</x:v>
      </x:c>
      <x:c r="P127" s="24" t="n">
        <x:f>Subsurface_Inputs!$C$37-2*Subsurface_Inputs!$C$36*(F127/1000)</x:f>
        <x:v>-12.445851657303217</x:v>
      </x:c>
      <x:c r="Q127" s="24" t="n">
        <x:f>Subsurface_Inputs!$C$38+Subsurface_Inputs!$C$39*H127-2*Subsurface_Inputs!$C$36*(I127/1000)</x:f>
        <x:v>-32.64648450484399</x:v>
      </x:c>
      <x:c r="R127" s="24" t="n">
        <x:f>Subsurface_Inputs!$C$40-2*Subsurface_Inputs!$C$36*(K127/1000)-Subsurface_Inputs!$C$41*ABS(L127-AVERAGE($L$2:$L$242))</x:f>
        <x:v>-37.46436025361758</x:v>
      </x:c>
      <x:c r="S127" s="24" t="n">
        <x:f>K127-AVERAGE($K$2:$K$242)</x:f>
        <x:v>907.2901366786045</x:v>
      </x:c>
      <x:c r="T127" s="24" t="n">
        <x:f>K127/F127</x:f>
        <x:v>11.763761147223132</x:v>
      </x:c>
      <x:c r="U127" s="25" t="str">
        <x:f>IF(H127&gt;=Subsurface_Inputs!$C$42,"Lens visible","Weak/no lens")</x:f>
        <x:v>Weak/no lens</x:v>
      </x:c>
      <x:c r="V127" s="25" t="str">
        <x:f>IF(R127&gt;=W127,"Likely visible","Weak")</x:f>
        <x:v>Likely visible</x:v>
      </x:c>
      <x:c r="W127" s="24" t="n">
        <x:f>Subsurface_Inputs!$C$43</x:f>
        <x:v>-45</x:v>
      </x:c>
      <x:c r="X127" s="24" t="n">
        <x:f>Q127-W127</x:f>
        <x:v>12.35351549515601</x:v>
      </x:c>
      <x:c r="Y127" s="24" t="n">
        <x:f>R127-W127</x:f>
        <x:v>7.535639746382422</x:v>
      </x:c>
      <x:c r="Z127" s="24" t="n">
        <x:f>MAX(Q127,R127)-W127</x:f>
        <x:v>12.35351549515601</x:v>
      </x:c>
      <x:c r="AA127" s="24" t="n">
        <x:v>0</x:v>
      </x:c>
    </x:row>
    <x:row r="128">
      <x:c r="A128" s="24" t="n">
        <x:f>Model_Data!A128</x:f>
        <x:v>3</x:v>
      </x:c>
      <x:c r="B128" s="24" t="n">
        <x:f>Model_Data!Y128</x:f>
        <x:v>536.8431041026216</x:v>
      </x:c>
      <x:c r="C128" s="24" t="n">
        <x:f>Model_Data!X128</x:f>
        <x:v>82.12086586426281</x:v>
      </x:c>
      <x:c r="D128" s="24" t="n">
        <x:f>Model_Data!B128</x:f>
        <x:v>400.01</x:v>
      </x:c>
      <x:c r="E128" s="24" t="n">
        <x:f>Inputs!$C$6</x:f>
        <x:v>25</x:v>
      </x:c>
      <x:c r="F128" s="24" t="n">
        <x:f>Subsurface_Inputs!$C$5+Subsurface_Inputs!$C$6*SIN(2*PI()*(A128+Subsurface_Inputs!$C$7)/Subsurface_Inputs!$C$8)+Subsurface_Inputs!$C$9*COS(2*PI()*A128/Subsurface_Inputs!$C$10)+Subsurface_Inputs!$C$11*(B128-AVERAGE($B$2:$B$242))</x:f>
        <x:v>1348.7496298570459</x:v>
      </x:c>
      <x:c r="G128" s="24" t="n">
        <x:f>B128-F128</x:f>
        <x:v>-811.9065257544243</x:v>
      </x:c>
      <x:c r="H128" s="24" t="n">
        <x:f>MIN(1,MAX(0,Subsurface_Inputs!$C$13*EXP(-0.5*((A128-Subsurface_Inputs!$C$14)/Subsurface_Inputs!$C$15)^2)+Subsurface_Inputs!$C$16*EXP(-0.5*((A128-Subsurface_Inputs!$C$17)/Subsurface_Inputs!$C$18)^2)))</x:f>
        <x:v>0.02716851990277489</x:v>
      </x:c>
      <x:c r="I128" s="24" t="n">
        <x:f>Subsurface_Inputs!$C$19+Subsurface_Inputs!$C$20*SIN(2*PI()*(A128-Subsurface_Inputs!$C$21)/Subsurface_Inputs!$C$22)-Subsurface_Inputs!$C$23*H128</x:f>
        <x:v>4974.995730593702</x:v>
      </x:c>
      <x:c r="J128" s="24" t="n">
        <x:f>B128-I128</x:f>
        <x:v>-4438.152626491081</x:v>
      </x:c>
      <x:c r="K128" s="24" t="n">
        <x:f>Subsurface_Inputs!$C$25+Subsurface_Inputs!$C$26*SIN(2*PI()*(A128+Subsurface_Inputs!$C$27)/Subsurface_Inputs!$C$28)+Subsurface_Inputs!$C$29*COS(2*PI()*(A128-Subsurface_Inputs!$C$30)/Subsurface_Inputs!$C$31)-Subsurface_Inputs!$C$32*(B128-AVERAGE($B$2:$B$242))</x:f>
        <x:v>15999.039471084727</x:v>
      </x:c>
      <x:c r="L128" s="24" t="n">
        <x:f>B128-K128</x:f>
        <x:v>-15462.196366982105</x:v>
      </x:c>
      <x:c r="M128" s="24" t="n">
        <x:f>2*Subsurface_Inputs!$C$34*F128/Subsurface_Inputs!$C$35*1000000</x:f>
        <x:v>16.016242417583044</x:v>
      </x:c>
      <x:c r="N128" s="24" t="n">
        <x:f>2*Subsurface_Inputs!$C$34*I128/Subsurface_Inputs!$C$35*1000000</x:f>
        <x:v>59.07748620184962</x:v>
      </x:c>
      <x:c r="O128" s="24" t="n">
        <x:f>2*Subsurface_Inputs!$C$34*K128/Subsurface_Inputs!$C$35*1000000</x:f>
        <x:v>189.98670245754357</x:v>
      </x:c>
      <x:c r="P128" s="24" t="n">
        <x:f>Subsurface_Inputs!$C$37-2*Subsurface_Inputs!$C$36*(F128/1000)</x:f>
        <x:v>-12.427749333742682</x:v>
      </x:c>
      <x:c r="Q128" s="24" t="n">
        <x:f>Subsurface_Inputs!$C$38+Subsurface_Inputs!$C$39*H128-2*Subsurface_Inputs!$C$36*(I128/1000)</x:f>
        <x:v>-32.710475635943695</x:v>
      </x:c>
      <x:c r="R128" s="24" t="n">
        <x:f>Subsurface_Inputs!$C$40-2*Subsurface_Inputs!$C$36*(K128/1000)-Subsurface_Inputs!$C$41*ABS(L128-AVERAGE($L$2:$L$242))</x:f>
        <x:v>-37.599226001909564</x:v>
      </x:c>
      <x:c r="S128" s="24" t="n">
        <x:f>K128-AVERAGE($K$2:$K$242)</x:f>
        <x:v>921.6547755106167</x:v>
      </x:c>
      <x:c r="T128" s="24" t="n">
        <x:f>K128/F128</x:f>
        <x:v>11.862127052283578</x:v>
      </x:c>
      <x:c r="U128" s="25" t="str">
        <x:f>IF(H128&gt;=Subsurface_Inputs!$C$42,"Lens visible","Weak/no lens")</x:f>
        <x:v>Weak/no lens</x:v>
      </x:c>
      <x:c r="V128" s="25" t="str">
        <x:f>IF(R128&gt;=W128,"Likely visible","Weak")</x:f>
        <x:v>Likely visible</x:v>
      </x:c>
      <x:c r="W128" s="24" t="n">
        <x:f>Subsurface_Inputs!$C$43</x:f>
        <x:v>-45</x:v>
      </x:c>
      <x:c r="X128" s="24" t="n">
        <x:f>Q128-W128</x:f>
        <x:v>12.289524364056305</x:v>
      </x:c>
      <x:c r="Y128" s="24" t="n">
        <x:f>R128-W128</x:f>
        <x:v>7.400773998090436</x:v>
      </x:c>
      <x:c r="Z128" s="24" t="n">
        <x:f>MAX(Q128,R128)-W128</x:f>
        <x:v>12.289524364056305</x:v>
      </x:c>
      <x:c r="AA128" s="24" t="n">
        <x:v>0</x:v>
      </x:c>
    </x:row>
    <x:row r="129">
      <x:c r="A129" s="24" t="n">
        <x:f>Model_Data!A129</x:f>
        <x:v>3.5</x:v>
      </x:c>
      <x:c r="B129" s="24" t="n">
        <x:f>Model_Data!Y129</x:f>
        <x:v>562.919019674553</x:v>
      </x:c>
      <x:c r="C129" s="24" t="n">
        <x:f>Model_Data!X129</x:f>
        <x:v>98.61636326587373</x:v>
      </x:c>
      <x:c r="D129" s="24" t="n">
        <x:f>Model_Data!B129</x:f>
        <x:v>400.0136111111111</x:v>
      </x:c>
      <x:c r="E129" s="24" t="n">
        <x:f>Inputs!$C$6</x:f>
        <x:v>25</x:v>
      </x:c>
      <x:c r="F129" s="24" t="n">
        <x:f>Subsurface_Inputs!$C$5+Subsurface_Inputs!$C$6*SIN(2*PI()*(A129+Subsurface_Inputs!$C$7)/Subsurface_Inputs!$C$8)+Subsurface_Inputs!$C$9*COS(2*PI()*A129/Subsurface_Inputs!$C$10)+Subsurface_Inputs!$C$11*(B129-AVERAGE($B$2:$B$242))</x:f>
        <x:v>1338.6555162950103</x:v>
      </x:c>
      <x:c r="G129" s="24" t="n">
        <x:f>B129-F129</x:f>
        <x:v>-775.7364966204573</x:v>
      </x:c>
      <x:c r="H129" s="24" t="n">
        <x:f>MIN(1,MAX(0,Subsurface_Inputs!$C$13*EXP(-0.5*((A129-Subsurface_Inputs!$C$14)/Subsurface_Inputs!$C$15)^2)+Subsurface_Inputs!$C$16*EXP(-0.5*((A129-Subsurface_Inputs!$C$17)/Subsurface_Inputs!$C$18)^2)))</x:f>
        <x:v>0.024554592113773616</x:v>
      </x:c>
      <x:c r="I129" s="24" t="n">
        <x:f>Subsurface_Inputs!$C$19+Subsurface_Inputs!$C$20*SIN(2*PI()*(A129-Subsurface_Inputs!$C$21)/Subsurface_Inputs!$C$22)-Subsurface_Inputs!$C$23*H129</x:f>
        <x:v>4995.103521127066</x:v>
      </x:c>
      <x:c r="J129" s="24" t="n">
        <x:f>B129-I129</x:f>
        <x:v>-4432.184501452513</x:v>
      </x:c>
      <x:c r="K129" s="24" t="n">
        <x:f>Subsurface_Inputs!$C$25+Subsurface_Inputs!$C$26*SIN(2*PI()*(A129+Subsurface_Inputs!$C$27)/Subsurface_Inputs!$C$28)+Subsurface_Inputs!$C$29*COS(2*PI()*(A129-Subsurface_Inputs!$C$30)/Subsurface_Inputs!$C$31)-Subsurface_Inputs!$C$32*(B129-AVERAGE($B$2:$B$242))</x:f>
        <x:v>16006.80700146983</x:v>
      </x:c>
      <x:c r="L129" s="24" t="n">
        <x:f>B129-K129</x:f>
        <x:v>-15443.887981795277</x:v>
      </x:c>
      <x:c r="M129" s="24" t="n">
        <x:f>2*Subsurface_Inputs!$C$34*F129/Subsurface_Inputs!$C$35*1000000</x:f>
        <x:v>15.896376012268584</x:v>
      </x:c>
      <x:c r="N129" s="24" t="n">
        <x:f>2*Subsurface_Inputs!$C$34*I129/Subsurface_Inputs!$C$35*1000000</x:f>
        <x:v>59.316263837472384</x:v>
      </x:c>
      <x:c r="O129" s="24" t="n">
        <x:f>2*Subsurface_Inputs!$C$34*K129/Subsurface_Inputs!$C$35*1000000</x:f>
        <x:v>190.07894096265957</x:v>
      </x:c>
      <x:c r="P129" s="24" t="n">
        <x:f>Subsurface_Inputs!$C$37-2*Subsurface_Inputs!$C$36*(F129/1000)</x:f>
        <x:v>-12.409579929331018</x:v>
      </x:c>
      <x:c r="Q129" s="24" t="n">
        <x:f>Subsurface_Inputs!$C$38+Subsurface_Inputs!$C$39*H129-2*Subsurface_Inputs!$C$36*(I129/1000)</x:f>
        <x:v>-32.77019500900475</x:v>
      </x:c>
      <x:c r="R129" s="24" t="n">
        <x:f>Subsurface_Inputs!$C$40-2*Subsurface_Inputs!$C$36*(K129/1000)-Subsurface_Inputs!$C$41*ABS(L129-AVERAGE($L$2:$L$242))</x:f>
        <x:v>-37.539974015855435</x:v>
      </x:c>
      <x:c r="S129" s="24" t="n">
        <x:f>K129-AVERAGE($K$2:$K$242)</x:f>
        <x:v>929.4223058957195</x:v>
      </x:c>
      <x:c r="T129" s="24" t="n">
        <x:f>K129/F129</x:f>
        <x:v>11.957375745010026</x:v>
      </x:c>
      <x:c r="U129" s="25" t="str">
        <x:f>IF(H129&gt;=Subsurface_Inputs!$C$42,"Lens visible","Weak/no lens")</x:f>
        <x:v>Weak/no lens</x:v>
      </x:c>
      <x:c r="V129" s="25" t="str">
        <x:f>IF(R129&gt;=W129,"Likely visible","Weak")</x:f>
        <x:v>Likely visible</x:v>
      </x:c>
      <x:c r="W129" s="24" t="n">
        <x:f>Subsurface_Inputs!$C$43</x:f>
        <x:v>-45</x:v>
      </x:c>
      <x:c r="X129" s="24" t="n">
        <x:f>Q129-W129</x:f>
        <x:v>12.229804990995248</x:v>
      </x:c>
      <x:c r="Y129" s="24" t="n">
        <x:f>R129-W129</x:f>
        <x:v>7.460025984144565</x:v>
      </x:c>
      <x:c r="Z129" s="24" t="n">
        <x:f>MAX(Q129,R129)-W129</x:f>
        <x:v>12.229804990995248</x:v>
      </x:c>
      <x:c r="AA129" s="24" t="n">
        <x:v>0</x:v>
      </x:c>
    </x:row>
    <x:row r="130">
      <x:c r="A130" s="24" t="n">
        <x:f>Model_Data!A130</x:f>
        <x:v>4</x:v>
      </x:c>
      <x:c r="B130" s="24" t="n">
        <x:f>Model_Data!Y130</x:f>
        <x:v>561.6697690573507</x:v>
      </x:c>
      <x:c r="C130" s="24" t="n">
        <x:f>Model_Data!X130</x:f>
        <x:v>96.36311355528144</x:v>
      </x:c>
      <x:c r="D130" s="24" t="n">
        <x:f>Model_Data!B130</x:f>
        <x:v>400.0177777777778</x:v>
      </x:c>
      <x:c r="E130" s="24" t="n">
        <x:f>Inputs!$C$6</x:f>
        <x:v>25</x:v>
      </x:c>
      <x:c r="F130" s="24" t="n">
        <x:f>Subsurface_Inputs!$C$5+Subsurface_Inputs!$C$6*SIN(2*PI()*(A130+Subsurface_Inputs!$C$7)/Subsurface_Inputs!$C$8)+Subsurface_Inputs!$C$9*COS(2*PI()*A130/Subsurface_Inputs!$C$10)+Subsurface_Inputs!$C$11*(B130-AVERAGE($B$2:$B$242))</x:f>
        <x:v>1326.0176749484222</x:v>
      </x:c>
      <x:c r="G130" s="24" t="n">
        <x:f>B130-F130</x:f>
        <x:v>-764.3479058910715</x:v>
      </x:c>
      <x:c r="H130" s="24" t="n">
        <x:f>MIN(1,MAX(0,Subsurface_Inputs!$C$13*EXP(-0.5*((A130-Subsurface_Inputs!$C$14)/Subsurface_Inputs!$C$15)^2)+Subsurface_Inputs!$C$16*EXP(-0.5*((A130-Subsurface_Inputs!$C$17)/Subsurface_Inputs!$C$18)^2)))</x:f>
        <x:v>0.022409288468860672</x:v>
      </x:c>
      <x:c r="I130" s="24" t="n">
        <x:f>Subsurface_Inputs!$C$19+Subsurface_Inputs!$C$20*SIN(2*PI()*(A130-Subsurface_Inputs!$C$21)/Subsurface_Inputs!$C$22)-Subsurface_Inputs!$C$23*H130</x:f>
        <x:v>5015.244142973658</x:v>
      </x:c>
      <x:c r="J130" s="24" t="n">
        <x:f>B130-I130</x:f>
        <x:v>-4453.574373916307</x:v>
      </x:c>
      <x:c r="K130" s="24" t="n">
        <x:f>Subsurface_Inputs!$C$25+Subsurface_Inputs!$C$26*SIN(2*PI()*(A130+Subsurface_Inputs!$C$27)/Subsurface_Inputs!$C$28)+Subsurface_Inputs!$C$29*COS(2*PI()*(A130-Subsurface_Inputs!$C$30)/Subsurface_Inputs!$C$31)-Subsurface_Inputs!$C$32*(B130-AVERAGE($B$2:$B$242))</x:f>
        <x:v>16017.235991847305</x:v>
      </x:c>
      <x:c r="L130" s="24" t="n">
        <x:f>B130-K130</x:f>
        <x:v>-15455.566222789954</x:v>
      </x:c>
      <x:c r="M130" s="24" t="n">
        <x:f>2*Subsurface_Inputs!$C$34*F130/Subsurface_Inputs!$C$35*1000000</x:f>
        <x:v>15.746303140209028</x:v>
      </x:c>
      <x:c r="N130" s="24" t="n">
        <x:f>2*Subsurface_Inputs!$C$34*I130/Subsurface_Inputs!$C$35*1000000</x:f>
        <x:v>59.5554313410587</x:v>
      </x:c>
      <x:c r="O130" s="24" t="n">
        <x:f>2*Subsurface_Inputs!$C$34*K130/Subsurface_Inputs!$C$35*1000000</x:f>
        <x:v>190.20278399057128</x:v>
      </x:c>
      <x:c r="P130" s="24" t="n">
        <x:f>Subsurface_Inputs!$C$37-2*Subsurface_Inputs!$C$36*(F130/1000)</x:f>
        <x:v>-12.386831814907161</x:v>
      </x:c>
      <x:c r="Q130" s="24" t="n">
        <x:f>Subsurface_Inputs!$C$38+Subsurface_Inputs!$C$39*H130-2*Subsurface_Inputs!$C$36*(I130/1000)</x:f>
        <x:v>-32.82575586113284</x:v>
      </x:c>
      <x:c r="R130" s="24" t="n">
        <x:f>Subsurface_Inputs!$C$40-2*Subsurface_Inputs!$C$36*(K130/1000)-Subsurface_Inputs!$C$41*ABS(L130-AVERAGE($L$2:$L$242))</x:f>
        <x:v>-37.6054591625136</x:v>
      </x:c>
      <x:c r="S130" s="24" t="n">
        <x:f>K130-AVERAGE($K$2:$K$242)</x:f>
        <x:v>939.8512962731947</x:v>
      </x:c>
      <x:c r="T130" s="24" t="n">
        <x:f>K130/F130</x:f>
        <x:v>12.079202483081776</x:v>
      </x:c>
      <x:c r="U130" s="25" t="str">
        <x:f>IF(H130&gt;=Subsurface_Inputs!$C$42,"Lens visible","Weak/no lens")</x:f>
        <x:v>Weak/no lens</x:v>
      </x:c>
      <x:c r="V130" s="25" t="str">
        <x:f>IF(R130&gt;=W130,"Likely visible","Weak")</x:f>
        <x:v>Likely visible</x:v>
      </x:c>
      <x:c r="W130" s="24" t="n">
        <x:f>Subsurface_Inputs!$C$43</x:f>
        <x:v>-45</x:v>
      </x:c>
      <x:c r="X130" s="24" t="n">
        <x:f>Q130-W130</x:f>
        <x:v>12.17424413886716</x:v>
      </x:c>
      <x:c r="Y130" s="24" t="n">
        <x:f>R130-W130</x:f>
        <x:v>7.394540837486403</x:v>
      </x:c>
      <x:c r="Z130" s="24" t="n">
        <x:f>MAX(Q130,R130)-W130</x:f>
        <x:v>12.17424413886716</x:v>
      </x:c>
      <x:c r="AA130" s="24" t="n">
        <x:v>0</x:v>
      </x:c>
    </x:row>
    <x:row r="131">
      <x:c r="A131" s="24" t="n">
        <x:f>Model_Data!A131</x:f>
        <x:v>4.5</x:v>
      </x:c>
      <x:c r="B131" s="24" t="n">
        <x:f>Model_Data!Y131</x:f>
        <x:v>568.6436382247327</x:v>
      </x:c>
      <x:c r="C131" s="24" t="n">
        <x:f>Model_Data!X131</x:f>
        <x:v>82.51998590748882</x:v>
      </x:c>
      <x:c r="D131" s="24" t="n">
        <x:f>Model_Data!B131</x:f>
        <x:v>400.0225</x:v>
      </x:c>
      <x:c r="E131" s="24" t="n">
        <x:f>Inputs!$C$6</x:f>
        <x:v>25</x:v>
      </x:c>
      <x:c r="F131" s="24" t="n">
        <x:f>Subsurface_Inputs!$C$5+Subsurface_Inputs!$C$6*SIN(2*PI()*(A131+Subsurface_Inputs!$C$7)/Subsurface_Inputs!$C$8)+Subsurface_Inputs!$C$9*COS(2*PI()*A131/Subsurface_Inputs!$C$10)+Subsurface_Inputs!$C$11*(B131-AVERAGE($B$2:$B$242))</x:f>
        <x:v>1312.4196434665566</x:v>
      </x:c>
      <x:c r="G131" s="24" t="n">
        <x:f>B131-F131</x:f>
        <x:v>-743.7760052418239</x:v>
      </x:c>
      <x:c r="H131" s="24" t="n">
        <x:f>MIN(1,MAX(0,Subsurface_Inputs!$C$13*EXP(-0.5*((A131-Subsurface_Inputs!$C$14)/Subsurface_Inputs!$C$15)^2)+Subsurface_Inputs!$C$16*EXP(-0.5*((A131-Subsurface_Inputs!$C$17)/Subsurface_Inputs!$C$18)^2)))</x:f>
        <x:v>0.020719693919225655</x:v>
      </x:c>
      <x:c r="I131" s="24" t="n">
        <x:f>Subsurface_Inputs!$C$19+Subsurface_Inputs!$C$20*SIN(2*PI()*(A131-Subsurface_Inputs!$C$21)/Subsurface_Inputs!$C$22)-Subsurface_Inputs!$C$23*H131</x:f>
        <x:v>5035.391892252217</x:v>
      </x:c>
      <x:c r="J131" s="24" t="n">
        <x:f>B131-I131</x:f>
        <x:v>-4466.748254027484</x:v>
      </x:c>
      <x:c r="K131" s="24" t="n">
        <x:f>Subsurface_Inputs!$C$25+Subsurface_Inputs!$C$26*SIN(2*PI()*(A131+Subsurface_Inputs!$C$27)/Subsurface_Inputs!$C$28)+Subsurface_Inputs!$C$29*COS(2*PI()*(A131-Subsurface_Inputs!$C$30)/Subsurface_Inputs!$C$31)-Subsurface_Inputs!$C$32*(B131-AVERAGE($B$2:$B$242))</x:f>
        <x:v>16025.329990466256</x:v>
      </x:c>
      <x:c r="L131" s="24" t="n">
        <x:f>B131-K131</x:f>
        <x:v>-15456.686352241524</x:v>
      </x:c>
      <x:c r="M131" s="24" t="n">
        <x:f>2*Subsurface_Inputs!$C$34*F131/Subsurface_Inputs!$C$35*1000000</x:f>
        <x:v>15.584828123798037</x:v>
      </x:c>
      <x:c r="N131" s="24" t="n">
        <x:f>2*Subsurface_Inputs!$C$34*I131/Subsurface_Inputs!$C$35*1000000</x:f>
        <x:v>59.79468348205709</x:v>
      </x:c>
      <x:c r="O131" s="24" t="n">
        <x:f>2*Subsurface_Inputs!$C$34*K131/Subsurface_Inputs!$C$35*1000000</x:f>
        <x:v>190.29889926737206</x:v>
      </x:c>
      <x:c r="P131" s="24" t="n">
        <x:f>Subsurface_Inputs!$C$37-2*Subsurface_Inputs!$C$36*(F131/1000)</x:f>
        <x:v>-12.362355358239803</x:v>
      </x:c>
      <x:c r="Q131" s="24" t="n">
        <x:f>Subsurface_Inputs!$C$38+Subsurface_Inputs!$C$39*H131-2*Subsurface_Inputs!$C$36*(I131/1000)</x:f>
        <x:v>-32.87722816078096</x:v>
      </x:c>
      <x:c r="R131" s="24" t="n">
        <x:f>Subsurface_Inputs!$C$40-2*Subsurface_Inputs!$C$36*(K131/1000)-Subsurface_Inputs!$C$41*ABS(L131-AVERAGE($L$2:$L$242))</x:f>
        <x:v>-37.62450887783399</x:v>
      </x:c>
      <x:c r="S131" s="24" t="n">
        <x:f>K131-AVERAGE($K$2:$K$242)</x:f>
        <x:v>947.9452948921462</x:v>
      </x:c>
      <x:c r="T131" s="24" t="n">
        <x:f>K131/F131</x:f>
        <x:v>12.210522808190975</x:v>
      </x:c>
      <x:c r="U131" s="25" t="str">
        <x:f>IF(H131&gt;=Subsurface_Inputs!$C$42,"Lens visible","Weak/no lens")</x:f>
        <x:v>Weak/no lens</x:v>
      </x:c>
      <x:c r="V131" s="25" t="str">
        <x:f>IF(R131&gt;=W131,"Likely visible","Weak")</x:f>
        <x:v>Likely visible</x:v>
      </x:c>
      <x:c r="W131" s="24" t="n">
        <x:f>Subsurface_Inputs!$C$43</x:f>
        <x:v>-45</x:v>
      </x:c>
      <x:c r="X131" s="24" t="n">
        <x:f>Q131-W131</x:f>
        <x:v>12.122771839219041</x:v>
      </x:c>
      <x:c r="Y131" s="24" t="n">
        <x:f>R131-W131</x:f>
        <x:v>7.375491122166011</x:v>
      </x:c>
      <x:c r="Z131" s="24" t="n">
        <x:f>MAX(Q131,R131)-W131</x:f>
        <x:v>12.122771839219041</x:v>
      </x:c>
      <x:c r="AA131" s="24" t="n">
        <x:v>0</x:v>
      </x:c>
    </x:row>
    <x:row r="132">
      <x:c r="A132" s="24" t="n">
        <x:f>Model_Data!A132</x:f>
        <x:v>5</x:v>
      </x:c>
      <x:c r="B132" s="24" t="n">
        <x:f>Model_Data!Y132</x:f>
        <x:v>548.8146920903409</x:v>
      </x:c>
      <x:c r="C132" s="24" t="n">
        <x:f>Model_Data!X132</x:f>
        <x:v>98.94976350623145</x:v>
      </x:c>
      <x:c r="D132" s="24" t="n">
        <x:f>Model_Data!B132</x:f>
        <x:v>400.02777777777777</x:v>
      </x:c>
      <x:c r="E132" s="24" t="n">
        <x:f>Inputs!$C$6</x:f>
        <x:v>25</x:v>
      </x:c>
      <x:c r="F132" s="24" t="n">
        <x:f>Subsurface_Inputs!$C$5+Subsurface_Inputs!$C$6*SIN(2*PI()*(A132+Subsurface_Inputs!$C$7)/Subsurface_Inputs!$C$8)+Subsurface_Inputs!$C$9*COS(2*PI()*A132/Subsurface_Inputs!$C$10)+Subsurface_Inputs!$C$11*(B132-AVERAGE($B$2:$B$242))</x:f>
        <x:v>1296.6359029784055</x:v>
      </x:c>
      <x:c r="G132" s="24" t="n">
        <x:f>B132-F132</x:f>
        <x:v>-747.8212108880646</x:v>
      </x:c>
      <x:c r="H132" s="24" t="n">
        <x:f>MIN(1,MAX(0,Subsurface_Inputs!$C$13*EXP(-0.5*((A132-Subsurface_Inputs!$C$14)/Subsurface_Inputs!$C$15)^2)+Subsurface_Inputs!$C$16*EXP(-0.5*((A132-Subsurface_Inputs!$C$17)/Subsurface_Inputs!$C$18)^2)))</x:f>
        <x:v>0.019477720976596405</x:v>
      </x:c>
      <x:c r="I132" s="24" t="n">
        <x:f>Subsurface_Inputs!$C$19+Subsurface_Inputs!$C$20*SIN(2*PI()*(A132-Subsurface_Inputs!$C$21)/Subsurface_Inputs!$C$22)-Subsurface_Inputs!$C$23*H132</x:f>
        <x:v>5055.519735490639</x:v>
      </x:c>
      <x:c r="J132" s="24" t="n">
        <x:f>B132-I132</x:f>
        <x:v>-4506.705043400298</x:v>
      </x:c>
      <x:c r="K132" s="24" t="n">
        <x:f>Subsurface_Inputs!$C$25+Subsurface_Inputs!$C$26*SIN(2*PI()*(A132+Subsurface_Inputs!$C$27)/Subsurface_Inputs!$C$28)+Subsurface_Inputs!$C$29*COS(2*PI()*(A132-Subsurface_Inputs!$C$30)/Subsurface_Inputs!$C$31)-Subsurface_Inputs!$C$32*(B132-AVERAGE($B$2:$B$242))</x:f>
        <x:v>16035.975154282105</x:v>
      </x:c>
      <x:c r="L132" s="24" t="n">
        <x:f>B132-K132</x:f>
        <x:v>-15487.160462191765</x:v>
      </x:c>
      <x:c r="M132" s="24" t="n">
        <x:f>2*Subsurface_Inputs!$C$34*F132/Subsurface_Inputs!$C$35*1000000</x:f>
        <x:v>15.397398071312132</x:v>
      </x:c>
      <x:c r="N132" s="24" t="n">
        <x:f>2*Subsurface_Inputs!$C$34*I132/Subsurface_Inputs!$C$35*1000000</x:f>
        <x:v>60.033699241181964</x:v>
      </x:c>
      <x:c r="O132" s="24" t="n">
        <x:f>2*Subsurface_Inputs!$C$34*K132/Subsurface_Inputs!$C$35*1000000</x:f>
        <x:v>190.4253093293104</x:v>
      </x:c>
      <x:c r="P132" s="24" t="n">
        <x:f>Subsurface_Inputs!$C$37-2*Subsurface_Inputs!$C$36*(F132/1000)</x:f>
        <x:v>-12.33394462536113</x:v>
      </x:c>
      <x:c r="Q132" s="24" t="n">
        <x:f>Subsurface_Inputs!$C$38+Subsurface_Inputs!$C$39*H132-2*Subsurface_Inputs!$C$36*(I132/1000)</x:f>
        <x:v>-32.92463603509378</x:v>
      </x:c>
      <x:c r="R132" s="24" t="n">
        <x:f>Subsurface_Inputs!$C$40-2*Subsurface_Inputs!$C$36*(K132/1000)-Subsurface_Inputs!$C$41*ABS(L132-AVERAGE($L$2:$L$242))</x:f>
        <x:v>-37.76556661250348</x:v>
      </x:c>
      <x:c r="S132" s="24" t="n">
        <x:f>K132-AVERAGE($K$2:$K$242)</x:f>
        <x:v>958.5904587079949</x:v>
      </x:c>
      <x:c r="T132" s="24" t="n">
        <x:f>K132/F132</x:f>
        <x:v>12.367369372887998</x:v>
      </x:c>
      <x:c r="U132" s="25" t="str">
        <x:f>IF(H132&gt;=Subsurface_Inputs!$C$42,"Lens visible","Weak/no lens")</x:f>
        <x:v>Weak/no lens</x:v>
      </x:c>
      <x:c r="V132" s="25" t="str">
        <x:f>IF(R132&gt;=W132,"Likely visible","Weak")</x:f>
        <x:v>Likely visible</x:v>
      </x:c>
      <x:c r="W132" s="24" t="n">
        <x:f>Subsurface_Inputs!$C$43</x:f>
        <x:v>-45</x:v>
      </x:c>
      <x:c r="X132" s="24" t="n">
        <x:f>Q132-W132</x:f>
        <x:v>12.075363964906217</x:v>
      </x:c>
      <x:c r="Y132" s="24" t="n">
        <x:f>R132-W132</x:f>
        <x:v>7.234433387496523</x:v>
      </x:c>
      <x:c r="Z132" s="24" t="n">
        <x:f>MAX(Q132,R132)-W132</x:f>
        <x:v>12.075363964906217</x:v>
      </x:c>
      <x:c r="AA132" s="24" t="n">
        <x:v>0</x:v>
      </x:c>
    </x:row>
    <x:row r="133">
      <x:c r="A133" s="24" t="n">
        <x:f>Model_Data!A133</x:f>
        <x:v>5.5</x:v>
      </x:c>
      <x:c r="B133" s="24" t="n">
        <x:f>Model_Data!Y133</x:f>
        <x:v>539.5212853164131</x:v>
      </x:c>
      <x:c r="C133" s="24" t="n">
        <x:f>Model_Data!X133</x:f>
        <x:v>97.11441747768895</x:v>
      </x:c>
      <x:c r="D133" s="24" t="n">
        <x:f>Model_Data!B133</x:f>
        <x:v>400.0336111111111</x:v>
      </x:c>
      <x:c r="E133" s="24" t="n">
        <x:f>Inputs!$C$6</x:f>
        <x:v>25</x:v>
      </x:c>
      <x:c r="F133" s="24" t="n">
        <x:f>Subsurface_Inputs!$C$5+Subsurface_Inputs!$C$6*SIN(2*PI()*(A133+Subsurface_Inputs!$C$7)/Subsurface_Inputs!$C$8)+Subsurface_Inputs!$C$9*COS(2*PI()*A133/Subsurface_Inputs!$C$10)+Subsurface_Inputs!$C$11*(B133-AVERAGE($B$2:$B$242))</x:f>
        <x:v>1280.3466130240581</x:v>
      </x:c>
      <x:c r="G133" s="24" t="n">
        <x:f>B133-F133</x:f>
        <x:v>-740.825327707645</x:v>
      </x:c>
      <x:c r="H133" s="24" t="n">
        <x:f>MIN(1,MAX(0,Subsurface_Inputs!$C$13*EXP(-0.5*((A133-Subsurface_Inputs!$C$14)/Subsurface_Inputs!$C$15)^2)+Subsurface_Inputs!$C$16*EXP(-0.5*((A133-Subsurface_Inputs!$C$17)/Subsurface_Inputs!$C$18)^2)))</x:f>
        <x:v>0.018680352736261237</x:v>
      </x:c>
      <x:c r="I133" s="24" t="n">
        <x:f>Subsurface_Inputs!$C$19+Subsurface_Inputs!$C$20*SIN(2*PI()*(A133-Subsurface_Inputs!$C$21)/Subsurface_Inputs!$C$22)-Subsurface_Inputs!$C$23*H133</x:f>
        <x:v>5075.599293824479</x:v>
      </x:c>
      <x:c r="J133" s="24" t="n">
        <x:f>B133-I133</x:f>
        <x:v>-4536.078008508066</x:v>
      </x:c>
      <x:c r="K133" s="24" t="n">
        <x:f>Subsurface_Inputs!$C$25+Subsurface_Inputs!$C$26*SIN(2*PI()*(A133+Subsurface_Inputs!$C$27)/Subsurface_Inputs!$C$28)+Subsurface_Inputs!$C$29*COS(2*PI()*(A133-Subsurface_Inputs!$C$30)/Subsurface_Inputs!$C$31)-Subsurface_Inputs!$C$32*(B133-AVERAGE($B$2:$B$242))</x:f>
        <x:v>16043.928899152814</x:v>
      </x:c>
      <x:c r="L133" s="24" t="n">
        <x:f>B133-K133</x:f>
        <x:v>-15504.4076138364</x:v>
      </x:c>
      <x:c r="M133" s="24" t="n">
        <x:f>2*Subsurface_Inputs!$C$34*F133/Subsurface_Inputs!$C$35*1000000</x:f>
        <x:v>15.20396467867663</x:v>
      </x:c>
      <x:c r="N133" s="24" t="n">
        <x:f>2*Subsurface_Inputs!$C$34*I133/Subsurface_Inputs!$C$35*1000000</x:f>
        <x:v>60.27214162277272</x:v>
      </x:c>
      <x:c r="O133" s="24" t="n">
        <x:f>2*Subsurface_Inputs!$C$34*K133/Subsurface_Inputs!$C$35*1000000</x:f>
        <x:v>190.51975910943037</x:v>
      </x:c>
      <x:c r="P133" s="24" t="n">
        <x:f>Subsurface_Inputs!$C$37-2*Subsurface_Inputs!$C$36*(F133/1000)</x:f>
        <x:v>-12.304623903443305</x:v>
      </x:c>
      <x:c r="Q133" s="24" t="n">
        <x:f>Subsurface_Inputs!$C$38+Subsurface_Inputs!$C$39*H133-2*Subsurface_Inputs!$C$36*(I133/1000)</x:f>
        <x:v>-32.96795555425771</x:v>
      </x:c>
      <x:c r="R133" s="24" t="n">
        <x:f>Subsurface_Inputs!$C$40-2*Subsurface_Inputs!$C$36*(K133/1000)-Subsurface_Inputs!$C$41*ABS(L133-AVERAGE($L$2:$L$242))</x:f>
        <x:v>-37.84887195984929</x:v>
      </x:c>
      <x:c r="S133" s="24" t="n">
        <x:f>K133-AVERAGE($K$2:$K$242)</x:f>
        <x:v>966.5442035787037</x:v>
      </x:c>
      <x:c r="T133" s="24" t="n">
        <x:f>K133/F133</x:f>
        <x:v>12.530926185104333</x:v>
      </x:c>
      <x:c r="U133" s="25" t="str">
        <x:f>IF(H133&gt;=Subsurface_Inputs!$C$42,"Lens visible","Weak/no lens")</x:f>
        <x:v>Weak/no lens</x:v>
      </x:c>
      <x:c r="V133" s="25" t="str">
        <x:f>IF(R133&gt;=W133,"Likely visible","Weak")</x:f>
        <x:v>Likely visible</x:v>
      </x:c>
      <x:c r="W133" s="24" t="n">
        <x:f>Subsurface_Inputs!$C$43</x:f>
        <x:v>-45</x:v>
      </x:c>
      <x:c r="X133" s="24" t="n">
        <x:f>Q133-W133</x:f>
        <x:v>12.032044445742287</x:v>
      </x:c>
      <x:c r="Y133" s="24" t="n">
        <x:f>R133-W133</x:f>
        <x:v>7.151128040150709</x:v>
      </x:c>
      <x:c r="Z133" s="24" t="n">
        <x:f>MAX(Q133,R133)-W133</x:f>
        <x:v>12.032044445742287</x:v>
      </x:c>
      <x:c r="AA133" s="24" t="n">
        <x:v>0</x:v>
      </x:c>
    </x:row>
    <x:row r="134">
      <x:c r="A134" s="24" t="n">
        <x:f>Model_Data!A134</x:f>
        <x:v>6</x:v>
      </x:c>
      <x:c r="B134" s="24" t="n">
        <x:f>Model_Data!Y134</x:f>
        <x:v>533.6920620973987</x:v>
      </x:c>
      <x:c r="C134" s="24" t="n">
        <x:f>Model_Data!X134</x:f>
        <x:v>70.34255347941284</x:v>
      </x:c>
      <x:c r="D134" s="24" t="n">
        <x:f>Model_Data!B134</x:f>
        <x:v>400.04</x:v>
      </x:c>
      <x:c r="E134" s="24" t="n">
        <x:f>Inputs!$C$6</x:f>
        <x:v>25</x:v>
      </x:c>
      <x:c r="F134" s="24" t="n">
        <x:f>Subsurface_Inputs!$C$5+Subsurface_Inputs!$C$6*SIN(2*PI()*(A134+Subsurface_Inputs!$C$7)/Subsurface_Inputs!$C$8)+Subsurface_Inputs!$C$9*COS(2*PI()*A134/Subsurface_Inputs!$C$10)+Subsurface_Inputs!$C$11*(B134-AVERAGE($B$2:$B$242))</x:f>
        <x:v>1263.463693042112</x:v>
      </x:c>
      <x:c r="G134" s="24" t="n">
        <x:f>B134-F134</x:f>
        <x:v>-729.7716309447134</x:v>
      </x:c>
      <x:c r="H134" s="24" t="n">
        <x:f>MIN(1,MAX(0,Subsurface_Inputs!$C$13*EXP(-0.5*((A134-Subsurface_Inputs!$C$14)/Subsurface_Inputs!$C$15)^2)+Subsurface_Inputs!$C$16*EXP(-0.5*((A134-Subsurface_Inputs!$C$17)/Subsurface_Inputs!$C$18)^2)))</x:f>
        <x:v>0.018329844288099802</x:v>
      </x:c>
      <x:c r="I134" s="24" t="n">
        <x:f>Subsurface_Inputs!$C$19+Subsurface_Inputs!$C$20*SIN(2*PI()*(A134-Subsurface_Inputs!$C$21)/Subsurface_Inputs!$C$22)-Subsurface_Inputs!$C$23*H134</x:f>
        <x:v>5095.600837370856</x:v>
      </x:c>
      <x:c r="J134" s="24" t="n">
        <x:f>B134-I134</x:f>
        <x:v>-4561.908775273458</x:v>
      </x:c>
      <x:c r="K134" s="24" t="n">
        <x:f>Subsurface_Inputs!$C$25+Subsurface_Inputs!$C$26*SIN(2*PI()*(A134+Subsurface_Inputs!$C$27)/Subsurface_Inputs!$C$28)+Subsurface_Inputs!$C$29*COS(2*PI()*(A134-Subsurface_Inputs!$C$30)/Subsurface_Inputs!$C$31)-Subsurface_Inputs!$C$32*(B134-AVERAGE($B$2:$B$242))</x:f>
        <x:v>16050.16829622489</x:v>
      </x:c>
      <x:c r="L134" s="24" t="n">
        <x:f>B134-K134</x:f>
        <x:v>-15516.476234127493</x:v>
      </x:c>
      <x:c r="M134" s="24" t="n">
        <x:f>2*Subsurface_Inputs!$C$34*F134/Subsurface_Inputs!$C$35*1000000</x:f>
        <x:v>15.003481999636959</x:v>
      </x:c>
      <x:c r="N134" s="24" t="n">
        <x:f>2*Subsurface_Inputs!$C$34*I134/Subsurface_Inputs!$C$35*1000000</x:f>
        <x:v>60.50965758798458</x:v>
      </x:c>
      <x:c r="O134" s="24" t="n">
        <x:f>2*Subsurface_Inputs!$C$34*K134/Subsurface_Inputs!$C$35*1000000</x:f>
        <x:v>190.5938512120962</x:v>
      </x:c>
      <x:c r="P134" s="24" t="n">
        <x:f>Subsurface_Inputs!$C$37-2*Subsurface_Inputs!$C$36*(F134/1000)</x:f>
        <x:v>-12.2742346474758</x:v>
      </x:c>
      <x:c r="Q134" s="24" t="n">
        <x:f>Subsurface_Inputs!$C$38+Subsurface_Inputs!$C$39*H134-2*Subsurface_Inputs!$C$36*(I134/1000)</x:f>
        <x:v>-33.00711290867464</x:v>
      </x:c>
      <x:c r="R134" s="24" t="n">
        <x:f>Subsurface_Inputs!$C$40-2*Subsurface_Inputs!$C$36*(K134/1000)-Subsurface_Inputs!$C$41*ABS(L134-AVERAGE($L$2:$L$242))</x:f>
        <x:v>-37.908377355743404</x:v>
      </x:c>
      <x:c r="S134" s="24" t="n">
        <x:f>K134-AVERAGE($K$2:$K$242)</x:f>
        <x:v>972.7836006507805</x:v>
      </x:c>
      <x:c r="T134" s="24" t="n">
        <x:f>K134/F134</x:f>
        <x:v>12.703307886576468</x:v>
      </x:c>
      <x:c r="U134" s="25" t="str">
        <x:f>IF(H134&gt;=Subsurface_Inputs!$C$42,"Lens visible","Weak/no lens")</x:f>
        <x:v>Weak/no lens</x:v>
      </x:c>
      <x:c r="V134" s="25" t="str">
        <x:f>IF(R134&gt;=W134,"Likely visible","Weak")</x:f>
        <x:v>Likely visible</x:v>
      </x:c>
      <x:c r="W134" s="24" t="n">
        <x:f>Subsurface_Inputs!$C$43</x:f>
        <x:v>-45</x:v>
      </x:c>
      <x:c r="X134" s="24" t="n">
        <x:f>Q134-W134</x:f>
        <x:v>11.992887091325358</x:v>
      </x:c>
      <x:c r="Y134" s="24" t="n">
        <x:f>R134-W134</x:f>
        <x:v>7.091622644256596</x:v>
      </x:c>
      <x:c r="Z134" s="24" t="n">
        <x:f>MAX(Q134,R134)-W134</x:f>
        <x:v>11.992887091325358</x:v>
      </x:c>
      <x:c r="AA134" s="24" t="n">
        <x:v>0</x:v>
      </x:c>
    </x:row>
    <x:row r="135">
      <x:c r="A135" s="24" t="n">
        <x:f>Model_Data!A135</x:f>
        <x:v>6.5</x:v>
      </x:c>
      <x:c r="B135" s="24" t="n">
        <x:f>Model_Data!Y135</x:f>
        <x:v>524.4263848132822</x:v>
      </x:c>
      <x:c r="C135" s="24" t="n">
        <x:f>Model_Data!X135</x:f>
        <x:v>77.64795080795966</x:v>
      </x:c>
      <x:c r="D135" s="24" t="n">
        <x:f>Model_Data!B135</x:f>
        <x:v>400.0469444444444</x:v>
      </x:c>
      <x:c r="E135" s="24" t="n">
        <x:f>Inputs!$C$6</x:f>
        <x:v>25</x:v>
      </x:c>
      <x:c r="F135" s="24" t="n">
        <x:f>Subsurface_Inputs!$C$5+Subsurface_Inputs!$C$6*SIN(2*PI()*(A135+Subsurface_Inputs!$C$7)/Subsurface_Inputs!$C$8)+Subsurface_Inputs!$C$9*COS(2*PI()*A135/Subsurface_Inputs!$C$10)+Subsurface_Inputs!$C$11*(B135-AVERAGE($B$2:$B$242))</x:f>
        <x:v>1245.9109802235196</x:v>
      </x:c>
      <x:c r="G135" s="24" t="n">
        <x:f>B135-F135</x:f>
        <x:v>-721.4845954102374</x:v>
      </x:c>
      <x:c r="H135" s="24" t="n">
        <x:f>MIN(1,MAX(0,Subsurface_Inputs!$C$13*EXP(-0.5*((A135-Subsurface_Inputs!$C$14)/Subsurface_Inputs!$C$15)^2)+Subsurface_Inputs!$C$16*EXP(-0.5*((A135-Subsurface_Inputs!$C$17)/Subsurface_Inputs!$C$18)^2)))</x:f>
        <x:v>0.018433877447186543</x:v>
      </x:c>
      <x:c r="I135" s="24" t="n">
        <x:f>Subsurface_Inputs!$C$19+Subsurface_Inputs!$C$20*SIN(2*PI()*(A135-Subsurface_Inputs!$C$21)/Subsurface_Inputs!$C$22)-Subsurface_Inputs!$C$23*H135</x:f>
        <x:v>5115.493290931494</x:v>
      </x:c>
      <x:c r="J135" s="24" t="n">
        <x:f>B135-I135</x:f>
        <x:v>-4591.066906118212</x:v>
      </x:c>
      <x:c r="K135" s="24" t="n">
        <x:f>Subsurface_Inputs!$C$25+Subsurface_Inputs!$C$26*SIN(2*PI()*(A135+Subsurface_Inputs!$C$27)/Subsurface_Inputs!$C$28)+Subsurface_Inputs!$C$29*COS(2*PI()*(A135-Subsurface_Inputs!$C$30)/Subsurface_Inputs!$C$31)-Subsurface_Inputs!$C$32*(B135-AVERAGE($B$2:$B$242))</x:f>
        <x:v>16055.648842831959</x:v>
      </x:c>
      <x:c r="L135" s="24" t="n">
        <x:f>B135-K135</x:f>
        <x:v>-15531.222458018678</x:v>
      </x:c>
      <x:c r="M135" s="24" t="n">
        <x:f>2*Subsurface_Inputs!$C$34*F135/Subsurface_Inputs!$C$35*1000000</x:f>
        <x:v>14.795045609838956</x:v>
      </x:c>
      <x:c r="N135" s="24" t="n">
        <x:f>2*Subsurface_Inputs!$C$34*I135/Subsurface_Inputs!$C$35*1000000</x:f>
        <x:v>60.74587812251141</x:v>
      </x:c>
      <x:c r="O135" s="24" t="n">
        <x:f>2*Subsurface_Inputs!$C$34*K135/Subsurface_Inputs!$C$35*1000000</x:f>
        <x:v>190.65893205519458</x:v>
      </x:c>
      <x:c r="P135" s="24" t="n">
        <x:f>Subsurface_Inputs!$C$37-2*Subsurface_Inputs!$C$36*(F135/1000)</x:f>
        <x:v>-12.242639764402336</x:v>
      </x:c>
      <x:c r="Q135" s="24" t="n">
        <x:f>Subsurface_Inputs!$C$38+Subsurface_Inputs!$C$39*H135-2*Subsurface_Inputs!$C$36*(I135/1000)</x:f>
        <x:v>-33.04198302665201</x:v>
      </x:c>
      <x:c r="R135" s="24" t="n">
        <x:f>Subsurface_Inputs!$C$40-2*Subsurface_Inputs!$C$36*(K135/1000)-Subsurface_Inputs!$C$41*ABS(L135-AVERAGE($L$2:$L$242))</x:f>
        <x:v>-37.97722723520087</x:v>
      </x:c>
      <x:c r="S135" s="24" t="n">
        <x:f>K135-AVERAGE($K$2:$K$242)</x:f>
        <x:v>978.2641472578489</x:v>
      </x:c>
      <x:c r="T135" s="24" t="n">
        <x:f>K135/F135</x:f>
        <x:v>12.886674166682065</x:v>
      </x:c>
      <x:c r="U135" s="25" t="str">
        <x:f>IF(H135&gt;=Subsurface_Inputs!$C$42,"Lens visible","Weak/no lens")</x:f>
        <x:v>Weak/no lens</x:v>
      </x:c>
      <x:c r="V135" s="25" t="str">
        <x:f>IF(R135&gt;=W135,"Likely visible","Weak")</x:f>
        <x:v>Likely visible</x:v>
      </x:c>
      <x:c r="W135" s="24" t="n">
        <x:f>Subsurface_Inputs!$C$43</x:f>
        <x:v>-45</x:v>
      </x:c>
      <x:c r="X135" s="24" t="n">
        <x:f>Q135-W135</x:f>
        <x:v>11.958016973347988</x:v>
      </x:c>
      <x:c r="Y135" s="24" t="n">
        <x:f>R135-W135</x:f>
        <x:v>7.022772764799129</x:v>
      </x:c>
      <x:c r="Z135" s="24" t="n">
        <x:f>MAX(Q135,R135)-W135</x:f>
        <x:v>11.958016973347988</x:v>
      </x:c>
      <x:c r="AA135" s="24" t="n">
        <x:v>0</x:v>
      </x:c>
    </x:row>
    <x:row r="136">
      <x:c r="A136" s="24" t="n">
        <x:f>Model_Data!A136</x:f>
        <x:v>7</x:v>
      </x:c>
      <x:c r="B136" s="24" t="n">
        <x:f>Model_Data!Y136</x:f>
        <x:v>534.4078318791427</x:v>
      </x:c>
      <x:c r="C136" s="24" t="n">
        <x:f>Model_Data!X136</x:f>
        <x:v>66.91550989906084</x:v>
      </x:c>
      <x:c r="D136" s="24" t="n">
        <x:f>Model_Data!B136</x:f>
        <x:v>400.05444444444447</x:v>
      </x:c>
      <x:c r="E136" s="24" t="n">
        <x:f>Inputs!$C$6</x:f>
        <x:v>25</x:v>
      </x:c>
      <x:c r="F136" s="24" t="n">
        <x:f>Subsurface_Inputs!$C$5+Subsurface_Inputs!$C$6*SIN(2*PI()*(A136+Subsurface_Inputs!$C$7)/Subsurface_Inputs!$C$8)+Subsurface_Inputs!$C$9*COS(2*PI()*A136/Subsurface_Inputs!$C$10)+Subsurface_Inputs!$C$11*(B136-AVERAGE($B$2:$B$242))</x:f>
        <x:v>1228.797663151835</x:v>
      </x:c>
      <x:c r="G136" s="24" t="n">
        <x:f>B136-F136</x:f>
        <x:v>-694.3898312726923</x:v>
      </x:c>
      <x:c r="H136" s="24" t="n">
        <x:f>MIN(1,MAX(0,Subsurface_Inputs!$C$13*EXP(-0.5*((A136-Subsurface_Inputs!$C$14)/Subsurface_Inputs!$C$15)^2)+Subsurface_Inputs!$C$16*EXP(-0.5*((A136-Subsurface_Inputs!$C$17)/Subsurface_Inputs!$C$18)^2)))</x:f>
        <x:v>0.019005662456400754</x:v>
      </x:c>
      <x:c r="I136" s="24" t="n">
        <x:f>Subsurface_Inputs!$C$19+Subsurface_Inputs!$C$20*SIN(2*PI()*(A136-Subsurface_Inputs!$C$21)/Subsurface_Inputs!$C$22)-Subsurface_Inputs!$C$23*H136</x:f>
        <x:v>5135.244252485441</x:v>
      </x:c>
      <x:c r="J136" s="24" t="n">
        <x:f>B136-I136</x:f>
        <x:v>-4600.836420606299</x:v>
      </x:c>
      <x:c r="K136" s="24" t="n">
        <x:f>Subsurface_Inputs!$C$25+Subsurface_Inputs!$C$26*SIN(2*PI()*(A136+Subsurface_Inputs!$C$27)/Subsurface_Inputs!$C$28)+Subsurface_Inputs!$C$29*COS(2*PI()*(A136-Subsurface_Inputs!$C$30)/Subsurface_Inputs!$C$31)-Subsurface_Inputs!$C$32*(B136-AVERAGE($B$2:$B$242))</x:f>
        <x:v>16057.186598182136</x:v>
      </x:c>
      <x:c r="L136" s="24" t="n">
        <x:f>B136-K136</x:f>
        <x:v>-15522.778766302992</x:v>
      </x:c>
      <x:c r="M136" s="24" t="n">
        <x:f>2*Subsurface_Inputs!$C$34*F136/Subsurface_Inputs!$C$35*1000000</x:f>
        <x:v>14.5918269925941</x:v>
      </x:c>
      <x:c r="N136" s="24" t="n">
        <x:f>2*Subsurface_Inputs!$C$34*I136/Subsurface_Inputs!$C$35*1000000</x:f>
        <x:v>60.98041845618468</x:v>
      </x:c>
      <x:c r="O136" s="24" t="n">
        <x:f>2*Subsurface_Inputs!$C$34*K136/Subsurface_Inputs!$C$35*1000000</x:f>
        <x:v>190.6771927181984</x:v>
      </x:c>
      <x:c r="P136" s="24" t="n">
        <x:f>Subsurface_Inputs!$C$37-2*Subsurface_Inputs!$C$36*(F136/1000)</x:f>
        <x:v>-12.211835793673302</x:v>
      </x:c>
      <x:c r="Q136" s="24" t="n">
        <x:f>Subsurface_Inputs!$C$38+Subsurface_Inputs!$C$39*H136-2*Subsurface_Inputs!$C$36*(I136/1000)</x:f>
        <x:v>-33.07238869236619</x:v>
      </x:c>
      <x:c r="R136" s="24" t="n">
        <x:f>Subsurface_Inputs!$C$40-2*Subsurface_Inputs!$C$36*(K136/1000)-Subsurface_Inputs!$C$41*ABS(L136-AVERAGE($L$2:$L$242))</x:f>
        <x:v>-37.946220427968434</x:v>
      </x:c>
      <x:c r="S136" s="24" t="n">
        <x:f>K136-AVERAGE($K$2:$K$242)</x:f>
        <x:v>979.8019026080256</x:v>
      </x:c>
      <x:c r="T136" s="24" t="n">
        <x:f>K136/F136</x:f>
        <x:v>13.067396756758031</x:v>
      </x:c>
      <x:c r="U136" s="25" t="str">
        <x:f>IF(H136&gt;=Subsurface_Inputs!$C$42,"Lens visible","Weak/no lens")</x:f>
        <x:v>Weak/no lens</x:v>
      </x:c>
      <x:c r="V136" s="25" t="str">
        <x:f>IF(R136&gt;=W136,"Likely visible","Weak")</x:f>
        <x:v>Likely visible</x:v>
      </x:c>
      <x:c r="W136" s="24" t="n">
        <x:f>Subsurface_Inputs!$C$43</x:f>
        <x:v>-45</x:v>
      </x:c>
      <x:c r="X136" s="24" t="n">
        <x:f>Q136-W136</x:f>
        <x:v>11.92761130763381</x:v>
      </x:c>
      <x:c r="Y136" s="24" t="n">
        <x:f>R136-W136</x:f>
        <x:v>7.053779572031566</x:v>
      </x:c>
      <x:c r="Z136" s="24" t="n">
        <x:f>MAX(Q136,R136)-W136</x:f>
        <x:v>11.92761130763381</x:v>
      </x:c>
      <x:c r="AA136" s="24" t="n">
        <x:v>0</x:v>
      </x:c>
    </x:row>
    <x:row r="137">
      <x:c r="A137" s="24" t="n">
        <x:f>Model_Data!A137</x:f>
        <x:v>7.5</x:v>
      </x:c>
      <x:c r="B137" s="24" t="n">
        <x:f>Model_Data!Y137</x:f>
        <x:v>503.48380224840304</x:v>
      </x:c>
      <x:c r="C137" s="24" t="n">
        <x:f>Model_Data!X137</x:f>
        <x:v>56.202037436945574</x:v>
      </x:c>
      <x:c r="D137" s="24" t="n">
        <x:f>Model_Data!B137</x:f>
        <x:v>400.0625</x:v>
      </x:c>
      <x:c r="E137" s="24" t="n">
        <x:f>Inputs!$C$6</x:f>
        <x:v>25</x:v>
      </x:c>
      <x:c r="F137" s="24" t="n">
        <x:f>Subsurface_Inputs!$C$5+Subsurface_Inputs!$C$6*SIN(2*PI()*(A137+Subsurface_Inputs!$C$7)/Subsurface_Inputs!$C$8)+Subsurface_Inputs!$C$9*COS(2*PI()*A137/Subsurface_Inputs!$C$10)+Subsurface_Inputs!$C$11*(B137-AVERAGE($B$2:$B$242))</x:f>
        <x:v>1209.9183671428161</x:v>
      </x:c>
      <x:c r="G137" s="24" t="n">
        <x:f>B137-F137</x:f>
        <x:v>-706.4345648944131</x:v>
      </x:c>
      <x:c r="H137" s="24" t="n">
        <x:f>MIN(1,MAX(0,Subsurface_Inputs!$C$13*EXP(-0.5*((A137-Subsurface_Inputs!$C$14)/Subsurface_Inputs!$C$15)^2)+Subsurface_Inputs!$C$16*EXP(-0.5*((A137-Subsurface_Inputs!$C$17)/Subsurface_Inputs!$C$18)^2)))</x:f>
        <x:v>0.020063979077884698</x:v>
      </x:c>
      <x:c r="I137" s="24" t="n">
        <x:f>Subsurface_Inputs!$C$19+Subsurface_Inputs!$C$20*SIN(2*PI()*(A137-Subsurface_Inputs!$C$21)/Subsurface_Inputs!$C$22)-Subsurface_Inputs!$C$23*H137</x:f>
        <x:v>5154.820026228476</x:v>
      </x:c>
      <x:c r="J137" s="24" t="n">
        <x:f>B137-I137</x:f>
        <x:v>-4651.336223980074</x:v>
      </x:c>
      <x:c r="K137" s="24" t="n">
        <x:f>Subsurface_Inputs!$C$25+Subsurface_Inputs!$C$26*SIN(2*PI()*(A137+Subsurface_Inputs!$C$27)/Subsurface_Inputs!$C$28)+Subsurface_Inputs!$C$29*COS(2*PI()*(A137-Subsurface_Inputs!$C$30)/Subsurface_Inputs!$C$31)-Subsurface_Inputs!$C$32*(B137-AVERAGE($B$2:$B$242))</x:f>
        <x:v>16063.197058525908</x:v>
      </x:c>
      <x:c r="L137" s="24" t="n">
        <x:f>B137-K137</x:f>
        <x:v>-15559.713256277504</x:v>
      </x:c>
      <x:c r="M137" s="24" t="n">
        <x:f>2*Subsurface_Inputs!$C$34*F137/Subsurface_Inputs!$C$35*1000000</x:f>
        <x:v>14.367637584226438</x:v>
      </x:c>
      <x:c r="N137" s="24" t="n">
        <x:f>2*Subsurface_Inputs!$C$34*I137/Subsurface_Inputs!$C$35*1000000</x:f>
        <x:v>61.212878455312506</x:v>
      </x:c>
      <x:c r="O137" s="24" t="n">
        <x:f>2*Subsurface_Inputs!$C$34*K137/Subsurface_Inputs!$C$35*1000000</x:f>
        <x:v>190.7485662242785</x:v>
      </x:c>
      <x:c r="P137" s="24" t="n">
        <x:f>Subsurface_Inputs!$C$37-2*Subsurface_Inputs!$C$36*(F137/1000)</x:f>
        <x:v>-12.17785306085707</x:v>
      </x:c>
      <x:c r="Q137" s="24" t="n">
        <x:f>Subsurface_Inputs!$C$38+Subsurface_Inputs!$C$39*H137-2*Subsurface_Inputs!$C$36*(I137/1000)</x:f>
        <x:v>-33.098100235510294</x:v>
      </x:c>
      <x:c r="R137" s="24" t="n">
        <x:f>Subsurface_Inputs!$C$40-2*Subsurface_Inputs!$C$36*(K137/1000)-Subsurface_Inputs!$C$41*ABS(L137-AVERAGE($L$2:$L$242))</x:f>
        <x:v>-38.10477721648528</x:v>
      </x:c>
      <x:c r="S137" s="24" t="n">
        <x:f>K137-AVERAGE($K$2:$K$242)</x:f>
        <x:v>985.8123629517977</x:v>
      </x:c>
      <x:c r="T137" s="24" t="n">
        <x:f>K137/F137</x:f>
        <x:v>13.276265155358075</x:v>
      </x:c>
      <x:c r="U137" s="25" t="str">
        <x:f>IF(H137&gt;=Subsurface_Inputs!$C$42,"Lens visible","Weak/no lens")</x:f>
        <x:v>Weak/no lens</x:v>
      </x:c>
      <x:c r="V137" s="25" t="str">
        <x:f>IF(R137&gt;=W137,"Likely visible","Weak")</x:f>
        <x:v>Likely visible</x:v>
      </x:c>
      <x:c r="W137" s="24" t="n">
        <x:f>Subsurface_Inputs!$C$43</x:f>
        <x:v>-45</x:v>
      </x:c>
      <x:c r="X137" s="24" t="n">
        <x:f>Q137-W137</x:f>
        <x:v>11.901899764489706</x:v>
      </x:c>
      <x:c r="Y137" s="24" t="n">
        <x:f>R137-W137</x:f>
        <x:v>6.895222783514718</x:v>
      </x:c>
      <x:c r="Z137" s="24" t="n">
        <x:f>MAX(Q137,R137)-W137</x:f>
        <x:v>11.901899764489706</x:v>
      </x:c>
      <x:c r="AA137" s="24" t="n">
        <x:v>0</x:v>
      </x:c>
    </x:row>
    <x:row r="138">
      <x:c r="A138" s="24" t="n">
        <x:f>Model_Data!A138</x:f>
        <x:v>8</x:v>
      </x:c>
      <x:c r="B138" s="24" t="n">
        <x:f>Model_Data!Y138</x:f>
        <x:v>497.2264534493298</x:v>
      </x:c>
      <x:c r="C138" s="24" t="n">
        <x:f>Model_Data!X138</x:f>
        <x:v>45.99320506201067</x:v>
      </x:c>
      <x:c r="D138" s="24" t="n">
        <x:f>Model_Data!B138</x:f>
        <x:v>400.0711111111111</x:v>
      </x:c>
      <x:c r="E138" s="24" t="n">
        <x:f>Inputs!$C$6</x:f>
        <x:v>25</x:v>
      </x:c>
      <x:c r="F138" s="24" t="n">
        <x:f>Subsurface_Inputs!$C$5+Subsurface_Inputs!$C$6*SIN(2*PI()*(A138+Subsurface_Inputs!$C$7)/Subsurface_Inputs!$C$8)+Subsurface_Inputs!$C$9*COS(2*PI()*A138/Subsurface_Inputs!$C$10)+Subsurface_Inputs!$C$11*(B138-AVERAGE($B$2:$B$242))</x:f>
        <x:v>1192.0925543866397</x:v>
      </x:c>
      <x:c r="G138" s="24" t="n">
        <x:f>B138-F138</x:f>
        <x:v>-694.8661009373099</x:v>
      </x:c>
      <x:c r="H138" s="24" t="n">
        <x:f>MIN(1,MAX(0,Subsurface_Inputs!$C$13*EXP(-0.5*((A138-Subsurface_Inputs!$C$14)/Subsurface_Inputs!$C$15)^2)+Subsurface_Inputs!$C$16*EXP(-0.5*((A138-Subsurface_Inputs!$C$17)/Subsurface_Inputs!$C$18)^2)))</x:f>
        <x:v>0.021633148368784286</x:v>
      </x:c>
      <x:c r="I138" s="24" t="n">
        <x:f>Subsurface_Inputs!$C$19+Subsurface_Inputs!$C$20*SIN(2*PI()*(A138-Subsurface_Inputs!$C$21)/Subsurface_Inputs!$C$22)-Subsurface_Inputs!$C$23*H138</x:f>
        <x:v>5174.185672185306</x:v>
      </x:c>
      <x:c r="J138" s="24" t="n">
        <x:f>B138-I138</x:f>
        <x:v>-4676.959218735977</x:v>
      </x:c>
      <x:c r="K138" s="24" t="n">
        <x:f>Subsurface_Inputs!$C$25+Subsurface_Inputs!$C$26*SIN(2*PI()*(A138+Subsurface_Inputs!$C$27)/Subsurface_Inputs!$C$28)+Subsurface_Inputs!$C$29*COS(2*PI()*(A138-Subsurface_Inputs!$C$30)/Subsurface_Inputs!$C$31)-Subsurface_Inputs!$C$32*(B138-AVERAGE($B$2:$B$242))</x:f>
        <x:v>16064.496639991332</x:v>
      </x:c>
      <x:c r="L138" s="24" t="n">
        <x:f>B138-K138</x:f>
        <x:v>-15567.270186542002</x:v>
      </x:c>
      <x:c r="M138" s="24" t="n">
        <x:f>2*Subsurface_Inputs!$C$34*F138/Subsurface_Inputs!$C$35*1000000</x:f>
        <x:v>14.155958164953026</x:v>
      </x:c>
      <x:c r="N138" s="24" t="n">
        <x:f>2*Subsurface_Inputs!$C$34*I138/Subsurface_Inputs!$C$35*1000000</x:f>
        <x:v>61.442843211818534</x:v>
      </x:c>
      <x:c r="O138" s="24" t="n">
        <x:f>2*Subsurface_Inputs!$C$34*K138/Subsurface_Inputs!$C$35*1000000</x:f>
        <x:v>190.76399860055568</x:v>
      </x:c>
      <x:c r="P138" s="24" t="n">
        <x:f>Subsurface_Inputs!$C$37-2*Subsurface_Inputs!$C$36*(F138/1000)</x:f>
        <x:v>-12.145766597895951</x:v>
      </x:c>
      <x:c r="Q138" s="24" t="n">
        <x:f>Subsurface_Inputs!$C$38+Subsurface_Inputs!$C$39*H138-2*Subsurface_Inputs!$C$36*(I138/1000)</x:f>
        <x:v>-33.11883587461449</x:v>
      </x:c>
      <x:c r="R138" s="24" t="n">
        <x:f>Subsurface_Inputs!$C$40-2*Subsurface_Inputs!$C$36*(K138/1000)-Subsurface_Inputs!$C$41*ABS(L138-AVERAGE($L$2:$L$242))</x:f>
        <x:v>-38.13734418418104</x:v>
      </x:c>
      <x:c r="S138" s="24" t="n">
        <x:f>K138-AVERAGE($K$2:$K$242)</x:f>
        <x:v>987.1119444172218</x:v>
      </x:c>
      <x:c r="T138" s="24" t="n">
        <x:f>K138/F138</x:f>
        <x:v>13.475880359186458</x:v>
      </x:c>
      <x:c r="U138" s="25" t="str">
        <x:f>IF(H138&gt;=Subsurface_Inputs!$C$42,"Lens visible","Weak/no lens")</x:f>
        <x:v>Weak/no lens</x:v>
      </x:c>
      <x:c r="V138" s="25" t="str">
        <x:f>IF(R138&gt;=W138,"Likely visible","Weak")</x:f>
        <x:v>Likely visible</x:v>
      </x:c>
      <x:c r="W138" s="24" t="n">
        <x:f>Subsurface_Inputs!$C$43</x:f>
        <x:v>-45</x:v>
      </x:c>
      <x:c r="X138" s="24" t="n">
        <x:f>Q138-W138</x:f>
        <x:v>11.88116412538551</x:v>
      </x:c>
      <x:c r="Y138" s="24" t="n">
        <x:f>R138-W138</x:f>
        <x:v>6.862655815818961</x:v>
      </x:c>
      <x:c r="Z138" s="24" t="n">
        <x:f>MAX(Q138,R138)-W138</x:f>
        <x:v>11.88116412538551</x:v>
      </x:c>
      <x:c r="AA138" s="24" t="n">
        <x:v>0</x:v>
      </x:c>
    </x:row>
    <x:row r="139">
      <x:c r="A139" s="24" t="n">
        <x:f>Model_Data!A139</x:f>
        <x:v>8.5</x:v>
      </x:c>
      <x:c r="B139" s="24" t="n">
        <x:f>Model_Data!Y139</x:f>
        <x:v>479.6019721372586</x:v>
      </x:c>
      <x:c r="C139" s="24" t="n">
        <x:f>Model_Data!X139</x:f>
        <x:v>35.42120810065494</x:v>
      </x:c>
      <x:c r="D139" s="24" t="n">
        <x:f>Model_Data!B139</x:f>
        <x:v>400.0802777777778</x:v>
      </x:c>
      <x:c r="E139" s="24" t="n">
        <x:f>Inputs!$C$6</x:f>
        <x:v>25</x:v>
      </x:c>
      <x:c r="F139" s="24" t="n">
        <x:f>Subsurface_Inputs!$C$5+Subsurface_Inputs!$C$6*SIN(2*PI()*(A139+Subsurface_Inputs!$C$7)/Subsurface_Inputs!$C$8)+Subsurface_Inputs!$C$9*COS(2*PI()*A139/Subsurface_Inputs!$C$10)+Subsurface_Inputs!$C$11*(B139-AVERAGE($B$2:$B$242))</x:f>
        <x:v>1174.0683715077432</x:v>
      </x:c>
      <x:c r="G139" s="24" t="n">
        <x:f>B139-F139</x:f>
        <x:v>-694.4663993704846</x:v>
      </x:c>
      <x:c r="H139" s="24" t="n">
        <x:f>MIN(1,MAX(0,Subsurface_Inputs!$C$13*EXP(-0.5*((A139-Subsurface_Inputs!$C$14)/Subsurface_Inputs!$C$15)^2)+Subsurface_Inputs!$C$16*EXP(-0.5*((A139-Subsurface_Inputs!$C$17)/Subsurface_Inputs!$C$18)^2)))</x:f>
        <x:v>0.023742925505647647</x:v>
      </x:c>
      <x:c r="I139" s="24" t="n">
        <x:f>Subsurface_Inputs!$C$19+Subsurface_Inputs!$C$20*SIN(2*PI()*(A139-Subsurface_Inputs!$C$21)/Subsurface_Inputs!$C$22)-Subsurface_Inputs!$C$23*H139</x:f>
        <x:v>5193.305074644272</x:v>
      </x:c>
      <x:c r="J139" s="24" t="n">
        <x:f>B139-I139</x:f>
        <x:v>-4713.703102507014</x:v>
      </x:c>
      <x:c r="K139" s="24" t="n">
        <x:f>Subsurface_Inputs!$C$25+Subsurface_Inputs!$C$26*SIN(2*PI()*(A139+Subsurface_Inputs!$C$27)/Subsurface_Inputs!$C$28)+Subsurface_Inputs!$C$29*COS(2*PI()*(A139-Subsurface_Inputs!$C$30)/Subsurface_Inputs!$C$31)-Subsurface_Inputs!$C$32*(B139-AVERAGE($B$2:$B$242))</x:f>
        <x:v>16066.128989193123</x:v>
      </x:c>
      <x:c r="L139" s="24" t="n">
        <x:f>B139-K139</x:f>
        <x:v>-15586.527017055865</x:v>
      </x:c>
      <x:c r="M139" s="24" t="n">
        <x:f>2*Subsurface_Inputs!$C$34*F139/Subsurface_Inputs!$C$35*1000000</x:f>
        <x:v>13.941923123921837</x:v>
      </x:c>
      <x:c r="N139" s="24" t="n">
        <x:f>2*Subsurface_Inputs!$C$34*I139/Subsurface_Inputs!$C$35*1000000</x:f>
        <x:v>61.6698838558961</x:v>
      </x:c>
      <x:c r="O139" s="24" t="n">
        <x:f>2*Subsurface_Inputs!$C$34*K139/Subsurface_Inputs!$C$35*1000000</x:f>
        <x:v>190.7833825543654</x:v>
      </x:c>
      <x:c r="P139" s="24" t="n">
        <x:f>Subsurface_Inputs!$C$37-2*Subsurface_Inputs!$C$36*(F139/1000)</x:f>
        <x:v>-12.113323068713937</x:v>
      </x:c>
      <x:c r="Q139" s="24" t="n">
        <x:f>Subsurface_Inputs!$C$38+Subsurface_Inputs!$C$39*H139-2*Subsurface_Inputs!$C$36*(I139/1000)</x:f>
        <x:v>-33.13426280480886</x:v>
      </x:c>
      <x:c r="R139" s="24" t="n">
        <x:f>Subsurface_Inputs!$C$40-2*Subsurface_Inputs!$C$36*(K139/1000)-Subsurface_Inputs!$C$41*ABS(L139-AVERAGE($L$2:$L$242))</x:f>
        <x:v>-38.217309734799706</x:v>
      </x:c>
      <x:c r="S139" s="24" t="n">
        <x:f>K139-AVERAGE($K$2:$K$242)</x:f>
        <x:v>988.7442936190128</x:v>
      </x:c>
      <x:c r="T139" s="24" t="n">
        <x:f>K139/F139</x:f>
        <x:v>13.684151092973348</x:v>
      </x:c>
      <x:c r="U139" s="25" t="str">
        <x:f>IF(H139&gt;=Subsurface_Inputs!$C$42,"Lens visible","Weak/no lens")</x:f>
        <x:v>Weak/no lens</x:v>
      </x:c>
      <x:c r="V139" s="25" t="str">
        <x:f>IF(R139&gt;=W139,"Likely visible","Weak")</x:f>
        <x:v>Likely visible</x:v>
      </x:c>
      <x:c r="W139" s="24" t="n">
        <x:f>Subsurface_Inputs!$C$43</x:f>
        <x:v>-45</x:v>
      </x:c>
      <x:c r="X139" s="24" t="n">
        <x:f>Q139-W139</x:f>
        <x:v>11.865737195191137</x:v>
      </x:c>
      <x:c r="Y139" s="24" t="n">
        <x:f>R139-W139</x:f>
        <x:v>6.782690265200294</x:v>
      </x:c>
      <x:c r="Z139" s="24" t="n">
        <x:f>MAX(Q139,R139)-W139</x:f>
        <x:v>11.865737195191137</x:v>
      </x:c>
      <x:c r="AA139" s="24" t="n">
        <x:v>0</x:v>
      </x:c>
    </x:row>
    <x:row r="140">
      <x:c r="A140" s="24" t="n">
        <x:f>Model_Data!A140</x:f>
        <x:v>9</x:v>
      </x:c>
      <x:c r="B140" s="24" t="n">
        <x:f>Model_Data!Y140</x:f>
        <x:v>481.22587957439987</x:v>
      </x:c>
      <x:c r="C140" s="24" t="n">
        <x:f>Model_Data!X140</x:f>
        <x:v>29.628149721243545</x:v>
      </x:c>
      <x:c r="D140" s="24" t="n">
        <x:f>Model_Data!B140</x:f>
        <x:v>400.09</x:v>
      </x:c>
      <x:c r="E140" s="24" t="n">
        <x:f>Inputs!$C$6</x:f>
        <x:v>25</x:v>
      </x:c>
      <x:c r="F140" s="24" t="n">
        <x:f>Subsurface_Inputs!$C$5+Subsurface_Inputs!$C$6*SIN(2*PI()*(A140+Subsurface_Inputs!$C$7)/Subsurface_Inputs!$C$8)+Subsurface_Inputs!$C$9*COS(2*PI()*A140/Subsurface_Inputs!$C$10)+Subsurface_Inputs!$C$11*(B140-AVERAGE($B$2:$B$242))</x:f>
        <x:v>1157.2501029632047</x:v>
      </x:c>
      <x:c r="G140" s="24" t="n">
        <x:f>B140-F140</x:f>
        <x:v>-676.0242233888048</x:v>
      </x:c>
      <x:c r="H140" s="24" t="n">
        <x:f>MIN(1,MAX(0,Subsurface_Inputs!$C$13*EXP(-0.5*((A140-Subsurface_Inputs!$C$14)/Subsurface_Inputs!$C$15)^2)+Subsurface_Inputs!$C$16*EXP(-0.5*((A140-Subsurface_Inputs!$C$17)/Subsurface_Inputs!$C$18)^2)))</x:f>
        <x:v>0.026428303360761397</x:v>
      </x:c>
      <x:c r="I140" s="24" t="n">
        <x:f>Subsurface_Inputs!$C$19+Subsurface_Inputs!$C$20*SIN(2*PI()*(A140-Subsurface_Inputs!$C$21)/Subsurface_Inputs!$C$22)-Subsurface_Inputs!$C$23*H140</x:f>
        <x:v>5212.141031823048</x:v>
      </x:c>
      <x:c r="J140" s="24" t="n">
        <x:f>B140-I140</x:f>
        <x:v>-4730.915152248648</x:v>
      </x:c>
      <x:c r="K140" s="24" t="n">
        <x:f>Subsurface_Inputs!$C$25+Subsurface_Inputs!$C$26*SIN(2*PI()*(A140+Subsurface_Inputs!$C$27)/Subsurface_Inputs!$C$28)+Subsurface_Inputs!$C$29*COS(2*PI()*(A140-Subsurface_Inputs!$C$30)/Subsurface_Inputs!$C$31)-Subsurface_Inputs!$C$32*(B140-AVERAGE($B$2:$B$242))</x:f>
        <x:v>16063.809243256452</x:v>
      </x:c>
      <x:c r="L140" s="24" t="n">
        <x:f>B140-K140</x:f>
        <x:v>-15582.583363682052</x:v>
      </x:c>
      <x:c r="M140" s="24" t="n">
        <x:f>2*Subsurface_Inputs!$C$34*F140/Subsurface_Inputs!$C$35*1000000</x:f>
        <x:v>13.742208173058872</x:v>
      </x:c>
      <x:c r="N140" s="24" t="n">
        <x:f>2*Subsurface_Inputs!$C$34*I140/Subsurface_Inputs!$C$35*1000000</x:f>
        <x:v>61.89355862077775</x:v>
      </x:c>
      <x:c r="O140" s="24" t="n">
        <x:f>2*Subsurface_Inputs!$C$34*K140/Subsurface_Inputs!$C$35*1000000</x:f>
        <x:v>190.75583584558677</x:v>
      </x:c>
      <x:c r="P140" s="24" t="n">
        <x:f>Subsurface_Inputs!$C$37-2*Subsurface_Inputs!$C$36*(F140/1000)</x:f>
        <x:v>-12.083050185333768</x:v>
      </x:c>
      <x:c r="Q140" s="24" t="n">
        <x:f>Subsurface_Inputs!$C$38+Subsurface_Inputs!$C$39*H140-2*Subsurface_Inputs!$C$36*(I140/1000)</x:f>
        <x:v>-33.14399912703463</x:v>
      </x:c>
      <x:c r="R140" s="24" t="n">
        <x:f>Subsurface_Inputs!$C$40-2*Subsurface_Inputs!$C$36*(K140/1000)-Subsurface_Inputs!$C$41*ABS(L140-AVERAGE($L$2:$L$242))</x:f>
        <x:v>-38.197359578618446</x:v>
      </x:c>
      <x:c r="S140" s="24" t="n">
        <x:f>K140-AVERAGE($K$2:$K$242)</x:f>
        <x:v>986.4245476823417</x:v>
      </x:c>
      <x:c r="T140" s="24" t="n">
        <x:f>K140/F140</x:f>
        <x:v>13.881017769732019</x:v>
      </x:c>
      <x:c r="U140" s="25" t="str">
        <x:f>IF(H140&gt;=Subsurface_Inputs!$C$42,"Lens visible","Weak/no lens")</x:f>
        <x:v>Weak/no lens</x:v>
      </x:c>
      <x:c r="V140" s="25" t="str">
        <x:f>IF(R140&gt;=W140,"Likely visible","Weak")</x:f>
        <x:v>Likely visible</x:v>
      </x:c>
      <x:c r="W140" s="24" t="n">
        <x:f>Subsurface_Inputs!$C$43</x:f>
        <x:v>-45</x:v>
      </x:c>
      <x:c r="X140" s="24" t="n">
        <x:f>Q140-W140</x:f>
        <x:v>11.856000872965367</x:v>
      </x:c>
      <x:c r="Y140" s="24" t="n">
        <x:f>R140-W140</x:f>
        <x:v>6.802640421381554</x:v>
      </x:c>
      <x:c r="Z140" s="24" t="n">
        <x:f>MAX(Q140,R140)-W140</x:f>
        <x:v>11.856000872965367</x:v>
      </x:c>
      <x:c r="AA140" s="24" t="n">
        <x:v>0</x:v>
      </x:c>
    </x:row>
    <x:row r="141">
      <x:c r="A141" s="24" t="n">
        <x:f>Model_Data!A141</x:f>
        <x:v>9.5</x:v>
      </x:c>
      <x:c r="B141" s="24" t="n">
        <x:f>Model_Data!Y141</x:f>
        <x:v>478.27937371872196</x:v>
      </x:c>
      <x:c r="C141" s="24" t="n">
        <x:f>Model_Data!X141</x:f>
        <x:v>5.649927018638348</x:v>
      </x:c>
      <x:c r="D141" s="24" t="n">
        <x:f>Model_Data!B141</x:f>
        <x:v>400.10027777777776</x:v>
      </x:c>
      <x:c r="E141" s="24" t="n">
        <x:f>Inputs!$C$6</x:f>
        <x:v>25</x:v>
      </x:c>
      <x:c r="F141" s="24" t="n">
        <x:f>Subsurface_Inputs!$C$5+Subsurface_Inputs!$C$6*SIN(2*PI()*(A141+Subsurface_Inputs!$C$7)/Subsurface_Inputs!$C$8)+Subsurface_Inputs!$C$9*COS(2*PI()*A141/Subsurface_Inputs!$C$10)+Subsurface_Inputs!$C$11*(B141-AVERAGE($B$2:$B$242))</x:f>
        <x:v>1140.8522774257192</x:v>
      </x:c>
      <x:c r="G141" s="24" t="n">
        <x:f>B141-F141</x:f>
        <x:v>-662.5729037069973</x:v>
      </x:c>
      <x:c r="H141" s="24" t="n">
        <x:f>MIN(1,MAX(0,Subsurface_Inputs!$C$13*EXP(-0.5*((A141-Subsurface_Inputs!$C$14)/Subsurface_Inputs!$C$15)^2)+Subsurface_Inputs!$C$16*EXP(-0.5*((A141-Subsurface_Inputs!$C$17)/Subsurface_Inputs!$C$18)^2)))</x:f>
        <x:v>0.029729216223055854</x:v>
      </x:c>
      <x:c r="I141" s="24" t="n">
        <x:f>Subsurface_Inputs!$C$19+Subsurface_Inputs!$C$20*SIN(2*PI()*(A141-Subsurface_Inputs!$C$21)/Subsurface_Inputs!$C$22)-Subsurface_Inputs!$C$23*H141</x:f>
        <x:v>5230.6553692487305</x:v>
      </x:c>
      <x:c r="J141" s="24" t="n">
        <x:f>B141-I141</x:f>
        <x:v>-4752.375995530008</x:v>
      </x:c>
      <x:c r="K141" s="24" t="n">
        <x:f>Subsurface_Inputs!$C$25+Subsurface_Inputs!$C$26*SIN(2*PI()*(A141+Subsurface_Inputs!$C$27)/Subsurface_Inputs!$C$28)+Subsurface_Inputs!$C$29*COS(2*PI()*(A141-Subsurface_Inputs!$C$30)/Subsurface_Inputs!$C$31)-Subsurface_Inputs!$C$32*(B141-AVERAGE($B$2:$B$242))</x:f>
        <x:v>16060.87573901286</x:v>
      </x:c>
      <x:c r="L141" s="24" t="n">
        <x:f>B141-K141</x:f>
        <x:v>-15582.596365294137</x:v>
      </x:c>
      <x:c r="M141" s="24" t="n">
        <x:f>2*Subsurface_Inputs!$C$34*F141/Subsurface_Inputs!$C$35*1000000</x:f>
        <x:v>13.547485933203697</x:v>
      </x:c>
      <x:c r="N141" s="24" t="n">
        <x:f>2*Subsurface_Inputs!$C$34*I141/Subsurface_Inputs!$C$35*1000000</x:f>
        <x:v>62.11341418911039</x:v>
      </x:c>
      <x:c r="O141" s="24" t="n">
        <x:f>2*Subsurface_Inputs!$C$34*K141/Subsurface_Inputs!$C$35*1000000</x:f>
        <x:v>190.72100082946645</x:v>
      </x:c>
      <x:c r="P141" s="24" t="n">
        <x:f>Subsurface_Inputs!$C$37-2*Subsurface_Inputs!$C$36*(F141/1000)</x:f>
        <x:v>-12.053534099366296</x:v>
      </x:c>
      <x:c r="Q141" s="24" t="n">
        <x:f>Subsurface_Inputs!$C$38+Subsurface_Inputs!$C$39*H141-2*Subsurface_Inputs!$C$36*(I141/1000)</x:f>
        <x:v>-33.147616718640215</x:v>
      </x:c>
      <x:c r="R141" s="24" t="n">
        <x:f>Subsurface_Inputs!$C$40-2*Subsurface_Inputs!$C$36*(K141/1000)-Subsurface_Inputs!$C$41*ABS(L141-AVERAGE($L$2:$L$242))</x:f>
        <x:v>-38.192131277428324</x:v>
      </x:c>
      <x:c r="S141" s="24" t="n">
        <x:f>K141-AVERAGE($K$2:$K$242)</x:f>
        <x:v>983.4910434387493</x:v>
      </x:c>
      <x:c r="T141" s="24" t="n">
        <x:f>K141/F141</x:f>
        <x:v>14.077962639697304</x:v>
      </x:c>
      <x:c r="U141" s="25" t="str">
        <x:f>IF(H141&gt;=Subsurface_Inputs!$C$42,"Lens visible","Weak/no lens")</x:f>
        <x:v>Weak/no lens</x:v>
      </x:c>
      <x:c r="V141" s="25" t="str">
        <x:f>IF(R141&gt;=W141,"Likely visible","Weak")</x:f>
        <x:v>Likely visible</x:v>
      </x:c>
      <x:c r="W141" s="24" t="n">
        <x:f>Subsurface_Inputs!$C$43</x:f>
        <x:v>-45</x:v>
      </x:c>
      <x:c r="X141" s="24" t="n">
        <x:f>Q141-W141</x:f>
        <x:v>11.852383281359785</x:v>
      </x:c>
      <x:c r="Y141" s="24" t="n">
        <x:f>R141-W141</x:f>
        <x:v>6.807868722571676</x:v>
      </x:c>
      <x:c r="Z141" s="24" t="n">
        <x:f>MAX(Q141,R141)-W141</x:f>
        <x:v>11.852383281359785</x:v>
      </x:c>
      <x:c r="AA141" s="24" t="n">
        <x:v>0</x:v>
      </x:c>
    </x:row>
    <x:row r="142">
      <x:c r="A142" s="24" t="n">
        <x:f>Model_Data!A142</x:f>
        <x:v>10</x:v>
      </x:c>
      <x:c r="B142" s="24" t="n">
        <x:f>Model_Data!Y142</x:f>
        <x:v>454.2022007690729</x:v>
      </x:c>
      <x:c r="C142" s="24" t="n">
        <x:f>Model_Data!X142</x:f>
        <x:v>-8.569441618173819</x:v>
      </x:c>
      <x:c r="D142" s="24" t="n">
        <x:f>Model_Data!B142</x:f>
        <x:v>400.1111111111111</x:v>
      </x:c>
      <x:c r="E142" s="24" t="n">
        <x:f>Inputs!$C$6</x:f>
        <x:v>25</x:v>
      </x:c>
      <x:c r="F142" s="24" t="n">
        <x:f>Subsurface_Inputs!$C$5+Subsurface_Inputs!$C$6*SIN(2*PI()*(A142+Subsurface_Inputs!$C$7)/Subsurface_Inputs!$C$8)+Subsurface_Inputs!$C$9*COS(2*PI()*A142/Subsurface_Inputs!$C$10)+Subsurface_Inputs!$C$11*(B142-AVERAGE($B$2:$B$242))</x:f>
        <x:v>1124.3650898453727</x:v>
      </x:c>
      <x:c r="G142" s="24" t="n">
        <x:f>B142-F142</x:f>
        <x:v>-670.1628890762998</x:v>
      </x:c>
      <x:c r="H142" s="24" t="n">
        <x:f>MIN(1,MAX(0,Subsurface_Inputs!$C$13*EXP(-0.5*((A142-Subsurface_Inputs!$C$14)/Subsurface_Inputs!$C$15)^2)+Subsurface_Inputs!$C$16*EXP(-0.5*((A142-Subsurface_Inputs!$C$17)/Subsurface_Inputs!$C$18)^2)))</x:f>
        <x:v>0.03369013317421013</x:v>
      </x:c>
      <x:c r="I142" s="24" t="n">
        <x:f>Subsurface_Inputs!$C$19+Subsurface_Inputs!$C$20*SIN(2*PI()*(A142-Subsurface_Inputs!$C$21)/Subsurface_Inputs!$C$22)-Subsurface_Inputs!$C$23*H142</x:f>
        <x:v>5248.80907930769</x:v>
      </x:c>
      <x:c r="J142" s="24" t="n">
        <x:f>B142-I142</x:f>
        <x:v>-4794.606878538617</x:v>
      </x:c>
      <x:c r="K142" s="24" t="n">
        <x:f>Subsurface_Inputs!$C$25+Subsurface_Inputs!$C$26*SIN(2*PI()*(A142+Subsurface_Inputs!$C$27)/Subsurface_Inputs!$C$28)+Subsurface_Inputs!$C$29*COS(2*PI()*(A142-Subsurface_Inputs!$C$30)/Subsurface_Inputs!$C$31)-Subsurface_Inputs!$C$32*(B142-AVERAGE($B$2:$B$242))</x:f>
        <x:v>16059.65300237692</x:v>
      </x:c>
      <x:c r="L142" s="24" t="n">
        <x:f>B142-K142</x:f>
        <x:v>-15605.450801607847</x:v>
      </x:c>
      <x:c r="M142" s="24" t="n">
        <x:f>2*Subsurface_Inputs!$C$34*F142/Subsurface_Inputs!$C$35*1000000</x:f>
        <x:v>13.35170252965312</x:v>
      </x:c>
      <x:c r="N142" s="24" t="n">
        <x:f>2*Subsurface_Inputs!$C$34*I142/Subsurface_Inputs!$C$35*1000000</x:f>
        <x:v>62.3289873500933</x:v>
      </x:c>
      <x:c r="O142" s="24" t="n">
        <x:f>2*Subsurface_Inputs!$C$34*K142/Subsurface_Inputs!$C$35*1000000</x:f>
        <x:v>190.7064809764555</x:v>
      </x:c>
      <x:c r="P142" s="24" t="n">
        <x:f>Subsurface_Inputs!$C$37-2*Subsurface_Inputs!$C$36*(F142/1000)</x:f>
        <x:v>-12.023857161721672</x:v>
      </x:c>
      <x:c r="Q142" s="24" t="n">
        <x:f>Subsurface_Inputs!$C$38+Subsurface_Inputs!$C$39*H142-2*Subsurface_Inputs!$C$36*(I142/1000)</x:f>
        <x:v>-33.14464514418595</x:v>
      </x:c>
      <x:c r="R142" s="24" t="n">
        <x:f>Subsurface_Inputs!$C$40-2*Subsurface_Inputs!$C$36*(K142/1000)-Subsurface_Inputs!$C$41*ABS(L142-AVERAGE($L$2:$L$242))</x:f>
        <x:v>-38.28134809673847</x:v>
      </x:c>
      <x:c r="S142" s="24" t="n">
        <x:f>K142-AVERAGE($K$2:$K$242)</x:f>
        <x:v>982.2683068028091</x:v>
      </x:c>
      <x:c r="T142" s="24" t="n">
        <x:f>K142/F142</x:f>
        <x:v>14.283308106431434</x:v>
      </x:c>
      <x:c r="U142" s="25" t="str">
        <x:f>IF(H142&gt;=Subsurface_Inputs!$C$42,"Lens visible","Weak/no lens")</x:f>
        <x:v>Weak/no lens</x:v>
      </x:c>
      <x:c r="V142" s="25" t="str">
        <x:f>IF(R142&gt;=W142,"Likely visible","Weak")</x:f>
        <x:v>Likely visible</x:v>
      </x:c>
      <x:c r="W142" s="24" t="n">
        <x:f>Subsurface_Inputs!$C$43</x:f>
        <x:v>-45</x:v>
      </x:c>
      <x:c r="X142" s="24" t="n">
        <x:f>Q142-W142</x:f>
        <x:v>11.85535485581405</x:v>
      </x:c>
      <x:c r="Y142" s="24" t="n">
        <x:f>R142-W142</x:f>
        <x:v>6.718651903261531</x:v>
      </x:c>
      <x:c r="Z142" s="24" t="n">
        <x:f>MAX(Q142,R142)-W142</x:f>
        <x:v>11.85535485581405</x:v>
      </x:c>
      <x:c r="AA142" s="24" t="n">
        <x:v>0</x:v>
      </x:c>
    </x:row>
    <x:row r="143">
      <x:c r="A143" s="24" t="n">
        <x:f>Model_Data!A143</x:f>
        <x:v>10.5</x:v>
      </x:c>
      <x:c r="B143" s="24" t="n">
        <x:f>Model_Data!Y143</x:f>
        <x:v>437.9381023255588</x:v>
      </x:c>
      <x:c r="C143" s="24" t="n">
        <x:f>Model_Data!X143</x:f>
        <x:v>4.936290407774814</x:v>
      </x:c>
      <x:c r="D143" s="24" t="n">
        <x:f>Model_Data!B143</x:f>
        <x:v>400.1225</x:v>
      </x:c>
      <x:c r="E143" s="24" t="n">
        <x:f>Inputs!$C$6</x:f>
        <x:v>25</x:v>
      </x:c>
      <x:c r="F143" s="24" t="n">
        <x:f>Subsurface_Inputs!$C$5+Subsurface_Inputs!$C$6*SIN(2*PI()*(A143+Subsurface_Inputs!$C$7)/Subsurface_Inputs!$C$8)+Subsurface_Inputs!$C$9*COS(2*PI()*A143/Subsurface_Inputs!$C$10)+Subsurface_Inputs!$C$11*(B143-AVERAGE($B$2:$B$242))</x:f>
        <x:v>1109.0822191427314</x:v>
      </x:c>
      <x:c r="G143" s="24" t="n">
        <x:f>B143-F143</x:f>
        <x:v>-671.1441168171726</x:v>
      </x:c>
      <x:c r="H143" s="24" t="n">
        <x:f>MIN(1,MAX(0,Subsurface_Inputs!$C$13*EXP(-0.5*((A143-Subsurface_Inputs!$C$14)/Subsurface_Inputs!$C$15)^2)+Subsurface_Inputs!$C$16*EXP(-0.5*((A143-Subsurface_Inputs!$C$17)/Subsurface_Inputs!$C$18)^2)))</x:f>
        <x:v>0.03835953124954955</x:v>
      </x:c>
      <x:c r="I143" s="24" t="n">
        <x:f>Subsurface_Inputs!$C$19+Subsurface_Inputs!$C$20*SIN(2*PI()*(A143-Subsurface_Inputs!$C$21)/Subsurface_Inputs!$C$22)-Subsurface_Inputs!$C$23*H143</x:f>
        <x:v>5266.562489272529</x:v>
      </x:c>
      <x:c r="J143" s="24" t="n">
        <x:f>B143-I143</x:f>
        <x:v>-4828.62438694697</x:v>
      </x:c>
      <x:c r="K143" s="24" t="n">
        <x:f>Subsurface_Inputs!$C$25+Subsurface_Inputs!$C$26*SIN(2*PI()*(A143+Subsurface_Inputs!$C$27)/Subsurface_Inputs!$C$28)+Subsurface_Inputs!$C$29*COS(2*PI()*(A143-Subsurface_Inputs!$C$30)/Subsurface_Inputs!$C$31)-Subsurface_Inputs!$C$32*(B143-AVERAGE($B$2:$B$242))</x:f>
        <x:v>16056.097371463005</x:v>
      </x:c>
      <x:c r="L143" s="24" t="n">
        <x:f>B143-K143</x:f>
        <x:v>-15618.159269137446</x:v>
      </x:c>
      <x:c r="M143" s="24" t="n">
        <x:f>2*Subsurface_Inputs!$C$34*F143/Subsurface_Inputs!$C$35*1000000</x:f>
        <x:v>13.170220246661856</x:v>
      </x:c>
      <x:c r="N143" s="24" t="n">
        <x:f>2*Subsurface_Inputs!$C$34*I143/Subsurface_Inputs!$C$35*1000000</x:f>
        <x:v>62.53980699477838</x:v>
      </x:c>
      <x:c r="O143" s="24" t="n">
        <x:f>2*Subsurface_Inputs!$C$34*K143/Subsurface_Inputs!$C$35*1000000</x:f>
        <x:v>190.66425827966728</x:v>
      </x:c>
      <x:c r="P143" s="24" t="n">
        <x:f>Subsurface_Inputs!$C$37-2*Subsurface_Inputs!$C$36*(F143/1000)</x:f>
        <x:v>-11.996347994456917</x:v>
      </x:c>
      <x:c r="Q143" s="24" t="n">
        <x:f>Subsurface_Inputs!$C$38+Subsurface_Inputs!$C$39*H143-2*Subsurface_Inputs!$C$36*(I143/1000)</x:f>
        <x:v>-33.13457669944461</x:v>
      </x:c>
      <x:c r="R143" s="24" t="n">
        <x:f>Subsurface_Inputs!$C$40-2*Subsurface_Inputs!$C$36*(K143/1000)-Subsurface_Inputs!$C$41*ABS(L143-AVERAGE($L$2:$L$242))</x:f>
        <x:v>-38.32578183121182</x:v>
      </x:c>
      <x:c r="S143" s="24" t="n">
        <x:f>K143-AVERAGE($K$2:$K$242)</x:f>
        <x:v>978.7126758888953</x:v>
      </x:c>
      <x:c r="T143" s="24" t="n">
        <x:f>K143/F143</x:f>
        <x:v>14.47692253498899</x:v>
      </x:c>
      <x:c r="U143" s="25" t="str">
        <x:f>IF(H143&gt;=Subsurface_Inputs!$C$42,"Lens visible","Weak/no lens")</x:f>
        <x:v>Weak/no lens</x:v>
      </x:c>
      <x:c r="V143" s="25" t="str">
        <x:f>IF(R143&gt;=W143,"Likely visible","Weak")</x:f>
        <x:v>Likely visible</x:v>
      </x:c>
      <x:c r="W143" s="24" t="n">
        <x:f>Subsurface_Inputs!$C$43</x:f>
        <x:v>-45</x:v>
      </x:c>
      <x:c r="X143" s="24" t="n">
        <x:f>Q143-W143</x:f>
        <x:v>11.865423300555392</x:v>
      </x:c>
      <x:c r="Y143" s="24" t="n">
        <x:f>R143-W143</x:f>
        <x:v>6.67421816878818</x:v>
      </x:c>
      <x:c r="Z143" s="24" t="n">
        <x:f>MAX(Q143,R143)-W143</x:f>
        <x:v>11.865423300555392</x:v>
      </x:c>
      <x:c r="AA143" s="24" t="n">
        <x:v>0</x:v>
      </x:c>
    </x:row>
    <x:row r="144">
      <x:c r="A144" s="24" t="n">
        <x:f>Model_Data!A144</x:f>
        <x:v>11</x:v>
      </x:c>
      <x:c r="B144" s="24" t="n">
        <x:f>Model_Data!Y144</x:f>
        <x:v>444.9386077034983</x:v>
      </x:c>
      <x:c r="C144" s="24" t="n">
        <x:f>Model_Data!X144</x:f>
        <x:v>1.9403678384373038</x:v>
      </x:c>
      <x:c r="D144" s="24" t="n">
        <x:f>Model_Data!B144</x:f>
        <x:v>400.13444444444445</x:v>
      </x:c>
      <x:c r="E144" s="24" t="n">
        <x:f>Inputs!$C$6</x:f>
        <x:v>25</x:v>
      </x:c>
      <x:c r="F144" s="24" t="n">
        <x:f>Subsurface_Inputs!$C$5+Subsurface_Inputs!$C$6*SIN(2*PI()*(A144+Subsurface_Inputs!$C$7)/Subsurface_Inputs!$C$8)+Subsurface_Inputs!$C$9*COS(2*PI()*A144/Subsurface_Inputs!$C$10)+Subsurface_Inputs!$C$11*(B144-AVERAGE($B$2:$B$242))</x:f>
        <x:v>1095.739304862709</x:v>
      </x:c>
      <x:c r="G144" s="24" t="n">
        <x:f>B144-F144</x:f>
        <x:v>-650.8006971592108</x:v>
      </x:c>
      <x:c r="H144" s="24" t="n">
        <x:f>MIN(1,MAX(0,Subsurface_Inputs!$C$13*EXP(-0.5*((A144-Subsurface_Inputs!$C$14)/Subsurface_Inputs!$C$15)^2)+Subsurface_Inputs!$C$16*EXP(-0.5*((A144-Subsurface_Inputs!$C$17)/Subsurface_Inputs!$C$18)^2)))</x:f>
        <x:v>0.043789239695664</x:v>
      </x:c>
      <x:c r="I144" s="24" t="n">
        <x:f>Subsurface_Inputs!$C$19+Subsurface_Inputs!$C$20*SIN(2*PI()*(A144-Subsurface_Inputs!$C$21)/Subsurface_Inputs!$C$22)-Subsurface_Inputs!$C$23*H144</x:f>
        <x:v>5283.87545983024</x:v>
      </x:c>
      <x:c r="J144" s="24" t="n">
        <x:f>B144-I144</x:f>
        <x:v>-4838.936852126742</x:v>
      </x:c>
      <x:c r="K144" s="24" t="n">
        <x:f>Subsurface_Inputs!$C$25+Subsurface_Inputs!$C$26*SIN(2*PI()*(A144+Subsurface_Inputs!$C$27)/Subsurface_Inputs!$C$28)+Subsurface_Inputs!$C$29*COS(2*PI()*(A144-Subsurface_Inputs!$C$30)/Subsurface_Inputs!$C$31)-Subsurface_Inputs!$C$32*(B144-AVERAGE($B$2:$B$242))</x:f>
        <x:v>16048.05644574271</x:v>
      </x:c>
      <x:c r="L144" s="24" t="n">
        <x:f>B144-K144</x:f>
        <x:v>-15603.117838039212</x:v>
      </x:c>
      <x:c r="M144" s="24" t="n">
        <x:f>2*Subsurface_Inputs!$C$34*F144/Subsurface_Inputs!$C$35*1000000</x:f>
        <x:v>13.011774716865107</x:v>
      </x:c>
      <x:c r="N144" s="24" t="n">
        <x:f>2*Subsurface_Inputs!$C$34*I144/Subsurface_Inputs!$C$35*1000000</x:f>
        <x:v>62.74539647356857</x:v>
      </x:c>
      <x:c r="O144" s="24" t="n">
        <x:f>2*Subsurface_Inputs!$C$34*K144/Subsurface_Inputs!$C$35*1000000</x:f>
        <x:v>190.5687732372642</x:v>
      </x:c>
      <x:c r="P144" s="24" t="n">
        <x:f>Subsurface_Inputs!$C$37-2*Subsurface_Inputs!$C$36*(F144/1000)</x:f>
        <x:v>-11.972330748752876</x:v>
      </x:c>
      <x:c r="Q144" s="24" t="n">
        <x:f>Subsurface_Inputs!$C$38+Subsurface_Inputs!$C$39*H144-2*Subsurface_Inputs!$C$36*(I144/1000)</x:f>
        <x:v>-33.11687267043346</x:v>
      </x:c>
      <x:c r="R144" s="24" t="n">
        <x:f>Subsurface_Inputs!$C$40-2*Subsurface_Inputs!$C$36*(K144/1000)-Subsurface_Inputs!$C$41*ABS(L144-AVERAGE($L$2:$L$242))</x:f>
        <x:v>-38.25114244052236</x:v>
      </x:c>
      <x:c r="S144" s="24" t="n">
        <x:f>K144-AVERAGE($K$2:$K$242)</x:f>
        <x:v>970.6717501685998</x:v>
      </x:c>
      <x:c r="T144" s="24" t="n">
        <x:f>K144/F144</x:f>
        <x:v>14.645870942590177</x:v>
      </x:c>
      <x:c r="U144" s="25" t="str">
        <x:f>IF(H144&gt;=Subsurface_Inputs!$C$42,"Lens visible","Weak/no lens")</x:f>
        <x:v>Weak/no lens</x:v>
      </x:c>
      <x:c r="V144" s="25" t="str">
        <x:f>IF(R144&gt;=W144,"Likely visible","Weak")</x:f>
        <x:v>Likely visible</x:v>
      </x:c>
      <x:c r="W144" s="24" t="n">
        <x:f>Subsurface_Inputs!$C$43</x:f>
        <x:v>-45</x:v>
      </x:c>
      <x:c r="X144" s="24" t="n">
        <x:f>Q144-W144</x:f>
        <x:v>11.883127329566541</x:v>
      </x:c>
      <x:c r="Y144" s="24" t="n">
        <x:f>R144-W144</x:f>
        <x:v>6.748857559477642</x:v>
      </x:c>
      <x:c r="Z144" s="24" t="n">
        <x:f>MAX(Q144,R144)-W144</x:f>
        <x:v>11.883127329566541</x:v>
      </x:c>
      <x:c r="AA144" s="24" t="n">
        <x:v>0</x:v>
      </x:c>
    </x:row>
    <x:row r="145">
      <x:c r="A145" s="24" t="n">
        <x:f>Model_Data!A145</x:f>
        <x:v>11.5</x:v>
      </x:c>
      <x:c r="B145" s="24" t="n">
        <x:f>Model_Data!Y145</x:f>
        <x:v>434.44467895572086</x:v>
      </x:c>
      <x:c r="C145" s="24" t="n">
        <x:f>Model_Data!X145</x:f>
        <x:v>4.044824683821267</x:v>
      </x:c>
      <x:c r="D145" s="24" t="n">
        <x:f>Model_Data!B145</x:f>
        <x:v>400.14694444444444</x:v>
      </x:c>
      <x:c r="E145" s="24" t="n">
        <x:f>Inputs!$C$6</x:f>
        <x:v>25</x:v>
      </x:c>
      <x:c r="F145" s="24" t="n">
        <x:f>Subsurface_Inputs!$C$5+Subsurface_Inputs!$C$6*SIN(2*PI()*(A145+Subsurface_Inputs!$C$7)/Subsurface_Inputs!$C$8)+Subsurface_Inputs!$C$9*COS(2*PI()*A145/Subsurface_Inputs!$C$10)+Subsurface_Inputs!$C$11*(B145-AVERAGE($B$2:$B$242))</x:f>
        <x:v>1082.80388950115</x:v>
      </x:c>
      <x:c r="G145" s="24" t="n">
        <x:f>B145-F145</x:f>
        <x:v>-648.3592105454292</x:v>
      </x:c>
      <x:c r="H145" s="24" t="n">
        <x:f>MIN(1,MAX(0,Subsurface_Inputs!$C$13*EXP(-0.5*((A145-Subsurface_Inputs!$C$14)/Subsurface_Inputs!$C$15)^2)+Subsurface_Inputs!$C$16*EXP(-0.5*((A145-Subsurface_Inputs!$C$17)/Subsurface_Inputs!$C$18)^2)))</x:f>
        <x:v>0.05003364843063708</x:v>
      </x:c>
      <x:c r="I145" s="24" t="n">
        <x:f>Subsurface_Inputs!$C$19+Subsurface_Inputs!$C$20*SIN(2*PI()*(A145-Subsurface_Inputs!$C$21)/Subsurface_Inputs!$C$22)-Subsurface_Inputs!$C$23*H145</x:f>
        <x:v>5300.707615705744</x:v>
      </x:c>
      <x:c r="J145" s="24" t="n">
        <x:f>B145-I145</x:f>
        <x:v>-4866.262936750023</x:v>
      </x:c>
      <x:c r="K145" s="24" t="n">
        <x:f>Subsurface_Inputs!$C$25+Subsurface_Inputs!$C$26*SIN(2*PI()*(A145+Subsurface_Inputs!$C$27)/Subsurface_Inputs!$C$28)+Subsurface_Inputs!$C$29*COS(2*PI()*(A145-Subsurface_Inputs!$C$30)/Subsurface_Inputs!$C$31)-Subsurface_Inputs!$C$32*(B145-AVERAGE($B$2:$B$242))</x:f>
        <x:v>16041.249630235392</x:v>
      </x:c>
      <x:c r="L145" s="24" t="n">
        <x:f>B145-K145</x:f>
        <x:v>-15606.804951279672</x:v>
      </x:c>
      <x:c r="M145" s="24" t="n">
        <x:f>2*Subsurface_Inputs!$C$34*F145/Subsurface_Inputs!$C$35*1000000</x:f>
        <x:v>12.858168188554277</x:v>
      </x:c>
      <x:c r="N145" s="24" t="n">
        <x:f>2*Subsurface_Inputs!$C$34*I145/Subsurface_Inputs!$C$35*1000000</x:f>
        <x:v>62.945276334845104</x:v>
      </x:c>
      <x:c r="O145" s="24" t="n">
        <x:f>2*Subsurface_Inputs!$C$34*K145/Subsurface_Inputs!$C$35*1000000</x:f>
        <x:v>190.4879431077549</x:v>
      </x:c>
      <x:c r="P145" s="24" t="n">
        <x:f>Subsurface_Inputs!$C$37-2*Subsurface_Inputs!$C$36*(F145/1000)</x:f>
        <x:v>-11.94904700110207</x:v>
      </x:c>
      <x:c r="Q145" s="24" t="n">
        <x:f>Subsurface_Inputs!$C$38+Subsurface_Inputs!$C$39*H145-2*Subsurface_Inputs!$C$36*(I145/1000)</x:f>
        <x:v>-33.09097087239461</x:v>
      </x:c>
      <x:c r="R145" s="24" t="n">
        <x:f>Subsurface_Inputs!$C$40-2*Subsurface_Inputs!$C$36*(K145/1000)-Subsurface_Inputs!$C$41*ABS(L145-AVERAGE($L$2:$L$242))</x:f>
        <x:v>-38.25363862557103</x:v>
      </x:c>
      <x:c r="S145" s="24" t="n">
        <x:f>K145-AVERAGE($K$2:$K$242)</x:f>
        <x:v>963.864934661282</x:v>
      </x:c>
      <x:c r="T145" s="24" t="n">
        <x:f>K145/F145</x:f>
        <x:v>14.814547477868434</x:v>
      </x:c>
      <x:c r="U145" s="25" t="str">
        <x:f>IF(H145&gt;=Subsurface_Inputs!$C$42,"Lens visible","Weak/no lens")</x:f>
        <x:v>Weak/no lens</x:v>
      </x:c>
      <x:c r="V145" s="25" t="str">
        <x:f>IF(R145&gt;=W145,"Likely visible","Weak")</x:f>
        <x:v>Likely visible</x:v>
      </x:c>
      <x:c r="W145" s="24" t="n">
        <x:f>Subsurface_Inputs!$C$43</x:f>
        <x:v>-45</x:v>
      </x:c>
      <x:c r="X145" s="24" t="n">
        <x:f>Q145-W145</x:f>
        <x:v>11.909029127605393</x:v>
      </x:c>
      <x:c r="Y145" s="24" t="n">
        <x:f>R145-W145</x:f>
        <x:v>6.746361374428972</x:v>
      </x:c>
      <x:c r="Z145" s="24" t="n">
        <x:f>MAX(Q145,R145)-W145</x:f>
        <x:v>11.909029127605393</x:v>
      </x:c>
      <x:c r="AA145" s="24" t="n">
        <x:v>0</x:v>
      </x:c>
    </x:row>
    <x:row r="146">
      <x:c r="A146" s="24" t="n">
        <x:f>Model_Data!A146</x:f>
        <x:v>12</x:v>
      </x:c>
      <x:c r="B146" s="24" t="n">
        <x:f>Model_Data!Y146</x:f>
        <x:v>422.8387186345762</x:v>
      </x:c>
      <x:c r="C146" s="24" t="n">
        <x:f>Model_Data!X146</x:f>
        <x:v>7.0738918061296845</x:v>
      </x:c>
      <x:c r="D146" s="24" t="n">
        <x:f>Model_Data!B146</x:f>
        <x:v>400.16</x:v>
      </x:c>
      <x:c r="E146" s="24" t="n">
        <x:f>Inputs!$C$6</x:f>
        <x:v>25</x:v>
      </x:c>
      <x:c r="F146" s="24" t="n">
        <x:f>Subsurface_Inputs!$C$5+Subsurface_Inputs!$C$6*SIN(2*PI()*(A146+Subsurface_Inputs!$C$7)/Subsurface_Inputs!$C$8)+Subsurface_Inputs!$C$9*COS(2*PI()*A146/Subsurface_Inputs!$C$10)+Subsurface_Inputs!$C$11*(B146-AVERAGE($B$2:$B$242))</x:f>
        <x:v>1071.0085467117644</x:v>
      </x:c>
      <x:c r="G146" s="24" t="n">
        <x:f>B146-F146</x:f>
        <x:v>-648.1698280771882</x:v>
      </x:c>
      <x:c r="H146" s="24" t="n">
        <x:f>MIN(1,MAX(0,Subsurface_Inputs!$C$13*EXP(-0.5*((A146-Subsurface_Inputs!$C$14)/Subsurface_Inputs!$C$15)^2)+Subsurface_Inputs!$C$16*EXP(-0.5*((A146-Subsurface_Inputs!$C$17)/Subsurface_Inputs!$C$18)^2)))</x:f>
        <x:v>0.057148776248117615</x:v>
      </x:c>
      <x:c r="I146" s="24" t="n">
        <x:f>Subsurface_Inputs!$C$19+Subsurface_Inputs!$C$20*SIN(2*PI()*(A146-Subsurface_Inputs!$C$21)/Subsurface_Inputs!$C$22)-Subsurface_Inputs!$C$23*H146</x:f>
        <x:v>5317.018609391271</x:v>
      </x:c>
      <x:c r="J146" s="24" t="n">
        <x:f>B146-I146</x:f>
        <x:v>-4894.1798907566945</x:v>
      </x:c>
      <x:c r="K146" s="24" t="n">
        <x:f>Subsurface_Inputs!$C$25+Subsurface_Inputs!$C$26*SIN(2*PI()*(A146+Subsurface_Inputs!$C$27)/Subsurface_Inputs!$C$28)+Subsurface_Inputs!$C$29*COS(2*PI()*(A146-Subsurface_Inputs!$C$30)/Subsurface_Inputs!$C$31)-Subsurface_Inputs!$C$32*(B146-AVERAGE($B$2:$B$242))</x:f>
        <x:v>16033.398823391757</x:v>
      </x:c>
      <x:c r="L146" s="24" t="n">
        <x:f>B146-K146</x:f>
        <x:v>-15610.560104757182</x:v>
      </x:c>
      <x:c r="M146" s="24" t="n">
        <x:f>2*Subsurface_Inputs!$C$34*F146/Subsurface_Inputs!$C$35*1000000</x:f>
        <x:v>12.71809988726895</x:v>
      </x:c>
      <x:c r="N146" s="24" t="n">
        <x:f>2*Subsurface_Inputs!$C$34*I146/Subsurface_Inputs!$C$35*1000000</x:f>
        <x:v>63.13896745672275</x:v>
      </x:c>
      <x:c r="O146" s="24" t="n">
        <x:f>2*Subsurface_Inputs!$C$34*K146/Subsurface_Inputs!$C$35*1000000</x:f>
        <x:v>190.39471570453802</x:v>
      </x:c>
      <x:c r="P146" s="24" t="n">
        <x:f>Subsurface_Inputs!$C$37-2*Subsurface_Inputs!$C$36*(F146/1000)</x:f>
        <x:v>-11.927815384081176</x:v>
      </x:c>
      <x:c r="Q146" s="24" t="n">
        <x:f>Subsurface_Inputs!$C$38+Subsurface_Inputs!$C$39*H146-2*Subsurface_Inputs!$C$36*(I146/1000)</x:f>
        <x:v>-33.05629451067123</x:v>
      </x:c>
      <x:c r="R146" s="24" t="n">
        <x:f>Subsurface_Inputs!$C$40-2*Subsurface_Inputs!$C$36*(K146/1000)-Subsurface_Inputs!$C$41*ABS(L146-AVERAGE($L$2:$L$242))</x:f>
        <x:v>-38.254527787162516</x:v>
      </x:c>
      <x:c r="S146" s="24" t="n">
        <x:f>K146-AVERAGE($K$2:$K$242)</x:f>
        <x:v>956.014127817647</x:v>
      </x:c>
      <x:c r="T146" s="24" t="n">
        <x:f>K146/F146</x:f>
        <x:v>14.970374300576662</x:v>
      </x:c>
      <x:c r="U146" s="25" t="str">
        <x:f>IF(H146&gt;=Subsurface_Inputs!$C$42,"Lens visible","Weak/no lens")</x:f>
        <x:v>Weak/no lens</x:v>
      </x:c>
      <x:c r="V146" s="25" t="str">
        <x:f>IF(R146&gt;=W146,"Likely visible","Weak")</x:f>
        <x:v>Likely visible</x:v>
      </x:c>
      <x:c r="W146" s="24" t="n">
        <x:f>Subsurface_Inputs!$C$43</x:f>
        <x:v>-45</x:v>
      </x:c>
      <x:c r="X146" s="24" t="n">
        <x:f>Q146-W146</x:f>
        <x:v>11.94370548932877</x:v>
      </x:c>
      <x:c r="Y146" s="24" t="n">
        <x:f>R146-W146</x:f>
        <x:v>6.745472212837484</x:v>
      </x:c>
      <x:c r="Z146" s="24" t="n">
        <x:f>MAX(Q146,R146)-W146</x:f>
        <x:v>11.94370548932877</x:v>
      </x:c>
      <x:c r="AA146" s="24" t="n">
        <x:v>0</x:v>
      </x:c>
    </x:row>
    <x:row r="147">
      <x:c r="A147" s="24" t="n">
        <x:f>Model_Data!A147</x:f>
        <x:v>12.5</x:v>
      </x:c>
      <x:c r="B147" s="24" t="n">
        <x:f>Model_Data!Y147</x:f>
        <x:v>434.12423495839124</x:v>
      </x:c>
      <x:c r="C147" s="24" t="n">
        <x:f>Model_Data!X147</x:f>
        <x:v>-5.687454175445142</x:v>
      </x:c>
      <x:c r="D147" s="24" t="n">
        <x:f>Model_Data!B147</x:f>
        <x:v>400.1736111111111</x:v>
      </x:c>
      <x:c r="E147" s="24" t="n">
        <x:f>Inputs!$C$6</x:f>
        <x:v>25</x:v>
      </x:c>
      <x:c r="F147" s="24" t="n">
        <x:f>Subsurface_Inputs!$C$5+Subsurface_Inputs!$C$6*SIN(2*PI()*(A147+Subsurface_Inputs!$C$7)/Subsurface_Inputs!$C$8)+Subsurface_Inputs!$C$9*COS(2*PI()*A147/Subsurface_Inputs!$C$10)+Subsurface_Inputs!$C$11*(B147-AVERAGE($B$2:$B$242))</x:f>
        <x:v>1061.3695000412065</x:v>
      </x:c>
      <x:c r="G147" s="24" t="n">
        <x:f>B147-F147</x:f>
        <x:v>-627.2452650828152</x:v>
      </x:c>
      <x:c r="H147" s="24" t="n">
        <x:f>MIN(1,MAX(0,Subsurface_Inputs!$C$13*EXP(-0.5*((A147-Subsurface_Inputs!$C$14)/Subsurface_Inputs!$C$15)^2)+Subsurface_Inputs!$C$16*EXP(-0.5*((A147-Subsurface_Inputs!$C$17)/Subsurface_Inputs!$C$18)^2)))</x:f>
        <x:v>0.065191197390238</x:v>
      </x:c>
      <x:c r="I147" s="24" t="n">
        <x:f>Subsurface_Inputs!$C$19+Subsurface_Inputs!$C$20*SIN(2*PI()*(A147-Subsurface_Inputs!$C$21)/Subsurface_Inputs!$C$22)-Subsurface_Inputs!$C$23*H147</x:f>
        <x:v>5332.768418252719</x:v>
      </x:c>
      <x:c r="J147" s="24" t="n">
        <x:f>B147-I147</x:f>
        <x:v>-4898.644183294328</x:v>
      </x:c>
      <x:c r="K147" s="24" t="n">
        <x:f>Subsurface_Inputs!$C$25+Subsurface_Inputs!$C$26*SIN(2*PI()*(A147+Subsurface_Inputs!$C$27)/Subsurface_Inputs!$C$28)+Subsurface_Inputs!$C$29*COS(2*PI()*(A147-Subsurface_Inputs!$C$30)/Subsurface_Inputs!$C$31)-Subsurface_Inputs!$C$32*(B147-AVERAGE($B$2:$B$242))</x:f>
        <x:v>16021.161227495551</x:v>
      </x:c>
      <x:c r="L147" s="24" t="n">
        <x:f>B147-K147</x:f>
        <x:v>-15587.03699253716</x:v>
      </x:c>
      <x:c r="M147" s="24" t="n">
        <x:f>2*Subsurface_Inputs!$C$34*F147/Subsurface_Inputs!$C$35*1000000</x:f>
        <x:v>12.603637347496898</x:v>
      </x:c>
      <x:c r="N147" s="24" t="n">
        <x:f>2*Subsurface_Inputs!$C$34*I147/Subsurface_Inputs!$C$35*1000000</x:f>
        <x:v>63.325994575152656</x:v>
      </x:c>
      <x:c r="O147" s="24" t="n">
        <x:f>2*Subsurface_Inputs!$C$34*K147/Subsurface_Inputs!$C$35*1000000</x:f>
        <x:v>190.2493956998884</x:v>
      </x:c>
      <x:c r="P147" s="24" t="n">
        <x:f>Subsurface_Inputs!$C$37-2*Subsurface_Inputs!$C$36*(F147/1000)</x:f>
        <x:v>-11.910465100074171</x:v>
      </x:c>
      <x:c r="Q147" s="24" t="n">
        <x:f>Subsurface_Inputs!$C$38+Subsurface_Inputs!$C$39*H147-2*Subsurface_Inputs!$C$36*(I147/1000)</x:f>
        <x:v>-33.012262376342754</x:v>
      </x:c>
      <x:c r="R147" s="24" t="n">
        <x:f>Subsurface_Inputs!$C$40-2*Subsurface_Inputs!$C$36*(K147/1000)-Subsurface_Inputs!$C$41*ABS(L147-AVERAGE($L$2:$L$242))</x:f>
        <x:v>-38.13840766566926</x:v>
      </x:c>
      <x:c r="S147" s="24" t="n">
        <x:f>K147-AVERAGE($K$2:$K$242)</x:f>
        <x:v>943.7765319214413</x:v>
      </x:c>
      <x:c r="T147" s="24" t="n">
        <x:f>K147/F147</x:f>
        <x:v>15.094800846334428</x:v>
      </x:c>
      <x:c r="U147" s="25" t="str">
        <x:f>IF(H147&gt;=Subsurface_Inputs!$C$42,"Lens visible","Weak/no lens")</x:f>
        <x:v>Weak/no lens</x:v>
      </x:c>
      <x:c r="V147" s="25" t="str">
        <x:f>IF(R147&gt;=W147,"Likely visible","Weak")</x:f>
        <x:v>Likely visible</x:v>
      </x:c>
      <x:c r="W147" s="24" t="n">
        <x:f>Subsurface_Inputs!$C$43</x:f>
        <x:v>-45</x:v>
      </x:c>
      <x:c r="X147" s="24" t="n">
        <x:f>Q147-W147</x:f>
        <x:v>11.987737623657246</x:v>
      </x:c>
      <x:c r="Y147" s="24" t="n">
        <x:f>R147-W147</x:f>
        <x:v>6.861592334330737</x:v>
      </x:c>
      <x:c r="Z147" s="24" t="n">
        <x:f>MAX(Q147,R147)-W147</x:f>
        <x:v>11.987737623657246</x:v>
      </x:c>
      <x:c r="AA147" s="24" t="n">
        <x:v>0</x:v>
      </x:c>
    </x:row>
    <x:row r="148">
      <x:c r="A148" s="24" t="n">
        <x:f>Model_Data!A148</x:f>
        <x:v>13</x:v>
      </x:c>
      <x:c r="B148" s="24" t="n">
        <x:f>Model_Data!Y148</x:f>
        <x:v>428.8351991704085</x:v>
      </x:c>
      <x:c r="C148" s="24" t="n">
        <x:f>Model_Data!X148</x:f>
        <x:v>-3.618490966575764</x:v>
      </x:c>
      <x:c r="D148" s="24" t="n">
        <x:f>Model_Data!B148</x:f>
        <x:v>400.1877777777778</x:v>
      </x:c>
      <x:c r="E148" s="24" t="n">
        <x:f>Inputs!$C$6</x:f>
        <x:v>25</x:v>
      </x:c>
      <x:c r="F148" s="24" t="n">
        <x:f>Subsurface_Inputs!$C$5+Subsurface_Inputs!$C$6*SIN(2*PI()*(A148+Subsurface_Inputs!$C$7)/Subsurface_Inputs!$C$8)+Subsurface_Inputs!$C$9*COS(2*PI()*A148/Subsurface_Inputs!$C$10)+Subsurface_Inputs!$C$11*(B148-AVERAGE($B$2:$B$242))</x:f>
        <x:v>1052.3428192874937</x:v>
      </x:c>
      <x:c r="G148" s="24" t="n">
        <x:f>B148-F148</x:f>
        <x:v>-623.5076201170853</x:v>
      </x:c>
      <x:c r="H148" s="24" t="n">
        <x:f>MIN(1,MAX(0,Subsurface_Inputs!$C$13*EXP(-0.5*((A148-Subsurface_Inputs!$C$14)/Subsurface_Inputs!$C$15)^2)+Subsurface_Inputs!$C$16*EXP(-0.5*((A148-Subsurface_Inputs!$C$17)/Subsurface_Inputs!$C$18)^2)))</x:f>
        <x:v>0.07421682882713554</x:v>
      </x:c>
      <x:c r="I148" s="24" t="n">
        <x:f>Subsurface_Inputs!$C$19+Subsurface_Inputs!$C$20*SIN(2*PI()*(A148-Subsurface_Inputs!$C$21)/Subsurface_Inputs!$C$22)-Subsurface_Inputs!$C$23*H148</x:f>
        <x:v>5347.917674393985</x:v>
      </x:c>
      <x:c r="J148" s="24" t="n">
        <x:f>B148-I148</x:f>
        <x:v>-4919.082475223577</x:v>
      </x:c>
      <x:c r="K148" s="24" t="n">
        <x:f>Subsurface_Inputs!$C$25+Subsurface_Inputs!$C$26*SIN(2*PI()*(A148+Subsurface_Inputs!$C$27)/Subsurface_Inputs!$C$28)+Subsurface_Inputs!$C$29*COS(2*PI()*(A148-Subsurface_Inputs!$C$30)/Subsurface_Inputs!$C$31)-Subsurface_Inputs!$C$32*(B148-AVERAGE($B$2:$B$242))</x:f>
        <x:v>16010.081996804991</x:v>
      </x:c>
      <x:c r="L148" s="24" t="n">
        <x:f>B148-K148</x:f>
        <x:v>-15581.246797634583</x:v>
      </x:c>
      <x:c r="M148" s="24" t="n">
        <x:f>2*Subsurface_Inputs!$C$34*F148/Subsurface_Inputs!$C$35*1000000</x:f>
        <x:v>12.496446580599029</x:v>
      </x:c>
      <x:c r="N148" s="24" t="n">
        <x:f>2*Subsurface_Inputs!$C$34*I148/Subsurface_Inputs!$C$35*1000000</x:f>
        <x:v>63.5058902010223</x:v>
      </x:c>
      <x:c r="O148" s="24" t="n">
        <x:f>2*Subsurface_Inputs!$C$34*K148/Subsurface_Inputs!$C$35*1000000</x:f>
        <x:v>190.1178311451243</x:v>
      </x:c>
      <x:c r="P148" s="24" t="n">
        <x:f>Subsurface_Inputs!$C$37-2*Subsurface_Inputs!$C$36*(F148/1000)</x:f>
        <x:v>-11.894217074717488</x:v>
      </x:c>
      <x:c r="Q148" s="24" t="n">
        <x:f>Subsurface_Inputs!$C$38+Subsurface_Inputs!$C$39*H148-2*Subsurface_Inputs!$C$36*(I148/1000)</x:f>
        <x:v>-32.95830035446495</x:v>
      </x:c>
      <x:c r="R148" s="24" t="n">
        <x:f>Subsurface_Inputs!$C$40-2*Subsurface_Inputs!$C$36*(K148/1000)-Subsurface_Inputs!$C$41*ABS(L148-AVERAGE($L$2:$L$242))</x:f>
        <x:v>-38.095304270815944</x:v>
      </x:c>
      <x:c r="S148" s="24" t="n">
        <x:f>K148-AVERAGE($K$2:$K$242)</x:f>
        <x:v>932.6973012308808</x:v>
      </x:c>
      <x:c r="T148" s="24" t="n">
        <x:f>K148/F148</x:f>
        <x:v>15.213751358749123</x:v>
      </x:c>
      <x:c r="U148" s="25" t="str">
        <x:f>IF(H148&gt;=Subsurface_Inputs!$C$42,"Lens visible","Weak/no lens")</x:f>
        <x:v>Weak/no lens</x:v>
      </x:c>
      <x:c r="V148" s="25" t="str">
        <x:f>IF(R148&gt;=W148,"Likely visible","Weak")</x:f>
        <x:v>Likely visible</x:v>
      </x:c>
      <x:c r="W148" s="24" t="n">
        <x:f>Subsurface_Inputs!$C$43</x:f>
        <x:v>-45</x:v>
      </x:c>
      <x:c r="X148" s="24" t="n">
        <x:f>Q148-W148</x:f>
        <x:v>12.041699645535047</x:v>
      </x:c>
      <x:c r="Y148" s="24" t="n">
        <x:f>R148-W148</x:f>
        <x:v>6.904695729184056</x:v>
      </x:c>
      <x:c r="Z148" s="24" t="n">
        <x:f>MAX(Q148,R148)-W148</x:f>
        <x:v>12.041699645535047</x:v>
      </x:c>
      <x:c r="AA148" s="24" t="n">
        <x:v>0</x:v>
      </x:c>
    </x:row>
    <x:row r="149">
      <x:c r="A149" s="24" t="n">
        <x:f>Model_Data!A149</x:f>
        <x:v>13.5</x:v>
      </x:c>
      <x:c r="B149" s="24" t="n">
        <x:f>Model_Data!Y149</x:f>
        <x:v>408.84619240872695</x:v>
      </x:c>
      <x:c r="C149" s="24" t="n">
        <x:f>Model_Data!X149</x:f>
        <x:v>0.04576132524433074</x:v>
      </x:c>
      <x:c r="D149" s="24" t="n">
        <x:f>Model_Data!B149</x:f>
        <x:v>400.2025</x:v>
      </x:c>
      <x:c r="E149" s="24" t="n">
        <x:f>Inputs!$C$6</x:f>
        <x:v>25</x:v>
      </x:c>
      <x:c r="F149" s="24" t="n">
        <x:f>Subsurface_Inputs!$C$5+Subsurface_Inputs!$C$6*SIN(2*PI()*(A149+Subsurface_Inputs!$C$7)/Subsurface_Inputs!$C$8)+Subsurface_Inputs!$C$9*COS(2*PI()*A149/Subsurface_Inputs!$C$10)+Subsurface_Inputs!$C$11*(B149-AVERAGE($B$2:$B$242))</x:f>
        <x:v>1044.0170368416855</x:v>
      </x:c>
      <x:c r="G149" s="24" t="n">
        <x:f>B149-F149</x:f>
        <x:v>-635.1708444329586</x:v>
      </x:c>
      <x:c r="H149" s="24" t="n">
        <x:f>MIN(1,MAX(0,Subsurface_Inputs!$C$13*EXP(-0.5*((A149-Subsurface_Inputs!$C$14)/Subsurface_Inputs!$C$15)^2)+Subsurface_Inputs!$C$16*EXP(-0.5*((A149-Subsurface_Inputs!$C$17)/Subsurface_Inputs!$C$18)^2)))</x:f>
        <x:v>0.08427958487344142</x:v>
      </x:c>
      <x:c r="I149" s="24" t="n">
        <x:f>Subsurface_Inputs!$C$19+Subsurface_Inputs!$C$20*SIN(2*PI()*(A149-Subsurface_Inputs!$C$21)/Subsurface_Inputs!$C$22)-Subsurface_Inputs!$C$23*H149</x:f>
        <x:v>5362.428025631009</x:v>
      </x:c>
      <x:c r="J149" s="24" t="n">
        <x:f>B149-I149</x:f>
        <x:v>-4953.5818332222825</x:v>
      </x:c>
      <x:c r="K149" s="24" t="n">
        <x:f>Subsurface_Inputs!$C$25+Subsurface_Inputs!$C$26*SIN(2*PI()*(A149+Subsurface_Inputs!$C$27)/Subsurface_Inputs!$C$28)+Subsurface_Inputs!$C$29*COS(2*PI()*(A149-Subsurface_Inputs!$C$30)/Subsurface_Inputs!$C$31)-Subsurface_Inputs!$C$32*(B149-AVERAGE($B$2:$B$242))</x:f>
        <x:v>15999.920769914777</x:v>
      </x:c>
      <x:c r="L149" s="24" t="n">
        <x:f>B149-K149</x:f>
        <x:v>-15591.07457750605</x:v>
      </x:c>
      <x:c r="M149" s="24" t="n">
        <x:f>2*Subsurface_Inputs!$C$34*F149/Subsurface_Inputs!$C$35*1000000</x:f>
        <x:v>12.397578898253673</x:v>
      </x:c>
      <x:c r="N149" s="24" t="n">
        <x:f>2*Subsurface_Inputs!$C$34*I149/Subsurface_Inputs!$C$35*1000000</x:f>
        <x:v>63.67819890667962</x:v>
      </x:c>
      <x:c r="O149" s="24" t="n">
        <x:f>2*Subsurface_Inputs!$C$34*K149/Subsurface_Inputs!$C$35*1000000</x:f>
        <x:v>189.99716777697125</x:v>
      </x:c>
      <x:c r="P149" s="24" t="n">
        <x:f>Subsurface_Inputs!$C$37-2*Subsurface_Inputs!$C$36*(F149/1000)</x:f>
        <x:v>-11.879230666315033</x:v>
      </x:c>
      <x:c r="Q149" s="24" t="n">
        <x:f>Subsurface_Inputs!$C$38+Subsurface_Inputs!$C$39*H149-2*Subsurface_Inputs!$C$36*(I149/1000)</x:f>
        <x:v>-32.89385418227484</x:v>
      </x:c>
      <x:c r="R149" s="24" t="n">
        <x:f>Subsurface_Inputs!$C$40-2*Subsurface_Inputs!$C$36*(K149/1000)-Subsurface_Inputs!$C$41*ABS(L149-AVERAGE($L$2:$L$242))</x:f>
        <x:v>-38.11632518189943</x:v>
      </x:c>
      <x:c r="S149" s="24" t="n">
        <x:f>K149-AVERAGE($K$2:$K$242)</x:f>
        <x:v>922.5360743406673</x:v>
      </x:c>
      <x:c r="T149" s="24" t="n">
        <x:f>K149/F149</x:f>
        <x:v>15.32534451575334</x:v>
      </x:c>
      <x:c r="U149" s="25" t="str">
        <x:f>IF(H149&gt;=Subsurface_Inputs!$C$42,"Lens visible","Weak/no lens")</x:f>
        <x:v>Weak/no lens</x:v>
      </x:c>
      <x:c r="V149" s="25" t="str">
        <x:f>IF(R149&gt;=W149,"Likely visible","Weak")</x:f>
        <x:v>Likely visible</x:v>
      </x:c>
      <x:c r="W149" s="24" t="n">
        <x:f>Subsurface_Inputs!$C$43</x:f>
        <x:v>-45</x:v>
      </x:c>
      <x:c r="X149" s="24" t="n">
        <x:f>Q149-W149</x:f>
        <x:v>12.106145817725157</x:v>
      </x:c>
      <x:c r="Y149" s="24" t="n">
        <x:f>R149-W149</x:f>
        <x:v>6.883674818100573</x:v>
      </x:c>
      <x:c r="Z149" s="24" t="n">
        <x:f>MAX(Q149,R149)-W149</x:f>
        <x:v>12.106145817725157</x:v>
      </x:c>
      <x:c r="AA149" s="24" t="n">
        <x:v>0</x:v>
      </x:c>
    </x:row>
    <x:row r="150">
      <x:c r="A150" s="24" t="n">
        <x:f>Model_Data!A150</x:f>
        <x:v>14</x:v>
      </x:c>
      <x:c r="B150" s="24" t="n">
        <x:f>Model_Data!Y150</x:f>
        <x:v>412.55100068044544</x:v>
      </x:c>
      <x:c r="C150" s="24" t="n">
        <x:f>Model_Data!X150</x:f>
        <x:v>17.14805919414721</x:v>
      </x:c>
      <x:c r="D150" s="24" t="n">
        <x:f>Model_Data!B150</x:f>
        <x:v>400.21777777777777</x:v>
      </x:c>
      <x:c r="E150" s="24" t="n">
        <x:f>Inputs!$C$6</x:f>
        <x:v>25</x:v>
      </x:c>
      <x:c r="F150" s="24" t="n">
        <x:f>Subsurface_Inputs!$C$5+Subsurface_Inputs!$C$6*SIN(2*PI()*(A150+Subsurface_Inputs!$C$7)/Subsurface_Inputs!$C$8)+Subsurface_Inputs!$C$9*COS(2*PI()*A150/Subsurface_Inputs!$C$10)+Subsurface_Inputs!$C$11*(B150-AVERAGE($B$2:$B$242))</x:f>
        <x:v>1037.9208816428925</x:v>
      </x:c>
      <x:c r="G150" s="24" t="n">
        <x:f>B150-F150</x:f>
        <x:v>-625.369880962447</x:v>
      </x:c>
      <x:c r="H150" s="24" t="n">
        <x:f>MIN(1,MAX(0,Subsurface_Inputs!$C$13*EXP(-0.5*((A150-Subsurface_Inputs!$C$14)/Subsurface_Inputs!$C$15)^2)+Subsurface_Inputs!$C$16*EXP(-0.5*((A150-Subsurface_Inputs!$C$17)/Subsurface_Inputs!$C$18)^2)))</x:f>
        <x:v>0.09542991056356534</x:v>
      </x:c>
      <x:c r="I150" s="24" t="n">
        <x:f>Subsurface_Inputs!$C$19+Subsurface_Inputs!$C$20*SIN(2*PI()*(A150-Subsurface_Inputs!$C$21)/Subsurface_Inputs!$C$22)-Subsurface_Inputs!$C$23*H150</x:f>
        <x:v>5376.262524778427</x:v>
      </x:c>
      <x:c r="J150" s="24" t="n">
        <x:f>B150-I150</x:f>
        <x:v>-4963.711524097982</x:v>
      </x:c>
      <x:c r="K150" s="24" t="n">
        <x:f>Subsurface_Inputs!$C$25+Subsurface_Inputs!$C$26*SIN(2*PI()*(A150+Subsurface_Inputs!$C$27)/Subsurface_Inputs!$C$28)+Subsurface_Inputs!$C$29*COS(2*PI()*(A150-Subsurface_Inputs!$C$30)/Subsurface_Inputs!$C$31)-Subsurface_Inputs!$C$32*(B150-AVERAGE($B$2:$B$242))</x:f>
        <x:v>15985.326614254289</x:v>
      </x:c>
      <x:c r="L150" s="24" t="n">
        <x:f>B150-K150</x:f>
        <x:v>-15572.775613573844</x:v>
      </x:c>
      <x:c r="M150" s="24" t="n">
        <x:f>2*Subsurface_Inputs!$C$34*F150/Subsurface_Inputs!$C$35*1000000</x:f>
        <x:v>12.325187775900277</x:v>
      </x:c>
      <x:c r="N150" s="24" t="n">
        <x:f>2*Subsurface_Inputs!$C$34*I150/Subsurface_Inputs!$C$35*1000000</x:f>
        <x:v>63.84248194866597</x:v>
      </x:c>
      <x:c r="O150" s="24" t="n">
        <x:f>2*Subsurface_Inputs!$C$34*K150/Subsurface_Inputs!$C$35*1000000</x:f>
        <x:v>189.8238639036919</x:v>
      </x:c>
      <x:c r="P150" s="24" t="n">
        <x:f>Subsurface_Inputs!$C$37-2*Subsurface_Inputs!$C$36*(F150/1000)</x:f>
        <x:v>-11.868257586957206</x:v>
      </x:c>
      <x:c r="Q150" s="24" t="n">
        <x:f>Subsurface_Inputs!$C$38+Subsurface_Inputs!$C$39*H150-2*Subsurface_Inputs!$C$36*(I150/1000)</x:f>
        <x:v>-32.81840334952908</x:v>
      </x:c>
      <x:c r="R150" s="24" t="n">
        <x:f>Subsurface_Inputs!$C$40-2*Subsurface_Inputs!$C$36*(K150/1000)-Subsurface_Inputs!$C$41*ABS(L150-AVERAGE($L$2:$L$242))</x:f>
        <x:v>-38.01685984598173</x:v>
      </x:c>
      <x:c r="S150" s="24" t="n">
        <x:f>K150-AVERAGE($K$2:$K$242)</x:f>
        <x:v>907.9419186801788</x:v>
      </x:c>
      <x:c r="T150" s="24" t="n">
        <x:f>K150/F150</x:f>
        <x:v>15.401295895455553</x:v>
      </x:c>
      <x:c r="U150" s="25" t="str">
        <x:f>IF(H150&gt;=Subsurface_Inputs!$C$42,"Lens visible","Weak/no lens")</x:f>
        <x:v>Weak/no lens</x:v>
      </x:c>
      <x:c r="V150" s="25" t="str">
        <x:f>IF(R150&gt;=W150,"Likely visible","Weak")</x:f>
        <x:v>Likely visible</x:v>
      </x:c>
      <x:c r="W150" s="24" t="n">
        <x:f>Subsurface_Inputs!$C$43</x:f>
        <x:v>-45</x:v>
      </x:c>
      <x:c r="X150" s="24" t="n">
        <x:f>Q150-W150</x:f>
        <x:v>12.181596650470922</x:v>
      </x:c>
      <x:c r="Y150" s="24" t="n">
        <x:f>R150-W150</x:f>
        <x:v>6.9831401540182725</x:v>
      </x:c>
      <x:c r="Z150" s="24" t="n">
        <x:f>MAX(Q150,R150)-W150</x:f>
        <x:v>12.181596650470922</x:v>
      </x:c>
      <x:c r="AA150" s="24" t="n">
        <x:v>0</x:v>
      </x:c>
    </x:row>
    <x:row r="151">
      <x:c r="A151" s="24" t="n">
        <x:f>Model_Data!A151</x:f>
        <x:v>14.5</x:v>
      </x:c>
      <x:c r="B151" s="24" t="n">
        <x:f>Model_Data!Y151</x:f>
        <x:v>415.5675277705944</x:v>
      </x:c>
      <x:c r="C151" s="24" t="n">
        <x:f>Model_Data!X151</x:f>
        <x:v>27.325427950737776</x:v>
      </x:c>
      <x:c r="D151" s="24" t="n">
        <x:f>Model_Data!B151</x:f>
        <x:v>400.2336111111111</x:v>
      </x:c>
      <x:c r="E151" s="24" t="n">
        <x:f>Inputs!$C$6</x:f>
        <x:v>25</x:v>
      </x:c>
      <x:c r="F151" s="24" t="n">
        <x:f>Subsurface_Inputs!$C$5+Subsurface_Inputs!$C$6*SIN(2*PI()*(A151+Subsurface_Inputs!$C$7)/Subsurface_Inputs!$C$8)+Subsurface_Inputs!$C$9*COS(2*PI()*A151/Subsurface_Inputs!$C$10)+Subsurface_Inputs!$C$11*(B151-AVERAGE($B$2:$B$242))</x:f>
        <x:v>1033.0524298344537</x:v>
      </x:c>
      <x:c r="G151" s="24" t="n">
        <x:f>B151-F151</x:f>
        <x:v>-617.4849020638594</x:v>
      </x:c>
      <x:c r="H151" s="24" t="n">
        <x:f>MIN(1,MAX(0,Subsurface_Inputs!$C$13*EXP(-0.5*((A151-Subsurface_Inputs!$C$14)/Subsurface_Inputs!$C$15)^2)+Subsurface_Inputs!$C$16*EXP(-0.5*((A151-Subsurface_Inputs!$C$17)/Subsurface_Inputs!$C$18)^2)))</x:f>
        <x:v>0.10771321038402228</x:v>
      </x:c>
      <x:c r="I151" s="24" t="n">
        <x:f>Subsurface_Inputs!$C$19+Subsurface_Inputs!$C$20*SIN(2*PI()*(A151-Subsurface_Inputs!$C$21)/Subsurface_Inputs!$C$22)-Subsurface_Inputs!$C$23*H151</x:f>
        <x:v>5389.386043210486</x:v>
      </x:c>
      <x:c r="J151" s="24" t="n">
        <x:f>B151-I151</x:f>
        <x:v>-4973.818515439892</x:v>
      </x:c>
      <x:c r="K151" s="24" t="n">
        <x:f>Subsurface_Inputs!$C$25+Subsurface_Inputs!$C$26*SIN(2*PI()*(A151+Subsurface_Inputs!$C$27)/Subsurface_Inputs!$C$28)+Subsurface_Inputs!$C$29*COS(2*PI()*(A151-Subsurface_Inputs!$C$30)/Subsurface_Inputs!$C$31)-Subsurface_Inputs!$C$32*(B151-AVERAGE($B$2:$B$242))</x:f>
        <x:v>15969.73928107725</x:v>
      </x:c>
      <x:c r="L151" s="24" t="n">
        <x:f>B151-K151</x:f>
        <x:v>-15554.171753306657</x:v>
      </x:c>
      <x:c r="M151" s="24" t="n">
        <x:f>2*Subsurface_Inputs!$C$34*F151/Subsurface_Inputs!$C$35*1000000</x:f>
        <x:v>12.26737548617936</x:v>
      </x:c>
      <x:c r="N151" s="24" t="n">
        <x:f>2*Subsurface_Inputs!$C$34*I151/Subsurface_Inputs!$C$35*1000000</x:f>
        <x:v>63.99832217870314</x:v>
      </x:c>
      <x:c r="O151" s="24" t="n">
        <x:f>2*Subsurface_Inputs!$C$34*K151/Subsurface_Inputs!$C$35*1000000</x:f>
        <x:v>189.63876616480795</x:v>
      </x:c>
      <x:c r="P151" s="24" t="n">
        <x:f>Subsurface_Inputs!$C$37-2*Subsurface_Inputs!$C$36*(F151/1000)</x:f>
        <x:v>-11.859494373702017</x:v>
      </x:c>
      <x:c r="Q151" s="24" t="n">
        <x:f>Subsurface_Inputs!$C$38+Subsurface_Inputs!$C$39*H151-2*Subsurface_Inputs!$C$36*(I151/1000)</x:f>
        <x:v>-32.73147598432267</x:v>
      </x:c>
      <x:c r="R151" s="24" t="n">
        <x:f>Subsurface_Inputs!$C$40-2*Subsurface_Inputs!$C$36*(K151/1000)-Subsurface_Inputs!$C$41*ABS(L151-AVERAGE($L$2:$L$242))</x:f>
        <x:v>-37.91438720519431</x:v>
      </x:c>
      <x:c r="S151" s="24" t="n">
        <x:f>K151-AVERAGE($K$2:$K$242)</x:f>
        <x:v>892.3545855031407</x:v>
      </x:c>
      <x:c r="T151" s="24" t="n">
        <x:f>K151/F151</x:f>
        <x:v>15.458788750573284</x:v>
      </x:c>
      <x:c r="U151" s="25" t="str">
        <x:f>IF(H151&gt;=Subsurface_Inputs!$C$42,"Lens visible","Weak/no lens")</x:f>
        <x:v>Weak/no lens</x:v>
      </x:c>
      <x:c r="V151" s="25" t="str">
        <x:f>IF(R151&gt;=W151,"Likely visible","Weak")</x:f>
        <x:v>Likely visible</x:v>
      </x:c>
      <x:c r="W151" s="24" t="n">
        <x:f>Subsurface_Inputs!$C$43</x:f>
        <x:v>-45</x:v>
      </x:c>
      <x:c r="X151" s="24" t="n">
        <x:f>Q151-W151</x:f>
        <x:v>12.268524015677329</x:v>
      </x:c>
      <x:c r="Y151" s="24" t="n">
        <x:f>R151-W151</x:f>
        <x:v>7.085612794805691</x:v>
      </x:c>
      <x:c r="Z151" s="24" t="n">
        <x:f>MAX(Q151,R151)-W151</x:f>
        <x:v>12.268524015677329</x:v>
      </x:c>
      <x:c r="AA151" s="24" t="n">
        <x:v>0</x:v>
      </x:c>
    </x:row>
    <x:row r="152">
      <x:c r="A152" s="24" t="n">
        <x:f>Model_Data!A152</x:f>
        <x:v>15</x:v>
      </x:c>
      <x:c r="B152" s="24" t="n">
        <x:f>Model_Data!Y152</x:f>
        <x:v>399.34593170493116</x:v>
      </x:c>
      <x:c r="C152" s="24" t="n">
        <x:f>Model_Data!X152</x:f>
        <x:v>45.362905639140564</x:v>
      </x:c>
      <x:c r="D152" s="24" t="n">
        <x:f>Model_Data!B152</x:f>
        <x:v>400.25</x:v>
      </x:c>
      <x:c r="E152" s="24" t="n">
        <x:f>Inputs!$C$6</x:f>
        <x:v>25</x:v>
      </x:c>
      <x:c r="F152" s="24" t="n">
        <x:f>Subsurface_Inputs!$C$5+Subsurface_Inputs!$C$6*SIN(2*PI()*(A152+Subsurface_Inputs!$C$7)/Subsurface_Inputs!$C$8)+Subsurface_Inputs!$C$9*COS(2*PI()*A152/Subsurface_Inputs!$C$10)+Subsurface_Inputs!$C$11*(B152-AVERAGE($B$2:$B$242))</x:f>
        <x:v>1028.6247259678748</x:v>
      </x:c>
      <x:c r="G152" s="24" t="n">
        <x:f>B152-F152</x:f>
        <x:v>-629.2787942629436</x:v>
      </x:c>
      <x:c r="H152" s="24" t="n">
        <x:f>MIN(1,MAX(0,Subsurface_Inputs!$C$13*EXP(-0.5*((A152-Subsurface_Inputs!$C$14)/Subsurface_Inputs!$C$15)^2)+Subsurface_Inputs!$C$16*EXP(-0.5*((A152-Subsurface_Inputs!$C$17)/Subsurface_Inputs!$C$18)^2)))</x:f>
        <x:v>0.12116819437605508</x:v>
      </x:c>
      <x:c r="I152" s="24" t="n">
        <x:f>Subsurface_Inputs!$C$19+Subsurface_Inputs!$C$20*SIN(2*PI()*(A152-Subsurface_Inputs!$C$21)/Subsurface_Inputs!$C$22)-Subsurface_Inputs!$C$23*H152</x:f>
        <x:v>5401.765703359558</x:v>
      </x:c>
      <x:c r="J152" s="24" t="n">
        <x:f>B152-I152</x:f>
        <x:v>-5002.419771654627</x:v>
      </x:c>
      <x:c r="K152" s="24" t="n">
        <x:f>Subsurface_Inputs!$C$25+Subsurface_Inputs!$C$26*SIN(2*PI()*(A152+Subsurface_Inputs!$C$27)/Subsurface_Inputs!$C$28)+Subsurface_Inputs!$C$29*COS(2*PI()*(A152-Subsurface_Inputs!$C$30)/Subsurface_Inputs!$C$31)-Subsurface_Inputs!$C$32*(B152-AVERAGE($B$2:$B$242))</x:f>
        <x:v>15955.784004300433</x:v>
      </x:c>
      <x:c r="L152" s="24" t="n">
        <x:f>B152-K152</x:f>
        <x:v>-15556.438072595502</x:v>
      </x:c>
      <x:c r="M152" s="24" t="n">
        <x:f>2*Subsurface_Inputs!$C$34*F152/Subsurface_Inputs!$C$35*1000000</x:f>
        <x:v>12.214797026166798</x:v>
      </x:c>
      <x:c r="N152" s="24" t="n">
        <x:f>2*Subsurface_Inputs!$C$34*I152/Subsurface_Inputs!$C$35*1000000</x:f>
        <x:v>64.14532917956203</x:v>
      </x:c>
      <x:c r="O152" s="24" t="n">
        <x:f>2*Subsurface_Inputs!$C$34*K152/Subsurface_Inputs!$C$35*1000000</x:f>
        <x:v>189.47304890274972</x:v>
      </x:c>
      <x:c r="P152" s="24" t="n">
        <x:f>Subsurface_Inputs!$C$37-2*Subsurface_Inputs!$C$36*(F152/1000)</x:f>
        <x:v>-11.851524506742175</x:v>
      </x:c>
      <x:c r="Q152" s="24" t="n">
        <x:f>Subsurface_Inputs!$C$38+Subsurface_Inputs!$C$39*H152-2*Subsurface_Inputs!$C$36*(I152/1000)</x:f>
        <x:v>-32.63266451666271</x:v>
      </x:c>
      <x:c r="R152" s="24" t="n">
        <x:f>Subsurface_Inputs!$C$40-2*Subsurface_Inputs!$C$36*(K152/1000)-Subsurface_Inputs!$C$41*ABS(L152-AVERAGE($L$2:$L$242))</x:f>
        <x:v>-37.898332984151416</x:v>
      </x:c>
      <x:c r="S152" s="24" t="n">
        <x:f>K152-AVERAGE($K$2:$K$242)</x:f>
        <x:v>878.3993087263225</x:v>
      </x:c>
      <x:c r="T152" s="24" t="n">
        <x:f>K152/F152</x:f>
        <x:v>15.511764010229276</x:v>
      </x:c>
      <x:c r="U152" s="25" t="str">
        <x:f>IF(H152&gt;=Subsurface_Inputs!$C$42,"Lens visible","Weak/no lens")</x:f>
        <x:v>Weak/no lens</x:v>
      </x:c>
      <x:c r="V152" s="25" t="str">
        <x:f>IF(R152&gt;=W152,"Likely visible","Weak")</x:f>
        <x:v>Likely visible</x:v>
      </x:c>
      <x:c r="W152" s="24" t="n">
        <x:f>Subsurface_Inputs!$C$43</x:f>
        <x:v>-45</x:v>
      </x:c>
      <x:c r="X152" s="24" t="n">
        <x:f>Q152-W152</x:f>
        <x:v>12.367335483337293</x:v>
      </x:c>
      <x:c r="Y152" s="24" t="n">
        <x:f>R152-W152</x:f>
        <x:v>7.101667015848584</x:v>
      </x:c>
      <x:c r="Z152" s="24" t="n">
        <x:f>MAX(Q152,R152)-W152</x:f>
        <x:v>12.367335483337293</x:v>
      </x:c>
      <x:c r="AA152" s="24" t="n">
        <x:v>0</x:v>
      </x:c>
    </x:row>
    <x:row r="153">
      <x:c r="A153" s="24" t="n">
        <x:f>Model_Data!A153</x:f>
        <x:v>15.5</x:v>
      </x:c>
      <x:c r="B153" s="24" t="n">
        <x:f>Model_Data!Y153</x:f>
        <x:v>395.616361037493</x:v>
      </x:c>
      <x:c r="C153" s="24" t="n">
        <x:f>Model_Data!X153</x:f>
        <x:v>49.090179641950456</x:v>
      </x:c>
      <x:c r="D153" s="24" t="n">
        <x:f>Model_Data!B153</x:f>
        <x:v>400.26694444444445</x:v>
      </x:c>
      <x:c r="E153" s="24" t="n">
        <x:f>Inputs!$C$6</x:f>
        <x:v>25</x:v>
      </x:c>
      <x:c r="F153" s="24" t="n">
        <x:f>Subsurface_Inputs!$C$5+Subsurface_Inputs!$C$6*SIN(2*PI()*(A153+Subsurface_Inputs!$C$7)/Subsurface_Inputs!$C$8)+Subsurface_Inputs!$C$9*COS(2*PI()*A153/Subsurface_Inputs!$C$10)+Subsurface_Inputs!$C$11*(B153-AVERAGE($B$2:$B$242))</x:f>
        <x:v>1025.8453011969823</x:v>
      </x:c>
      <x:c r="G153" s="24" t="n">
        <x:f>B153-F153</x:f>
        <x:v>-630.2289401594893</x:v>
      </x:c>
      <x:c r="H153" s="24" t="n">
        <x:f>MIN(1,MAX(0,Subsurface_Inputs!$C$13*EXP(-0.5*((A153-Subsurface_Inputs!$C$14)/Subsurface_Inputs!$C$15)^2)+Subsurface_Inputs!$C$16*EXP(-0.5*((A153-Subsurface_Inputs!$C$17)/Subsurface_Inputs!$C$18)^2)))</x:f>
        <x:v>0.13582516909864947</x:v>
      </x:c>
      <x:c r="I153" s="24" t="n">
        <x:f>Subsurface_Inputs!$C$19+Subsurface_Inputs!$C$20*SIN(2*PI()*(A153-Subsurface_Inputs!$C$21)/Subsurface_Inputs!$C$22)-Subsurface_Inputs!$C$23*H153</x:f>
        <x:v>5413.371323502418</x:v>
      </x:c>
      <x:c r="J153" s="24" t="n">
        <x:f>B153-I153</x:f>
        <x:v>-5017.754962464925</x:v>
      </x:c>
      <x:c r="K153" s="24" t="n">
        <x:f>Subsurface_Inputs!$C$25+Subsurface_Inputs!$C$26*SIN(2*PI()*(A153+Subsurface_Inputs!$C$27)/Subsurface_Inputs!$C$28)+Subsurface_Inputs!$C$29*COS(2*PI()*(A153-Subsurface_Inputs!$C$30)/Subsurface_Inputs!$C$31)-Subsurface_Inputs!$C$32*(B153-AVERAGE($B$2:$B$242))</x:f>
        <x:v>15939.048750669783</x:v>
      </x:c>
      <x:c r="L153" s="24" t="n">
        <x:f>B153-K153</x:f>
        <x:v>-15543.43238963229</x:v>
      </x:c>
      <x:c r="M153" s="24" t="n">
        <x:f>2*Subsurface_Inputs!$C$34*F153/Subsurface_Inputs!$C$35*1000000</x:f>
        <x:v>12.181791685570879</x:v>
      </x:c>
      <x:c r="N153" s="24" t="n">
        <x:f>2*Subsurface_Inputs!$C$34*I153/Subsurface_Inputs!$C$35*1000000</x:f>
        <x:v>64.28314454684717</x:v>
      </x:c>
      <x:c r="O153" s="24" t="n">
        <x:f>2*Subsurface_Inputs!$C$34*K153/Subsurface_Inputs!$C$35*1000000</x:f>
        <x:v>189.27431974417593</x:v>
      </x:c>
      <x:c r="P153" s="24" t="n">
        <x:f>Subsurface_Inputs!$C$37-2*Subsurface_Inputs!$C$36*(F153/1000)</x:f>
        <x:v>-11.846521542154568</x:v>
      </x:c>
      <x:c r="Q153" s="24" t="n">
        <x:f>Subsurface_Inputs!$C$38+Subsurface_Inputs!$C$39*H153-2*Subsurface_Inputs!$C$36*(I153/1000)</x:f>
        <x:v>-32.52164186041651</x:v>
      </x:c>
      <x:c r="R153" s="24" t="n">
        <x:f>Subsurface_Inputs!$C$40-2*Subsurface_Inputs!$C$36*(K153/1000)-Subsurface_Inputs!$C$41*ABS(L153-AVERAGE($L$2:$L$242))</x:f>
        <x:v>-37.8161867957634</x:v>
      </x:c>
      <x:c r="S153" s="24" t="n">
        <x:f>K153-AVERAGE($K$2:$K$242)</x:f>
        <x:v>861.6640550956727</x:v>
      </x:c>
      <x:c r="T153" s="24" t="n">
        <x:f>K153/F153</x:f>
        <x:v>15.537477953129674</x:v>
      </x:c>
      <x:c r="U153" s="25" t="str">
        <x:f>IF(H153&gt;=Subsurface_Inputs!$C$42,"Lens visible","Weak/no lens")</x:f>
        <x:v>Weak/no lens</x:v>
      </x:c>
      <x:c r="V153" s="25" t="str">
        <x:f>IF(R153&gt;=W153,"Likely visible","Weak")</x:f>
        <x:v>Likely visible</x:v>
      </x:c>
      <x:c r="W153" s="24" t="n">
        <x:f>Subsurface_Inputs!$C$43</x:f>
        <x:v>-45</x:v>
      </x:c>
      <x:c r="X153" s="24" t="n">
        <x:f>Q153-W153</x:f>
        <x:v>12.478358139583491</x:v>
      </x:c>
      <x:c r="Y153" s="24" t="n">
        <x:f>R153-W153</x:f>
        <x:v>7.1838132042366</x:v>
      </x:c>
      <x:c r="Z153" s="24" t="n">
        <x:f>MAX(Q153,R153)-W153</x:f>
        <x:v>12.478358139583491</x:v>
      </x:c>
      <x:c r="AA153" s="24" t="n">
        <x:v>0</x:v>
      </x:c>
    </x:row>
    <x:row r="154">
      <x:c r="A154" s="24" t="n">
        <x:f>Model_Data!A154</x:f>
        <x:v>16</x:v>
      </x:c>
      <x:c r="B154" s="24" t="n">
        <x:f>Model_Data!Y154</x:f>
        <x:v>400.30891755789503</x:v>
      </x:c>
      <x:c r="C154" s="24" t="n">
        <x:f>Model_Data!X154</x:f>
        <x:v>69.7201880441823</x:v>
      </x:c>
      <x:c r="D154" s="24" t="n">
        <x:f>Model_Data!B154</x:f>
        <x:v>400.28444444444443</x:v>
      </x:c>
      <x:c r="E154" s="24" t="n">
        <x:f>Inputs!$C$6</x:f>
        <x:v>25</x:v>
      </x:c>
      <x:c r="F154" s="24" t="n">
        <x:f>Subsurface_Inputs!$C$5+Subsurface_Inputs!$C$6*SIN(2*PI()*(A154+Subsurface_Inputs!$C$7)/Subsurface_Inputs!$C$8)+Subsurface_Inputs!$C$9*COS(2*PI()*A154/Subsurface_Inputs!$C$10)+Subsurface_Inputs!$C$11*(B154-AVERAGE($B$2:$B$242))</x:f>
        <x:v>1024.4748592454584</x:v>
      </x:c>
      <x:c r="G154" s="24" t="n">
        <x:f>B154-F154</x:f>
        <x:v>-624.1659416875634</x:v>
      </x:c>
      <x:c r="H154" s="24" t="n">
        <x:f>MIN(1,MAX(0,Subsurface_Inputs!$C$13*EXP(-0.5*((A154-Subsurface_Inputs!$C$14)/Subsurface_Inputs!$C$15)^2)+Subsurface_Inputs!$C$16*EXP(-0.5*((A154-Subsurface_Inputs!$C$17)/Subsurface_Inputs!$C$18)^2)))</x:f>
        <x:v>0.15170430627742845</x:v>
      </x:c>
      <x:c r="I154" s="24" t="n">
        <x:f>Subsurface_Inputs!$C$19+Subsurface_Inputs!$C$20*SIN(2*PI()*(A154-Subsurface_Inputs!$C$21)/Subsurface_Inputs!$C$22)-Subsurface_Inputs!$C$23*H154</x:f>
        <x:v>5424.1758669053825</x:v>
      </x:c>
      <x:c r="J154" s="24" t="n">
        <x:f>B154-I154</x:f>
        <x:v>-5023.866949347487</x:v>
      </x:c>
      <x:c r="K154" s="24" t="n">
        <x:f>Subsurface_Inputs!$C$25+Subsurface_Inputs!$C$26*SIN(2*PI()*(A154+Subsurface_Inputs!$C$27)/Subsurface_Inputs!$C$28)+Subsurface_Inputs!$C$29*COS(2*PI()*(A154-Subsurface_Inputs!$C$30)/Subsurface_Inputs!$C$31)-Subsurface_Inputs!$C$32*(B154-AVERAGE($B$2:$B$242))</x:f>
        <x:v>15920.135353699008</x:v>
      </x:c>
      <x:c r="L154" s="24" t="n">
        <x:f>B154-K154</x:f>
        <x:v>-15519.826436141113</x:v>
      </x:c>
      <x:c r="M154" s="24" t="n">
        <x:f>2*Subsurface_Inputs!$C$34*F154/Subsurface_Inputs!$C$35*1000000</x:f>
        <x:v>12.165517849397773</x:v>
      </x:c>
      <x:c r="N154" s="24" t="n">
        <x:f>2*Subsurface_Inputs!$C$34*I154/Subsurface_Inputs!$C$35*1000000</x:f>
        <x:v>64.41144722254207</x:v>
      </x:c>
      <x:c r="O154" s="24" t="n">
        <x:f>2*Subsurface_Inputs!$C$34*K154/Subsurface_Inputs!$C$35*1000000</x:f>
        <x:v>189.0497253909185</x:v>
      </x:c>
      <x:c r="P154" s="24" t="n">
        <x:f>Subsurface_Inputs!$C$37-2*Subsurface_Inputs!$C$36*(F154/1000)</x:f>
        <x:v>-11.844054746641826</x:v>
      </x:c>
      <x:c r="Q154" s="24" t="n">
        <x:f>Subsurface_Inputs!$C$38+Subsurface_Inputs!$C$39*H154-2*Subsurface_Inputs!$C$36*(I154/1000)</x:f>
        <x:v>-32.39817780393283</x:v>
      </x:c>
      <x:c r="R154" s="24" t="n">
        <x:f>Subsurface_Inputs!$C$40-2*Subsurface_Inputs!$C$36*(K154/1000)-Subsurface_Inputs!$C$41*ABS(L154-AVERAGE($L$2:$L$242))</x:f>
        <x:v>-37.6877188672513</x:v>
      </x:c>
      <x:c r="S154" s="24" t="n">
        <x:f>K154-AVERAGE($K$2:$K$242)</x:f>
        <x:v>842.7506581248981</x:v>
      </x:c>
      <x:c r="T154" s="24" t="n">
        <x:f>K154/F154</x:f>
        <x:v>15.539800913635336</x:v>
      </x:c>
      <x:c r="U154" s="25" t="str">
        <x:f>IF(H154&gt;=Subsurface_Inputs!$C$42,"Lens visible","Weak/no lens")</x:f>
        <x:v>Weak/no lens</x:v>
      </x:c>
      <x:c r="V154" s="25" t="str">
        <x:f>IF(R154&gt;=W154,"Likely visible","Weak")</x:f>
        <x:v>Likely visible</x:v>
      </x:c>
      <x:c r="W154" s="24" t="n">
        <x:f>Subsurface_Inputs!$C$43</x:f>
        <x:v>-45</x:v>
      </x:c>
      <x:c r="X154" s="24" t="n">
        <x:f>Q154-W154</x:f>
        <x:v>12.601822196067168</x:v>
      </x:c>
      <x:c r="Y154" s="24" t="n">
        <x:f>R154-W154</x:f>
        <x:v>7.312281132748701</x:v>
      </x:c>
      <x:c r="Z154" s="24" t="n">
        <x:f>MAX(Q154,R154)-W154</x:f>
        <x:v>12.601822196067168</x:v>
      </x:c>
      <x:c r="AA154" s="24" t="n">
        <x:v>0</x:v>
      </x:c>
    </x:row>
    <x:row r="155">
      <x:c r="A155" s="24" t="n">
        <x:f>Model_Data!A155</x:f>
        <x:v>16.5</x:v>
      </x:c>
      <x:c r="B155" s="24" t="n">
        <x:f>Model_Data!Y155</x:f>
        <x:v>406.20178346502695</x:v>
      </x:c>
      <x:c r="C155" s="24" t="n">
        <x:f>Model_Data!X155</x:f>
        <x:v>71.50919840907298</x:v>
      </x:c>
      <x:c r="D155" s="24" t="n">
        <x:f>Model_Data!B155</x:f>
        <x:v>400.3025</x:v>
      </x:c>
      <x:c r="E155" s="24" t="n">
        <x:f>Inputs!$C$6</x:f>
        <x:v>25</x:v>
      </x:c>
      <x:c r="F155" s="24" t="n">
        <x:f>Subsurface_Inputs!$C$5+Subsurface_Inputs!$C$6*SIN(2*PI()*(A155+Subsurface_Inputs!$C$7)/Subsurface_Inputs!$C$8)+Subsurface_Inputs!$C$9*COS(2*PI()*A155/Subsurface_Inputs!$C$10)+Subsurface_Inputs!$C$11*(B155-AVERAGE($B$2:$B$242))</x:f>
        <x:v>1024.13532837942</x:v>
      </x:c>
      <x:c r="G155" s="24" t="n">
        <x:f>B155-F155</x:f>
        <x:v>-617.933544914393</x:v>
      </x:c>
      <x:c r="H155" s="24" t="n">
        <x:f>MIN(1,MAX(0,Subsurface_Inputs!$C$13*EXP(-0.5*((A155-Subsurface_Inputs!$C$14)/Subsurface_Inputs!$C$15)^2)+Subsurface_Inputs!$C$16*EXP(-0.5*((A155-Subsurface_Inputs!$C$17)/Subsurface_Inputs!$C$18)^2)))</x:f>
        <x:v>0.16881392693469272</x:v>
      </x:c>
      <x:c r="I155" s="24" t="n">
        <x:f>Subsurface_Inputs!$C$19+Subsurface_Inputs!$C$20*SIN(2*PI()*(A155-Subsurface_Inputs!$C$21)/Subsurface_Inputs!$C$22)-Subsurface_Inputs!$C$23*H155</x:f>
        <x:v>5434.155886208084</x:v>
      </x:c>
      <x:c r="J155" s="24" t="n">
        <x:f>B155-I155</x:f>
        <x:v>-5027.954102743057</x:v>
      </x:c>
      <x:c r="K155" s="24" t="n">
        <x:f>Subsurface_Inputs!$C$25+Subsurface_Inputs!$C$26*SIN(2*PI()*(A155+Subsurface_Inputs!$C$27)/Subsurface_Inputs!$C$28)+Subsurface_Inputs!$C$29*COS(2*PI()*(A155-Subsurface_Inputs!$C$30)/Subsurface_Inputs!$C$31)-Subsurface_Inputs!$C$32*(B155-AVERAGE($B$2:$B$242))</x:f>
        <x:v>15900.088700233617</x:v>
      </x:c>
      <x:c r="L155" s="24" t="n">
        <x:f>B155-K155</x:f>
        <x:v>-15493.88691676859</x:v>
      </x:c>
      <x:c r="M155" s="24" t="n">
        <x:f>2*Subsurface_Inputs!$C$34*F155/Subsurface_Inputs!$C$35*1000000</x:f>
        <x:v>12.16148596049983</x:v>
      </x:c>
      <x:c r="N155" s="24" t="n">
        <x:f>2*Subsurface_Inputs!$C$34*I155/Subsurface_Inputs!$C$35*1000000</x:f>
        <x:v>64.52995877201414</x:v>
      </x:c>
      <x:c r="O155" s="24" t="n">
        <x:f>2*Subsurface_Inputs!$C$34*K155/Subsurface_Inputs!$C$35*1000000</x:f>
        <x:v>188.81167375075086</x:v>
      </x:c>
      <x:c r="P155" s="24" t="n">
        <x:f>Subsurface_Inputs!$C$37-2*Subsurface_Inputs!$C$36*(F155/1000)</x:f>
        <x:v>-11.843443591082956</x:v>
      </x:c>
      <x:c r="Q155" s="24" t="n">
        <x:f>Subsurface_Inputs!$C$38+Subsurface_Inputs!$C$39*H155-2*Subsurface_Inputs!$C$36*(I155/1000)</x:f>
        <x:v>-32.26215525276231</x:v>
      </x:c>
      <x:c r="R155" s="24" t="n">
        <x:f>Subsurface_Inputs!$C$40-2*Subsurface_Inputs!$C$36*(K155/1000)-Subsurface_Inputs!$C$41*ABS(L155-AVERAGE($L$2:$L$242))</x:f>
        <x:v>-37.5478768135235</x:v>
      </x:c>
      <x:c r="S155" s="24" t="n">
        <x:f>K155-AVERAGE($K$2:$K$242)</x:f>
        <x:v>822.7040046595066</x:v>
      </x:c>
      <x:c r="T155" s="24" t="n">
        <x:f>K155/F155</x:f>
        <x:v>15.525378589755064</x:v>
      </x:c>
      <x:c r="U155" s="25" t="str">
        <x:f>IF(H155&gt;=Subsurface_Inputs!$C$42,"Lens visible","Weak/no lens")</x:f>
        <x:v>Weak/no lens</x:v>
      </x:c>
      <x:c r="V155" s="25" t="str">
        <x:f>IF(R155&gt;=W155,"Likely visible","Weak")</x:f>
        <x:v>Likely visible</x:v>
      </x:c>
      <x:c r="W155" s="24" t="n">
        <x:f>Subsurface_Inputs!$C$43</x:f>
        <x:v>-45</x:v>
      </x:c>
      <x:c r="X155" s="24" t="n">
        <x:f>Q155-W155</x:f>
        <x:v>12.737844747237688</x:v>
      </x:c>
      <x:c r="Y155" s="24" t="n">
        <x:f>R155-W155</x:f>
        <x:v>7.4521231864764985</x:v>
      </x:c>
      <x:c r="Z155" s="24" t="n">
        <x:f>MAX(Q155,R155)-W155</x:f>
        <x:v>12.737844747237688</x:v>
      </x:c>
      <x:c r="AA155" s="24" t="n">
        <x:v>0</x:v>
      </x:c>
    </x:row>
    <x:row r="156">
      <x:c r="A156" s="24" t="n">
        <x:f>Model_Data!A156</x:f>
        <x:v>17</x:v>
      </x:c>
      <x:c r="B156" s="24" t="n">
        <x:f>Model_Data!Y156</x:f>
        <x:v>402.8973585501548</x:v>
      </x:c>
      <x:c r="C156" s="24" t="n">
        <x:f>Model_Data!X156</x:f>
        <x:v>58.586187093984584</x:v>
      </x:c>
      <x:c r="D156" s="24" t="n">
        <x:f>Model_Data!B156</x:f>
        <x:v>400.3211111111111</x:v>
      </x:c>
      <x:c r="E156" s="24" t="n">
        <x:f>Inputs!$C$6</x:f>
        <x:v>25</x:v>
      </x:c>
      <x:c r="F156" s="24" t="n">
        <x:f>Subsurface_Inputs!$C$5+Subsurface_Inputs!$C$6*SIN(2*PI()*(A156+Subsurface_Inputs!$C$7)/Subsurface_Inputs!$C$8)+Subsurface_Inputs!$C$9*COS(2*PI()*A156/Subsurface_Inputs!$C$10)+Subsurface_Inputs!$C$11*(B156-AVERAGE($B$2:$B$242))</x:f>
        <x:v>1024.3112296619902</x:v>
      </x:c>
      <x:c r="G156" s="24" t="n">
        <x:f>B156-F156</x:f>
        <x:v>-621.4138711118353</x:v>
      </x:c>
      <x:c r="H156" s="24" t="n">
        <x:f>MIN(1,MAX(0,Subsurface_Inputs!$C$13*EXP(-0.5*((A156-Subsurface_Inputs!$C$14)/Subsurface_Inputs!$C$15)^2)+Subsurface_Inputs!$C$16*EXP(-0.5*((A156-Subsurface_Inputs!$C$17)/Subsurface_Inputs!$C$18)^2)))</x:f>
        <x:v>0.18714884316247493</x:v>
      </x:c>
      <x:c r="I156" s="24" t="n">
        <x:f>Subsurface_Inputs!$C$19+Subsurface_Inputs!$C$20*SIN(2*PI()*(A156-Subsurface_Inputs!$C$21)/Subsurface_Inputs!$C$22)-Subsurface_Inputs!$C$23*H156</x:f>
        <x:v>5443.291952879227</x:v>
      </x:c>
      <x:c r="J156" s="24" t="n">
        <x:f>B156-I156</x:f>
        <x:v>-5040.394594329073</x:v>
      </x:c>
      <x:c r="K156" s="24" t="n">
        <x:f>Subsurface_Inputs!$C$25+Subsurface_Inputs!$C$26*SIN(2*PI()*(A156+Subsurface_Inputs!$C$27)/Subsurface_Inputs!$C$28)+Subsurface_Inputs!$C$29*COS(2*PI()*(A156-Subsurface_Inputs!$C$30)/Subsurface_Inputs!$C$31)-Subsurface_Inputs!$C$32*(B156-AVERAGE($B$2:$B$242))</x:f>
        <x:v>15880.399991454993</x:v>
      </x:c>
      <x:c r="L156" s="24" t="n">
        <x:f>B156-K156</x:f>
        <x:v>-15477.502632904838</x:v>
      </x:c>
      <x:c r="M156" s="24" t="n">
        <x:f>2*Subsurface_Inputs!$C$34*F156/Subsurface_Inputs!$C$35*1000000</x:f>
        <x:v>12.163574767436895</x:v>
      </x:c>
      <x:c r="N156" s="24" t="n">
        <x:f>2*Subsurface_Inputs!$C$34*I156/Subsurface_Inputs!$C$35*1000000</x:f>
        <x:v>64.63844848375088</x:v>
      </x:c>
      <x:c r="O156" s="24" t="n">
        <x:f>2*Subsurface_Inputs!$C$34*K156/Subsurface_Inputs!$C$35*1000000</x:f>
        <x:v>188.5778726614256</x:v>
      </x:c>
      <x:c r="P156" s="24" t="n">
        <x:f>Subsurface_Inputs!$C$37-2*Subsurface_Inputs!$C$36*(F156/1000)</x:f>
        <x:v>-11.843760213391583</x:v>
      </x:c>
      <x:c r="Q156" s="24" t="n">
        <x:f>Subsurface_Inputs!$C$38+Subsurface_Inputs!$C$39*H156-2*Subsurface_Inputs!$C$36*(I156/1000)</x:f>
        <x:v>-32.11358592672033</x:v>
      </x:c>
      <x:c r="R156" s="24" t="n">
        <x:f>Subsurface_Inputs!$C$40-2*Subsurface_Inputs!$C$36*(K156/1000)-Subsurface_Inputs!$C$41*ABS(L156-AVERAGE($L$2:$L$242))</x:f>
        <x:v>-37.446900002266965</x:v>
      </x:c>
      <x:c r="S156" s="24" t="n">
        <x:f>K156-AVERAGE($K$2:$K$242)</x:f>
        <x:v>803.0152958808831</x:v>
      </x:c>
      <x:c r="T156" s="24" t="n">
        <x:f>K156/F156</x:f>
        <x:v>15.503491059739066</x:v>
      </x:c>
      <x:c r="U156" s="25" t="str">
        <x:f>IF(H156&gt;=Subsurface_Inputs!$C$42,"Lens visible","Weak/no lens")</x:f>
        <x:v>Lens visible</x:v>
      </x:c>
      <x:c r="V156" s="25" t="str">
        <x:f>IF(R156&gt;=W156,"Likely visible","Weak")</x:f>
        <x:v>Likely visible</x:v>
      </x:c>
      <x:c r="W156" s="24" t="n">
        <x:f>Subsurface_Inputs!$C$43</x:f>
        <x:v>-45</x:v>
      </x:c>
      <x:c r="X156" s="24" t="n">
        <x:f>Q156-W156</x:f>
        <x:v>12.886414073279667</x:v>
      </x:c>
      <x:c r="Y156" s="24" t="n">
        <x:f>R156-W156</x:f>
        <x:v>7.553099997733035</x:v>
      </x:c>
      <x:c r="Z156" s="24" t="n">
        <x:f>MAX(Q156,R156)-W156</x:f>
        <x:v>12.886414073279667</x:v>
      </x:c>
      <x:c r="AA156" s="24" t="n">
        <x:v>0</x:v>
      </x:c>
    </x:row>
    <x:row r="157">
      <x:c r="A157" s="24" t="n">
        <x:f>Model_Data!A157</x:f>
        <x:v>17.5</x:v>
      </x:c>
      <x:c r="B157" s="24" t="n">
        <x:f>Model_Data!Y157</x:f>
        <x:v>412.59673853506814</x:v>
      </x:c>
      <x:c r="C157" s="24" t="n">
        <x:f>Model_Data!X157</x:f>
        <x:v>65.71226511619231</x:v>
      </x:c>
      <x:c r="D157" s="24" t="n">
        <x:f>Model_Data!B157</x:f>
        <x:v>400.34027777777777</x:v>
      </x:c>
      <x:c r="E157" s="24" t="n">
        <x:f>Inputs!$C$6</x:f>
        <x:v>25</x:v>
      </x:c>
      <x:c r="F157" s="24" t="n">
        <x:f>Subsurface_Inputs!$C$5+Subsurface_Inputs!$C$6*SIN(2*PI()*(A157+Subsurface_Inputs!$C$7)/Subsurface_Inputs!$C$8)+Subsurface_Inputs!$C$9*COS(2*PI()*A157/Subsurface_Inputs!$C$10)+Subsurface_Inputs!$C$11*(B157-AVERAGE($B$2:$B$242))</x:f>
        <x:v>1025.783127769473</x:v>
      </x:c>
      <x:c r="G157" s="24" t="n">
        <x:f>B157-F157</x:f>
        <x:v>-613.1863892344047</x:v>
      </x:c>
      <x:c r="H157" s="24" t="n">
        <x:f>MIN(1,MAX(0,Subsurface_Inputs!$C$13*EXP(-0.5*((A157-Subsurface_Inputs!$C$14)/Subsurface_Inputs!$C$15)^2)+Subsurface_Inputs!$C$16*EXP(-0.5*((A157-Subsurface_Inputs!$C$17)/Subsurface_Inputs!$C$18)^2)))</x:f>
        <x:v>0.20668880322195862</x:v>
      </x:c>
      <x:c r="I157" s="24" t="n">
        <x:f>Subsurface_Inputs!$C$19+Subsurface_Inputs!$C$20*SIN(2*PI()*(A157-Subsurface_Inputs!$C$21)/Subsurface_Inputs!$C$22)-Subsurface_Inputs!$C$23*H157</x:f>
        <x:v>5451.56906073414</x:v>
      </x:c>
      <x:c r="J157" s="24" t="n">
        <x:f>B157-I157</x:f>
        <x:v>-5038.972322199073</x:v>
      </x:c>
      <x:c r="K157" s="24" t="n">
        <x:f>Subsurface_Inputs!$C$25+Subsurface_Inputs!$C$26*SIN(2*PI()*(A157+Subsurface_Inputs!$C$27)/Subsurface_Inputs!$C$28)+Subsurface_Inputs!$C$29*COS(2*PI()*(A157-Subsurface_Inputs!$C$30)/Subsurface_Inputs!$C$31)-Subsurface_Inputs!$C$32*(B157-AVERAGE($B$2:$B$242))</x:f>
        <x:v>15857.998232165117</x:v>
      </x:c>
      <x:c r="L157" s="24" t="n">
        <x:f>B157-K157</x:f>
        <x:v>-15445.401493630048</x:v>
      </x:c>
      <x:c r="M157" s="24" t="n">
        <x:f>2*Subsurface_Inputs!$C$34*F157/Subsurface_Inputs!$C$35*1000000</x:f>
        <x:v>12.181053383468786</x:v>
      </x:c>
      <x:c r="N157" s="24" t="n">
        <x:f>2*Subsurface_Inputs!$C$34*I157/Subsurface_Inputs!$C$35*1000000</x:f>
        <x:v>64.73673816108322</x:v>
      </x:c>
      <x:c r="O157" s="24" t="n">
        <x:f>2*Subsurface_Inputs!$C$34*K157/Subsurface_Inputs!$C$35*1000000</x:f>
        <x:v>188.31185441799144</x:v>
      </x:c>
      <x:c r="P157" s="24" t="n">
        <x:f>Subsurface_Inputs!$C$37-2*Subsurface_Inputs!$C$36*(F157/1000)</x:f>
        <x:v>-11.84640962998505</x:v>
      </x:c>
      <x:c r="Q157" s="24" t="n">
        <x:f>Subsurface_Inputs!$C$38+Subsurface_Inputs!$C$39*H157-2*Subsurface_Inputs!$C$36*(I157/1000)</x:f>
        <x:v>-31.952625080323823</x:v>
      </x:c>
      <x:c r="R157" s="24" t="n">
        <x:f>Subsurface_Inputs!$C$40-2*Subsurface_Inputs!$C$36*(K157/1000)-Subsurface_Inputs!$C$41*ABS(L157-AVERAGE($L$2:$L$242))</x:f>
        <x:v>-37.27817227844603</x:v>
      </x:c>
      <x:c r="S157" s="24" t="n">
        <x:f>K157-AVERAGE($K$2:$K$242)</x:f>
        <x:v>780.6135365910068</x:v>
      </x:c>
      <x:c r="T157" s="24" t="n">
        <x:f>K157/F157</x:f>
        <x:v>15.459406382173336</x:v>
      </x:c>
      <x:c r="U157" s="25" t="str">
        <x:f>IF(H157&gt;=Subsurface_Inputs!$C$42,"Lens visible","Weak/no lens")</x:f>
        <x:v>Lens visible</x:v>
      </x:c>
      <x:c r="V157" s="25" t="str">
        <x:f>IF(R157&gt;=W157,"Likely visible","Weak")</x:f>
        <x:v>Likely visible</x:v>
      </x:c>
      <x:c r="W157" s="24" t="n">
        <x:f>Subsurface_Inputs!$C$43</x:f>
        <x:v>-45</x:v>
      </x:c>
      <x:c r="X157" s="24" t="n">
        <x:f>Q157-W157</x:f>
        <x:v>13.047374919676177</x:v>
      </x:c>
      <x:c r="Y157" s="24" t="n">
        <x:f>R157-W157</x:f>
        <x:v>7.7218277215539715</x:v>
      </x:c>
      <x:c r="Z157" s="24" t="n">
        <x:f>MAX(Q157,R157)-W157</x:f>
        <x:v>13.047374919676177</x:v>
      </x:c>
      <x:c r="AA157" s="24" t="n">
        <x:v>0</x:v>
      </x:c>
    </x:row>
    <x:row r="158">
      <x:c r="A158" s="24" t="n">
        <x:f>Model_Data!A158</x:f>
        <x:v>18</x:v>
      </x:c>
      <x:c r="B158" s="24" t="n">
        <x:f>Model_Data!Y158</x:f>
        <x:v>417.3671248555401</x:v>
      </x:c>
      <x:c r="C158" s="24" t="n">
        <x:f>Model_Data!X158</x:f>
        <x:v>70.50298613715029</x:v>
      </x:c>
      <x:c r="D158" s="24" t="n">
        <x:f>Model_Data!B158</x:f>
        <x:v>400.36</x:v>
      </x:c>
      <x:c r="E158" s="24" t="n">
        <x:f>Inputs!$C$6</x:f>
        <x:v>25</x:v>
      </x:c>
      <x:c r="F158" s="24" t="n">
        <x:f>Subsurface_Inputs!$C$5+Subsurface_Inputs!$C$6*SIN(2*PI()*(A158+Subsurface_Inputs!$C$7)/Subsurface_Inputs!$C$8)+Subsurface_Inputs!$C$9*COS(2*PI()*A158/Subsurface_Inputs!$C$10)+Subsurface_Inputs!$C$11*(B158-AVERAGE($B$2:$B$242))</x:f>
        <x:v>1027.7208984886186</x:v>
      </x:c>
      <x:c r="G158" s="24" t="n">
        <x:f>B158-F158</x:f>
        <x:v>-610.3537736330784</x:v>
      </x:c>
      <x:c r="H158" s="24" t="n">
        <x:f>MIN(1,MAX(0,Subsurface_Inputs!$C$13*EXP(-0.5*((A158-Subsurface_Inputs!$C$14)/Subsurface_Inputs!$C$15)^2)+Subsurface_Inputs!$C$16*EXP(-0.5*((A158-Subsurface_Inputs!$C$17)/Subsurface_Inputs!$C$18)^2)))</x:f>
        <x:v>0.22739708809306522</x:v>
      </x:c>
      <x:c r="I158" s="24" t="n">
        <x:f>Subsurface_Inputs!$C$19+Subsurface_Inputs!$C$20*SIN(2*PI()*(A158-Subsurface_Inputs!$C$21)/Subsurface_Inputs!$C$22)-Subsurface_Inputs!$C$23*H158</x:f>
        <x:v>5458.976991919846</x:v>
      </x:c>
      <x:c r="J158" s="24" t="n">
        <x:f>B158-I158</x:f>
        <x:v>-5041.609867064306</x:v>
      </x:c>
      <x:c r="K158" s="24" t="n">
        <x:f>Subsurface_Inputs!$C$25+Subsurface_Inputs!$C$26*SIN(2*PI()*(A158+Subsurface_Inputs!$C$27)/Subsurface_Inputs!$C$28)+Subsurface_Inputs!$C$29*COS(2*PI()*(A158-Subsurface_Inputs!$C$30)/Subsurface_Inputs!$C$31)-Subsurface_Inputs!$C$32*(B158-AVERAGE($B$2:$B$242))</x:f>
        <x:v>15835.432705922185</x:v>
      </x:c>
      <x:c r="L158" s="24" t="n">
        <x:f>B158-K158</x:f>
        <x:v>-15418.065581066645</x:v>
      </x:c>
      <x:c r="M158" s="24" t="n">
        <x:f>2*Subsurface_Inputs!$C$34*F158/Subsurface_Inputs!$C$35*1000000</x:f>
        <x:v>12.20406418169293</x:v>
      </x:c>
      <x:c r="N158" s="24" t="n">
        <x:f>2*Subsurface_Inputs!$C$34*I158/Subsurface_Inputs!$C$35*1000000</x:f>
        <x:v>64.82470646821493</x:v>
      </x:c>
      <x:c r="O158" s="24" t="n">
        <x:f>2*Subsurface_Inputs!$C$34*K158/Subsurface_Inputs!$C$35*1000000</x:f>
        <x:v>188.04389146134884</x:v>
      </x:c>
      <x:c r="P158" s="24" t="n">
        <x:f>Subsurface_Inputs!$C$37-2*Subsurface_Inputs!$C$36*(F158/1000)</x:f>
        <x:v>-11.849897617279513</x:v>
      </x:c>
      <x:c r="Q158" s="24" t="n">
        <x:f>Subsurface_Inputs!$C$38+Subsurface_Inputs!$C$39*H158-2*Subsurface_Inputs!$C$36*(I158/1000)</x:f>
        <x:v>-31.779584792618138</x:v>
      </x:c>
      <x:c r="R158" s="24" t="n">
        <x:f>Subsurface_Inputs!$C$40-2*Subsurface_Inputs!$C$36*(K158/1000)-Subsurface_Inputs!$C$41*ABS(L158-AVERAGE($L$2:$L$242))</x:f>
        <x:v>-37.12821068095514</x:v>
      </x:c>
      <x:c r="S158" s="24" t="n">
        <x:f>K158-AVERAGE($K$2:$K$242)</x:f>
        <x:v>758.048010348075</x:v>
      </x:c>
      <x:c r="T158" s="24" t="n">
        <x:f>K158/F158</x:f>
        <x:v>15.408300764546098</x:v>
      </x:c>
      <x:c r="U158" s="25" t="str">
        <x:f>IF(H158&gt;=Subsurface_Inputs!$C$42,"Lens visible","Weak/no lens")</x:f>
        <x:v>Lens visible</x:v>
      </x:c>
      <x:c r="V158" s="25" t="str">
        <x:f>IF(R158&gt;=W158,"Likely visible","Weak")</x:f>
        <x:v>Likely visible</x:v>
      </x:c>
      <x:c r="W158" s="24" t="n">
        <x:f>Subsurface_Inputs!$C$43</x:f>
        <x:v>-45</x:v>
      </x:c>
      <x:c r="X158" s="24" t="n">
        <x:f>Q158-W158</x:f>
        <x:v>13.220415207381862</x:v>
      </x:c>
      <x:c r="Y158" s="24" t="n">
        <x:f>R158-W158</x:f>
        <x:v>7.871789319044858</x:v>
      </x:c>
      <x:c r="Z158" s="24" t="n">
        <x:f>MAX(Q158,R158)-W158</x:f>
        <x:v>13.220415207381862</x:v>
      </x:c>
      <x:c r="AA158" s="24" t="n">
        <x:v>0</x:v>
      </x:c>
    </x:row>
    <x:row r="159">
      <x:c r="A159" s="24" t="n">
        <x:f>Model_Data!A159</x:f>
        <x:v>18.5</x:v>
      </x:c>
      <x:c r="B159" s="24" t="n">
        <x:f>Model_Data!Y159</x:f>
        <x:v>414.03078360208366</x:v>
      </x:c>
      <x:c r="C159" s="24" t="n">
        <x:f>Model_Data!X159</x:f>
        <x:v>84.15381309689964</x:v>
      </x:c>
      <x:c r="D159" s="24" t="n">
        <x:f>Model_Data!B159</x:f>
        <x:v>400.3802777777778</x:v>
      </x:c>
      <x:c r="E159" s="24" t="n">
        <x:f>Inputs!$C$6</x:f>
        <x:v>25</x:v>
      </x:c>
      <x:c r="F159" s="24" t="n">
        <x:f>Subsurface_Inputs!$C$5+Subsurface_Inputs!$C$6*SIN(2*PI()*(A159+Subsurface_Inputs!$C$7)/Subsurface_Inputs!$C$8)+Subsurface_Inputs!$C$9*COS(2*PI()*A159/Subsurface_Inputs!$C$10)+Subsurface_Inputs!$C$11*(B159-AVERAGE($B$2:$B$242))</x:f>
        <x:v>1029.8819065267044</x:v>
      </x:c>
      <x:c r="G159" s="24" t="n">
        <x:f>B159-F159</x:f>
        <x:v>-615.8511229246208</x:v>
      </x:c>
      <x:c r="H159" s="24" t="n">
        <x:f>MIN(1,MAX(0,Subsurface_Inputs!$C$13*EXP(-0.5*((A159-Subsurface_Inputs!$C$14)/Subsurface_Inputs!$C$15)^2)+Subsurface_Inputs!$C$16*EXP(-0.5*((A159-Subsurface_Inputs!$C$17)/Subsurface_Inputs!$C$18)^2)))</x:f>
        <x:v>0.24921930873889886</x:v>
      </x:c>
      <x:c r="I159" s="24" t="n">
        <x:f>Subsurface_Inputs!$C$19+Subsurface_Inputs!$C$20*SIN(2*PI()*(A159-Subsurface_Inputs!$C$21)/Subsurface_Inputs!$C$22)-Subsurface_Inputs!$C$23*H159</x:f>
        <x:v>5465.510633501357</x:v>
      </x:c>
      <x:c r="J159" s="24" t="n">
        <x:f>B159-I159</x:f>
        <x:v>-5051.479849899273</x:v>
      </x:c>
      <x:c r="K159" s="24" t="n">
        <x:f>Subsurface_Inputs!$C$25+Subsurface_Inputs!$C$26*SIN(2*PI()*(A159+Subsurface_Inputs!$C$27)/Subsurface_Inputs!$C$28)+Subsurface_Inputs!$C$29*COS(2*PI()*(A159-Subsurface_Inputs!$C$30)/Subsurface_Inputs!$C$31)-Subsurface_Inputs!$C$32*(B159-AVERAGE($B$2:$B$242))</x:f>
        <x:v>15813.188429767826</x:v>
      </x:c>
      <x:c r="L159" s="24" t="n">
        <x:f>B159-K159</x:f>
        <x:v>-15399.157646165742</x:v>
      </x:c>
      <x:c r="M159" s="24" t="n">
        <x:f>2*Subsurface_Inputs!$C$34*F159/Subsurface_Inputs!$C$35*1000000</x:f>
        <x:v>12.229725896690395</x:v>
      </x:c>
      <x:c r="N159" s="24" t="n">
        <x:f>2*Subsurface_Inputs!$C$34*I159/Subsurface_Inputs!$C$35*1000000</x:f>
        <x:v>64.90229268964742</x:v>
      </x:c>
      <x:c r="O159" s="24" t="n">
        <x:f>2*Subsurface_Inputs!$C$34*K159/Subsurface_Inputs!$C$35*1000000</x:f>
        <x:v>187.77974331153274</x:v>
      </x:c>
      <x:c r="P159" s="24" t="n">
        <x:f>Subsurface_Inputs!$C$37-2*Subsurface_Inputs!$C$36*(F159/1000)</x:f>
        <x:v>-11.853787431748067</x:v>
      </x:c>
      <x:c r="Q159" s="24" t="n">
        <x:f>Subsurface_Inputs!$C$38+Subsurface_Inputs!$C$39*H159-2*Subsurface_Inputs!$C$36*(I159/1000)</x:f>
        <x:v>-31.594945361652353</x:v>
      </x:c>
      <x:c r="R159" s="24" t="n">
        <x:f>Subsurface_Inputs!$C$40-2*Subsurface_Inputs!$C$36*(K159/1000)-Subsurface_Inputs!$C$41*ABS(L159-AVERAGE($L$2:$L$242))</x:f>
        <x:v>-37.01253924427368</x:v>
      </x:c>
      <x:c r="S159" s="24" t="n">
        <x:f>K159-AVERAGE($K$2:$K$242)</x:f>
        <x:v>735.8037341937161</x:v>
      </x:c>
      <x:c r="T159" s="24" t="n">
        <x:f>K159/F159</x:f>
        <x:v>15.354370563803858</x:v>
      </x:c>
      <x:c r="U159" s="25" t="str">
        <x:f>IF(H159&gt;=Subsurface_Inputs!$C$42,"Lens visible","Weak/no lens")</x:f>
        <x:v>Lens visible</x:v>
      </x:c>
      <x:c r="V159" s="25" t="str">
        <x:f>IF(R159&gt;=W159,"Likely visible","Weak")</x:f>
        <x:v>Likely visible</x:v>
      </x:c>
      <x:c r="W159" s="24" t="n">
        <x:f>Subsurface_Inputs!$C$43</x:f>
        <x:v>-45</x:v>
      </x:c>
      <x:c r="X159" s="24" t="n">
        <x:f>Q159-W159</x:f>
        <x:v>13.405054638347647</x:v>
      </x:c>
      <x:c r="Y159" s="24" t="n">
        <x:f>R159-W159</x:f>
        <x:v>7.9874607557263175</x:v>
      </x:c>
      <x:c r="Z159" s="24" t="n">
        <x:f>MAX(Q159,R159)-W159</x:f>
        <x:v>13.405054638347647</x:v>
      </x:c>
      <x:c r="AA159" s="24" t="n">
        <x:v>0</x:v>
      </x:c>
    </x:row>
    <x:row r="160">
      <x:c r="A160" s="24" t="n">
        <x:f>Model_Data!A160</x:f>
        <x:v>19</x:v>
      </x:c>
      <x:c r="B160" s="24" t="n">
        <x:f>Model_Data!Y160</x:f>
        <x:v>429.33926339108206</x:v>
      </x:c>
      <x:c r="C160" s="24" t="n">
        <x:f>Model_Data!X160</x:f>
        <x:v>87.79516149602648</x:v>
      </x:c>
      <x:c r="D160" s="24" t="n">
        <x:f>Model_Data!B160</x:f>
        <x:v>400.4011111111111</x:v>
      </x:c>
      <x:c r="E160" s="24" t="n">
        <x:f>Inputs!$C$6</x:f>
        <x:v>25</x:v>
      </x:c>
      <x:c r="F160" s="24" t="n">
        <x:f>Subsurface_Inputs!$C$5+Subsurface_Inputs!$C$6*SIN(2*PI()*(A160+Subsurface_Inputs!$C$7)/Subsurface_Inputs!$C$8)+Subsurface_Inputs!$C$9*COS(2*PI()*A160/Subsurface_Inputs!$C$10)+Subsurface_Inputs!$C$11*(B160-AVERAGE($B$2:$B$242))</x:f>
        <x:v>1033.2205903331887</x:v>
      </x:c>
      <x:c r="G160" s="24" t="n">
        <x:f>B160-F160</x:f>
        <x:v>-603.8813269421066</x:v>
      </x:c>
      <x:c r="H160" s="24" t="n">
        <x:f>MIN(1,MAX(0,Subsurface_Inputs!$C$13*EXP(-0.5*((A160-Subsurface_Inputs!$C$14)/Subsurface_Inputs!$C$15)^2)+Subsurface_Inputs!$C$16*EXP(-0.5*((A160-Subsurface_Inputs!$C$17)/Subsurface_Inputs!$C$18)^2)))</x:f>
        <x:v>0.272082453001691</x:v>
      </x:c>
      <x:c r="I160" s="24" t="n">
        <x:f>Subsurface_Inputs!$C$19+Subsurface_Inputs!$C$20*SIN(2*PI()*(A160-Subsurface_Inputs!$C$21)/Subsurface_Inputs!$C$22)-Subsurface_Inputs!$C$23*H160</x:f>
        <x:v>5471.170232868209</x:v>
      </x:c>
      <x:c r="J160" s="24" t="n">
        <x:f>B160-I160</x:f>
        <x:v>-5041.830969477127</x:v>
      </x:c>
      <x:c r="K160" s="24" t="n">
        <x:f>Subsurface_Inputs!$C$25+Subsurface_Inputs!$C$26*SIN(2*PI()*(A160+Subsurface_Inputs!$C$27)/Subsurface_Inputs!$C$28)+Subsurface_Inputs!$C$29*COS(2*PI()*(A160-Subsurface_Inputs!$C$30)/Subsurface_Inputs!$C$31)-Subsurface_Inputs!$C$32*(B160-AVERAGE($B$2:$B$242))</x:f>
        <x:v>15787.561669406818</x:v>
      </x:c>
      <x:c r="L160" s="24" t="n">
        <x:f>B160-K160</x:f>
        <x:v>-15358.222406015735</x:v>
      </x:c>
      <x:c r="M160" s="24" t="n">
        <x:f>2*Subsurface_Inputs!$C$34*F160/Subsurface_Inputs!$C$35*1000000</x:f>
        <x:v>12.269372372223426</x:v>
      </x:c>
      <x:c r="N160" s="24" t="n">
        <x:f>2*Subsurface_Inputs!$C$34*I160/Subsurface_Inputs!$C$35*1000000</x:f>
        <x:v>64.96949976310219</x:v>
      </x:c>
      <x:c r="O160" s="24" t="n">
        <x:f>2*Subsurface_Inputs!$C$34*K160/Subsurface_Inputs!$C$35*1000000</x:f>
        <x:v>187.47542856160933</x:v>
      </x:c>
      <x:c r="P160" s="24" t="n">
        <x:f>Subsurface_Inputs!$C$37-2*Subsurface_Inputs!$C$36*(F160/1000)</x:f>
        <x:v>-11.859797062599739</x:v>
      </x:c>
      <x:c r="Q160" s="24" t="n">
        <x:f>Subsurface_Inputs!$C$38+Subsurface_Inputs!$C$39*H160-2*Subsurface_Inputs!$C$36*(I160/1000)</x:f>
        <x:v>-31.399364342147557</x:v>
      </x:c>
      <x:c r="R160" s="24" t="n">
        <x:f>Subsurface_Inputs!$C$40-2*Subsurface_Inputs!$C$36*(K160/1000)-Subsurface_Inputs!$C$41*ABS(L160-AVERAGE($L$2:$L$242))</x:f>
        <x:v>-36.80267011502384</x:v>
      </x:c>
      <x:c r="S160" s="24" t="n">
        <x:f>K160-AVERAGE($K$2:$K$242)</x:f>
        <x:v>710.1769738327075</x:v>
      </x:c>
      <x:c r="T160" s="24" t="n">
        <x:f>K160/F160</x:f>
        <x:v>15.279952623007357</x:v>
      </x:c>
      <x:c r="U160" s="25" t="str">
        <x:f>IF(H160&gt;=Subsurface_Inputs!$C$42,"Lens visible","Weak/no lens")</x:f>
        <x:v>Lens visible</x:v>
      </x:c>
      <x:c r="V160" s="25" t="str">
        <x:f>IF(R160&gt;=W160,"Likely visible","Weak")</x:f>
        <x:v>Likely visible</x:v>
      </x:c>
      <x:c r="W160" s="24" t="n">
        <x:f>Subsurface_Inputs!$C$43</x:f>
        <x:v>-45</x:v>
      </x:c>
      <x:c r="X160" s="24" t="n">
        <x:f>Q160-W160</x:f>
        <x:v>13.600635657852443</x:v>
      </x:c>
      <x:c r="Y160" s="24" t="n">
        <x:f>R160-W160</x:f>
        <x:v>8.197329884976163</x:v>
      </x:c>
      <x:c r="Z160" s="24" t="n">
        <x:f>MAX(Q160,R160)-W160</x:f>
        <x:v>13.600635657852443</x:v>
      </x:c>
      <x:c r="AA160" s="24" t="n">
        <x:v>0</x:v>
      </x:c>
    </x:row>
    <x:row r="161">
      <x:c r="A161" s="24" t="n">
        <x:f>Model_Data!A161</x:f>
        <x:v>19.5</x:v>
      </x:c>
      <x:c r="B161" s="24" t="n">
        <x:f>Model_Data!Y161</x:f>
        <x:v>436.66425250955575</x:v>
      </x:c>
      <x:c r="C161" s="24" t="n">
        <x:f>Model_Data!X161</x:f>
        <x:v>80.08578782325549</x:v>
      </x:c>
      <x:c r="D161" s="24" t="n">
        <x:f>Model_Data!B161</x:f>
        <x:v>400.4225</x:v>
      </x:c>
      <x:c r="E161" s="24" t="n">
        <x:f>Inputs!$C$6</x:f>
        <x:v>25</x:v>
      </x:c>
      <x:c r="F161" s="24" t="n">
        <x:f>Subsurface_Inputs!$C$5+Subsurface_Inputs!$C$6*SIN(2*PI()*(A161+Subsurface_Inputs!$C$7)/Subsurface_Inputs!$C$8)+Subsurface_Inputs!$C$9*COS(2*PI()*A161/Subsurface_Inputs!$C$10)+Subsurface_Inputs!$C$11*(B161-AVERAGE($B$2:$B$242))</x:f>
        <x:v>1036.5586578182408</x:v>
      </x:c>
      <x:c r="G161" s="24" t="n">
        <x:f>B161-F161</x:f>
        <x:v>-599.894405308685</x:v>
      </x:c>
      <x:c r="H161" s="24" t="n">
        <x:f>MIN(1,MAX(0,Subsurface_Inputs!$C$13*EXP(-0.5*((A161-Subsurface_Inputs!$C$14)/Subsurface_Inputs!$C$15)^2)+Subsurface_Inputs!$C$16*EXP(-0.5*((A161-Subsurface_Inputs!$C$17)/Subsurface_Inputs!$C$18)^2)))</x:f>
        <x:v>0.2958942290614169</x:v>
      </x:c>
      <x:c r="I161" s="24" t="n">
        <x:f>Subsurface_Inputs!$C$19+Subsurface_Inputs!$C$20*SIN(2*PI()*(A161-Subsurface_Inputs!$C$21)/Subsurface_Inputs!$C$22)-Subsurface_Inputs!$C$23*H161</x:f>
        <x:v>5475.961580658604</x:v>
      </x:c>
      <x:c r="J161" s="24" t="n">
        <x:f>B161-I161</x:f>
        <x:v>-5039.297328149049</x:v>
      </x:c>
      <x:c r="K161" s="24" t="n">
        <x:f>Subsurface_Inputs!$C$25+Subsurface_Inputs!$C$26*SIN(2*PI()*(A161+Subsurface_Inputs!$C$27)/Subsurface_Inputs!$C$28)+Subsurface_Inputs!$C$29*COS(2*PI()*(A161-Subsurface_Inputs!$C$30)/Subsurface_Inputs!$C$31)-Subsurface_Inputs!$C$32*(B161-AVERAGE($B$2:$B$242))</x:f>
        <x:v>15762.323121828636</x:v>
      </x:c>
      <x:c r="L161" s="24" t="n">
        <x:f>B161-K161</x:f>
        <x:v>-15325.65886931908</x:v>
      </x:c>
      <x:c r="M161" s="24" t="n">
        <x:f>2*Subsurface_Inputs!$C$34*F161/Subsurface_Inputs!$C$35*1000000</x:f>
        <x:v>12.309011529012304</x:v>
      </x:c>
      <x:c r="N161" s="24" t="n">
        <x:f>2*Subsurface_Inputs!$C$34*I161/Subsurface_Inputs!$C$35*1000000</x:f>
        <x:v>65.02639645172337</x:v>
      </x:c>
      <x:c r="O161" s="24" t="n">
        <x:f>2*Subsurface_Inputs!$C$34*K161/Subsurface_Inputs!$C$35*1000000</x:f>
        <x:v>187.17572379259104</x:v>
      </x:c>
      <x:c r="P161" s="24" t="n">
        <x:f>Subsurface_Inputs!$C$37-2*Subsurface_Inputs!$C$36*(F161/1000)</x:f>
        <x:v>-11.865805584072834</x:v>
      </x:c>
      <x:c r="Q161" s="24" t="n">
        <x:f>Subsurface_Inputs!$C$38+Subsurface_Inputs!$C$39*H161-2*Subsurface_Inputs!$C$36*(I161/1000)</x:f>
        <x:v>-31.193682783632738</x:v>
      </x:c>
      <x:c r="R161" s="24" t="n">
        <x:f>Subsurface_Inputs!$C$40-2*Subsurface_Inputs!$C$36*(K161/1000)-Subsurface_Inputs!$C$41*ABS(L161-AVERAGE($L$2:$L$242))</x:f>
        <x:v>-36.6269865825965</x:v>
      </x:c>
      <x:c r="S161" s="24" t="n">
        <x:f>K161-AVERAGE($K$2:$K$242)</x:f>
        <x:v>684.9384262545263</x:v>
      </x:c>
      <x:c r="T161" s="24" t="n">
        <x:f>K161/F161</x:f>
        <x:v>15.206397634076334</x:v>
      </x:c>
      <x:c r="U161" s="25" t="str">
        <x:f>IF(H161&gt;=Subsurface_Inputs!$C$42,"Lens visible","Weak/no lens")</x:f>
        <x:v>Lens visible</x:v>
      </x:c>
      <x:c r="V161" s="25" t="str">
        <x:f>IF(R161&gt;=W161,"Likely visible","Weak")</x:f>
        <x:v>Likely visible</x:v>
      </x:c>
      <x:c r="W161" s="24" t="n">
        <x:f>Subsurface_Inputs!$C$43</x:f>
        <x:v>-45</x:v>
      </x:c>
      <x:c r="X161" s="24" t="n">
        <x:f>Q161-W161</x:f>
        <x:v>13.806317216367262</x:v>
      </x:c>
      <x:c r="Y161" s="24" t="n">
        <x:f>R161-W161</x:f>
        <x:v>8.373013417403499</x:v>
      </x:c>
      <x:c r="Z161" s="24" t="n">
        <x:f>MAX(Q161,R161)-W161</x:f>
        <x:v>13.806317216367262</x:v>
      </x:c>
      <x:c r="AA161" s="24" t="n">
        <x:v>0</x:v>
      </x:c>
    </x:row>
    <x:row r="162">
      <x:c r="A162" s="24" t="n">
        <x:f>Model_Data!A162</x:f>
        <x:v>20</x:v>
      </x:c>
      <x:c r="B162" s="24" t="n">
        <x:f>Model_Data!Y162</x:f>
        <x:v>439.0113020882822</x:v>
      </x:c>
      <x:c r="C162" s="24" t="n">
        <x:f>Model_Data!X162</x:f>
        <x:v>74.33166863889775</x:v>
      </x:c>
      <x:c r="D162" s="24" t="n">
        <x:f>Model_Data!B162</x:f>
        <x:v>400.44444444444446</x:v>
      </x:c>
      <x:c r="E162" s="24" t="n">
        <x:f>Inputs!$C$6</x:f>
        <x:v>25</x:v>
      </x:c>
      <x:c r="F162" s="24" t="n">
        <x:f>Subsurface_Inputs!$C$5+Subsurface_Inputs!$C$6*SIN(2*PI()*(A162+Subsurface_Inputs!$C$7)/Subsurface_Inputs!$C$8)+Subsurface_Inputs!$C$9*COS(2*PI()*A162/Subsurface_Inputs!$C$10)+Subsurface_Inputs!$C$11*(B162-AVERAGE($B$2:$B$242))</x:f>
        <x:v>1039.9080920443078</x:v>
      </x:c>
      <x:c r="G162" s="24" t="n">
        <x:f>B162-F162</x:f>
        <x:v>-600.8967899560255</x:v>
      </x:c>
      <x:c r="H162" s="24" t="n">
        <x:f>MIN(1,MAX(0,Subsurface_Inputs!$C$13*EXP(-0.5*((A162-Subsurface_Inputs!$C$14)/Subsurface_Inputs!$C$15)^2)+Subsurface_Inputs!$C$16*EXP(-0.5*((A162-Subsurface_Inputs!$C$17)/Subsurface_Inputs!$C$18)^2)))</x:f>
        <x:v>0.320542748668716</x:v>
      </x:c>
      <x:c r="I162" s="24" t="n">
        <x:f>Subsurface_Inputs!$C$19+Subsurface_Inputs!$C$20*SIN(2*PI()*(A162-Subsurface_Inputs!$C$21)/Subsurface_Inputs!$C$22)-Subsurface_Inputs!$C$23*H162</x:f>
        <x:v>5479.896110793198</x:v>
      </x:c>
      <x:c r="J162" s="24" t="n">
        <x:f>B162-I162</x:f>
        <x:v>-5040.884808704916</x:v>
      </x:c>
      <x:c r="K162" s="24" t="n">
        <x:f>Subsurface_Inputs!$C$25+Subsurface_Inputs!$C$26*SIN(2*PI()*(A162+Subsurface_Inputs!$C$27)/Subsurface_Inputs!$C$28)+Subsurface_Inputs!$C$29*COS(2*PI()*(A162-Subsurface_Inputs!$C$30)/Subsurface_Inputs!$C$31)-Subsurface_Inputs!$C$32*(B162-AVERAGE($B$2:$B$242))</x:f>
        <x:v>15737.095893870204</x:v>
      </x:c>
      <x:c r="L162" s="24" t="n">
        <x:f>B162-K162</x:f>
        <x:v>-15298.084591781922</x:v>
      </x:c>
      <x:c r="M162" s="24" t="n">
        <x:f>2*Subsurface_Inputs!$C$34*F162/Subsurface_Inputs!$C$35*1000000</x:f>
        <x:v>12.348785664507062</x:v>
      </x:c>
      <x:c r="N162" s="24" t="n">
        <x:f>2*Subsurface_Inputs!$C$34*I162/Subsurface_Inputs!$C$35*1000000</x:f>
        <x:v>65.07311853196717</x:v>
      </x:c>
      <x:c r="O162" s="24" t="n">
        <x:f>2*Subsurface_Inputs!$C$34*K162/Subsurface_Inputs!$C$35*1000000</x:f>
        <x:v>186.8761534427191</x:v>
      </x:c>
      <x:c r="P162" s="24" t="n">
        <x:f>Subsurface_Inputs!$C$37-2*Subsurface_Inputs!$C$36*(F162/1000)</x:f>
        <x:v>-11.871834565679753</x:v>
      </x:c>
      <x:c r="Q162" s="24" t="n">
        <x:f>Subsurface_Inputs!$C$38+Subsurface_Inputs!$C$39*H162-2*Subsurface_Inputs!$C$36*(I162/1000)</x:f>
        <x:v>-30.978928261409315</x:v>
      </x:c>
      <x:c r="R162" s="24" t="n">
        <x:f>Subsurface_Inputs!$C$40-2*Subsurface_Inputs!$C$36*(K162/1000)-Subsurface_Inputs!$C$41*ABS(L162-AVERAGE($L$2:$L$242))</x:f>
        <x:v>-36.471280462122685</x:v>
      </x:c>
      <x:c r="S162" s="24" t="n">
        <x:f>K162-AVERAGE($K$2:$K$242)</x:f>
        <x:v>659.7111982960942</x:v>
      </x:c>
      <x:c r="T162" s="24" t="n">
        <x:f>K162/F162</x:f>
        <x:v>15.133160338173123</x:v>
      </x:c>
      <x:c r="U162" s="25" t="str">
        <x:f>IF(H162&gt;=Subsurface_Inputs!$C$42,"Lens visible","Weak/no lens")</x:f>
        <x:v>Lens visible</x:v>
      </x:c>
      <x:c r="V162" s="25" t="str">
        <x:f>IF(R162&gt;=W162,"Likely visible","Weak")</x:f>
        <x:v>Likely visible</x:v>
      </x:c>
      <x:c r="W162" s="24" t="n">
        <x:f>Subsurface_Inputs!$C$43</x:f>
        <x:v>-45</x:v>
      </x:c>
      <x:c r="X162" s="24" t="n">
        <x:f>Q162-W162</x:f>
        <x:v>14.021071738590685</x:v>
      </x:c>
      <x:c r="Y162" s="24" t="n">
        <x:f>R162-W162</x:f>
        <x:v>8.528719537877315</x:v>
      </x:c>
      <x:c r="Z162" s="24" t="n">
        <x:f>MAX(Q162,R162)-W162</x:f>
        <x:v>14.021071738590685</x:v>
      </x:c>
      <x:c r="AA162" s="24" t="n">
        <x:v>0</x:v>
      </x:c>
    </x:row>
    <x:row r="163">
      <x:c r="A163" s="24" t="n">
        <x:f>Model_Data!A163</x:f>
        <x:v>20.5</x:v>
      </x:c>
      <x:c r="B163" s="24" t="n">
        <x:f>Model_Data!Y163</x:f>
        <x:v>441.7637232897853</x:v>
      </x:c>
      <x:c r="C163" s="24" t="n">
        <x:f>Model_Data!X163</x:f>
        <x:v>77.08298836787891</x:v>
      </x:c>
      <x:c r="D163" s="24" t="n">
        <x:f>Model_Data!B163</x:f>
        <x:v>400.46694444444444</x:v>
      </x:c>
      <x:c r="E163" s="24" t="n">
        <x:f>Inputs!$C$6</x:f>
        <x:v>25</x:v>
      </x:c>
      <x:c r="F163" s="24" t="n">
        <x:f>Subsurface_Inputs!$C$5+Subsurface_Inputs!$C$6*SIN(2*PI()*(A163+Subsurface_Inputs!$C$7)/Subsurface_Inputs!$C$8)+Subsurface_Inputs!$C$9*COS(2*PI()*A163/Subsurface_Inputs!$C$10)+Subsurface_Inputs!$C$11*(B163-AVERAGE($B$2:$B$242))</x:f>
        <x:v>1043.383211494585</x:v>
      </x:c>
      <x:c r="G163" s="24" t="n">
        <x:f>B163-F163</x:f>
        <x:v>-601.6194882047998</x:v>
      </x:c>
      <x:c r="H163" s="24" t="n">
        <x:f>MIN(1,MAX(0,Subsurface_Inputs!$C$13*EXP(-0.5*((A163-Subsurface_Inputs!$C$14)/Subsurface_Inputs!$C$15)^2)+Subsurface_Inputs!$C$16*EXP(-0.5*((A163-Subsurface_Inputs!$C$17)/Subsurface_Inputs!$C$18)^2)))</x:f>
        <x:v>0.34589658787488875</x:v>
      </x:c>
      <x:c r="I163" s="24" t="n">
        <x:f>Subsurface_Inputs!$C$19+Subsurface_Inputs!$C$20*SIN(2*PI()*(A163-Subsurface_Inputs!$C$21)/Subsurface_Inputs!$C$22)-Subsurface_Inputs!$C$23*H163</x:f>
        <x:v>5482.990908529776</x:v>
      </x:c>
      <x:c r="J163" s="24" t="n">
        <x:f>B163-I163</x:f>
        <x:v>-5041.227185239991</x:v>
      </x:c>
      <x:c r="K163" s="24" t="n">
        <x:f>Subsurface_Inputs!$C$25+Subsurface_Inputs!$C$26*SIN(2*PI()*(A163+Subsurface_Inputs!$C$27)/Subsurface_Inputs!$C$28)+Subsurface_Inputs!$C$29*COS(2*PI()*(A163-Subsurface_Inputs!$C$30)/Subsurface_Inputs!$C$31)-Subsurface_Inputs!$C$32*(B163-AVERAGE($B$2:$B$242))</x:f>
        <x:v>15711.171253853849</x:v>
      </x:c>
      <x:c r="L163" s="24" t="n">
        <x:f>B163-K163</x:f>
        <x:v>-15269.407530564064</x:v>
      </x:c>
      <x:c r="M163" s="24" t="n">
        <x:f>2*Subsurface_Inputs!$C$34*F163/Subsurface_Inputs!$C$35*1000000</x:f>
        <x:v>12.39005229718195</x:v>
      </x:c>
      <x:c r="N163" s="24" t="n">
        <x:f>2*Subsurface_Inputs!$C$34*I163/Subsurface_Inputs!$C$35*1000000</x:f>
        <x:v>65.10986888925005</x:v>
      </x:c>
      <x:c r="O163" s="24" t="n">
        <x:f>2*Subsurface_Inputs!$C$34*K163/Subsurface_Inputs!$C$35*1000000</x:f>
        <x:v>186.56830140710113</x:v>
      </x:c>
      <x:c r="P163" s="24" t="n">
        <x:f>Subsurface_Inputs!$C$37-2*Subsurface_Inputs!$C$36*(F163/1000)</x:f>
        <x:v>-11.878089780690253</x:v>
      </x:c>
      <x:c r="Q163" s="24" t="n">
        <x:f>Subsurface_Inputs!$C$38+Subsurface_Inputs!$C$39*H163-2*Subsurface_Inputs!$C$36*(I163/1000)</x:f>
        <x:v>-30.7563143444796</x:v>
      </x:c>
      <x:c r="R163" s="24" t="n">
        <x:f>Subsurface_Inputs!$C$40-2*Subsurface_Inputs!$C$36*(K163/1000)-Subsurface_Inputs!$C$41*ABS(L163-AVERAGE($L$2:$L$242))</x:f>
        <x:v>-36.30990786522181</x:v>
      </x:c>
      <x:c r="S163" s="24" t="n">
        <x:f>K163-AVERAGE($K$2:$K$242)</x:f>
        <x:v>633.7865582797385</x:v>
      </x:c>
      <x:c r="T163" s="24" t="n">
        <x:f>K163/F163</x:f>
        <x:v>15.057910728071347</x:v>
      </x:c>
      <x:c r="U163" s="25" t="str">
        <x:f>IF(H163&gt;=Subsurface_Inputs!$C$42,"Lens visible","Weak/no lens")</x:f>
        <x:v>Lens visible</x:v>
      </x:c>
      <x:c r="V163" s="25" t="str">
        <x:f>IF(R163&gt;=W163,"Likely visible","Weak")</x:f>
        <x:v>Likely visible</x:v>
      </x:c>
      <x:c r="W163" s="24" t="n">
        <x:f>Subsurface_Inputs!$C$43</x:f>
        <x:v>-45</x:v>
      </x:c>
      <x:c r="X163" s="24" t="n">
        <x:f>Q163-W163</x:f>
        <x:v>14.243685655520402</x:v>
      </x:c>
      <x:c r="Y163" s="24" t="n">
        <x:f>R163-W163</x:f>
        <x:v>8.69009213477819</x:v>
      </x:c>
      <x:c r="Z163" s="24" t="n">
        <x:f>MAX(Q163,R163)-W163</x:f>
        <x:v>14.243685655520402</x:v>
      </x:c>
      <x:c r="AA163" s="24" t="n">
        <x:v>0</x:v>
      </x:c>
    </x:row>
    <x:row r="164">
      <x:c r="A164" s="24" t="n">
        <x:f>Model_Data!A164</x:f>
        <x:v>21</x:v>
      </x:c>
      <x:c r="B164" s="24" t="n">
        <x:f>Model_Data!Y164</x:f>
        <x:v>441.2537143317768</x:v>
      </x:c>
      <x:c r="C164" s="24" t="n">
        <x:f>Model_Data!X164</x:f>
        <x:v>84.6060805836893</x:v>
      </x:c>
      <x:c r="D164" s="24" t="n">
        <x:f>Model_Data!B164</x:f>
        <x:v>400.49</x:v>
      </x:c>
      <x:c r="E164" s="24" t="n">
        <x:f>Inputs!$C$6</x:f>
        <x:v>25</x:v>
      </x:c>
      <x:c r="F164" s="24" t="n">
        <x:f>Subsurface_Inputs!$C$5+Subsurface_Inputs!$C$6*SIN(2*PI()*(A164+Subsurface_Inputs!$C$7)/Subsurface_Inputs!$C$8)+Subsurface_Inputs!$C$9*COS(2*PI()*A164/Subsurface_Inputs!$C$10)+Subsurface_Inputs!$C$11*(B164-AVERAGE($B$2:$B$242))</x:f>
        <x:v>1046.7456226138206</x:v>
      </x:c>
      <x:c r="G164" s="24" t="n">
        <x:f>B164-F164</x:f>
        <x:v>-605.4919082820438</x:v>
      </x:c>
      <x:c r="H164" s="24" t="n">
        <x:f>MIN(1,MAX(0,Subsurface_Inputs!$C$13*EXP(-0.5*((A164-Subsurface_Inputs!$C$14)/Subsurface_Inputs!$C$15)^2)+Subsurface_Inputs!$C$16*EXP(-0.5*((A164-Subsurface_Inputs!$C$17)/Subsurface_Inputs!$C$18)^2)))</x:f>
        <x:v>0.371805255757265</x:v>
      </x:c>
      <x:c r="I164" s="24" t="n">
        <x:f>Subsurface_Inputs!$C$19+Subsurface_Inputs!$C$20*SIN(2*PI()*(A164-Subsurface_Inputs!$C$21)/Subsurface_Inputs!$C$22)-Subsurface_Inputs!$C$23*H164</x:f>
        <x:v>5485.268619186063</x:v>
      </x:c>
      <x:c r="J164" s="24" t="n">
        <x:f>B164-I164</x:f>
        <x:v>-5044.014904854286</x:v>
      </x:c>
      <x:c r="K164" s="24" t="n">
        <x:f>Subsurface_Inputs!$C$25+Subsurface_Inputs!$C$26*SIN(2*PI()*(A164+Subsurface_Inputs!$C$27)/Subsurface_Inputs!$C$28)+Subsurface_Inputs!$C$29*COS(2*PI()*(A164-Subsurface_Inputs!$C$30)/Subsurface_Inputs!$C$31)-Subsurface_Inputs!$C$32*(B164-AVERAGE($B$2:$B$242))</x:f>
        <x:v>15685.108568743879</x:v>
      </x:c>
      <x:c r="L164" s="24" t="n">
        <x:f>B164-K164</x:f>
        <x:v>-15243.854854412102</x:v>
      </x:c>
      <x:c r="M164" s="24" t="n">
        <x:f>2*Subsurface_Inputs!$C$34*F164/Subsurface_Inputs!$C$35*1000000</x:f>
        <x:v>12.429980531749074</x:v>
      </x:c>
      <x:c r="N164" s="24" t="n">
        <x:f>2*Subsurface_Inputs!$C$34*I164/Subsurface_Inputs!$C$35*1000000</x:f>
        <x:v>65.13691643404312</x:v>
      </x:c>
      <x:c r="O164" s="24" t="n">
        <x:f>2*Subsurface_Inputs!$C$34*K164/Subsurface_Inputs!$C$35*1000000</x:f>
        <x:v>186.25881010231487</x:v>
      </x:c>
      <x:c r="P164" s="24" t="n">
        <x:f>Subsurface_Inputs!$C$37-2*Subsurface_Inputs!$C$36*(F164/1000)</x:f>
        <x:v>-11.884142120704876</x:v>
      </x:c>
      <x:c r="Q164" s="24" t="n">
        <x:f>Subsurface_Inputs!$C$38+Subsurface_Inputs!$C$39*H164-2*Subsurface_Inputs!$C$36*(I164/1000)</x:f>
        <x:v>-30.52723621271953</x:v>
      </x:c>
      <x:c r="R164" s="24" t="n">
        <x:f>Subsurface_Inputs!$C$40-2*Subsurface_Inputs!$C$36*(K164/1000)-Subsurface_Inputs!$C$41*ABS(L164-AVERAGE($L$2:$L$242))</x:f>
        <x:v>-36.16078432741602</x:v>
      </x:c>
      <x:c r="S164" s="24" t="n">
        <x:f>K164-AVERAGE($K$2:$K$242)</x:f>
        <x:v>607.7238731697689</x:v>
      </x:c>
      <x:c r="T164" s="24" t="n">
        <x:f>K164/F164</x:f>
        <x:v>14.984642142163167</x:v>
      </x:c>
      <x:c r="U164" s="25" t="str">
        <x:f>IF(H164&gt;=Subsurface_Inputs!$C$42,"Lens visible","Weak/no lens")</x:f>
        <x:v>Lens visible</x:v>
      </x:c>
      <x:c r="V164" s="25" t="str">
        <x:f>IF(R164&gt;=W164,"Likely visible","Weak")</x:f>
        <x:v>Likely visible</x:v>
      </x:c>
      <x:c r="W164" s="24" t="n">
        <x:f>Subsurface_Inputs!$C$43</x:f>
        <x:v>-45</x:v>
      </x:c>
      <x:c r="X164" s="24" t="n">
        <x:f>Q164-W164</x:f>
        <x:v>14.47276378728047</x:v>
      </x:c>
      <x:c r="Y164" s="24" t="n">
        <x:f>R164-W164</x:f>
        <x:v>8.839215672583983</x:v>
      </x:c>
      <x:c r="Z164" s="24" t="n">
        <x:f>MAX(Q164,R164)-W164</x:f>
        <x:v>14.47276378728047</x:v>
      </x:c>
      <x:c r="AA164" s="24" t="n">
        <x:v>0</x:v>
      </x:c>
    </x:row>
    <x:row r="165">
      <x:c r="A165" s="24" t="n">
        <x:f>Model_Data!A165</x:f>
        <x:v>21.5</x:v>
      </x:c>
      <x:c r="B165" s="24" t="n">
        <x:f>Model_Data!Y165</x:f>
        <x:v>444.1394266764314</x:v>
      </x:c>
      <x:c r="C165" s="24" t="n">
        <x:f>Model_Data!X165</x:f>
        <x:v>83.65167434978589</x:v>
      </x:c>
      <x:c r="D165" s="24" t="n">
        <x:f>Model_Data!B165</x:f>
        <x:v>400.5136111111111</x:v>
      </x:c>
      <x:c r="E165" s="24" t="n">
        <x:f>Inputs!$C$6</x:f>
        <x:v>25</x:v>
      </x:c>
      <x:c r="F165" s="24" t="n">
        <x:f>Subsurface_Inputs!$C$5+Subsurface_Inputs!$C$6*SIN(2*PI()*(A165+Subsurface_Inputs!$C$7)/Subsurface_Inputs!$C$8)+Subsurface_Inputs!$C$9*COS(2*PI()*A165/Subsurface_Inputs!$C$10)+Subsurface_Inputs!$C$11*(B165-AVERAGE($B$2:$B$242))</x:f>
        <x:v>1050.1811724741335</x:v>
      </x:c>
      <x:c r="G165" s="24" t="n">
        <x:f>B165-F165</x:f>
        <x:v>-606.0417457977021</x:v>
      </x:c>
      <x:c r="H165" s="24" t="n">
        <x:f>MIN(1,MAX(0,Subsurface_Inputs!$C$13*EXP(-0.5*((A165-Subsurface_Inputs!$C$14)/Subsurface_Inputs!$C$15)^2)+Subsurface_Inputs!$C$16*EXP(-0.5*((A165-Subsurface_Inputs!$C$17)/Subsurface_Inputs!$C$18)^2)))</x:f>
        <x:v>0.39810009278565617</x:v>
      </x:c>
      <x:c r="I165" s="24" t="n">
        <x:f>Subsurface_Inputs!$C$19+Subsurface_Inputs!$C$20*SIN(2*PI()*(A165-Subsurface_Inputs!$C$21)/Subsurface_Inputs!$C$22)-Subsurface_Inputs!$C$23*H165</x:f>
        <x:v>5486.757252304532</x:v>
      </x:c>
      <x:c r="J165" s="24" t="n">
        <x:f>B165-I165</x:f>
        <x:v>-5042.6178256281</x:v>
      </x:c>
      <x:c r="K165" s="24" t="n">
        <x:f>Subsurface_Inputs!$C$25+Subsurface_Inputs!$C$26*SIN(2*PI()*(A165+Subsurface_Inputs!$C$27)/Subsurface_Inputs!$C$28)+Subsurface_Inputs!$C$29*COS(2*PI()*(A165-Subsurface_Inputs!$C$30)/Subsurface_Inputs!$C$31)-Subsurface_Inputs!$C$32*(B165-AVERAGE($B$2:$B$242))</x:f>
        <x:v>15658.02240777977</x:v>
      </x:c>
      <x:c r="L165" s="24" t="n">
        <x:f>B165-K165</x:f>
        <x:v>-15213.88298110334</x:v>
      </x:c>
      <x:c r="M165" s="24" t="n">
        <x:f>2*Subsurface_Inputs!$C$34*F165/Subsurface_Inputs!$C$35*1000000</x:f>
        <x:v>12.470777280220691</x:v>
      </x:c>
      <x:c r="N165" s="24" t="n">
        <x:f>2*Subsurface_Inputs!$C$34*I165/Subsurface_Inputs!$C$35*1000000</x:f>
        <x:v>65.15459377635221</x:v>
      </x:c>
      <x:c r="O165" s="24" t="n">
        <x:f>2*Subsurface_Inputs!$C$34*K165/Subsurface_Inputs!$C$35*1000000</x:f>
        <x:v>185.93716514274678</x:v>
      </x:c>
      <x:c r="P165" s="24" t="n">
        <x:f>Subsurface_Inputs!$C$37-2*Subsurface_Inputs!$C$36*(F165/1000)</x:f>
        <x:v>-11.89032611045344</x:v>
      </x:c>
      <x:c r="Q165" s="24" t="n">
        <x:f>Subsurface_Inputs!$C$38+Subsurface_Inputs!$C$39*H165-2*Subsurface_Inputs!$C$36*(I165/1000)</x:f>
        <x:v>-30.293262219077253</x:v>
      </x:c>
      <x:c r="R165" s="24" t="n">
        <x:f>Subsurface_Inputs!$C$40-2*Subsurface_Inputs!$C$36*(K165/1000)-Subsurface_Inputs!$C$41*ABS(L165-AVERAGE($L$2:$L$242))</x:f>
        <x:v>-35.99214174444557</x:v>
      </x:c>
      <x:c r="S165" s="24" t="n">
        <x:f>K165-AVERAGE($K$2:$K$242)</x:f>
        <x:v>580.6377122056601</x:v>
      </x:c>
      <x:c r="T165" s="24" t="n">
        <x:f>K165/F165</x:f>
        <x:v>14.909829673379937</x:v>
      </x:c>
      <x:c r="U165" s="25" t="str">
        <x:f>IF(H165&gt;=Subsurface_Inputs!$C$42,"Lens visible","Weak/no lens")</x:f>
        <x:v>Lens visible</x:v>
      </x:c>
      <x:c r="V165" s="25" t="str">
        <x:f>IF(R165&gt;=W165,"Likely visible","Weak")</x:f>
        <x:v>Likely visible</x:v>
      </x:c>
      <x:c r="W165" s="24" t="n">
        <x:f>Subsurface_Inputs!$C$43</x:f>
        <x:v>-45</x:v>
      </x:c>
      <x:c r="X165" s="24" t="n">
        <x:f>Q165-W165</x:f>
        <x:v>14.706737780922747</x:v>
      </x:c>
      <x:c r="Y165" s="24" t="n">
        <x:f>R165-W165</x:f>
        <x:v>9.007858255554432</x:v>
      </x:c>
      <x:c r="Z165" s="24" t="n">
        <x:f>MAX(Q165,R165)-W165</x:f>
        <x:v>14.706737780922747</x:v>
      </x:c>
      <x:c r="AA165" s="24" t="n">
        <x:v>0</x:v>
      </x:c>
    </x:row>
    <x:row r="166">
      <x:c r="A166" s="24" t="n">
        <x:f>Model_Data!A166</x:f>
        <x:v>22</x:v>
      </x:c>
      <x:c r="B166" s="24" t="n">
        <x:f>Model_Data!Y166</x:f>
        <x:v>447.7794532624074</x:v>
      </x:c>
      <x:c r="C166" s="24" t="n">
        <x:f>Model_Data!X166</x:f>
        <x:v>73.36589826371042</x:v>
      </x:c>
      <x:c r="D166" s="24" t="n">
        <x:f>Model_Data!B166</x:f>
        <x:v>400.53777777777776</x:v>
      </x:c>
      <x:c r="E166" s="24" t="n">
        <x:f>Inputs!$C$6</x:f>
        <x:v>25</x:v>
      </x:c>
      <x:c r="F166" s="24" t="n">
        <x:f>Subsurface_Inputs!$C$5+Subsurface_Inputs!$C$6*SIN(2*PI()*(A166+Subsurface_Inputs!$C$7)/Subsurface_Inputs!$C$8)+Subsurface_Inputs!$C$9*COS(2*PI()*A166/Subsurface_Inputs!$C$10)+Subsurface_Inputs!$C$11*(B166-AVERAGE($B$2:$B$242))</x:f>
        <x:v>1053.5165251391245</x:v>
      </x:c>
      <x:c r="G166" s="24" t="n">
        <x:f>B166-F166</x:f>
        <x:v>-605.7370718767171</x:v>
      </x:c>
      <x:c r="H166" s="24" t="n">
        <x:f>MIN(1,MAX(0,Subsurface_Inputs!$C$13*EXP(-0.5*((A166-Subsurface_Inputs!$C$14)/Subsurface_Inputs!$C$15)^2)+Subsurface_Inputs!$C$16*EXP(-0.5*((A166-Subsurface_Inputs!$C$17)/Subsurface_Inputs!$C$18)^2)))</x:f>
        <x:v>0.42459561017803377</x:v>
      </x:c>
      <x:c r="I166" s="24" t="n">
        <x:f>Subsurface_Inputs!$C$19+Subsurface_Inputs!$C$20*SIN(2*PI()*(A166-Subsurface_Inputs!$C$21)/Subsurface_Inputs!$C$22)-Subsurface_Inputs!$C$23*H166</x:f>
        <x:v>5487.489878506643</x:v>
      </x:c>
      <x:c r="J166" s="24" t="n">
        <x:f>B166-I166</x:f>
        <x:v>-5039.710425244236</x:v>
      </x:c>
      <x:c r="K166" s="24" t="n">
        <x:f>Subsurface_Inputs!$C$25+Subsurface_Inputs!$C$26*SIN(2*PI()*(A166+Subsurface_Inputs!$C$27)/Subsurface_Inputs!$C$28)+Subsurface_Inputs!$C$29*COS(2*PI()*(A166-Subsurface_Inputs!$C$30)/Subsurface_Inputs!$C$31)-Subsurface_Inputs!$C$32*(B166-AVERAGE($B$2:$B$242))</x:f>
        <x:v>15630.330005252259</x:v>
      </x:c>
      <x:c r="L166" s="24" t="n">
        <x:f>B166-K166</x:f>
        <x:v>-15182.550551989852</x:v>
      </x:c>
      <x:c r="M166" s="24" t="n">
        <x:f>2*Subsurface_Inputs!$C$34*F166/Subsurface_Inputs!$C$35*1000000</x:f>
        <x:v>12.510384198842264</x:v>
      </x:c>
      <x:c r="N166" s="24" t="n">
        <x:f>2*Subsurface_Inputs!$C$34*I166/Subsurface_Inputs!$C$35*1000000</x:f>
        <x:v>65.16329362589786</x:v>
      </x:c>
      <x:c r="O166" s="24" t="n">
        <x:f>2*Subsurface_Inputs!$C$34*K166/Subsurface_Inputs!$C$35*1000000</x:f>
        <x:v>185.6083211362777</x:v>
      </x:c>
      <x:c r="P166" s="24" t="n">
        <x:f>Subsurface_Inputs!$C$37-2*Subsurface_Inputs!$C$36*(F166/1000)</x:f>
        <x:v>-11.896329745250425</x:v>
      </x:c>
      <x:c r="Q166" s="24" t="n">
        <x:f>Subsurface_Inputs!$C$38+Subsurface_Inputs!$C$39*H166-2*Subsurface_Inputs!$C$36*(I166/1000)</x:f>
        <x:v>-30.05612128970965</x:v>
      </x:c>
      <x:c r="R166" s="24" t="n">
        <x:f>Subsurface_Inputs!$C$40-2*Subsurface_Inputs!$C$36*(K166/1000)-Subsurface_Inputs!$C$41*ABS(L166-AVERAGE($L$2:$L$242))</x:f>
        <x:v>-35.81696570344211</x:v>
      </x:c>
      <x:c r="S166" s="24" t="n">
        <x:f>K166-AVERAGE($K$2:$K$242)</x:f>
        <x:v>552.945309678149</x:v>
      </x:c>
      <x:c r="T166" s="24" t="n">
        <x:f>K166/F166</x:f>
        <x:v>14.836340610023331</x:v>
      </x:c>
      <x:c r="U166" s="25" t="str">
        <x:f>IF(H166&gt;=Subsurface_Inputs!$C$42,"Lens visible","Weak/no lens")</x:f>
        <x:v>Lens visible</x:v>
      </x:c>
      <x:c r="V166" s="25" t="str">
        <x:f>IF(R166&gt;=W166,"Likely visible","Weak")</x:f>
        <x:v>Likely visible</x:v>
      </x:c>
      <x:c r="W166" s="24" t="n">
        <x:f>Subsurface_Inputs!$C$43</x:f>
        <x:v>-45</x:v>
      </x:c>
      <x:c r="X166" s="24" t="n">
        <x:f>Q166-W166</x:f>
        <x:v>14.943878710290349</x:v>
      </x:c>
      <x:c r="Y166" s="24" t="n">
        <x:f>R166-W166</x:f>
        <x:v>9.183034296557892</x:v>
      </x:c>
      <x:c r="Z166" s="24" t="n">
        <x:f>MAX(Q166,R166)-W166</x:f>
        <x:v>14.943878710290349</x:v>
      </x:c>
      <x:c r="AA166" s="24" t="n">
        <x:v>0</x:v>
      </x:c>
    </x:row>
    <x:row r="167">
      <x:c r="A167" s="24" t="n">
        <x:f>Model_Data!A167</x:f>
        <x:v>22.5</x:v>
      </x:c>
      <x:c r="B167" s="24" t="n">
        <x:f>Model_Data!Y167</x:f>
        <x:v>442.50927153418206</x:v>
      </x:c>
      <x:c r="C167" s="24" t="n">
        <x:f>Model_Data!X167</x:f>
        <x:v>73.86322008676284</x:v>
      </x:c>
      <x:c r="D167" s="24" t="n">
        <x:f>Model_Data!B167</x:f>
        <x:v>400.5625</x:v>
      </x:c>
      <x:c r="E167" s="24" t="n">
        <x:f>Inputs!$C$6</x:f>
        <x:v>25</x:v>
      </x:c>
      <x:c r="F167" s="24" t="n">
        <x:f>Subsurface_Inputs!$C$5+Subsurface_Inputs!$C$6*SIN(2*PI()*(A167+Subsurface_Inputs!$C$7)/Subsurface_Inputs!$C$8)+Subsurface_Inputs!$C$9*COS(2*PI()*A167/Subsurface_Inputs!$C$10)+Subsurface_Inputs!$C$11*(B167-AVERAGE($B$2:$B$242))</x:f>
        <x:v>1056.3115127442757</x:v>
      </x:c>
      <x:c r="G167" s="24" t="n">
        <x:f>B167-F167</x:f>
        <x:v>-613.8022412100936</x:v>
      </x:c>
      <x:c r="H167" s="24" t="n">
        <x:f>MIN(1,MAX(0,Subsurface_Inputs!$C$13*EXP(-0.5*((A167-Subsurface_Inputs!$C$14)/Subsurface_Inputs!$C$15)^2)+Subsurface_Inputs!$C$16*EXP(-0.5*((A167-Subsurface_Inputs!$C$17)/Subsurface_Inputs!$C$18)^2)))</x:f>
        <x:v>0.45109127010795935</x:v>
      </x:c>
      <x:c r="I167" s="24" t="n">
        <x:f>Subsurface_Inputs!$C$19+Subsurface_Inputs!$C$20*SIN(2*PI()*(A167-Subsurface_Inputs!$C$21)/Subsurface_Inputs!$C$22)-Subsurface_Inputs!$C$23*H167</x:f>
        <x:v>5487.504219042654</x:v>
      </x:c>
      <x:c r="J167" s="24" t="n">
        <x:f>B167-I167</x:f>
        <x:v>-5044.994947508472</x:v>
      </x:c>
      <x:c r="K167" s="24" t="n">
        <x:f>Subsurface_Inputs!$C$25+Subsurface_Inputs!$C$26*SIN(2*PI()*(A167+Subsurface_Inputs!$C$27)/Subsurface_Inputs!$C$28)+Subsurface_Inputs!$C$29*COS(2*PI()*(A167-Subsurface_Inputs!$C$30)/Subsurface_Inputs!$C$31)-Subsurface_Inputs!$C$32*(B167-AVERAGE($B$2:$B$242))</x:f>
        <x:v>15603.432448110258</x:v>
      </x:c>
      <x:c r="L167" s="24" t="n">
        <x:f>B167-K167</x:f>
        <x:v>-15160.923176576076</x:v>
      </x:c>
      <x:c r="M167" s="24" t="n">
        <x:f>2*Subsurface_Inputs!$C$34*F167/Subsurface_Inputs!$C$35*1000000</x:f>
        <x:v>12.543574346255305</x:v>
      </x:c>
      <x:c r="N167" s="24" t="n">
        <x:f>2*Subsurface_Inputs!$C$34*I167/Subsurface_Inputs!$C$35*1000000</x:f>
        <x:v>65.16346391806778</x:v>
      </x:c>
      <x:c r="O167" s="24" t="n">
        <x:f>2*Subsurface_Inputs!$C$34*K167/Subsurface_Inputs!$C$35*1000000</x:f>
        <x:v>185.2889158248021</x:v>
      </x:c>
      <x:c r="P167" s="24" t="n">
        <x:f>Subsurface_Inputs!$C$37-2*Subsurface_Inputs!$C$36*(F167/1000)</x:f>
        <x:v>-11.901360722939696</x:v>
      </x:c>
      <x:c r="Q167" s="24" t="n">
        <x:f>Subsurface_Inputs!$C$38+Subsurface_Inputs!$C$39*H167-2*Subsurface_Inputs!$C$36*(I167/1000)</x:f>
        <x:v>-29.81768616330514</x:v>
      </x:c>
      <x:c r="R167" s="24" t="n">
        <x:f>Subsurface_Inputs!$C$40-2*Subsurface_Inputs!$C$36*(K167/1000)-Subsurface_Inputs!$C$41*ABS(L167-AVERAGE($L$2:$L$242))</x:f>
        <x:v>-35.682040598931394</x:v>
      </x:c>
      <x:c r="S167" s="24" t="n">
        <x:f>K167-AVERAGE($K$2:$K$242)</x:f>
        <x:v>526.0477525361475</x:v>
      </x:c>
      <x:c r="T167" s="24" t="n">
        <x:f>K167/F167</x:f>
        <x:v>14.771620170618855</x:v>
      </x:c>
      <x:c r="U167" s="25" t="str">
        <x:f>IF(H167&gt;=Subsurface_Inputs!$C$42,"Lens visible","Weak/no lens")</x:f>
        <x:v>Lens visible</x:v>
      </x:c>
      <x:c r="V167" s="25" t="str">
        <x:f>IF(R167&gt;=W167,"Likely visible","Weak")</x:f>
        <x:v>Likely visible</x:v>
      </x:c>
      <x:c r="W167" s="24" t="n">
        <x:f>Subsurface_Inputs!$C$43</x:f>
        <x:v>-45</x:v>
      </x:c>
      <x:c r="X167" s="24" t="n">
        <x:f>Q167-W167</x:f>
        <x:v>15.18231383669486</x:v>
      </x:c>
      <x:c r="Y167" s="24" t="n">
        <x:f>R167-W167</x:f>
        <x:v>9.317959401068606</x:v>
      </x:c>
      <x:c r="Z167" s="24" t="n">
        <x:f>MAX(Q167,R167)-W167</x:f>
        <x:v>15.18231383669486</x:v>
      </x:c>
      <x:c r="AA167" s="24" t="n">
        <x:v>0</x:v>
      </x:c>
    </x:row>
    <x:row r="168">
      <x:c r="A168" s="24" t="n">
        <x:f>Model_Data!A168</x:f>
        <x:v>23</x:v>
      </x:c>
      <x:c r="B168" s="24" t="n">
        <x:f>Model_Data!Y168</x:f>
        <x:v>438.1289491107309</x:v>
      </x:c>
      <x:c r="C168" s="24" t="n">
        <x:f>Model_Data!X168</x:f>
        <x:v>61.781548358505674</x:v>
      </x:c>
      <x:c r="D168" s="24" t="n">
        <x:f>Model_Data!B168</x:f>
        <x:v>400.5877777777778</x:v>
      </x:c>
      <x:c r="E168" s="24" t="n">
        <x:f>Inputs!$C$6</x:f>
        <x:v>25</x:v>
      </x:c>
      <x:c r="F168" s="24" t="n">
        <x:f>Subsurface_Inputs!$C$5+Subsurface_Inputs!$C$6*SIN(2*PI()*(A168+Subsurface_Inputs!$C$7)/Subsurface_Inputs!$C$8)+Subsurface_Inputs!$C$9*COS(2*PI()*A168/Subsurface_Inputs!$C$10)+Subsurface_Inputs!$C$11*(B168-AVERAGE($B$2:$B$242))</x:f>
        <x:v>1058.9196093320866</x:v>
      </x:c>
      <x:c r="G168" s="24" t="n">
        <x:f>B168-F168</x:f>
        <x:v>-620.7906602213557</x:v>
      </x:c>
      <x:c r="H168" s="24" t="n">
        <x:f>MIN(1,MAX(0,Subsurface_Inputs!$C$13*EXP(-0.5*((A168-Subsurface_Inputs!$C$14)/Subsurface_Inputs!$C$15)^2)+Subsurface_Inputs!$C$16*EXP(-0.5*((A168-Subsurface_Inputs!$C$17)/Subsurface_Inputs!$C$18)^2)))</x:f>
        <x:v>0.47737369427794657</x:v>
      </x:c>
      <x:c r="I168" s="24" t="n">
        <x:f>Subsurface_Inputs!$C$19+Subsurface_Inputs!$C$20*SIN(2*PI()*(A168-Subsurface_Inputs!$C$21)/Subsurface_Inputs!$C$22)-Subsurface_Inputs!$C$23*H168</x:f>
        <x:v>5486.842131008926</x:v>
      </x:c>
      <x:c r="J168" s="24" t="n">
        <x:f>B168-I168</x:f>
        <x:v>-5048.713181898195</x:v>
      </x:c>
      <x:c r="K168" s="24" t="n">
        <x:f>Subsurface_Inputs!$C$25+Subsurface_Inputs!$C$26*SIN(2*PI()*(A168+Subsurface_Inputs!$C$27)/Subsurface_Inputs!$C$28)+Subsurface_Inputs!$C$29*COS(2*PI()*(A168-Subsurface_Inputs!$C$30)/Subsurface_Inputs!$C$31)-Subsurface_Inputs!$C$32*(B168-AVERAGE($B$2:$B$242))</x:f>
        <x:v>15576.006285577792</x:v>
      </x:c>
      <x:c r="L168" s="24" t="n">
        <x:f>B168-K168</x:f>
        <x:v>-15137.877336467061</x:v>
      </x:c>
      <x:c r="M168" s="24" t="n">
        <x:f>2*Subsurface_Inputs!$C$34*F168/Subsurface_Inputs!$C$35*1000000</x:f>
        <x:v>12.574545184929995</x:v>
      </x:c>
      <x:c r="N168" s="24" t="n">
        <x:f>2*Subsurface_Inputs!$C$34*I168/Subsurface_Inputs!$C$35*1000000</x:f>
        <x:v>65.1556017009333</x:v>
      </x:c>
      <x:c r="O168" s="24" t="n">
        <x:f>2*Subsurface_Inputs!$C$34*K168/Subsurface_Inputs!$C$35*1000000</x:f>
        <x:v>184.9632333868017</x:v>
      </x:c>
      <x:c r="P168" s="24" t="n">
        <x:f>Subsurface_Inputs!$C$37-2*Subsurface_Inputs!$C$36*(F168/1000)</x:f>
        <x:v>-11.906055296797756</x:v>
      </x:c>
      <x:c r="Q168" s="24" t="n">
        <x:f>Subsurface_Inputs!$C$38+Subsurface_Inputs!$C$39*H168-2*Subsurface_Inputs!$C$36*(I168/1000)</x:f>
        <x:v>-29.579952587314544</x:v>
      </x:c>
      <x:c r="R168" s="24" t="n">
        <x:f>Subsurface_Inputs!$C$40-2*Subsurface_Inputs!$C$36*(K168/1000)-Subsurface_Inputs!$C$41*ABS(L168-AVERAGE($L$2:$L$242))</x:f>
        <x:v>-35.5404901459369</x:v>
      </x:c>
      <x:c r="S168" s="24" t="n">
        <x:f>K168-AVERAGE($K$2:$K$242)</x:f>
        <x:v>498.6215900036823</x:v>
      </x:c>
      <x:c r="T168" s="24" t="n">
        <x:f>K168/F168</x:f>
        <x:v>14.709337846149017</x:v>
      </x:c>
      <x:c r="U168" s="25" t="str">
        <x:f>IF(H168&gt;=Subsurface_Inputs!$C$42,"Lens visible","Weak/no lens")</x:f>
        <x:v>Lens visible</x:v>
      </x:c>
      <x:c r="V168" s="25" t="str">
        <x:f>IF(R168&gt;=W168,"Likely visible","Weak")</x:f>
        <x:v>Likely visible</x:v>
      </x:c>
      <x:c r="W168" s="24" t="n">
        <x:f>Subsurface_Inputs!$C$43</x:f>
        <x:v>-45</x:v>
      </x:c>
      <x:c r="X168" s="24" t="n">
        <x:f>Q168-W168</x:f>
        <x:v>15.420047412685456</x:v>
      </x:c>
      <x:c r="Y168" s="24" t="n">
        <x:f>R168-W168</x:f>
        <x:v>9.4595098540631</x:v>
      </x:c>
      <x:c r="Z168" s="24" t="n">
        <x:f>MAX(Q168,R168)-W168</x:f>
        <x:v>15.420047412685456</x:v>
      </x:c>
      <x:c r="AA168" s="24" t="n">
        <x:v>0</x:v>
      </x:c>
    </x:row>
    <x:row r="169">
      <x:c r="A169" s="24" t="n">
        <x:f>Model_Data!A169</x:f>
        <x:v>23.5</x:v>
      </x:c>
      <x:c r="B169" s="24" t="n">
        <x:f>Model_Data!Y169</x:f>
        <x:v>431.2131008039683</x:v>
      </x:c>
      <x:c r="C169" s="24" t="n">
        <x:f>Model_Data!X169</x:f>
        <x:v>70.98866885242666</x:v>
      </x:c>
      <x:c r="D169" s="24" t="n">
        <x:f>Model_Data!B169</x:f>
        <x:v>400.6136111111111</x:v>
      </x:c>
      <x:c r="E169" s="24" t="n">
        <x:f>Inputs!$C$6</x:f>
        <x:v>25</x:v>
      </x:c>
      <x:c r="F169" s="24" t="n">
        <x:f>Subsurface_Inputs!$C$5+Subsurface_Inputs!$C$6*SIN(2*PI()*(A169+Subsurface_Inputs!$C$7)/Subsurface_Inputs!$C$8)+Subsurface_Inputs!$C$9*COS(2*PI()*A169/Subsurface_Inputs!$C$10)+Subsurface_Inputs!$C$11*(B169-AVERAGE($B$2:$B$242))</x:f>
        <x:v>1061.1809491853053</x:v>
      </x:c>
      <x:c r="G169" s="24" t="n">
        <x:f>B169-F169</x:f>
        <x:v>-629.967848381337</x:v>
      </x:c>
      <x:c r="H169" s="24" t="n">
        <x:f>MIN(1,MAX(0,Subsurface_Inputs!$C$13*EXP(-0.5*((A169-Subsurface_Inputs!$C$14)/Subsurface_Inputs!$C$15)^2)+Subsurface_Inputs!$C$16*EXP(-0.5*((A169-Subsurface_Inputs!$C$17)/Subsurface_Inputs!$C$18)^2)))</x:f>
        <x:v>0.5032192755463412</x:v>
      </x:c>
      <x:c r="I169" s="24" t="n">
        <x:f>Subsurface_Inputs!$C$19+Subsurface_Inputs!$C$20*SIN(2*PI()*(A169-Subsurface_Inputs!$C$21)/Subsurface_Inputs!$C$22)-Subsurface_Inputs!$C$23*H169</x:f>
        <x:v>5485.548994285324</x:v>
      </x:c>
      <x:c r="J169" s="24" t="n">
        <x:f>B169-I169</x:f>
        <x:v>-5054.335893481355</x:v>
      </x:c>
      <x:c r="K169" s="24" t="n">
        <x:f>Subsurface_Inputs!$C$25+Subsurface_Inputs!$C$26*SIN(2*PI()*(A169+Subsurface_Inputs!$C$27)/Subsurface_Inputs!$C$28)+Subsurface_Inputs!$C$29*COS(2*PI()*(A169-Subsurface_Inputs!$C$30)/Subsurface_Inputs!$C$31)-Subsurface_Inputs!$C$32*(B169-AVERAGE($B$2:$B$242))</x:f>
        <x:v>15548.580022641641</x:v>
      </x:c>
      <x:c r="L169" s="24" t="n">
        <x:f>B169-K169</x:f>
        <x:v>-15117.366921837673</x:v>
      </x:c>
      <x:c r="M169" s="24" t="n">
        <x:f>2*Subsurface_Inputs!$C$34*F169/Subsurface_Inputs!$C$35*1000000</x:f>
        <x:v>12.601398328371845</x:v>
      </x:c>
      <x:c r="N169" s="24" t="n">
        <x:f>2*Subsurface_Inputs!$C$34*I169/Subsurface_Inputs!$C$35*1000000</x:f>
        <x:v>65.14024585520345</x:v>
      </x:c>
      <x:c r="O169" s="24" t="n">
        <x:f>2*Subsurface_Inputs!$C$34*K169/Subsurface_Inputs!$C$35*1000000</x:f>
        <x:v>184.63754975651935</x:v>
      </x:c>
      <x:c r="P169" s="24" t="n">
        <x:f>Subsurface_Inputs!$C$37-2*Subsurface_Inputs!$C$36*(F169/1000)</x:f>
        <x:v>-11.910125708533549</x:v>
      </x:c>
      <x:c r="Q169" s="24" t="n">
        <x:f>Subsurface_Inputs!$C$38+Subsurface_Inputs!$C$39*H169-2*Subsurface_Inputs!$C$36*(I169/1000)</x:f>
        <x:v>-29.345014709796516</x:v>
      </x:c>
      <x:c r="R169" s="24" t="n">
        <x:f>Subsurface_Inputs!$C$40-2*Subsurface_Inputs!$C$36*(K169/1000)-Subsurface_Inputs!$C$41*ABS(L169-AVERAGE($L$2:$L$242))</x:f>
        <x:v>-35.409081214134275</x:v>
      </x:c>
      <x:c r="S169" s="24" t="n">
        <x:f>K169-AVERAGE($K$2:$K$242)</x:f>
        <x:v>471.19532706753125</x:v>
      </x:c>
      <x:c r="T169" s="24" t="n">
        <x:f>K169/F169</x:f>
        <x:v>14.652147717671212</x:v>
      </x:c>
      <x:c r="U169" s="25" t="str">
        <x:f>IF(H169&gt;=Subsurface_Inputs!$C$42,"Lens visible","Weak/no lens")</x:f>
        <x:v>Lens visible</x:v>
      </x:c>
      <x:c r="V169" s="25" t="str">
        <x:f>IF(R169&gt;=W169,"Likely visible","Weak")</x:f>
        <x:v>Likely visible</x:v>
      </x:c>
      <x:c r="W169" s="24" t="n">
        <x:f>Subsurface_Inputs!$C$43</x:f>
        <x:v>-45</x:v>
      </x:c>
      <x:c r="X169" s="24" t="n">
        <x:f>Q169-W169</x:f>
        <x:v>15.654985290203484</x:v>
      </x:c>
      <x:c r="Y169" s="24" t="n">
        <x:f>R169-W169</x:f>
        <x:v>9.590918785865725</x:v>
      </x:c>
      <x:c r="Z169" s="24" t="n">
        <x:f>MAX(Q169,R169)-W169</x:f>
        <x:v>15.654985290203484</x:v>
      </x:c>
      <x:c r="AA169" s="24" t="n">
        <x:v>0</x:v>
      </x:c>
    </x:row>
    <x:row r="170">
      <x:c r="A170" s="24" t="n">
        <x:f>Model_Data!A170</x:f>
        <x:v>24</x:v>
      </x:c>
      <x:c r="B170" s="24" t="n">
        <x:f>Model_Data!Y170</x:f>
        <x:v>441.2625072507224</x:v>
      </x:c>
      <x:c r="C170" s="24" t="n">
        <x:f>Model_Data!X170</x:f>
        <x:v>75.46815017037277</x:v>
      </x:c>
      <x:c r="D170" s="24" t="n">
        <x:f>Model_Data!B170</x:f>
        <x:v>400.64</x:v>
      </x:c>
      <x:c r="E170" s="24" t="n">
        <x:f>Inputs!$C$6</x:f>
        <x:v>25</x:v>
      </x:c>
      <x:c r="F170" s="24" t="n">
        <x:f>Subsurface_Inputs!$C$5+Subsurface_Inputs!$C$6*SIN(2*PI()*(A170+Subsurface_Inputs!$C$7)/Subsurface_Inputs!$C$8)+Subsurface_Inputs!$C$9*COS(2*PI()*A170/Subsurface_Inputs!$C$10)+Subsurface_Inputs!$C$11*(B170-AVERAGE($B$2:$B$242))</x:f>
        <x:v>1063.8686550645732</x:v>
      </x:c>
      <x:c r="G170" s="24" t="n">
        <x:f>B170-F170</x:f>
        <x:v>-622.6061478138508</x:v>
      </x:c>
      <x:c r="H170" s="24" t="n">
        <x:f>MIN(1,MAX(0,Subsurface_Inputs!$C$13*EXP(-0.5*((A170-Subsurface_Inputs!$C$14)/Subsurface_Inputs!$C$15)^2)+Subsurface_Inputs!$C$16*EXP(-0.5*((A170-Subsurface_Inputs!$C$17)/Subsurface_Inputs!$C$18)^2)))</x:f>
        <x:v>0.5283971544213956</x:v>
      </x:c>
      <x:c r="I170" s="24" t="n">
        <x:f>Subsurface_Inputs!$C$19+Subsurface_Inputs!$C$20*SIN(2*PI()*(A170-Subsurface_Inputs!$C$21)/Subsurface_Inputs!$C$22)-Subsurface_Inputs!$C$23*H170</x:f>
        <x:v>5483.67300933723</x:v>
      </x:c>
      <x:c r="J170" s="24" t="n">
        <x:f>B170-I170</x:f>
        <x:v>-5042.410502086507</x:v>
      </x:c>
      <x:c r="K170" s="24" t="n">
        <x:f>Subsurface_Inputs!$C$25+Subsurface_Inputs!$C$26*SIN(2*PI()*(A170+Subsurface_Inputs!$C$27)/Subsurface_Inputs!$C$28)+Subsurface_Inputs!$C$29*COS(2*PI()*(A170-Subsurface_Inputs!$C$30)/Subsurface_Inputs!$C$31)-Subsurface_Inputs!$C$32*(B170-AVERAGE($B$2:$B$242))</x:f>
        <x:v>15518.47278025502</x:v>
      </x:c>
      <x:c r="L170" s="24" t="n">
        <x:f>B170-K170</x:f>
        <x:v>-15077.210273004299</x:v>
      </x:c>
      <x:c r="M170" s="24" t="n">
        <x:f>2*Subsurface_Inputs!$C$34*F170/Subsurface_Inputs!$C$35*1000000</x:f>
        <x:v>12.633314517971899</x:v>
      </x:c>
      <x:c r="N170" s="24" t="n">
        <x:f>2*Subsurface_Inputs!$C$34*I170/Subsurface_Inputs!$C$35*1000000</x:f>
        <x:v>65.1179687557068</x:v>
      </x:c>
      <x:c r="O170" s="24" t="n">
        <x:f>2*Subsurface_Inputs!$C$34*K170/Subsurface_Inputs!$C$35*1000000</x:f>
        <x:v>184.28002981218384</x:v>
      </x:c>
      <x:c r="P170" s="24" t="n">
        <x:f>Subsurface_Inputs!$C$37-2*Subsurface_Inputs!$C$36*(F170/1000)</x:f>
        <x:v>-11.914963579116232</x:v>
      </x:c>
      <x:c r="Q170" s="24" t="n">
        <x:f>Subsurface_Inputs!$C$38+Subsurface_Inputs!$C$39*H170-2*Subsurface_Inputs!$C$36*(I170/1000)</x:f>
        <x:v>-29.115037027014452</x:v>
      </x:c>
      <x:c r="R170" s="24" t="n">
        <x:f>Subsurface_Inputs!$C$40-2*Subsurface_Inputs!$C$36*(K170/1000)-Subsurface_Inputs!$C$41*ABS(L170-AVERAGE($L$2:$L$242))</x:f>
        <x:v>-35.194261582504865</x:v>
      </x:c>
      <x:c r="S170" s="24" t="n">
        <x:f>K170-AVERAGE($K$2:$K$242)</x:f>
        <x:v>441.08808468091047</x:v>
      </x:c>
      <x:c r="T170" s="24" t="n">
        <x:f>K170/F170</x:f>
        <x:v>14.586831472455687</x:v>
      </x:c>
      <x:c r="U170" s="25" t="str">
        <x:f>IF(H170&gt;=Subsurface_Inputs!$C$42,"Lens visible","Weak/no lens")</x:f>
        <x:v>Lens visible</x:v>
      </x:c>
      <x:c r="V170" s="25" t="str">
        <x:f>IF(R170&gt;=W170,"Likely visible","Weak")</x:f>
        <x:v>Likely visible</x:v>
      </x:c>
      <x:c r="W170" s="24" t="n">
        <x:f>Subsurface_Inputs!$C$43</x:f>
        <x:v>-45</x:v>
      </x:c>
      <x:c r="X170" s="24" t="n">
        <x:f>Q170-W170</x:f>
        <x:v>15.884962972985548</x:v>
      </x:c>
      <x:c r="Y170" s="24" t="n">
        <x:f>R170-W170</x:f>
        <x:v>9.805738417495135</x:v>
      </x:c>
      <x:c r="Z170" s="24" t="n">
        <x:f>MAX(Q170,R170)-W170</x:f>
        <x:v>15.884962972985548</x:v>
      </x:c>
      <x:c r="AA170" s="24" t="n">
        <x:v>0</x:v>
      </x:c>
    </x:row>
    <x:row r="171">
      <x:c r="A171" s="24" t="n">
        <x:f>Model_Data!A171</x:f>
        <x:v>24.5</x:v>
      </x:c>
      <x:c r="B171" s="24" t="n">
        <x:f>Model_Data!Y171</x:f>
        <x:v>415.4369773442437</x:v>
      </x:c>
      <x:c r="C171" s="24" t="n">
        <x:f>Model_Data!X171</x:f>
        <x:v>80.2881627342364</x:v>
      </x:c>
      <x:c r="D171" s="24" t="n">
        <x:f>Model_Data!B171</x:f>
        <x:v>400.6669444444444</x:v>
      </x:c>
      <x:c r="E171" s="24" t="n">
        <x:f>Inputs!$C$6</x:f>
        <x:v>25</x:v>
      </x:c>
      <x:c r="F171" s="24" t="n">
        <x:f>Subsurface_Inputs!$C$5+Subsurface_Inputs!$C$6*SIN(2*PI()*(A171+Subsurface_Inputs!$C$7)/Subsurface_Inputs!$C$8)+Subsurface_Inputs!$C$9*COS(2*PI()*A171/Subsurface_Inputs!$C$10)+Subsurface_Inputs!$C$11*(B171-AVERAGE($B$2:$B$242))</x:f>
        <x:v>1064.8780556364588</x:v>
      </x:c>
      <x:c r="G171" s="24" t="n">
        <x:f>B171-F171</x:f>
        <x:v>-649.4410782922151</x:v>
      </x:c>
      <x:c r="H171" s="24" t="n">
        <x:f>MIN(1,MAX(0,Subsurface_Inputs!$C$13*EXP(-0.5*((A171-Subsurface_Inputs!$C$14)/Subsurface_Inputs!$C$15)^2)+Subsurface_Inputs!$C$16*EXP(-0.5*((A171-Subsurface_Inputs!$C$17)/Subsurface_Inputs!$C$18)^2)))</x:f>
        <x:v>0.5526725097764887</x:v>
      </x:c>
      <x:c r="I171" s="24" t="n">
        <x:f>Subsurface_Inputs!$C$19+Subsurface_Inputs!$C$20*SIN(2*PI()*(A171-Subsurface_Inputs!$C$21)/Subsurface_Inputs!$C$22)-Subsurface_Inputs!$C$23*H171</x:f>
        <x:v>5481.264418019424</x:v>
      </x:c>
      <x:c r="J171" s="24" t="n">
        <x:f>B171-I171</x:f>
        <x:v>-5065.82744067518</x:v>
      </x:c>
      <x:c r="K171" s="24" t="n">
        <x:f>Subsurface_Inputs!$C$25+Subsurface_Inputs!$C$26*SIN(2*PI()*(A171+Subsurface_Inputs!$C$27)/Subsurface_Inputs!$C$28)+Subsurface_Inputs!$C$29*COS(2*PI()*(A171-Subsurface_Inputs!$C$30)/Subsurface_Inputs!$C$31)-Subsurface_Inputs!$C$32*(B171-AVERAGE($B$2:$B$242))</x:f>
        <x:v>15493.131581035035</x:v>
      </x:c>
      <x:c r="L171" s="24" t="n">
        <x:f>B171-K171</x:f>
        <x:v>-15077.694603690792</x:v>
      </x:c>
      <x:c r="M171" s="24" t="n">
        <x:f>2*Subsurface_Inputs!$C$34*F171/Subsurface_Inputs!$C$35*1000000</x:f>
        <x:v>12.645301030440844</x:v>
      </x:c>
      <x:c r="N171" s="24" t="n">
        <x:f>2*Subsurface_Inputs!$C$34*I171/Subsurface_Inputs!$C$35*1000000</x:f>
        <x:v>65.08936701852969</x:v>
      </x:c>
      <x:c r="O171" s="24" t="n">
        <x:f>2*Subsurface_Inputs!$C$34*K171/Subsurface_Inputs!$C$35*1000000</x:f>
        <x:v>183.97910606705366</x:v>
      </x:c>
      <x:c r="P171" s="24" t="n">
        <x:f>Subsurface_Inputs!$C$37-2*Subsurface_Inputs!$C$36*(F171/1000)</x:f>
        <x:v>-11.916780500145626</x:v>
      </x:c>
      <x:c r="Q171" s="24" t="n">
        <x:f>Subsurface_Inputs!$C$38+Subsurface_Inputs!$C$39*H171-2*Subsurface_Inputs!$C$36*(I171/1000)</x:f>
        <x:v>-28.892223364446565</x:v>
      </x:c>
      <x:c r="R171" s="24" t="n">
        <x:f>Subsurface_Inputs!$C$40-2*Subsurface_Inputs!$C$36*(K171/1000)-Subsurface_Inputs!$C$41*ABS(L171-AVERAGE($L$2:$L$242))</x:f>
        <x:v>-35.150584746654864</x:v>
      </x:c>
      <x:c r="S171" s="24" t="n">
        <x:f>K171-AVERAGE($K$2:$K$242)</x:f>
        <x:v>415.7468854609251</x:v>
      </x:c>
      <x:c r="T171" s="24" t="n">
        <x:f>K171/F171</x:f>
        <x:v>14.549207300337374</x:v>
      </x:c>
      <x:c r="U171" s="25" t="str">
        <x:f>IF(H171&gt;=Subsurface_Inputs!$C$42,"Lens visible","Weak/no lens")</x:f>
        <x:v>Lens visible</x:v>
      </x:c>
      <x:c r="V171" s="25" t="str">
        <x:f>IF(R171&gt;=W171,"Likely visible","Weak")</x:f>
        <x:v>Likely visible</x:v>
      </x:c>
      <x:c r="W171" s="24" t="n">
        <x:f>Subsurface_Inputs!$C$43</x:f>
        <x:v>-45</x:v>
      </x:c>
      <x:c r="X171" s="24" t="n">
        <x:f>Q171-W171</x:f>
        <x:v>16.107776635553435</x:v>
      </x:c>
      <x:c r="Y171" s="24" t="n">
        <x:f>R171-W171</x:f>
        <x:v>9.849415253345136</x:v>
      </x:c>
      <x:c r="Z171" s="24" t="n">
        <x:f>MAX(Q171,R171)-W171</x:f>
        <x:v>16.107776635553435</x:v>
      </x:c>
      <x:c r="AA171" s="24" t="n">
        <x:v>0</x:v>
      </x:c>
    </x:row>
    <x:row r="172">
      <x:c r="A172" s="24" t="n">
        <x:f>Model_Data!A172</x:f>
        <x:v>25</x:v>
      </x:c>
      <x:c r="B172" s="24" t="n">
        <x:f>Model_Data!Y172</x:f>
        <x:v>418.8320748478676</x:v>
      </x:c>
      <x:c r="C172" s="24" t="n">
        <x:f>Model_Data!X172</x:f>
        <x:v>61.498548518191555</x:v>
      </x:c>
      <x:c r="D172" s="24" t="n">
        <x:f>Model_Data!B172</x:f>
        <x:v>400.69444444444446</x:v>
      </x:c>
      <x:c r="E172" s="24" t="n">
        <x:f>Inputs!$C$6</x:f>
        <x:v>25</x:v>
      </x:c>
      <x:c r="F172" s="24" t="n">
        <x:f>Subsurface_Inputs!$C$5+Subsurface_Inputs!$C$6*SIN(2*PI()*(A172+Subsurface_Inputs!$C$7)/Subsurface_Inputs!$C$8)+Subsurface_Inputs!$C$9*COS(2*PI()*A172/Subsurface_Inputs!$C$10)+Subsurface_Inputs!$C$11*(B172-AVERAGE($B$2:$B$242))</x:f>
        <x:v>1066.8372999779428</x:v>
      </x:c>
      <x:c r="G172" s="24" t="n">
        <x:f>B172-F172</x:f>
        <x:v>-648.0052251300752</x:v>
      </x:c>
      <x:c r="H172" s="24" t="n">
        <x:f>MIN(1,MAX(0,Subsurface_Inputs!$C$13*EXP(-0.5*((A172-Subsurface_Inputs!$C$14)/Subsurface_Inputs!$C$15)^2)+Subsurface_Inputs!$C$16*EXP(-0.5*((A172-Subsurface_Inputs!$C$17)/Subsurface_Inputs!$C$18)^2)))</x:f>
        <x:v>0.5758101015686332</x:v>
      </x:c>
      <x:c r="I172" s="24" t="n">
        <x:f>Subsurface_Inputs!$C$19+Subsurface_Inputs!$C$20*SIN(2*PI()*(A172-Subsurface_Inputs!$C$21)/Subsurface_Inputs!$C$22)-Subsurface_Inputs!$C$23*H172</x:f>
        <x:v>5478.374662298559</x:v>
      </x:c>
      <x:c r="J172" s="24" t="n">
        <x:f>B172-I172</x:f>
        <x:v>-5059.542587450692</x:v>
      </x:c>
      <x:c r="K172" s="24" t="n">
        <x:f>Subsurface_Inputs!$C$25+Subsurface_Inputs!$C$26*SIN(2*PI()*(A172+Subsurface_Inputs!$C$27)/Subsurface_Inputs!$C$28)+Subsurface_Inputs!$C$29*COS(2*PI()*(A172-Subsurface_Inputs!$C$30)/Subsurface_Inputs!$C$31)-Subsurface_Inputs!$C$32*(B172-AVERAGE($B$2:$B$242))</x:f>
        <x:v>15463.492493885004</x:v>
      </x:c>
      <x:c r="L172" s="24" t="n">
        <x:f>B172-K172</x:f>
        <x:v>-15044.660419037136</x:v>
      </x:c>
      <x:c r="M172" s="24" t="n">
        <x:f>2*Subsurface_Inputs!$C$34*F172/Subsurface_Inputs!$C$35*1000000</x:f>
        <x:v>12.668566825391839</x:v>
      </x:c>
      <x:c r="N172" s="24" t="n">
        <x:f>2*Subsurface_Inputs!$C$34*I172/Subsurface_Inputs!$C$35*1000000</x:f>
        <x:v>65.05505151094519</x:v>
      </x:c>
      <x:c r="O172" s="24" t="n">
        <x:f>2*Subsurface_Inputs!$C$34*K172/Subsurface_Inputs!$C$35*1000000</x:f>
        <x:v>183.62714541081155</x:v>
      </x:c>
      <x:c r="P172" s="24" t="n">
        <x:f>Subsurface_Inputs!$C$37-2*Subsurface_Inputs!$C$36*(F172/1000)</x:f>
        <x:v>-11.920307139960297</x:v>
      </x:c>
      <x:c r="Q172" s="24" t="n">
        <x:f>Subsurface_Inputs!$C$38+Subsurface_Inputs!$C$39*H172-2*Subsurface_Inputs!$C$36*(I172/1000)</x:f>
        <x:v>-28.678783478019703</x:v>
      </x:c>
      <x:c r="R172" s="24" t="n">
        <x:f>Subsurface_Inputs!$C$40-2*Subsurface_Inputs!$C$36*(K172/1000)-Subsurface_Inputs!$C$41*ABS(L172-AVERAGE($L$2:$L$242))</x:f>
        <x:v>-34.965097651170176</x:v>
      </x:c>
      <x:c r="S172" s="24" t="n">
        <x:f>K172-AVERAGE($K$2:$K$242)</x:f>
        <x:v>386.1077983108935</x:v>
      </x:c>
      <x:c r="T172" s="24" t="n">
        <x:f>K172/F172</x:f>
        <x:v>14.494705513394324</x:v>
      </x:c>
      <x:c r="U172" s="25" t="str">
        <x:f>IF(H172&gt;=Subsurface_Inputs!$C$42,"Lens visible","Weak/no lens")</x:f>
        <x:v>Lens visible</x:v>
      </x:c>
      <x:c r="V172" s="25" t="str">
        <x:f>IF(R172&gt;=W172,"Likely visible","Weak")</x:f>
        <x:v>Likely visible</x:v>
      </x:c>
      <x:c r="W172" s="24" t="n">
        <x:f>Subsurface_Inputs!$C$43</x:f>
        <x:v>-45</x:v>
      </x:c>
      <x:c r="X172" s="24" t="n">
        <x:f>Q172-W172</x:f>
        <x:v>16.321216521980297</x:v>
      </x:c>
      <x:c r="Y172" s="24" t="n">
        <x:f>R172-W172</x:f>
        <x:v>10.034902348829824</x:v>
      </x:c>
      <x:c r="Z172" s="24" t="n">
        <x:f>MAX(Q172,R172)-W172</x:f>
        <x:v>16.321216521980297</x:v>
      </x:c>
      <x:c r="AA172" s="24" t="n">
        <x:v>0</x:v>
      </x:c>
    </x:row>
    <x:row r="173">
      <x:c r="A173" s="24" t="n">
        <x:f>Model_Data!A173</x:f>
        <x:v>25.5</x:v>
      </x:c>
      <x:c r="B173" s="24" t="n">
        <x:f>Model_Data!Y173</x:f>
        <x:v>390.15691093629596</x:v>
      </x:c>
      <x:c r="C173" s="24" t="n">
        <x:f>Model_Data!X173</x:f>
        <x:v>67.90188044896082</x:v>
      </x:c>
      <x:c r="D173" s="24" t="n">
        <x:f>Model_Data!B173</x:f>
        <x:v>400.7225</x:v>
      </x:c>
      <x:c r="E173" s="24" t="n">
        <x:f>Inputs!$C$6</x:f>
        <x:v>25</x:v>
      </x:c>
      <x:c r="F173" s="24" t="n">
        <x:f>Subsurface_Inputs!$C$5+Subsurface_Inputs!$C$6*SIN(2*PI()*(A173+Subsurface_Inputs!$C$7)/Subsurface_Inputs!$C$8)+Subsurface_Inputs!$C$9*COS(2*PI()*A173/Subsurface_Inputs!$C$10)+Subsurface_Inputs!$C$11*(B173-AVERAGE($B$2:$B$242))</x:f>
        <x:v>1067.3336673059068</x:v>
      </x:c>
      <x:c r="G173" s="24" t="n">
        <x:f>B173-F173</x:f>
        <x:v>-677.1767563696109</x:v>
      </x:c>
      <x:c r="H173" s="24" t="n">
        <x:f>MIN(1,MAX(0,Subsurface_Inputs!$C$13*EXP(-0.5*((A173-Subsurface_Inputs!$C$14)/Subsurface_Inputs!$C$15)^2)+Subsurface_Inputs!$C$16*EXP(-0.5*((A173-Subsurface_Inputs!$C$17)/Subsurface_Inputs!$C$18)^2)))</x:f>
        <x:v>0.597577993124349</x:v>
      </x:c>
      <x:c r="I173" s="24" t="n">
        <x:f>Subsurface_Inputs!$C$19+Subsurface_Inputs!$C$20*SIN(2*PI()*(A173-Subsurface_Inputs!$C$21)/Subsurface_Inputs!$C$22)-Subsurface_Inputs!$C$23*H173</x:f>
        <x:v>5475.055498265701</x:v>
      </x:c>
      <x:c r="J173" s="24" t="n">
        <x:f>B173-I173</x:f>
        <x:v>-5084.898587329405</x:v>
      </x:c>
      <x:c r="K173" s="24" t="n">
        <x:f>Subsurface_Inputs!$C$25+Subsurface_Inputs!$C$26*SIN(2*PI()*(A173+Subsurface_Inputs!$C$27)/Subsurface_Inputs!$C$28)+Subsurface_Inputs!$C$29*COS(2*PI()*(A173-Subsurface_Inputs!$C$30)/Subsurface_Inputs!$C$31)-Subsurface_Inputs!$C$32*(B173-AVERAGE($B$2:$B$242))</x:f>
        <x:v>15438.185629581796</x:v>
      </x:c>
      <x:c r="L173" s="24" t="n">
        <x:f>B173-K173</x:f>
        <x:v>-15048.0287186455</x:v>
      </x:c>
      <x:c r="M173" s="24" t="n">
        <x:f>2*Subsurface_Inputs!$C$34*F173/Subsurface_Inputs!$C$35*1000000</x:f>
        <x:v>12.674461128735361</x:v>
      </x:c>
      <x:c r="N173" s="24" t="n">
        <x:f>2*Subsurface_Inputs!$C$34*I173/Subsurface_Inputs!$C$35*1000000</x:f>
        <x:v>65.01563683041651</x:v>
      </x:c>
      <x:c r="O173" s="24" t="n">
        <x:f>2*Subsurface_Inputs!$C$34*K173/Subsurface_Inputs!$C$35*1000000</x:f>
        <x:v>183.32662938875933</x:v>
      </x:c>
      <x:c r="P173" s="24" t="n">
        <x:f>Subsurface_Inputs!$C$37-2*Subsurface_Inputs!$C$36*(F173/1000)</x:f>
        <x:v>-11.921200601150632</x:v>
      </x:c>
      <x:c r="Q173" s="24" t="n">
        <x:f>Subsurface_Inputs!$C$38+Subsurface_Inputs!$C$39*H173-2*Subsurface_Inputs!$C$36*(I173/1000)</x:f>
        <x:v>-28.47689795875912</x:v>
      </x:c>
      <x:c r="R173" s="24" t="n">
        <x:f>Subsurface_Inputs!$C$40-2*Subsurface_Inputs!$C$36*(K173/1000)-Subsurface_Inputs!$C$41*ABS(L173-AVERAGE($L$2:$L$242))</x:f>
        <x:v>-34.933018493857865</x:v>
      </x:c>
      <x:c r="S173" s="24" t="n">
        <x:f>K173-AVERAGE($K$2:$K$242)</x:f>
        <x:v>360.800934007686</x:v>
      </x:c>
      <x:c r="T173" s="24" t="n">
        <x:f>K173/F173</x:f>
        <x:v>14.46425434002269</x:v>
      </x:c>
      <x:c r="U173" s="25" t="str">
        <x:f>IF(H173&gt;=Subsurface_Inputs!$C$42,"Lens visible","Weak/no lens")</x:f>
        <x:v>Lens visible</x:v>
      </x:c>
      <x:c r="V173" s="25" t="str">
        <x:f>IF(R173&gt;=W173,"Likely visible","Weak")</x:f>
        <x:v>Likely visible</x:v>
      </x:c>
      <x:c r="W173" s="24" t="n">
        <x:f>Subsurface_Inputs!$C$43</x:f>
        <x:v>-45</x:v>
      </x:c>
      <x:c r="X173" s="24" t="n">
        <x:f>Q173-W173</x:f>
        <x:v>16.52310204124088</x:v>
      </x:c>
      <x:c r="Y173" s="24" t="n">
        <x:f>R173-W173</x:f>
        <x:v>10.066981506142135</x:v>
      </x:c>
      <x:c r="Z173" s="24" t="n">
        <x:f>MAX(Q173,R173)-W173</x:f>
        <x:v>16.52310204124088</x:v>
      </x:c>
      <x:c r="AA173" s="24" t="n">
        <x:v>0</x:v>
      </x:c>
    </x:row>
    <x:row r="174">
      <x:c r="A174" s="24" t="n">
        <x:f>Model_Data!A174</x:f>
        <x:v>26</x:v>
      </x:c>
      <x:c r="B174" s="24" t="n">
        <x:f>Model_Data!Y174</x:f>
        <x:v>387.3749410180904</x:v>
      </x:c>
      <x:c r="C174" s="24" t="n">
        <x:f>Model_Data!X174</x:f>
        <x:v>65.03267186217182</x:v>
      </x:c>
      <x:c r="D174" s="24" t="n">
        <x:f>Model_Data!B174</x:f>
        <x:v>400.75111111111113</x:v>
      </x:c>
      <x:c r="E174" s="24" t="n">
        <x:f>Inputs!$C$6</x:f>
        <x:v>25</x:v>
      </x:c>
      <x:c r="F174" s="24" t="n">
        <x:f>Subsurface_Inputs!$C$5+Subsurface_Inputs!$C$6*SIN(2*PI()*(A174+Subsurface_Inputs!$C$7)/Subsurface_Inputs!$C$8)+Subsurface_Inputs!$C$9*COS(2*PI()*A174/Subsurface_Inputs!$C$10)+Subsurface_Inputs!$C$11*(B174-AVERAGE($B$2:$B$242))</x:f>
        <x:v>1068.7380663557071</x:v>
      </x:c>
      <x:c r="G174" s="24" t="n">
        <x:f>B174-F174</x:f>
        <x:v>-681.3631253376168</x:v>
      </x:c>
      <x:c r="H174" s="24" t="n">
        <x:f>MIN(1,MAX(0,Subsurface_Inputs!$C$13*EXP(-0.5*((A174-Subsurface_Inputs!$C$14)/Subsurface_Inputs!$C$15)^2)+Subsurface_Inputs!$C$16*EXP(-0.5*((A174-Subsurface_Inputs!$C$17)/Subsurface_Inputs!$C$18)^2)))</x:f>
        <x:v>0.6177513721297303</x:v>
      </x:c>
      <x:c r="I174" s="24" t="n">
        <x:f>Subsurface_Inputs!$C$19+Subsurface_Inputs!$C$20*SIN(2*PI()*(A174-Subsurface_Inputs!$C$21)/Subsurface_Inputs!$C$22)-Subsurface_Inputs!$C$23*H174</x:f>
        <x:v>5471.358084835286</x:v>
      </x:c>
      <x:c r="J174" s="24" t="n">
        <x:f>B174-I174</x:f>
        <x:v>-5083.983143817195</x:v>
      </x:c>
      <x:c r="K174" s="24" t="n">
        <x:f>Subsurface_Inputs!$C$25+Subsurface_Inputs!$C$26*SIN(2*PI()*(A174+Subsurface_Inputs!$C$27)/Subsurface_Inputs!$C$28)+Subsurface_Inputs!$C$29*COS(2*PI()*(A174-Subsurface_Inputs!$C$30)/Subsurface_Inputs!$C$31)-Subsurface_Inputs!$C$32*(B174-AVERAGE($B$2:$B$242))</x:f>
        <x:v>15409.145316242713</x:v>
      </x:c>
      <x:c r="L174" s="24" t="n">
        <x:f>B174-K174</x:f>
        <x:v>-15021.770375224623</x:v>
      </x:c>
      <x:c r="M174" s="24" t="n">
        <x:f>2*Subsurface_Inputs!$C$34*F174/Subsurface_Inputs!$C$35*1000000</x:f>
        <x:v>12.691138201436399</x:v>
      </x:c>
      <x:c r="N174" s="24" t="n">
        <x:f>2*Subsurface_Inputs!$C$34*I174/Subsurface_Inputs!$C$35*1000000</x:f>
        <x:v>64.97173048300509</x:v>
      </x:c>
      <x:c r="O174" s="24" t="n">
        <x:f>2*Subsurface_Inputs!$C$34*K174/Subsurface_Inputs!$C$35*1000000</x:f>
        <x:v>182.98177910074062</x:v>
      </x:c>
      <x:c r="P174" s="24" t="n">
        <x:f>Subsurface_Inputs!$C$37-2*Subsurface_Inputs!$C$36*(F174/1000)</x:f>
        <x:v>-11.923728519440273</x:v>
      </x:c>
      <x:c r="Q174" s="24" t="n">
        <x:f>Subsurface_Inputs!$C$38+Subsurface_Inputs!$C$39*H174-2*Subsurface_Inputs!$C$36*(I174/1000)</x:f>
        <x:v>-28.288682203535945</x:v>
      </x:c>
      <x:c r="R174" s="24" t="n">
        <x:f>Subsurface_Inputs!$C$40-2*Subsurface_Inputs!$C$36*(K174/1000)-Subsurface_Inputs!$C$41*ABS(L174-AVERAGE($L$2:$L$242))</x:f>
        <x:v>-34.775712556164</x:v>
      </x:c>
      <x:c r="S174" s="24" t="n">
        <x:f>K174-AVERAGE($K$2:$K$242)</x:f>
        <x:v>331.7606206686032</x:v>
      </x:c>
      <x:c r="T174" s="24" t="n">
        <x:f>K174/F174</x:f>
        <x:v>14.418074738168913</x:v>
      </x:c>
      <x:c r="U174" s="25" t="str">
        <x:f>IF(H174&gt;=Subsurface_Inputs!$C$42,"Lens visible","Weak/no lens")</x:f>
        <x:v>Lens visible</x:v>
      </x:c>
      <x:c r="V174" s="25" t="str">
        <x:f>IF(R174&gt;=W174,"Likely visible","Weak")</x:f>
        <x:v>Likely visible</x:v>
      </x:c>
      <x:c r="W174" s="24" t="n">
        <x:f>Subsurface_Inputs!$C$43</x:f>
        <x:v>-45</x:v>
      </x:c>
      <x:c r="X174" s="24" t="n">
        <x:f>Q174-W174</x:f>
        <x:v>16.711317796464055</x:v>
      </x:c>
      <x:c r="Y174" s="24" t="n">
        <x:f>R174-W174</x:f>
        <x:v>10.224287443835998</x:v>
      </x:c>
      <x:c r="Z174" s="24" t="n">
        <x:f>MAX(Q174,R174)-W174</x:f>
        <x:v>16.711317796464055</x:v>
      </x:c>
      <x:c r="AA174" s="24" t="n">
        <x:v>0</x:v>
      </x:c>
    </x:row>
    <x:row r="175">
      <x:c r="A175" s="24" t="n">
        <x:f>Model_Data!A175</x:f>
        <x:v>26.5</x:v>
      </x:c>
      <x:c r="B175" s="24" t="n">
        <x:f>Model_Data!Y175</x:f>
        <x:v>383.48713922986474</x:v>
      </x:c>
      <x:c r="C175" s="24" t="n">
        <x:f>Model_Data!X175</x:f>
        <x:v>69.51659821200863</x:v>
      </x:c>
      <x:c r="D175" s="24" t="n">
        <x:f>Model_Data!B175</x:f>
        <x:v>400.78027777777777</x:v>
      </x:c>
      <x:c r="E175" s="24" t="n">
        <x:f>Inputs!$C$6</x:f>
        <x:v>25</x:v>
      </x:c>
      <x:c r="F175" s="24" t="n">
        <x:f>Subsurface_Inputs!$C$5+Subsurface_Inputs!$C$6*SIN(2*PI()*(A175+Subsurface_Inputs!$C$7)/Subsurface_Inputs!$C$8)+Subsurface_Inputs!$C$9*COS(2*PI()*A175/Subsurface_Inputs!$C$10)+Subsurface_Inputs!$C$11*(B175-AVERAGE($B$2:$B$242))</x:f>
        <x:v>1070.0349227200634</x:v>
      </x:c>
      <x:c r="G175" s="24" t="n">
        <x:f>B175-F175</x:f>
        <x:v>-686.5477834901986</x:v>
      </x:c>
      <x:c r="H175" s="24" t="n">
        <x:f>MIN(1,MAX(0,Subsurface_Inputs!$C$13*EXP(-0.5*((A175-Subsurface_Inputs!$C$14)/Subsurface_Inputs!$C$15)^2)+Subsurface_Inputs!$C$16*EXP(-0.5*((A175-Subsurface_Inputs!$C$17)/Subsurface_Inputs!$C$18)^2)))</x:f>
        <x:v>0.6361163832127849</x:v>
      </x:c>
      <x:c r="I175" s="24" t="n">
        <x:f>Subsurface_Inputs!$C$19+Subsurface_Inputs!$C$20*SIN(2*PI()*(A175-Subsurface_Inputs!$C$21)/Subsurface_Inputs!$C$22)-Subsurface_Inputs!$C$23*H175</x:f>
        <x:v>5467.332068028932</x:v>
      </x:c>
      <x:c r="J175" s="24" t="n">
        <x:f>B175-I175</x:f>
        <x:v>-5083.844928799067</x:v>
      </x:c>
      <x:c r="K175" s="24" t="n">
        <x:f>Subsurface_Inputs!$C$25+Subsurface_Inputs!$C$26*SIN(2*PI()*(A175+Subsurface_Inputs!$C$27)/Subsurface_Inputs!$C$28)+Subsurface_Inputs!$C$29*COS(2*PI()*(A175-Subsurface_Inputs!$C$30)/Subsurface_Inputs!$C$31)-Subsurface_Inputs!$C$32*(B175-AVERAGE($B$2:$B$242))</x:f>
        <x:v>15380.200342679758</x:v>
      </x:c>
      <x:c r="L175" s="24" t="n">
        <x:f>B175-K175</x:f>
        <x:v>-14996.713203449894</x:v>
      </x:c>
      <x:c r="M175" s="24" t="n">
        <x:f>2*Subsurface_Inputs!$C$34*F175/Subsurface_Inputs!$C$35*1000000</x:f>
        <x:v>12.706538217460512</x:v>
      </x:c>
      <x:c r="N175" s="24" t="n">
        <x:f>2*Subsurface_Inputs!$C$34*I175/Subsurface_Inputs!$C$35*1000000</x:f>
        <x:v>64.92392200934886</x:v>
      </x:c>
      <x:c r="O175" s="24" t="n">
        <x:f>2*Subsurface_Inputs!$C$34*K175/Subsurface_Inputs!$C$35*1000000</x:f>
        <x:v>182.6380609612932</x:v>
      </x:c>
      <x:c r="P175" s="24" t="n">
        <x:f>Subsurface_Inputs!$C$37-2*Subsurface_Inputs!$C$36*(F175/1000)</x:f>
        <x:v>-11.926062860896113</x:v>
      </x:c>
      <x:c r="Q175" s="24" t="n">
        <x:f>Subsurface_Inputs!$C$38+Subsurface_Inputs!$C$39*H175-2*Subsurface_Inputs!$C$36*(I175/1000)</x:f>
        <x:v>-28.116150273537016</x:v>
      </x:c>
      <x:c r="R175" s="24" t="n">
        <x:f>Subsurface_Inputs!$C$40-2*Subsurface_Inputs!$C$36*(K175/1000)-Subsurface_Inputs!$C$41*ABS(L175-AVERAGE($L$2:$L$242))</x:f>
        <x:v>-34.62338291665177</x:v>
      </x:c>
      <x:c r="S175" s="24" t="n">
        <x:f>K175-AVERAGE($K$2:$K$242)</x:f>
        <x:v>302.81564710564817</x:v>
      </x:c>
      <x:c r="T175" s="24" t="n">
        <x:f>K175/F175</x:f>
        <x:v>14.37354988712218</x:v>
      </x:c>
      <x:c r="U175" s="25" t="str">
        <x:f>IF(H175&gt;=Subsurface_Inputs!$C$42,"Lens visible","Weak/no lens")</x:f>
        <x:v>Lens visible</x:v>
      </x:c>
      <x:c r="V175" s="25" t="str">
        <x:f>IF(R175&gt;=W175,"Likely visible","Weak")</x:f>
        <x:v>Likely visible</x:v>
      </x:c>
      <x:c r="W175" s="24" t="n">
        <x:f>Subsurface_Inputs!$C$43</x:f>
        <x:v>-45</x:v>
      </x:c>
      <x:c r="X175" s="24" t="n">
        <x:f>Q175-W175</x:f>
        <x:v>16.883849726462984</x:v>
      </x:c>
      <x:c r="Y175" s="24" t="n">
        <x:f>R175-W175</x:f>
        <x:v>10.37661708334823</x:v>
      </x:c>
      <x:c r="Z175" s="24" t="n">
        <x:f>MAX(Q175,R175)-W175</x:f>
        <x:v>16.883849726462984</x:v>
      </x:c>
      <x:c r="AA175" s="24" t="n">
        <x:v>0</x:v>
      </x:c>
    </x:row>
    <x:row r="176">
      <x:c r="A176" s="24" t="n">
        <x:f>Model_Data!A176</x:f>
        <x:v>27</x:v>
      </x:c>
      <x:c r="B176" s="24" t="n">
        <x:f>Model_Data!Y176</x:f>
        <x:v>346.2287328646241</x:v>
      </x:c>
      <x:c r="C176" s="24" t="n">
        <x:f>Model_Data!X176</x:f>
        <x:v>64.45446968061479</x:v>
      </x:c>
      <x:c r="D176" s="24" t="n">
        <x:f>Model_Data!B176</x:f>
        <x:v>400.81</x:v>
      </x:c>
      <x:c r="E176" s="24" t="n">
        <x:f>Inputs!$C$6</x:f>
        <x:v>25</x:v>
      </x:c>
      <x:c r="F176" s="24" t="n">
        <x:f>Subsurface_Inputs!$C$5+Subsurface_Inputs!$C$6*SIN(2*PI()*(A176+Subsurface_Inputs!$C$7)/Subsurface_Inputs!$C$8)+Subsurface_Inputs!$C$9*COS(2*PI()*A176/Subsurface_Inputs!$C$10)+Subsurface_Inputs!$C$11*(B176-AVERAGE($B$2:$B$242))</x:f>
        <x:v>1070.008330851856</x:v>
      </x:c>
      <x:c r="G176" s="24" t="n">
        <x:f>B176-F176</x:f>
        <x:v>-723.7795979872319</x:v>
      </x:c>
      <x:c r="H176" s="24" t="n">
        <x:f>MIN(1,MAX(0,Subsurface_Inputs!$C$13*EXP(-0.5*((A176-Subsurface_Inputs!$C$14)/Subsurface_Inputs!$C$15)^2)+Subsurface_Inputs!$C$16*EXP(-0.5*((A176-Subsurface_Inputs!$C$17)/Subsurface_Inputs!$C$18)^2)))</x:f>
        <x:v>0.652473881254838</x:v>
      </x:c>
      <x:c r="I176" s="24" t="n">
        <x:f>Subsurface_Inputs!$C$19+Subsurface_Inputs!$C$20*SIN(2*PI()*(A176-Subsurface_Inputs!$C$21)/Subsurface_Inputs!$C$22)-Subsurface_Inputs!$C$23*H176</x:f>
        <x:v>5463.024682645259</x:v>
      </x:c>
      <x:c r="J176" s="24" t="n">
        <x:f>B176-I176</x:f>
        <x:v>-5116.795949780635</x:v>
      </x:c>
      <x:c r="K176" s="24" t="n">
        <x:f>Subsurface_Inputs!$C$25+Subsurface_Inputs!$C$26*SIN(2*PI()*(A176+Subsurface_Inputs!$C$27)/Subsurface_Inputs!$C$28)+Subsurface_Inputs!$C$29*COS(2*PI()*(A176-Subsurface_Inputs!$C$30)/Subsurface_Inputs!$C$31)-Subsurface_Inputs!$C$32*(B176-AVERAGE($B$2:$B$242))</x:f>
        <x:v>15355.916304404951</x:v>
      </x:c>
      <x:c r="L176" s="24" t="n">
        <x:f>B176-K176</x:f>
        <x:v>-15009.687571540328</x:v>
      </x:c>
      <x:c r="M176" s="24" t="n">
        <x:f>2*Subsurface_Inputs!$C$34*F176/Subsurface_Inputs!$C$35*1000000</x:f>
        <x:v>12.706222442169</x:v>
      </x:c>
      <x:c r="N176" s="24" t="n">
        <x:f>2*Subsurface_Inputs!$C$34*I176/Subsurface_Inputs!$C$35*1000000</x:f>
        <x:v>64.87277231709785</x:v>
      </x:c>
      <x:c r="O176" s="24" t="n">
        <x:f>2*Subsurface_Inputs!$C$34*K176/Subsurface_Inputs!$C$35*1000000</x:f>
        <x:v>182.34969087741902</x:v>
      </x:c>
      <x:c r="P176" s="24" t="n">
        <x:f>Subsurface_Inputs!$C$37-2*Subsurface_Inputs!$C$36*(F176/1000)</x:f>
        <x:v>-11.926014995533341</x:v>
      </x:c>
      <x:c r="Q176" s="24" t="n">
        <x:f>Subsurface_Inputs!$C$38+Subsurface_Inputs!$C$39*H176-2*Subsurface_Inputs!$C$36*(I176/1000)</x:f>
        <x:v>-27.961179497467924</x:v>
      </x:c>
      <x:c r="R176" s="24" t="n">
        <x:f>Subsurface_Inputs!$C$40-2*Subsurface_Inputs!$C$36*(K176/1000)-Subsurface_Inputs!$C$41*ABS(L176-AVERAGE($L$2:$L$242))</x:f>
        <x:v>-34.631569120118854</x:v>
      </x:c>
      <x:c r="S176" s="24" t="n">
        <x:f>K176-AVERAGE($K$2:$K$242)</x:f>
        <x:v>278.5316088308409</x:v>
      </x:c>
      <x:c r="T176" s="24" t="n">
        <x:f>K176/F176</x:f>
        <x:v>14.351211912695844</x:v>
      </x:c>
      <x:c r="U176" s="25" t="str">
        <x:f>IF(H176&gt;=Subsurface_Inputs!$C$42,"Lens visible","Weak/no lens")</x:f>
        <x:v>Lens visible</x:v>
      </x:c>
      <x:c r="V176" s="25" t="str">
        <x:f>IF(R176&gt;=W176,"Likely visible","Weak")</x:f>
        <x:v>Likely visible</x:v>
      </x:c>
      <x:c r="W176" s="24" t="n">
        <x:f>Subsurface_Inputs!$C$43</x:f>
        <x:v>-45</x:v>
      </x:c>
      <x:c r="X176" s="24" t="n">
        <x:f>Q176-W176</x:f>
        <x:v>17.038820502532076</x:v>
      </x:c>
      <x:c r="Y176" s="24" t="n">
        <x:f>R176-W176</x:f>
        <x:v>10.368430879881146</x:v>
      </x:c>
      <x:c r="Z176" s="24" t="n">
        <x:f>MAX(Q176,R176)-W176</x:f>
        <x:v>17.038820502532076</x:v>
      </x:c>
      <x:c r="AA176" s="24" t="n">
        <x:v>0</x:v>
      </x:c>
    </x:row>
    <x:row r="177">
      <x:c r="A177" s="24" t="n">
        <x:f>Model_Data!A177</x:f>
        <x:v>27.5</x:v>
      </x:c>
      <x:c r="B177" s="24" t="n">
        <x:f>Model_Data!Y177</x:f>
        <x:v>337.0351401860322</x:v>
      </x:c>
      <x:c r="C177" s="24" t="n">
        <x:f>Model_Data!X177</x:f>
        <x:v>45.78588130375909</x:v>
      </x:c>
      <x:c r="D177" s="24" t="n">
        <x:f>Model_Data!B177</x:f>
        <x:v>400.84027777777777</x:v>
      </x:c>
      <x:c r="E177" s="24" t="n">
        <x:f>Inputs!$C$6</x:f>
        <x:v>25</x:v>
      </x:c>
      <x:c r="F177" s="24" t="n">
        <x:f>Subsurface_Inputs!$C$5+Subsurface_Inputs!$C$6*SIN(2*PI()*(A177+Subsurface_Inputs!$C$7)/Subsurface_Inputs!$C$8)+Subsurface_Inputs!$C$9*COS(2*PI()*A177/Subsurface_Inputs!$C$10)+Subsurface_Inputs!$C$11*(B177-AVERAGE($B$2:$B$242))</x:f>
        <x:v>1071.1987313570523</x:v>
      </x:c>
      <x:c r="G177" s="24" t="n">
        <x:f>B177-F177</x:f>
        <x:v>-734.1635911710201</x:v>
      </x:c>
      <x:c r="H177" s="24" t="n">
        <x:f>MIN(1,MAX(0,Subsurface_Inputs!$C$13*EXP(-0.5*((A177-Subsurface_Inputs!$C$14)/Subsurface_Inputs!$C$15)^2)+Subsurface_Inputs!$C$16*EXP(-0.5*((A177-Subsurface_Inputs!$C$17)/Subsurface_Inputs!$C$18)^2)))</x:f>
        <x:v>0.6666430135473501</x:v>
      </x:c>
      <x:c r="I177" s="24" t="n">
        <x:f>Subsurface_Inputs!$C$19+Subsurface_Inputs!$C$20*SIN(2*PI()*(A177-Subsurface_Inputs!$C$21)/Subsurface_Inputs!$C$22)-Subsurface_Inputs!$C$23*H177</x:f>
        <x:v>5458.4798933641805</x:v>
      </x:c>
      <x:c r="J177" s="24" t="n">
        <x:f>B177-I177</x:f>
        <x:v>-5121.444753178148</x:v>
      </x:c>
      <x:c r="K177" s="24" t="n">
        <x:f>Subsurface_Inputs!$C$25+Subsurface_Inputs!$C$26*SIN(2*PI()*(A177+Subsurface_Inputs!$C$27)/Subsurface_Inputs!$C$28)+Subsurface_Inputs!$C$29*COS(2*PI()*(A177-Subsurface_Inputs!$C$30)/Subsurface_Inputs!$C$31)-Subsurface_Inputs!$C$32*(B177-AVERAGE($B$2:$B$242))</x:f>
        <x:v>15327.740262481037</x:v>
      </x:c>
      <x:c r="L177" s="24" t="n">
        <x:f>B177-K177</x:f>
        <x:v>-14990.705122295005</x:v>
      </x:c>
      <x:c r="M177" s="24" t="n">
        <x:f>2*Subsurface_Inputs!$C$34*F177/Subsurface_Inputs!$C$35*1000000</x:f>
        <x:v>12.720358307449837</x:v>
      </x:c>
      <x:c r="N177" s="24" t="n">
        <x:f>2*Subsurface_Inputs!$C$34*I177/Subsurface_Inputs!$C$35*1000000</x:f>
        <x:v>64.81880348162889</x:v>
      </x:c>
      <x:c r="O177" s="24" t="n">
        <x:f>2*Subsurface_Inputs!$C$34*K177/Subsurface_Inputs!$C$35*1000000</x:f>
        <x:v>182.0151037102891</x:v>
      </x:c>
      <x:c r="P177" s="24" t="n">
        <x:f>Subsurface_Inputs!$C$37-2*Subsurface_Inputs!$C$36*(F177/1000)</x:f>
        <x:v>-11.928157716442694</x:v>
      </x:c>
      <x:c r="Q177" s="24" t="n">
        <x:f>Subsurface_Inputs!$C$38+Subsurface_Inputs!$C$39*H177-2*Subsurface_Inputs!$C$36*(I177/1000)</x:f>
        <x:v>-27.825476686129374</x:v>
      </x:c>
      <x:c r="R177" s="24" t="n">
        <x:f>Subsurface_Inputs!$C$40-2*Subsurface_Inputs!$C$36*(K177/1000)-Subsurface_Inputs!$C$41*ABS(L177-AVERAGE($L$2:$L$242))</x:f>
        <x:v>-34.50492244767451</x:v>
      </x:c>
      <x:c r="S177" s="24" t="n">
        <x:f>K177-AVERAGE($K$2:$K$242)</x:f>
        <x:v>250.35556690692647</x:v>
      </x:c>
      <x:c r="T177" s="24" t="n">
        <x:f>K177/F177</x:f>
        <x:v>14.308960432638889</x:v>
      </x:c>
      <x:c r="U177" s="25" t="str">
        <x:f>IF(H177&gt;=Subsurface_Inputs!$C$42,"Lens visible","Weak/no lens")</x:f>
        <x:v>Lens visible</x:v>
      </x:c>
      <x:c r="V177" s="25" t="str">
        <x:f>IF(R177&gt;=W177,"Likely visible","Weak")</x:f>
        <x:v>Likely visible</x:v>
      </x:c>
      <x:c r="W177" s="24" t="n">
        <x:f>Subsurface_Inputs!$C$43</x:f>
        <x:v>-45</x:v>
      </x:c>
      <x:c r="X177" s="24" t="n">
        <x:f>Q177-W177</x:f>
        <x:v>17.174523313870626</x:v>
      </x:c>
      <x:c r="Y177" s="24" t="n">
        <x:f>R177-W177</x:f>
        <x:v>10.49507755232549</x:v>
      </x:c>
      <x:c r="Z177" s="24" t="n">
        <x:f>MAX(Q177,R177)-W177</x:f>
        <x:v>17.174523313870626</x:v>
      </x:c>
      <x:c r="AA177" s="24" t="n">
        <x:v>0</x:v>
      </x:c>
    </x:row>
    <x:row r="178">
      <x:c r="A178" s="24" t="n">
        <x:f>Model_Data!A178</x:f>
        <x:v>28</x:v>
      </x:c>
      <x:c r="B178" s="24" t="n">
        <x:f>Model_Data!Y178</x:f>
        <x:v>312.18369818898617</x:v>
      </x:c>
      <x:c r="C178" s="24" t="n">
        <x:f>Model_Data!X178</x:f>
        <x:v>58.94439177372493</x:v>
      </x:c>
      <x:c r="D178" s="24" t="n">
        <x:f>Model_Data!B178</x:f>
        <x:v>400.87111111111113</x:v>
      </x:c>
      <x:c r="E178" s="24" t="n">
        <x:f>Inputs!$C$6</x:f>
        <x:v>25</x:v>
      </x:c>
      <x:c r="F178" s="24" t="n">
        <x:f>Subsurface_Inputs!$C$5+Subsurface_Inputs!$C$6*SIN(2*PI()*(A178+Subsurface_Inputs!$C$7)/Subsurface_Inputs!$C$8)+Subsurface_Inputs!$C$9*COS(2*PI()*A178/Subsurface_Inputs!$C$10)+Subsurface_Inputs!$C$11*(B178-AVERAGE($B$2:$B$242))</x:f>
        <x:v>1071.9464167372869</x:v>
      </x:c>
      <x:c r="G178" s="24" t="n">
        <x:f>B178-F178</x:f>
        <x:v>-759.7627185483007</x:v>
      </x:c>
      <x:c r="H178" s="24" t="n">
        <x:f>MIN(1,MAX(0,Subsurface_Inputs!$C$13*EXP(-0.5*((A178-Subsurface_Inputs!$C$14)/Subsurface_Inputs!$C$15)^2)+Subsurface_Inputs!$C$16*EXP(-0.5*((A178-Subsurface_Inputs!$C$17)/Subsurface_Inputs!$C$18)^2)))</x:f>
        <x:v>0.6784645407551045</x:v>
      </x:c>
      <x:c r="I178" s="24" t="n">
        <x:f>Subsurface_Inputs!$C$19+Subsurface_Inputs!$C$20*SIN(2*PI()*(A178-Subsurface_Inputs!$C$21)/Subsurface_Inputs!$C$22)-Subsurface_Inputs!$C$23*H178</x:f>
        <x:v>5453.737596893806</x:v>
      </x:c>
      <x:c r="J178" s="24" t="n">
        <x:f>B178-I178</x:f>
        <x:v>-5141.553898704819</x:v>
      </x:c>
      <x:c r="K178" s="24" t="n">
        <x:f>Subsurface_Inputs!$C$25+Subsurface_Inputs!$C$26*SIN(2*PI()*(A178+Subsurface_Inputs!$C$27)/Subsurface_Inputs!$C$28)+Subsurface_Inputs!$C$29*COS(2*PI()*(A178-Subsurface_Inputs!$C$30)/Subsurface_Inputs!$C$31)-Subsurface_Inputs!$C$32*(B178-AVERAGE($B$2:$B$242))</x:f>
        <x:v>15301.840793373181</x:v>
      </x:c>
      <x:c r="L178" s="24" t="n">
        <x:f>B178-K178</x:f>
        <x:v>-14989.657095184195</x:v>
      </x:c>
      <x:c r="M178" s="24" t="n">
        <x:f>2*Subsurface_Inputs!$C$34*F178/Subsurface_Inputs!$C$35*1000000</x:f>
        <x:v>12.729236982955527</x:v>
      </x:c>
      <x:c r="N178" s="24" t="n">
        <x:f>2*Subsurface_Inputs!$C$34*I178/Subsurface_Inputs!$C$35*1000000</x:f>
        <x:v>64.76248927163454</x:v>
      </x:c>
      <x:c r="O178" s="24" t="n">
        <x:f>2*Subsurface_Inputs!$C$34*K178/Subsurface_Inputs!$C$35*1000000</x:f>
        <x:v>181.70755057623407</x:v>
      </x:c>
      <x:c r="P178" s="24" t="n">
        <x:f>Subsurface_Inputs!$C$37-2*Subsurface_Inputs!$C$36*(F178/1000)</x:f>
        <x:v>-11.929503550127116</x:v>
      </x:c>
      <x:c r="Q178" s="24" t="n">
        <x:f>Subsurface_Inputs!$C$38+Subsurface_Inputs!$C$39*H178-2*Subsurface_Inputs!$C$36*(I178/1000)</x:f>
        <x:v>-27.710546807612907</x:v>
      </x:c>
      <x:c r="R178" s="24" t="n">
        <x:f>Subsurface_Inputs!$C$40-2*Subsurface_Inputs!$C$36*(K178/1000)-Subsurface_Inputs!$C$41*ABS(L178-AVERAGE($L$2:$L$242))</x:f>
        <x:v>-34.45411129483713</x:v>
      </x:c>
      <x:c r="S178" s="24" t="n">
        <x:f>K178-AVERAGE($K$2:$K$242)</x:f>
        <x:v>224.45609779907136</x:v>
      </x:c>
      <x:c r="T178" s="24" t="n">
        <x:f>K178/F178</x:f>
        <x:v>14.274818735760897</x:v>
      </x:c>
      <x:c r="U178" s="25" t="str">
        <x:f>IF(H178&gt;=Subsurface_Inputs!$C$42,"Lens visible","Weak/no lens")</x:f>
        <x:v>Lens visible</x:v>
      </x:c>
      <x:c r="V178" s="25" t="str">
        <x:f>IF(R178&gt;=W178,"Likely visible","Weak")</x:f>
        <x:v>Likely visible</x:v>
      </x:c>
      <x:c r="W178" s="24" t="n">
        <x:f>Subsurface_Inputs!$C$43</x:f>
        <x:v>-45</x:v>
      </x:c>
      <x:c r="X178" s="24" t="n">
        <x:f>Q178-W178</x:f>
        <x:v>17.289453192387093</x:v>
      </x:c>
      <x:c r="Y178" s="24" t="n">
        <x:f>R178-W178</x:f>
        <x:v>10.545888705162866</x:v>
      </x:c>
      <x:c r="Z178" s="24" t="n">
        <x:f>MAX(Q178,R178)-W178</x:f>
        <x:v>17.289453192387093</x:v>
      </x:c>
      <x:c r="AA178" s="24" t="n">
        <x:v>0</x:v>
      </x:c>
    </x:row>
    <x:row r="179">
      <x:c r="A179" s="24" t="n">
        <x:f>Model_Data!A179</x:f>
        <x:v>28.5</x:v>
      </x:c>
      <x:c r="B179" s="24" t="n">
        <x:f>Model_Data!Y179</x:f>
        <x:v>310.4659866511931</x:v>
      </x:c>
      <x:c r="C179" s="24" t="n">
        <x:f>Model_Data!X179</x:f>
        <x:v>53.72705851492565</x:v>
      </x:c>
      <x:c r="D179" s="24" t="n">
        <x:f>Model_Data!B179</x:f>
        <x:v>400.9025</x:v>
      </x:c>
      <x:c r="E179" s="24" t="n">
        <x:f>Inputs!$C$6</x:f>
        <x:v>25</x:v>
      </x:c>
      <x:c r="F179" s="24" t="n">
        <x:f>Subsurface_Inputs!$C$5+Subsurface_Inputs!$C$6*SIN(2*PI()*(A179+Subsurface_Inputs!$C$7)/Subsurface_Inputs!$C$8)+Subsurface_Inputs!$C$9*COS(2*PI()*A179/Subsurface_Inputs!$C$10)+Subsurface_Inputs!$C$11*(B179-AVERAGE($B$2:$B$242))</x:f>
        <x:v>1073.8961015846771</x:v>
      </x:c>
      <x:c r="G179" s="24" t="n">
        <x:f>B179-F179</x:f>
        <x:v>-763.430114933484</x:v>
      </x:c>
      <x:c r="H179" s="24" t="n">
        <x:f>MIN(1,MAX(0,Subsurface_Inputs!$C$13*EXP(-0.5*((A179-Subsurface_Inputs!$C$14)/Subsurface_Inputs!$C$15)^2)+Subsurface_Inputs!$C$16*EXP(-0.5*((A179-Subsurface_Inputs!$C$17)/Subsurface_Inputs!$C$18)^2)))</x:f>
        <x:v>0.6878038113820307</x:v>
      </x:c>
      <x:c r="I179" s="24" t="n">
        <x:f>Subsurface_Inputs!$C$19+Subsurface_Inputs!$C$20*SIN(2*PI()*(A179-Subsurface_Inputs!$C$21)/Subsurface_Inputs!$C$22)-Subsurface_Inputs!$C$23*H179</x:f>
        <x:v>5448.8329056340945</x:v>
      </x:c>
      <x:c r="J179" s="24" t="n">
        <x:f>B179-I179</x:f>
        <x:v>-5138.366918982902</x:v>
      </x:c>
      <x:c r="K179" s="24" t="n">
        <x:f>Subsurface_Inputs!$C$25+Subsurface_Inputs!$C$26*SIN(2*PI()*(A179+Subsurface_Inputs!$C$27)/Subsurface_Inputs!$C$28)+Subsurface_Inputs!$C$29*COS(2*PI()*(A179-Subsurface_Inputs!$C$30)/Subsurface_Inputs!$C$31)-Subsurface_Inputs!$C$32*(B179-AVERAGE($B$2:$B$242))</x:f>
        <x:v>15272.833757183122</x:v>
      </x:c>
      <x:c r="L179" s="24" t="n">
        <x:f>B179-K179</x:f>
        <x:v>-14962.367770531928</x:v>
      </x:c>
      <x:c r="M179" s="24" t="n">
        <x:f>2*Subsurface_Inputs!$C$34*F179/Subsurface_Inputs!$C$35*1000000</x:f>
        <x:v>12.752389260044195</x:v>
      </x:c>
      <x:c r="N179" s="24" t="n">
        <x:f>2*Subsurface_Inputs!$C$34*I179/Subsurface_Inputs!$C$35*1000000</x:f>
        <x:v>64.70424664271367</x:v>
      </x:c>
      <x:c r="O179" s="24" t="n">
        <x:f>2*Subsurface_Inputs!$C$34*K179/Subsurface_Inputs!$C$35*1000000</x:f>
        <x:v>181.3630954504263</x:v>
      </x:c>
      <x:c r="P179" s="24" t="n">
        <x:f>Subsurface_Inputs!$C$37-2*Subsurface_Inputs!$C$36*(F179/1000)</x:f>
        <x:v>-11.933012982852418</x:v>
      </x:c>
      <x:c r="Q179" s="24" t="n">
        <x:f>Subsurface_Inputs!$C$38+Subsurface_Inputs!$C$39*H179-2*Subsurface_Inputs!$C$36*(I179/1000)</x:f>
        <x:v>-27.617664927703093</x:v>
      </x:c>
      <x:c r="R179" s="24" t="n">
        <x:f>Subsurface_Inputs!$C$40-2*Subsurface_Inputs!$C$36*(K179/1000)-Subsurface_Inputs!$C$41*ABS(L179-AVERAGE($L$2:$L$242))</x:f>
        <x:v>-34.29274133108596</x:v>
      </x:c>
      <x:c r="S179" s="24" t="n">
        <x:f>K179-AVERAGE($K$2:$K$242)</x:f>
        <x:v>195.44906160901155</x:v>
      </x:c>
      <x:c r="T179" s="24" t="n">
        <x:f>K179/F179</x:f>
        <x:v>14.221891423803491</x:v>
      </x:c>
      <x:c r="U179" s="25" t="str">
        <x:f>IF(H179&gt;=Subsurface_Inputs!$C$42,"Lens visible","Weak/no lens")</x:f>
        <x:v>Lens visible</x:v>
      </x:c>
      <x:c r="V179" s="25" t="str">
        <x:f>IF(R179&gt;=W179,"Likely visible","Weak")</x:f>
        <x:v>Likely visible</x:v>
      </x:c>
      <x:c r="W179" s="24" t="n">
        <x:f>Subsurface_Inputs!$C$43</x:f>
        <x:v>-45</x:v>
      </x:c>
      <x:c r="X179" s="24" t="n">
        <x:f>Q179-W179</x:f>
        <x:v>17.382335072296907</x:v>
      </x:c>
      <x:c r="Y179" s="24" t="n">
        <x:f>R179-W179</x:f>
        <x:v>10.707258668914037</x:v>
      </x:c>
      <x:c r="Z179" s="24" t="n">
        <x:f>MAX(Q179,R179)-W179</x:f>
        <x:v>17.382335072296907</x:v>
      </x:c>
      <x:c r="AA179" s="24" t="n">
        <x:v>0</x:v>
      </x:c>
    </x:row>
    <x:row r="180">
      <x:c r="A180" s="24" t="n">
        <x:f>Model_Data!A180</x:f>
        <x:v>29</x:v>
      </x:c>
      <x:c r="B180" s="24" t="n">
        <x:f>Model_Data!Y180</x:f>
        <x:v>283.98171018669603</x:v>
      </x:c>
      <x:c r="C180" s="24" t="n">
        <x:f>Model_Data!X180</x:f>
        <x:v>29.362157595592716</x:v>
      </x:c>
      <x:c r="D180" s="24" t="n">
        <x:f>Model_Data!B180</x:f>
        <x:v>400.93444444444447</x:v>
      </x:c>
      <x:c r="E180" s="24" t="n">
        <x:f>Inputs!$C$6</x:f>
        <x:v>25</x:v>
      </x:c>
      <x:c r="F180" s="24" t="n">
        <x:f>Subsurface_Inputs!$C$5+Subsurface_Inputs!$C$6*SIN(2*PI()*(A180+Subsurface_Inputs!$C$7)/Subsurface_Inputs!$C$8)+Subsurface_Inputs!$C$9*COS(2*PI()*A180/Subsurface_Inputs!$C$10)+Subsurface_Inputs!$C$11*(B180-AVERAGE($B$2:$B$242))</x:f>
        <x:v>1075.2262426635273</x:v>
      </x:c>
      <x:c r="G180" s="24" t="n">
        <x:f>B180-F180</x:f>
        <x:v>-791.2445324768312</x:v>
      </x:c>
      <x:c r="H180" s="24" t="n">
        <x:f>MIN(1,MAX(0,Subsurface_Inputs!$C$13*EXP(-0.5*((A180-Subsurface_Inputs!$C$14)/Subsurface_Inputs!$C$15)^2)+Subsurface_Inputs!$C$16*EXP(-0.5*((A180-Subsurface_Inputs!$C$17)/Subsurface_Inputs!$C$18)^2)))</x:f>
        <x:v>0.6945533119745639</x:v>
      </x:c>
      <x:c r="I180" s="24" t="n">
        <x:f>Subsurface_Inputs!$C$19+Subsurface_Inputs!$C$20*SIN(2*PI()*(A180-Subsurface_Inputs!$C$21)/Subsurface_Inputs!$C$22)-Subsurface_Inputs!$C$23*H180</x:f>
        <x:v>5443.795531524469</x:v>
      </x:c>
      <x:c r="J180" s="24" t="n">
        <x:f>B180-I180</x:f>
        <x:v>-5159.813821337773</x:v>
      </x:c>
      <x:c r="K180" s="24" t="n">
        <x:f>Subsurface_Inputs!$C$25+Subsurface_Inputs!$C$26*SIN(2*PI()*(A180+Subsurface_Inputs!$C$27)/Subsurface_Inputs!$C$28)+Subsurface_Inputs!$C$29*COS(2*PI()*(A180-Subsurface_Inputs!$C$30)/Subsurface_Inputs!$C$31)-Subsurface_Inputs!$C$32*(B180-AVERAGE($B$2:$B$242))</x:f>
        <x:v>15247.471049891155</x:v>
      </x:c>
      <x:c r="L180" s="24" t="n">
        <x:f>B180-K180</x:f>
        <x:v>-14963.48933970446</x:v>
      </x:c>
      <x:c r="M180" s="24" t="n">
        <x:f>2*Subsurface_Inputs!$C$34*F180/Subsurface_Inputs!$C$35*1000000</x:f>
        <x:v>12.768184528118308</x:v>
      </x:c>
      <x:c r="N180" s="24" t="n">
        <x:f>2*Subsurface_Inputs!$C$34*I180/Subsurface_Inputs!$C$35*1000000</x:f>
        <x:v>64.64442842063463</x:v>
      </x:c>
      <x:c r="O180" s="24" t="n">
        <x:f>2*Subsurface_Inputs!$C$34*K180/Subsurface_Inputs!$C$35*1000000</x:f>
        <x:v>181.0619162994838</x:v>
      </x:c>
      <x:c r="P180" s="24" t="n">
        <x:f>Subsurface_Inputs!$C$37-2*Subsurface_Inputs!$C$36*(F180/1000)</x:f>
        <x:v>-11.93540723679435</x:v>
      </x:c>
      <x:c r="Q180" s="24" t="n">
        <x:f>Subsurface_Inputs!$C$38+Subsurface_Inputs!$C$39*H180-2*Subsurface_Inputs!$C$36*(I180/1000)</x:f>
        <x:v>-27.54785214897297</x:v>
      </x:c>
      <x:c r="R180" s="24" t="n">
        <x:f>Subsurface_Inputs!$C$40-2*Subsurface_Inputs!$C$36*(K180/1000)-Subsurface_Inputs!$C$41*ABS(L180-AVERAGE($L$2:$L$242))</x:f>
        <x:v>-34.251574734650546</x:v>
      </x:c>
      <x:c r="S180" s="24" t="n">
        <x:f>K180-AVERAGE($K$2:$K$242)</x:f>
        <x:v>170.08635431704533</x:v>
      </x:c>
      <x:c r="T180" s="24" t="n">
        <x:f>K180/F180</x:f>
        <x:v>14.180709551992006</x:v>
      </x:c>
      <x:c r="U180" s="25" t="str">
        <x:f>IF(H180&gt;=Subsurface_Inputs!$C$42,"Lens visible","Weak/no lens")</x:f>
        <x:v>Lens visible</x:v>
      </x:c>
      <x:c r="V180" s="25" t="str">
        <x:f>IF(R180&gt;=W180,"Likely visible","Weak")</x:f>
        <x:v>Likely visible</x:v>
      </x:c>
      <x:c r="W180" s="24" t="n">
        <x:f>Subsurface_Inputs!$C$43</x:f>
        <x:v>-45</x:v>
      </x:c>
      <x:c r="X180" s="24" t="n">
        <x:f>Q180-W180</x:f>
        <x:v>17.45214785102703</x:v>
      </x:c>
      <x:c r="Y180" s="24" t="n">
        <x:f>R180-W180</x:f>
        <x:v>10.748425265349454</x:v>
      </x:c>
      <x:c r="Z180" s="24" t="n">
        <x:f>MAX(Q180,R180)-W180</x:f>
        <x:v>17.45214785102703</x:v>
      </x:c>
      <x:c r="AA180" s="24" t="n">
        <x:v>0</x:v>
      </x:c>
    </x:row>
    <x:row r="181">
      <x:c r="A181" s="24" t="n">
        <x:f>Model_Data!A181</x:f>
        <x:v>29.5</x:v>
      </x:c>
      <x:c r="B181" s="24" t="n">
        <x:f>Model_Data!Y181</x:f>
        <x:v>263.5246591496981</x:v>
      </x:c>
      <x:c r="C181" s="24" t="n">
        <x:f>Model_Data!X181</x:f>
        <x:v>20.4458299890095</x:v>
      </x:c>
      <x:c r="D181" s="24" t="n">
        <x:f>Model_Data!B181</x:f>
        <x:v>400.96694444444444</x:v>
      </x:c>
      <x:c r="E181" s="24" t="n">
        <x:f>Inputs!$C$6</x:f>
        <x:v>25</x:v>
      </x:c>
      <x:c r="F181" s="24" t="n">
        <x:f>Subsurface_Inputs!$C$5+Subsurface_Inputs!$C$6*SIN(2*PI()*(A181+Subsurface_Inputs!$C$7)/Subsurface_Inputs!$C$8)+Subsurface_Inputs!$C$9*COS(2*PI()*A181/Subsurface_Inputs!$C$10)+Subsurface_Inputs!$C$11*(B181-AVERAGE($B$2:$B$242))</x:f>
        <x:v>1077.2619790009558</x:v>
      </x:c>
      <x:c r="G181" s="24" t="n">
        <x:f>B181-F181</x:f>
        <x:v>-813.7373198512577</x:v>
      </x:c>
      <x:c r="H181" s="24" t="n">
        <x:f>MIN(1,MAX(0,Subsurface_Inputs!$C$13*EXP(-0.5*((A181-Subsurface_Inputs!$C$14)/Subsurface_Inputs!$C$15)^2)+Subsurface_Inputs!$C$16*EXP(-0.5*((A181-Subsurface_Inputs!$C$17)/Subsurface_Inputs!$C$18)^2)))</x:f>
        <x:v>0.6986347254395479</x:v>
      </x:c>
      <x:c r="I181" s="24" t="n">
        <x:f>Subsurface_Inputs!$C$19+Subsurface_Inputs!$C$20*SIN(2*PI()*(A181-Subsurface_Inputs!$C$21)/Subsurface_Inputs!$C$22)-Subsurface_Inputs!$C$23*H181</x:f>
        <x:v>5438.649286310954</x:v>
      </x:c>
      <x:c r="J181" s="24" t="n">
        <x:f>B181-I181</x:f>
        <x:v>-5175.124627161256</x:v>
      </x:c>
      <x:c r="K181" s="24" t="n">
        <x:f>Subsurface_Inputs!$C$25+Subsurface_Inputs!$C$26*SIN(2*PI()*(A181+Subsurface_Inputs!$C$27)/Subsurface_Inputs!$C$28)+Subsurface_Inputs!$C$29*COS(2*PI()*(A181-Subsurface_Inputs!$C$30)/Subsurface_Inputs!$C$31)-Subsurface_Inputs!$C$32*(B181-AVERAGE($B$2:$B$242))</x:f>
        <x:v>15221.486466946375</x:v>
      </x:c>
      <x:c r="L181" s="24" t="n">
        <x:f>B181-K181</x:f>
        <x:v>-14957.961807796677</x:v>
      </x:c>
      <x:c r="M181" s="24" t="n">
        <x:f>2*Subsurface_Inputs!$C$34*F181/Subsurface_Inputs!$C$35*1000000</x:f>
        <x:v>12.792358656478951</x:v>
      </x:c>
      <x:c r="N181" s="24" t="n">
        <x:f>2*Subsurface_Inputs!$C$34*I181/Subsurface_Inputs!$C$35*1000000</x:f>
        <x:v>64.58331736706664</x:v>
      </x:c>
      <x:c r="O181" s="24" t="n">
        <x:f>2*Subsurface_Inputs!$C$34*K181/Subsurface_Inputs!$C$35*1000000</x:f>
        <x:v>180.75335244867665</x:v>
      </x:c>
      <x:c r="P181" s="24" t="n">
        <x:f>Subsurface_Inputs!$C$37-2*Subsurface_Inputs!$C$36*(F181/1000)</x:f>
        <x:v>-11.93907156220172</x:v>
      </x:c>
      <x:c r="Q181" s="24" t="n">
        <x:f>Subsurface_Inputs!$C$38+Subsurface_Inputs!$C$39*H181-2*Subsurface_Inputs!$C$36*(I181/1000)</x:f>
        <x:v>-27.50185618640379</x:v>
      </x:c>
      <x:c r="R181" s="24" t="n">
        <x:f>Subsurface_Inputs!$C$40-2*Subsurface_Inputs!$C$36*(K181/1000)-Subsurface_Inputs!$C$41*ABS(L181-AVERAGE($L$2:$L$242))</x:f>
        <x:v>-34.182692357718814</x:v>
      </x:c>
      <x:c r="S181" s="24" t="n">
        <x:f>K181-AVERAGE($K$2:$K$242)</x:f>
        <x:v>144.10177137226492</x:v>
      </x:c>
      <x:c r="T181" s="24" t="n">
        <x:f>K181/F181</x:f>
        <x:v>14.129790862072994</x:v>
      </x:c>
      <x:c r="U181" s="25" t="str">
        <x:f>IF(H181&gt;=Subsurface_Inputs!$C$42,"Lens visible","Weak/no lens")</x:f>
        <x:v>Lens visible</x:v>
      </x:c>
      <x:c r="V181" s="25" t="str">
        <x:f>IF(R181&gt;=W181,"Likely visible","Weak")</x:f>
        <x:v>Likely visible</x:v>
      </x:c>
      <x:c r="W181" s="24" t="n">
        <x:f>Subsurface_Inputs!$C$43</x:f>
        <x:v>-45</x:v>
      </x:c>
      <x:c r="X181" s="24" t="n">
        <x:f>Q181-W181</x:f>
        <x:v>17.49814381359621</x:v>
      </x:c>
      <x:c r="Y181" s="24" t="n">
        <x:f>R181-W181</x:f>
        <x:v>10.817307642281186</x:v>
      </x:c>
      <x:c r="Z181" s="24" t="n">
        <x:f>MAX(Q181,R181)-W181</x:f>
        <x:v>17.49814381359621</x:v>
      </x:c>
      <x:c r="AA181" s="24" t="n">
        <x:v>0</x:v>
      </x:c>
    </x:row>
    <x:row r="182">
      <x:c r="A182" s="24" t="n">
        <x:f>Model_Data!A182</x:f>
        <x:v>30</x:v>
      </x:c>
      <x:c r="B182" s="24" t="n">
        <x:f>Model_Data!Y182</x:f>
        <x:v>258.3810354027646</x:v>
      </x:c>
      <x:c r="C182" s="24" t="n">
        <x:f>Model_Data!X182</x:f>
        <x:v>11.879118514207924</x:v>
      </x:c>
      <x:c r="D182" s="24" t="n">
        <x:f>Model_Data!B182</x:f>
        <x:v>401</x:v>
      </x:c>
      <x:c r="E182" s="24" t="n">
        <x:f>Inputs!$C$6</x:f>
        <x:v>25</x:v>
      </x:c>
      <x:c r="F182" s="24" t="n">
        <x:f>Subsurface_Inputs!$C$5+Subsurface_Inputs!$C$6*SIN(2*PI()*(A182+Subsurface_Inputs!$C$7)/Subsurface_Inputs!$C$8)+Subsurface_Inputs!$C$9*COS(2*PI()*A182/Subsurface_Inputs!$C$10)+Subsurface_Inputs!$C$11*(B182-AVERAGE($B$2:$B$242))</x:f>
        <x:v>1080.4645540968556</x:v>
      </x:c>
      <x:c r="G182" s="24" t="n">
        <x:f>B182-F182</x:f>
        <x:v>-822.083518694091</x:v>
      </x:c>
      <x:c r="H182" s="24" t="n">
        <x:f>MIN(1,MAX(0,Subsurface_Inputs!$C$13*EXP(-0.5*((A182-Subsurface_Inputs!$C$14)/Subsurface_Inputs!$C$15)^2)+Subsurface_Inputs!$C$16*EXP(-0.5*((A182-Subsurface_Inputs!$C$17)/Subsurface_Inputs!$C$18)^2)))</x:f>
        <x:v>0.700000442292993</x:v>
      </x:c>
      <x:c r="I182" s="24" t="n">
        <x:f>Subsurface_Inputs!$C$19+Subsurface_Inputs!$C$20*SIN(2*PI()*(A182-Subsurface_Inputs!$C$21)/Subsurface_Inputs!$C$22)-Subsurface_Inputs!$C$23*H182</x:f>
        <x:v>5433.411711485315</x:v>
      </x:c>
      <x:c r="J182" s="24" t="n">
        <x:f>B182-I182</x:f>
        <x:v>-5175.030676082551</x:v>
      </x:c>
      <x:c r="K182" s="24" t="n">
        <x:f>Subsurface_Inputs!$C$25+Subsurface_Inputs!$C$26*SIN(2*PI()*(A182+Subsurface_Inputs!$C$27)/Subsurface_Inputs!$C$28)+Subsurface_Inputs!$C$29*COS(2*PI()*(A182-Subsurface_Inputs!$C$30)/Subsurface_Inputs!$C$31)-Subsurface_Inputs!$C$32*(B182-AVERAGE($B$2:$B$242))</x:f>
        <x:v>15193.623838416177</x:v>
      </x:c>
      <x:c r="L182" s="24" t="n">
        <x:f>B182-K182</x:f>
        <x:v>-14935.242803013412</x:v>
      </x:c>
      <x:c r="M182" s="24" t="n">
        <x:f>2*Subsurface_Inputs!$C$34*F182/Subsurface_Inputs!$C$35*1000000</x:f>
        <x:v>12.830388857163332</x:v>
      </x:c>
      <x:c r="N182" s="24" t="n">
        <x:f>2*Subsurface_Inputs!$C$34*I182/Subsurface_Inputs!$C$35*1000000</x:f>
        <x:v>64.52112178515085</x:v>
      </x:c>
      <x:c r="O182" s="24" t="n">
        <x:f>2*Subsurface_Inputs!$C$34*K182/Subsurface_Inputs!$C$35*1000000</x:f>
        <x:v>180.42248702854823</x:v>
      </x:c>
      <x:c r="P182" s="24" t="n">
        <x:f>Subsurface_Inputs!$C$37-2*Subsurface_Inputs!$C$36*(F182/1000)</x:f>
        <x:v>-11.94483619737434</x:v>
      </x:c>
      <x:c r="Q182" s="24" t="n">
        <x:f>Subsurface_Inputs!$C$38+Subsurface_Inputs!$C$39*H182-2*Subsurface_Inputs!$C$36*(I182/1000)</x:f>
        <x:v>-27.48013710003663</x:v>
      </x:c>
      <x:c r="R182" s="24" t="n">
        <x:f>Subsurface_Inputs!$C$40-2*Subsurface_Inputs!$C$36*(K182/1000)-Subsurface_Inputs!$C$41*ABS(L182-AVERAGE($L$2:$L$242))</x:f>
        <x:v>-34.0416636072314</x:v>
      </x:c>
      <x:c r="S182" s="24" t="n">
        <x:f>K182-AVERAGE($K$2:$K$242)</x:f>
        <x:v>116.23914284206694</x:v>
      </x:c>
      <x:c r="T182" s="24" t="n">
        <x:f>K182/F182</x:f>
        <x:v>14.06212150209435</x:v>
      </x:c>
      <x:c r="U182" s="25" t="str">
        <x:f>IF(H182&gt;=Subsurface_Inputs!$C$42,"Lens visible","Weak/no lens")</x:f>
        <x:v>Lens visible</x:v>
      </x:c>
      <x:c r="V182" s="25" t="str">
        <x:f>IF(R182&gt;=W182,"Likely visible","Weak")</x:f>
        <x:v>Likely visible</x:v>
      </x:c>
      <x:c r="W182" s="24" t="n">
        <x:f>Subsurface_Inputs!$C$43</x:f>
        <x:v>-45</x:v>
      </x:c>
      <x:c r="X182" s="24" t="n">
        <x:f>Q182-W182</x:f>
        <x:v>17.51986289996337</x:v>
      </x:c>
      <x:c r="Y182" s="24" t="n">
        <x:f>R182-W182</x:f>
        <x:v>10.9583363927686</x:v>
      </x:c>
      <x:c r="Z182" s="24" t="n">
        <x:f>MAX(Q182,R182)-W182</x:f>
        <x:v>17.51986289996337</x:v>
      </x:c>
      <x:c r="AA182" s="24" t="n">
        <x:v>0</x:v>
      </x:c>
    </x:row>
    <x:row r="183">
      <x:c r="A183" s="24" t="n">
        <x:f>Model_Data!A183</x:f>
        <x:v>30.5</x:v>
      </x:c>
      <x:c r="B183" s="24" t="n">
        <x:f>Model_Data!Y183</x:f>
        <x:v>239.98613946224492</x:v>
      </x:c>
      <x:c r="C183" s="24" t="n">
        <x:f>Model_Data!X183</x:f>
        <x:v>4.284803604386864</x:v>
      </x:c>
      <x:c r="D183" s="24" t="n">
        <x:f>Model_Data!B183</x:f>
        <x:v>401.0336111111111</x:v>
      </x:c>
      <x:c r="E183" s="24" t="n">
        <x:f>Inputs!$C$6</x:f>
        <x:v>25</x:v>
      </x:c>
      <x:c r="F183" s="24" t="n">
        <x:f>Subsurface_Inputs!$C$5+Subsurface_Inputs!$C$6*SIN(2*PI()*(A183+Subsurface_Inputs!$C$7)/Subsurface_Inputs!$C$8)+Subsurface_Inputs!$C$9*COS(2*PI()*A183/Subsurface_Inputs!$C$10)+Subsurface_Inputs!$C$11*(B183-AVERAGE($B$2:$B$242))</x:f>
        <x:v>1083.7751111983594</x:v>
      </x:c>
      <x:c r="G183" s="24" t="n">
        <x:f>B183-F183</x:f>
        <x:v>-843.7889717361145</x:v>
      </x:c>
      <x:c r="H183" s="24" t="n">
        <x:f>MIN(1,MAX(0,Subsurface_Inputs!$C$13*EXP(-0.5*((A183-Subsurface_Inputs!$C$14)/Subsurface_Inputs!$C$15)^2)+Subsurface_Inputs!$C$16*EXP(-0.5*((A183-Subsurface_Inputs!$C$17)/Subsurface_Inputs!$C$18)^2)))</x:f>
        <x:v>0.698634483990851</x:v>
      </x:c>
      <x:c r="I183" s="24" t="n">
        <x:f>Subsurface_Inputs!$C$19+Subsurface_Inputs!$C$20*SIN(2*PI()*(A183-Subsurface_Inputs!$C$21)/Subsurface_Inputs!$C$22)-Subsurface_Inputs!$C$23*H183</x:f>
        <x:v>5428.09384771076</x:v>
      </x:c>
      <x:c r="J183" s="24" t="n">
        <x:f>B183-I183</x:f>
        <x:v>-5188.107708248515</x:v>
      </x:c>
      <x:c r="K183" s="24" t="n">
        <x:f>Subsurface_Inputs!$C$25+Subsurface_Inputs!$C$26*SIN(2*PI()*(A183+Subsurface_Inputs!$C$27)/Subsurface_Inputs!$C$28)+Subsurface_Inputs!$C$29*COS(2*PI()*(A183-Subsurface_Inputs!$C$30)/Subsurface_Inputs!$C$31)-Subsurface_Inputs!$C$32*(B183-AVERAGE($B$2:$B$242))</x:f>
        <x:v>15167.924996429276</x:v>
      </x:c>
      <x:c r="L183" s="24" t="n">
        <x:f>B183-K183</x:f>
        <x:v>-14927.93885696703</x:v>
      </x:c>
      <x:c r="M183" s="24" t="n">
        <x:f>2*Subsurface_Inputs!$C$34*F183/Subsurface_Inputs!$C$35*1000000</x:f>
        <x:v>12.869701331399602</x:v>
      </x:c>
      <x:c r="N183" s="24" t="n">
        <x:f>2*Subsurface_Inputs!$C$34*I183/Subsurface_Inputs!$C$35*1000000</x:f>
        <x:v>64.45797278145771</x:v>
      </x:c>
      <x:c r="O183" s="24" t="n">
        <x:f>2*Subsurface_Inputs!$C$34*K183/Subsurface_Inputs!$C$35*1000000</x:f>
        <x:v>180.1173163178382</x:v>
      </x:c>
      <x:c r="P183" s="24" t="n">
        <x:f>Subsurface_Inputs!$C$37-2*Subsurface_Inputs!$C$36*(F183/1000)</x:f>
        <x:v>-11.950795200157046</x:v>
      </x:c>
      <x:c r="Q183" s="24" t="n">
        <x:f>Subsurface_Inputs!$C$38+Subsurface_Inputs!$C$39*H183-2*Subsurface_Inputs!$C$36*(I183/1000)</x:f>
        <x:v>-27.482858569961707</x:v>
      </x:c>
      <x:c r="R183" s="24" t="n">
        <x:f>Subsurface_Inputs!$C$40-2*Subsurface_Inputs!$C$36*(K183/1000)-Subsurface_Inputs!$C$41*ABS(L183-AVERAGE($L$2:$L$242))</x:f>
        <x:v>-33.96618990746945</x:v>
      </x:c>
      <x:c r="S183" s="24" t="n">
        <x:f>K183-AVERAGE($K$2:$K$242)</x:f>
        <x:v>90.5403008551657</x:v>
      </x:c>
      <x:c r="T183" s="24" t="n">
        <x:f>K183/F183</x:f>
        <x:v>13.995454259562846</x:v>
      </x:c>
      <x:c r="U183" s="25" t="str">
        <x:f>IF(H183&gt;=Subsurface_Inputs!$C$42,"Lens visible","Weak/no lens")</x:f>
        <x:v>Lens visible</x:v>
      </x:c>
      <x:c r="V183" s="25" t="str">
        <x:f>IF(R183&gt;=W183,"Likely visible","Weak")</x:f>
        <x:v>Likely visible</x:v>
      </x:c>
      <x:c r="W183" s="24" t="n">
        <x:f>Subsurface_Inputs!$C$43</x:f>
        <x:v>-45</x:v>
      </x:c>
      <x:c r="X183" s="24" t="n">
        <x:f>Q183-W183</x:f>
        <x:v>17.517141430038293</x:v>
      </x:c>
      <x:c r="Y183" s="24" t="n">
        <x:f>R183-W183</x:f>
        <x:v>11.033810092530551</x:v>
      </x:c>
      <x:c r="Z183" s="24" t="n">
        <x:f>MAX(Q183,R183)-W183</x:f>
        <x:v>17.517141430038293</x:v>
      </x:c>
      <x:c r="AA183" s="24" t="n">
        <x:v>0</x:v>
      </x:c>
    </x:row>
    <x:row r="184">
      <x:c r="A184" s="24" t="n">
        <x:f>Model_Data!A184</x:f>
        <x:v>31</x:v>
      </x:c>
      <x:c r="B184" s="24" t="n">
        <x:f>Model_Data!Y184</x:f>
        <x:v>239.58052305996605</x:v>
      </x:c>
      <x:c r="C184" s="24" t="n">
        <x:f>Model_Data!X184</x:f>
        <x:v>18.692329061381155</x:v>
      </x:c>
      <x:c r="D184" s="24" t="n">
        <x:f>Model_Data!B184</x:f>
        <x:v>401.0677777777778</x:v>
      </x:c>
      <x:c r="E184" s="24" t="n">
        <x:f>Inputs!$C$6</x:f>
        <x:v>25</x:v>
      </x:c>
      <x:c r="F184" s="24" t="n">
        <x:f>Subsurface_Inputs!$C$5+Subsurface_Inputs!$C$6*SIN(2*PI()*(A184+Subsurface_Inputs!$C$7)/Subsurface_Inputs!$C$8)+Subsurface_Inputs!$C$9*COS(2*PI()*A184/Subsurface_Inputs!$C$10)+Subsurface_Inputs!$C$11*(B184-AVERAGE($B$2:$B$242))</x:f>
        <x:v>1088.5185563240677</x:v>
      </x:c>
      <x:c r="G184" s="24" t="n">
        <x:f>B184-F184</x:f>
        <x:v>-848.9380332641017</x:v>
      </x:c>
      <x:c r="H184" s="24" t="n">
        <x:f>MIN(1,MAX(0,Subsurface_Inputs!$C$13*EXP(-0.5*((A184-Subsurface_Inputs!$C$14)/Subsurface_Inputs!$C$15)^2)+Subsurface_Inputs!$C$16*EXP(-0.5*((A184-Subsurface_Inputs!$C$17)/Subsurface_Inputs!$C$18)^2)))</x:f>
        <x:v>0.6945528132421283</x:v>
      </x:c>
      <x:c r="I184" s="24" t="n">
        <x:f>Subsurface_Inputs!$C$19+Subsurface_Inputs!$C$20*SIN(2*PI()*(A184-Subsurface_Inputs!$C$21)/Subsurface_Inputs!$C$22)-Subsurface_Inputs!$C$23*H184</x:f>
        <x:v>5422.700149771261</x:v>
      </x:c>
      <x:c r="J184" s="24" t="n">
        <x:f>B184-I184</x:f>
        <x:v>-5183.119626711295</x:v>
      </x:c>
      <x:c r="K184" s="24" t="n">
        <x:f>Subsurface_Inputs!$C$25+Subsurface_Inputs!$C$26*SIN(2*PI()*(A184+Subsurface_Inputs!$C$27)/Subsurface_Inputs!$C$28)+Subsurface_Inputs!$C$29*COS(2*PI()*(A184-Subsurface_Inputs!$C$30)/Subsurface_Inputs!$C$31)-Subsurface_Inputs!$C$32*(B184-AVERAGE($B$2:$B$242))</x:f>
        <x:v>15140.057820585285</x:v>
      </x:c>
      <x:c r="L184" s="24" t="n">
        <x:f>B184-K184</x:f>
        <x:v>-14900.47729752532</x:v>
      </x:c>
      <x:c r="M184" s="24" t="n">
        <x:f>2*Subsurface_Inputs!$C$34*F184/Subsurface_Inputs!$C$35*1000000</x:f>
        <x:v>12.926029181540256</x:v>
      </x:c>
      <x:c r="N184" s="24" t="n">
        <x:f>2*Subsurface_Inputs!$C$34*I184/Subsurface_Inputs!$C$35*1000000</x:f>
        <x:v>64.3939232560203</x:v>
      </x:c>
      <x:c r="O184" s="24" t="n">
        <x:f>2*Subsurface_Inputs!$C$34*K184/Subsurface_Inputs!$C$35*1000000</x:f>
        <x:v>179.78639689889602</x:v>
      </x:c>
      <x:c r="P184" s="24" t="n">
        <x:f>Subsurface_Inputs!$C$37-2*Subsurface_Inputs!$C$36*(F184/1000)</x:f>
        <x:v>-11.959333401383322</x:v>
      </x:c>
      <x:c r="Q184" s="24" t="n">
        <x:f>Subsurface_Inputs!$C$38+Subsurface_Inputs!$C$39*H184-2*Subsurface_Inputs!$C$36*(I184/1000)</x:f>
        <x:v>-27.509884950409116</x:v>
      </x:c>
      <x:c r="R184" s="24" t="n">
        <x:f>Subsurface_Inputs!$C$40-2*Subsurface_Inputs!$C$36*(K184/1000)-Subsurface_Inputs!$C$41*ABS(L184-AVERAGE($L$2:$L$242))</x:f>
        <x:v>-33.80618275318343</x:v>
      </x:c>
      <x:c r="S184" s="24" t="n">
        <x:f>K184-AVERAGE($K$2:$K$242)</x:f>
        <x:v>62.673125011175216</x:v>
      </x:c>
      <x:c r="T184" s="24" t="n">
        <x:f>K184/F184</x:f>
        <x:v>13.908865156799285</x:v>
      </x:c>
      <x:c r="U184" s="25" t="str">
        <x:f>IF(H184&gt;=Subsurface_Inputs!$C$42,"Lens visible","Weak/no lens")</x:f>
        <x:v>Lens visible</x:v>
      </x:c>
      <x:c r="V184" s="25" t="str">
        <x:f>IF(R184&gt;=W184,"Likely visible","Weak")</x:f>
        <x:v>Likely visible</x:v>
      </x:c>
      <x:c r="W184" s="24" t="n">
        <x:f>Subsurface_Inputs!$C$43</x:f>
        <x:v>-45</x:v>
      </x:c>
      <x:c r="X184" s="24" t="n">
        <x:f>Q184-W184</x:f>
        <x:v>17.490115049590884</x:v>
      </x:c>
      <x:c r="Y184" s="24" t="n">
        <x:f>R184-W184</x:f>
        <x:v>11.193817246816572</x:v>
      </x:c>
      <x:c r="Z184" s="24" t="n">
        <x:f>MAX(Q184,R184)-W184</x:f>
        <x:v>17.490115049590884</x:v>
      </x:c>
      <x:c r="AA184" s="24" t="n">
        <x:v>0</x:v>
      </x:c>
    </x:row>
    <x:row r="185">
      <x:c r="A185" s="24" t="n">
        <x:f>Model_Data!A185</x:f>
        <x:v>31.5</x:v>
      </x:c>
      <x:c r="B185" s="24" t="n">
        <x:f>Model_Data!Y185</x:f>
        <x:v>216.56157473369862</x:v>
      </x:c>
      <x:c r="C185" s="24" t="n">
        <x:f>Model_Data!X185</x:f>
        <x:v>18.579807279306877</x:v>
      </x:c>
      <x:c r="D185" s="24" t="n">
        <x:f>Model_Data!B185</x:f>
        <x:v>401.1025</x:v>
      </x:c>
      <x:c r="E185" s="24" t="n">
        <x:f>Inputs!$C$6</x:f>
        <x:v>25</x:v>
      </x:c>
      <x:c r="F185" s="24" t="n">
        <x:f>Subsurface_Inputs!$C$5+Subsurface_Inputs!$C$6*SIN(2*PI()*(A185+Subsurface_Inputs!$C$7)/Subsurface_Inputs!$C$8)+Subsurface_Inputs!$C$9*COS(2*PI()*A185/Subsurface_Inputs!$C$10)+Subsurface_Inputs!$C$11*(B185-AVERAGE($B$2:$B$242))</x:f>
        <x:v>1093.13537673915</x:v>
      </x:c>
      <x:c r="G185" s="24" t="n">
        <x:f>B185-F185</x:f>
        <x:v>-876.5738020054513</x:v>
      </x:c>
      <x:c r="H185" s="24" t="n">
        <x:f>MIN(1,MAX(0,Subsurface_Inputs!$C$13*EXP(-0.5*((A185-Subsurface_Inputs!$C$14)/Subsurface_Inputs!$C$15)^2)+Subsurface_Inputs!$C$16*EXP(-0.5*((A185-Subsurface_Inputs!$C$17)/Subsurface_Inputs!$C$18)^2)))</x:f>
        <x:v>0.6878030228270172</x:v>
      </x:c>
      <x:c r="I185" s="24" t="n">
        <x:f>Subsurface_Inputs!$C$19+Subsurface_Inputs!$C$20*SIN(2*PI()*(A185-Subsurface_Inputs!$C$21)/Subsurface_Inputs!$C$22)-Subsurface_Inputs!$C$23*H185</x:f>
        <x:v>5417.228549094605</x:v>
      </x:c>
      <x:c r="J185" s="24" t="n">
        <x:f>B185-I185</x:f>
        <x:v>-5200.666974360906</x:v>
      </x:c>
      <x:c r="K185" s="24" t="n">
        <x:f>Subsurface_Inputs!$C$25+Subsurface_Inputs!$C$26*SIN(2*PI()*(A185+Subsurface_Inputs!$C$27)/Subsurface_Inputs!$C$28)+Subsurface_Inputs!$C$29*COS(2*PI()*(A185-Subsurface_Inputs!$C$30)/Subsurface_Inputs!$C$31)-Subsurface_Inputs!$C$32*(B185-AVERAGE($B$2:$B$242))</x:f>
        <x:v>15115.746926095402</x:v>
      </x:c>
      <x:c r="L185" s="24" t="n">
        <x:f>B185-K185</x:f>
        <x:v>-14899.185351361704</x:v>
      </x:c>
      <x:c r="M185" s="24" t="n">
        <x:f>2*Subsurface_Inputs!$C$34*F185/Subsurface_Inputs!$C$35*1000000</x:f>
        <x:v>12.980853378210648</x:v>
      </x:c>
      <x:c r="N185" s="24" t="n">
        <x:f>2*Subsurface_Inputs!$C$34*I185/Subsurface_Inputs!$C$35*1000000</x:f>
        <x:v>64.3289486447881</x:v>
      </x:c>
      <x:c r="O185" s="24" t="n">
        <x:f>2*Subsurface_Inputs!$C$34*K185/Subsurface_Inputs!$C$35*1000000</x:f>
        <x:v>179.4977079006425</x:v>
      </x:c>
      <x:c r="P185" s="24" t="n">
        <x:f>Subsurface_Inputs!$C$37-2*Subsurface_Inputs!$C$36*(F185/1000)</x:f>
        <x:v>-11.96764367813047</x:v>
      </x:c>
      <x:c r="Q185" s="24" t="n">
        <x:f>Subsurface_Inputs!$C$38+Subsurface_Inputs!$C$39*H185-2*Subsurface_Inputs!$C$36*(I185/1000)</x:f>
        <x:v>-27.560784182927136</x:v>
      </x:c>
      <x:c r="R185" s="24" t="n">
        <x:f>Subsurface_Inputs!$C$40-2*Subsurface_Inputs!$C$36*(K185/1000)-Subsurface_Inputs!$C$41*ABS(L185-AVERAGE($L$2:$L$242))</x:f>
        <x:v>-33.75725535844717</x:v>
      </x:c>
      <x:c r="S185" s="24" t="n">
        <x:f>K185-AVERAGE($K$2:$K$242)</x:f>
        <x:v>38.362230521292076</x:v>
      </x:c>
      <x:c r="T185" s="24" t="n">
        <x:f>K185/F185</x:f>
        <x:v>13.82788193278133</x:v>
      </x:c>
      <x:c r="U185" s="25" t="str">
        <x:f>IF(H185&gt;=Subsurface_Inputs!$C$42,"Lens visible","Weak/no lens")</x:f>
        <x:v>Lens visible</x:v>
      </x:c>
      <x:c r="V185" s="25" t="str">
        <x:f>IF(R185&gt;=W185,"Likely visible","Weak")</x:f>
        <x:v>Likely visible</x:v>
      </x:c>
      <x:c r="W185" s="24" t="n">
        <x:f>Subsurface_Inputs!$C$43</x:f>
        <x:v>-45</x:v>
      </x:c>
      <x:c r="X185" s="24" t="n">
        <x:f>Q185-W185</x:f>
        <x:v>17.439215817072864</x:v>
      </x:c>
      <x:c r="Y185" s="24" t="n">
        <x:f>R185-W185</x:f>
        <x:v>11.242744641552832</x:v>
      </x:c>
      <x:c r="Z185" s="24" t="n">
        <x:f>MAX(Q185,R185)-W185</x:f>
        <x:v>17.439215817072864</x:v>
      </x:c>
      <x:c r="AA185" s="24" t="n">
        <x:v>0</x:v>
      </x:c>
    </x:row>
    <x:row r="186">
      <x:c r="A186" s="24" t="n">
        <x:f>Model_Data!A186</x:f>
        <x:v>32</x:v>
      </x:c>
      <x:c r="B186" s="24" t="n">
        <x:f>Model_Data!Y186</x:f>
        <x:v>222.43770342182788</x:v>
      </x:c>
      <x:c r="C186" s="24" t="n">
        <x:f>Model_Data!X186</x:f>
        <x:v>-1.3588316603362678</x:v>
      </x:c>
      <x:c r="D186" s="24" t="n">
        <x:f>Model_Data!B186</x:f>
        <x:v>401.1377777777778</x:v>
      </x:c>
      <x:c r="E186" s="24" t="n">
        <x:f>Inputs!$C$6</x:f>
        <x:v>25</x:v>
      </x:c>
      <x:c r="F186" s="24" t="n">
        <x:f>Subsurface_Inputs!$C$5+Subsurface_Inputs!$C$6*SIN(2*PI()*(A186+Subsurface_Inputs!$C$7)/Subsurface_Inputs!$C$8)+Subsurface_Inputs!$C$9*COS(2*PI()*A186/Subsurface_Inputs!$C$10)+Subsurface_Inputs!$C$11*(B186-AVERAGE($B$2:$B$242))</x:f>
        <x:v>1099.737748011357</x:v>
      </x:c>
      <x:c r="G186" s="24" t="n">
        <x:f>B186-F186</x:f>
        <x:v>-877.3000445895292</x:v>
      </x:c>
      <x:c r="H186" s="24" t="n">
        <x:f>MIN(1,MAX(0,Subsurface_Inputs!$C$13*EXP(-0.5*((A186-Subsurface_Inputs!$C$14)/Subsurface_Inputs!$C$15)^2)+Subsurface_Inputs!$C$16*EXP(-0.5*((A186-Subsurface_Inputs!$C$17)/Subsurface_Inputs!$C$18)^2)))</x:f>
        <x:v>0.6784634113599887</x:v>
      </x:c>
      <x:c r="I186" s="24" t="n">
        <x:f>Subsurface_Inputs!$C$19+Subsurface_Inputs!$C$20*SIN(2*PI()*(A186-Subsurface_Inputs!$C$21)/Subsurface_Inputs!$C$22)-Subsurface_Inputs!$C$23*H186</x:f>
        <x:v>5411.670661841409</x:v>
      </x:c>
      <x:c r="J186" s="24" t="n">
        <x:f>B186-I186</x:f>
        <x:v>-5189.232958419581</x:v>
      </x:c>
      <x:c r="K186" s="24" t="n">
        <x:f>Subsurface_Inputs!$C$25+Subsurface_Inputs!$C$26*SIN(2*PI()*(A186+Subsurface_Inputs!$C$27)/Subsurface_Inputs!$C$28)+Subsurface_Inputs!$C$29*COS(2*PI()*(A186-Subsurface_Inputs!$C$30)/Subsurface_Inputs!$C$31)-Subsurface_Inputs!$C$32*(B186-AVERAGE($B$2:$B$242))</x:f>
        <x:v>15087.819991779359</x:v>
      </x:c>
      <x:c r="L186" s="24" t="n">
        <x:f>B186-K186</x:f>
        <x:v>-14865.38228835753</x:v>
      </x:c>
      <x:c r="M186" s="24" t="n">
        <x:f>2*Subsurface_Inputs!$C$34*F186/Subsurface_Inputs!$C$35*1000000</x:f>
        <x:v>13.059255756595554</x:v>
      </x:c>
      <x:c r="N186" s="24" t="n">
        <x:f>2*Subsurface_Inputs!$C$34*I186/Subsurface_Inputs!$C$35*1000000</x:f>
        <x:v>64.2629493906595</x:v>
      </x:c>
      <x:c r="O186" s="24" t="n">
        <x:f>2*Subsurface_Inputs!$C$34*K186/Subsurface_Inputs!$C$35*1000000</x:f>
        <x:v>179.1660788569088</x:v>
      </x:c>
      <x:c r="P186" s="24" t="n">
        <x:f>Subsurface_Inputs!$C$37-2*Subsurface_Inputs!$C$36*(F186/1000)</x:f>
        <x:v>-11.979527946420443</x:v>
      </x:c>
      <x:c r="Q186" s="24" t="n">
        <x:f>Subsurface_Inputs!$C$38+Subsurface_Inputs!$C$39*H186-2*Subsurface_Inputs!$C$36*(I186/1000)</x:f>
        <x:v>-27.63483648907464</x:v>
      </x:c>
      <x:c r="R186" s="24" t="n">
        <x:f>Subsurface_Inputs!$C$40-2*Subsurface_Inputs!$C$36*(K186/1000)-Subsurface_Inputs!$C$41*ABS(L186-AVERAGE($L$2:$L$242))</x:f>
        <x:v>-33.57177462466159</x:v>
      </x:c>
      <x:c r="S186" s="24" t="n">
        <x:f>K186-AVERAGE($K$2:$K$242)</x:f>
        <x:v>10.43529620524896</x:v>
      </x:c>
      <x:c r="T186" s="24" t="n">
        <x:f>K186/F186</x:f>
        <x:v>13.719470863905952</x:v>
      </x:c>
      <x:c r="U186" s="25" t="str">
        <x:f>IF(H186&gt;=Subsurface_Inputs!$C$42,"Lens visible","Weak/no lens")</x:f>
        <x:v>Lens visible</x:v>
      </x:c>
      <x:c r="V186" s="25" t="str">
        <x:f>IF(R186&gt;=W186,"Likely visible","Weak")</x:f>
        <x:v>Likely visible</x:v>
      </x:c>
      <x:c r="W186" s="24" t="n">
        <x:f>Subsurface_Inputs!$C$43</x:f>
        <x:v>-45</x:v>
      </x:c>
      <x:c r="X186" s="24" t="n">
        <x:f>Q186-W186</x:f>
        <x:v>17.36516351092536</x:v>
      </x:c>
      <x:c r="Y186" s="24" t="n">
        <x:f>R186-W186</x:f>
        <x:v>11.428225375338407</x:v>
      </x:c>
      <x:c r="Z186" s="24" t="n">
        <x:f>MAX(Q186,R186)-W186</x:f>
        <x:v>17.36516351092536</x:v>
      </x:c>
      <x:c r="AA186" s="24" t="n">
        <x:v>0</x:v>
      </x:c>
    </x:row>
    <x:row r="187">
      <x:c r="A187" s="24" t="n">
        <x:f>Model_Data!A187</x:f>
        <x:v>32.5</x:v>
      </x:c>
      <x:c r="B187" s="24" t="n">
        <x:f>Model_Data!Y187</x:f>
        <x:v>227.97180197677312</x:v>
      </x:c>
      <x:c r="C187" s="24" t="n">
        <x:f>Model_Data!X187</x:f>
        <x:v>5.846843018322446</x:v>
      </x:c>
      <x:c r="D187" s="24" t="n">
        <x:f>Model_Data!B187</x:f>
        <x:v>401.1736111111111</x:v>
      </x:c>
      <x:c r="E187" s="24" t="n">
        <x:f>Inputs!$C$6</x:f>
        <x:v>25</x:v>
      </x:c>
      <x:c r="F187" s="24" t="n">
        <x:f>Subsurface_Inputs!$C$5+Subsurface_Inputs!$C$6*SIN(2*PI()*(A187+Subsurface_Inputs!$C$7)/Subsurface_Inputs!$C$8)+Subsurface_Inputs!$C$9*COS(2*PI()*A187/Subsurface_Inputs!$C$10)+Subsurface_Inputs!$C$11*(B187-AVERAGE($B$2:$B$242))</x:f>
        <x:v>1107.1934400968587</x:v>
      </x:c>
      <x:c r="G187" s="24" t="n">
        <x:f>B187-F187</x:f>
        <x:v>-879.2216381200856</x:v>
      </x:c>
      <x:c r="H187" s="24" t="n">
        <x:f>MIN(1,MAX(0,Subsurface_Inputs!$C$13*EXP(-0.5*((A187-Subsurface_Inputs!$C$14)/Subsurface_Inputs!$C$15)^2)+Subsurface_Inputs!$C$16*EXP(-0.5*((A187-Subsurface_Inputs!$C$17)/Subsurface_Inputs!$C$18)^2)))</x:f>
        <x:v>0.6666414710590522</x:v>
      </x:c>
      <x:c r="I187" s="24" t="n">
        <x:f>Subsurface_Inputs!$C$19+Subsurface_Inputs!$C$20*SIN(2*PI()*(A187-Subsurface_Inputs!$C$21)/Subsurface_Inputs!$C$22)-Subsurface_Inputs!$C$23*H187</x:f>
        <x:v>5406.012136565577</x:v>
      </x:c>
      <x:c r="J187" s="24" t="n">
        <x:f>B187-I187</x:f>
        <x:v>-5178.0403345888035</x:v>
      </x:c>
      <x:c r="K187" s="24" t="n">
        <x:f>Subsurface_Inputs!$C$25+Subsurface_Inputs!$C$26*SIN(2*PI()*(A187+Subsurface_Inputs!$C$27)/Subsurface_Inputs!$C$28)+Subsurface_Inputs!$C$29*COS(2*PI()*(A187-Subsurface_Inputs!$C$30)/Subsurface_Inputs!$C$31)-Subsurface_Inputs!$C$32*(B187-AVERAGE($B$2:$B$242))</x:f>
        <x:v>15060.407592662797</x:v>
      </x:c>
      <x:c r="L187" s="24" t="n">
        <x:f>B187-K187</x:f>
        <x:v>-14832.435790686024</x:v>
      </x:c>
      <x:c r="M187" s="24" t="n">
        <x:f>2*Subsurface_Inputs!$C$34*F187/Subsurface_Inputs!$C$35*1000000</x:f>
        <x:v>13.147791218766473</x:v>
      </x:c>
      <x:c r="N187" s="24" t="n">
        <x:f>2*Subsurface_Inputs!$C$34*I187/Subsurface_Inputs!$C$35*1000000</x:f>
        <x:v>64.19575507190862</x:v>
      </x:c>
      <x:c r="O187" s="24" t="n">
        <x:f>2*Subsurface_Inputs!$C$34*K187/Subsurface_Inputs!$C$35*1000000</x:f>
        <x:v>178.84055985784528</x:v>
      </x:c>
      <x:c r="P187" s="24" t="n">
        <x:f>Subsurface_Inputs!$C$37-2*Subsurface_Inputs!$C$36*(F187/1000)</x:f>
        <x:v>-11.992948192174346</x:v>
      </x:c>
      <x:c r="Q187" s="24" t="n">
        <x:f>Subsurface_Inputs!$C$38+Subsurface_Inputs!$C$39*H187-2*Subsurface_Inputs!$C$36*(I187/1000)</x:f>
        <x:v>-27.731048606286567</x:v>
      </x:c>
      <x:c r="R187" s="24" t="n">
        <x:f>Subsurface_Inputs!$C$40-2*Subsurface_Inputs!$C$36*(K187/1000)-Subsurface_Inputs!$C$41*ABS(L187-AVERAGE($L$2:$L$242))</x:f>
        <x:v>-33.39064631556576</x:v>
      </x:c>
      <x:c r="S187" s="24" t="n">
        <x:f>K187-AVERAGE($K$2:$K$242)</x:f>
        <x:v>-16.977102911312613</x:v>
      </x:c>
      <x:c r="T187" s="24" t="n">
        <x:f>K187/F187</x:f>
        <x:v>13.602327332561954</x:v>
      </x:c>
      <x:c r="U187" s="25" t="str">
        <x:f>IF(H187&gt;=Subsurface_Inputs!$C$42,"Lens visible","Weak/no lens")</x:f>
        <x:v>Lens visible</x:v>
      </x:c>
      <x:c r="V187" s="25" t="str">
        <x:f>IF(R187&gt;=W187,"Likely visible","Weak")</x:f>
        <x:v>Likely visible</x:v>
      </x:c>
      <x:c r="W187" s="24" t="n">
        <x:f>Subsurface_Inputs!$C$43</x:f>
        <x:v>-45</x:v>
      </x:c>
      <x:c r="X187" s="24" t="n">
        <x:f>Q187-W187</x:f>
        <x:v>17.268951393713433</x:v>
      </x:c>
      <x:c r="Y187" s="24" t="n">
        <x:f>R187-W187</x:f>
        <x:v>11.60935368443424</x:v>
      </x:c>
      <x:c r="Z187" s="24" t="n">
        <x:f>MAX(Q187,R187)-W187</x:f>
        <x:v>17.268951393713433</x:v>
      </x:c>
      <x:c r="AA187" s="24" t="n">
        <x:v>0</x:v>
      </x:c>
    </x:row>
    <x:row r="188">
      <x:c r="A188" s="24" t="n">
        <x:f>Model_Data!A188</x:f>
        <x:v>33</x:v>
      </x:c>
      <x:c r="B188" s="24" t="n">
        <x:f>Model_Data!Y188</x:f>
        <x:v>226.0841822180117</x:v>
      </x:c>
      <x:c r="C188" s="24" t="n">
        <x:f>Model_Data!X188</x:f>
        <x:v>-3.610290991247414</x:v>
      </x:c>
      <x:c r="D188" s="24" t="n">
        <x:f>Model_Data!B188</x:f>
        <x:v>401.21</x:v>
      </x:c>
      <x:c r="E188" s="24" t="n">
        <x:f>Inputs!$C$6</x:f>
        <x:v>25</x:v>
      </x:c>
      <x:c r="F188" s="24" t="n">
        <x:f>Subsurface_Inputs!$C$5+Subsurface_Inputs!$C$6*SIN(2*PI()*(A188+Subsurface_Inputs!$C$7)/Subsurface_Inputs!$C$8)+Subsurface_Inputs!$C$9*COS(2*PI()*A188/Subsurface_Inputs!$C$10)+Subsurface_Inputs!$C$11*(B188-AVERAGE($B$2:$B$242))</x:f>
        <x:v>1115.2403691033303</x:v>
      </x:c>
      <x:c r="G188" s="24" t="n">
        <x:f>B188-F188</x:f>
        <x:v>-889.1561868853186</x:v>
      </x:c>
      <x:c r="H188" s="24" t="n">
        <x:f>MIN(1,MAX(0,Subsurface_Inputs!$C$13*EXP(-0.5*((A188-Subsurface_Inputs!$C$14)/Subsurface_Inputs!$C$15)^2)+Subsurface_Inputs!$C$16*EXP(-0.5*((A188-Subsurface_Inputs!$C$17)/Subsurface_Inputs!$C$18)^2)))</x:f>
        <x:v>0.6524718283293716</x:v>
      </x:c>
      <x:c r="I188" s="24" t="n">
        <x:f>Subsurface_Inputs!$C$19+Subsurface_Inputs!$C$20*SIN(2*PI()*(A188-Subsurface_Inputs!$C$21)/Subsurface_Inputs!$C$22)-Subsurface_Inputs!$C$23*H188</x:f>
        <x:v>5400.233131674641</x:v>
      </x:c>
      <x:c r="J188" s="24" t="n">
        <x:f>B188-I188</x:f>
        <x:v>-5174.148949456629</x:v>
      </x:c>
      <x:c r="K188" s="24" t="n">
        <x:f>Subsurface_Inputs!$C$25+Subsurface_Inputs!$C$26*SIN(2*PI()*(A188+Subsurface_Inputs!$C$27)/Subsurface_Inputs!$C$28)+Subsurface_Inputs!$C$29*COS(2*PI()*(A188-Subsurface_Inputs!$C$30)/Subsurface_Inputs!$C$31)-Subsurface_Inputs!$C$32*(B188-AVERAGE($B$2:$B$242))</x:f>
        <x:v>15034.536710550718</x:v>
      </x:c>
      <x:c r="L188" s="24" t="n">
        <x:f>B188-K188</x:f>
        <x:v>-14808.452528332706</x:v>
      </x:c>
      <x:c r="M188" s="24" t="n">
        <x:f>2*Subsurface_Inputs!$C$34*F188/Subsurface_Inputs!$C$35*1000000</x:f>
        <x:v>13.243347549483238</x:v>
      </x:c>
      <x:c r="N188" s="24" t="n">
        <x:f>2*Subsurface_Inputs!$C$34*I188/Subsurface_Inputs!$C$35*1000000</x:f>
        <x:v>64.1271300719704</x:v>
      </x:c>
      <x:c r="O188" s="24" t="n">
        <x:f>2*Subsurface_Inputs!$C$34*K188/Subsurface_Inputs!$C$35*1000000</x:f>
        <x:v>178.53334619098575</x:v>
      </x:c>
      <x:c r="P188" s="24" t="n">
        <x:f>Subsurface_Inputs!$C$37-2*Subsurface_Inputs!$C$36*(F188/1000)</x:f>
        <x:v>-12.007432664385995</x:v>
      </x:c>
      <x:c r="Q188" s="24" t="n">
        <x:f>Subsurface_Inputs!$C$38+Subsurface_Inputs!$C$39*H188-2*Subsurface_Inputs!$C$36*(I188/1000)</x:f>
        <x:v>-27.84817318205001</x:v>
      </x:c>
      <x:c r="R188" s="24" t="n">
        <x:f>Subsurface_Inputs!$C$40-2*Subsurface_Inputs!$C$36*(K188/1000)-Subsurface_Inputs!$C$41*ABS(L188-AVERAGE($L$2:$L$242))</x:f>
        <x:v>-33.24814567835075</x:v>
      </x:c>
      <x:c r="S188" s="24" t="n">
        <x:f>K188-AVERAGE($K$2:$K$242)</x:f>
        <x:v>-42.84798502339254</x:v>
      </x:c>
      <x:c r="T188" s="24" t="n">
        <x:f>K188/F188</x:f>
        <x:v>13.480983227533905</x:v>
      </x:c>
      <x:c r="U188" s="25" t="str">
        <x:f>IF(H188&gt;=Subsurface_Inputs!$C$42,"Lens visible","Weak/no lens")</x:f>
        <x:v>Lens visible</x:v>
      </x:c>
      <x:c r="V188" s="25" t="str">
        <x:f>IF(R188&gt;=W188,"Likely visible","Weak")</x:f>
        <x:v>Likely visible</x:v>
      </x:c>
      <x:c r="W188" s="24" t="n">
        <x:f>Subsurface_Inputs!$C$43</x:f>
        <x:v>-45</x:v>
      </x:c>
      <x:c r="X188" s="24" t="n">
        <x:f>Q188-W188</x:f>
        <x:v>17.15182681794999</x:v>
      </x:c>
      <x:c r="Y188" s="24" t="n">
        <x:f>R188-W188</x:f>
        <x:v>11.751854321649247</x:v>
      </x:c>
      <x:c r="Z188" s="24" t="n">
        <x:f>MAX(Q188,R188)-W188</x:f>
        <x:v>17.15182681794999</x:v>
      </x:c>
      <x:c r="AA188" s="24" t="n">
        <x:v>0</x:v>
      </x:c>
    </x:row>
    <x:row r="189">
      <x:c r="A189" s="24" t="n">
        <x:f>Model_Data!A189</x:f>
        <x:v>33.5</x:v>
      </x:c>
      <x:c r="B189" s="24" t="n">
        <x:f>Model_Data!Y189</x:f>
        <x:v>226.23942491253771</x:v>
      </x:c>
      <x:c r="C189" s="24" t="n">
        <x:f>Model_Data!X189</x:f>
        <x:v>2.8193818928466783</x:v>
      </x:c>
      <x:c r="D189" s="24" t="n">
        <x:f>Model_Data!B189</x:f>
        <x:v>401.24694444444447</x:v>
      </x:c>
      <x:c r="E189" s="24" t="n">
        <x:f>Inputs!$C$6</x:f>
        <x:v>25</x:v>
      </x:c>
      <x:c r="F189" s="24" t="n">
        <x:f>Subsurface_Inputs!$C$5+Subsurface_Inputs!$C$6*SIN(2*PI()*(A189+Subsurface_Inputs!$C$7)/Subsurface_Inputs!$C$8)+Subsurface_Inputs!$C$9*COS(2*PI()*A189/Subsurface_Inputs!$C$10)+Subsurface_Inputs!$C$11*(B189-AVERAGE($B$2:$B$242))</x:f>
        <x:v>1124.2608065053928</x:v>
      </x:c>
      <x:c r="G189" s="24" t="n">
        <x:f>B189-F189</x:f>
        <x:v>-898.021381592855</x:v>
      </x:c>
      <x:c r="H189" s="24" t="n">
        <x:f>MIN(1,MAX(0,Subsurface_Inputs!$C$13*EXP(-0.5*((A189-Subsurface_Inputs!$C$14)/Subsurface_Inputs!$C$15)^2)+Subsurface_Inputs!$C$16*EXP(-0.5*((A189-Subsurface_Inputs!$C$17)/Subsurface_Inputs!$C$18)^2)))</x:f>
        <x:v>0.6361136923009645</x:v>
      </x:c>
      <x:c r="I189" s="24" t="n">
        <x:f>Subsurface_Inputs!$C$19+Subsurface_Inputs!$C$20*SIN(2*PI()*(A189-Subsurface_Inputs!$C$21)/Subsurface_Inputs!$C$22)-Subsurface_Inputs!$C$23*H189</x:f>
        <x:v>5394.308909481113</x:v>
      </x:c>
      <x:c r="J189" s="24" t="n">
        <x:f>B189-I189</x:f>
        <x:v>-5168.069484568576</x:v>
      </x:c>
      <x:c r="K189" s="24" t="n">
        <x:f>Subsurface_Inputs!$C$25+Subsurface_Inputs!$C$26*SIN(2*PI()*(A189+Subsurface_Inputs!$C$27)/Subsurface_Inputs!$C$28)+Subsurface_Inputs!$C$29*COS(2*PI()*(A189-Subsurface_Inputs!$C$30)/Subsurface_Inputs!$C$31)-Subsurface_Inputs!$C$32*(B189-AVERAGE($B$2:$B$242))</x:f>
        <x:v>15008.916500694751</x:v>
      </x:c>
      <x:c r="L189" s="24" t="n">
        <x:f>B189-K189</x:f>
        <x:v>-14782.677075782214</x:v>
      </x:c>
      <x:c r="M189" s="24" t="n">
        <x:f>2*Subsurface_Inputs!$C$34*F189/Subsurface_Inputs!$C$35*1000000</x:f>
        <x:v>13.35046417731829</x:v>
      </x:c>
      <x:c r="N189" s="24" t="n">
        <x:f>2*Subsurface_Inputs!$C$34*I189/Subsurface_Inputs!$C$35*1000000</x:f>
        <x:v>64.05678063373017</x:v>
      </x:c>
      <x:c r="O189" s="24" t="n">
        <x:f>2*Subsurface_Inputs!$C$34*K189/Subsurface_Inputs!$C$35*1000000</x:f>
        <x:v>178.2291092275354</x:v>
      </x:c>
      <x:c r="P189" s="24" t="n">
        <x:f>Subsurface_Inputs!$C$37-2*Subsurface_Inputs!$C$36*(F189/1000)</x:f>
        <x:v>-12.023669451709708</x:v>
      </x:c>
      <x:c r="Q189" s="24" t="n">
        <x:f>Subsurface_Inputs!$C$38+Subsurface_Inputs!$C$39*H189-2*Subsurface_Inputs!$C$36*(I189/1000)</x:f>
        <x:v>-27.984732806357325</x:v>
      </x:c>
      <x:c r="R189" s="24" t="n">
        <x:f>Subsurface_Inputs!$C$40-2*Subsurface_Inputs!$C$36*(K189/1000)-Subsurface_Inputs!$C$41*ABS(L189-AVERAGE($L$2:$L$242))</x:f>
        <x:v>-33.09892749040804</x:v>
      </x:c>
      <x:c r="S189" s="24" t="n">
        <x:f>K189-AVERAGE($K$2:$K$242)</x:f>
        <x:v>-68.46819487935863</x:v>
      </x:c>
      <x:c r="T189" s="24" t="n">
        <x:f>K189/F189</x:f>
        <x:v>13.350030894831125</x:v>
      </x:c>
      <x:c r="U189" s="25" t="str">
        <x:f>IF(H189&gt;=Subsurface_Inputs!$C$42,"Lens visible","Weak/no lens")</x:f>
        <x:v>Lens visible</x:v>
      </x:c>
      <x:c r="V189" s="25" t="str">
        <x:f>IF(R189&gt;=W189,"Likely visible","Weak")</x:f>
        <x:v>Likely visible</x:v>
      </x:c>
      <x:c r="W189" s="24" t="n">
        <x:f>Subsurface_Inputs!$C$43</x:f>
        <x:v>-45</x:v>
      </x:c>
      <x:c r="X189" s="24" t="n">
        <x:f>Q189-W189</x:f>
        <x:v>17.015267193642675</x:v>
      </x:c>
      <x:c r="Y189" s="24" t="n">
        <x:f>R189-W189</x:f>
        <x:v>11.901072509591963</x:v>
      </x:c>
      <x:c r="Z189" s="24" t="n">
        <x:f>MAX(Q189,R189)-W189</x:f>
        <x:v>17.015267193642675</x:v>
      </x:c>
      <x:c r="AA189" s="24" t="n">
        <x:v>0</x:v>
      </x:c>
    </x:row>
    <x:row r="190">
      <x:c r="A190" s="24" t="n">
        <x:f>Model_Data!A190</x:f>
        <x:v>34</x:v>
      </x:c>
      <x:c r="B190" s="24" t="n">
        <x:f>Model_Data!Y190</x:f>
        <x:v>243.2704274883201</x:v>
      </x:c>
      <x:c r="C190" s="24" t="n">
        <x:f>Model_Data!X190</x:f>
        <x:v>9.90157819415245</x:v>
      </x:c>
      <x:c r="D190" s="24" t="n">
        <x:f>Model_Data!B190</x:f>
        <x:v>401.28444444444443</x:v>
      </x:c>
      <x:c r="E190" s="24" t="n">
        <x:f>Inputs!$C$6</x:f>
        <x:v>25</x:v>
      </x:c>
      <x:c r="F190" s="24" t="n">
        <x:f>Subsurface_Inputs!$C$5+Subsurface_Inputs!$C$6*SIN(2*PI()*(A190+Subsurface_Inputs!$C$7)/Subsurface_Inputs!$C$8)+Subsurface_Inputs!$C$9*COS(2*PI()*A190/Subsurface_Inputs!$C$10)+Subsurface_Inputs!$C$11*(B190-AVERAGE($B$2:$B$242))</x:f>
        <x:v>1134.8334055598466</x:v>
      </x:c>
      <x:c r="G190" s="24" t="n">
        <x:f>B190-F190</x:f>
        <x:v>-891.5629780715265</x:v>
      </x:c>
      <x:c r="H190" s="24" t="n">
        <x:f>MIN(1,MAX(0,Subsurface_Inputs!$C$13*EXP(-0.5*((A190-Subsurface_Inputs!$C$14)/Subsurface_Inputs!$C$15)^2)+Subsurface_Inputs!$C$16*EXP(-0.5*((A190-Subsurface_Inputs!$C$17)/Subsurface_Inputs!$C$18)^2)))</x:f>
        <x:v>0.6177478788950673</x:v>
      </x:c>
      <x:c r="I190" s="24" t="n">
        <x:f>Subsurface_Inputs!$C$19+Subsurface_Inputs!$C$20*SIN(2*PI()*(A190-Subsurface_Inputs!$C$21)/Subsurface_Inputs!$C$22)-Subsurface_Inputs!$C$23*H190</x:f>
        <x:v>5388.210530653798</x:v>
      </x:c>
      <x:c r="J190" s="24" t="n">
        <x:f>B190-I190</x:f>
        <x:v>-5144.940103165478</x:v>
      </x:c>
      <x:c r="K190" s="24" t="n">
        <x:f>Subsurface_Inputs!$C$25+Subsurface_Inputs!$C$26*SIN(2*PI()*(A190+Subsurface_Inputs!$C$27)/Subsurface_Inputs!$C$28)+Subsurface_Inputs!$C$29*COS(2*PI()*(A190-Subsurface_Inputs!$C$30)/Subsurface_Inputs!$C$31)-Subsurface_Inputs!$C$32*(B190-AVERAGE($B$2:$B$242))</x:f>
        <x:v>14981.50285514281</x:v>
      </x:c>
      <x:c r="L190" s="24" t="n">
        <x:f>B190-K190</x:f>
        <x:v>-14738.23242765449</x:v>
      </x:c>
      <x:c r="M190" s="24" t="n">
        <x:f>2*Subsurface_Inputs!$C$34*F190/Subsurface_Inputs!$C$35*1000000</x:f>
        <x:v>13.476012541292997</x:v>
      </x:c>
      <x:c r="N190" s="24" t="n">
        <x:f>2*Subsurface_Inputs!$C$34*I190/Subsurface_Inputs!$C$35*1000000</x:f>
        <x:v>63.984363106050914</x:v>
      </x:c>
      <x:c r="O190" s="24" t="n">
        <x:f>2*Subsurface_Inputs!$C$34*K190/Subsurface_Inputs!$C$35*1000000</x:f>
        <x:v>177.90357542719906</x:v>
      </x:c>
      <x:c r="P190" s="24" t="n">
        <x:f>Subsurface_Inputs!$C$37-2*Subsurface_Inputs!$C$36*(F190/1000)</x:f>
        <x:v>-12.042700130007724</x:v>
      </x:c>
      <x:c r="Q190" s="24" t="n">
        <x:f>Subsurface_Inputs!$C$38+Subsurface_Inputs!$C$39*H190-2*Subsurface_Inputs!$C$36*(I190/1000)</x:f>
        <x:v>-28.13904804512123</x:v>
      </x:c>
      <x:c r="R190" s="24" t="n">
        <x:f>Subsurface_Inputs!$C$40-2*Subsurface_Inputs!$C$36*(K190/1000)-Subsurface_Inputs!$C$41*ABS(L190-AVERAGE($L$2:$L$242))</x:f>
        <x:v>-33.06160594261047</x:v>
      </x:c>
      <x:c r="S190" s="24" t="n">
        <x:f>K190-AVERAGE($K$2:$K$242)</x:f>
        <x:v>-95.88184043130059</x:v>
      </x:c>
      <x:c r="T190" s="24" t="n">
        <x:f>K190/F190</x:f>
        <x:v>13.201499693033794</x:v>
      </x:c>
      <x:c r="U190" s="25" t="str">
        <x:f>IF(H190&gt;=Subsurface_Inputs!$C$42,"Lens visible","Weak/no lens")</x:f>
        <x:v>Lens visible</x:v>
      </x:c>
      <x:c r="V190" s="25" t="str">
        <x:f>IF(R190&gt;=W190,"Likely visible","Weak")</x:f>
        <x:v>Likely visible</x:v>
      </x:c>
      <x:c r="W190" s="24" t="n">
        <x:f>Subsurface_Inputs!$C$43</x:f>
        <x:v>-45</x:v>
      </x:c>
      <x:c r="X190" s="24" t="n">
        <x:f>Q190-W190</x:f>
        <x:v>16.86095195487877</x:v>
      </x:c>
      <x:c r="Y190" s="24" t="n">
        <x:f>R190-W190</x:f>
        <x:v>11.93839405738953</x:v>
      </x:c>
      <x:c r="Z190" s="24" t="n">
        <x:f>MAX(Q190,R190)-W190</x:f>
        <x:v>16.86095195487877</x:v>
      </x:c>
      <x:c r="AA190" s="24" t="n">
        <x:v>0</x:v>
      </x:c>
    </x:row>
    <x:row r="191">
      <x:c r="A191" s="24" t="n">
        <x:f>Model_Data!A191</x:f>
        <x:v>34.5</x:v>
      </x:c>
      <x:c r="B191" s="24" t="n">
        <x:f>Model_Data!Y191</x:f>
        <x:v>248.8414359782273</x:v>
      </x:c>
      <x:c r="C191" s="24" t="n">
        <x:f>Model_Data!X191</x:f>
        <x:v>22.306190725387925</x:v>
      </x:c>
      <x:c r="D191" s="24" t="n">
        <x:f>Model_Data!B191</x:f>
        <x:v>401.3225</x:v>
      </x:c>
      <x:c r="E191" s="24" t="n">
        <x:f>Inputs!$C$6</x:f>
        <x:v>25</x:v>
      </x:c>
      <x:c r="F191" s="24" t="n">
        <x:f>Subsurface_Inputs!$C$5+Subsurface_Inputs!$C$6*SIN(2*PI()*(A191+Subsurface_Inputs!$C$7)/Subsurface_Inputs!$C$8)+Subsurface_Inputs!$C$9*COS(2*PI()*A191/Subsurface_Inputs!$C$10)+Subsurface_Inputs!$C$11*(B191-AVERAGE($B$2:$B$242))</x:f>
        <x:v>1145.7911386545015</x:v>
      </x:c>
      <x:c r="G191" s="24" t="n">
        <x:f>B191-F191</x:f>
        <x:v>-896.9497026762742</x:v>
      </x:c>
      <x:c r="H191" s="24" t="n">
        <x:f>MIN(1,MAX(0,Subsurface_Inputs!$C$13*EXP(-0.5*((A191-Subsurface_Inputs!$C$14)/Subsurface_Inputs!$C$15)^2)+Subsurface_Inputs!$C$16*EXP(-0.5*((A191-Subsurface_Inputs!$C$17)/Subsurface_Inputs!$C$18)^2)))</x:f>
        <x:v>0.5975734881302166</x:v>
      </x:c>
      <x:c r="I191" s="24" t="n">
        <x:f>Subsurface_Inputs!$C$19+Subsurface_Inputs!$C$20*SIN(2*PI()*(A191-Subsurface_Inputs!$C$21)/Subsurface_Inputs!$C$22)-Subsurface_Inputs!$C$23*H191</x:f>
        <x:v>5381.905630447441</x:v>
      </x:c>
      <x:c r="J191" s="24" t="n">
        <x:f>B191-I191</x:f>
        <x:v>-5133.064194469213</x:v>
      </x:c>
      <x:c r="K191" s="24" t="n">
        <x:f>Subsurface_Inputs!$C$25+Subsurface_Inputs!$C$26*SIN(2*PI()*(A191+Subsurface_Inputs!$C$27)/Subsurface_Inputs!$C$28)+Subsurface_Inputs!$C$29*COS(2*PI()*(A191-Subsurface_Inputs!$C$30)/Subsurface_Inputs!$C$31)-Subsurface_Inputs!$C$32*(B191-AVERAGE($B$2:$B$242))</x:f>
        <x:v>14956.29351283138</x:v>
      </x:c>
      <x:c r="L191" s="24" t="n">
        <x:f>B191-K191</x:f>
        <x:v>-14707.452076853153</x:v>
      </x:c>
      <x:c r="M191" s="24" t="n">
        <x:f>2*Subsurface_Inputs!$C$34*F191/Subsurface_Inputs!$C$35*1000000</x:f>
        <x:v>13.60613432646803</x:v>
      </x:c>
      <x:c r="N191" s="24" t="n">
        <x:f>2*Subsurface_Inputs!$C$34*I191/Subsurface_Inputs!$C$35*1000000</x:f>
        <x:v>63.909493161408655</x:v>
      </x:c>
      <x:c r="O191" s="24" t="n">
        <x:f>2*Subsurface_Inputs!$C$34*K191/Subsurface_Inputs!$C$35*1000000</x:f>
        <x:v>177.604217467271</x:v>
      </x:c>
      <x:c r="P191" s="24" t="n">
        <x:f>Subsurface_Inputs!$C$37-2*Subsurface_Inputs!$C$36*(F191/1000)</x:f>
        <x:v>-12.062424049578102</x:v>
      </x:c>
      <x:c r="Q191" s="24" t="n">
        <x:f>Subsurface_Inputs!$C$38+Subsurface_Inputs!$C$39*H191-2*Subsurface_Inputs!$C$36*(I191/1000)</x:f>
        <x:v>-28.309268741633442</x:v>
      </x:c>
      <x:c r="R191" s="24" t="n">
        <x:f>Subsurface_Inputs!$C$40-2*Subsurface_Inputs!$C$36*(K191/1000)-Subsurface_Inputs!$C$41*ABS(L191-AVERAGE($L$2:$L$242))</x:f>
        <x:v>-33.139350529655246</x:v>
      </x:c>
      <x:c r="S191" s="24" t="n">
        <x:f>K191-AVERAGE($K$2:$K$242)</x:f>
        <x:v>-121.09118274272987</x:v>
      </x:c>
      <x:c r="T191" s="24" t="n">
        <x:f>K191/F191</x:f>
        <x:v>13.053245926124461</x:v>
      </x:c>
      <x:c r="U191" s="25" t="str">
        <x:f>IF(H191&gt;=Subsurface_Inputs!$C$42,"Lens visible","Weak/no lens")</x:f>
        <x:v>Lens visible</x:v>
      </x:c>
      <x:c r="V191" s="25" t="str">
        <x:f>IF(R191&gt;=W191,"Likely visible","Weak")</x:f>
        <x:v>Likely visible</x:v>
      </x:c>
      <x:c r="W191" s="24" t="n">
        <x:f>Subsurface_Inputs!$C$43</x:f>
        <x:v>-45</x:v>
      </x:c>
      <x:c r="X191" s="24" t="n">
        <x:f>Q191-W191</x:f>
        <x:v>16.690731258366558</x:v>
      </x:c>
      <x:c r="Y191" s="24" t="n">
        <x:f>R191-W191</x:f>
        <x:v>11.860649470344754</x:v>
      </x:c>
      <x:c r="Z191" s="24" t="n">
        <x:f>MAX(Q191,R191)-W191</x:f>
        <x:v>16.690731258366558</x:v>
      </x:c>
      <x:c r="AA191" s="24" t="n">
        <x:v>0</x:v>
      </x:c>
    </x:row>
    <x:row r="192">
      <x:c r="A192" s="24" t="n">
        <x:f>Model_Data!A192</x:f>
        <x:v>35</x:v>
      </x:c>
      <x:c r="B192" s="24" t="n">
        <x:f>Model_Data!Y192</x:f>
        <x:v>242.00890812042311</x:v>
      </x:c>
      <x:c r="C192" s="24" t="n">
        <x:f>Model_Data!X192</x:f>
        <x:v>28.92396994213728</x:v>
      </x:c>
      <x:c r="D192" s="24" t="n">
        <x:f>Model_Data!B192</x:f>
        <x:v>401.3611111111111</x:v>
      </x:c>
      <x:c r="E192" s="24" t="n">
        <x:f>Inputs!$C$6</x:f>
        <x:v>25</x:v>
      </x:c>
      <x:c r="F192" s="24" t="n">
        <x:f>Subsurface_Inputs!$C$5+Subsurface_Inputs!$C$6*SIN(2*PI()*(A192+Subsurface_Inputs!$C$7)/Subsurface_Inputs!$C$8)+Subsurface_Inputs!$C$9*COS(2*PI()*A192/Subsurface_Inputs!$C$10)+Subsurface_Inputs!$C$11*(B192-AVERAGE($B$2:$B$242))</x:f>
        <x:v>1157.0435151381953</x:v>
      </x:c>
      <x:c r="G192" s="24" t="n">
        <x:f>B192-F192</x:f>
        <x:v>-915.0346070177721</x:v>
      </x:c>
      <x:c r="H192" s="24" t="n">
        <x:f>MIN(1,MAX(0,Subsurface_Inputs!$C$13*EXP(-0.5*((A192-Subsurface_Inputs!$C$14)/Subsurface_Inputs!$C$15)^2)+Subsurface_Inputs!$C$16*EXP(-0.5*((A192-Subsurface_Inputs!$C$17)/Subsurface_Inputs!$C$18)^2)))</x:f>
        <x:v>0.5758043199108684</x:v>
      </x:c>
      <x:c r="I192" s="24" t="n">
        <x:f>Subsurface_Inputs!$C$19+Subsurface_Inputs!$C$20*SIN(2*PI()*(A192-Subsurface_Inputs!$C$21)/Subsurface_Inputs!$C$22)-Subsurface_Inputs!$C$23*H192</x:f>
        <x:v>5375.359256283574</x:v>
      </x:c>
      <x:c r="J192" s="24" t="n">
        <x:f>B192-I192</x:f>
        <x:v>-5133.350348163151</x:v>
      </x:c>
      <x:c r="K192" s="24" t="n">
        <x:f>Subsurface_Inputs!$C$25+Subsurface_Inputs!$C$26*SIN(2*PI()*(A192+Subsurface_Inputs!$C$27)/Subsurface_Inputs!$C$28)+Subsurface_Inputs!$C$29*COS(2*PI()*(A192-Subsurface_Inputs!$C$30)/Subsurface_Inputs!$C$31)-Subsurface_Inputs!$C$32*(B192-AVERAGE($B$2:$B$242))</x:f>
        <x:v>14933.449478009088</x:v>
      </x:c>
      <x:c r="L192" s="24" t="n">
        <x:f>B192-K192</x:f>
        <x:v>-14691.440569888666</x:v>
      </x:c>
      <x:c r="M192" s="24" t="n">
        <x:f>2*Subsurface_Inputs!$C$34*F192/Subsurface_Inputs!$C$35*1000000</x:f>
        <x:v>13.739754967057829</x:v>
      </x:c>
      <x:c r="N192" s="24" t="n">
        <x:f>2*Subsurface_Inputs!$C$34*I192/Subsurface_Inputs!$C$35*1000000</x:f>
        <x:v>63.831755742065816</x:v>
      </x:c>
      <x:c r="O192" s="24" t="n">
        <x:f>2*Subsurface_Inputs!$C$34*K192/Subsurface_Inputs!$C$35*1000000</x:f>
        <x:v>177.33294725417124</x:v>
      </x:c>
      <x:c r="P192" s="24" t="n">
        <x:f>Subsurface_Inputs!$C$37-2*Subsurface_Inputs!$C$36*(F192/1000)</x:f>
        <x:v>-12.082678327248752</x:v>
      </x:c>
      <x:c r="Q192" s="24" t="n">
        <x:f>Subsurface_Inputs!$C$38+Subsurface_Inputs!$C$39*H192-2*Subsurface_Inputs!$C$36*(I192/1000)</x:f>
        <x:v>-28.49340778211262</x:v>
      </x:c>
      <x:c r="R192" s="24" t="n">
        <x:f>Subsurface_Inputs!$C$40-2*Subsurface_Inputs!$C$36*(K192/1000)-Subsurface_Inputs!$C$41*ABS(L192-AVERAGE($L$2:$L$242))</x:f>
        <x:v>-33.16227729483307</x:v>
      </x:c>
      <x:c r="S192" s="24" t="n">
        <x:f>K192-AVERAGE($K$2:$K$242)</x:f>
        <x:v>-143.93521756502196</x:v>
      </x:c>
      <x:c r="T192" s="24" t="n">
        <x:f>K192/F192</x:f>
        <x:v>12.90655820859552</x:v>
      </x:c>
      <x:c r="U192" s="25" t="str">
        <x:f>IF(H192&gt;=Subsurface_Inputs!$C$42,"Lens visible","Weak/no lens")</x:f>
        <x:v>Lens visible</x:v>
      </x:c>
      <x:c r="V192" s="25" t="str">
        <x:f>IF(R192&gt;=W192,"Likely visible","Weak")</x:f>
        <x:v>Likely visible</x:v>
      </x:c>
      <x:c r="W192" s="24" t="n">
        <x:f>Subsurface_Inputs!$C$43</x:f>
        <x:v>-45</x:v>
      </x:c>
      <x:c r="X192" s="24" t="n">
        <x:f>Q192-W192</x:f>
        <x:v>16.50659221788738</x:v>
      </x:c>
      <x:c r="Y192" s="24" t="n">
        <x:f>R192-W192</x:f>
        <x:v>11.837722705166932</x:v>
      </x:c>
      <x:c r="Z192" s="24" t="n">
        <x:f>MAX(Q192,R192)-W192</x:f>
        <x:v>16.50659221788738</x:v>
      </x:c>
      <x:c r="AA192" s="24" t="n">
        <x:v>0</x:v>
      </x:c>
    </x:row>
    <x:row r="193">
      <x:c r="A193" s="24" t="n">
        <x:f>Model_Data!A193</x:f>
        <x:v>35.5</x:v>
      </x:c>
      <x:c r="B193" s="24" t="n">
        <x:f>Model_Data!Y193</x:f>
        <x:v>242.63788270086079</x:v>
      </x:c>
      <x:c r="C193" s="24" t="n">
        <x:f>Model_Data!X193</x:f>
        <x:v>32.227616256478356</x:v>
      </x:c>
      <x:c r="D193" s="24" t="n">
        <x:f>Model_Data!B193</x:f>
        <x:v>401.4002777777778</x:v>
      </x:c>
      <x:c r="E193" s="24" t="n">
        <x:f>Inputs!$C$6</x:f>
        <x:v>25</x:v>
      </x:c>
      <x:c r="F193" s="24" t="n">
        <x:f>Subsurface_Inputs!$C$5+Subsurface_Inputs!$C$6*SIN(2*PI()*(A193+Subsurface_Inputs!$C$7)/Subsurface_Inputs!$C$8)+Subsurface_Inputs!$C$9*COS(2*PI()*A193/Subsurface_Inputs!$C$10)+Subsurface_Inputs!$C$11*(B193-AVERAGE($B$2:$B$242))</x:f>
        <x:v>1169.3133953839156</x:v>
      </x:c>
      <x:c r="G193" s="24" t="n">
        <x:f>B193-F193</x:f>
        <x:v>-926.6755126830548</x:v>
      </x:c>
      <x:c r="H193" s="24" t="n">
        <x:f>MIN(1,MAX(0,Subsurface_Inputs!$C$13*EXP(-0.5*((A193-Subsurface_Inputs!$C$14)/Subsurface_Inputs!$C$15)^2)+Subsurface_Inputs!$C$16*EXP(-0.5*((A193-Subsurface_Inputs!$C$17)/Subsurface_Inputs!$C$18)^2)))</x:f>
        <x:v>0.55266511826856</x:v>
      </x:c>
      <x:c r="I193" s="24" t="n">
        <x:f>Subsurface_Inputs!$C$19+Subsurface_Inputs!$C$20*SIN(2*PI()*(A193-Subsurface_Inputs!$C$21)/Subsurface_Inputs!$C$22)-Subsurface_Inputs!$C$23*H193</x:f>
        <x:v>5368.534745122956</x:v>
      </x:c>
      <x:c r="J193" s="24" t="n">
        <x:f>B193-I193</x:f>
        <x:v>-5125.896862422095</x:v>
      </x:c>
      <x:c r="K193" s="24" t="n">
        <x:f>Subsurface_Inputs!$C$25+Subsurface_Inputs!$C$26*SIN(2*PI()*(A193+Subsurface_Inputs!$C$27)/Subsurface_Inputs!$C$28)+Subsurface_Inputs!$C$29*COS(2*PI()*(A193-Subsurface_Inputs!$C$30)/Subsurface_Inputs!$C$31)-Subsurface_Inputs!$C$32*(B193-AVERAGE($B$2:$B$242))</x:f>
        <x:v>14910.216672625642</x:v>
      </x:c>
      <x:c r="L193" s="24" t="n">
        <x:f>B193-K193</x:f>
        <x:v>-14667.57878992478</x:v>
      </x:c>
      <x:c r="M193" s="24" t="n">
        <x:f>2*Subsurface_Inputs!$C$34*F193/Subsurface_Inputs!$C$35*1000000</x:f>
        <x:v>13.885458344541608</x:v>
      </x:c>
      <x:c r="N193" s="24" t="n">
        <x:f>2*Subsurface_Inputs!$C$34*I193/Subsurface_Inputs!$C$35*1000000</x:f>
        <x:v>63.75071547876539</x:v>
      </x:c>
      <x:c r="O193" s="24" t="n">
        <x:f>2*Subsurface_Inputs!$C$34*K193/Subsurface_Inputs!$C$35*1000000</x:f>
        <x:v>177.05706043661473</x:v>
      </x:c>
      <x:c r="P193" s="24" t="n">
        <x:f>Subsurface_Inputs!$C$37-2*Subsurface_Inputs!$C$36*(F193/1000)</x:f>
        <x:v>-12.104764111691049</x:v>
      </x:c>
      <x:c r="Q193" s="24" t="n">
        <x:f>Subsurface_Inputs!$C$38+Subsurface_Inputs!$C$39*H193-2*Subsurface_Inputs!$C$36*(I193/1000)</x:f>
        <x:v>-28.68937647680428</x:v>
      </x:c>
      <x:c r="R193" s="24" t="n">
        <x:f>Subsurface_Inputs!$C$40-2*Subsurface_Inputs!$C$36*(K193/1000)-Subsurface_Inputs!$C$41*ABS(L193-AVERAGE($L$2:$L$242))</x:f>
        <x:v>-33.215905364998406</x:v>
      </x:c>
      <x:c r="S193" s="24" t="n">
        <x:f>K193-AVERAGE($K$2:$K$242)</x:f>
        <x:v>-167.1680229484682</x:v>
      </x:c>
      <x:c r="T193" s="24" t="n">
        <x:f>K193/F193</x:f>
        <x:v>12.751257901847806</x:v>
      </x:c>
      <x:c r="U193" s="25" t="str">
        <x:f>IF(H193&gt;=Subsurface_Inputs!$C$42,"Lens visible","Weak/no lens")</x:f>
        <x:v>Lens visible</x:v>
      </x:c>
      <x:c r="V193" s="25" t="str">
        <x:f>IF(R193&gt;=W193,"Likely visible","Weak")</x:f>
        <x:v>Likely visible</x:v>
      </x:c>
      <x:c r="W193" s="24" t="n">
        <x:f>Subsurface_Inputs!$C$43</x:f>
        <x:v>-45</x:v>
      </x:c>
      <x:c r="X193" s="24" t="n">
        <x:f>Q193-W193</x:f>
        <x:v>16.31062352319572</x:v>
      </x:c>
      <x:c r="Y193" s="24" t="n">
        <x:f>R193-W193</x:f>
        <x:v>11.784094635001594</x:v>
      </x:c>
      <x:c r="Z193" s="24" t="n">
        <x:f>MAX(Q193,R193)-W193</x:f>
        <x:v>16.31062352319572</x:v>
      </x:c>
      <x:c r="AA193" s="24" t="n">
        <x:v>0</x:v>
      </x:c>
    </x:row>
    <x:row r="194">
      <x:c r="A194" s="24" t="n">
        <x:f>Model_Data!A194</x:f>
        <x:v>36</x:v>
      </x:c>
      <x:c r="B194" s="24" t="n">
        <x:f>Model_Data!Y194</x:f>
        <x:v>251.8480330414438</x:v>
      </x:c>
      <x:c r="C194" s="24" t="n">
        <x:f>Model_Data!X194</x:f>
        <x:v>45.422536466318</x:v>
      </x:c>
      <x:c r="D194" s="24" t="n">
        <x:f>Model_Data!B194</x:f>
        <x:v>401.44</x:v>
      </x:c>
      <x:c r="E194" s="24" t="n">
        <x:f>Inputs!$C$6</x:f>
        <x:v>25</x:v>
      </x:c>
      <x:c r="F194" s="24" t="n">
        <x:f>Subsurface_Inputs!$C$5+Subsurface_Inputs!$C$6*SIN(2*PI()*(A194+Subsurface_Inputs!$C$7)/Subsurface_Inputs!$C$8)+Subsurface_Inputs!$C$9*COS(2*PI()*A194/Subsurface_Inputs!$C$10)+Subsurface_Inputs!$C$11*(B194-AVERAGE($B$2:$B$242))</x:f>
        <x:v>1182.5553698382591</x:v>
      </x:c>
      <x:c r="G194" s="24" t="n">
        <x:f>B194-F194</x:f>
        <x:v>-930.7073367968153</x:v>
      </x:c>
      <x:c r="H194" s="24" t="n">
        <x:f>MIN(1,MAX(0,Subsurface_Inputs!$C$13*EXP(-0.5*((A194-Subsurface_Inputs!$C$14)/Subsurface_Inputs!$C$15)^2)+Subsurface_Inputs!$C$16*EXP(-0.5*((A194-Subsurface_Inputs!$C$17)/Subsurface_Inputs!$C$18)^2)))</x:f>
        <x:v>0.5283877358607858</x:v>
      </x:c>
      <x:c r="I194" s="24" t="n">
        <x:f>Subsurface_Inputs!$C$19+Subsurface_Inputs!$C$20*SIN(2*PI()*(A194-Subsurface_Inputs!$C$21)/Subsurface_Inputs!$C$22)-Subsurface_Inputs!$C$23*H194</x:f>
        <x:v>5361.3946186316325</x:v>
      </x:c>
      <x:c r="J194" s="24" t="n">
        <x:f>B194-I194</x:f>
        <x:v>-5109.546585590188</x:v>
      </x:c>
      <x:c r="K194" s="24" t="n">
        <x:f>Subsurface_Inputs!$C$25+Subsurface_Inputs!$C$26*SIN(2*PI()*(A194+Subsurface_Inputs!$C$27)/Subsurface_Inputs!$C$28)+Subsurface_Inputs!$C$29*COS(2*PI()*(A194-Subsurface_Inputs!$C$30)/Subsurface_Inputs!$C$31)-Subsurface_Inputs!$C$32*(B194-AVERAGE($B$2:$B$242))</x:f>
        <x:v>14886.46343791321</x:v>
      </x:c>
      <x:c r="L194" s="24" t="n">
        <x:f>B194-K194</x:f>
        <x:v>-14634.615404871765</x:v>
      </x:c>
      <x:c r="M194" s="24" t="n">
        <x:f>2*Subsurface_Inputs!$C$34*F194/Subsurface_Inputs!$C$35*1000000</x:f>
        <x:v>14.042705225840614</x:v>
      </x:c>
      <x:c r="N194" s="24" t="n">
        <x:f>2*Subsurface_Inputs!$C$34*I194/Subsurface_Inputs!$C$35*1000000</x:f>
        <x:v>63.66592732072202</x:v>
      </x:c>
      <x:c r="O194" s="24" t="n">
        <x:f>2*Subsurface_Inputs!$C$34*K194/Subsurface_Inputs!$C$35*1000000</x:f>
        <x:v>176.77499358229696</x:v>
      </x:c>
      <x:c r="P194" s="24" t="n">
        <x:f>Subsurface_Inputs!$C$37-2*Subsurface_Inputs!$C$36*(F194/1000)</x:f>
        <x:v>-12.128599665708867</x:v>
      </x:c>
      <x:c r="Q194" s="24" t="n">
        <x:f>Subsurface_Inputs!$C$38+Subsurface_Inputs!$C$39*H194-2*Subsurface_Inputs!$C$36*(I194/1000)</x:f>
        <x:v>-28.89502069078987</x:v>
      </x:c>
      <x:c r="R194" s="24" t="n">
        <x:f>Subsurface_Inputs!$C$40-2*Subsurface_Inputs!$C$36*(K194/1000)-Subsurface_Inputs!$C$41*ABS(L194-AVERAGE($L$2:$L$242))</x:f>
        <x:v>-33.30500308272809</x:v>
      </x:c>
      <x:c r="S194" s="24" t="n">
        <x:f>K194-AVERAGE($K$2:$K$242)</x:f>
        <x:v>-190.92125766090066</x:v>
      </x:c>
      <x:c r="T194" s="24" t="n">
        <x:f>K194/F194</x:f>
        <x:v>12.588385979718874</x:v>
      </x:c>
      <x:c r="U194" s="25" t="str">
        <x:f>IF(H194&gt;=Subsurface_Inputs!$C$42,"Lens visible","Weak/no lens")</x:f>
        <x:v>Lens visible</x:v>
      </x:c>
      <x:c r="V194" s="25" t="str">
        <x:f>IF(R194&gt;=W194,"Likely visible","Weak")</x:f>
        <x:v>Likely visible</x:v>
      </x:c>
      <x:c r="W194" s="24" t="n">
        <x:f>Subsurface_Inputs!$C$43</x:f>
        <x:v>-45</x:v>
      </x:c>
      <x:c r="X194" s="24" t="n">
        <x:f>Q194-W194</x:f>
        <x:v>16.10497930921013</x:v>
      </x:c>
      <x:c r="Y194" s="24" t="n">
        <x:f>R194-W194</x:f>
        <x:v>11.694996917271908</x:v>
      </x:c>
      <x:c r="Z194" s="24" t="n">
        <x:f>MAX(Q194,R194)-W194</x:f>
        <x:v>16.10497930921013</x:v>
      </x:c>
      <x:c r="AA194" s="24" t="n">
        <x:v>0</x:v>
      </x:c>
    </x:row>
    <x:row r="195">
      <x:c r="A195" s="24" t="n">
        <x:f>Model_Data!A195</x:f>
        <x:v>36.5</x:v>
      </x:c>
      <x:c r="B195" s="24" t="n">
        <x:f>Model_Data!Y195</x:f>
        <x:v>274.3131350022337</x:v>
      </x:c>
      <x:c r="C195" s="24" t="n">
        <x:f>Model_Data!X195</x:f>
        <x:v>44.98219479967033</x:v>
      </x:c>
      <x:c r="D195" s="24" t="n">
        <x:f>Model_Data!B195</x:f>
        <x:v>401.48027777777776</x:v>
      </x:c>
      <x:c r="E195" s="24" t="n">
        <x:f>Inputs!$C$6</x:f>
        <x:v>25</x:v>
      </x:c>
      <x:c r="F195" s="24" t="n">
        <x:f>Subsurface_Inputs!$C$5+Subsurface_Inputs!$C$6*SIN(2*PI()*(A195+Subsurface_Inputs!$C$7)/Subsurface_Inputs!$C$8)+Subsurface_Inputs!$C$9*COS(2*PI()*A195/Subsurface_Inputs!$C$10)+Subsurface_Inputs!$C$11*(B195-AVERAGE($B$2:$B$242))</x:f>
        <x:v>1196.8486467414461</x:v>
      </x:c>
      <x:c r="G195" s="24" t="n">
        <x:f>B195-F195</x:f>
        <x:v>-922.5355117392124</x:v>
      </x:c>
      <x:c r="H195" s="24" t="n">
        <x:f>MIN(1,MAX(0,Subsurface_Inputs!$C$13*EXP(-0.5*((A195-Subsurface_Inputs!$C$14)/Subsurface_Inputs!$C$15)^2)+Subsurface_Inputs!$C$16*EXP(-0.5*((A195-Subsurface_Inputs!$C$17)/Subsurface_Inputs!$C$18)^2)))</x:f>
        <x:v>0.5032073095015475</x:v>
      </x:c>
      <x:c r="I195" s="24" t="n">
        <x:f>Subsurface_Inputs!$C$19+Subsurface_Inputs!$C$20*SIN(2*PI()*(A195-Subsurface_Inputs!$C$21)/Subsurface_Inputs!$C$22)-Subsurface_Inputs!$C$23*H195</x:f>
        <x:v>5353.901474392038</x:v>
      </x:c>
      <x:c r="J195" s="24" t="n">
        <x:f>B195-I195</x:f>
        <x:v>-5079.588339389804</x:v>
      </x:c>
      <x:c r="K195" s="24" t="n">
        <x:f>Subsurface_Inputs!$C$25+Subsurface_Inputs!$C$26*SIN(2*PI()*(A195+Subsurface_Inputs!$C$27)/Subsurface_Inputs!$C$28)+Subsurface_Inputs!$C$29*COS(2*PI()*(A195-Subsurface_Inputs!$C$30)/Subsurface_Inputs!$C$31)-Subsurface_Inputs!$C$32*(B195-AVERAGE($B$2:$B$242))</x:f>
        <x:v>14861.558563029474</x:v>
      </x:c>
      <x:c r="L195" s="24" t="n">
        <x:f>B195-K195</x:f>
        <x:v>-14587.24542802724</x:v>
      </x:c>
      <x:c r="M195" s="24" t="n">
        <x:f>2*Subsurface_Inputs!$C$34*F195/Subsurface_Inputs!$C$35*1000000</x:f>
        <x:v>14.212436199444177</x:v>
      </x:c>
      <x:c r="N195" s="24" t="n">
        <x:f>2*Subsurface_Inputs!$C$34*I195/Subsurface_Inputs!$C$35*1000000</x:f>
        <x:v>63.57694711864851</x:v>
      </x:c>
      <x:c r="O195" s="24" t="n">
        <x:f>2*Subsurface_Inputs!$C$34*K195/Subsurface_Inputs!$C$35*1000000</x:f>
        <x:v>176.4792511370814</x:v>
      </x:c>
      <x:c r="P195" s="24" t="n">
        <x:f>Subsurface_Inputs!$C$37-2*Subsurface_Inputs!$C$36*(F195/1000)</x:f>
        <x:v>-12.154327564134602</x:v>
      </x:c>
      <x:c r="Q195" s="24" t="n">
        <x:f>Subsurface_Inputs!$C$38+Subsurface_Inputs!$C$39*H195-2*Subsurface_Inputs!$C$36*(I195/1000)</x:f>
        <x:v>-29.108156868391738</x:v>
      </x:c>
      <x:c r="R195" s="24" t="n">
        <x:f>Subsurface_Inputs!$C$40-2*Subsurface_Inputs!$C$36*(K195/1000)-Subsurface_Inputs!$C$41*ABS(L195-AVERAGE($L$2:$L$242))</x:f>
        <x:v>-33.44965421531546</x:v>
      </x:c>
      <x:c r="S195" s="24" t="n">
        <x:f>K195-AVERAGE($K$2:$K$242)</x:f>
        <x:v>-215.8261325446365</x:v>
      </x:c>
      <x:c r="T195" s="24" t="n">
        <x:f>K195/F195</x:f>
        <x:v>12.417241397641819</x:v>
      </x:c>
      <x:c r="U195" s="25" t="str">
        <x:f>IF(H195&gt;=Subsurface_Inputs!$C$42,"Lens visible","Weak/no lens")</x:f>
        <x:v>Lens visible</x:v>
      </x:c>
      <x:c r="V195" s="25" t="str">
        <x:f>IF(R195&gt;=W195,"Likely visible","Weak")</x:f>
        <x:v>Likely visible</x:v>
      </x:c>
      <x:c r="W195" s="24" t="n">
        <x:f>Subsurface_Inputs!$C$43</x:f>
        <x:v>-45</x:v>
      </x:c>
      <x:c r="X195" s="24" t="n">
        <x:f>Q195-W195</x:f>
        <x:v>15.891843131608262</x:v>
      </x:c>
      <x:c r="Y195" s="24" t="n">
        <x:f>R195-W195</x:f>
        <x:v>11.550345784684538</x:v>
      </x:c>
      <x:c r="Z195" s="24" t="n">
        <x:f>MAX(Q195,R195)-W195</x:f>
        <x:v>15.891843131608262</x:v>
      </x:c>
      <x:c r="AA195" s="24" t="n">
        <x:v>0</x:v>
      </x:c>
    </x:row>
    <x:row r="196">
      <x:c r="A196" s="24" t="n">
        <x:f>Model_Data!A196</x:f>
        <x:v>37</x:v>
      </x:c>
      <x:c r="B196" s="24" t="n">
        <x:f>Model_Data!Y196</x:f>
        <x:v>277.26991348245565</x:v>
      </x:c>
      <x:c r="C196" s="24" t="n">
        <x:f>Model_Data!X196</x:f>
        <x:v>58.36098804305038</x:v>
      </x:c>
      <x:c r="D196" s="24" t="n">
        <x:f>Model_Data!B196</x:f>
        <x:v>401.5211111111111</x:v>
      </x:c>
      <x:c r="E196" s="24" t="n">
        <x:f>Inputs!$C$6</x:f>
        <x:v>25</x:v>
      </x:c>
      <x:c r="F196" s="24" t="n">
        <x:f>Subsurface_Inputs!$C$5+Subsurface_Inputs!$C$6*SIN(2*PI()*(A196+Subsurface_Inputs!$C$7)/Subsurface_Inputs!$C$8)+Subsurface_Inputs!$C$9*COS(2*PI()*A196/Subsurface_Inputs!$C$10)+Subsurface_Inputs!$C$11*(B196-AVERAGE($B$2:$B$242))</x:f>
        <x:v>1210.7586744571292</x:v>
      </x:c>
      <x:c r="G196" s="24" t="n">
        <x:f>B196-F196</x:f>
        <x:v>-933.4887609746736</x:v>
      </x:c>
      <x:c r="H196" s="24" t="n">
        <x:f>MIN(1,MAX(0,Subsurface_Inputs!$C$13*EXP(-0.5*((A196-Subsurface_Inputs!$C$14)/Subsurface_Inputs!$C$15)^2)+Subsurface_Inputs!$C$16*EXP(-0.5*((A196-Subsurface_Inputs!$C$17)/Subsurface_Inputs!$C$18)^2)))</x:f>
        <x:v>0.477358533734111</x:v>
      </x:c>
      <x:c r="I196" s="24" t="n">
        <x:f>Subsurface_Inputs!$C$19+Subsurface_Inputs!$C$20*SIN(2*PI()*(A196-Subsurface_Inputs!$C$21)/Subsurface_Inputs!$C$22)-Subsurface_Inputs!$C$23*H196</x:f>
        <x:v>5346.0188523157785</x:v>
      </x:c>
      <x:c r="J196" s="24" t="n">
        <x:f>B196-I196</x:f>
        <x:v>-5068.748938833323</x:v>
      </x:c>
      <x:c r="K196" s="24" t="n">
        <x:f>Subsurface_Inputs!$C$25+Subsurface_Inputs!$C$26*SIN(2*PI()*(A196+Subsurface_Inputs!$C$27)/Subsurface_Inputs!$C$28)+Subsurface_Inputs!$C$29*COS(2*PI()*(A196-Subsurface_Inputs!$C$30)/Subsurface_Inputs!$C$31)-Subsurface_Inputs!$C$32*(B196-AVERAGE($B$2:$B$242))</x:f>
        <x:v>14840.110005912007</x:v>
      </x:c>
      <x:c r="L196" s="24" t="n">
        <x:f>B196-K196</x:f>
        <x:v>-14562.840092429551</x:v>
      </x:c>
      <x:c r="M196" s="24" t="n">
        <x:f>2*Subsurface_Inputs!$C$34*F196/Subsurface_Inputs!$C$35*1000000</x:f>
        <x:v>14.377616134250381</x:v>
      </x:c>
      <x:c r="N196" s="24" t="n">
        <x:f>2*Subsurface_Inputs!$C$34*I196/Subsurface_Inputs!$C$35*1000000</x:f>
        <x:v>63.48334191330515</x:v>
      </x:c>
      <x:c r="O196" s="24" t="n">
        <x:f>2*Subsurface_Inputs!$C$34*K196/Subsurface_Inputs!$C$35*1000000</x:f>
        <x:v>176.2245520567657</x:v>
      </x:c>
      <x:c r="P196" s="24" t="n">
        <x:f>Subsurface_Inputs!$C$37-2*Subsurface_Inputs!$C$36*(F196/1000)</x:f>
        <x:v>-12.179365614022833</x:v>
      </x:c>
      <x:c r="Q196" s="24" t="n">
        <x:f>Subsurface_Inputs!$C$38+Subsurface_Inputs!$C$39*H196-2*Subsurface_Inputs!$C$36*(I196/1000)</x:f>
        <x:v>-29.326607130561403</x:v>
      </x:c>
      <x:c r="R196" s="24" t="n">
        <x:f>Subsurface_Inputs!$C$40-2*Subsurface_Inputs!$C$36*(K196/1000)-Subsurface_Inputs!$C$41*ABS(L196-AVERAGE($L$2:$L$242))</x:f>
        <x:v>-33.50866815489478</x:v>
      </x:c>
      <x:c r="S196" s="24" t="n">
        <x:f>K196-AVERAGE($K$2:$K$242)</x:f>
        <x:v>-237.2746896621029</x:v>
      </x:c>
      <x:c r="T196" s="24" t="n">
        <x:f>K196/F196</x:f>
        <x:v>12.256868622119022</x:v>
      </x:c>
      <x:c r="U196" s="25" t="str">
        <x:f>IF(H196&gt;=Subsurface_Inputs!$C$42,"Lens visible","Weak/no lens")</x:f>
        <x:v>Lens visible</x:v>
      </x:c>
      <x:c r="V196" s="25" t="str">
        <x:f>IF(R196&gt;=W196,"Likely visible","Weak")</x:f>
        <x:v>Likely visible</x:v>
      </x:c>
      <x:c r="W196" s="24" t="n">
        <x:f>Subsurface_Inputs!$C$43</x:f>
        <x:v>-45</x:v>
      </x:c>
      <x:c r="X196" s="24" t="n">
        <x:f>Q196-W196</x:f>
        <x:v>15.673392869438597</x:v>
      </x:c>
      <x:c r="Y196" s="24" t="n">
        <x:f>R196-W196</x:f>
        <x:v>11.491331845105222</x:v>
      </x:c>
      <x:c r="Z196" s="24" t="n">
        <x:f>MAX(Q196,R196)-W196</x:f>
        <x:v>15.673392869438597</x:v>
      </x:c>
      <x:c r="AA196" s="24" t="n">
        <x:v>0</x:v>
      </x:c>
    </x:row>
    <x:row r="197">
      <x:c r="A197" s="24" t="n">
        <x:f>Model_Data!A197</x:f>
        <x:v>37.5</x:v>
      </x:c>
      <x:c r="B197" s="24" t="n">
        <x:f>Model_Data!Y197</x:f>
        <x:v>280.6842863692354</x:v>
      </x:c>
      <x:c r="C197" s="24" t="n">
        <x:f>Model_Data!X197</x:f>
        <x:v>56.08108474403666</x:v>
      </x:c>
      <x:c r="D197" s="24" t="n">
        <x:f>Model_Data!B197</x:f>
        <x:v>401.5625</x:v>
      </x:c>
      <x:c r="E197" s="24" t="n">
        <x:f>Inputs!$C$6</x:f>
        <x:v>25</x:v>
      </x:c>
      <x:c r="F197" s="24" t="n">
        <x:f>Subsurface_Inputs!$C$5+Subsurface_Inputs!$C$6*SIN(2*PI()*(A197+Subsurface_Inputs!$C$7)/Subsurface_Inputs!$C$8)+Subsurface_Inputs!$C$9*COS(2*PI()*A197/Subsurface_Inputs!$C$10)+Subsurface_Inputs!$C$11*(B197-AVERAGE($B$2:$B$242))</x:f>
        <x:v>1224.9453996711716</x:v>
      </x:c>
      <x:c r="G197" s="24" t="n">
        <x:f>B197-F197</x:f>
        <x:v>-944.2611133019361</x:v>
      </x:c>
      <x:c r="H197" s="24" t="n">
        <x:f>MIN(1,MAX(0,Subsurface_Inputs!$C$13*EXP(-0.5*((A197-Subsurface_Inputs!$C$14)/Subsurface_Inputs!$C$15)^2)+Subsurface_Inputs!$C$16*EXP(-0.5*((A197-Subsurface_Inputs!$C$17)/Subsurface_Inputs!$C$18)^2)))</x:f>
        <x:v>0.4510721131942753</x:v>
      </x:c>
      <x:c r="I197" s="24" t="n">
        <x:f>Subsurface_Inputs!$C$19+Subsurface_Inputs!$C$20*SIN(2*PI()*(A197-Subsurface_Inputs!$C$21)/Subsurface_Inputs!$C$22)-Subsurface_Inputs!$C$23*H197</x:f>
        <x:v>5337.7120569194685</x:v>
      </x:c>
      <x:c r="J197" s="24" t="n">
        <x:f>B197-I197</x:f>
        <x:v>-5057.027770550233</x:v>
      </x:c>
      <x:c r="K197" s="24" t="n">
        <x:f>Subsurface_Inputs!$C$25+Subsurface_Inputs!$C$26*SIN(2*PI()*(A197+Subsurface_Inputs!$C$27)/Subsurface_Inputs!$C$28)+Subsurface_Inputs!$C$29*COS(2*PI()*(A197-Subsurface_Inputs!$C$30)/Subsurface_Inputs!$C$31)-Subsurface_Inputs!$C$32*(B197-AVERAGE($B$2:$B$242))</x:f>
        <x:v>14819.341583785392</x:v>
      </x:c>
      <x:c r="L197" s="24" t="n">
        <x:f>B197-K197</x:f>
        <x:v>-14538.657297416157</x:v>
      </x:c>
      <x:c r="M197" s="24" t="n">
        <x:f>2*Subsurface_Inputs!$C$34*F197/Subsurface_Inputs!$C$35*1000000</x:f>
        <x:v>14.546081819140928</x:v>
      </x:c>
      <x:c r="N197" s="24" t="n">
        <x:f>2*Subsurface_Inputs!$C$34*I197/Subsurface_Inputs!$C$35*1000000</x:f>
        <x:v>63.3846996999281</x:v>
      </x:c>
      <x:c r="O197" s="24" t="n">
        <x:f>2*Subsurface_Inputs!$C$34*K197/Subsurface_Inputs!$C$35*1000000</x:f>
        <x:v>175.977929499067</x:v>
      </x:c>
      <x:c r="P197" s="24" t="n">
        <x:f>Subsurface_Inputs!$C$37-2*Subsurface_Inputs!$C$36*(F197/1000)</x:f>
        <x:v>-12.20490171940811</x:v>
      </x:c>
      <x:c r="Q197" s="24" t="n">
        <x:f>Subsurface_Inputs!$C$38+Subsurface_Inputs!$C$39*H197-2*Subsurface_Inputs!$C$36*(I197/1000)</x:f>
        <x:v>-29.548232683706566</x:v>
      </x:c>
      <x:c r="R197" s="24" t="n">
        <x:f>Subsurface_Inputs!$C$40-2*Subsurface_Inputs!$C$36*(K197/1000)-Subsurface_Inputs!$C$41*ABS(L197-AVERAGE($L$2:$L$242))</x:f>
        <x:v>-33.56801617512045</x:v>
      </x:c>
      <x:c r="S197" s="24" t="n">
        <x:f>K197-AVERAGE($K$2:$K$242)</x:f>
        <x:v>-258.0431117887183</x:v>
      </x:c>
      <x:c r="T197" s="24" t="n">
        <x:f>K197/F197</x:f>
        <x:v>12.09796092769812</x:v>
      </x:c>
      <x:c r="U197" s="25" t="str">
        <x:f>IF(H197&gt;=Subsurface_Inputs!$C$42,"Lens visible","Weak/no lens")</x:f>
        <x:v>Lens visible</x:v>
      </x:c>
      <x:c r="V197" s="25" t="str">
        <x:f>IF(R197&gt;=W197,"Likely visible","Weak")</x:f>
        <x:v>Likely visible</x:v>
      </x:c>
      <x:c r="W197" s="24" t="n">
        <x:f>Subsurface_Inputs!$C$43</x:f>
        <x:v>-45</x:v>
      </x:c>
      <x:c r="X197" s="24" t="n">
        <x:f>Q197-W197</x:f>
        <x:v>15.451767316293434</x:v>
      </x:c>
      <x:c r="Y197" s="24" t="n">
        <x:f>R197-W197</x:f>
        <x:v>11.431983824879552</x:v>
      </x:c>
      <x:c r="Z197" s="24" t="n">
        <x:f>MAX(Q197,R197)-W197</x:f>
        <x:v>15.451767316293434</x:v>
      </x:c>
      <x:c r="AA197" s="24" t="n">
        <x:v>0</x:v>
      </x:c>
    </x:row>
    <x:row r="198">
      <x:c r="A198" s="24" t="n">
        <x:f>Model_Data!A198</x:f>
        <x:v>38</x:v>
      </x:c>
      <x:c r="B198" s="24" t="n">
        <x:f>Model_Data!Y198</x:f>
        <x:v>282.3717678695042</x:v>
      </x:c>
      <x:c r="C198" s="24" t="n">
        <x:f>Model_Data!X198</x:f>
        <x:v>74.89136844725374</x:v>
      </x:c>
      <x:c r="D198" s="24" t="n">
        <x:f>Model_Data!B198</x:f>
        <x:v>401.6044444444444</x:v>
      </x:c>
      <x:c r="E198" s="24" t="n">
        <x:f>Inputs!$C$6</x:f>
        <x:v>25</x:v>
      </x:c>
      <x:c r="F198" s="24" t="n">
        <x:f>Subsurface_Inputs!$C$5+Subsurface_Inputs!$C$6*SIN(2*PI()*(A198+Subsurface_Inputs!$C$7)/Subsurface_Inputs!$C$8)+Subsurface_Inputs!$C$9*COS(2*PI()*A198/Subsurface_Inputs!$C$10)+Subsurface_Inputs!$C$11*(B198-AVERAGE($B$2:$B$242))</x:f>
        <x:v>1239.1700058995218</x:v>
      </x:c>
      <x:c r="G198" s="24" t="n">
        <x:f>B198-F198</x:f>
        <x:v>-956.7982380300176</x:v>
      </x:c>
      <x:c r="H198" s="24" t="n">
        <x:f>MIN(1,MAX(0,Subsurface_Inputs!$C$13*EXP(-0.5*((A198-Subsurface_Inputs!$C$14)/Subsurface_Inputs!$C$15)^2)+Subsurface_Inputs!$C$16*EXP(-0.5*((A198-Subsurface_Inputs!$C$17)/Subsurface_Inputs!$C$18)^2)))</x:f>
        <x:v>0.4245714660703753</x:v>
      </x:c>
      <x:c r="I198" s="24" t="n">
        <x:f>Subsurface_Inputs!$C$19+Subsurface_Inputs!$C$20*SIN(2*PI()*(A198-Subsurface_Inputs!$C$21)/Subsurface_Inputs!$C$22)-Subsurface_Inputs!$C$23*H198</x:f>
        <x:v>5328.948918152922</x:v>
      </x:c>
      <x:c r="J198" s="24" t="n">
        <x:f>B198-I198</x:f>
        <x:v>-5046.577150283418</x:v>
      </x:c>
      <x:c r="K198" s="24" t="n">
        <x:f>Subsurface_Inputs!$C$25+Subsurface_Inputs!$C$26*SIN(2*PI()*(A198+Subsurface_Inputs!$C$27)/Subsurface_Inputs!$C$28)+Subsurface_Inputs!$C$29*COS(2*PI()*(A198-Subsurface_Inputs!$C$30)/Subsurface_Inputs!$C$31)-Subsurface_Inputs!$C$32*(B198-AVERAGE($B$2:$B$242))</x:f>
        <x:v>14799.576086730554</x:v>
      </x:c>
      <x:c r="L198" s="24" t="n">
        <x:f>B198-K198</x:f>
        <x:v>-14517.20431886105</x:v>
      </x:c>
      <x:c r="M198" s="24" t="n">
        <x:f>2*Subsurface_Inputs!$C$34*F198/Subsurface_Inputs!$C$35*1000000</x:f>
        <x:v>14.714997336598433</x:v>
      </x:c>
      <x:c r="N198" s="24" t="n">
        <x:f>2*Subsurface_Inputs!$C$34*I198/Subsurface_Inputs!$C$35*1000000</x:f>
        <x:v>63.28063846297428</x:v>
      </x:c>
      <x:c r="O198" s="24" t="n">
        <x:f>2*Subsurface_Inputs!$C$34*K198/Subsurface_Inputs!$C$35*1000000</x:f>
        <x:v>175.74321655803888</x:v>
      </x:c>
      <x:c r="P198" s="24" t="n">
        <x:f>Subsurface_Inputs!$C$37-2*Subsurface_Inputs!$C$36*(F198/1000)</x:f>
        <x:v>-12.23050601061914</x:v>
      </x:c>
      <x:c r="Q198" s="24" t="n">
        <x:f>Subsurface_Inputs!$C$38+Subsurface_Inputs!$C$39*H198-2*Subsurface_Inputs!$C$36*(I198/1000)</x:f>
        <x:v>-29.77096485804188</x:v>
      </x:c>
      <x:c r="R198" s="24" t="n">
        <x:f>Subsurface_Inputs!$C$40-2*Subsurface_Inputs!$C$36*(K198/1000)-Subsurface_Inputs!$C$41*ABS(L198-AVERAGE($L$2:$L$242))</x:f>
        <x:v>-33.61825019464217</x:v>
      </x:c>
      <x:c r="S198" s="24" t="n">
        <x:f>K198-AVERAGE($K$2:$K$242)</x:f>
        <x:v>-277.8086088435557</x:v>
      </x:c>
      <x:c r="T198" s="24" t="n">
        <x:f>K198/F198</x:f>
        <x:v>11.943136144573998</x:v>
      </x:c>
      <x:c r="U198" s="25" t="str">
        <x:f>IF(H198&gt;=Subsurface_Inputs!$C$42,"Lens visible","Weak/no lens")</x:f>
        <x:v>Lens visible</x:v>
      </x:c>
      <x:c r="V198" s="25" t="str">
        <x:f>IF(R198&gt;=W198,"Likely visible","Weak")</x:f>
        <x:v>Likely visible</x:v>
      </x:c>
      <x:c r="W198" s="24" t="n">
        <x:f>Subsurface_Inputs!$C$43</x:f>
        <x:v>-45</x:v>
      </x:c>
      <x:c r="X198" s="24" t="n">
        <x:f>Q198-W198</x:f>
        <x:v>15.229035141958121</x:v>
      </x:c>
      <x:c r="Y198" s="24" t="n">
        <x:f>R198-W198</x:f>
        <x:v>11.381749805357828</x:v>
      </x:c>
      <x:c r="Z198" s="24" t="n">
        <x:f>MAX(Q198,R198)-W198</x:f>
        <x:v>15.229035141958121</x:v>
      </x:c>
      <x:c r="AA198" s="24" t="n">
        <x:v>0</x:v>
      </x:c>
    </x:row>
    <x:row r="199">
      <x:c r="A199" s="24" t="n">
        <x:f>Model_Data!A199</x:f>
        <x:v>38.5</x:v>
      </x:c>
      <x:c r="B199" s="24" t="n">
        <x:f>Model_Data!Y199</x:f>
        <x:v>311.18191933727104</x:v>
      </x:c>
      <x:c r="C199" s="24" t="n">
        <x:f>Model_Data!X199</x:f>
        <x:v>81.22943665181958</x:v>
      </x:c>
      <x:c r="D199" s="24" t="n">
        <x:f>Model_Data!B199</x:f>
        <x:v>401.64694444444444</x:v>
      </x:c>
      <x:c r="E199" s="24" t="n">
        <x:f>Inputs!$C$6</x:f>
        <x:v>25</x:v>
      </x:c>
      <x:c r="F199" s="24" t="n">
        <x:f>Subsurface_Inputs!$C$5+Subsurface_Inputs!$C$6*SIN(2*PI()*(A199+Subsurface_Inputs!$C$7)/Subsurface_Inputs!$C$8)+Subsurface_Inputs!$C$9*COS(2*PI()*A199/Subsurface_Inputs!$C$10)+Subsurface_Inputs!$C$11*(B199-AVERAGE($B$2:$B$242))</x:f>
        <x:v>1254.4244957169299</x:v>
      </x:c>
      <x:c r="G199" s="24" t="n">
        <x:f>B199-F199</x:f>
        <x:v>-943.2425763796589</x:v>
      </x:c>
      <x:c r="H199" s="24" t="n">
        <x:f>MIN(1,MAX(0,Subsurface_Inputs!$C$13*EXP(-0.5*((A199-Subsurface_Inputs!$C$14)/Subsurface_Inputs!$C$15)^2)+Subsurface_Inputs!$C$16*EXP(-0.5*((A199-Subsurface_Inputs!$C$17)/Subsurface_Inputs!$C$18)^2)))</x:f>
        <x:v>0.3980697407320989</x:v>
      </x:c>
      <x:c r="I199" s="24" t="n">
        <x:f>Subsurface_Inputs!$C$19+Subsurface_Inputs!$C$20*SIN(2*PI()*(A199-Subsurface_Inputs!$C$21)/Subsurface_Inputs!$C$22)-Subsurface_Inputs!$C$23*H199</x:f>
        <x:v>5319.7004759269485</x:v>
      </x:c>
      <x:c r="J199" s="24" t="n">
        <x:f>B199-I199</x:f>
        <x:v>-5008.518556589677</x:v>
      </x:c>
      <x:c r="K199" s="24" t="n">
        <x:f>Subsurface_Inputs!$C$25+Subsurface_Inputs!$C$26*SIN(2*PI()*(A199+Subsurface_Inputs!$C$27)/Subsurface_Inputs!$C$28)+Subsurface_Inputs!$C$29*COS(2*PI()*(A199-Subsurface_Inputs!$C$30)/Subsurface_Inputs!$C$31)-Subsurface_Inputs!$C$32*(B199-AVERAGE($B$2:$B$242))</x:f>
        <x:v>14776.789430047362</x:v>
      </x:c>
      <x:c r="L199" s="24" t="n">
        <x:f>B199-K199</x:f>
        <x:v>-14465.607510710091</x:v>
      </x:c>
      <x:c r="M199" s="24" t="n">
        <x:f>2*Subsurface_Inputs!$C$34*F199/Subsurface_Inputs!$C$35*1000000</x:f>
        <x:v>14.896142599932485</x:v>
      </x:c>
      <x:c r="N199" s="24" t="n">
        <x:f>2*Subsurface_Inputs!$C$34*I199/Subsurface_Inputs!$C$35*1000000</x:f>
        <x:v>63.170814304807955</x:v>
      </x:c>
      <x:c r="O199" s="24" t="n">
        <x:f>2*Subsurface_Inputs!$C$34*K199/Subsurface_Inputs!$C$35*1000000</x:f>
        <x:v>175.4726277035582</x:v>
      </x:c>
      <x:c r="P199" s="24" t="n">
        <x:f>Subsurface_Inputs!$C$37-2*Subsurface_Inputs!$C$36*(F199/1000)</x:f>
        <x:v>-12.257964092290473</x:v>
      </x:c>
      <x:c r="Q199" s="24" t="n">
        <x:f>Subsurface_Inputs!$C$38+Subsurface_Inputs!$C$39*H199-2*Subsurface_Inputs!$C$36*(I199/1000)</x:f>
        <x:v>-29.992833190079615</x:v>
      </x:c>
      <x:c r="R199" s="24" t="n">
        <x:f>Subsurface_Inputs!$C$40-2*Subsurface_Inputs!$C$36*(K199/1000)-Subsurface_Inputs!$C$41*ABS(L199-AVERAGE($L$2:$L$242))</x:f>
        <x:v>-33.783621445216255</x:v>
      </x:c>
      <x:c r="S199" s="24" t="n">
        <x:f>K199-AVERAGE($K$2:$K$242)</x:f>
        <x:v>-300.59526552674834</x:v>
      </x:c>
      <x:c r="T199" s="24" t="n">
        <x:f>K199/F199</x:f>
        <x:v>11.779736030746209</x:v>
      </x:c>
      <x:c r="U199" s="25" t="str">
        <x:f>IF(H199&gt;=Subsurface_Inputs!$C$42,"Lens visible","Weak/no lens")</x:f>
        <x:v>Lens visible</x:v>
      </x:c>
      <x:c r="V199" s="25" t="str">
        <x:f>IF(R199&gt;=W199,"Likely visible","Weak")</x:f>
        <x:v>Likely visible</x:v>
      </x:c>
      <x:c r="W199" s="24" t="n">
        <x:f>Subsurface_Inputs!$C$43</x:f>
        <x:v>-45</x:v>
      </x:c>
      <x:c r="X199" s="24" t="n">
        <x:f>Q199-W199</x:f>
        <x:v>15.007166809920385</x:v>
      </x:c>
      <x:c r="Y199" s="24" t="n">
        <x:f>R199-W199</x:f>
        <x:v>11.216378554783745</x:v>
      </x:c>
      <x:c r="Z199" s="24" t="n">
        <x:f>MAX(Q199,R199)-W199</x:f>
        <x:v>15.007166809920385</x:v>
      </x:c>
      <x:c r="AA199" s="24" t="n">
        <x:v>0</x:v>
      </x:c>
    </x:row>
    <x:row r="200">
      <x:c r="A200" s="24" t="n">
        <x:f>Model_Data!A200</x:f>
        <x:v>39</x:v>
      </x:c>
      <x:c r="B200" s="24" t="n">
        <x:f>Model_Data!Y200</x:f>
        <x:v>302.8435496777789</x:v>
      </x:c>
      <x:c r="C200" s="24" t="n">
        <x:f>Model_Data!X200</x:f>
        <x:v>82.75771702731363</x:v>
      </x:c>
      <x:c r="D200" s="24" t="n">
        <x:f>Model_Data!B200</x:f>
        <x:v>401.69</x:v>
      </x:c>
      <x:c r="E200" s="24" t="n">
        <x:f>Inputs!$C$6</x:f>
        <x:v>25</x:v>
      </x:c>
      <x:c r="F200" s="24" t="n">
        <x:f>Subsurface_Inputs!$C$5+Subsurface_Inputs!$C$6*SIN(2*PI()*(A200+Subsurface_Inputs!$C$7)/Subsurface_Inputs!$C$8)+Subsurface_Inputs!$C$9*COS(2*PI()*A200/Subsurface_Inputs!$C$10)+Subsurface_Inputs!$C$11*(B200-AVERAGE($B$2:$B$242))</x:f>
        <x:v>1267.9679471791112</x:v>
      </x:c>
      <x:c r="G200" s="24" t="n">
        <x:f>B200-F200</x:f>
        <x:v>-965.1243975013323</x:v>
      </x:c>
      <x:c r="H200" s="24" t="n">
        <x:f>MIN(1,MAX(0,Subsurface_Inputs!$C$13*EXP(-0.5*((A200-Subsurface_Inputs!$C$14)/Subsurface_Inputs!$C$15)^2)+Subsurface_Inputs!$C$16*EXP(-0.5*((A200-Subsurface_Inputs!$C$17)/Subsurface_Inputs!$C$18)^2)))</x:f>
        <x:v>0.37176719601112795</x:v>
      </x:c>
      <x:c r="I200" s="24" t="n">
        <x:f>Subsurface_Inputs!$C$19+Subsurface_Inputs!$C$20*SIN(2*PI()*(A200-Subsurface_Inputs!$C$21)/Subsurface_Inputs!$C$22)-Subsurface_Inputs!$C$23*H200</x:f>
        <x:v>5309.941576271012</x:v>
      </x:c>
      <x:c r="J200" s="24" t="n">
        <x:f>B200-I200</x:f>
        <x:v>-5007.098026593233</x:v>
      </x:c>
      <x:c r="K200" s="24" t="n">
        <x:f>Subsurface_Inputs!$C$25+Subsurface_Inputs!$C$26*SIN(2*PI()*(A200+Subsurface_Inputs!$C$27)/Subsurface_Inputs!$C$28)+Subsurface_Inputs!$C$29*COS(2*PI()*(A200-Subsurface_Inputs!$C$30)/Subsurface_Inputs!$C$31)-Subsurface_Inputs!$C$32*(B200-AVERAGE($B$2:$B$242))</x:f>
        <x:v>14759.992307171664</x:v>
      </x:c>
      <x:c r="L200" s="24" t="n">
        <x:f>B200-K200</x:f>
        <x:v>-14457.148757493886</x:v>
      </x:c>
      <x:c r="M200" s="24" t="n">
        <x:f>2*Subsurface_Inputs!$C$34*F200/Subsurface_Inputs!$C$35*1000000</x:f>
        <x:v>15.056969485061682</x:v>
      </x:c>
      <x:c r="N200" s="24" t="n">
        <x:f>2*Subsurface_Inputs!$C$34*I200/Subsurface_Inputs!$C$35*1000000</x:f>
        <x:v>63.05492852500246</x:v>
      </x:c>
      <x:c r="O200" s="24" t="n">
        <x:f>2*Subsurface_Inputs!$C$34*K200/Subsurface_Inputs!$C$35*1000000</x:f>
        <x:v>175.27316385501308</x:v>
      </x:c>
      <x:c r="P200" s="24" t="n">
        <x:f>Subsurface_Inputs!$C$37-2*Subsurface_Inputs!$C$36*(F200/1000)</x:f>
        <x:v>-12.2823423049224</x:v>
      </x:c>
      <x:c r="Q200" s="24" t="n">
        <x:f>Subsurface_Inputs!$C$38+Subsurface_Inputs!$C$39*H200-2*Subsurface_Inputs!$C$36*(I200/1000)</x:f>
        <x:v>-30.21199007318767</x:v>
      </x:c>
      <x:c r="R200" s="24" t="n">
        <x:f>Subsurface_Inputs!$C$40-2*Subsurface_Inputs!$C$36*(K200/1000)-Subsurface_Inputs!$C$41*ABS(L200-AVERAGE($L$2:$L$242))</x:f>
        <x:v>-33.78722163690483</x:v>
      </x:c>
      <x:c r="S200" s="24" t="n">
        <x:f>K200-AVERAGE($K$2:$K$242)</x:f>
        <x:v>-317.39238840244616</x:v>
      </x:c>
      <x:c r="T200" s="24" t="n">
        <x:f>K200/F200</x:f>
        <x:v>11.64066673767952</x:v>
      </x:c>
      <x:c r="U200" s="25" t="str">
        <x:f>IF(H200&gt;=Subsurface_Inputs!$C$42,"Lens visible","Weak/no lens")</x:f>
        <x:v>Lens visible</x:v>
      </x:c>
      <x:c r="V200" s="25" t="str">
        <x:f>IF(R200&gt;=W200,"Likely visible","Weak")</x:f>
        <x:v>Likely visible</x:v>
      </x:c>
      <x:c r="W200" s="24" t="n">
        <x:f>Subsurface_Inputs!$C$43</x:f>
        <x:v>-45</x:v>
      </x:c>
      <x:c r="X200" s="24" t="n">
        <x:f>Q200-W200</x:f>
        <x:v>14.788009926812329</x:v>
      </x:c>
      <x:c r="Y200" s="24" t="n">
        <x:f>R200-W200</x:f>
        <x:v>11.212778363095168</x:v>
      </x:c>
      <x:c r="Z200" s="24" t="n">
        <x:f>MAX(Q200,R200)-W200</x:f>
        <x:v>14.788009926812329</x:v>
      </x:c>
      <x:c r="AA200" s="24" t="n">
        <x:v>0</x:v>
      </x:c>
    </x:row>
    <x:row r="201">
      <x:c r="A201" s="24" t="n">
        <x:f>Model_Data!A201</x:f>
        <x:v>39.5</x:v>
      </x:c>
      <x:c r="B201" s="24" t="n">
        <x:f>Model_Data!Y201</x:f>
        <x:v>298.92940490783735</x:v>
      </x:c>
      <x:c r="C201" s="24" t="n">
        <x:f>Model_Data!X201</x:f>
        <x:v>76.31271490051972</x:v>
      </x:c>
      <x:c r="D201" s="24" t="n">
        <x:f>Model_Data!B201</x:f>
        <x:v>401.7336111111111</x:v>
      </x:c>
      <x:c r="E201" s="24" t="n">
        <x:f>Inputs!$C$6</x:f>
        <x:v>25</x:v>
      </x:c>
      <x:c r="F201" s="24" t="n">
        <x:f>Subsurface_Inputs!$C$5+Subsurface_Inputs!$C$6*SIN(2*PI()*(A201+Subsurface_Inputs!$C$7)/Subsurface_Inputs!$C$8)+Subsurface_Inputs!$C$9*COS(2*PI()*A201/Subsurface_Inputs!$C$10)+Subsurface_Inputs!$C$11*(B201-AVERAGE($B$2:$B$242))</x:f>
        <x:v>1281.2877515942916</x:v>
      </x:c>
      <x:c r="G201" s="24" t="n">
        <x:f>B201-F201</x:f>
        <x:v>-982.3583466864543</x:v>
      </x:c>
      <x:c r="H201" s="24" t="n">
        <x:f>MIN(1,MAX(0,Subsurface_Inputs!$C$13*EXP(-0.5*((A201-Subsurface_Inputs!$C$14)/Subsurface_Inputs!$C$15)^2)+Subsurface_Inputs!$C$16*EXP(-0.5*((A201-Subsurface_Inputs!$C$17)/Subsurface_Inputs!$C$18)^2)))</x:f>
        <x:v>0.3458489831386417</x:v>
      </x:c>
      <x:c r="I201" s="24" t="n">
        <x:f>Subsurface_Inputs!$C$19+Subsurface_Inputs!$C$20*SIN(2*PI()*(A201-Subsurface_Inputs!$C$21)/Subsurface_Inputs!$C$22)-Subsurface_Inputs!$C$23*H201</x:f>
        <x:v>5299.6513700473615</x:v>
      </x:c>
      <x:c r="J201" s="24" t="n">
        <x:f>B201-I201</x:f>
        <x:v>-5000.721965139524</x:v>
      </x:c>
      <x:c r="K201" s="24" t="n">
        <x:f>Subsurface_Inputs!$C$25+Subsurface_Inputs!$C$26*SIN(2*PI()*(A201+Subsurface_Inputs!$C$27)/Subsurface_Inputs!$C$28)+Subsurface_Inputs!$C$29*COS(2*PI()*(A201-Subsurface_Inputs!$C$30)/Subsurface_Inputs!$C$31)-Subsurface_Inputs!$C$32*(B201-AVERAGE($B$2:$B$242))</x:f>
        <x:v>14743.375119644172</x:v>
      </x:c>
      <x:c r="L201" s="24" t="n">
        <x:f>B201-K201</x:f>
        <x:v>-14444.445714736334</x:v>
      </x:c>
      <x:c r="M201" s="24" t="n">
        <x:f>2*Subsurface_Inputs!$C$34*F201/Subsurface_Inputs!$C$35*1000000</x:f>
        <x:v>15.215140587945271</x:v>
      </x:c>
      <x:c r="N201" s="24" t="n">
        <x:f>2*Subsurface_Inputs!$C$34*I201/Subsurface_Inputs!$C$35*1000000</x:f>
        <x:v>62.932733542511635</x:v>
      </x:c>
      <x:c r="O201" s="24" t="n">
        <x:f>2*Subsurface_Inputs!$C$34*K201/Subsurface_Inputs!$C$35*1000000</x:f>
        <x:v>175.07583671745755</x:v>
      </x:c>
      <x:c r="P201" s="24" t="n">
        <x:f>Subsurface_Inputs!$C$37-2*Subsurface_Inputs!$C$36*(F201/1000)</x:f>
        <x:v>-12.306317952869726</x:v>
      </x:c>
      <x:c r="Q201" s="24" t="n">
        <x:f>Subsurface_Inputs!$C$38+Subsurface_Inputs!$C$39*H201-2*Subsurface_Inputs!$C$36*(I201/1000)</x:f>
        <x:v>-30.426731617837476</x:v>
      </x:c>
      <x:c r="R201" s="24" t="n">
        <x:f>Subsurface_Inputs!$C$40-2*Subsurface_Inputs!$C$36*(K201/1000)-Subsurface_Inputs!$C$41*ABS(L201-AVERAGE($L$2:$L$242))</x:f>
        <x:v>-33.808122870385546</x:v>
      </x:c>
      <x:c r="S201" s="24" t="n">
        <x:f>K201-AVERAGE($K$2:$K$242)</x:f>
        <x:v>-334.00957592993836</x:v>
      </x:c>
      <x:c r="T201" s="24" t="n">
        <x:f>K201/F201</x:f>
        <x:v>11.506685443062388</x:v>
      </x:c>
      <x:c r="U201" s="25" t="str">
        <x:f>IF(H201&gt;=Subsurface_Inputs!$C$42,"Lens visible","Weak/no lens")</x:f>
        <x:v>Lens visible</x:v>
      </x:c>
      <x:c r="V201" s="25" t="str">
        <x:f>IF(R201&gt;=W201,"Likely visible","Weak")</x:f>
        <x:v>Likely visible</x:v>
      </x:c>
      <x:c r="W201" s="24" t="n">
        <x:f>Subsurface_Inputs!$C$43</x:f>
        <x:v>-45</x:v>
      </x:c>
      <x:c r="X201" s="24" t="n">
        <x:f>Q201-W201</x:f>
        <x:v>14.573268382162524</x:v>
      </x:c>
      <x:c r="Y201" s="24" t="n">
        <x:f>R201-W201</x:f>
        <x:v>11.191877129614454</x:v>
      </x:c>
      <x:c r="Z201" s="24" t="n">
        <x:f>MAX(Q201,R201)-W201</x:f>
        <x:v>14.573268382162524</x:v>
      </x:c>
      <x:c r="AA201" s="24" t="n">
        <x:v>0</x:v>
      </x:c>
    </x:row>
    <x:row r="202">
      <x:c r="A202" s="24" t="n">
        <x:f>Model_Data!A202</x:f>
        <x:v>40</x:v>
      </x:c>
      <x:c r="B202" s="24" t="n">
        <x:f>Model_Data!Y202</x:f>
        <x:v>304.82117281231683</x:v>
      </x:c>
      <x:c r="C202" s="24" t="n">
        <x:f>Model_Data!X202</x:f>
        <x:v>66.26609020115302</x:v>
      </x:c>
      <x:c r="D202" s="24" t="n">
        <x:f>Model_Data!B202</x:f>
        <x:v>401.77777777777777</x:v>
      </x:c>
      <x:c r="E202" s="24" t="n">
        <x:f>Inputs!$C$6</x:f>
        <x:v>25</x:v>
      </x:c>
      <x:c r="F202" s="24" t="n">
        <x:f>Subsurface_Inputs!$C$5+Subsurface_Inputs!$C$6*SIN(2*PI()*(A202+Subsurface_Inputs!$C$7)/Subsurface_Inputs!$C$8)+Subsurface_Inputs!$C$9*COS(2*PI()*A202/Subsurface_Inputs!$C$10)+Subsurface_Inputs!$C$11*(B202-AVERAGE($B$2:$B$242))</x:f>
        <x:v>1294.4210192104342</x:v>
      </x:c>
      <x:c r="G202" s="24" t="n">
        <x:f>B202-F202</x:f>
        <x:v>-989.5998463981174</x:v>
      </x:c>
      <x:c r="H202" s="24" t="n">
        <x:f>MIN(1,MAX(0,Subsurface_Inputs!$C$13*EXP(-0.5*((A202-Subsurface_Inputs!$C$14)/Subsurface_Inputs!$C$15)^2)+Subsurface_Inputs!$C$16*EXP(-0.5*((A202-Subsurface_Inputs!$C$17)/Subsurface_Inputs!$C$18)^2)))</x:f>
        <x:v>0.3204833544517672</x:v>
      </x:c>
      <x:c r="I202" s="24" t="n">
        <x:f>Subsurface_Inputs!$C$19+Subsurface_Inputs!$C$20*SIN(2*PI()*(A202-Subsurface_Inputs!$C$21)/Subsurface_Inputs!$C$22)-Subsurface_Inputs!$C$23*H202</x:f>
        <x:v>5288.8137082440735</x:v>
      </x:c>
      <x:c r="J202" s="24" t="n">
        <x:f>B202-I202</x:f>
        <x:v>-4983.992535431757</x:v>
      </x:c>
      <x:c r="K202" s="24" t="n">
        <x:f>Subsurface_Inputs!$C$25+Subsurface_Inputs!$C$26*SIN(2*PI()*(A202+Subsurface_Inputs!$C$27)/Subsurface_Inputs!$C$28)+Subsurface_Inputs!$C$29*COS(2*PI()*(A202-Subsurface_Inputs!$C$30)/Subsurface_Inputs!$C$31)-Subsurface_Inputs!$C$32*(B202-AVERAGE($B$2:$B$242))</x:f>
        <x:v>14726.192868523865</x:v>
      </x:c>
      <x:c r="L202" s="24" t="n">
        <x:f>B202-K202</x:f>
        <x:v>-14421.371695711548</x:v>
      </x:c>
      <x:c r="M202" s="24" t="n">
        <x:f>2*Subsurface_Inputs!$C$34*F202/Subsurface_Inputs!$C$35*1000000</x:f>
        <x:v>15.371096588390978</x:v>
      </x:c>
      <x:c r="N202" s="24" t="n">
        <x:f>2*Subsurface_Inputs!$C$34*I202/Subsurface_Inputs!$C$35*1000000</x:f>
        <x:v>62.80403758972783</x:v>
      </x:c>
      <x:c r="O202" s="24" t="n">
        <x:f>2*Subsurface_Inputs!$C$34*K202/Subsurface_Inputs!$C$35*1000000</x:f>
        <x:v>174.87179951653405</x:v>
      </x:c>
      <x:c r="P202" s="24" t="n">
        <x:f>Subsurface_Inputs!$C$37-2*Subsurface_Inputs!$C$36*(F202/1000)</x:f>
        <x:v>-12.329957834578781</x:v>
      </x:c>
      <x:c r="Q202" s="24" t="n">
        <x:f>Subsurface_Inputs!$C$38+Subsurface_Inputs!$C$39*H202-2*Subsurface_Inputs!$C$36*(I202/1000)</x:f>
        <x:v>-30.635514484773427</x:v>
      </x:c>
      <x:c r="R202" s="24" t="n">
        <x:f>Subsurface_Inputs!$C$40-2*Subsurface_Inputs!$C$36*(K202/1000)-Subsurface_Inputs!$C$41*ABS(L202-AVERAGE($L$2:$L$242))</x:f>
        <x:v>-33.869490894468136</x:v>
      </x:c>
      <x:c r="S202" s="24" t="n">
        <x:f>K202-AVERAGE($K$2:$K$242)</x:f>
        <x:v>-351.1918270502447</x:v>
      </x:c>
      <x:c r="T202" s="24" t="n">
        <x:f>K202/F202</x:f>
        <x:v>11.376663890630029</x:v>
      </x:c>
      <x:c r="U202" s="25" t="str">
        <x:f>IF(H202&gt;=Subsurface_Inputs!$C$42,"Lens visible","Weak/no lens")</x:f>
        <x:v>Lens visible</x:v>
      </x:c>
      <x:c r="V202" s="25" t="str">
        <x:f>IF(R202&gt;=W202,"Likely visible","Weak")</x:f>
        <x:v>Likely visible</x:v>
      </x:c>
      <x:c r="W202" s="24" t="n">
        <x:f>Subsurface_Inputs!$C$43</x:f>
        <x:v>-45</x:v>
      </x:c>
      <x:c r="X202" s="24" t="n">
        <x:f>Q202-W202</x:f>
        <x:v>14.364485515226573</x:v>
      </x:c>
      <x:c r="Y202" s="24" t="n">
        <x:f>R202-W202</x:f>
        <x:v>11.130509105531864</x:v>
      </x:c>
      <x:c r="Z202" s="24" t="n">
        <x:f>MAX(Q202,R202)-W202</x:f>
        <x:v>14.364485515226573</x:v>
      </x:c>
      <x:c r="AA202" s="24" t="n">
        <x:v>0</x:v>
      </x:c>
    </x:row>
    <x:row r="203">
      <x:c r="A203" s="24" t="n">
        <x:f>Model_Data!A203</x:f>
        <x:v>40.5</x:v>
      </x:c>
      <x:c r="B203" s="24" t="n">
        <x:f>Model_Data!Y203</x:f>
        <x:v>300.6975060152245</x:v>
      </x:c>
      <x:c r="C203" s="24" t="n">
        <x:f>Model_Data!X203</x:f>
        <x:v>60.152205166209214</x:v>
      </x:c>
      <x:c r="D203" s="24" t="n">
        <x:f>Model_Data!B203</x:f>
        <x:v>401.8225</x:v>
      </x:c>
      <x:c r="E203" s="24" t="n">
        <x:f>Inputs!$C$6</x:f>
        <x:v>25</x:v>
      </x:c>
      <x:c r="F203" s="24" t="n">
        <x:f>Subsurface_Inputs!$C$5+Subsurface_Inputs!$C$6*SIN(2*PI()*(A203+Subsurface_Inputs!$C$7)/Subsurface_Inputs!$C$8)+Subsurface_Inputs!$C$9*COS(2*PI()*A203/Subsurface_Inputs!$C$10)+Subsurface_Inputs!$C$11*(B203-AVERAGE($B$2:$B$242))</x:f>
        <x:v>1306.3970112850207</x:v>
      </x:c>
      <x:c r="G203" s="24" t="n">
        <x:f>B203-F203</x:f>
        <x:v>-1005.6995052697962</x:v>
      </x:c>
      <x:c r="H203" s="24" t="n">
        <x:f>MIN(1,MAX(0,Subsurface_Inputs!$C$13*EXP(-0.5*((A203-Subsurface_Inputs!$C$14)/Subsurface_Inputs!$C$15)^2)+Subsurface_Inputs!$C$16*EXP(-0.5*((A203-Subsurface_Inputs!$C$17)/Subsurface_Inputs!$C$18)^2)))</x:f>
        <x:v>0.29582031113496227</x:v>
      </x:c>
      <x:c r="I203" s="24" t="n">
        <x:f>Subsurface_Inputs!$C$19+Subsurface_Inputs!$C$20*SIN(2*PI()*(A203-Subsurface_Inputs!$C$21)/Subsurface_Inputs!$C$22)-Subsurface_Inputs!$C$23*H203</x:f>
        <x:v>5277.417430953986</x:v>
      </x:c>
      <x:c r="J203" s="24" t="n">
        <x:f>B203-I203</x:f>
        <x:v>-4976.719924938761</x:v>
      </x:c>
      <x:c r="K203" s="24" t="n">
        <x:f>Subsurface_Inputs!$C$25+Subsurface_Inputs!$C$26*SIN(2*PI()*(A203+Subsurface_Inputs!$C$27)/Subsurface_Inputs!$C$28)+Subsurface_Inputs!$C$29*COS(2*PI()*(A203-Subsurface_Inputs!$C$30)/Subsurface_Inputs!$C$31)-Subsurface_Inputs!$C$32*(B203-AVERAGE($B$2:$B$242))</x:f>
        <x:v>14711.226828791258</x:v>
      </x:c>
      <x:c r="L203" s="24" t="n">
        <x:f>B203-K203</x:f>
        <x:v>-14410.529322776032</x:v>
      </x:c>
      <x:c r="M203" s="24" t="n">
        <x:f>2*Subsurface_Inputs!$C$34*F203/Subsurface_Inputs!$C$35*1000000</x:f>
        <x:v>15.513310078583343</x:v>
      </x:c>
      <x:c r="N203" s="24" t="n">
        <x:f>2*Subsurface_Inputs!$C$34*I203/Subsurface_Inputs!$C$35*1000000</x:f>
        <x:v>62.66870814407275</x:v>
      </x:c>
      <x:c r="O203" s="24" t="n">
        <x:f>2*Subsurface_Inputs!$C$34*K203/Subsurface_Inputs!$C$35*1000000</x:f>
        <x:v>174.69407956385905</x:v>
      </x:c>
      <x:c r="P203" s="24" t="n">
        <x:f>Subsurface_Inputs!$C$37-2*Subsurface_Inputs!$C$36*(F203/1000)</x:f>
        <x:v>-12.351514620313036</x:v>
      </x:c>
      <x:c r="Q203" s="24" t="n">
        <x:f>Subsurface_Inputs!$C$38+Subsurface_Inputs!$C$39*H203-2*Subsurface_Inputs!$C$36*(I203/1000)</x:f>
        <x:v>-30.836968575502514</x:v>
      </x:c>
      <x:c r="R203" s="24" t="n">
        <x:f>Subsurface_Inputs!$C$40-2*Subsurface_Inputs!$C$36*(K203/1000)-Subsurface_Inputs!$C$41*ABS(L203-AVERAGE($L$2:$L$242))</x:f>
        <x:v>-33.88592151469151</x:v>
      </x:c>
      <x:c r="S203" s="24" t="n">
        <x:f>K203-AVERAGE($K$2:$K$242)</x:f>
        <x:v>-366.1578667828526</x:v>
      </x:c>
      <x:c r="T203" s="24" t="n">
        <x:f>K203/F203</x:f>
        <x:v>11.260915863793004</x:v>
      </x:c>
      <x:c r="U203" s="25" t="str">
        <x:f>IF(H203&gt;=Subsurface_Inputs!$C$42,"Lens visible","Weak/no lens")</x:f>
        <x:v>Lens visible</x:v>
      </x:c>
      <x:c r="V203" s="25" t="str">
        <x:f>IF(R203&gt;=W203,"Likely visible","Weak")</x:f>
        <x:v>Likely visible</x:v>
      </x:c>
      <x:c r="W203" s="24" t="n">
        <x:f>Subsurface_Inputs!$C$43</x:f>
        <x:v>-45</x:v>
      </x:c>
      <x:c r="X203" s="24" t="n">
        <x:f>Q203-W203</x:f>
        <x:v>14.163031424497486</x:v>
      </x:c>
      <x:c r="Y203" s="24" t="n">
        <x:f>R203-W203</x:f>
        <x:v>11.11407848530849</x:v>
      </x:c>
      <x:c r="Z203" s="24" t="n">
        <x:f>MAX(Q203,R203)-W203</x:f>
        <x:v>14.163031424497486</x:v>
      </x:c>
      <x:c r="AA203" s="24" t="n">
        <x:v>0</x:v>
      </x:c>
    </x:row>
    <x:row r="204">
      <x:c r="A204" s="24" t="n">
        <x:f>Model_Data!A204</x:f>
        <x:v>41</x:v>
      </x:c>
      <x:c r="B204" s="24" t="n">
        <x:f>Model_Data!Y204</x:f>
        <x:v>276.55710773836364</x:v>
      </x:c>
      <x:c r="C204" s="24" t="n">
        <x:f>Model_Data!X204</x:f>
        <x:v>52.60933898915909</x:v>
      </x:c>
      <x:c r="D204" s="24" t="n">
        <x:f>Model_Data!B204</x:f>
        <x:v>401.8677777777778</x:v>
      </x:c>
      <x:c r="E204" s="24" t="n">
        <x:f>Inputs!$C$6</x:f>
        <x:v>25</x:v>
      </x:c>
      <x:c r="F204" s="24" t="n">
        <x:f>Subsurface_Inputs!$C$5+Subsurface_Inputs!$C$6*SIN(2*PI()*(A204+Subsurface_Inputs!$C$7)/Subsurface_Inputs!$C$8)+Subsurface_Inputs!$C$9*COS(2*PI()*A204/Subsurface_Inputs!$C$10)+Subsurface_Inputs!$C$11*(B204-AVERAGE($B$2:$B$242))</x:f>
        <x:v>1316.6410283585333</x:v>
      </x:c>
      <x:c r="G204" s="24" t="n">
        <x:f>B204-F204</x:f>
        <x:v>-1040.0839206201697</x:v>
      </x:c>
      <x:c r="H204" s="24" t="n">
        <x:f>MIN(1,MAX(0,Subsurface_Inputs!$C$13*EXP(-0.5*((A204-Subsurface_Inputs!$C$14)/Subsurface_Inputs!$C$15)^2)+Subsurface_Inputs!$C$16*EXP(-0.5*((A204-Subsurface_Inputs!$C$17)/Subsurface_Inputs!$C$18)^2)))</x:f>
        <x:v>0.27199068989435554</x:v>
      </x:c>
      <x:c r="I204" s="24" t="n">
        <x:f>Subsurface_Inputs!$C$19+Subsurface_Inputs!$C$20*SIN(2*PI()*(A204-Subsurface_Inputs!$C$21)/Subsurface_Inputs!$C$22)-Subsurface_Inputs!$C$23*H204</x:f>
        <x:v>5265.456550116174</x:v>
      </x:c>
      <x:c r="J204" s="24" t="n">
        <x:f>B204-I204</x:f>
        <x:v>-4988.89944237781</x:v>
      </x:c>
      <x:c r="K204" s="24" t="n">
        <x:f>Subsurface_Inputs!$C$25+Subsurface_Inputs!$C$26*SIN(2*PI()*(A204+Subsurface_Inputs!$C$27)/Subsurface_Inputs!$C$28)+Subsurface_Inputs!$C$29*COS(2*PI()*(A204-Subsurface_Inputs!$C$30)/Subsurface_Inputs!$C$31)-Subsurface_Inputs!$C$32*(B204-AVERAGE($B$2:$B$242))</x:f>
        <x:v>14699.881320538967</x:v>
      </x:c>
      <x:c r="L204" s="24" t="n">
        <x:f>B204-K204</x:f>
        <x:v>-14423.324212800604</x:v>
      </x:c>
      <x:c r="M204" s="24" t="n">
        <x:f>2*Subsurface_Inputs!$C$34*F204/Subsurface_Inputs!$C$35*1000000</x:f>
        <x:v>15.634956570376358</x:v>
      </x:c>
      <x:c r="N204" s="24" t="n">
        <x:f>2*Subsurface_Inputs!$C$34*I204/Subsurface_Inputs!$C$35*1000000</x:f>
        <x:v>62.526674098030774</x:v>
      </x:c>
      <x:c r="O204" s="24" t="n">
        <x:f>2*Subsurface_Inputs!$C$34*K204/Subsurface_Inputs!$C$35*1000000</x:f>
        <x:v>174.55935299452636</x:v>
      </x:c>
      <x:c r="P204" s="24" t="n">
        <x:f>Subsurface_Inputs!$C$37-2*Subsurface_Inputs!$C$36*(F204/1000)</x:f>
        <x:v>-12.36995385104536</x:v>
      </x:c>
      <x:c r="Q204" s="24" t="n">
        <x:f>Subsurface_Inputs!$C$38+Subsurface_Inputs!$C$39*H204-2*Subsurface_Inputs!$C$36*(I204/1000)</x:f>
        <x:v>-31.029905581159916</x:v>
      </x:c>
      <x:c r="R204" s="24" t="n">
        <x:f>Subsurface_Inputs!$C$40-2*Subsurface_Inputs!$C$36*(K204/1000)-Subsurface_Inputs!$C$41*ABS(L204-AVERAGE($L$2:$L$242))</x:f>
        <x:v>-33.814320039739094</x:v>
      </x:c>
      <x:c r="S204" s="24" t="n">
        <x:f>K204-AVERAGE($K$2:$K$242)</x:f>
        <x:v>-377.5033750351431</x:v>
      </x:c>
      <x:c r="T204" s="24" t="n">
        <x:f>K204/F204</x:f>
        <x:v>11.164684225939263</x:v>
      </x:c>
      <x:c r="U204" s="25" t="str">
        <x:f>IF(H204&gt;=Subsurface_Inputs!$C$42,"Lens visible","Weak/no lens")</x:f>
        <x:v>Lens visible</x:v>
      </x:c>
      <x:c r="V204" s="25" t="str">
        <x:f>IF(R204&gt;=W204,"Likely visible","Weak")</x:f>
        <x:v>Likely visible</x:v>
      </x:c>
      <x:c r="W204" s="24" t="n">
        <x:f>Subsurface_Inputs!$C$43</x:f>
        <x:v>-45</x:v>
      </x:c>
      <x:c r="X204" s="24" t="n">
        <x:f>Q204-W204</x:f>
        <x:v>13.970094418840084</x:v>
      </x:c>
      <x:c r="Y204" s="24" t="n">
        <x:f>R204-W204</x:f>
        <x:v>11.185679960260906</x:v>
      </x:c>
      <x:c r="Z204" s="24" t="n">
        <x:f>MAX(Q204,R204)-W204</x:f>
        <x:v>13.970094418840084</x:v>
      </x:c>
      <x:c r="AA204" s="24" t="n">
        <x:v>0</x:v>
      </x:c>
    </x:row>
    <x:row r="205">
      <x:c r="A205" s="24" t="n">
        <x:f>Model_Data!A205</x:f>
        <x:v>41.5</x:v>
      </x:c>
      <x:c r="B205" s="24" t="n">
        <x:f>Model_Data!Y205</x:f>
        <x:v>269.21554101681534</x:v>
      </x:c>
      <x:c r="C205" s="24" t="n">
        <x:f>Model_Data!X205</x:f>
        <x:v>58.38095189793533</x:v>
      </x:c>
      <x:c r="D205" s="24" t="n">
        <x:f>Model_Data!B205</x:f>
        <x:v>401.9136111111111</x:v>
      </x:c>
      <x:c r="E205" s="24" t="n">
        <x:f>Inputs!$C$6</x:f>
        <x:v>25</x:v>
      </x:c>
      <x:c r="F205" s="24" t="n">
        <x:f>Subsurface_Inputs!$C$5+Subsurface_Inputs!$C$6*SIN(2*PI()*(A205+Subsurface_Inputs!$C$7)/Subsurface_Inputs!$C$8)+Subsurface_Inputs!$C$9*COS(2*PI()*A205/Subsurface_Inputs!$C$10)+Subsurface_Inputs!$C$11*(B205-AVERAGE($B$2:$B$242))</x:f>
        <x:v>1326.4572478837015</x:v>
      </x:c>
      <x:c r="G205" s="24" t="n">
        <x:f>B205-F205</x:f>
        <x:v>-1057.241706866886</x:v>
      </x:c>
      <x:c r="H205" s="24" t="n">
        <x:f>MIN(1,MAX(0,Subsurface_Inputs!$C$13*EXP(-0.5*((A205-Subsurface_Inputs!$C$14)/Subsurface_Inputs!$C$15)^2)+Subsurface_Inputs!$C$16*EXP(-0.5*((A205-Subsurface_Inputs!$C$17)/Subsurface_Inputs!$C$18)^2)))</x:f>
        <x:v>0.24910567695823424</x:v>
      </x:c>
      <x:c r="I205" s="24" t="n">
        <x:f>Subsurface_Inputs!$C$19+Subsurface_Inputs!$C$20*SIN(2*PI()*(A205-Subsurface_Inputs!$C$21)/Subsurface_Inputs!$C$22)-Subsurface_Inputs!$C$23*H205</x:f>
        <x:v>5252.93032885912</x:v>
      </x:c>
      <x:c r="J205" s="24" t="n">
        <x:f>B205-I205</x:f>
        <x:v>-4983.714787842305</x:v>
      </x:c>
      <x:c r="K205" s="24" t="n">
        <x:f>Subsurface_Inputs!$C$25+Subsurface_Inputs!$C$26*SIN(2*PI()*(A205+Subsurface_Inputs!$C$27)/Subsurface_Inputs!$C$28)+Subsurface_Inputs!$C$29*COS(2*PI()*(A205-Subsurface_Inputs!$C$30)/Subsurface_Inputs!$C$31)-Subsurface_Inputs!$C$32*(B205-AVERAGE($B$2:$B$242))</x:f>
        <x:v>14687.004164423177</x:v>
      </x:c>
      <x:c r="L205" s="24" t="n">
        <x:f>B205-K205</x:f>
        <x:v>-14417.78862340636</x:v>
      </x:c>
      <x:c r="M205" s="24" t="n">
        <x:f>2*Subsurface_Inputs!$C$34*F205/Subsurface_Inputs!$C$35*1000000</x:f>
        <x:v>15.751523016853136</x:v>
      </x:c>
      <x:c r="N205" s="24" t="n">
        <x:f>2*Subsurface_Inputs!$C$34*I205/Subsurface_Inputs!$C$35*1000000</x:f>
        <x:v>62.37792670133972</x:v>
      </x:c>
      <x:c r="O205" s="24" t="n">
        <x:f>2*Subsurface_Inputs!$C$34*K205/Subsurface_Inputs!$C$35*1000000</x:f>
        <x:v>174.40643828787216</x:v>
      </x:c>
      <x:c r="P205" s="24" t="n">
        <x:f>Subsurface_Inputs!$C$37-2*Subsurface_Inputs!$C$36*(F205/1000)</x:f>
        <x:v>-12.387623046190663</x:v>
      </x:c>
      <x:c r="Q205" s="24" t="n">
        <x:f>Subsurface_Inputs!$C$38+Subsurface_Inputs!$C$39*H205-2*Subsurface_Inputs!$C$36*(I205/1000)</x:f>
        <x:v>-31.213323499322307</x:v>
      </x:c>
      <x:c r="R205" s="24" t="n">
        <x:f>Subsurface_Inputs!$C$40-2*Subsurface_Inputs!$C$36*(K205/1000)-Subsurface_Inputs!$C$41*ABS(L205-AVERAGE($L$2:$L$242))</x:f>
        <x:v>-33.81328351630765</x:v>
      </x:c>
      <x:c r="S205" s="24" t="n">
        <x:f>K205-AVERAGE($K$2:$K$242)</x:f>
        <x:v>-390.38053115093317</x:v>
      </x:c>
      <x:c r="T205" s="24" t="n">
        <x:f>K205/F205</x:f>
        <x:v>11.072353962297377</x:v>
      </x:c>
      <x:c r="U205" s="25" t="str">
        <x:f>IF(H205&gt;=Subsurface_Inputs!$C$42,"Lens visible","Weak/no lens")</x:f>
        <x:v>Lens visible</x:v>
      </x:c>
      <x:c r="V205" s="25" t="str">
        <x:f>IF(R205&gt;=W205,"Likely visible","Weak")</x:f>
        <x:v>Likely visible</x:v>
      </x:c>
      <x:c r="W205" s="24" t="n">
        <x:f>Subsurface_Inputs!$C$43</x:f>
        <x:v>-45</x:v>
      </x:c>
      <x:c r="X205" s="24" t="n">
        <x:f>Q205-W205</x:f>
        <x:v>13.786676500677693</x:v>
      </x:c>
      <x:c r="Y205" s="24" t="n">
        <x:f>R205-W205</x:f>
        <x:v>11.18671648369235</x:v>
      </x:c>
      <x:c r="Z205" s="24" t="n">
        <x:f>MAX(Q205,R205)-W205</x:f>
        <x:v>13.786676500677693</x:v>
      </x:c>
      <x:c r="AA205" s="24" t="n">
        <x:v>0</x:v>
      </x:c>
    </x:row>
    <x:row r="206">
      <x:c r="A206" s="24" t="n">
        <x:f>Model_Data!A206</x:f>
        <x:v>42</x:v>
      </x:c>
      <x:c r="B206" s="24" t="n">
        <x:f>Model_Data!Y206</x:f>
        <x:v>271.1262021129023</x:v>
      </x:c>
      <x:c r="C206" s="24" t="n">
        <x:f>Model_Data!X206</x:f>
        <x:v>34.52124211278962</x:v>
      </x:c>
      <x:c r="D206" s="24" t="n">
        <x:f>Model_Data!B206</x:f>
        <x:v>401.96</x:v>
      </x:c>
      <x:c r="E206" s="24" t="n">
        <x:f>Inputs!$C$6</x:f>
        <x:v>25</x:v>
      </x:c>
      <x:c r="F206" s="24" t="n">
        <x:f>Subsurface_Inputs!$C$5+Subsurface_Inputs!$C$6*SIN(2*PI()*(A206+Subsurface_Inputs!$C$7)/Subsurface_Inputs!$C$8)+Subsurface_Inputs!$C$9*COS(2*PI()*A206/Subsurface_Inputs!$C$10)+Subsurface_Inputs!$C$11*(B206-AVERAGE($B$2:$B$242))</x:f>
        <x:v>1335.384475214123</x:v>
      </x:c>
      <x:c r="G206" s="24" t="n">
        <x:f>B206-F206</x:f>
        <x:v>-1064.2582731012208</x:v>
      </x:c>
      <x:c r="H206" s="24" t="n">
        <x:f>MIN(1,MAX(0,Subsurface_Inputs!$C$13*EXP(-0.5*((A206-Subsurface_Inputs!$C$14)/Subsurface_Inputs!$C$15)^2)+Subsurface_Inputs!$C$16*EXP(-0.5*((A206-Subsurface_Inputs!$C$17)/Subsurface_Inputs!$C$18)^2)))</x:f>
        <x:v>0.22725672748105447</x:v>
      </x:c>
      <x:c r="I206" s="24" t="n">
        <x:f>Subsurface_Inputs!$C$19+Subsurface_Inputs!$C$20*SIN(2*PI()*(A206-Subsurface_Inputs!$C$21)/Subsurface_Inputs!$C$22)-Subsurface_Inputs!$C$23*H206</x:f>
        <x:v>5239.843262761747</x:v>
      </x:c>
      <x:c r="J206" s="24" t="n">
        <x:f>B206-I206</x:f>
        <x:v>-4968.717060648844</x:v>
      </x:c>
      <x:c r="K206" s="24" t="n">
        <x:f>Subsurface_Inputs!$C$25+Subsurface_Inputs!$C$26*SIN(2*PI()*(A206+Subsurface_Inputs!$C$27)/Subsurface_Inputs!$C$28)+Subsurface_Inputs!$C$29*COS(2*PI()*(A206-Subsurface_Inputs!$C$30)/Subsurface_Inputs!$C$31)-Subsurface_Inputs!$C$32*(B206-AVERAGE($B$2:$B$242))</x:f>
        <x:v>14673.651759639273</x:v>
      </x:c>
      <x:c r="L206" s="24" t="n">
        <x:f>B206-K206</x:f>
        <x:v>-14402.52555752637</x:v>
      </x:c>
      <x:c r="M206" s="24" t="n">
        <x:f>2*Subsurface_Inputs!$C$34*F206/Subsurface_Inputs!$C$35*1000000</x:f>
        <x:v>15.857532786105907</x:v>
      </x:c>
      <x:c r="N206" s="24" t="n">
        <x:f>2*Subsurface_Inputs!$C$34*I206/Subsurface_Inputs!$C$35*1000000</x:f>
        <x:v>62.222519338467876</x:v>
      </x:c>
      <x:c r="O206" s="24" t="n">
        <x:f>2*Subsurface_Inputs!$C$34*K206/Subsurface_Inputs!$C$35*1000000</x:f>
        <x:v>174.2478800594637</x:v>
      </x:c>
      <x:c r="P206" s="24" t="n">
        <x:f>Subsurface_Inputs!$C$37-2*Subsurface_Inputs!$C$36*(F206/1000)</x:f>
        <x:v>-12.403692055385422</x:v>
      </x:c>
      <x:c r="Q206" s="24" t="n">
        <x:f>Subsurface_Inputs!$C$38+Subsurface_Inputs!$C$39*H206-2*Subsurface_Inputs!$C$36*(I206/1000)</x:f>
        <x:v>-31.386407325641656</x:v>
      </x:c>
      <x:c r="R206" s="24" t="n">
        <x:f>Subsurface_Inputs!$C$40-2*Subsurface_Inputs!$C$36*(K206/1000)-Subsurface_Inputs!$C$41*ABS(L206-AVERAGE($L$2:$L$242))</x:f>
        <x:v>-33.85030145121658</x:v>
      </x:c>
      <x:c r="S206" s="24" t="n">
        <x:f>K206-AVERAGE($K$2:$K$242)</x:f>
        <x:v>-403.73293593483686</x:v>
      </x:c>
      <x:c r="T206" s="24" t="n">
        <x:f>K206/F206</x:f>
        <x:v>10.988334844379867</x:v>
      </x:c>
      <x:c r="U206" s="25" t="str">
        <x:f>IF(H206&gt;=Subsurface_Inputs!$C$42,"Lens visible","Weak/no lens")</x:f>
        <x:v>Lens visible</x:v>
      </x:c>
      <x:c r="V206" s="25" t="str">
        <x:f>IF(R206&gt;=W206,"Likely visible","Weak")</x:f>
        <x:v>Likely visible</x:v>
      </x:c>
      <x:c r="W206" s="24" t="n">
        <x:f>Subsurface_Inputs!$C$43</x:f>
        <x:v>-45</x:v>
      </x:c>
      <x:c r="X206" s="24" t="n">
        <x:f>Q206-W206</x:f>
        <x:v>13.613592674358344</x:v>
      </x:c>
      <x:c r="Y206" s="24" t="n">
        <x:f>R206-W206</x:f>
        <x:v>11.14969854878342</x:v>
      </x:c>
      <x:c r="Z206" s="24" t="n">
        <x:f>MAX(Q206,R206)-W206</x:f>
        <x:v>13.613592674358344</x:v>
      </x:c>
      <x:c r="AA206" s="24" t="n">
        <x:v>0</x:v>
      </x:c>
    </x:row>
    <x:row r="207">
      <x:c r="A207" s="24" t="n">
        <x:f>Model_Data!A207</x:f>
        <x:v>42.5</x:v>
      </x:c>
      <x:c r="B207" s="24" t="n">
        <x:f>Model_Data!Y207</x:f>
        <x:v>259.7768551367322</x:v>
      </x:c>
      <x:c r="C207" s="24" t="n">
        <x:f>Model_Data!X207</x:f>
        <x:v>40.25127636090155</x:v>
      </x:c>
      <x:c r="D207" s="24" t="n">
        <x:f>Model_Data!B207</x:f>
        <x:v>402.00694444444446</x:v>
      </x:c>
      <x:c r="E207" s="24" t="n">
        <x:f>Inputs!$C$6</x:f>
        <x:v>25</x:v>
      </x:c>
      <x:c r="F207" s="24" t="n">
        <x:f>Subsurface_Inputs!$C$5+Subsurface_Inputs!$C$6*SIN(2*PI()*(A207+Subsurface_Inputs!$C$7)/Subsurface_Inputs!$C$8)+Subsurface_Inputs!$C$9*COS(2*PI()*A207/Subsurface_Inputs!$C$10)+Subsurface_Inputs!$C$11*(B207-AVERAGE($B$2:$B$242))</x:f>
        <x:v>1342.3748108491102</x:v>
      </x:c>
      <x:c r="G207" s="24" t="n">
        <x:f>B207-F207</x:f>
        <x:v>-1082.597955712378</x:v>
      </x:c>
      <x:c r="H207" s="24" t="n">
        <x:f>MIN(1,MAX(0,Subsurface_Inputs!$C$13*EXP(-0.5*((A207-Subsurface_Inputs!$C$14)/Subsurface_Inputs!$C$15)^2)+Subsurface_Inputs!$C$16*EXP(-0.5*((A207-Subsurface_Inputs!$C$17)/Subsurface_Inputs!$C$18)^2)))</x:f>
        <x:v>0.20651585955920898</x:v>
      </x:c>
      <x:c r="I207" s="24" t="n">
        <x:f>Subsurface_Inputs!$C$19+Subsurface_Inputs!$C$20*SIN(2*PI()*(A207-Subsurface_Inputs!$C$21)/Subsurface_Inputs!$C$22)-Subsurface_Inputs!$C$23*H207</x:f>
        <x:v>5226.204970478212</x:v>
      </x:c>
      <x:c r="J207" s="24" t="n">
        <x:f>B207-I207</x:f>
        <x:v>-4966.4281153414795</x:v>
      </x:c>
      <x:c r="K207" s="24" t="n">
        <x:f>Subsurface_Inputs!$C$25+Subsurface_Inputs!$C$26*SIN(2*PI()*(A207+Subsurface_Inputs!$C$27)/Subsurface_Inputs!$C$28)+Subsurface_Inputs!$C$29*COS(2*PI()*(A207-Subsurface_Inputs!$C$30)/Subsurface_Inputs!$C$31)-Subsurface_Inputs!$C$32*(B207-AVERAGE($B$2:$B$242))</x:f>
        <x:v>14662.973588793413</x:v>
      </x:c>
      <x:c r="L207" s="24" t="n">
        <x:f>B207-K207</x:f>
        <x:v>-14403.196733656681</x:v>
      </x:c>
      <x:c r="M207" s="24" t="n">
        <x:f>2*Subsurface_Inputs!$C$34*F207/Subsurface_Inputs!$C$35*1000000</x:f>
        <x:v>15.940542195437192</x:v>
      </x:c>
      <x:c r="N207" s="24" t="n">
        <x:f>2*Subsurface_Inputs!$C$34*I207/Subsurface_Inputs!$C$35*1000000</x:f>
        <x:v>62.060566229796336</x:v>
      </x:c>
      <x:c r="O207" s="24" t="n">
        <x:f>2*Subsurface_Inputs!$C$34*K207/Subsurface_Inputs!$C$35*1000000</x:f>
        <x:v>174.12107804294578</x:v>
      </x:c>
      <x:c r="P207" s="24" t="n">
        <x:f>Subsurface_Inputs!$C$37-2*Subsurface_Inputs!$C$36*(F207/1000)</x:f>
        <x:v>-12.416274659528398</x:v>
      </x:c>
      <x:c r="Q207" s="24" t="n">
        <x:f>Subsurface_Inputs!$C$38+Subsurface_Inputs!$C$39*H207-2*Subsurface_Inputs!$C$36*(I207/1000)</x:f>
        <x:v>-31.5485262108279</x:v>
      </x:c>
      <x:c r="R207" s="24" t="n">
        <x:f>Subsurface_Inputs!$C$40-2*Subsurface_Inputs!$C$36*(K207/1000)-Subsurface_Inputs!$C$41*ABS(L207-AVERAGE($L$2:$L$242))</x:f>
        <x:v>-33.82839603917279</x:v>
      </x:c>
      <x:c r="S207" s="24" t="n">
        <x:f>K207-AVERAGE($K$2:$K$242)</x:f>
        <x:v>-414.4111067806971</x:v>
      </x:c>
      <x:c r="T207" s="24" t="n">
        <x:f>K207/F207</x:f>
        <x:v>10.923159068754014</x:v>
      </x:c>
      <x:c r="U207" s="25" t="str">
        <x:f>IF(H207&gt;=Subsurface_Inputs!$C$42,"Lens visible","Weak/no lens")</x:f>
        <x:v>Lens visible</x:v>
      </x:c>
      <x:c r="V207" s="25" t="str">
        <x:f>IF(R207&gt;=W207,"Likely visible","Weak")</x:f>
        <x:v>Likely visible</x:v>
      </x:c>
      <x:c r="W207" s="24" t="n">
        <x:f>Subsurface_Inputs!$C$43</x:f>
        <x:v>-45</x:v>
      </x:c>
      <x:c r="X207" s="24" t="n">
        <x:f>Q207-W207</x:f>
        <x:v>13.451473789172098</x:v>
      </x:c>
      <x:c r="Y207" s="24" t="n">
        <x:f>R207-W207</x:f>
        <x:v>11.171603960827213</x:v>
      </x:c>
      <x:c r="Z207" s="24" t="n">
        <x:f>MAX(Q207,R207)-W207</x:f>
        <x:v>13.451473789172098</x:v>
      </x:c>
      <x:c r="AA207" s="24" t="n">
        <x:v>0</x:v>
      </x:c>
    </x:row>
    <x:row r="208">
      <x:c r="A208" s="24" t="n">
        <x:f>Model_Data!A208</x:f>
        <x:v>43</x:v>
      </x:c>
      <x:c r="B208" s="24" t="n">
        <x:f>Model_Data!Y208</x:f>
        <x:v>247.2629698422237</x:v>
      </x:c>
      <x:c r="C208" s="24" t="n">
        <x:f>Model_Data!X208</x:f>
        <x:v>33.32797910139238</x:v>
      </x:c>
      <x:c r="D208" s="24" t="n">
        <x:f>Model_Data!B208</x:f>
        <x:v>402.05444444444447</x:v>
      </x:c>
      <x:c r="E208" s="24" t="n">
        <x:f>Inputs!$C$6</x:f>
        <x:v>25</x:v>
      </x:c>
      <x:c r="F208" s="24" t="n">
        <x:f>Subsurface_Inputs!$C$5+Subsurface_Inputs!$C$6*SIN(2*PI()*(A208+Subsurface_Inputs!$C$7)/Subsurface_Inputs!$C$8)+Subsurface_Inputs!$C$9*COS(2*PI()*A208/Subsurface_Inputs!$C$10)+Subsurface_Inputs!$C$11*(B208-AVERAGE($B$2:$B$242))</x:f>
        <x:v>1347.779232252546</x:v>
      </x:c>
      <x:c r="G208" s="24" t="n">
        <x:f>B208-F208</x:f>
        <x:v>-1100.5162624103223</x:v>
      </x:c>
      <x:c r="H208" s="24" t="n">
        <x:f>MIN(1,MAX(0,Subsurface_Inputs!$C$13*EXP(-0.5*((A208-Subsurface_Inputs!$C$14)/Subsurface_Inputs!$C$15)^2)+Subsurface_Inputs!$C$16*EXP(-0.5*((A208-Subsurface_Inputs!$C$17)/Subsurface_Inputs!$C$18)^2)))</x:f>
        <x:v>0.18693628482825844</x:v>
      </x:c>
      <x:c r="I208" s="24" t="n">
        <x:f>Subsurface_Inputs!$C$19+Subsurface_Inputs!$C$20*SIN(2*PI()*(A208-Subsurface_Inputs!$C$21)/Subsurface_Inputs!$C$22)-Subsurface_Inputs!$C$23*H208</x:f>
        <x:v>5212.0300029107175</x:v>
      </x:c>
      <x:c r="J208" s="24" t="n">
        <x:f>B208-I208</x:f>
        <x:v>-4964.767033068494</x:v>
      </x:c>
      <x:c r="K208" s="24" t="n">
        <x:f>Subsurface_Inputs!$C$25+Subsurface_Inputs!$C$26*SIN(2*PI()*(A208+Subsurface_Inputs!$C$27)/Subsurface_Inputs!$C$28)+Subsurface_Inputs!$C$29*COS(2*PI()*(A208-Subsurface_Inputs!$C$30)/Subsurface_Inputs!$C$31)-Subsurface_Inputs!$C$32*(B208-AVERAGE($B$2:$B$242))</x:f>
        <x:v>14653.271975733256</x:v>
      </x:c>
      <x:c r="L208" s="24" t="n">
        <x:f>B208-K208</x:f>
        <x:v>-14406.009005891032</x:v>
      </x:c>
      <x:c r="M208" s="24" t="n">
        <x:f>2*Subsurface_Inputs!$C$34*F208/Subsurface_Inputs!$C$35*1000000</x:f>
        <x:v>16.00471906074123</x:v>
      </x:c>
      <x:c r="N208" s="24" t="n">
        <x:f>2*Subsurface_Inputs!$C$34*I208/Subsurface_Inputs!$C$35*1000000</x:f>
        <x:v>61.892240165568666</x:v>
      </x:c>
      <x:c r="O208" s="24" t="n">
        <x:f>2*Subsurface_Inputs!$C$34*K208/Subsurface_Inputs!$C$35*1000000</x:f>
        <x:v>174.0058725346933</x:v>
      </x:c>
      <x:c r="P208" s="24" t="n">
        <x:f>Subsurface_Inputs!$C$37-2*Subsurface_Inputs!$C$36*(F208/1000)</x:f>
        <x:v>-12.426002618054582</x:v>
      </x:c>
      <x:c r="Q208" s="24" t="n">
        <x:f>Subsurface_Inputs!$C$38+Subsurface_Inputs!$C$39*H208-2*Subsurface_Inputs!$C$36*(I208/1000)</x:f>
        <x:v>-31.699227441784966</x:v>
      </x:c>
      <x:c r="R208" s="24" t="n">
        <x:f>Subsurface_Inputs!$C$40-2*Subsurface_Inputs!$C$36*(K208/1000)-Subsurface_Inputs!$C$41*ABS(L208-AVERAGE($L$2:$L$242))</x:f>
        <x:v>-33.79968404672711</x:v>
      </x:c>
      <x:c r="S208" s="24" t="n">
        <x:f>K208-AVERAGE($K$2:$K$242)</x:f>
        <x:v>-424.11271984085397</x:v>
      </x:c>
      <x:c r="T208" s="24" t="n">
        <x:f>K208/F208</x:f>
        <x:v>10.8721603843407</x:v>
      </x:c>
      <x:c r="U208" s="25" t="str">
        <x:f>IF(H208&gt;=Subsurface_Inputs!$C$42,"Lens visible","Weak/no lens")</x:f>
        <x:v>Lens visible</x:v>
      </x:c>
      <x:c r="V208" s="25" t="str">
        <x:f>IF(R208&gt;=W208,"Likely visible","Weak")</x:f>
        <x:v>Likely visible</x:v>
      </x:c>
      <x:c r="W208" s="24" t="n">
        <x:f>Subsurface_Inputs!$C$43</x:f>
        <x:v>-45</x:v>
      </x:c>
      <x:c r="X208" s="24" t="n">
        <x:f>Q208-W208</x:f>
        <x:v>13.300772558215034</x:v>
      </x:c>
      <x:c r="Y208" s="24" t="n">
        <x:f>R208-W208</x:f>
        <x:v>11.200315953272892</x:v>
      </x:c>
      <x:c r="Z208" s="24" t="n">
        <x:f>MAX(Q208,R208)-W208</x:f>
        <x:v>13.300772558215034</x:v>
      </x:c>
      <x:c r="AA208" s="24" t="n">
        <x:v>0</x:v>
      </x:c>
    </x:row>
    <x:row r="209">
      <x:c r="A209" s="24" t="n">
        <x:f>Model_Data!A209</x:f>
        <x:v>43.5</x:v>
      </x:c>
      <x:c r="B209" s="24" t="n">
        <x:f>Model_Data!Y209</x:f>
        <x:v>225.35528260314678</x:v>
      </x:c>
      <x:c r="C209" s="24" t="n">
        <x:f>Model_Data!X209</x:f>
        <x:v>20.522948331606614</x:v>
      </x:c>
      <x:c r="D209" s="24" t="n">
        <x:f>Model_Data!B209</x:f>
        <x:v>402.1025</x:v>
      </x:c>
      <x:c r="E209" s="24" t="n">
        <x:f>Inputs!$C$6</x:f>
        <x:v>25</x:v>
      </x:c>
      <x:c r="F209" s="24" t="n">
        <x:f>Subsurface_Inputs!$C$5+Subsurface_Inputs!$C$6*SIN(2*PI()*(A209+Subsurface_Inputs!$C$7)/Subsurface_Inputs!$C$8)+Subsurface_Inputs!$C$9*COS(2*PI()*A209/Subsurface_Inputs!$C$10)+Subsurface_Inputs!$C$11*(B209-AVERAGE($B$2:$B$242))</x:f>
        <x:v>1351.1527382591607</x:v>
      </x:c>
      <x:c r="G209" s="24" t="n">
        <x:f>B209-F209</x:f>
        <x:v>-1125.7974556560139</x:v>
      </x:c>
      <x:c r="H209" s="24" t="n">
        <x:f>MIN(1,MAX(0,Subsurface_Inputs!$C$13*EXP(-0.5*((A209-Subsurface_Inputs!$C$14)/Subsurface_Inputs!$C$15)^2)+Subsurface_Inputs!$C$16*EXP(-0.5*((A209-Subsurface_Inputs!$C$17)/Subsurface_Inputs!$C$18)^2)))</x:f>
        <x:v>0.16855333211189957</x:v>
      </x:c>
      <x:c r="I209" s="24" t="n">
        <x:f>Subsurface_Inputs!$C$19+Subsurface_Inputs!$C$20*SIN(2*PI()*(A209-Subsurface_Inputs!$C$21)/Subsurface_Inputs!$C$22)-Subsurface_Inputs!$C$23*H209</x:f>
        <x:v>5197.337581435408</x:v>
      </x:c>
      <x:c r="J209" s="24" t="n">
        <x:f>B209-I209</x:f>
        <x:v>-4971.982298832261</x:v>
      </x:c>
      <x:c r="K209" s="24" t="n">
        <x:f>Subsurface_Inputs!$C$25+Subsurface_Inputs!$C$26*SIN(2*PI()*(A209+Subsurface_Inputs!$C$27)/Subsurface_Inputs!$C$28)+Subsurface_Inputs!$C$29*COS(2*PI()*(A209-Subsurface_Inputs!$C$30)/Subsurface_Inputs!$C$31)-Subsurface_Inputs!$C$32*(B209-AVERAGE($B$2:$B$242))</x:f>
        <x:v>14645.692657462254</x:v>
      </x:c>
      <x:c r="L209" s="24" t="n">
        <x:f>B209-K209</x:f>
        <x:v>-14420.337374859108</x:v>
      </x:c>
      <x:c r="M209" s="24" t="n">
        <x:f>2*Subsurface_Inputs!$C$34*F209/Subsurface_Inputs!$C$35*1000000</x:f>
        <x:v>16.04477904578444</x:v>
      </x:c>
      <x:c r="N209" s="24" t="n">
        <x:f>2*Subsurface_Inputs!$C$34*I209/Subsurface_Inputs!$C$35*1000000</x:f>
        <x:v>61.71776939735439</x:v>
      </x:c>
      <x:c r="O209" s="24" t="n">
        <x:f>2*Subsurface_Inputs!$C$34*K209/Subsurface_Inputs!$C$35*1000000</x:f>
        <x:v>173.91586902618351</x:v>
      </x:c>
      <x:c r="P209" s="24" t="n">
        <x:f>Subsurface_Inputs!$C$37-2*Subsurface_Inputs!$C$36*(F209/1000)</x:f>
        <x:v>-12.43207492886649</x:v>
      </x:c>
      <x:c r="Q209" s="24" t="n">
        <x:f>Subsurface_Inputs!$C$38+Subsurface_Inputs!$C$39*H209-2*Subsurface_Inputs!$C$36*(I209/1000)</x:f>
        <x:v>-31.83822765757664</x:v>
      </x:c>
      <x:c r="R209" s="24" t="n">
        <x:f>Subsurface_Inputs!$C$40-2*Subsurface_Inputs!$C$36*(K209/1000)-Subsurface_Inputs!$C$41*ABS(L209-AVERAGE($L$2:$L$242))</x:f>
        <x:v>-33.728727797967</x:v>
      </x:c>
      <x:c r="S209" s="24" t="n">
        <x:f>K209-AVERAGE($K$2:$K$242)</x:f>
        <x:v>-431.69203811185616</x:v>
      </x:c>
      <x:c r="T209" s="24" t="n">
        <x:f>K209/F209</x:f>
        <x:v>10.839405673952093</x:v>
      </x:c>
      <x:c r="U209" s="25" t="str">
        <x:f>IF(H209&gt;=Subsurface_Inputs!$C$42,"Lens visible","Weak/no lens")</x:f>
        <x:v>Weak/no lens</x:v>
      </x:c>
      <x:c r="V209" s="25" t="str">
        <x:f>IF(R209&gt;=W209,"Likely visible","Weak")</x:f>
        <x:v>Likely visible</x:v>
      </x:c>
      <x:c r="W209" s="24" t="n">
        <x:f>Subsurface_Inputs!$C$43</x:f>
        <x:v>-45</x:v>
      </x:c>
      <x:c r="X209" s="24" t="n">
        <x:f>Q209-W209</x:f>
        <x:v>13.161772342423362</x:v>
      </x:c>
      <x:c r="Y209" s="24" t="n">
        <x:f>R209-W209</x:f>
        <x:v>11.271272202033003</x:v>
      </x:c>
      <x:c r="Z209" s="24" t="n">
        <x:f>MAX(Q209,R209)-W209</x:f>
        <x:v>13.161772342423362</x:v>
      </x:c>
      <x:c r="AA209" s="24" t="n">
        <x:v>0</x:v>
      </x:c>
    </x:row>
    <x:row r="210">
      <x:c r="A210" s="24" t="n">
        <x:f>Model_Data!A210</x:f>
        <x:v>44</x:v>
      </x:c>
      <x:c r="B210" s="24" t="n">
        <x:f>Model_Data!Y210</x:f>
        <x:v>208.84015984832814</x:v>
      </x:c>
      <x:c r="C210" s="24" t="n">
        <x:f>Model_Data!X210</x:f>
        <x:v>7.051899638170276</x:v>
      </x:c>
      <x:c r="D210" s="24" t="n">
        <x:f>Model_Data!B210</x:f>
        <x:v>402.1511111111111</x:v>
      </x:c>
      <x:c r="E210" s="24" t="n">
        <x:f>Inputs!$C$6</x:f>
        <x:v>25</x:v>
      </x:c>
      <x:c r="F210" s="24" t="n">
        <x:f>Subsurface_Inputs!$C$5+Subsurface_Inputs!$C$6*SIN(2*PI()*(A210+Subsurface_Inputs!$C$7)/Subsurface_Inputs!$C$8)+Subsurface_Inputs!$C$9*COS(2*PI()*A210/Subsurface_Inputs!$C$10)+Subsurface_Inputs!$C$11*(B210-AVERAGE($B$2:$B$242))</x:f>
        <x:v>1352.990153932563</x:v>
      </x:c>
      <x:c r="G210" s="24" t="n">
        <x:f>B210-F210</x:f>
        <x:v>-1144.149994084235</x:v>
      </x:c>
      <x:c r="H210" s="24" t="n">
        <x:f>MIN(1,MAX(0,Subsurface_Inputs!$C$13*EXP(-0.5*((A210-Subsurface_Inputs!$C$14)/Subsurface_Inputs!$C$15)^2)+Subsurface_Inputs!$C$16*EXP(-0.5*((A210-Subsurface_Inputs!$C$17)/Subsurface_Inputs!$C$18)^2)))</x:f>
        <x:v>0.15138561686738505</x:v>
      </x:c>
      <x:c r="I210" s="24" t="n">
        <x:f>Subsurface_Inputs!$C$19+Subsurface_Inputs!$C$20*SIN(2*PI()*(A210-Subsurface_Inputs!$C$21)/Subsurface_Inputs!$C$22)-Subsurface_Inputs!$C$23*H210</x:f>
        <x:v>5182.151276581459</x:v>
      </x:c>
      <x:c r="J210" s="24" t="n">
        <x:f>B210-I210</x:f>
        <x:v>-4973.311116733131</x:v>
      </x:c>
      <x:c r="K210" s="24" t="n">
        <x:f>Subsurface_Inputs!$C$25+Subsurface_Inputs!$C$26*SIN(2*PI()*(A210+Subsurface_Inputs!$C$27)/Subsurface_Inputs!$C$28)+Subsurface_Inputs!$C$29*COS(2*PI()*(A210-Subsurface_Inputs!$C$30)/Subsurface_Inputs!$C$31)-Subsurface_Inputs!$C$32*(B210-AVERAGE($B$2:$B$242))</x:f>
        <x:v>14638.157168949723</x:v>
      </x:c>
      <x:c r="L210" s="24" t="n">
        <x:f>B210-K210</x:f>
        <x:v>-14429.317009101394</x:v>
      </x:c>
      <x:c r="M210" s="24" t="n">
        <x:f>2*Subsurface_Inputs!$C$34*F210/Subsurface_Inputs!$C$35*1000000</x:f>
        <x:v>16.066598139703448</x:v>
      </x:c>
      <x:c r="N210" s="24" t="n">
        <x:f>2*Subsurface_Inputs!$C$34*I210/Subsurface_Inputs!$C$35*1000000</x:f>
        <x:v>61.53743382240121</x:v>
      </x:c>
      <x:c r="O210" s="24" t="n">
        <x:f>2*Subsurface_Inputs!$C$34*K210/Subsurface_Inputs!$C$35*1000000</x:f>
        <x:v>173.82638599087443</x:v>
      </x:c>
      <x:c r="P210" s="24" t="n">
        <x:f>Subsurface_Inputs!$C$37-2*Subsurface_Inputs!$C$36*(F210/1000)</x:f>
        <x:v>-12.435382277078613</x:v>
      </x:c>
      <x:c r="Q210" s="24" t="n">
        <x:f>Subsurface_Inputs!$C$38+Subsurface_Inputs!$C$39*H210-2*Subsurface_Inputs!$C$36*(I210/1000)</x:f>
        <x:v>-31.965401746040158</x:v>
      </x:c>
      <x:c r="R210" s="24" t="n">
        <x:f>Subsurface_Inputs!$C$40-2*Subsurface_Inputs!$C$36*(K210/1000)-Subsurface_Inputs!$C$41*ABS(L210-AVERAGE($L$2:$L$242))</x:f>
        <x:v>-33.679245381675294</x:v>
      </x:c>
      <x:c r="S210" s="24" t="n">
        <x:f>K210-AVERAGE($K$2:$K$242)</x:f>
        <x:v>-439.2275266243869</x:v>
      </x:c>
      <x:c r="T210" s="24" t="n">
        <x:f>K210/F210</x:f>
        <x:v>10.819115812781687</x:v>
      </x:c>
      <x:c r="U210" s="25" t="str">
        <x:f>IF(H210&gt;=Subsurface_Inputs!$C$42,"Lens visible","Weak/no lens")</x:f>
        <x:v>Weak/no lens</x:v>
      </x:c>
      <x:c r="V210" s="25" t="str">
        <x:f>IF(R210&gt;=W210,"Likely visible","Weak")</x:f>
        <x:v>Likely visible</x:v>
      </x:c>
      <x:c r="W210" s="24" t="n">
        <x:f>Subsurface_Inputs!$C$43</x:f>
        <x:v>-45</x:v>
      </x:c>
      <x:c r="X210" s="24" t="n">
        <x:f>Q210-W210</x:f>
        <x:v>13.034598253959842</x:v>
      </x:c>
      <x:c r="Y210" s="24" t="n">
        <x:f>R210-W210</x:f>
        <x:v>11.320754618324706</x:v>
      </x:c>
      <x:c r="Z210" s="24" t="n">
        <x:f>MAX(Q210,R210)-W210</x:f>
        <x:v>13.034598253959842</x:v>
      </x:c>
      <x:c r="AA210" s="24" t="n">
        <x:v>0</x:v>
      </x:c>
    </x:row>
    <x:row r="211">
      <x:c r="A211" s="24" t="n">
        <x:f>Model_Data!A211</x:f>
        <x:v>44.5</x:v>
      </x:c>
      <x:c r="B211" s="24" t="n">
        <x:f>Model_Data!Y211</x:f>
        <x:v>178.96296340227542</x:v>
      </x:c>
      <x:c r="C211" s="24" t="n">
        <x:f>Model_Data!X211</x:f>
        <x:v>-3.283716108943903</x:v>
      </x:c>
      <x:c r="D211" s="24" t="n">
        <x:f>Model_Data!B211</x:f>
        <x:v>402.2002777777778</x:v>
      </x:c>
      <x:c r="E211" s="24" t="n">
        <x:f>Inputs!$C$6</x:f>
        <x:v>25</x:v>
      </x:c>
      <x:c r="F211" s="24" t="n">
        <x:f>Subsurface_Inputs!$C$5+Subsurface_Inputs!$C$6*SIN(2*PI()*(A211+Subsurface_Inputs!$C$7)/Subsurface_Inputs!$C$8)+Subsurface_Inputs!$C$9*COS(2*PI()*A211/Subsurface_Inputs!$C$10)+Subsurface_Inputs!$C$11*(B211-AVERAGE($B$2:$B$242))</x:f>
        <x:v>1352.46576286895</x:v>
      </x:c>
      <x:c r="G211" s="24" t="n">
        <x:f>B211-F211</x:f>
        <x:v>-1173.5027994666746</x:v>
      </x:c>
      <x:c r="H211" s="24" t="n">
        <x:f>MIN(1,MAX(0,Subsurface_Inputs!$C$13*EXP(-0.5*((A211-Subsurface_Inputs!$C$14)/Subsurface_Inputs!$C$15)^2)+Subsurface_Inputs!$C$16*EXP(-0.5*((A211-Subsurface_Inputs!$C$17)/Subsurface_Inputs!$C$18)^2)))</x:f>
        <x:v>0.13543640718639832</x:v>
      </x:c>
      <x:c r="I211" s="24" t="n">
        <x:f>Subsurface_Inputs!$C$19+Subsurface_Inputs!$C$20*SIN(2*PI()*(A211-Subsurface_Inputs!$C$21)/Subsurface_Inputs!$C$22)-Subsurface_Inputs!$C$23*H211</x:f>
        <x:v>5166.498639040892</x:v>
      </x:c>
      <x:c r="J211" s="24" t="n">
        <x:f>B211-I211</x:f>
        <x:v>-4987.535675638616</x:v>
      </x:c>
      <x:c r="K211" s="24" t="n">
        <x:f>Subsurface_Inputs!$C$25+Subsurface_Inputs!$C$26*SIN(2*PI()*(A211+Subsurface_Inputs!$C$27)/Subsurface_Inputs!$C$28)+Subsurface_Inputs!$C$29*COS(2*PI()*(A211-Subsurface_Inputs!$C$30)/Subsurface_Inputs!$C$31)-Subsurface_Inputs!$C$32*(B211-AVERAGE($B$2:$B$242))</x:f>
        <x:v>14633.280812812143</x:v>
      </x:c>
      <x:c r="L211" s="24" t="n">
        <x:f>B211-K211</x:f>
        <x:v>-14454.317849409868</x:v>
      </x:c>
      <x:c r="M211" s="24" t="n">
        <x:f>2*Subsurface_Inputs!$C$34*F211/Subsurface_Inputs!$C$35*1000000</x:f>
        <x:v>16.060371057811807</x:v>
      </x:c>
      <x:c r="N211" s="24" t="n">
        <x:f>2*Subsurface_Inputs!$C$34*I211/Subsurface_Inputs!$C$35*1000000</x:f>
        <x:v>61.35156060192007</x:v>
      </x:c>
      <x:c r="O211" s="24" t="n">
        <x:f>2*Subsurface_Inputs!$C$34*K211/Subsurface_Inputs!$C$35*1000000</x:f>
        <x:v>173.76847983817936</x:v>
      </x:c>
      <x:c r="P211" s="24" t="n">
        <x:f>Subsurface_Inputs!$C$37-2*Subsurface_Inputs!$C$36*(F211/1000)</x:f>
        <x:v>-12.43443837316411</x:v>
      </x:c>
      <x:c r="Q211" s="24" t="n">
        <x:f>Subsurface_Inputs!$C$38+Subsurface_Inputs!$C$39*H211-2*Subsurface_Inputs!$C$36*(I211/1000)</x:f>
        <x:v>-32.08076988559602</x:v>
      </x:c>
      <x:c r="R211" s="24" t="n">
        <x:f>Subsurface_Inputs!$C$40-2*Subsurface_Inputs!$C$36*(K211/1000)-Subsurface_Inputs!$C$41*ABS(L211-AVERAGE($L$2:$L$242))</x:f>
        <x:v>-33.57046457939376</x:v>
      </x:c>
      <x:c r="S211" s="24" t="n">
        <x:f>K211-AVERAGE($K$2:$K$242)</x:f>
        <x:v>-444.1038827619668</x:v>
      </x:c>
      <x:c r="T211" s="24" t="n">
        <x:f>K211/F211</x:f>
        <x:v>10.819705174474029</x:v>
      </x:c>
      <x:c r="U211" s="25" t="str">
        <x:f>IF(H211&gt;=Subsurface_Inputs!$C$42,"Lens visible","Weak/no lens")</x:f>
        <x:v>Weak/no lens</x:v>
      </x:c>
      <x:c r="V211" s="25" t="str">
        <x:f>IF(R211&gt;=W211,"Likely visible","Weak")</x:f>
        <x:v>Likely visible</x:v>
      </x:c>
      <x:c r="W211" s="24" t="n">
        <x:f>Subsurface_Inputs!$C$43</x:f>
        <x:v>-45</x:v>
      </x:c>
      <x:c r="X211" s="24" t="n">
        <x:f>Q211-W211</x:f>
        <x:v>12.91923011440398</x:v>
      </x:c>
      <x:c r="Y211" s="24" t="n">
        <x:f>R211-W211</x:f>
        <x:v>11.429535420606243</x:v>
      </x:c>
      <x:c r="Z211" s="24" t="n">
        <x:f>MAX(Q211,R211)-W211</x:f>
        <x:v>12.91923011440398</x:v>
      </x:c>
      <x:c r="AA211" s="24" t="n">
        <x:v>0</x:v>
      </x:c>
    </x:row>
    <x:row r="212">
      <x:c r="A212" s="24" t="n">
        <x:f>Model_Data!A212</x:f>
        <x:v>45</x:v>
      </x:c>
      <x:c r="B212" s="24" t="n">
        <x:f>Model_Data!Y212</x:f>
        <x:v>165.26573251393552</x:v>
      </x:c>
      <x:c r="C212" s="24" t="n">
        <x:f>Model_Data!X212</x:f>
        <x:v>-4.746207968267804</x:v>
      </x:c>
      <x:c r="D212" s="24" t="n">
        <x:f>Model_Data!B212</x:f>
        <x:v>402.25</x:v>
      </x:c>
      <x:c r="E212" s="24" t="n">
        <x:f>Inputs!$C$6</x:f>
        <x:v>25</x:v>
      </x:c>
      <x:c r="F212" s="24" t="n">
        <x:f>Subsurface_Inputs!$C$5+Subsurface_Inputs!$C$6*SIN(2*PI()*(A212+Subsurface_Inputs!$C$7)/Subsurface_Inputs!$C$8)+Subsurface_Inputs!$C$9*COS(2*PI()*A212/Subsurface_Inputs!$C$10)+Subsurface_Inputs!$C$11*(B212-AVERAGE($B$2:$B$242))</x:f>
        <x:v>1350.708383641247</x:v>
      </x:c>
      <x:c r="G212" s="24" t="n">
        <x:f>B212-F212</x:f>
        <x:v>-1185.4426511273116</x:v>
      </x:c>
      <x:c r="H212" s="24" t="n">
        <x:f>MIN(1,MAX(0,Subsurface_Inputs!$C$13*EXP(-0.5*((A212-Subsurface_Inputs!$C$14)/Subsurface_Inputs!$C$15)^2)+Subsurface_Inputs!$C$16*EXP(-0.5*((A212-Subsurface_Inputs!$C$17)/Subsurface_Inputs!$C$18)^2)))</x:f>
        <x:v>0.12069513676921262</x:v>
      </x:c>
      <x:c r="I212" s="24" t="n">
        <x:f>Subsurface_Inputs!$C$19+Subsurface_Inputs!$C$20*SIN(2*PI()*(A212-Subsurface_Inputs!$C$21)/Subsurface_Inputs!$C$22)-Subsurface_Inputs!$C$23*H212</x:f>
        <x:v>5150.410794969204</x:v>
      </x:c>
      <x:c r="J212" s="24" t="n">
        <x:f>B212-I212</x:f>
        <x:v>-4985.145062455269</x:v>
      </x:c>
      <x:c r="K212" s="24" t="n">
        <x:f>Subsurface_Inputs!$C$25+Subsurface_Inputs!$C$26*SIN(2*PI()*(A212+Subsurface_Inputs!$C$27)/Subsurface_Inputs!$C$28)+Subsurface_Inputs!$C$29*COS(2*PI()*(A212-Subsurface_Inputs!$C$30)/Subsurface_Inputs!$C$31)-Subsurface_Inputs!$C$32*(B212-AVERAGE($B$2:$B$242))</x:f>
        <x:v>14626.915429680796</x:v>
      </x:c>
      <x:c r="L212" s="24" t="n">
        <x:f>B212-K212</x:f>
        <x:v>-14461.64969716686</x:v>
      </x:c>
      <x:c r="M212" s="24" t="n">
        <x:f>2*Subsurface_Inputs!$C$34*F212/Subsurface_Inputs!$C$35*1000000</x:f>
        <x:v>16.039502387224296</x:v>
      </x:c>
      <x:c r="N212" s="24" t="n">
        <x:f>2*Subsurface_Inputs!$C$34*I212/Subsurface_Inputs!$C$35*1000000</x:f>
        <x:v>61.160519355328034</x:v>
      </x:c>
      <x:c r="O212" s="24" t="n">
        <x:f>2*Subsurface_Inputs!$C$34*K212/Subsurface_Inputs!$C$35*1000000</x:f>
        <x:v>173.69289166595254</x:v>
      </x:c>
      <x:c r="P212" s="24" t="n">
        <x:f>Subsurface_Inputs!$C$37-2*Subsurface_Inputs!$C$36*(F212/1000)</x:f>
        <x:v>-12.431275090554244</x:v>
      </x:c>
      <x:c r="Q212" s="24" t="n">
        <x:f>Subsurface_Inputs!$C$38+Subsurface_Inputs!$C$39*H212-2*Subsurface_Inputs!$C$36*(I212/1000)</x:f>
        <x:v>-32.18448320002165</x:v>
      </x:c>
      <x:c r="R212" s="24" t="n">
        <x:f>Subsurface_Inputs!$C$40-2*Subsurface_Inputs!$C$36*(K212/1000)-Subsurface_Inputs!$C$41*ABS(L212-AVERAGE($L$2:$L$242))</x:f>
        <x:v>-33.529679498729365</x:v>
      </x:c>
      <x:c r="S212" s="24" t="n">
        <x:f>K212-AVERAGE($K$2:$K$242)</x:f>
        <x:v>-450.4692658933145</x:v>
      </x:c>
      <x:c r="T212" s="24" t="n">
        <x:f>K212/F212</x:f>
        <x:v>10.829069847223037</x:v>
      </x:c>
      <x:c r="U212" s="25" t="str">
        <x:f>IF(H212&gt;=Subsurface_Inputs!$C$42,"Lens visible","Weak/no lens")</x:f>
        <x:v>Weak/no lens</x:v>
      </x:c>
      <x:c r="V212" s="25" t="str">
        <x:f>IF(R212&gt;=W212,"Likely visible","Weak")</x:f>
        <x:v>Likely visible</x:v>
      </x:c>
      <x:c r="W212" s="24" t="n">
        <x:f>Subsurface_Inputs!$C$43</x:f>
        <x:v>-45</x:v>
      </x:c>
      <x:c r="X212" s="24" t="n">
        <x:f>Q212-W212</x:f>
        <x:v>12.815516799978347</x:v>
      </x:c>
      <x:c r="Y212" s="24" t="n">
        <x:f>R212-W212</x:f>
        <x:v>11.470320501270635</x:v>
      </x:c>
      <x:c r="Z212" s="24" t="n">
        <x:f>MAX(Q212,R212)-W212</x:f>
        <x:v>12.815516799978347</x:v>
      </x:c>
      <x:c r="AA212" s="24" t="n">
        <x:v>0</x:v>
      </x:c>
    </x:row>
    <x:row r="213">
      <x:c r="A213" s="24" t="n">
        <x:f>Model_Data!A213</x:f>
        <x:v>45.5</x:v>
      </x:c>
      <x:c r="B213" s="24" t="n">
        <x:f>Model_Data!Y213</x:f>
        <x:v>168.78187987738474</x:v>
      </x:c>
      <x:c r="C213" s="24" t="n">
        <x:f>Model_Data!X213</x:f>
        <x:v>-4.954776418919145</x:v>
      </x:c>
      <x:c r="D213" s="24" t="n">
        <x:f>Model_Data!B213</x:f>
        <x:v>402.30027777777775</x:v>
      </x:c>
      <x:c r="E213" s="24" t="n">
        <x:f>Inputs!$C$6</x:f>
        <x:v>25</x:v>
      </x:c>
      <x:c r="F213" s="24" t="n">
        <x:f>Subsurface_Inputs!$C$5+Subsurface_Inputs!$C$6*SIN(2*PI()*(A213+Subsurface_Inputs!$C$7)/Subsurface_Inputs!$C$8)+Subsurface_Inputs!$C$9*COS(2*PI()*A213/Subsurface_Inputs!$C$10)+Subsurface_Inputs!$C$11*(B213-AVERAGE($B$2:$B$242))</x:f>
        <x:v>1347.7303681384114</x:v>
      </x:c>
      <x:c r="G213" s="24" t="n">
        <x:f>B213-F213</x:f>
        <x:v>-1178.9484882610268</x:v>
      </x:c>
      <x:c r="H213" s="24" t="n">
        <x:f>MIN(1,MAX(0,Subsurface_Inputs!$C$13*EXP(-0.5*((A213-Subsurface_Inputs!$C$14)/Subsurface_Inputs!$C$15)^2)+Subsurface_Inputs!$C$16*EXP(-0.5*((A213-Subsurface_Inputs!$C$17)/Subsurface_Inputs!$C$18)^2)))</x:f>
        <x:v>0.10713901644628038</x:v>
      </x:c>
      <x:c r="I213" s="24" t="n">
        <x:f>Subsurface_Inputs!$C$19+Subsurface_Inputs!$C$20*SIN(2*PI()*(A213-Subsurface_Inputs!$C$21)/Subsurface_Inputs!$C$22)-Subsurface_Inputs!$C$23*H213</x:f>
        <x:v>5133.922017260061</x:v>
      </x:c>
      <x:c r="J213" s="24" t="n">
        <x:f>B213-I213</x:f>
        <x:v>-4965.140137382676</x:v>
      </x:c>
      <x:c r="K213" s="24" t="n">
        <x:f>Subsurface_Inputs!$C$25+Subsurface_Inputs!$C$26*SIN(2*PI()*(A213+Subsurface_Inputs!$C$27)/Subsurface_Inputs!$C$28)+Subsurface_Inputs!$C$29*COS(2*PI()*(A213-Subsurface_Inputs!$C$30)/Subsurface_Inputs!$C$31)-Subsurface_Inputs!$C$32*(B213-AVERAGE($B$2:$B$242))</x:f>
        <x:v>14618.90219150512</x:v>
      </x:c>
      <x:c r="L213" s="24" t="n">
        <x:f>B213-K213</x:f>
        <x:v>-14450.120311627736</x:v>
      </x:c>
      <x:c r="M213" s="24" t="n">
        <x:f>2*Subsurface_Inputs!$C$34*F213/Subsurface_Inputs!$C$35*1000000</x:f>
        <x:v>16.004138805162153</x:v>
      </x:c>
      <x:c r="N213" s="24" t="n">
        <x:f>2*Subsurface_Inputs!$C$34*I213/Subsurface_Inputs!$C$35*1000000</x:f>
        <x:v>60.964717069185966</x:v>
      </x:c>
      <x:c r="O213" s="24" t="n">
        <x:f>2*Subsurface_Inputs!$C$34*K213/Subsurface_Inputs!$C$35*1000000</x:f>
        <x:v>173.59773540986887</x:v>
      </x:c>
      <x:c r="P213" s="24" t="n">
        <x:f>Subsurface_Inputs!$C$37-2*Subsurface_Inputs!$C$36*(F213/1000)</x:f>
        <x:v>-12.425914662649141</x:v>
      </x:c>
      <x:c r="Q213" s="24" t="n">
        <x:f>Subsurface_Inputs!$C$38+Subsurface_Inputs!$C$39*H213-2*Subsurface_Inputs!$C$36*(I213/1000)</x:f>
        <x:v>-32.27680848305159</x:v>
      </x:c>
      <x:c r="R213" s="24" t="n">
        <x:f>Subsurface_Inputs!$C$40-2*Subsurface_Inputs!$C$36*(K213/1000)-Subsurface_Inputs!$C$41*ABS(L213-AVERAGE($L$2:$L$242))</x:f>
        <x:v>-33.56137321216965</x:v>
      </x:c>
      <x:c r="S213" s="24" t="n">
        <x:f>K213-AVERAGE($K$2:$K$242)</x:f>
        <x:v>-458.48250406899024</x:v>
      </x:c>
      <x:c r="T213" s="24" t="n">
        <x:f>K213/F213</x:f>
        <x:v>10.847052598286309</x:v>
      </x:c>
      <x:c r="U213" s="25" t="str">
        <x:f>IF(H213&gt;=Subsurface_Inputs!$C$42,"Lens visible","Weak/no lens")</x:f>
        <x:v>Weak/no lens</x:v>
      </x:c>
      <x:c r="V213" s="25" t="str">
        <x:f>IF(R213&gt;=W213,"Likely visible","Weak")</x:f>
        <x:v>Likely visible</x:v>
      </x:c>
      <x:c r="W213" s="24" t="n">
        <x:f>Subsurface_Inputs!$C$43</x:f>
        <x:v>-45</x:v>
      </x:c>
      <x:c r="X213" s="24" t="n">
        <x:f>Q213-W213</x:f>
        <x:v>12.723191516948411</x:v>
      </x:c>
      <x:c r="Y213" s="24" t="n">
        <x:f>R213-W213</x:f>
        <x:v>11.438626787830351</x:v>
      </x:c>
      <x:c r="Z213" s="24" t="n">
        <x:f>MAX(Q213,R213)-W213</x:f>
        <x:v>12.723191516948411</x:v>
      </x:c>
      <x:c r="AA213" s="24" t="n">
        <x:v>0</x:v>
      </x:c>
    </x:row>
    <x:row r="214">
      <x:c r="A214" s="24" t="n">
        <x:f>Model_Data!A214</x:f>
        <x:v>46</x:v>
      </x:c>
      <x:c r="B214" s="24" t="n">
        <x:f>Model_Data!Y214</x:f>
        <x:v>147.2236511039814</x:v>
      </x:c>
      <x:c r="C214" s="24" t="n">
        <x:f>Model_Data!X214</x:f>
        <x:v>-0.04819256513620118</x:v>
      </x:c>
      <x:c r="D214" s="24" t="n">
        <x:f>Model_Data!B214</x:f>
        <x:v>402.3511111111111</x:v>
      </x:c>
      <x:c r="E214" s="24" t="n">
        <x:f>Inputs!$C$6</x:f>
        <x:v>25</x:v>
      </x:c>
      <x:c r="F214" s="24" t="n">
        <x:f>Subsurface_Inputs!$C$5+Subsurface_Inputs!$C$6*SIN(2*PI()*(A214+Subsurface_Inputs!$C$7)/Subsurface_Inputs!$C$8)+Subsurface_Inputs!$C$9*COS(2*PI()*A214/Subsurface_Inputs!$C$10)+Subsurface_Inputs!$C$11*(B214-AVERAGE($B$2:$B$242))</x:f>
        <x:v>1341.8359279664187</x:v>
      </x:c>
      <x:c r="G214" s="24" t="n">
        <x:f>B214-F214</x:f>
        <x:v>-1194.6122768624373</x:v>
      </x:c>
      <x:c r="H214" s="24" t="n">
        <x:f>MIN(1,MAX(0,Subsurface_Inputs!$C$13*EXP(-0.5*((A214-Subsurface_Inputs!$C$14)/Subsurface_Inputs!$C$15)^2)+Subsurface_Inputs!$C$16*EXP(-0.5*((A214-Subsurface_Inputs!$C$17)/Subsurface_Inputs!$C$18)^2)))</x:f>
        <x:v>0.09473469828738136</x:v>
      </x:c>
      <x:c r="I214" s="24" t="n">
        <x:f>Subsurface_Inputs!$C$19+Subsurface_Inputs!$C$20*SIN(2*PI()*(A214-Subsurface_Inputs!$C$21)/Subsurface_Inputs!$C$22)-Subsurface_Inputs!$C$23*H214</x:f>
        <x:v>5117.069283886007</x:v>
      </x:c>
      <x:c r="J214" s="24" t="n">
        <x:f>B214-I214</x:f>
        <x:v>-4969.845632782026</x:v>
      </x:c>
      <x:c r="K214" s="24" t="n">
        <x:f>Subsurface_Inputs!$C$25+Subsurface_Inputs!$C$26*SIN(2*PI()*(A214+Subsurface_Inputs!$C$27)/Subsurface_Inputs!$C$28)+Subsurface_Inputs!$C$29*COS(2*PI()*(A214-Subsurface_Inputs!$C$30)/Subsurface_Inputs!$C$31)-Subsurface_Inputs!$C$32*(B214-AVERAGE($B$2:$B$242))</x:f>
        <x:v>14615.145412726702</x:v>
      </x:c>
      <x:c r="L214" s="24" t="n">
        <x:f>B214-K214</x:f>
        <x:v>-14467.921761622722</x:v>
      </x:c>
      <x:c r="M214" s="24" t="n">
        <x:f>2*Subsurface_Inputs!$C$34*F214/Subsurface_Inputs!$C$35*1000000</x:f>
        <x:v>15.934143024907087</x:v>
      </x:c>
      <x:c r="N214" s="24" t="n">
        <x:f>2*Subsurface_Inputs!$C$34*I214/Subsurface_Inputs!$C$35*1000000</x:f>
        <x:v>60.76459285254663</x:v>
      </x:c>
      <x:c r="O214" s="24" t="n">
        <x:f>2*Subsurface_Inputs!$C$34*K214/Subsurface_Inputs!$C$35*1000000</x:f>
        <x:v>173.55312410596753</x:v>
      </x:c>
      <x:c r="P214" s="24" t="n">
        <x:f>Subsurface_Inputs!$C$37-2*Subsurface_Inputs!$C$36*(F214/1000)</x:f>
        <x:v>-12.415304670339554</x:v>
      </x:c>
      <x:c r="Q214" s="24" t="n">
        <x:f>Subsurface_Inputs!$C$38+Subsurface_Inputs!$C$39*H214-2*Subsurface_Inputs!$C$36*(I214/1000)</x:f>
        <x:v>-32.35811242640838</x:v>
      </x:c>
      <x:c r="R214" s="24" t="n">
        <x:f>Subsurface_Inputs!$C$40-2*Subsurface_Inputs!$C$36*(K214/1000)-Subsurface_Inputs!$C$41*ABS(L214-AVERAGE($L$2:$L$242))</x:f>
        <x:v>-33.483405210388554</x:v>
      </x:c>
      <x:c r="S214" s="24" t="n">
        <x:f>K214-AVERAGE($K$2:$K$242)</x:f>
        <x:v>-462.2392828474076</x:v>
      </x:c>
      <x:c r="T214" s="24" t="n">
        <x:f>K214/F214</x:f>
        <x:v>10.891901988998216</x:v>
      </x:c>
      <x:c r="U214" s="25" t="str">
        <x:f>IF(H214&gt;=Subsurface_Inputs!$C$42,"Lens visible","Weak/no lens")</x:f>
        <x:v>Weak/no lens</x:v>
      </x:c>
      <x:c r="V214" s="25" t="str">
        <x:f>IF(R214&gt;=W214,"Likely visible","Weak")</x:f>
        <x:v>Likely visible</x:v>
      </x:c>
      <x:c r="W214" s="24" t="n">
        <x:f>Subsurface_Inputs!$C$43</x:f>
        <x:v>-45</x:v>
      </x:c>
      <x:c r="X214" s="24" t="n">
        <x:f>Q214-W214</x:f>
        <x:v>12.641887573591617</x:v>
      </x:c>
      <x:c r="Y214" s="24" t="n">
        <x:f>R214-W214</x:f>
        <x:v>11.516594789611446</x:v>
      </x:c>
      <x:c r="Z214" s="24" t="n">
        <x:f>MAX(Q214,R214)-W214</x:f>
        <x:v>12.641887573591617</x:v>
      </x:c>
      <x:c r="AA214" s="24" t="n">
        <x:v>0</x:v>
      </x:c>
    </x:row>
    <x:row r="215">
      <x:c r="A215" s="24" t="n">
        <x:f>Model_Data!A215</x:f>
        <x:v>46.5</x:v>
      </x:c>
      <x:c r="B215" s="24" t="n">
        <x:f>Model_Data!Y215</x:f>
        <x:v>125.26409736726505</x:v>
      </x:c>
      <x:c r="C215" s="24" t="n">
        <x:f>Model_Data!X215</x:f>
        <x:v>-12.32376640540756</x:v>
      </x:c>
      <x:c r="D215" s="24" t="n">
        <x:f>Model_Data!B215</x:f>
        <x:v>402.4025</x:v>
      </x:c>
      <x:c r="E215" s="24" t="n">
        <x:f>Inputs!$C$6</x:f>
        <x:v>25</x:v>
      </x:c>
      <x:c r="F215" s="24" t="n">
        <x:f>Subsurface_Inputs!$C$5+Subsurface_Inputs!$C$6*SIN(2*PI()*(A215+Subsurface_Inputs!$C$7)/Subsurface_Inputs!$C$8)+Subsurface_Inputs!$C$9*COS(2*PI()*A215/Subsurface_Inputs!$C$10)+Subsurface_Inputs!$C$11*(B215-AVERAGE($B$2:$B$242))</x:f>
        <x:v>1334.0328418641786</x:v>
      </x:c>
      <x:c r="G215" s="24" t="n">
        <x:f>B215-F215</x:f>
        <x:v>-1208.7687444969135</x:v>
      </x:c>
      <x:c r="H215" s="24" t="n">
        <x:f>MIN(1,MAX(0,Subsurface_Inputs!$C$13*EXP(-0.5*((A215-Subsurface_Inputs!$C$14)/Subsurface_Inputs!$C$15)^2)+Subsurface_Inputs!$C$16*EXP(-0.5*((A215-Subsurface_Inputs!$C$17)/Subsurface_Inputs!$C$18)^2)))</x:f>
        <x:v>0.08343994989716268</x:v>
      </x:c>
      <x:c r="I215" s="24" t="n">
        <x:f>Subsurface_Inputs!$C$19+Subsurface_Inputs!$C$20*SIN(2*PI()*(A215-Subsurface_Inputs!$C$21)/Subsurface_Inputs!$C$22)-Subsurface_Inputs!$C$23*H215</x:f>
        <x:v>5099.891833543499</x:v>
      </x:c>
      <x:c r="J215" s="24" t="n">
        <x:f>B215-I215</x:f>
        <x:v>-4974.627736176234</x:v>
      </x:c>
      <x:c r="K215" s="24" t="n">
        <x:f>Subsurface_Inputs!$C$25+Subsurface_Inputs!$C$26*SIN(2*PI()*(A215+Subsurface_Inputs!$C$27)/Subsurface_Inputs!$C$28)+Subsurface_Inputs!$C$29*COS(2*PI()*(A215-Subsurface_Inputs!$C$30)/Subsurface_Inputs!$C$31)-Subsurface_Inputs!$C$32*(B215-AVERAGE($B$2:$B$242))</x:f>
        <x:v>14612.173134210097</x:v>
      </x:c>
      <x:c r="L215" s="24" t="n">
        <x:f>B215-K215</x:f>
        <x:v>-14486.909036842833</x:v>
      </x:c>
      <x:c r="M215" s="24" t="n">
        <x:f>2*Subsurface_Inputs!$C$34*F215/Subsurface_Inputs!$C$35*1000000</x:f>
        <x:v>15.841482299853174</x:v>
      </x:c>
      <x:c r="N215" s="24" t="n">
        <x:f>2*Subsurface_Inputs!$C$34*I215/Subsurface_Inputs!$C$35*1000000</x:f>
        <x:v>60.560612660291994</x:v>
      </x:c>
      <x:c r="O215" s="24" t="n">
        <x:f>2*Subsurface_Inputs!$C$34*K215/Subsurface_Inputs!$C$35*1000000</x:f>
        <x:v>173.5178286499387</x:v>
      </x:c>
      <x:c r="P215" s="24" t="n">
        <x:f>Subsurface_Inputs!$C$37-2*Subsurface_Inputs!$C$36*(F215/1000)</x:f>
        <x:v>-12.401259115355522</x:v>
      </x:c>
      <x:c r="Q215" s="24" t="n">
        <x:f>Subsurface_Inputs!$C$38+Subsurface_Inputs!$C$39*H215-2*Subsurface_Inputs!$C$36*(I215/1000)</x:f>
        <x:v>-32.42884575130383</x:v>
      </x:c>
      <x:c r="R215" s="24" t="n">
        <x:f>Subsurface_Inputs!$C$40-2*Subsurface_Inputs!$C$36*(K215/1000)-Subsurface_Inputs!$C$41*ABS(L215-AVERAGE($L$2:$L$242))</x:f>
        <x:v>-33.40210600817821</x:v>
      </x:c>
      <x:c r="S215" s="24" t="n">
        <x:f>K215-AVERAGE($K$2:$K$242)</x:f>
        <x:v>-465.2115613640126</x:v>
      </x:c>
      <x:c r="T215" s="24" t="n">
        <x:f>K215/F215</x:f>
        <x:v>10.95338336183016</x:v>
      </x:c>
      <x:c r="U215" s="25" t="str">
        <x:f>IF(H215&gt;=Subsurface_Inputs!$C$42,"Lens visible","Weak/no lens")</x:f>
        <x:v>Weak/no lens</x:v>
      </x:c>
      <x:c r="V215" s="25" t="str">
        <x:f>IF(R215&gt;=W215,"Likely visible","Weak")</x:f>
        <x:v>Likely visible</x:v>
      </x:c>
      <x:c r="W215" s="24" t="n">
        <x:f>Subsurface_Inputs!$C$43</x:f>
        <x:v>-45</x:v>
      </x:c>
      <x:c r="X215" s="24" t="n">
        <x:f>Q215-W215</x:f>
        <x:v>12.571154248696168</x:v>
      </x:c>
      <x:c r="Y215" s="24" t="n">
        <x:f>R215-W215</x:f>
        <x:v>11.597893991821792</x:v>
      </x:c>
      <x:c r="Z215" s="24" t="n">
        <x:f>MAX(Q215,R215)-W215</x:f>
        <x:v>12.571154248696168</x:v>
      </x:c>
      <x:c r="AA215" s="24" t="n">
        <x:v>0</x:v>
      </x:c>
    </x:row>
    <x:row r="216">
      <x:c r="A216" s="24" t="n">
        <x:f>Model_Data!A216</x:f>
        <x:v>47</x:v>
      </x:c>
      <x:c r="B216" s="24" t="n">
        <x:f>Model_Data!Y216</x:f>
        <x:v>119.07484471636309</x:v>
      </x:c>
      <x:c r="C216" s="24" t="n">
        <x:f>Model_Data!X216</x:f>
        <x:v>5.624733438492097</x:v>
      </x:c>
      <x:c r="D216" s="24" t="n">
        <x:f>Model_Data!B216</x:f>
        <x:v>402.45444444444445</x:v>
      </x:c>
      <x:c r="E216" s="24" t="n">
        <x:f>Inputs!$C$6</x:f>
        <x:v>25</x:v>
      </x:c>
      <x:c r="F216" s="24" t="n">
        <x:f>Subsurface_Inputs!$C$5+Subsurface_Inputs!$C$6*SIN(2*PI()*(A216+Subsurface_Inputs!$C$7)/Subsurface_Inputs!$C$8)+Subsurface_Inputs!$C$9*COS(2*PI()*A216/Subsurface_Inputs!$C$10)+Subsurface_Inputs!$C$11*(B216-AVERAGE($B$2:$B$242))</x:f>
        <x:v>1325.0139855411564</x:v>
      </x:c>
      <x:c r="G216" s="24" t="n">
        <x:f>B216-F216</x:f>
        <x:v>-1205.9391408247934</x:v>
      </x:c>
      <x:c r="H216" s="24" t="n">
        <x:f>MIN(1,MAX(0,Subsurface_Inputs!$C$13*EXP(-0.5*((A216-Subsurface_Inputs!$C$14)/Subsurface_Inputs!$C$15)^2)+Subsurface_Inputs!$C$16*EXP(-0.5*((A216-Subsurface_Inputs!$C$17)/Subsurface_Inputs!$C$18)^2)))</x:f>
        <x:v>0.0732053009130491</x:v>
      </x:c>
      <x:c r="I216" s="24" t="n">
        <x:f>Subsurface_Inputs!$C$19+Subsurface_Inputs!$C$20*SIN(2*PI()*(A216-Subsurface_Inputs!$C$21)/Subsurface_Inputs!$C$22)-Subsurface_Inputs!$C$23*H216</x:f>
        <x:v>5082.430727780868</x:v>
      </x:c>
      <x:c r="J216" s="24" t="n">
        <x:f>B216-I216</x:f>
        <x:v>-4963.355883064505</x:v>
      </x:c>
      <x:c r="K216" s="24" t="n">
        <x:f>Subsurface_Inputs!$C$25+Subsurface_Inputs!$C$26*SIN(2*PI()*(A216+Subsurface_Inputs!$C$27)/Subsurface_Inputs!$C$28)+Subsurface_Inputs!$C$29*COS(2*PI()*(A216-Subsurface_Inputs!$C$30)/Subsurface_Inputs!$C$31)-Subsurface_Inputs!$C$32*(B216-AVERAGE($B$2:$B$242))</x:f>
        <x:v>14607.701900076461</x:v>
      </x:c>
      <x:c r="L216" s="24" t="n">
        <x:f>B216-K216</x:f>
        <x:v>-14488.627055360099</x:v>
      </x:c>
      <x:c r="M216" s="24" t="n">
        <x:f>2*Subsurface_Inputs!$C$34*F216/Subsurface_Inputs!$C$35*1000000</x:f>
        <x:v>15.73438444714482</x:v>
      </x:c>
      <x:c r="N216" s="24" t="n">
        <x:f>2*Subsurface_Inputs!$C$34*I216/Subsurface_Inputs!$C$35*1000000</x:f>
        <x:v>60.353264093454584</x:v>
      </x:c>
      <x:c r="O216" s="24" t="n">
        <x:f>2*Subsurface_Inputs!$C$34*K216/Subsurface_Inputs!$C$35*1000000</x:f>
        <x:v>173.4647332731506</x:v>
      </x:c>
      <x:c r="P216" s="24" t="n">
        <x:f>Subsurface_Inputs!$C$37-2*Subsurface_Inputs!$C$36*(F216/1000)</x:f>
        <x:v>-12.385025173974082</x:v>
      </x:c>
      <x:c r="Q216" s="24" t="n">
        <x:f>Subsurface_Inputs!$C$38+Subsurface_Inputs!$C$39*H216-2*Subsurface_Inputs!$C$36*(I216/1000)</x:f>
        <x:v>-32.48952760178812</x:v>
      </x:c>
      <x:c r="R216" s="24" t="n">
        <x:f>Subsurface_Inputs!$C$40-2*Subsurface_Inputs!$C$36*(K216/1000)-Subsurface_Inputs!$C$41*ABS(L216-AVERAGE($L$2:$L$242))</x:f>
        <x:v>-33.38718571266861</x:v>
      </x:c>
      <x:c r="S216" s="24" t="n">
        <x:f>K216-AVERAGE($K$2:$K$242)</x:f>
        <x:v>-469.68279549764884</x:v>
      </x:c>
      <x:c r="T216" s="24" t="n">
        <x:f>K216/F216</x:f>
        <x:v>11.024564313644166</x:v>
      </x:c>
      <x:c r="U216" s="25" t="str">
        <x:f>IF(H216&gt;=Subsurface_Inputs!$C$42,"Lens visible","Weak/no lens")</x:f>
        <x:v>Weak/no lens</x:v>
      </x:c>
      <x:c r="V216" s="25" t="str">
        <x:f>IF(R216&gt;=W216,"Likely visible","Weak")</x:f>
        <x:v>Likely visible</x:v>
      </x:c>
      <x:c r="W216" s="24" t="n">
        <x:f>Subsurface_Inputs!$C$43</x:f>
        <x:v>-45</x:v>
      </x:c>
      <x:c r="X216" s="24" t="n">
        <x:f>Q216-W216</x:f>
        <x:v>12.510472398211881</x:v>
      </x:c>
      <x:c r="Y216" s="24" t="n">
        <x:f>R216-W216</x:f>
        <x:v>11.612814287331389</x:v>
      </x:c>
      <x:c r="Z216" s="24" t="n">
        <x:f>MAX(Q216,R216)-W216</x:f>
        <x:v>12.510472398211881</x:v>
      </x:c>
      <x:c r="AA216" s="24" t="n">
        <x:v>0</x:v>
      </x:c>
    </x:row>
    <x:row r="217">
      <x:c r="A217" s="24" t="n">
        <x:f>Model_Data!A217</x:f>
        <x:v>47.5</x:v>
      </x:c>
      <x:c r="B217" s="24" t="n">
        <x:f>Model_Data!Y217</x:f>
        <x:v>107.75271022723112</x:v>
      </x:c>
      <x:c r="C217" s="24" t="n">
        <x:f>Model_Data!X217</x:f>
        <x:v>4.725819493947935</x:v>
      </x:c>
      <x:c r="D217" s="24" t="n">
        <x:f>Model_Data!B217</x:f>
        <x:v>402.50694444444446</x:v>
      </x:c>
      <x:c r="E217" s="24" t="n">
        <x:f>Inputs!$C$6</x:f>
        <x:v>25</x:v>
      </x:c>
      <x:c r="F217" s="24" t="n">
        <x:f>Subsurface_Inputs!$C$5+Subsurface_Inputs!$C$6*SIN(2*PI()*(A217+Subsurface_Inputs!$C$7)/Subsurface_Inputs!$C$8)+Subsurface_Inputs!$C$9*COS(2*PI()*A217/Subsurface_Inputs!$C$10)+Subsurface_Inputs!$C$11*(B217-AVERAGE($B$2:$B$242))</x:f>
        <x:v>1314.0140033089376</x:v>
      </x:c>
      <x:c r="G217" s="24" t="n">
        <x:f>B217-F217</x:f>
        <x:v>-1206.2612930817065</x:v>
      </x:c>
      <x:c r="H217" s="24" t="n">
        <x:f>MIN(1,MAX(0,Subsurface_Inputs!$C$13*EXP(-0.5*((A217-Subsurface_Inputs!$C$14)/Subsurface_Inputs!$C$15)^2)+Subsurface_Inputs!$C$16*EXP(-0.5*((A217-Subsurface_Inputs!$C$17)/Subsurface_Inputs!$C$18)^2)))</x:f>
        <x:v>0.06397562875675993</x:v>
      </x:c>
      <x:c r="I217" s="24" t="n">
        <x:f>Subsurface_Inputs!$C$19+Subsurface_Inputs!$C$20*SIN(2*PI()*(A217-Subsurface_Inputs!$C$21)/Subsurface_Inputs!$C$22)-Subsurface_Inputs!$C$23*H217</x:f>
        <x:v>5064.728427579559</x:v>
      </x:c>
      <x:c r="J217" s="24" t="n">
        <x:f>B217-I217</x:f>
        <x:v>-4956.975717352328</x:v>
      </x:c>
      <x:c r="K217" s="24" t="n">
        <x:f>Subsurface_Inputs!$C$25+Subsurface_Inputs!$C$26*SIN(2*PI()*(A217+Subsurface_Inputs!$C$27)/Subsurface_Inputs!$C$28)+Subsurface_Inputs!$C$29*COS(2*PI()*(A217-Subsurface_Inputs!$C$30)/Subsurface_Inputs!$C$31)-Subsurface_Inputs!$C$32*(B217-AVERAGE($B$2:$B$242))</x:f>
        <x:v>14604.637100240314</x:v>
      </x:c>
      <x:c r="L217" s="24" t="n">
        <x:f>B217-K217</x:f>
        <x:v>-14496.884390013083</x:v>
      </x:c>
      <x:c r="M217" s="24" t="n">
        <x:f>2*Subsurface_Inputs!$C$34*F217/Subsurface_Inputs!$C$35*1000000</x:f>
        <x:v>15.603760958455526</x:v>
      </x:c>
      <x:c r="N217" s="24" t="n">
        <x:f>2*Subsurface_Inputs!$C$34*I217/Subsurface_Inputs!$C$35*1000000</x:f>
        <x:v>60.14305137116968</x:v>
      </x:c>
      <x:c r="O217" s="24" t="n">
        <x:f>2*Subsurface_Inputs!$C$34*K217/Subsurface_Inputs!$C$35*1000000</x:f>
        <x:v>173.42833913738926</x:v>
      </x:c>
      <x:c r="P217" s="24" t="n">
        <x:f>Subsurface_Inputs!$C$37-2*Subsurface_Inputs!$C$36*(F217/1000)</x:f>
        <x:v>-12.365225205956088</x:v>
      </x:c>
      <x:c r="Q217" s="24" t="n">
        <x:f>Subsurface_Inputs!$C$38+Subsurface_Inputs!$C$39*H217-2*Subsurface_Inputs!$C$36*(I217/1000)</x:f>
        <x:v>-32.54073051083237</x:v>
      </x:c>
      <x:c r="R217" s="24" t="n">
        <x:f>Subsurface_Inputs!$C$40-2*Subsurface_Inputs!$C$36*(K217/1000)-Subsurface_Inputs!$C$41*ABS(L217-AVERAGE($L$2:$L$242))</x:f>
        <x:v>-33.3486397343516</x:v>
      </x:c>
      <x:c r="S217" s="24" t="n">
        <x:f>K217-AVERAGE($K$2:$K$242)</x:f>
        <x:v>-472.7475953337962</x:v>
      </x:c>
      <x:c r="T217" s="24" t="n">
        <x:f>K217/F217</x:f>
        <x:v>11.11452165917795</x:v>
      </x:c>
      <x:c r="U217" s="25" t="str">
        <x:f>IF(H217&gt;=Subsurface_Inputs!$C$42,"Lens visible","Weak/no lens")</x:f>
        <x:v>Weak/no lens</x:v>
      </x:c>
      <x:c r="V217" s="25" t="str">
        <x:f>IF(R217&gt;=W217,"Likely visible","Weak")</x:f>
        <x:v>Likely visible</x:v>
      </x:c>
      <x:c r="W217" s="24" t="n">
        <x:f>Subsurface_Inputs!$C$43</x:f>
        <x:v>-45</x:v>
      </x:c>
      <x:c r="X217" s="24" t="n">
        <x:f>Q217-W217</x:f>
        <x:v>12.459269489167632</x:v>
      </x:c>
      <x:c r="Y217" s="24" t="n">
        <x:f>R217-W217</x:f>
        <x:v>11.6513602656484</x:v>
      </x:c>
      <x:c r="Z217" s="24" t="n">
        <x:f>MAX(Q217,R217)-W217</x:f>
        <x:v>12.459269489167632</x:v>
      </x:c>
      <x:c r="AA217" s="24" t="n">
        <x:v>0</x:v>
      </x:c>
    </x:row>
    <x:row r="218">
      <x:c r="A218" s="24" t="n">
        <x:f>Model_Data!A218</x:f>
        <x:v>48</x:v>
      </x:c>
      <x:c r="B218" s="24" t="n">
        <x:f>Model_Data!Y218</x:f>
        <x:v>124.99715373468393</x:v>
      </x:c>
      <x:c r="C218" s="24" t="n">
        <x:f>Model_Data!X218</x:f>
        <x:v>-9.076914728959792</x:v>
      </x:c>
      <x:c r="D218" s="24" t="n">
        <x:f>Model_Data!B218</x:f>
        <x:v>402.56</x:v>
      </x:c>
      <x:c r="E218" s="24" t="n">
        <x:f>Inputs!$C$6</x:f>
        <x:v>25</x:v>
      </x:c>
      <x:c r="F218" s="24" t="n">
        <x:f>Subsurface_Inputs!$C$5+Subsurface_Inputs!$C$6*SIN(2*PI()*(A218+Subsurface_Inputs!$C$7)/Subsurface_Inputs!$C$8)+Subsurface_Inputs!$C$9*COS(2*PI()*A218/Subsurface_Inputs!$C$10)+Subsurface_Inputs!$C$11*(B218-AVERAGE($B$2:$B$242))</x:f>
        <x:v>1302.475605782273</x:v>
      </x:c>
      <x:c r="G218" s="24" t="n">
        <x:f>B218-F218</x:f>
        <x:v>-1177.4784520475891</x:v>
      </x:c>
      <x:c r="H218" s="24" t="n">
        <x:f>MIN(1,MAX(0,Subsurface_Inputs!$C$13*EXP(-0.5*((A218-Subsurface_Inputs!$C$14)/Subsurface_Inputs!$C$15)^2)+Subsurface_Inputs!$C$16*EXP(-0.5*((A218-Subsurface_Inputs!$C$17)/Subsurface_Inputs!$C$18)^2)))</x:f>
        <x:v>0.055691656108017254</x:v>
      </x:c>
      <x:c r="I218" s="24" t="n">
        <x:f>Subsurface_Inputs!$C$19+Subsurface_Inputs!$C$20*SIN(2*PI()*(A218-Subsurface_Inputs!$C$21)/Subsurface_Inputs!$C$22)-Subsurface_Inputs!$C$23*H218</x:f>
        <x:v>5046.828391059098</x:v>
      </x:c>
      <x:c r="J218" s="24" t="n">
        <x:f>B218-I218</x:f>
        <x:v>-4921.831237324414</x:v>
      </x:c>
      <x:c r="K218" s="24" t="n">
        <x:f>Subsurface_Inputs!$C$25+Subsurface_Inputs!$C$26*SIN(2*PI()*(A218+Subsurface_Inputs!$C$27)/Subsurface_Inputs!$C$28)+Subsurface_Inputs!$C$29*COS(2*PI()*(A218-Subsurface_Inputs!$C$30)/Subsurface_Inputs!$C$31)-Subsurface_Inputs!$C$32*(B218-AVERAGE($B$2:$B$242))</x:f>
        <x:v>14598.23820003855</x:v>
      </x:c>
      <x:c r="L218" s="24" t="n">
        <x:f>B218-K218</x:f>
        <x:v>-14473.241046303865</x:v>
      </x:c>
      <x:c r="M218" s="24" t="n">
        <x:f>2*Subsurface_Inputs!$C$34*F218/Subsurface_Inputs!$C$35*1000000</x:f>
        <x:v>15.46674385179127</x:v>
      </x:c>
      <x:c r="N218" s="24" t="n">
        <x:f>2*Subsurface_Inputs!$C$34*I218/Subsurface_Inputs!$C$35*1000000</x:f>
        <x:v>59.93049055346946</x:v>
      </x:c>
      <x:c r="O218" s="24" t="n">
        <x:f>2*Subsurface_Inputs!$C$34*K218/Subsurface_Inputs!$C$35*1000000</x:f>
        <x:v>173.35235295391334</x:v>
      </x:c>
      <x:c r="P218" s="24" t="n">
        <x:f>Subsurface_Inputs!$C$37-2*Subsurface_Inputs!$C$36*(F218/1000)</x:f>
        <x:v>-12.34445609040809</x:v>
      </x:c>
      <x:c r="Q218" s="24" t="n">
        <x:f>Subsurface_Inputs!$C$38+Subsurface_Inputs!$C$39*H218-2*Subsurface_Inputs!$C$36*(I218/1000)</x:f>
        <x:v>-32.58306619893422</x:v>
      </x:c>
      <x:c r="R218" s="24" t="n">
        <x:f>Subsurface_Inputs!$C$40-2*Subsurface_Inputs!$C$36*(K218/1000)-Subsurface_Inputs!$C$41*ABS(L218-AVERAGE($L$2:$L$242))</x:f>
        <x:v>-33.4316950888253</x:v>
      </x:c>
      <x:c r="S218" s="24" t="n">
        <x:f>K218-AVERAGE($K$2:$K$242)</x:f>
        <x:v>-479.14649553556046</x:v>
      </x:c>
      <x:c r="T218" s="24" t="n">
        <x:f>K218/F218</x:f>
        <x:v>11.208070335621201</x:v>
      </x:c>
      <x:c r="U218" s="25" t="str">
        <x:f>IF(H218&gt;=Subsurface_Inputs!$C$42,"Lens visible","Weak/no lens")</x:f>
        <x:v>Weak/no lens</x:v>
      </x:c>
      <x:c r="V218" s="25" t="str">
        <x:f>IF(R218&gt;=W218,"Likely visible","Weak")</x:f>
        <x:v>Likely visible</x:v>
      </x:c>
      <x:c r="W218" s="24" t="n">
        <x:f>Subsurface_Inputs!$C$43</x:f>
        <x:v>-45</x:v>
      </x:c>
      <x:c r="X218" s="24" t="n">
        <x:f>Q218-W218</x:f>
        <x:v>12.416933801065781</x:v>
      </x:c>
      <x:c r="Y218" s="24" t="n">
        <x:f>R218-W218</x:f>
        <x:v>11.5683049111747</x:v>
      </x:c>
      <x:c r="Z218" s="24" t="n">
        <x:f>MAX(Q218,R218)-W218</x:f>
        <x:v>12.416933801065781</x:v>
      </x:c>
      <x:c r="AA218" s="24" t="n">
        <x:v>0</x:v>
      </x:c>
    </x:row>
    <x:row r="219">
      <x:c r="A219" s="24" t="n">
        <x:f>Model_Data!A219</x:f>
        <x:v>48.5</x:v>
      </x:c>
      <x:c r="B219" s="24" t="n">
        <x:f>Model_Data!Y219</x:f>
        <x:v>114.2648488799635</x:v>
      </x:c>
      <x:c r="C219" s="24" t="n">
        <x:f>Model_Data!X219</x:f>
        <x:v>-2.0408727900443155</x:v>
      </x:c>
      <x:c r="D219" s="24" t="n">
        <x:f>Model_Data!B219</x:f>
        <x:v>402.6136111111111</x:v>
      </x:c>
      <x:c r="E219" s="24" t="n">
        <x:f>Inputs!$C$6</x:f>
        <x:v>25</x:v>
      </x:c>
      <x:c r="F219" s="24" t="n">
        <x:f>Subsurface_Inputs!$C$5+Subsurface_Inputs!$C$6*SIN(2*PI()*(A219+Subsurface_Inputs!$C$7)/Subsurface_Inputs!$C$8)+Subsurface_Inputs!$C$9*COS(2*PI()*A219/Subsurface_Inputs!$C$10)+Subsurface_Inputs!$C$11*(B219-AVERAGE($B$2:$B$242))</x:f>
        <x:v>1288.2545570116101</x:v>
      </x:c>
      <x:c r="G219" s="24" t="n">
        <x:f>B219-F219</x:f>
        <x:v>-1173.9897081316467</x:v>
      </x:c>
      <x:c r="H219" s="24" t="n">
        <x:f>MIN(1,MAX(0,Subsurface_Inputs!$C$13*EXP(-0.5*((A219-Subsurface_Inputs!$C$14)/Subsurface_Inputs!$C$15)^2)+Subsurface_Inputs!$C$16*EXP(-0.5*((A219-Subsurface_Inputs!$C$17)/Subsurface_Inputs!$C$18)^2)))</x:f>
        <x:v>0.0482913381457313</x:v>
      </x:c>
      <x:c r="I219" s="24" t="n">
        <x:f>Subsurface_Inputs!$C$19+Subsurface_Inputs!$C$20*SIN(2*PI()*(A219-Subsurface_Inputs!$C$21)/Subsurface_Inputs!$C$22)-Subsurface_Inputs!$C$23*H219</x:f>
        <x:v>5028.774697637856</x:v>
      </x:c>
      <x:c r="J219" s="24" t="n">
        <x:f>B219-I219</x:f>
        <x:v>-4914.5098487578925</x:v>
      </x:c>
      <x:c r="K219" s="24" t="n">
        <x:f>Subsurface_Inputs!$C$25+Subsurface_Inputs!$C$26*SIN(2*PI()*(A219+Subsurface_Inputs!$C$27)/Subsurface_Inputs!$C$28)+Subsurface_Inputs!$C$29*COS(2*PI()*(A219-Subsurface_Inputs!$C$30)/Subsurface_Inputs!$C$31)-Subsurface_Inputs!$C$32*(B219-AVERAGE($B$2:$B$242))</x:f>
        <x:v>14596.397177031604</x:v>
      </x:c>
      <x:c r="L219" s="24" t="n">
        <x:f>B219-K219</x:f>
        <x:v>-14482.13232815164</x:v>
      </x:c>
      <x:c r="M219" s="24" t="n">
        <x:f>2*Subsurface_Inputs!$C$34*F219/Subsurface_Inputs!$C$35*1000000</x:f>
        <x:v>15.297870578723273</x:v>
      </x:c>
      <x:c r="N219" s="24" t="n">
        <x:f>2*Subsurface_Inputs!$C$34*I219/Subsurface_Inputs!$C$35*1000000</x:f>
        <x:v>59.716105078236374</x:v>
      </x:c>
      <x:c r="O219" s="24" t="n">
        <x:f>2*Subsurface_Inputs!$C$34*K219/Subsurface_Inputs!$C$35*1000000</x:f>
        <x:v>173.33049102333493</x:v>
      </x:c>
      <x:c r="P219" s="24" t="n">
        <x:f>Subsurface_Inputs!$C$37-2*Subsurface_Inputs!$C$36*(F219/1000)</x:f>
        <x:v>-12.318858202620898</x:v>
      </x:c>
      <x:c r="Q219" s="24" t="n">
        <x:f>Subsurface_Inputs!$C$38+Subsurface_Inputs!$C$39*H219-2*Subsurface_Inputs!$C$36*(I219/1000)</x:f>
        <x:v>-32.61717241243656</x:v>
      </x:c>
      <x:c r="R219" s="24" t="n">
        <x:f>Subsurface_Inputs!$C$40-2*Subsurface_Inputs!$C$36*(K219/1000)-Subsurface_Inputs!$C$41*ABS(L219-AVERAGE($L$2:$L$242))</x:f>
        <x:v>-33.3928161200217</x:v>
      </x:c>
      <x:c r="S219" s="24" t="n">
        <x:f>K219-AVERAGE($K$2:$K$242)</x:f>
        <x:v>-480.9875185425062</x:v>
      </x:c>
      <x:c r="T219" s="24" t="n">
        <x:f>K219/F219</x:f>
        <x:v>11.33036719923674</x:v>
      </x:c>
      <x:c r="U219" s="25" t="str">
        <x:f>IF(H219&gt;=Subsurface_Inputs!$C$42,"Lens visible","Weak/no lens")</x:f>
        <x:v>Weak/no lens</x:v>
      </x:c>
      <x:c r="V219" s="25" t="str">
        <x:f>IF(R219&gt;=W219,"Likely visible","Weak")</x:f>
        <x:v>Likely visible</x:v>
      </x:c>
      <x:c r="W219" s="24" t="n">
        <x:f>Subsurface_Inputs!$C$43</x:f>
        <x:v>-45</x:v>
      </x:c>
      <x:c r="X219" s="24" t="n">
        <x:f>Q219-W219</x:f>
        <x:v>12.38282758756344</x:v>
      </x:c>
      <x:c r="Y219" s="24" t="n">
        <x:f>R219-W219</x:f>
        <x:v>11.607183879978301</x:v>
      </x:c>
      <x:c r="Z219" s="24" t="n">
        <x:f>MAX(Q219,R219)-W219</x:f>
        <x:v>12.38282758756344</x:v>
      </x:c>
      <x:c r="AA219" s="24" t="n">
        <x:v>0</x:v>
      </x:c>
    </x:row>
    <x:row r="220">
      <x:c r="A220" s="24" t="n">
        <x:f>Model_Data!A220</x:f>
        <x:v>49</x:v>
      </x:c>
      <x:c r="B220" s="24" t="n">
        <x:f>Model_Data!Y220</x:f>
        <x:v>109.54402369059221</x:v>
      </x:c>
      <x:c r="C220" s="24" t="n">
        <x:f>Model_Data!X220</x:f>
        <x:v>10.43102720072224</x:v>
      </x:c>
      <x:c r="D220" s="24" t="n">
        <x:f>Model_Data!B220</x:f>
        <x:v>402.66777777777776</x:v>
      </x:c>
      <x:c r="E220" s="24" t="n">
        <x:f>Inputs!$C$6</x:f>
        <x:v>25</x:v>
      </x:c>
      <x:c r="F220" s="24" t="n">
        <x:f>Subsurface_Inputs!$C$5+Subsurface_Inputs!$C$6*SIN(2*PI()*(A220+Subsurface_Inputs!$C$7)/Subsurface_Inputs!$C$8)+Subsurface_Inputs!$C$9*COS(2*PI()*A220/Subsurface_Inputs!$C$10)+Subsurface_Inputs!$C$11*(B220-AVERAGE($B$2:$B$242))</x:f>
        <x:v>1272.849076147672</x:v>
      </x:c>
      <x:c r="G220" s="24" t="n">
        <x:f>B220-F220</x:f>
        <x:v>-1163.3050524570797</x:v>
      </x:c>
      <x:c r="H220" s="24" t="n">
        <x:f>MIN(1,MAX(0,Subsurface_Inputs!$C$13*EXP(-0.5*((A220-Subsurface_Inputs!$C$14)/Subsurface_Inputs!$C$15)^2)+Subsurface_Inputs!$C$16*EXP(-0.5*((A220-Subsurface_Inputs!$C$17)/Subsurface_Inputs!$C$18)^2)))</x:f>
        <x:v>0.04171112313593678</x:v>
      </x:c>
      <x:c r="I220" s="24" t="n">
        <x:f>Subsurface_Inputs!$C$19+Subsurface_Inputs!$C$20*SIN(2*PI()*(A220-Subsurface_Inputs!$C$21)/Subsurface_Inputs!$C$22)-Subsurface_Inputs!$C$23*H220</x:f>
        <x:v>5010.61170265356</x:v>
      </x:c>
      <x:c r="J220" s="24" t="n">
        <x:f>B220-I220</x:f>
        <x:v>-4901.067678962968</x:v>
      </x:c>
      <x:c r="K220" s="24" t="n">
        <x:f>Subsurface_Inputs!$C$25+Subsurface_Inputs!$C$26*SIN(2*PI()*(A220+Subsurface_Inputs!$C$27)/Subsurface_Inputs!$C$28)+Subsurface_Inputs!$C$29*COS(2*PI()*(A220-Subsurface_Inputs!$C$30)/Subsurface_Inputs!$C$31)-Subsurface_Inputs!$C$32*(B220-AVERAGE($B$2:$B$242))</x:f>
        <x:v>14594.33019373929</x:v>
      </x:c>
      <x:c r="L220" s="24" t="n">
        <x:f>B220-K220</x:f>
        <x:v>-14484.786170048697</x:v>
      </x:c>
      <x:c r="M220" s="24" t="n">
        <x:f>2*Subsurface_Inputs!$C$34*F220/Subsurface_Inputs!$C$35*1000000</x:f>
        <x:v>15.114932314560468</x:v>
      </x:c>
      <x:c r="N220" s="24" t="n">
        <x:f>2*Subsurface_Inputs!$C$34*I220/Subsurface_Inputs!$C$35*1000000</x:f>
        <x:v>59.50042165986269</x:v>
      </x:c>
      <x:c r="O220" s="24" t="n">
        <x:f>2*Subsurface_Inputs!$C$34*K220/Subsurface_Inputs!$C$35*1000000</x:f>
        <x:v>173.30594584107877</x:v>
      </x:c>
      <x:c r="P220" s="24" t="n">
        <x:f>Subsurface_Inputs!$C$37-2*Subsurface_Inputs!$C$36*(F220/1000)</x:f>
        <x:v>-12.29112833706581</x:v>
      </x:c>
      <x:c r="Q220" s="24" t="n">
        <x:f>Subsurface_Inputs!$C$38+Subsurface_Inputs!$C$39*H220-2*Subsurface_Inputs!$C$36*(I220/1000)</x:f>
        <x:v>-32.643700956552976</x:v>
      </x:c>
      <x:c r="R220" s="24" t="n">
        <x:f>Subsurface_Inputs!$C$40-2*Subsurface_Inputs!$C$36*(K220/1000)-Subsurface_Inputs!$C$41*ABS(L220-AVERAGE($L$2:$L$242))</x:f>
        <x:v>-33.37848018250731</x:v>
      </x:c>
      <x:c r="S220" s="24" t="n">
        <x:f>K220-AVERAGE($K$2:$K$242)</x:f>
        <x:v>-483.05450183482026</x:v>
      </x:c>
      <x:c r="T220" s="24" t="n">
        <x:f>K220/F220</x:f>
        <x:v>11.465876408465965</x:v>
      </x:c>
      <x:c r="U220" s="25" t="str">
        <x:f>IF(H220&gt;=Subsurface_Inputs!$C$42,"Lens visible","Weak/no lens")</x:f>
        <x:v>Weak/no lens</x:v>
      </x:c>
      <x:c r="V220" s="25" t="str">
        <x:f>IF(R220&gt;=W220,"Likely visible","Weak")</x:f>
        <x:v>Likely visible</x:v>
      </x:c>
      <x:c r="W220" s="24" t="n">
        <x:f>Subsurface_Inputs!$C$43</x:f>
        <x:v>-45</x:v>
      </x:c>
      <x:c r="X220" s="24" t="n">
        <x:f>Q220-W220</x:f>
        <x:v>12.356299043447024</x:v>
      </x:c>
      <x:c r="Y220" s="24" t="n">
        <x:f>R220-W220</x:f>
        <x:v>11.62151981749269</x:v>
      </x:c>
      <x:c r="Z220" s="24" t="n">
        <x:f>MAX(Q220,R220)-W220</x:f>
        <x:v>12.356299043447024</x:v>
      </x:c>
      <x:c r="AA220" s="24" t="n">
        <x:v>0</x:v>
      </x:c>
    </x:row>
    <x:row r="221">
      <x:c r="A221" s="24" t="n">
        <x:f>Model_Data!A221</x:f>
        <x:v>49.5</x:v>
      </x:c>
      <x:c r="B221" s="24" t="n">
        <x:f>Model_Data!Y221</x:f>
        <x:v>115.81874031490976</x:v>
      </x:c>
      <x:c r="C221" s="24" t="n">
        <x:f>Model_Data!X221</x:f>
        <x:v>-2.2699304094542576</x:v>
      </x:c>
      <x:c r="D221" s="24" t="n">
        <x:f>Model_Data!B221</x:f>
        <x:v>402.7225</x:v>
      </x:c>
      <x:c r="E221" s="24" t="n">
        <x:f>Inputs!$C$6</x:f>
        <x:v>25</x:v>
      </x:c>
      <x:c r="F221" s="24" t="n">
        <x:f>Subsurface_Inputs!$C$5+Subsurface_Inputs!$C$6*SIN(2*PI()*(A221+Subsurface_Inputs!$C$7)/Subsurface_Inputs!$C$8)+Subsurface_Inputs!$C$9*COS(2*PI()*A221/Subsurface_Inputs!$C$10)+Subsurface_Inputs!$C$11*(B221-AVERAGE($B$2:$B$242))</x:f>
        <x:v>1256.6164862562375</x:v>
      </x:c>
      <x:c r="G221" s="24" t="n">
        <x:f>B221-F221</x:f>
        <x:v>-1140.7977459413278</x:v>
      </x:c>
      <x:c r="H221" s="24" t="n">
        <x:f>MIN(1,MAX(0,Subsurface_Inputs!$C$13*EXP(-0.5*((A221-Subsurface_Inputs!$C$14)/Subsurface_Inputs!$C$15)^2)+Subsurface_Inputs!$C$16*EXP(-0.5*((A221-Subsurface_Inputs!$C$17)/Subsurface_Inputs!$C$18)^2)))</x:f>
        <x:v>0.035887075261226004</x:v>
      </x:c>
      <x:c r="I221" s="24" t="n">
        <x:f>Subsurface_Inputs!$C$19+Subsurface_Inputs!$C$20*SIN(2*PI()*(A221-Subsurface_Inputs!$C$21)/Subsurface_Inputs!$C$22)-Subsurface_Inputs!$C$23*H221</x:f>
        <x:v>4992.383725171678</x:v>
      </x:c>
      <x:c r="J221" s="24" t="n">
        <x:f>B221-I221</x:f>
        <x:v>-4876.564984856768</x:v>
      </x:c>
      <x:c r="K221" s="24" t="n">
        <x:f>Subsurface_Inputs!$C$25+Subsurface_Inputs!$C$26*SIN(2*PI()*(A221+Subsurface_Inputs!$C$27)/Subsurface_Inputs!$C$28)+Subsurface_Inputs!$C$29*COS(2*PI()*(A221-Subsurface_Inputs!$C$30)/Subsurface_Inputs!$C$31)-Subsurface_Inputs!$C$32*(B221-AVERAGE($B$2:$B$242))</x:f>
        <x:v>14591.31268234764</x:v>
      </x:c>
      <x:c r="L221" s="24" t="n">
        <x:f>B221-K221</x:f>
        <x:v>-14475.49394203273</x:v>
      </x:c>
      <x:c r="M221" s="24" t="n">
        <x:f>2*Subsurface_Inputs!$C$34*F221/Subsurface_Inputs!$C$35*1000000</x:f>
        <x:v>14.92217222846949</x:v>
      </x:c>
      <x:c r="N221" s="24" t="n">
        <x:f>2*Subsurface_Inputs!$C$34*I221/Subsurface_Inputs!$C$35*1000000</x:f>
        <x:v>59.28396658201179</x:v>
      </x:c>
      <x:c r="O221" s="24" t="n">
        <x:f>2*Subsurface_Inputs!$C$34*K221/Subsurface_Inputs!$C$35*1000000</x:f>
        <x:v>173.27011325000578</x:v>
      </x:c>
      <x:c r="P221" s="24" t="n">
        <x:f>Subsurface_Inputs!$C$37-2*Subsurface_Inputs!$C$36*(F221/1000)</x:f>
        <x:v>-12.261909675261228</x:v>
      </x:c>
      <x:c r="Q221" s="24" t="n">
        <x:f>Subsurface_Inputs!$C$38+Subsurface_Inputs!$C$39*H221-2*Subsurface_Inputs!$C$36*(I221/1000)</x:f>
        <x:v>-32.663307027957984</x:v>
      </x:c>
      <x:c r="R221" s="24" t="n">
        <x:f>Subsurface_Inputs!$C$40-2*Subsurface_Inputs!$C$36*(K221/1000)-Subsurface_Inputs!$C$41*ABS(L221-AVERAGE($L$2:$L$242))</x:f>
        <x:v>-33.41021757406621</x:v>
      </x:c>
      <x:c r="S221" s="24" t="n">
        <x:f>K221-AVERAGE($K$2:$K$242)</x:f>
        <x:v>-486.0720132264705</x:v>
      </x:c>
      <x:c r="T221" s="24" t="n">
        <x:f>K221/F221</x:f>
        <x:v>11.61158781691514</x:v>
      </x:c>
      <x:c r="U221" s="25" t="str">
        <x:f>IF(H221&gt;=Subsurface_Inputs!$C$42,"Lens visible","Weak/no lens")</x:f>
        <x:v>Weak/no lens</x:v>
      </x:c>
      <x:c r="V221" s="25" t="str">
        <x:f>IF(R221&gt;=W221,"Likely visible","Weak")</x:f>
        <x:v>Likely visible</x:v>
      </x:c>
      <x:c r="W221" s="24" t="n">
        <x:f>Subsurface_Inputs!$C$43</x:f>
        <x:v>-45</x:v>
      </x:c>
      <x:c r="X221" s="24" t="n">
        <x:f>Q221-W221</x:f>
        <x:v>12.336692972042016</x:v>
      </x:c>
      <x:c r="Y221" s="24" t="n">
        <x:f>R221-W221</x:f>
        <x:v>11.589782425933791</x:v>
      </x:c>
      <x:c r="Z221" s="24" t="n">
        <x:f>MAX(Q221,R221)-W221</x:f>
        <x:v>12.336692972042016</x:v>
      </x:c>
      <x:c r="AA221" s="24" t="n">
        <x:v>0</x:v>
      </x:c>
    </x:row>
    <x:row r="222">
      <x:c r="A222" s="24" t="n">
        <x:f>Model_Data!A222</x:f>
        <x:v>50</x:v>
      </x:c>
      <x:c r="B222" s="24" t="n">
        <x:f>Model_Data!Y222</x:f>
        <x:v>115.23525161719914</x:v>
      </x:c>
      <x:c r="C222" s="24" t="n">
        <x:f>Model_Data!X222</x:f>
        <x:v>8.17258837755962</x:v>
      </x:c>
      <x:c r="D222" s="24" t="n">
        <x:f>Model_Data!B222</x:f>
        <x:v>402.77777777777777</x:v>
      </x:c>
      <x:c r="E222" s="24" t="n">
        <x:f>Inputs!$C$6</x:f>
        <x:v>25</x:v>
      </x:c>
      <x:c r="F222" s="24" t="n">
        <x:f>Subsurface_Inputs!$C$5+Subsurface_Inputs!$C$6*SIN(2*PI()*(A222+Subsurface_Inputs!$C$7)/Subsurface_Inputs!$C$8)+Subsurface_Inputs!$C$9*COS(2*PI()*A222/Subsurface_Inputs!$C$10)+Subsurface_Inputs!$C$11*(B222-AVERAGE($B$2:$B$242))</x:f>
        <x:v>1239.0176279041154</x:v>
      </x:c>
      <x:c r="G222" s="24" t="n">
        <x:f>B222-F222</x:f>
        <x:v>-1123.7823762869164</x:v>
      </x:c>
      <x:c r="H222" s="24" t="n">
        <x:f>MIN(1,MAX(0,Subsurface_Inputs!$C$13*EXP(-0.5*((A222-Subsurface_Inputs!$C$14)/Subsurface_Inputs!$C$15)^2)+Subsurface_Inputs!$C$16*EXP(-0.5*((A222-Subsurface_Inputs!$C$17)/Subsurface_Inputs!$C$18)^2)))</x:f>
        <x:v>0.030755853537606265</x:v>
      </x:c>
      <x:c r="I222" s="24" t="n">
        <x:f>Subsurface_Inputs!$C$19+Subsurface_Inputs!$C$20*SIN(2*PI()*(A222-Subsurface_Inputs!$C$21)/Subsurface_Inputs!$C$22)-Subsurface_Inputs!$C$23*H222</x:f>
        <x:v>4974.134770521343</x:v>
      </x:c>
      <x:c r="J222" s="24" t="n">
        <x:f>B222-I222</x:f>
        <x:v>-4858.899518904143</x:v>
      </x:c>
      <x:c r="K222" s="24" t="n">
        <x:f>Subsurface_Inputs!$C$25+Subsurface_Inputs!$C$26*SIN(2*PI()*(A222+Subsurface_Inputs!$C$27)/Subsurface_Inputs!$C$28)+Subsurface_Inputs!$C$29*COS(2*PI()*(A222-Subsurface_Inputs!$C$30)/Subsurface_Inputs!$C$31)-Subsurface_Inputs!$C$32*(B222-AVERAGE($B$2:$B$242))</x:f>
        <x:v>14589.816141882691</x:v>
      </x:c>
      <x:c r="L222" s="24" t="n">
        <x:f>B222-K222</x:f>
        <x:v>-14474.580890265492</x:v>
      </x:c>
      <x:c r="M222" s="24" t="n">
        <x:f>2*Subsurface_Inputs!$C$34*F222/Subsurface_Inputs!$C$35*1000000</x:f>
        <x:v>14.71318786591573</x:v>
      </x:c>
      <x:c r="N222" s="24" t="n">
        <x:f>2*Subsurface_Inputs!$C$34*I222/Subsurface_Inputs!$C$35*1000000</x:f>
        <x:v>59.06726240276526</x:v>
      </x:c>
      <x:c r="O222" s="24" t="n">
        <x:f>2*Subsurface_Inputs!$C$34*K222/Subsurface_Inputs!$C$35*1000000</x:f>
        <x:v>173.25234200889196</x:v>
      </x:c>
      <x:c r="P222" s="24" t="n">
        <x:f>Subsurface_Inputs!$C$37-2*Subsurface_Inputs!$C$36*(F222/1000)</x:f>
        <x:v>-12.230231730227407</x:v>
      </x:c>
      <x:c r="Q222" s="24" t="n">
        <x:f>Subsurface_Inputs!$C$38+Subsurface_Inputs!$C$39*H222-2*Subsurface_Inputs!$C$36*(I222/1000)</x:f>
        <x:v>-32.67663990509996</x:v>
      </x:c>
      <x:c r="R222" s="24" t="n">
        <x:f>Subsurface_Inputs!$C$40-2*Subsurface_Inputs!$C$36*(K222/1000)-Subsurface_Inputs!$C$41*ABS(L222-AVERAGE($L$2:$L$242))</x:f>
        <x:v>-33.41117600829825</x:v>
      </x:c>
      <x:c r="S222" s="24" t="n">
        <x:f>K222-AVERAGE($K$2:$K$242)</x:f>
        <x:v>-487.56855369141886</x:v>
      </x:c>
      <x:c r="T222" s="24" t="n">
        <x:f>K222/F222</x:f>
        <x:v>11.775309578575069</x:v>
      </x:c>
      <x:c r="U222" s="25" t="str">
        <x:f>IF(H222&gt;=Subsurface_Inputs!$C$42,"Lens visible","Weak/no lens")</x:f>
        <x:v>Weak/no lens</x:v>
      </x:c>
      <x:c r="V222" s="25" t="str">
        <x:f>IF(R222&gt;=W222,"Likely visible","Weak")</x:f>
        <x:v>Likely visible</x:v>
      </x:c>
      <x:c r="W222" s="24" t="n">
        <x:f>Subsurface_Inputs!$C$43</x:f>
        <x:v>-45</x:v>
      </x:c>
      <x:c r="X222" s="24" t="n">
        <x:f>Q222-W222</x:f>
        <x:v>12.323360094900039</x:v>
      </x:c>
      <x:c r="Y222" s="24" t="n">
        <x:f>R222-W222</x:f>
        <x:v>11.588823991701751</x:v>
      </x:c>
      <x:c r="Z222" s="24" t="n">
        <x:f>MAX(Q222,R222)-W222</x:f>
        <x:v>12.323360094900039</x:v>
      </x:c>
      <x:c r="AA222" s="24" t="n">
        <x:v>0</x:v>
      </x:c>
    </x:row>
    <x:row r="223">
      <x:c r="A223" s="24" t="n">
        <x:f>Model_Data!A223</x:f>
        <x:v>50.5</x:v>
      </x:c>
      <x:c r="B223" s="24" t="n">
        <x:f>Model_Data!Y223</x:f>
        <x:v>136.98620076238512</x:v>
      </x:c>
      <x:c r="C223" s="24" t="n">
        <x:f>Model_Data!X223</x:f>
        <x:v>7.175411887622014</x:v>
      </x:c>
      <x:c r="D223" s="24" t="n">
        <x:f>Model_Data!B223</x:f>
        <x:v>402.8336111111111</x:v>
      </x:c>
      <x:c r="E223" s="24" t="n">
        <x:f>Inputs!$C$6</x:f>
        <x:v>25</x:v>
      </x:c>
      <x:c r="F223" s="24" t="n">
        <x:f>Subsurface_Inputs!$C$5+Subsurface_Inputs!$C$6*SIN(2*PI()*(A223+Subsurface_Inputs!$C$7)/Subsurface_Inputs!$C$8)+Subsurface_Inputs!$C$9*COS(2*PI()*A223/Subsurface_Inputs!$C$10)+Subsurface_Inputs!$C$11*(B223-AVERAGE($B$2:$B$242))</x:f>
        <x:v>1221.4097059761266</x:v>
      </x:c>
      <x:c r="G223" s="24" t="n">
        <x:f>B223-F223</x:f>
        <x:v>-1084.4235052137415</x:v>
      </x:c>
      <x:c r="H223" s="24" t="n">
        <x:f>MIN(1,MAX(0,Subsurface_Inputs!$C$13*EXP(-0.5*((A223-Subsurface_Inputs!$C$14)/Subsurface_Inputs!$C$15)^2)+Subsurface_Inputs!$C$16*EXP(-0.5*((A223-Subsurface_Inputs!$C$17)/Subsurface_Inputs!$C$18)^2)))</x:f>
        <x:v>0.026255545137847985</x:v>
      </x:c>
      <x:c r="I223" s="24" t="n">
        <x:f>Subsurface_Inputs!$C$19+Subsurface_Inputs!$C$20*SIN(2*PI()*(A223-Subsurface_Inputs!$C$21)/Subsurface_Inputs!$C$22)-Subsurface_Inputs!$C$23*H223</x:f>
        <x:v>4955.908288024652</x:v>
      </x:c>
      <x:c r="J223" s="24" t="n">
        <x:f>B223-I223</x:f>
        <x:v>-4818.922087262267</x:v>
      </x:c>
      <x:c r="K223" s="24" t="n">
        <x:f>Subsurface_Inputs!$C$25+Subsurface_Inputs!$C$26*SIN(2*PI()*(A223+Subsurface_Inputs!$C$27)/Subsurface_Inputs!$C$28)+Subsurface_Inputs!$C$29*COS(2*PI()*(A223-Subsurface_Inputs!$C$30)/Subsurface_Inputs!$C$31)-Subsurface_Inputs!$C$32*(B223-AVERAGE($B$2:$B$242))</x:f>
        <x:v>14585.724440359641</x:v>
      </x:c>
      <x:c r="L223" s="24" t="n">
        <x:f>B223-K223</x:f>
        <x:v>-14448.738239597256</x:v>
      </x:c>
      <x:c r="M223" s="24" t="n">
        <x:f>2*Subsurface_Inputs!$C$34*F223/Subsurface_Inputs!$C$35*1000000</x:f>
        <x:v>14.504095874469968</x:v>
      </x:c>
      <x:c r="N223" s="24" t="n">
        <x:f>2*Subsurface_Inputs!$C$34*I223/Subsurface_Inputs!$C$35*1000000</x:f>
        <x:v>58.85082507768679</x:v>
      </x:c>
      <x:c r="O223" s="24" t="n">
        <x:f>2*Subsurface_Inputs!$C$34*K223/Subsurface_Inputs!$C$35*1000000</x:f>
        <x:v>173.20375353698964</x:v>
      </x:c>
      <x:c r="P223" s="24" t="n">
        <x:f>Subsurface_Inputs!$C$37-2*Subsurface_Inputs!$C$36*(F223/1000)</x:f>
        <x:v>-12.198537470757028</x:v>
      </x:c>
      <x:c r="Q223" s="24" t="n">
        <x:f>Subsurface_Inputs!$C$38+Subsurface_Inputs!$C$39*H223-2*Subsurface_Inputs!$C$36*(I223/1000)</x:f>
        <x:v>-32.684335012203746</x:v>
      </x:c>
      <x:c r="R223" s="24" t="n">
        <x:f>Subsurface_Inputs!$C$40-2*Subsurface_Inputs!$C$36*(K223/1000)-Subsurface_Inputs!$C$41*ABS(L223-AVERAGE($L$2:$L$242))</x:f>
        <x:v>-33.507181548229696</x:v>
      </x:c>
      <x:c r="S223" s="24" t="n">
        <x:f>K223-AVERAGE($K$2:$K$242)</x:f>
        <x:v>-491.66025521446863</x:v>
      </x:c>
      <x:c r="T223" s="24" t="n">
        <x:f>K223/F223</x:f>
        <x:v>11.941713226114425</x:v>
      </x:c>
      <x:c r="U223" s="25" t="str">
        <x:f>IF(H223&gt;=Subsurface_Inputs!$C$42,"Lens visible","Weak/no lens")</x:f>
        <x:v>Weak/no lens</x:v>
      </x:c>
      <x:c r="V223" s="25" t="str">
        <x:f>IF(R223&gt;=W223,"Likely visible","Weak")</x:f>
        <x:v>Likely visible</x:v>
      </x:c>
      <x:c r="W223" s="24" t="n">
        <x:f>Subsurface_Inputs!$C$43</x:f>
        <x:v>-45</x:v>
      </x:c>
      <x:c r="X223" s="24" t="n">
        <x:f>Q223-W223</x:f>
        <x:v>12.315664987796254</x:v>
      </x:c>
      <x:c r="Y223" s="24" t="n">
        <x:f>R223-W223</x:f>
        <x:v>11.492818451770304</x:v>
      </x:c>
      <x:c r="Z223" s="24" t="n">
        <x:f>MAX(Q223,R223)-W223</x:f>
        <x:v>12.315664987796254</x:v>
      </x:c>
      <x:c r="AA223" s="24" t="n">
        <x:v>0</x:v>
      </x:c>
    </x:row>
    <x:row r="224">
      <x:c r="A224" s="24" t="n">
        <x:f>Model_Data!A224</x:f>
        <x:v>51</x:v>
      </x:c>
      <x:c r="B224" s="24" t="n">
        <x:f>Model_Data!Y224</x:f>
        <x:v>137.08289632779307</x:v>
      </x:c>
      <x:c r="C224" s="24" t="n">
        <x:f>Model_Data!X224</x:f>
        <x:v>11.525237738664625</x:v>
      </x:c>
      <x:c r="D224" s="24" t="n">
        <x:f>Model_Data!B224</x:f>
        <x:v>402.89</x:v>
      </x:c>
      <x:c r="E224" s="24" t="n">
        <x:f>Inputs!$C$6</x:f>
        <x:v>25</x:v>
      </x:c>
      <x:c r="F224" s="24" t="n">
        <x:f>Subsurface_Inputs!$C$5+Subsurface_Inputs!$C$6*SIN(2*PI()*(A224+Subsurface_Inputs!$C$7)/Subsurface_Inputs!$C$8)+Subsurface_Inputs!$C$9*COS(2*PI()*A224/Subsurface_Inputs!$C$10)+Subsurface_Inputs!$C$11*(B224-AVERAGE($B$2:$B$242))</x:f>
        <x:v>1202.2344218587634</x:v>
      </x:c>
      <x:c r="G224" s="24" t="n">
        <x:f>B224-F224</x:f>
        <x:v>-1065.1515255309703</x:v>
      </x:c>
      <x:c r="H224" s="24" t="n">
        <x:f>MIN(1,MAX(0,Subsurface_Inputs!$C$13*EXP(-0.5*((A224-Subsurface_Inputs!$C$14)/Subsurface_Inputs!$C$15)^2)+Subsurface_Inputs!$C$16*EXP(-0.5*((A224-Subsurface_Inputs!$C$17)/Subsurface_Inputs!$C$18)^2)))</x:f>
        <x:v>0.022326355354089656</x:v>
      </x:c>
      <x:c r="I224" s="24" t="n">
        <x:f>Subsurface_Inputs!$C$19+Subsurface_Inputs!$C$20*SIN(2*PI()*(A224-Subsurface_Inputs!$C$21)/Subsurface_Inputs!$C$22)-Subsurface_Inputs!$C$23*H224</x:f>
        <x:v>4937.746963445518</x:v>
      </x:c>
      <x:c r="J224" s="24" t="n">
        <x:f>B224-I224</x:f>
        <x:v>-4800.664067117726</x:v>
      </x:c>
      <x:c r="K224" s="24" t="n">
        <x:f>Subsurface_Inputs!$C$25+Subsurface_Inputs!$C$26*SIN(2*PI()*(A224+Subsurface_Inputs!$C$27)/Subsurface_Inputs!$C$28)+Subsurface_Inputs!$C$29*COS(2*PI()*(A224-Subsurface_Inputs!$C$30)/Subsurface_Inputs!$C$31)-Subsurface_Inputs!$C$32*(B224-AVERAGE($B$2:$B$242))</x:f>
        <x:v>14585.165789111039</x:v>
      </x:c>
      <x:c r="L224" s="24" t="n">
        <x:f>B224-K224</x:f>
        <x:v>-14448.082892783246</x:v>
      </x:c>
      <x:c r="M224" s="24" t="n">
        <x:f>2*Subsurface_Inputs!$C$34*F224/Subsurface_Inputs!$C$35*1000000</x:f>
        <x:v>14.276391642304748</x:v>
      </x:c>
      <x:c r="N224" s="24" t="n">
        <x:f>2*Subsurface_Inputs!$C$34*I224/Subsurface_Inputs!$C$35*1000000</x:f>
        <x:v>58.63516149517693</x:v>
      </x:c>
      <x:c r="O224" s="24" t="n">
        <x:f>2*Subsurface_Inputs!$C$34*K224/Subsurface_Inputs!$C$35*1000000</x:f>
        <x:v>173.1971196194512</x:v>
      </x:c>
      <x:c r="P224" s="24" t="n">
        <x:f>Subsurface_Inputs!$C$37-2*Subsurface_Inputs!$C$36*(F224/1000)</x:f>
        <x:v>-12.164021959345774</x:v>
      </x:c>
      <x:c r="Q224" s="24" t="n">
        <x:f>Subsurface_Inputs!$C$38+Subsurface_Inputs!$C$39*H224-2*Subsurface_Inputs!$C$36*(I224/1000)</x:f>
        <x:v>-32.68700733601513</x:v>
      </x:c>
      <x:c r="R224" s="24" t="n">
        <x:f>Subsurface_Inputs!$C$40-2*Subsurface_Inputs!$C$36*(K224/1000)-Subsurface_Inputs!$C$41*ABS(L224-AVERAGE($L$2:$L$242))</x:f>
        <x:v>-33.50879736323826</x:v>
      </x:c>
      <x:c r="S224" s="24" t="n">
        <x:f>K224-AVERAGE($K$2:$K$242)</x:f>
        <x:v>-492.2189064630711</x:v>
      </x:c>
      <x:c r="T224" s="24" t="n">
        <x:f>K224/F224</x:f>
        <x:v>12.131715349291904</x:v>
      </x:c>
      <x:c r="U224" s="25" t="str">
        <x:f>IF(H224&gt;=Subsurface_Inputs!$C$42,"Lens visible","Weak/no lens")</x:f>
        <x:v>Weak/no lens</x:v>
      </x:c>
      <x:c r="V224" s="25" t="str">
        <x:f>IF(R224&gt;=W224,"Likely visible","Weak")</x:f>
        <x:v>Likely visible</x:v>
      </x:c>
      <x:c r="W224" s="24" t="n">
        <x:f>Subsurface_Inputs!$C$43</x:f>
        <x:v>-45</x:v>
      </x:c>
      <x:c r="X224" s="24" t="n">
        <x:f>Q224-W224</x:f>
        <x:v>12.312992663984872</x:v>
      </x:c>
      <x:c r="Y224" s="24" t="n">
        <x:f>R224-W224</x:f>
        <x:v>11.491202636761741</x:v>
      </x:c>
      <x:c r="Z224" s="24" t="n">
        <x:f>MAX(Q224,R224)-W224</x:f>
        <x:v>12.312992663984872</x:v>
      </x:c>
      <x:c r="AA224" s="24" t="n">
        <x:v>0</x:v>
      </x:c>
    </x:row>
    <x:row r="225">
      <x:c r="A225" s="24" t="n">
        <x:f>Model_Data!A225</x:f>
        <x:v>51.5</x:v>
      </x:c>
      <x:c r="B225" s="24" t="n">
        <x:f>Model_Data!Y225</x:f>
        <x:v>159.61831316527434</x:v>
      </x:c>
      <x:c r="C225" s="24" t="n">
        <x:f>Model_Data!X225</x:f>
        <x:v>-4.550946531934956</x:v>
      </x:c>
      <x:c r="D225" s="24" t="n">
        <x:f>Model_Data!B225</x:f>
        <x:v>402.94694444444445</x:v>
      </x:c>
      <x:c r="E225" s="24" t="n">
        <x:f>Inputs!$C$6</x:f>
        <x:v>25</x:v>
      </x:c>
      <x:c r="F225" s="24" t="n">
        <x:f>Subsurface_Inputs!$C$5+Subsurface_Inputs!$C$6*SIN(2*PI()*(A225+Subsurface_Inputs!$C$7)/Subsurface_Inputs!$C$8)+Subsurface_Inputs!$C$9*COS(2*PI()*A225/Subsurface_Inputs!$C$10)+Subsurface_Inputs!$C$11*(B225-AVERAGE($B$2:$B$242))</x:f>
        <x:v>1183.4655440782508</x:v>
      </x:c>
      <x:c r="G225" s="24" t="n">
        <x:f>B225-F225</x:f>
        <x:v>-1023.8472309129764</x:v>
      </x:c>
      <x:c r="H225" s="24" t="n">
        <x:f>MIN(1,MAX(0,Subsurface_Inputs!$C$13*EXP(-0.5*((A225-Subsurface_Inputs!$C$14)/Subsurface_Inputs!$C$15)^2)+Subsurface_Inputs!$C$16*EXP(-0.5*((A225-Subsurface_Inputs!$C$17)/Subsurface_Inputs!$C$18)^2)))</x:f>
        <x:v>0.018911159736583496</x:v>
      </x:c>
      <x:c r="I225" s="24" t="n">
        <x:f>Subsurface_Inputs!$C$19+Subsurface_Inputs!$C$20*SIN(2*PI()*(A225-Subsurface_Inputs!$C$21)/Subsurface_Inputs!$C$22)-Subsurface_Inputs!$C$23*H225</x:f>
        <x:v>4919.692544890799</x:v>
      </x:c>
      <x:c r="J225" s="24" t="n">
        <x:f>B225-I225</x:f>
        <x:v>-4760.074231725524</x:v>
      </x:c>
      <x:c r="K225" s="24" t="n">
        <x:f>Subsurface_Inputs!$C$25+Subsurface_Inputs!$C$26*SIN(2*PI()*(A225+Subsurface_Inputs!$C$27)/Subsurface_Inputs!$C$28)+Subsurface_Inputs!$C$29*COS(2*PI()*(A225-Subsurface_Inputs!$C$30)/Subsurface_Inputs!$C$31)-Subsurface_Inputs!$C$32*(B225-AVERAGE($B$2:$B$242))</x:f>
        <x:v>14581.93601801468</x:v>
      </x:c>
      <x:c r="L225" s="24" t="n">
        <x:f>B225-K225</x:f>
        <x:v>-14422.317704849405</x:v>
      </x:c>
      <x:c r="M225" s="24" t="n">
        <x:f>2*Subsurface_Inputs!$C$34*F225/Subsurface_Inputs!$C$35*1000000</x:f>
        <x:v>14.053513437347956</x:v>
      </x:c>
      <x:c r="N225" s="24" t="n">
        <x:f>2*Subsurface_Inputs!$C$34*I225/Subsurface_Inputs!$C$35*1000000</x:f>
        <x:v>58.42076740906952</x:v>
      </x:c>
      <x:c r="O225" s="24" t="n">
        <x:f>2*Subsurface_Inputs!$C$34*K225/Subsurface_Inputs!$C$35*1000000</x:f>
        <x:v>173.15876646947623</x:v>
      </x:c>
      <x:c r="P225" s="24" t="n">
        <x:f>Subsurface_Inputs!$C$37-2*Subsurface_Inputs!$C$36*(F225/1000)</x:f>
        <x:v>-12.130237979340851</x:v>
      </x:c>
      <x:c r="Q225" s="24" t="n">
        <x:f>Subsurface_Inputs!$C$38+Subsurface_Inputs!$C$39*H225-2*Subsurface_Inputs!$C$36*(I225/1000)</x:f>
        <x:v>-32.68524614317418</x:v>
      </x:c>
      <x:c r="R225" s="24" t="n">
        <x:f>Subsurface_Inputs!$C$40-2*Subsurface_Inputs!$C$36*(K225/1000)-Subsurface_Inputs!$C$41*ABS(L225-AVERAGE($L$2:$L$242))</x:f>
        <x:v>-33.60604452700017</x:v>
      </x:c>
      <x:c r="S225" s="24" t="n">
        <x:f>K225-AVERAGE($K$2:$K$242)</x:f>
        <x:v>-495.4486775594305</x:v>
      </x:c>
      <x:c r="T225" s="24" t="n">
        <x:f>K225/F225</x:f>
        <x:v>12.321386195803367</x:v>
      </x:c>
      <x:c r="U225" s="25" t="str">
        <x:f>IF(H225&gt;=Subsurface_Inputs!$C$42,"Lens visible","Weak/no lens")</x:f>
        <x:v>Weak/no lens</x:v>
      </x:c>
      <x:c r="V225" s="25" t="str">
        <x:f>IF(R225&gt;=W225,"Likely visible","Weak")</x:f>
        <x:v>Likely visible</x:v>
      </x:c>
      <x:c r="W225" s="24" t="n">
        <x:f>Subsurface_Inputs!$C$43</x:f>
        <x:v>-45</x:v>
      </x:c>
      <x:c r="X225" s="24" t="n">
        <x:f>Q225-W225</x:f>
        <x:v>12.314753856825817</x:v>
      </x:c>
      <x:c r="Y225" s="24" t="n">
        <x:f>R225-W225</x:f>
        <x:v>11.393955472999828</x:v>
      </x:c>
      <x:c r="Z225" s="24" t="n">
        <x:f>MAX(Q225,R225)-W225</x:f>
        <x:v>12.314753856825817</x:v>
      </x:c>
      <x:c r="AA225" s="24" t="n">
        <x:v>0</x:v>
      </x:c>
    </x:row>
    <x:row r="226">
      <x:c r="A226" s="24" t="n">
        <x:f>Model_Data!A226</x:f>
        <x:v>52</x:v>
      </x:c>
      <x:c r="B226" s="24" t="n">
        <x:f>Model_Data!Y226</x:f>
        <x:v>166.9931224443313</x:v>
      </x:c>
      <x:c r="C226" s="24" t="n">
        <x:f>Model_Data!X226</x:f>
        <x:v>-7.85094902162108</x:v>
      </x:c>
      <x:c r="D226" s="24" t="n">
        <x:f>Model_Data!B226</x:f>
        <x:v>403.00444444444446</x:v>
      </x:c>
      <x:c r="E226" s="24" t="n">
        <x:f>Inputs!$C$6</x:f>
        <x:v>25</x:v>
      </x:c>
      <x:c r="F226" s="24" t="n">
        <x:f>Subsurface_Inputs!$C$5+Subsurface_Inputs!$C$6*SIN(2*PI()*(A226+Subsurface_Inputs!$C$7)/Subsurface_Inputs!$C$8)+Subsurface_Inputs!$C$9*COS(2*PI()*A226/Subsurface_Inputs!$C$10)+Subsurface_Inputs!$C$11*(B226-AVERAGE($B$2:$B$242))</x:f>
        <x:v>1163.81486000083</x:v>
      </x:c>
      <x:c r="G226" s="24" t="n">
        <x:f>B226-F226</x:f>
        <x:v>-996.8217375564988</x:v>
      </x:c>
      <x:c r="H226" s="24" t="n">
        <x:f>MIN(1,MAX(0,Subsurface_Inputs!$C$13*EXP(-0.5*((A226-Subsurface_Inputs!$C$14)/Subsurface_Inputs!$C$15)^2)+Subsurface_Inputs!$C$16*EXP(-0.5*((A226-Subsurface_Inputs!$C$17)/Subsurface_Inputs!$C$18)^2)))</x:f>
        <x:v>0.015955926618801103</x:v>
      </x:c>
      <x:c r="I226" s="24" t="n">
        <x:f>Subsurface_Inputs!$C$19+Subsurface_Inputs!$C$20*SIN(2*PI()*(A226-Subsurface_Inputs!$C$21)/Subsurface_Inputs!$C$22)-Subsurface_Inputs!$C$23*H226</x:f>
        <x:v>4901.785700254288</x:v>
      </x:c>
      <x:c r="J226" s="24" t="n">
        <x:f>B226-I226</x:f>
        <x:v>-4734.792577809956</x:v>
      </x:c>
      <x:c r="K226" s="24" t="n">
        <x:f>Subsurface_Inputs!$C$25+Subsurface_Inputs!$C$26*SIN(2*PI()*(A226+Subsurface_Inputs!$C$27)/Subsurface_Inputs!$C$28)+Subsurface_Inputs!$C$29*COS(2*PI()*(A226-Subsurface_Inputs!$C$30)/Subsurface_Inputs!$C$31)-Subsurface_Inputs!$C$32*(B226-AVERAGE($B$2:$B$242))</x:f>
        <x:v>14581.267028886516</x:v>
      </x:c>
      <x:c r="L226" s="24" t="n">
        <x:f>B226-K226</x:f>
        <x:v>-14414.273906442184</x:v>
      </x:c>
      <x:c r="M226" s="24" t="n">
        <x:f>2*Subsurface_Inputs!$C$34*F226/Subsurface_Inputs!$C$35*1000000</x:f>
        <x:v>13.820163886854537</x:v>
      </x:c>
      <x:c r="N226" s="24" t="n">
        <x:f>2*Subsurface_Inputs!$C$34*I226/Subsurface_Inputs!$C$35*1000000</x:f>
        <x:v>58.208125745796</x:v>
      </x:c>
      <x:c r="O226" s="24" t="n">
        <x:f>2*Subsurface_Inputs!$C$34*K226/Subsurface_Inputs!$C$35*1000000</x:f>
        <x:v>173.1508223026611</x:v>
      </x:c>
      <x:c r="P226" s="24" t="n">
        <x:f>Subsurface_Inputs!$C$37-2*Subsurface_Inputs!$C$36*(F226/1000)</x:f>
        <x:v>-12.094866748001493</x:v>
      </x:c>
      <x:c r="Q226" s="24" t="n">
        <x:f>Subsurface_Inputs!$C$38+Subsurface_Inputs!$C$39*H226-2*Subsurface_Inputs!$C$36*(I226/1000)</x:f>
        <x:v>-32.67961092088851</x:v>
      </x:c>
      <x:c r="R226" s="24" t="n">
        <x:f>Subsurface_Inputs!$C$40-2*Subsurface_Inputs!$C$36*(K226/1000)-Subsurface_Inputs!$C$41*ABS(L226-AVERAGE($L$2:$L$242))</x:f>
        <x:v>-33.63701554019837</x:v>
      </x:c>
      <x:c r="S226" s="24" t="n">
        <x:f>K226-AVERAGE($K$2:$K$242)</x:f>
        <x:v>-496.11766668759446</x:v>
      </x:c>
      <x:c r="T226" s="24" t="n">
        <x:f>K226/F226</x:f>
        <x:v>12.528854485391358</x:v>
      </x:c>
      <x:c r="U226" s="25" t="str">
        <x:f>IF(H226&gt;=Subsurface_Inputs!$C$42,"Lens visible","Weak/no lens")</x:f>
        <x:v>Weak/no lens</x:v>
      </x:c>
      <x:c r="V226" s="25" t="str">
        <x:f>IF(R226&gt;=W226,"Likely visible","Weak")</x:f>
        <x:v>Likely visible</x:v>
      </x:c>
      <x:c r="W226" s="24" t="n">
        <x:f>Subsurface_Inputs!$C$43</x:f>
        <x:v>-45</x:v>
      </x:c>
      <x:c r="X226" s="24" t="n">
        <x:f>Q226-W226</x:f>
        <x:v>12.320389079111493</x:v>
      </x:c>
      <x:c r="Y226" s="24" t="n">
        <x:f>R226-W226</x:f>
        <x:v>11.36298445980163</x:v>
      </x:c>
      <x:c r="Z226" s="24" t="n">
        <x:f>MAX(Q226,R226)-W226</x:f>
        <x:v>12.320389079111493</x:v>
      </x:c>
      <x:c r="AA226" s="24" t="n">
        <x:v>0</x:v>
      </x:c>
    </x:row>
    <x:row r="227">
      <x:c r="A227" s="24" t="n">
        <x:f>Model_Data!A227</x:f>
        <x:v>52.5</x:v>
      </x:c>
      <x:c r="B227" s="24" t="n">
        <x:f>Model_Data!Y227</x:f>
        <x:v>164.06842387185546</x:v>
      </x:c>
      <x:c r="C227" s="24" t="n">
        <x:f>Model_Data!X227</x:f>
        <x:v>6.588346931916092</x:v>
      </x:c>
      <x:c r="D227" s="24" t="n">
        <x:f>Model_Data!B227</x:f>
        <x:v>403.0625</x:v>
      </x:c>
      <x:c r="E227" s="24" t="n">
        <x:f>Inputs!$C$6</x:f>
        <x:v>25</x:v>
      </x:c>
      <x:c r="F227" s="24" t="n">
        <x:f>Subsurface_Inputs!$C$5+Subsurface_Inputs!$C$6*SIN(2*PI()*(A227+Subsurface_Inputs!$C$7)/Subsurface_Inputs!$C$8)+Subsurface_Inputs!$C$9*COS(2*PI()*A227/Subsurface_Inputs!$C$10)+Subsurface_Inputs!$C$11*(B227-AVERAGE($B$2:$B$242))</x:f>
        <x:v>1143.6951084622933</x:v>
      </x:c>
      <x:c r="G227" s="24" t="n">
        <x:f>B227-F227</x:f>
        <x:v>-979.6266845904379</x:v>
      </x:c>
      <x:c r="H227" s="24" t="n">
        <x:f>MIN(1,MAX(0,Subsurface_Inputs!$C$13*EXP(-0.5*((A227-Subsurface_Inputs!$C$14)/Subsurface_Inputs!$C$15)^2)+Subsurface_Inputs!$C$16*EXP(-0.5*((A227-Subsurface_Inputs!$C$17)/Subsurface_Inputs!$C$18)^2)))</x:f>
        <x:v>0.013410020286176487</x:v>
      </x:c>
      <x:c r="I227" s="24" t="n">
        <x:f>Subsurface_Inputs!$C$19+Subsurface_Inputs!$C$20*SIN(2*PI()*(A227-Subsurface_Inputs!$C$21)/Subsurface_Inputs!$C$22)-Subsurface_Inputs!$C$23*H227</x:f>
        <x:v>4884.065903802221</x:v>
      </x:c>
      <x:c r="J227" s="24" t="n">
        <x:f>B227-I227</x:f>
        <x:v>-4719.997479930365</x:v>
      </x:c>
      <x:c r="K227" s="24" t="n">
        <x:f>Subsurface_Inputs!$C$25+Subsurface_Inputs!$C$26*SIN(2*PI()*(A227+Subsurface_Inputs!$C$27)/Subsurface_Inputs!$C$28)+Subsurface_Inputs!$C$29*COS(2*PI()*(A227-Subsurface_Inputs!$C$30)/Subsurface_Inputs!$C$31)-Subsurface_Inputs!$C$32*(B227-AVERAGE($B$2:$B$242))</x:f>
        <x:v>14582.445512559116</x:v>
      </x:c>
      <x:c r="L227" s="24" t="n">
        <x:f>B227-K227</x:f>
        <x:v>-14418.37708868726</x:v>
      </x:c>
      <x:c r="M227" s="24" t="n">
        <x:f>2*Subsurface_Inputs!$C$34*F227/Subsurface_Inputs!$C$35*1000000</x:f>
        <x:v>13.581244215709269</x:v>
      </x:c>
      <x:c r="N227" s="24" t="n">
        <x:f>2*Subsurface_Inputs!$C$34*I227/Subsurface_Inputs!$C$35*1000000</x:f>
        <x:v>57.99770525760161</x:v>
      </x:c>
      <x:c r="O227" s="24" t="n">
        <x:f>2*Subsurface_Inputs!$C$34*K227/Subsurface_Inputs!$C$35*1000000</x:f>
        <x:v>173.16481665696358</x:v>
      </x:c>
      <x:c r="P227" s="24" t="n">
        <x:f>Subsurface_Inputs!$C$37-2*Subsurface_Inputs!$C$36*(F227/1000)</x:f>
        <x:v>-12.058651195232128</x:v>
      </x:c>
      <x:c r="Q227" s="24" t="n">
        <x:f>Subsurface_Inputs!$C$38+Subsurface_Inputs!$C$39*H227-2*Subsurface_Inputs!$C$36*(I227/1000)</x:f>
        <x:v>-32.67062844426841</x:v>
      </x:c>
      <x:c r="R227" s="24" t="n">
        <x:f>Subsurface_Inputs!$C$40-2*Subsurface_Inputs!$C$36*(K227/1000)-Subsurface_Inputs!$C$41*ABS(L227-AVERAGE($L$2:$L$242))</x:f>
        <x:v>-33.622724081828736</x:v>
      </x:c>
      <x:c r="S227" s="24" t="n">
        <x:f>K227-AVERAGE($K$2:$K$242)</x:f>
        <x:v>-494.93918301499434</x:v>
      </x:c>
      <x:c r="T227" s="24" t="n">
        <x:f>K227/F227</x:f>
        <x:v>12.750291056298495</x:v>
      </x:c>
      <x:c r="U227" s="25" t="str">
        <x:f>IF(H227&gt;=Subsurface_Inputs!$C$42,"Lens visible","Weak/no lens")</x:f>
        <x:v>Weak/no lens</x:v>
      </x:c>
      <x:c r="V227" s="25" t="str">
        <x:f>IF(R227&gt;=W227,"Likely visible","Weak")</x:f>
        <x:v>Likely visible</x:v>
      </x:c>
      <x:c r="W227" s="24" t="n">
        <x:f>Subsurface_Inputs!$C$43</x:f>
        <x:v>-45</x:v>
      </x:c>
      <x:c r="X227" s="24" t="n">
        <x:f>Q227-W227</x:f>
        <x:v>12.32937155573159</x:v>
      </x:c>
      <x:c r="Y227" s="24" t="n">
        <x:f>R227-W227</x:f>
        <x:v>11.377275918171264</x:v>
      </x:c>
      <x:c r="Z227" s="24" t="n">
        <x:f>MAX(Q227,R227)-W227</x:f>
        <x:v>12.32937155573159</x:v>
      </x:c>
      <x:c r="AA227" s="24" t="n">
        <x:v>0</x:v>
      </x:c>
    </x:row>
    <x:row r="228">
      <x:c r="A228" s="24" t="n">
        <x:f>Model_Data!A228</x:f>
        <x:v>53</x:v>
      </x:c>
      <x:c r="B228" s="24" t="n">
        <x:f>Model_Data!Y228</x:f>
        <x:v>183.5232809151917</x:v>
      </x:c>
      <x:c r="C228" s="24" t="n">
        <x:f>Model_Data!X228</x:f>
        <x:v>4.508396540761183</x:v>
      </x:c>
      <x:c r="D228" s="24" t="n">
        <x:f>Model_Data!B228</x:f>
        <x:v>403.12111111111113</x:v>
      </x:c>
      <x:c r="E228" s="24" t="n">
        <x:f>Inputs!$C$6</x:f>
        <x:v>25</x:v>
      </x:c>
      <x:c r="F228" s="24" t="n">
        <x:f>Subsurface_Inputs!$C$5+Subsurface_Inputs!$C$6*SIN(2*PI()*(A228+Subsurface_Inputs!$C$7)/Subsurface_Inputs!$C$8)+Subsurface_Inputs!$C$9*COS(2*PI()*A228/Subsurface_Inputs!$C$10)+Subsurface_Inputs!$C$11*(B228-AVERAGE($B$2:$B$242))</x:f>
        <x:v>1124.6310718230975</x:v>
      </x:c>
      <x:c r="G228" s="24" t="n">
        <x:f>B228-F228</x:f>
        <x:v>-941.1077909079058</x:v>
      </x:c>
      <x:c r="H228" s="24" t="n">
        <x:f>MIN(1,MAX(0,Subsurface_Inputs!$C$13*EXP(-0.5*((A228-Subsurface_Inputs!$C$14)/Subsurface_Inputs!$C$15)^2)+Subsurface_Inputs!$C$16*EXP(-0.5*((A228-Subsurface_Inputs!$C$17)/Subsurface_Inputs!$C$18)^2)))</x:f>
        <x:v>0.011226396492872168</x:v>
      </x:c>
      <x:c r="I228" s="24" t="n">
        <x:f>Subsurface_Inputs!$C$19+Subsurface_Inputs!$C$20*SIN(2*PI()*(A228-Subsurface_Inputs!$C$21)/Subsurface_Inputs!$C$22)-Subsurface_Inputs!$C$23*H228</x:f>
        <x:v>4866.571349150891</x:v>
      </x:c>
      <x:c r="J228" s="24" t="n">
        <x:f>B228-I228</x:f>
        <x:v>-4683.048068235699</x:v>
      </x:c>
      <x:c r="K228" s="24" t="n">
        <x:f>Subsurface_Inputs!$C$25+Subsurface_Inputs!$C$26*SIN(2*PI()*(A228+Subsurface_Inputs!$C$27)/Subsurface_Inputs!$C$28)+Subsurface_Inputs!$C$29*COS(2*PI()*(A228-Subsurface_Inputs!$C$30)/Subsurface_Inputs!$C$31)-Subsurface_Inputs!$C$32*(B228-AVERAGE($B$2:$B$242))</x:f>
        <x:v>14580.862995264828</x:v>
      </x:c>
      <x:c r="L228" s="24" t="n">
        <x:f>B228-K228</x:f>
        <x:v>-14397.339714349637</x:v>
      </x:c>
      <x:c r="M228" s="24" t="n">
        <x:f>2*Subsurface_Inputs!$C$34*F228/Subsurface_Inputs!$C$35*1000000</x:f>
        <x:v>13.35486103419662</x:v>
      </x:c>
      <x:c r="N228" s="24" t="n">
        <x:f>2*Subsurface_Inputs!$C$34*I228/Subsurface_Inputs!$C$35*1000000</x:f>
        <x:v>57.789959489164914</x:v>
      </x:c>
      <x:c r="O228" s="24" t="n">
        <x:f>2*Subsurface_Inputs!$C$34*K228/Subsurface_Inputs!$C$35*1000000</x:f>
        <x:v>173.14602445116478</x:v>
      </x:c>
      <x:c r="P228" s="24" t="n">
        <x:f>Subsurface_Inputs!$C$37-2*Subsurface_Inputs!$C$36*(F228/1000)</x:f>
        <x:v>-12.024335929281575</x:v>
      </x:c>
      <x:c r="Q228" s="24" t="n">
        <x:f>Subsurface_Inputs!$C$38+Subsurface_Inputs!$C$39*H228-2*Subsurface_Inputs!$C$36*(I228/1000)</x:f>
        <x:v>-32.65879086003576</x:v>
      </x:c>
      <x:c r="R228" s="24" t="n">
        <x:f>Subsurface_Inputs!$C$40-2*Subsurface_Inputs!$C$36*(K228/1000)-Subsurface_Inputs!$C$41*ABS(L228-AVERAGE($L$2:$L$242))</x:f>
        <x:v>-33.704025048049516</x:v>
      </x:c>
      <x:c r="S228" s="24" t="n">
        <x:f>K228-AVERAGE($K$2:$K$242)</x:f>
        <x:v>-496.5217003092821</x:v>
      </x:c>
      <x:c r="T228" s="24" t="n">
        <x:f>K228/F228</x:f>
        <x:v>12.965018805347725</x:v>
      </x:c>
      <x:c r="U228" s="25" t="str">
        <x:f>IF(H228&gt;=Subsurface_Inputs!$C$42,"Lens visible","Weak/no lens")</x:f>
        <x:v>Weak/no lens</x:v>
      </x:c>
      <x:c r="V228" s="25" t="str">
        <x:f>IF(R228&gt;=W228,"Likely visible","Weak")</x:f>
        <x:v>Likely visible</x:v>
      </x:c>
      <x:c r="W228" s="24" t="n">
        <x:f>Subsurface_Inputs!$C$43</x:f>
        <x:v>-45</x:v>
      </x:c>
      <x:c r="X228" s="24" t="n">
        <x:f>Q228-W228</x:f>
        <x:v>12.341209139964242</x:v>
      </x:c>
      <x:c r="Y228" s="24" t="n">
        <x:f>R228-W228</x:f>
        <x:v>11.295974951950484</x:v>
      </x:c>
      <x:c r="Z228" s="24" t="n">
        <x:f>MAX(Q228,R228)-W228</x:f>
        <x:v>12.341209139964242</x:v>
      </x:c>
      <x:c r="AA228" s="24" t="n">
        <x:v>0</x:v>
      </x:c>
    </x:row>
    <x:row r="229">
      <x:c r="A229" s="24" t="n">
        <x:f>Model_Data!A229</x:f>
        <x:v>53.5</x:v>
      </x:c>
      <x:c r="B229" s="24" t="n">
        <x:f>Model_Data!Y229</x:f>
        <x:v>181.04186719105834</x:v>
      </x:c>
      <x:c r="C229" s="24" t="n">
        <x:f>Model_Data!X229</x:f>
        <x:v>-0.1280560890739677</x:v>
      </x:c>
      <x:c r="D229" s="24" t="n">
        <x:f>Model_Data!B229</x:f>
        <x:v>403.1802777777778</x:v>
      </x:c>
      <x:c r="E229" s="24" t="n">
        <x:f>Inputs!$C$6</x:f>
        <x:v>25</x:v>
      </x:c>
      <x:c r="F229" s="24" t="n">
        <x:f>Subsurface_Inputs!$C$5+Subsurface_Inputs!$C$6*SIN(2*PI()*(A229+Subsurface_Inputs!$C$7)/Subsurface_Inputs!$C$8)+Subsurface_Inputs!$C$9*COS(2*PI()*A229/Subsurface_Inputs!$C$10)+Subsurface_Inputs!$C$11*(B229-AVERAGE($B$2:$B$242))</x:f>
        <x:v>1105.0638747666947</x:v>
      </x:c>
      <x:c r="G229" s="24" t="n">
        <x:f>B229-F229</x:f>
        <x:v>-924.0220075756363</x:v>
      </x:c>
      <x:c r="H229" s="24" t="n">
        <x:f>MIN(1,MAX(0,Subsurface_Inputs!$C$13*EXP(-0.5*((A229-Subsurface_Inputs!$C$14)/Subsurface_Inputs!$C$15)^2)+Subsurface_Inputs!$C$16*EXP(-0.5*((A229-Subsurface_Inputs!$C$17)/Subsurface_Inputs!$C$18)^2)))</x:f>
        <x:v>0.009361702922003404</x:v>
      </x:c>
      <x:c r="I229" s="24" t="n">
        <x:f>Subsurface_Inputs!$C$19+Subsurface_Inputs!$C$20*SIN(2*PI()*(A229-Subsurface_Inputs!$C$21)/Subsurface_Inputs!$C$22)-Subsurface_Inputs!$C$23*H229</x:f>
        <x:v>4849.338885672342</x:v>
      </x:c>
      <x:c r="J229" s="24" t="n">
        <x:f>B229-I229</x:f>
        <x:v>-4668.297018481284</x:v>
      </x:c>
      <x:c r="K229" s="24" t="n">
        <x:f>Subsurface_Inputs!$C$25+Subsurface_Inputs!$C$26*SIN(2*PI()*(A229+Subsurface_Inputs!$C$27)/Subsurface_Inputs!$C$28)+Subsurface_Inputs!$C$29*COS(2*PI()*(A229-Subsurface_Inputs!$C$30)/Subsurface_Inputs!$C$31)-Subsurface_Inputs!$C$32*(B229-AVERAGE($B$2:$B$242))</x:f>
        <x:v>14582.689740911543</x:v>
      </x:c>
      <x:c r="L229" s="24" t="n">
        <x:f>B229-K229</x:f>
        <x:v>-14401.647873720485</x:v>
      </x:c>
      <x:c r="M229" s="24" t="n">
        <x:f>2*Subsurface_Inputs!$C$34*F229/Subsurface_Inputs!$C$35*1000000</x:f>
        <x:v>13.122502882208709</x:v>
      </x:c>
      <x:c r="N229" s="24" t="n">
        <x:f>2*Subsurface_Inputs!$C$34*I229/Subsurface_Inputs!$C$35*1000000</x:f>
        <x:v>57.58532602242295</x:v>
      </x:c>
      <x:c r="O229" s="24" t="n">
        <x:f>2*Subsurface_Inputs!$C$34*K229/Subsurface_Inputs!$C$35*1000000</x:f>
        <x:v>173.1677168397782</x:v>
      </x:c>
      <x:c r="P229" s="24" t="n">
        <x:f>Subsurface_Inputs!$C$37-2*Subsurface_Inputs!$C$36*(F229/1000)</x:f>
        <x:v>-11.989114974580051</x:v>
      </x:c>
      <x:c r="Q229" s="24" t="n">
        <x:f>Subsurface_Inputs!$C$38+Subsurface_Inputs!$C$39*H229-2*Subsurface_Inputs!$C$36*(I229/1000)</x:f>
        <x:v>-32.64455466791219</x:v>
      </x:c>
      <x:c r="R229" s="24" t="n">
        <x:f>Subsurface_Inputs!$C$40-2*Subsurface_Inputs!$C$36*(K229/1000)-Subsurface_Inputs!$C$41*ABS(L229-AVERAGE($L$2:$L$242))</x:f>
        <x:v>-33.6900805527302</x:v>
      </x:c>
      <x:c r="S229" s="24" t="n">
        <x:f>K229-AVERAGE($K$2:$K$242)</x:f>
        <x:v>-494.6949546625674</x:v>
      </x:c>
      <x:c r="T229" s="24" t="n">
        <x:f>K229/F229</x:f>
        <x:v>13.196241478792613</x:v>
      </x:c>
      <x:c r="U229" s="25" t="str">
        <x:f>IF(H229&gt;=Subsurface_Inputs!$C$42,"Lens visible","Weak/no lens")</x:f>
        <x:v>Weak/no lens</x:v>
      </x:c>
      <x:c r="V229" s="25" t="str">
        <x:f>IF(R229&gt;=W229,"Likely visible","Weak")</x:f>
        <x:v>Likely visible</x:v>
      </x:c>
      <x:c r="W229" s="24" t="n">
        <x:f>Subsurface_Inputs!$C$43</x:f>
        <x:v>-45</x:v>
      </x:c>
      <x:c r="X229" s="24" t="n">
        <x:f>Q229-W229</x:f>
        <x:v>12.355445332087811</x:v>
      </x:c>
      <x:c r="Y229" s="24" t="n">
        <x:f>R229-W229</x:f>
        <x:v>11.309919447269799</x:v>
      </x:c>
      <x:c r="Z229" s="24" t="n">
        <x:f>MAX(Q229,R229)-W229</x:f>
        <x:v>12.355445332087811</x:v>
      </x:c>
      <x:c r="AA229" s="24" t="n">
        <x:v>0</x:v>
      </x:c>
    </x:row>
    <x:row r="230">
      <x:c r="A230" s="24" t="n">
        <x:f>Model_Data!A230</x:f>
        <x:v>54</x:v>
      </x:c>
      <x:c r="B230" s="24" t="n">
        <x:f>Model_Data!Y230</x:f>
        <x:v>181.54184215615243</x:v>
      </x:c>
      <x:c r="C230" s="24" t="n">
        <x:f>Model_Data!X230</x:f>
        <x:v>-7.852837825142384</x:v>
      </x:c>
      <x:c r="D230" s="24" t="n">
        <x:f>Model_Data!B230</x:f>
        <x:v>403.24</x:v>
      </x:c>
      <x:c r="E230" s="24" t="n">
        <x:f>Inputs!$C$6</x:f>
        <x:v>25</x:v>
      </x:c>
      <x:c r="F230" s="24" t="n">
        <x:f>Subsurface_Inputs!$C$5+Subsurface_Inputs!$C$6*SIN(2*PI()*(A230+Subsurface_Inputs!$C$7)/Subsurface_Inputs!$C$8)+Subsurface_Inputs!$C$9*COS(2*PI()*A230/Subsurface_Inputs!$C$10)+Subsurface_Inputs!$C$11*(B230-AVERAGE($B$2:$B$242))</x:f>
        <x:v>1086.1970090879154</x:v>
      </x:c>
      <x:c r="G230" s="24" t="n">
        <x:f>B230-F230</x:f>
        <x:v>-904.655166931763</x:v>
      </x:c>
      <x:c r="H230" s="24" t="n">
        <x:f>MIN(1,MAX(0,Subsurface_Inputs!$C$13*EXP(-0.5*((A230-Subsurface_Inputs!$C$14)/Subsurface_Inputs!$C$15)^2)+Subsurface_Inputs!$C$16*EXP(-0.5*((A230-Subsurface_Inputs!$C$17)/Subsurface_Inputs!$C$18)^2)))</x:f>
        <x:v>0.0077762975768280234</x:v>
      </x:c>
      <x:c r="I230" s="24" t="n">
        <x:f>Subsurface_Inputs!$C$19+Subsurface_Inputs!$C$20*SIN(2*PI()*(A230-Subsurface_Inputs!$C$21)/Subsurface_Inputs!$C$22)-Subsurface_Inputs!$C$23*H230</x:f>
        <x:v>4832.403975269064</x:v>
      </x:c>
      <x:c r="J230" s="24" t="n">
        <x:f>B230-I230</x:f>
        <x:v>-4650.862133112912</x:v>
      </x:c>
      <x:c r="K230" s="24" t="n">
        <x:f>Subsurface_Inputs!$C$25+Subsurface_Inputs!$C$26*SIN(2*PI()*(A230+Subsurface_Inputs!$C$27)/Subsurface_Inputs!$C$28)+Subsurface_Inputs!$C$29*COS(2*PI()*(A230-Subsurface_Inputs!$C$30)/Subsurface_Inputs!$C$31)-Subsurface_Inputs!$C$32*(B230-AVERAGE($B$2:$B$242))</x:f>
        <x:v>14584.402882438928</x:v>
      </x:c>
      <x:c r="L230" s="24" t="n">
        <x:f>B230-K230</x:f>
        <x:v>-14402.861040282776</x:v>
      </x:c>
      <x:c r="M230" s="24" t="n">
        <x:f>2*Subsurface_Inputs!$C$34*F230/Subsurface_Inputs!$C$35*1000000</x:f>
        <x:v>12.89846108254324</x:v>
      </x:c>
      <x:c r="N230" s="24" t="n">
        <x:f>2*Subsurface_Inputs!$C$34*I230/Subsurface_Inputs!$C$35*1000000</x:f>
        <x:v>57.384225963275796</x:v>
      </x:c>
      <x:c r="O230" s="24" t="n">
        <x:f>2*Subsurface_Inputs!$C$34*K230/Subsurface_Inputs!$C$35*1000000</x:f>
        <x:v>173.18806019290378</x:v>
      </x:c>
      <x:c r="P230" s="24" t="n">
        <x:f>Subsurface_Inputs!$C$37-2*Subsurface_Inputs!$C$36*(F230/1000)</x:f>
        <x:v>-11.955154616358248</x:v>
      </x:c>
      <x:c r="Q230" s="24" t="n">
        <x:f>Subsurface_Inputs!$C$38+Subsurface_Inputs!$C$39*H230-2*Subsurface_Inputs!$C$36*(I230/1000)</x:f>
        <x:v>-32.628340477292866</x:v>
      </x:c>
      <x:c r="R230" s="24" t="n">
        <x:f>Subsurface_Inputs!$C$40-2*Subsurface_Inputs!$C$36*(K230/1000)-Subsurface_Inputs!$C$41*ABS(L230-AVERAGE($L$2:$L$242))</x:f>
        <x:v>-33.68831154123034</x:v>
      </x:c>
      <x:c r="S230" s="24" t="n">
        <x:f>K230-AVERAGE($K$2:$K$242)</x:f>
        <x:v>-492.98181313518216</x:v>
      </x:c>
      <x:c r="T230" s="24" t="n">
        <x:f>K230/F230</x:f>
        <x:v>13.427032813030408</x:v>
      </x:c>
      <x:c r="U230" s="25" t="str">
        <x:f>IF(H230&gt;=Subsurface_Inputs!$C$42,"Lens visible","Weak/no lens")</x:f>
        <x:v>Weak/no lens</x:v>
      </x:c>
      <x:c r="V230" s="25" t="str">
        <x:f>IF(R230&gt;=W230,"Likely visible","Weak")</x:f>
        <x:v>Likely visible</x:v>
      </x:c>
      <x:c r="W230" s="24" t="n">
        <x:f>Subsurface_Inputs!$C$43</x:f>
        <x:v>-45</x:v>
      </x:c>
      <x:c r="X230" s="24" t="n">
        <x:f>Q230-W230</x:f>
        <x:v>12.371659522707134</x:v>
      </x:c>
      <x:c r="Y230" s="24" t="n">
        <x:f>R230-W230</x:f>
        <x:v>11.311688458769659</x:v>
      </x:c>
      <x:c r="Z230" s="24" t="n">
        <x:f>MAX(Q230,R230)-W230</x:f>
        <x:v>12.371659522707134</x:v>
      </x:c>
      <x:c r="AA230" s="24" t="n">
        <x:v>0</x:v>
      </x:c>
    </x:row>
    <x:row r="231">
      <x:c r="A231" s="24" t="n">
        <x:f>Model_Data!A231</x:f>
        <x:v>54.5</x:v>
      </x:c>
      <x:c r="B231" s="24" t="n">
        <x:f>Model_Data!Y231</x:f>
        <x:v>176.67952286630316</x:v>
      </x:c>
      <x:c r="C231" s="24" t="n">
        <x:f>Model_Data!X231</x:f>
        <x:v>-10.88592803052483</x:v>
      </x:c>
      <x:c r="D231" s="24" t="n">
        <x:f>Model_Data!B231</x:f>
        <x:v>403.30027777777775</x:v>
      </x:c>
      <x:c r="E231" s="24" t="n">
        <x:f>Inputs!$C$6</x:f>
        <x:v>25</x:v>
      </x:c>
      <x:c r="F231" s="24" t="n">
        <x:f>Subsurface_Inputs!$C$5+Subsurface_Inputs!$C$6*SIN(2*PI()*(A231+Subsurface_Inputs!$C$7)/Subsurface_Inputs!$C$8)+Subsurface_Inputs!$C$9*COS(2*PI()*A231/Subsurface_Inputs!$C$10)+Subsurface_Inputs!$C$11*(B231-AVERAGE($B$2:$B$242))</x:f>
        <x:v>1067.8935602052718</x:v>
      </x:c>
      <x:c r="G231" s="24" t="n">
        <x:f>B231-F231</x:f>
        <x:v>-891.2140373389686</x:v>
      </x:c>
      <x:c r="H231" s="24" t="n">
        <x:f>MIN(1,MAX(0,Subsurface_Inputs!$C$13*EXP(-0.5*((A231-Subsurface_Inputs!$C$14)/Subsurface_Inputs!$C$15)^2)+Subsurface_Inputs!$C$16*EXP(-0.5*((A231-Subsurface_Inputs!$C$17)/Subsurface_Inputs!$C$18)^2)))</x:f>
        <x:v>0.0064341980494993355</x:v>
      </x:c>
      <x:c r="I231" s="24" t="n">
        <x:f>Subsurface_Inputs!$C$19+Subsurface_Inputs!$C$20*SIN(2*PI()*(A231-Subsurface_Inputs!$C$21)/Subsurface_Inputs!$C$22)-Subsurface_Inputs!$C$23*H231</x:f>
        <x:v>4815.800666467486</x:v>
      </x:c>
      <x:c r="J231" s="24" t="n">
        <x:f>B231-I231</x:f>
        <x:v>-4639.121143601183</x:v>
      </x:c>
      <x:c r="K231" s="24" t="n">
        <x:f>Subsurface_Inputs!$C$25+Subsurface_Inputs!$C$26*SIN(2*PI()*(A231+Subsurface_Inputs!$C$27)/Subsurface_Inputs!$C$28)+Subsurface_Inputs!$C$29*COS(2*PI()*(A231-Subsurface_Inputs!$C$30)/Subsurface_Inputs!$C$31)-Subsurface_Inputs!$C$32*(B231-AVERAGE($B$2:$B$242))</x:f>
        <x:v>14587.135802631929</x:v>
      </x:c>
      <x:c r="L231" s="24" t="n">
        <x:f>B231-K231</x:f>
        <x:v>-14410.456279765625</x:v>
      </x:c>
      <x:c r="M231" s="24" t="n">
        <x:f>2*Subsurface_Inputs!$C$34*F231/Subsurface_Inputs!$C$35*1000000</x:f>
        <x:v>12.681109790729852</x:v>
      </x:c>
      <x:c r="N231" s="24" t="n">
        <x:f>2*Subsurface_Inputs!$C$34*I231/Subsurface_Inputs!$C$35*1000000</x:f>
        <x:v>57.18706363394989</x:v>
      </x:c>
      <x:c r="O231" s="24" t="n">
        <x:f>2*Subsurface_Inputs!$C$34*K231/Subsurface_Inputs!$C$35*1000000</x:f>
        <x:v>173.22051329713457</x:v>
      </x:c>
      <x:c r="P231" s="24" t="n">
        <x:f>Subsurface_Inputs!$C$37-2*Subsurface_Inputs!$C$36*(F231/1000)</x:f>
        <x:v>-11.922208408369489</x:v>
      </x:c>
      <x:c r="Q231" s="24" t="n">
        <x:f>Subsurface_Inputs!$C$38+Subsurface_Inputs!$C$39*H231-2*Subsurface_Inputs!$C$36*(I231/1000)</x:f>
        <x:v>-32.61053341719598</x:v>
      </x:c>
      <x:c r="R231" s="24" t="n">
        <x:f>Subsurface_Inputs!$C$40-2*Subsurface_Inputs!$C$36*(K231/1000)-Subsurface_Inputs!$C$41*ABS(L231-AVERAGE($L$2:$L$242))</x:f>
        <x:v>-33.662849839646334</x:v>
      </x:c>
      <x:c r="S231" s="24" t="n">
        <x:f>K231-AVERAGE($K$2:$K$242)</x:f>
        <x:v>-490.24889294218156</x:v>
      </x:c>
      <x:c r="T231" s="24" t="n">
        <x:f>K231/F231</x:f>
        <x:v>13.659728222190957</x:v>
      </x:c>
      <x:c r="U231" s="25" t="str">
        <x:f>IF(H231&gt;=Subsurface_Inputs!$C$42,"Lens visible","Weak/no lens")</x:f>
        <x:v>Weak/no lens</x:v>
      </x:c>
      <x:c r="V231" s="25" t="str">
        <x:f>IF(R231&gt;=W231,"Likely visible","Weak")</x:f>
        <x:v>Likely visible</x:v>
      </x:c>
      <x:c r="W231" s="24" t="n">
        <x:f>Subsurface_Inputs!$C$43</x:f>
        <x:v>-45</x:v>
      </x:c>
      <x:c r="X231" s="24" t="n">
        <x:f>Q231-W231</x:f>
        <x:v>12.389466582804019</x:v>
      </x:c>
      <x:c r="Y231" s="24" t="n">
        <x:f>R231-W231</x:f>
        <x:v>11.337150160353666</x:v>
      </x:c>
      <x:c r="Z231" s="24" t="n">
        <x:f>MAX(Q231,R231)-W231</x:f>
        <x:v>12.389466582804019</x:v>
      </x:c>
      <x:c r="AA231" s="24" t="n">
        <x:v>0</x:v>
      </x:c>
    </x:row>
    <x:row r="232">
      <x:c r="A232" s="24" t="n">
        <x:f>Model_Data!A232</x:f>
        <x:v>55</x:v>
      </x:c>
      <x:c r="B232" s="24" t="n">
        <x:f>Model_Data!Y232</x:f>
        <x:v>188.50605986389118</x:v>
      </x:c>
      <x:c r="C232" s="24" t="n">
        <x:f>Model_Data!X232</x:f>
        <x:v>-2.7391578251359494</x:v>
      </x:c>
      <x:c r="D232" s="24" t="n">
        <x:f>Model_Data!B232</x:f>
        <x:v>403.3611111111111</x:v>
      </x:c>
      <x:c r="E232" s="24" t="n">
        <x:f>Inputs!$C$6</x:f>
        <x:v>25</x:v>
      </x:c>
      <x:c r="F232" s="24" t="n">
        <x:f>Subsurface_Inputs!$C$5+Subsurface_Inputs!$C$6*SIN(2*PI()*(A232+Subsurface_Inputs!$C$7)/Subsurface_Inputs!$C$8)+Subsurface_Inputs!$C$9*COS(2*PI()*A232/Subsurface_Inputs!$C$10)+Subsurface_Inputs!$C$11*(B232-AVERAGE($B$2:$B$242))</x:f>
        <x:v>1051.219654363295</x:v>
      </x:c>
      <x:c r="G232" s="24" t="n">
        <x:f>B232-F232</x:f>
        <x:v>-862.7135944994037</x:v>
      </x:c>
      <x:c r="H232" s="24" t="n">
        <x:f>MIN(1,MAX(0,Subsurface_Inputs!$C$13*EXP(-0.5*((A232-Subsurface_Inputs!$C$14)/Subsurface_Inputs!$C$15)^2)+Subsurface_Inputs!$C$16*EXP(-0.5*((A232-Subsurface_Inputs!$C$17)/Subsurface_Inputs!$C$18)^2)))</x:f>
        <x:v>0.005302974211008596</x:v>
      </x:c>
      <x:c r="I232" s="24" t="n">
        <x:f>Subsurface_Inputs!$C$19+Subsurface_Inputs!$C$20*SIN(2*PI()*(A232-Subsurface_Inputs!$C$21)/Subsurface_Inputs!$C$22)-Subsurface_Inputs!$C$23*H232</x:f>
        <x:v>4799.561582875675</x:v>
      </x:c>
      <x:c r="J232" s="24" t="n">
        <x:f>B232-I232</x:f>
        <x:v>-4611.055523011784</x:v>
      </x:c>
      <x:c r="K232" s="24" t="n">
        <x:f>Subsurface_Inputs!$C$25+Subsurface_Inputs!$C$26*SIN(2*PI()*(A232+Subsurface_Inputs!$C$27)/Subsurface_Inputs!$C$28)+Subsurface_Inputs!$C$29*COS(2*PI()*(A232-Subsurface_Inputs!$C$30)/Subsurface_Inputs!$C$31)-Subsurface_Inputs!$C$32*(B232-AVERAGE($B$2:$B$242))</x:f>
        <x:v>14587.76637498493</x:v>
      </x:c>
      <x:c r="L232" s="24" t="n">
        <x:f>B232-K232</x:f>
        <x:v>-14399.260315121039</x:v>
      </x:c>
      <x:c r="M232" s="24" t="n">
        <x:f>2*Subsurface_Inputs!$C$34*F232/Subsurface_Inputs!$C$35*1000000</x:f>
        <x:v>12.483109129894556</x:v>
      </x:c>
      <x:c r="N232" s="24" t="n">
        <x:f>2*Subsurface_Inputs!$C$34*I232/Subsurface_Inputs!$C$35*1000000</x:f>
        <x:v>56.99422643593457</x:v>
      </x:c>
      <x:c r="O232" s="24" t="n">
        <x:f>2*Subsurface_Inputs!$C$34*K232/Subsurface_Inputs!$C$35*1000000</x:f>
        <x:v>173.22800126928595</x:v>
      </x:c>
      <x:c r="P232" s="24" t="n">
        <x:f>Subsurface_Inputs!$C$37-2*Subsurface_Inputs!$C$36*(F232/1000)</x:f>
        <x:v>-11.89219537785393</x:v>
      </x:c>
      <x:c r="Q232" s="24" t="n">
        <x:f>Subsurface_Inputs!$C$38+Subsurface_Inputs!$C$39*H232-2*Subsurface_Inputs!$C$36*(I232/1000)</x:f>
        <x:v>-32.59148408127714</x:v>
      </x:c>
      <x:c r="R232" s="24" t="n">
        <x:f>Subsurface_Inputs!$C$40-2*Subsurface_Inputs!$C$36*(K232/1000)-Subsurface_Inputs!$C$41*ABS(L232-AVERAGE($L$2:$L$242))</x:f>
        <x:v>-33.708768728460086</x:v>
      </x:c>
      <x:c r="S232" s="24" t="n">
        <x:f>K232-AVERAGE($K$2:$K$242)</x:f>
        <x:v>-489.61832058917935</x:v>
      </x:c>
      <x:c r="T232" s="24" t="n">
        <x:f>K232/F232</x:f>
        <x:v>13.876991658627693</x:v>
      </x:c>
      <x:c r="U232" s="25" t="str">
        <x:f>IF(H232&gt;=Subsurface_Inputs!$C$42,"Lens visible","Weak/no lens")</x:f>
        <x:v>Weak/no lens</x:v>
      </x:c>
      <x:c r="V232" s="25" t="str">
        <x:f>IF(R232&gt;=W232,"Likely visible","Weak")</x:f>
        <x:v>Likely visible</x:v>
      </x:c>
      <x:c r="W232" s="24" t="n">
        <x:f>Subsurface_Inputs!$C$43</x:f>
        <x:v>-45</x:v>
      </x:c>
      <x:c r="X232" s="24" t="n">
        <x:f>Q232-W232</x:f>
        <x:v>12.408515918722863</x:v>
      </x:c>
      <x:c r="Y232" s="24" t="n">
        <x:f>R232-W232</x:f>
        <x:v>11.291231271539914</x:v>
      </x:c>
      <x:c r="Z232" s="24" t="n">
        <x:f>MAX(Q232,R232)-W232</x:f>
        <x:v>12.408515918722863</x:v>
      </x:c>
      <x:c r="AA232" s="24" t="n">
        <x:v>0</x:v>
      </x:c>
    </x:row>
    <x:row r="233">
      <x:c r="A233" s="24" t="n">
        <x:f>Model_Data!A233</x:f>
        <x:v>55.5</x:v>
      </x:c>
      <x:c r="B233" s="24" t="n">
        <x:f>Model_Data!Y233</x:f>
        <x:v>182.5522692746181</x:v>
      </x:c>
      <x:c r="C233" s="24" t="n">
        <x:f>Model_Data!X233</x:f>
        <x:v>-6.538094280084824</x:v>
      </x:c>
      <x:c r="D233" s="24" t="n">
        <x:f>Model_Data!B233</x:f>
        <x:v>403.4225</x:v>
      </x:c>
      <x:c r="E233" s="24" t="n">
        <x:f>Inputs!$C$6</x:f>
        <x:v>25</x:v>
      </x:c>
      <x:c r="F233" s="24" t="n">
        <x:f>Subsurface_Inputs!$C$5+Subsurface_Inputs!$C$6*SIN(2*PI()*(A233+Subsurface_Inputs!$C$7)/Subsurface_Inputs!$C$8)+Subsurface_Inputs!$C$9*COS(2*PI()*A233/Subsurface_Inputs!$C$10)+Subsurface_Inputs!$C$11*(B233-AVERAGE($B$2:$B$242))</x:f>
        <x:v>1034.9652799163214</x:v>
      </x:c>
      <x:c r="G233" s="24" t="n">
        <x:f>B233-F233</x:f>
        <x:v>-852.4130106417033</x:v>
      </x:c>
      <x:c r="H233" s="24" t="n">
        <x:f>MIN(1,MAX(0,Subsurface_Inputs!$C$13*EXP(-0.5*((A233-Subsurface_Inputs!$C$14)/Subsurface_Inputs!$C$15)^2)+Subsurface_Inputs!$C$16*EXP(-0.5*((A233-Subsurface_Inputs!$C$17)/Subsurface_Inputs!$C$18)^2)))</x:f>
        <x:v>0.00435359617319023</x:v>
      </x:c>
      <x:c r="I233" s="24" t="n">
        <x:f>Subsurface_Inputs!$C$19+Subsurface_Inputs!$C$20*SIN(2*PI()*(A233-Subsurface_Inputs!$C$21)/Subsurface_Inputs!$C$22)-Subsurface_Inputs!$C$23*H233</x:f>
        <x:v>4783.717923215783</x:v>
      </x:c>
      <x:c r="J233" s="24" t="n">
        <x:f>B233-I233</x:f>
        <x:v>-4601.165653941165</x:v>
      </x:c>
      <x:c r="K233" s="24" t="n">
        <x:f>Subsurface_Inputs!$C$25+Subsurface_Inputs!$C$26*SIN(2*PI()*(A233+Subsurface_Inputs!$C$27)/Subsurface_Inputs!$C$28)+Subsurface_Inputs!$C$29*COS(2*PI()*(A233-Subsurface_Inputs!$C$30)/Subsurface_Inputs!$C$31)-Subsurface_Inputs!$C$32*(B233-AVERAGE($B$2:$B$242))</x:f>
        <x:v>14591.085193045687</x:v>
      </x:c>
      <x:c r="L233" s="24" t="n">
        <x:f>B233-K233</x:f>
        <x:v>-14408.532923771068</x:v>
      </x:c>
      <x:c r="M233" s="24" t="n">
        <x:f>2*Subsurface_Inputs!$C$34*F233/Subsurface_Inputs!$C$35*1000000</x:f>
        <x:v>12.29009035478172</x:v>
      </x:c>
      <x:c r="N233" s="24" t="n">
        <x:f>2*Subsurface_Inputs!$C$34*I233/Subsurface_Inputs!$C$35*1000000</x:f>
        <x:v>56.80608485036735</x:v>
      </x:c>
      <x:c r="O233" s="24" t="n">
        <x:f>2*Subsurface_Inputs!$C$34*K233/Subsurface_Inputs!$C$35*1000000</x:f>
        <x:v>173.2674118414368</x:v>
      </x:c>
      <x:c r="P233" s="24" t="n">
        <x:f>Subsurface_Inputs!$C$37-2*Subsurface_Inputs!$C$36*(F233/1000)</x:f>
        <x:v>-11.862937503849379</x:v>
      </x:c>
      <x:c r="Q233" s="24" t="n">
        <x:f>Subsurface_Inputs!$C$38+Subsurface_Inputs!$C$39*H233-2*Subsurface_Inputs!$C$36*(I233/1000)</x:f>
        <x:v>-32.5715098962297</x:v>
      </x:c>
      <x:c r="R233" s="24" t="n">
        <x:f>Subsurface_Inputs!$C$40-2*Subsurface_Inputs!$C$36*(K233/1000)-Subsurface_Inputs!$C$41*ABS(L233-AVERAGE($L$2:$L$242))</x:f>
        <x:v>-33.677652166369334</x:v>
      </x:c>
      <x:c r="S233" s="24" t="n">
        <x:f>K233-AVERAGE($K$2:$K$242)</x:f>
        <x:v>-486.29950252842355</x:v>
      </x:c>
      <x:c r="T233" s="24" t="n">
        <x:f>K233/F233</x:f>
        <x:v>14.098139789023067</x:v>
      </x:c>
      <x:c r="U233" s="25" t="str">
        <x:f>IF(H233&gt;=Subsurface_Inputs!$C$42,"Lens visible","Weak/no lens")</x:f>
        <x:v>Weak/no lens</x:v>
      </x:c>
      <x:c r="V233" s="25" t="str">
        <x:f>IF(R233&gt;=W233,"Likely visible","Weak")</x:f>
        <x:v>Likely visible</x:v>
      </x:c>
      <x:c r="W233" s="24" t="n">
        <x:f>Subsurface_Inputs!$C$43</x:f>
        <x:v>-45</x:v>
      </x:c>
      <x:c r="X233" s="24" t="n">
        <x:f>Q233-W233</x:f>
        <x:v>12.4284901037703</x:v>
      </x:c>
      <x:c r="Y233" s="24" t="n">
        <x:f>R233-W233</x:f>
        <x:v>11.322347833630666</x:v>
      </x:c>
      <x:c r="Z233" s="24" t="n">
        <x:f>MAX(Q233,R233)-W233</x:f>
        <x:v>12.4284901037703</x:v>
      </x:c>
      <x:c r="AA233" s="24" t="n">
        <x:v>0</x:v>
      </x:c>
    </x:row>
    <x:row r="234">
      <x:c r="A234" s="24" t="n">
        <x:f>Model_Data!A234</x:f>
        <x:v>56</x:v>
      </x:c>
      <x:c r="B234" s="24" t="n">
        <x:f>Model_Data!Y234</x:f>
        <x:v>186.90390563143987</x:v>
      </x:c>
      <x:c r="C234" s="24" t="n">
        <x:f>Model_Data!X234</x:f>
        <x:v>-4.357290177669684</x:v>
      </x:c>
      <x:c r="D234" s="24" t="n">
        <x:f>Model_Data!B234</x:f>
        <x:v>403.4844444444444</x:v>
      </x:c>
      <x:c r="E234" s="24" t="n">
        <x:f>Inputs!$C$6</x:f>
        <x:v>25</x:v>
      </x:c>
      <x:c r="F234" s="24" t="n">
        <x:f>Subsurface_Inputs!$C$5+Subsurface_Inputs!$C$6*SIN(2*PI()*(A234+Subsurface_Inputs!$C$7)/Subsurface_Inputs!$C$8)+Subsurface_Inputs!$C$9*COS(2*PI()*A234/Subsurface_Inputs!$C$10)+Subsurface_Inputs!$C$11*(B234-AVERAGE($B$2:$B$242))</x:f>
        <x:v>1020.4049971928703</x:v>
      </x:c>
      <x:c r="G234" s="24" t="n">
        <x:f>B234-F234</x:f>
        <x:v>-833.5010915614304</x:v>
      </x:c>
      <x:c r="H234" s="24" t="n">
        <x:f>MIN(1,MAX(0,Subsurface_Inputs!$C$13*EXP(-0.5*((A234-Subsurface_Inputs!$C$14)/Subsurface_Inputs!$C$15)^2)+Subsurface_Inputs!$C$16*EXP(-0.5*((A234-Subsurface_Inputs!$C$17)/Subsurface_Inputs!$C$18)^2)))</x:f>
        <x:v>0.003560248461720921</x:v>
      </x:c>
      <x:c r="I234" s="24" t="n">
        <x:f>Subsurface_Inputs!$C$19+Subsurface_Inputs!$C$20*SIN(2*PI()*(A234-Subsurface_Inputs!$C$21)/Subsurface_Inputs!$C$22)-Subsurface_Inputs!$C$23*H234</x:f>
        <x:v>4768.299470359376</x:v>
      </x:c>
      <x:c r="J234" s="24" t="n">
        <x:f>B234-I234</x:f>
        <x:v>-4581.395564727936</x:v>
      </x:c>
      <x:c r="K234" s="24" t="n">
        <x:f>Subsurface_Inputs!$C$25+Subsurface_Inputs!$C$26*SIN(2*PI()*(A234+Subsurface_Inputs!$C$27)/Subsurface_Inputs!$C$28)+Subsurface_Inputs!$C$29*COS(2*PI()*(A234-Subsurface_Inputs!$C$30)/Subsurface_Inputs!$C$31)-Subsurface_Inputs!$C$32*(B234-AVERAGE($B$2:$B$242))</x:f>
        <x:v>14593.125138126077</x:v>
      </x:c>
      <x:c r="L234" s="24" t="n">
        <x:f>B234-K234</x:f>
        <x:v>-14406.221232494638</x:v>
      </x:c>
      <x:c r="M234" s="24" t="n">
        <x:f>2*Subsurface_Inputs!$C$34*F234/Subsurface_Inputs!$C$35*1000000</x:f>
        <x:v>12.11718871862553</x:v>
      </x:c>
      <x:c r="N234" s="24" t="n">
        <x:f>2*Subsurface_Inputs!$C$34*I234/Subsurface_Inputs!$C$35*1000000</x:f>
        <x:v>56.622992545327406</x:v>
      </x:c>
      <x:c r="O234" s="24" t="n">
        <x:f>2*Subsurface_Inputs!$C$34*K234/Subsurface_Inputs!$C$35*1000000</x:f>
        <x:v>173.2916359481226</x:v>
      </x:c>
      <x:c r="P234" s="24" t="n">
        <x:f>Subsurface_Inputs!$C$37-2*Subsurface_Inputs!$C$36*(F234/1000)</x:f>
        <x:v>-11.836728994947167</x:v>
      </x:c>
      <x:c r="Q234" s="24" t="n">
        <x:f>Subsurface_Inputs!$C$38+Subsurface_Inputs!$C$39*H234-2*Subsurface_Inputs!$C$36*(I234/1000)</x:f>
        <x:v>-32.550896810491395</x:v>
      </x:c>
      <x:c r="R234" s="24" t="n">
        <x:f>Subsurface_Inputs!$C$40-2*Subsurface_Inputs!$C$36*(K234/1000)-Subsurface_Inputs!$C$41*ABS(L234-AVERAGE($L$2:$L$242))</x:f>
        <x:v>-33.69057083261976</x:v>
      </x:c>
      <x:c r="S234" s="24" t="n">
        <x:f>K234-AVERAGE($K$2:$K$242)</x:f>
        <x:v>-484.25955744803287</x:v>
      </x:c>
      <x:c r="T234" s="24" t="n">
        <x:f>K234/F234</x:f>
        <x:v>14.301307008757995</x:v>
      </x:c>
      <x:c r="U234" s="25" t="str">
        <x:f>IF(H234&gt;=Subsurface_Inputs!$C$42,"Lens visible","Weak/no lens")</x:f>
        <x:v>Weak/no lens</x:v>
      </x:c>
      <x:c r="V234" s="25" t="str">
        <x:f>IF(R234&gt;=W234,"Likely visible","Weak")</x:f>
        <x:v>Likely visible</x:v>
      </x:c>
      <x:c r="W234" s="24" t="n">
        <x:f>Subsurface_Inputs!$C$43</x:f>
        <x:v>-45</x:v>
      </x:c>
      <x:c r="X234" s="24" t="n">
        <x:f>Q234-W234</x:f>
        <x:v>12.449103189508605</x:v>
      </x:c>
      <x:c r="Y234" s="24" t="n">
        <x:f>R234-W234</x:f>
        <x:v>11.309429167380237</x:v>
      </x:c>
      <x:c r="Z234" s="24" t="n">
        <x:f>MAX(Q234,R234)-W234</x:f>
        <x:v>12.449103189508605</x:v>
      </x:c>
      <x:c r="AA234" s="24" t="n">
        <x:v>0</x:v>
      </x:c>
    </x:row>
    <x:row r="235">
      <x:c r="A235" s="24" t="n">
        <x:f>Model_Data!A235</x:f>
        <x:v>56.5</x:v>
      </x:c>
      <x:c r="B235" s="24" t="n">
        <x:f>Model_Data!Y235</x:f>
        <x:v>190.07062484954076</x:v>
      </x:c>
      <x:c r="C235" s="24" t="n">
        <x:f>Model_Data!X235</x:f>
        <x:v>21.715435034758002</x:v>
      </x:c>
      <x:c r="D235" s="24" t="n">
        <x:f>Model_Data!B235</x:f>
        <x:v>403.5469444444444</x:v>
      </x:c>
      <x:c r="E235" s="24" t="n">
        <x:f>Inputs!$C$6</x:f>
        <x:v>25</x:v>
      </x:c>
      <x:c r="F235" s="24" t="n">
        <x:f>Subsurface_Inputs!$C$5+Subsurface_Inputs!$C$6*SIN(2*PI()*(A235+Subsurface_Inputs!$C$7)/Subsurface_Inputs!$C$8)+Subsurface_Inputs!$C$9*COS(2*PI()*A235/Subsurface_Inputs!$C$10)+Subsurface_Inputs!$C$11*(B235-AVERAGE($B$2:$B$242))</x:f>
        <x:v>1007.2107050698629</x:v>
      </x:c>
      <x:c r="G235" s="24" t="n">
        <x:f>B235-F235</x:f>
        <x:v>-817.1400802203221</x:v>
      </x:c>
      <x:c r="H235" s="24" t="n">
        <x:f>MIN(1,MAX(0,Subsurface_Inputs!$C$13*EXP(-0.5*((A235-Subsurface_Inputs!$C$14)/Subsurface_Inputs!$C$15)^2)+Subsurface_Inputs!$C$16*EXP(-0.5*((A235-Subsurface_Inputs!$C$17)/Subsurface_Inputs!$C$18)^2)))</x:f>
        <x:v>0.0029001202743499403</x:v>
      </x:c>
      <x:c r="I235" s="24" t="n">
        <x:f>Subsurface_Inputs!$C$19+Subsurface_Inputs!$C$20*SIN(2*PI()*(A235-Subsurface_Inputs!$C$21)/Subsurface_Inputs!$C$22)-Subsurface_Inputs!$C$23*H235</x:f>
        <x:v>4753.334607048062</x:v>
      </x:c>
      <x:c r="J235" s="24" t="n">
        <x:f>B235-I235</x:f>
        <x:v>-4563.263982198521</x:v>
      </x:c>
      <x:c r="K235" s="24" t="n">
        <x:f>Subsurface_Inputs!$C$25+Subsurface_Inputs!$C$26*SIN(2*PI()*(A235+Subsurface_Inputs!$C$27)/Subsurface_Inputs!$C$28)+Subsurface_Inputs!$C$29*COS(2*PI()*(A235-Subsurface_Inputs!$C$30)/Subsurface_Inputs!$C$31)-Subsurface_Inputs!$C$32*(B235-AVERAGE($B$2:$B$242))</x:f>
        <x:v>14595.45983017993</x:v>
      </x:c>
      <x:c r="L235" s="24" t="n">
        <x:f>B235-K235</x:f>
        <x:v>-14405.38920533039</x:v>
      </x:c>
      <x:c r="M235" s="24" t="n">
        <x:f>2*Subsurface_Inputs!$C$34*F235/Subsurface_Inputs!$C$35*1000000</x:f>
        <x:v>11.960508059374568</x:v>
      </x:c>
      <x:c r="N235" s="24" t="n">
        <x:f>2*Subsurface_Inputs!$C$34*I235/Subsurface_Inputs!$C$35*1000000</x:f>
        <x:v>56.445286562516195</x:v>
      </x:c>
      <x:c r="O235" s="24" t="n">
        <x:f>2*Subsurface_Inputs!$C$34*K235/Subsurface_Inputs!$C$35*1000000</x:f>
        <x:v>173.31936014027596</x:v>
      </x:c>
      <x:c r="P235" s="24" t="n">
        <x:f>Subsurface_Inputs!$C$37-2*Subsurface_Inputs!$C$36*(F235/1000)</x:f>
        <x:v>-11.812979269125753</x:v>
      </x:c>
      <x:c r="Q235" s="24" t="n">
        <x:f>Subsurface_Inputs!$C$38+Subsurface_Inputs!$C$39*H235-2*Subsurface_Inputs!$C$36*(I235/1000)</x:f>
        <x:v>-32.52990121021736</x:v>
      </x:c>
      <x:c r="R235" s="24" t="n">
        <x:f>Subsurface_Inputs!$C$40-2*Subsurface_Inputs!$C$36*(K235/1000)-Subsurface_Inputs!$C$41*ABS(L235-AVERAGE($L$2:$L$242))</x:f>
        <x:v>-33.69810138697368</x:v>
      </x:c>
      <x:c r="S235" s="24" t="n">
        <x:f>K235-AVERAGE($K$2:$K$242)</x:f>
        <x:v>-481.9248653941795</x:v>
      </x:c>
      <x:c r="T235" s="24" t="n">
        <x:f>K235/F235</x:f>
        <x:v>14.490969721343012</x:v>
      </x:c>
      <x:c r="U235" s="25" t="str">
        <x:f>IF(H235&gt;=Subsurface_Inputs!$C$42,"Lens visible","Weak/no lens")</x:f>
        <x:v>Weak/no lens</x:v>
      </x:c>
      <x:c r="V235" s="25" t="str">
        <x:f>IF(R235&gt;=W235,"Likely visible","Weak")</x:f>
        <x:v>Likely visible</x:v>
      </x:c>
      <x:c r="W235" s="24" t="n">
        <x:f>Subsurface_Inputs!$C$43</x:f>
        <x:v>-45</x:v>
      </x:c>
      <x:c r="X235" s="24" t="n">
        <x:f>Q235-W235</x:f>
        <x:v>12.47009878978264</x:v>
      </x:c>
      <x:c r="Y235" s="24" t="n">
        <x:f>R235-W235</x:f>
        <x:v>11.301898613026317</x:v>
      </x:c>
      <x:c r="Z235" s="24" t="n">
        <x:f>MAX(Q235,R235)-W235</x:f>
        <x:v>12.47009878978264</x:v>
      </x:c>
      <x:c r="AA235" s="24" t="n">
        <x:v>0</x:v>
      </x:c>
    </x:row>
    <x:row r="236">
      <x:c r="A236" s="24" t="n">
        <x:f>Model_Data!A236</x:f>
        <x:v>57</x:v>
      </x:c>
      <x:c r="B236" s="24" t="n">
        <x:f>Model_Data!Y236</x:f>
        <x:v>200.68454527158707</x:v>
      </x:c>
      <x:c r="C236" s="24" t="n">
        <x:f>Model_Data!X236</x:f>
        <x:v>18.4135707545088</x:v>
      </x:c>
      <x:c r="D236" s="24" t="n">
        <x:f>Model_Data!B236</x:f>
        <x:v>403.61</x:v>
      </x:c>
      <x:c r="E236" s="24" t="n">
        <x:f>Inputs!$C$6</x:f>
        <x:v>25</x:v>
      </x:c>
      <x:c r="F236" s="24" t="n">
        <x:f>Subsurface_Inputs!$C$5+Subsurface_Inputs!$C$6*SIN(2*PI()*(A236+Subsurface_Inputs!$C$7)/Subsurface_Inputs!$C$8)+Subsurface_Inputs!$C$9*COS(2*PI()*A236/Subsurface_Inputs!$C$10)+Subsurface_Inputs!$C$11*(B236-AVERAGE($B$2:$B$242))</x:f>
        <x:v>995.8379330752531</x:v>
      </x:c>
      <x:c r="G236" s="24" t="n">
        <x:f>B236-F236</x:f>
        <x:v>-795.153387803666</x:v>
      </x:c>
      <x:c r="H236" s="24" t="n">
        <x:f>MIN(1,MAX(0,Subsurface_Inputs!$C$13*EXP(-0.5*((A236-Subsurface_Inputs!$C$14)/Subsurface_Inputs!$C$15)^2)+Subsurface_Inputs!$C$16*EXP(-0.5*((A236-Subsurface_Inputs!$C$17)/Subsurface_Inputs!$C$18)^2)))</x:f>
        <x:v>0.002353180541557958</x:v>
      </x:c>
      <x:c r="I236" s="24" t="n">
        <x:f>Subsurface_Inputs!$C$19+Subsurface_Inputs!$C$20*SIN(2*PI()*(A236-Subsurface_Inputs!$C$21)/Subsurface_Inputs!$C$22)-Subsurface_Inputs!$C$23*H236</x:f>
        <x:v>4738.85033625806</x:v>
      </x:c>
      <x:c r="J236" s="24" t="n">
        <x:f>B236-I236</x:f>
        <x:v>-4538.165790986473</x:v>
      </x:c>
      <x:c r="K236" s="24" t="n">
        <x:f>Subsurface_Inputs!$C$25+Subsurface_Inputs!$C$26*SIN(2*PI()*(A236+Subsurface_Inputs!$C$27)/Subsurface_Inputs!$C$28)+Subsurface_Inputs!$C$29*COS(2*PI()*(A236-Subsurface_Inputs!$C$30)/Subsurface_Inputs!$C$31)-Subsurface_Inputs!$C$32*(B236-AVERAGE($B$2:$B$242))</x:f>
        <x:v>14596.845934459488</x:v>
      </x:c>
      <x:c r="L236" s="24" t="n">
        <x:f>B236-K236</x:f>
        <x:v>-14396.1613891879</x:v>
      </x:c>
      <x:c r="M236" s="24" t="n">
        <x:f>2*Subsurface_Inputs!$C$34*F236/Subsurface_Inputs!$C$35*1000000</x:f>
        <x:v>11.82545773632471</x:v>
      </x:c>
      <x:c r="N236" s="24" t="n">
        <x:f>2*Subsurface_Inputs!$C$34*I236/Subsurface_Inputs!$C$35*1000000</x:f>
        <x:v>56.273287559084274</x:v>
      </x:c>
      <x:c r="O236" s="24" t="n">
        <x:f>2*Subsurface_Inputs!$C$34*K236/Subsurface_Inputs!$C$35*1000000</x:f>
        <x:v>173.33581996474302</x:v>
      </x:c>
      <x:c r="P236" s="24" t="n">
        <x:f>Subsurface_Inputs!$C$37-2*Subsurface_Inputs!$C$36*(F236/1000)</x:f>
        <x:v>-11.792508279535456</x:v>
      </x:c>
      <x:c r="Q236" s="24" t="n">
        <x:f>Subsurface_Inputs!$C$38+Subsurface_Inputs!$C$39*H236-2*Subsurface_Inputs!$C$36*(I236/1000)</x:f>
        <x:v>-32.508751980390485</x:v>
      </x:c>
      <x:c r="R236" s="24" t="n">
        <x:f>Subsurface_Inputs!$C$40-2*Subsurface_Inputs!$C$36*(K236/1000)-Subsurface_Inputs!$C$41*ABS(L236-AVERAGE($L$2:$L$242))</x:f>
        <x:v>-33.73750763924684</x:v>
      </x:c>
      <x:c r="S236" s="24" t="n">
        <x:f>K236-AVERAGE($K$2:$K$242)</x:f>
        <x:v>-480.5387611146216</x:v>
      </x:c>
      <x:c r="T236" s="24" t="n">
        <x:f>K236/F236</x:f>
        <x:v>14.657852899199051</x:v>
      </x:c>
      <x:c r="U236" s="25" t="str">
        <x:f>IF(H236&gt;=Subsurface_Inputs!$C$42,"Lens visible","Weak/no lens")</x:f>
        <x:v>Weak/no lens</x:v>
      </x:c>
      <x:c r="V236" s="25" t="str">
        <x:f>IF(R236&gt;=W236,"Likely visible","Weak")</x:f>
        <x:v>Likely visible</x:v>
      </x:c>
      <x:c r="W236" s="24" t="n">
        <x:f>Subsurface_Inputs!$C$43</x:f>
        <x:v>-45</x:v>
      </x:c>
      <x:c r="X236" s="24" t="n">
        <x:f>Q236-W236</x:f>
        <x:v>12.491248019609515</x:v>
      </x:c>
      <x:c r="Y236" s="24" t="n">
        <x:f>R236-W236</x:f>
        <x:v>11.262492360753157</x:v>
      </x:c>
      <x:c r="Z236" s="24" t="n">
        <x:f>MAX(Q236,R236)-W236</x:f>
        <x:v>12.491248019609515</x:v>
      </x:c>
      <x:c r="AA236" s="24" t="n">
        <x:v>0</x:v>
      </x:c>
    </x:row>
    <x:row r="237">
      <x:c r="A237" s="24" t="n">
        <x:f>Model_Data!A237</x:f>
        <x:v>57.5</x:v>
      </x:c>
      <x:c r="B237" s="24" t="n">
        <x:f>Model_Data!Y237</x:f>
        <x:v>178.2777126906697</x:v>
      </x:c>
      <x:c r="C237" s="24" t="n">
        <x:f>Model_Data!X237</x:f>
        <x:v>25.968776223167485</x:v>
      </x:c>
      <x:c r="D237" s="24" t="n">
        <x:f>Model_Data!B237</x:f>
        <x:v>403.6736111111111</x:v>
      </x:c>
      <x:c r="E237" s="24" t="n">
        <x:f>Inputs!$C$6</x:f>
        <x:v>25</x:v>
      </x:c>
      <x:c r="F237" s="24" t="n">
        <x:f>Subsurface_Inputs!$C$5+Subsurface_Inputs!$C$6*SIN(2*PI()*(A237+Subsurface_Inputs!$C$7)/Subsurface_Inputs!$C$8)+Subsurface_Inputs!$C$9*COS(2*PI()*A237/Subsurface_Inputs!$C$10)+Subsurface_Inputs!$C$11*(B237-AVERAGE($B$2:$B$242))</x:f>
        <x:v>984.7556575269786</x:v>
      </x:c>
      <x:c r="G237" s="24" t="n">
        <x:f>B237-F237</x:f>
        <x:v>-806.4779448363089</x:v>
      </x:c>
      <x:c r="H237" s="24" t="n">
        <x:f>MIN(1,MAX(0,Subsurface_Inputs!$C$13*EXP(-0.5*((A237-Subsurface_Inputs!$C$14)/Subsurface_Inputs!$C$15)^2)+Subsurface_Inputs!$C$16*EXP(-0.5*((A237-Subsurface_Inputs!$C$17)/Subsurface_Inputs!$C$18)^2)))</x:f>
        <x:v>0.0019019453105300916</x:v>
      </x:c>
      <x:c r="I237" s="24" t="n">
        <x:f>Subsurface_Inputs!$C$19+Subsurface_Inputs!$C$20*SIN(2*PI()*(A237-Subsurface_Inputs!$C$21)/Subsurface_Inputs!$C$22)-Subsurface_Inputs!$C$23*H237</x:f>
        <x:v>4724.872304453064</x:v>
      </x:c>
      <x:c r="J237" s="24" t="n">
        <x:f>B237-I237</x:f>
        <x:v>-4546.594591762395</x:v>
      </x:c>
      <x:c r="K237" s="24" t="n">
        <x:f>Subsurface_Inputs!$C$25+Subsurface_Inputs!$C$26*SIN(2*PI()*(A237+Subsurface_Inputs!$C$27)/Subsurface_Inputs!$C$28)+Subsurface_Inputs!$C$29*COS(2*PI()*(A237-Subsurface_Inputs!$C$30)/Subsurface_Inputs!$C$31)-Subsurface_Inputs!$C$32*(B237-AVERAGE($B$2:$B$242))</x:f>
        <x:v>14602.914420845136</x:v>
      </x:c>
      <x:c r="L237" s="24" t="n">
        <x:f>B237-K237</x:f>
        <x:v>-14424.636708154467</x:v>
      </x:c>
      <x:c r="M237" s="24" t="n">
        <x:f>2*Subsurface_Inputs!$C$34*F237/Subsurface_Inputs!$C$35*1000000</x:f>
        <x:v>11.693857024235225</x:v>
      </x:c>
      <x:c r="N237" s="24" t="n">
        <x:f>2*Subsurface_Inputs!$C$34*I237/Subsurface_Inputs!$C$35*1000000</x:f>
        <x:v>56.10730008375631</x:v>
      </x:c>
      <x:c r="O237" s="24" t="n">
        <x:f>2*Subsurface_Inputs!$C$34*K237/Subsurface_Inputs!$C$35*1000000</x:f>
        <x:v>173.40788252321107</x:v>
      </x:c>
      <x:c r="P237" s="24" t="n">
        <x:f>Subsurface_Inputs!$C$37-2*Subsurface_Inputs!$C$36*(F237/1000)</x:f>
        <x:v>-11.772560183548562</x:v>
      </x:c>
      <x:c r="Q237" s="24" t="n">
        <x:f>Subsurface_Inputs!$C$38+Subsurface_Inputs!$C$39*H237-2*Subsurface_Inputs!$C$36*(I237/1000)</x:f>
        <x:v>-32.487652640220745</x:v>
      </x:c>
      <x:c r="R237" s="24" t="n">
        <x:f>Subsurface_Inputs!$C$40-2*Subsurface_Inputs!$C$36*(K237/1000)-Subsurface_Inputs!$C$41*ABS(L237-AVERAGE($L$2:$L$242))</x:f>
        <x:v>-33.63452963887475</x:v>
      </x:c>
      <x:c r="S237" s="24" t="n">
        <x:f>K237-AVERAGE($K$2:$K$242)</x:f>
        <x:v>-474.4702747289739</x:v>
      </x:c>
      <x:c r="T237" s="24" t="n">
        <x:f>K237/F237</x:f>
        <x:v>14.828972353931434</x:v>
      </x:c>
      <x:c r="U237" s="25" t="str">
        <x:f>IF(H237&gt;=Subsurface_Inputs!$C$42,"Lens visible","Weak/no lens")</x:f>
        <x:v>Weak/no lens</x:v>
      </x:c>
      <x:c r="V237" s="25" t="str">
        <x:f>IF(R237&gt;=W237,"Likely visible","Weak")</x:f>
        <x:v>Likely visible</x:v>
      </x:c>
      <x:c r="W237" s="24" t="n">
        <x:f>Subsurface_Inputs!$C$43</x:f>
        <x:v>-45</x:v>
      </x:c>
      <x:c r="X237" s="24" t="n">
        <x:f>Q237-W237</x:f>
        <x:v>12.512347359779255</x:v>
      </x:c>
      <x:c r="Y237" s="24" t="n">
        <x:f>R237-W237</x:f>
        <x:v>11.365470361125247</x:v>
      </x:c>
      <x:c r="Z237" s="24" t="n">
        <x:f>MAX(Q237,R237)-W237</x:f>
        <x:v>12.512347359779255</x:v>
      </x:c>
      <x:c r="AA237" s="24" t="n">
        <x:v>0</x:v>
      </x:c>
    </x:row>
    <x:row r="238">
      <x:c r="A238" s="24" t="n">
        <x:f>Model_Data!A238</x:f>
        <x:v>58</x:v>
      </x:c>
      <x:c r="B238" s="24" t="n">
        <x:f>Model_Data!Y238</x:f>
        <x:v>194.52778179385766</x:v>
      </x:c>
      <x:c r="C238" s="24" t="n">
        <x:f>Model_Data!X238</x:f>
        <x:v>30.070182113253747</x:v>
      </x:c>
      <x:c r="D238" s="24" t="n">
        <x:f>Model_Data!B238</x:f>
        <x:v>403.73777777777775</x:v>
      </x:c>
      <x:c r="E238" s="24" t="n">
        <x:f>Inputs!$C$6</x:f>
        <x:v>25</x:v>
      </x:c>
      <x:c r="F238" s="24" t="n">
        <x:f>Subsurface_Inputs!$C$5+Subsurface_Inputs!$C$6*SIN(2*PI()*(A238+Subsurface_Inputs!$C$7)/Subsurface_Inputs!$C$8)+Subsurface_Inputs!$C$9*COS(2*PI()*A238/Subsurface_Inputs!$C$10)+Subsurface_Inputs!$C$11*(B238-AVERAGE($B$2:$B$242))</x:f>
        <x:v>976.8952337829763</x:v>
      </x:c>
      <x:c r="G238" s="24" t="n">
        <x:f>B238-F238</x:f>
        <x:v>-782.3674519891186</x:v>
      </x:c>
      <x:c r="H238" s="24" t="n">
        <x:f>MIN(1,MAX(0,Subsurface_Inputs!$C$13*EXP(-0.5*((A238-Subsurface_Inputs!$C$14)/Subsurface_Inputs!$C$15)^2)+Subsurface_Inputs!$C$16*EXP(-0.5*((A238-Subsurface_Inputs!$C$17)/Subsurface_Inputs!$C$18)^2)))</x:f>
        <x:v>0.0015312437827304003</x:v>
      </x:c>
      <x:c r="I238" s="24" t="n">
        <x:f>Subsurface_Inputs!$C$19+Subsurface_Inputs!$C$20*SIN(2*PI()*(A238-Subsurface_Inputs!$C$21)/Subsurface_Inputs!$C$22)-Subsurface_Inputs!$C$23*H238</x:f>
        <x:v>4711.424826253924</x:v>
      </x:c>
      <x:c r="J238" s="24" t="n">
        <x:f>B238-I238</x:f>
        <x:v>-4516.897044460066</x:v>
      </x:c>
      <x:c r="K238" s="24" t="n">
        <x:f>Subsurface_Inputs!$C$25+Subsurface_Inputs!$C$26*SIN(2*PI()*(A238+Subsurface_Inputs!$C$27)/Subsurface_Inputs!$C$28)+Subsurface_Inputs!$C$29*COS(2*PI()*(A238-Subsurface_Inputs!$C$30)/Subsurface_Inputs!$C$31)-Subsurface_Inputs!$C$32*(B238-AVERAGE($B$2:$B$242))</x:f>
        <x:v>14603.596271830193</x:v>
      </x:c>
      <x:c r="L238" s="24" t="n">
        <x:f>B238-K238</x:f>
        <x:v>-14409.068490036336</x:v>
      </x:c>
      <x:c r="M238" s="24" t="n">
        <x:f>2*Subsurface_Inputs!$C$34*F238/Subsurface_Inputs!$C$35*1000000</x:f>
        <x:v>11.600515421463323</x:v>
      </x:c>
      <x:c r="N238" s="24" t="n">
        <x:f>2*Subsurface_Inputs!$C$34*I238/Subsurface_Inputs!$C$35*1000000</x:f>
        <x:v>55.947612869780635</x:v>
      </x:c>
      <x:c r="O238" s="24" t="n">
        <x:f>2*Subsurface_Inputs!$C$34*K238/Subsurface_Inputs!$C$35*1000000</x:f>
        <x:v>173.41597942305634</x:v>
      </x:c>
      <x:c r="P238" s="24" t="n">
        <x:f>Subsurface_Inputs!$C$37-2*Subsurface_Inputs!$C$36*(F238/1000)</x:f>
        <x:v>-11.758411420809358</x:v>
      </x:c>
      <x:c r="Q238" s="24" t="n">
        <x:f>Subsurface_Inputs!$C$38+Subsurface_Inputs!$C$39*H238-2*Subsurface_Inputs!$C$36*(I238/1000)</x:f>
        <x:v>-32.46678349321249</x:v>
      </x:c>
      <x:c r="R238" s="24" t="n">
        <x:f>Subsurface_Inputs!$C$40-2*Subsurface_Inputs!$C$36*(K238/1000)-Subsurface_Inputs!$C$41*ABS(L238-AVERAGE($L$2:$L$242))</x:f>
        <x:v>-33.69802984312037</x:v>
      </x:c>
      <x:c r="S238" s="24" t="n">
        <x:f>K238-AVERAGE($K$2:$K$242)</x:f>
        <x:v>-473.7884237439175</x:v>
      </x:c>
      <x:c r="T238" s="24" t="n">
        <x:f>K238/F238</x:f>
        <x:v>14.948989171826051</x:v>
      </x:c>
      <x:c r="U238" s="25" t="str">
        <x:f>IF(H238&gt;=Subsurface_Inputs!$C$42,"Lens visible","Weak/no lens")</x:f>
        <x:v>Weak/no lens</x:v>
      </x:c>
      <x:c r="V238" s="25" t="str">
        <x:f>IF(R238&gt;=W238,"Likely visible","Weak")</x:f>
        <x:v>Likely visible</x:v>
      </x:c>
      <x:c r="W238" s="24" t="n">
        <x:f>Subsurface_Inputs!$C$43</x:f>
        <x:v>-45</x:v>
      </x:c>
      <x:c r="X238" s="24" t="n">
        <x:f>Q238-W238</x:f>
        <x:v>12.533216506787511</x:v>
      </x:c>
      <x:c r="Y238" s="24" t="n">
        <x:f>R238-W238</x:f>
        <x:v>11.301970156879626</x:v>
      </x:c>
      <x:c r="Z238" s="24" t="n">
        <x:f>MAX(Q238,R238)-W238</x:f>
        <x:v>12.533216506787511</x:v>
      </x:c>
      <x:c r="AA238" s="24" t="n">
        <x:v>0</x:v>
      </x:c>
    </x:row>
    <x:row r="239">
      <x:c r="A239" s="24" t="n">
        <x:f>Model_Data!A239</x:f>
        <x:v>58.5</x:v>
      </x:c>
      <x:c r="B239" s="24" t="n">
        <x:f>Model_Data!Y239</x:f>
        <x:v>188.33221875951745</x:v>
      </x:c>
      <x:c r="C239" s="24" t="n">
        <x:f>Model_Data!X239</x:f>
        <x:v>28.425297518081656</x:v>
      </x:c>
      <x:c r="D239" s="24" t="n">
        <x:f>Model_Data!B239</x:f>
        <x:v>403.8025</x:v>
      </x:c>
      <x:c r="E239" s="24" t="n">
        <x:f>Inputs!$C$6</x:f>
        <x:v>25</x:v>
      </x:c>
      <x:c r="F239" s="24" t="n">
        <x:f>Subsurface_Inputs!$C$5+Subsurface_Inputs!$C$6*SIN(2*PI()*(A239+Subsurface_Inputs!$C$7)/Subsurface_Inputs!$C$8)+Subsurface_Inputs!$C$9*COS(2*PI()*A239/Subsurface_Inputs!$C$10)+Subsurface_Inputs!$C$11*(B239-AVERAGE($B$2:$B$242))</x:f>
        <x:v>969.8528693334896</x:v>
      </x:c>
      <x:c r="G239" s="24" t="n">
        <x:f>B239-F239</x:f>
        <x:v>-781.5206505739721</x:v>
      </x:c>
      <x:c r="H239" s="24" t="n">
        <x:f>MIN(1,MAX(0,Subsurface_Inputs!$C$13*EXP(-0.5*((A239-Subsurface_Inputs!$C$14)/Subsurface_Inputs!$C$15)^2)+Subsurface_Inputs!$C$16*EXP(-0.5*((A239-Subsurface_Inputs!$C$17)/Subsurface_Inputs!$C$18)^2)))</x:f>
        <x:v>0.0012279881870894578</x:v>
      </x:c>
      <x:c r="I239" s="24" t="n">
        <x:f>Subsurface_Inputs!$C$19+Subsurface_Inputs!$C$20*SIN(2*PI()*(A239-Subsurface_Inputs!$C$21)/Subsurface_Inputs!$C$22)-Subsurface_Inputs!$C$23*H239</x:f>
        <x:v>4698.530909327688</x:v>
      </x:c>
      <x:c r="J239" s="24" t="n">
        <x:f>B239-I239</x:f>
        <x:v>-4510.198690568171</x:v>
      </x:c>
      <x:c r="K239" s="24" t="n">
        <x:f>Subsurface_Inputs!$C$25+Subsurface_Inputs!$C$26*SIN(2*PI()*(A239+Subsurface_Inputs!$C$27)/Subsurface_Inputs!$C$28)+Subsurface_Inputs!$C$29*COS(2*PI()*(A239-Subsurface_Inputs!$C$30)/Subsurface_Inputs!$C$31)-Subsurface_Inputs!$C$32*(B239-AVERAGE($B$2:$B$242))</x:f>
        <x:v>14607.412196224737</x:v>
      </x:c>
      <x:c r="L239" s="24" t="n">
        <x:f>B239-K239</x:f>
        <x:v>-14419.07997746522</x:v>
      </x:c>
      <x:c r="M239" s="24" t="n">
        <x:f>2*Subsurface_Inputs!$C$34*F239/Subsurface_Inputs!$C$35*1000000</x:f>
        <x:v>11.51688817611023</x:v>
      </x:c>
      <x:c r="N239" s="24" t="n">
        <x:f>2*Subsurface_Inputs!$C$34*I239/Subsurface_Inputs!$C$35*1000000</x:f>
        <x:v>55.7944991304837</x:v>
      </x:c>
      <x:c r="O239" s="24" t="n">
        <x:f>2*Subsurface_Inputs!$C$34*K239/Subsurface_Inputs!$C$35*1000000</x:f>
        <x:v>173.46129307415754</x:v>
      </x:c>
      <x:c r="P239" s="24" t="n">
        <x:f>Subsurface_Inputs!$C$37-2*Subsurface_Inputs!$C$36*(F239/1000)</x:f>
        <x:v>-11.745735164800282</x:v>
      </x:c>
      <x:c r="Q239" s="24" t="n">
        <x:f>Subsurface_Inputs!$C$38+Subsurface_Inputs!$C$39*H239-2*Subsurface_Inputs!$C$36*(I239/1000)</x:f>
        <x:v>-32.446303743106036</x:v>
      </x:c>
      <x:c r="R239" s="24" t="n">
        <x:f>Subsurface_Inputs!$C$40-2*Subsurface_Inputs!$C$36*(K239/1000)-Subsurface_Inputs!$C$41*ABS(L239-AVERAGE($L$2:$L$242))</x:f>
        <x:v>-33.66485255731502</x:v>
      </x:c>
      <x:c r="S239" s="24" t="n">
        <x:f>K239-AVERAGE($K$2:$K$242)</x:f>
        <x:v>-469.9724993493728</x:v>
      </x:c>
      <x:c r="T239" s="24" t="n">
        <x:f>K239/F239</x:f>
        <x:v>15.061472371848902</x:v>
      </x:c>
      <x:c r="U239" s="25" t="str">
        <x:f>IF(H239&gt;=Subsurface_Inputs!$C$42,"Lens visible","Weak/no lens")</x:f>
        <x:v>Weak/no lens</x:v>
      </x:c>
      <x:c r="V239" s="25" t="str">
        <x:f>IF(R239&gt;=W239,"Likely visible","Weak")</x:f>
        <x:v>Likely visible</x:v>
      </x:c>
      <x:c r="W239" s="24" t="n">
        <x:f>Subsurface_Inputs!$C$43</x:f>
        <x:v>-45</x:v>
      </x:c>
      <x:c r="X239" s="24" t="n">
        <x:f>Q239-W239</x:f>
        <x:v>12.553696256893964</x:v>
      </x:c>
      <x:c r="Y239" s="24" t="n">
        <x:f>R239-W239</x:f>
        <x:v>11.335147442684978</x:v>
      </x:c>
      <x:c r="Z239" s="24" t="n">
        <x:f>MAX(Q239,R239)-W239</x:f>
        <x:v>12.553696256893964</x:v>
      </x:c>
      <x:c r="AA239" s="24" t="n">
        <x:v>0</x:v>
      </x:c>
    </x:row>
    <x:row r="240">
      <x:c r="A240" s="24" t="n">
        <x:f>Model_Data!A240</x:f>
        <x:v>59</x:v>
      </x:c>
      <x:c r="B240" s="24" t="n">
        <x:f>Model_Data!Y240</x:f>
        <x:v>193.74067782731254</x:v>
      </x:c>
      <x:c r="C240" s="24" t="n">
        <x:f>Model_Data!X240</x:f>
        <x:v>25.687015205000044</x:v>
      </x:c>
      <x:c r="D240" s="24" t="n">
        <x:f>Model_Data!B240</x:f>
        <x:v>403.8677777777778</x:v>
      </x:c>
      <x:c r="E240" s="24" t="n">
        <x:f>Inputs!$C$6</x:f>
        <x:v>25</x:v>
      </x:c>
      <x:c r="F240" s="24" t="n">
        <x:f>Subsurface_Inputs!$C$5+Subsurface_Inputs!$C$6*SIN(2*PI()*(A240+Subsurface_Inputs!$C$7)/Subsurface_Inputs!$C$8)+Subsurface_Inputs!$C$9*COS(2*PI()*A240/Subsurface_Inputs!$C$10)+Subsurface_Inputs!$C$11*(B240-AVERAGE($B$2:$B$242))</x:f>
        <x:v>965.0068291446296</x:v>
      </x:c>
      <x:c r="G240" s="24" t="n">
        <x:f>B240-F240</x:f>
        <x:v>-771.266151317317</x:v>
      </x:c>
      <x:c r="H240" s="24" t="n">
        <x:f>MIN(1,MAX(0,Subsurface_Inputs!$C$13*EXP(-0.5*((A240-Subsurface_Inputs!$C$14)/Subsurface_Inputs!$C$15)^2)+Subsurface_Inputs!$C$16*EXP(-0.5*((A240-Subsurface_Inputs!$C$17)/Subsurface_Inputs!$C$18)^2)))</x:f>
        <x:v>0.0009809515932208178</x:v>
      </x:c>
      <x:c r="I240" s="24" t="n">
        <x:f>Subsurface_Inputs!$C$19+Subsurface_Inputs!$C$20*SIN(2*PI()*(A240-Subsurface_Inputs!$C$21)/Subsurface_Inputs!$C$22)-Subsurface_Inputs!$C$23*H240</x:f>
        <x:v>4686.212278555445</x:v>
      </x:c>
      <x:c r="J240" s="24" t="n">
        <x:f>B240-I240</x:f>
        <x:v>-4492.471600728132</x:v>
      </x:c>
      <x:c r="K240" s="24" t="n">
        <x:f>Subsurface_Inputs!$C$25+Subsurface_Inputs!$C$26*SIN(2*PI()*(A240+Subsurface_Inputs!$C$27)/Subsurface_Inputs!$C$28)+Subsurface_Inputs!$C$29*COS(2*PI()*(A240-Subsurface_Inputs!$C$30)/Subsurface_Inputs!$C$31)-Subsurface_Inputs!$C$32*(B240-AVERAGE($B$2:$B$242))</x:f>
        <x:v>14609.562196914056</x:v>
      </x:c>
      <x:c r="L240" s="24" t="n">
        <x:f>B240-K240</x:f>
        <x:v>-14415.821519086743</x:v>
      </x:c>
      <x:c r="M240" s="24" t="n">
        <x:f>2*Subsurface_Inputs!$C$34*F240/Subsurface_Inputs!$C$35*1000000</x:f>
        <x:v>11.459342021722513</x:v>
      </x:c>
      <x:c r="N240" s="24" t="n">
        <x:f>2*Subsurface_Inputs!$C$34*I240/Subsurface_Inputs!$C$35*1000000</x:f>
        <x:v>55.648216846260304</x:v>
      </x:c>
      <x:c r="O240" s="24" t="n">
        <x:f>2*Subsurface_Inputs!$C$34*K240/Subsurface_Inputs!$C$35*1000000</x:f>
        <x:v>173.48682407818956</x:v>
      </x:c>
      <x:c r="P240" s="24" t="n">
        <x:f>Subsurface_Inputs!$C$37-2*Subsurface_Inputs!$C$36*(F240/1000)</x:f>
        <x:v>-11.737012292460333</x:v>
      </x:c>
      <x:c r="Q240" s="24" t="n">
        <x:f>Subsurface_Inputs!$C$38+Subsurface_Inputs!$C$39*H240-2*Subsurface_Inputs!$C$36*(I240/1000)</x:f>
        <x:v>-32.42635353706081</x:v>
      </x:c>
      <x:c r="R240" s="24" t="n">
        <x:f>Subsurface_Inputs!$C$40-2*Subsurface_Inputs!$C$36*(K240/1000)-Subsurface_Inputs!$C$41*ABS(L240-AVERAGE($L$2:$L$242))</x:f>
        <x:v>-33.6817563920697</x:v>
      </x:c>
      <x:c r="S240" s="24" t="n">
        <x:f>K240-AVERAGE($K$2:$K$242)</x:f>
        <x:v>-467.8224986600544</x:v>
      </x:c>
      <x:c r="T240" s="24" t="n">
        <x:f>K240/F240</x:f>
        <x:v>15.139335552540903</x:v>
      </x:c>
      <x:c r="U240" s="25" t="str">
        <x:f>IF(H240&gt;=Subsurface_Inputs!$C$42,"Lens visible","Weak/no lens")</x:f>
        <x:v>Weak/no lens</x:v>
      </x:c>
      <x:c r="V240" s="25" t="str">
        <x:f>IF(R240&gt;=W240,"Likely visible","Weak")</x:f>
        <x:v>Likely visible</x:v>
      </x:c>
      <x:c r="W240" s="24" t="n">
        <x:f>Subsurface_Inputs!$C$43</x:f>
        <x:v>-45</x:v>
      </x:c>
      <x:c r="X240" s="24" t="n">
        <x:f>Q240-W240</x:f>
        <x:v>12.573646462939188</x:v>
      </x:c>
      <x:c r="Y240" s="24" t="n">
        <x:f>R240-W240</x:f>
        <x:v>11.318243607930299</x:v>
      </x:c>
      <x:c r="Z240" s="24" t="n">
        <x:f>MAX(Q240,R240)-W240</x:f>
        <x:v>12.573646462939188</x:v>
      </x:c>
      <x:c r="AA240" s="24" t="n">
        <x:v>0</x:v>
      </x:c>
    </x:row>
    <x:row r="241">
      <x:c r="A241" s="24" t="n">
        <x:f>Model_Data!A241</x:f>
        <x:v>59.5</x:v>
      </x:c>
      <x:c r="B241" s="24" t="n">
        <x:f>Model_Data!Y241</x:f>
        <x:v>168.97901642333537</x:v>
      </x:c>
      <x:c r="C241" s="24" t="n">
        <x:f>Model_Data!X241</x:f>
        <x:v>45.681577079364786</x:v>
      </x:c>
      <x:c r="D241" s="24" t="n">
        <x:f>Model_Data!B241</x:f>
        <x:v>403.93361111111113</x:v>
      </x:c>
      <x:c r="E241" s="24" t="n">
        <x:f>Inputs!$C$6</x:f>
        <x:v>25</x:v>
      </x:c>
      <x:c r="F241" s="24" t="n">
        <x:f>Subsurface_Inputs!$C$5+Subsurface_Inputs!$C$6*SIN(2*PI()*(A241+Subsurface_Inputs!$C$7)/Subsurface_Inputs!$C$8)+Subsurface_Inputs!$C$9*COS(2*PI()*A241/Subsurface_Inputs!$C$10)+Subsurface_Inputs!$C$11*(B241-AVERAGE($B$2:$B$242))</x:f>
        <x:v>960.678709810334</x:v>
      </x:c>
      <x:c r="G241" s="24" t="n">
        <x:f>B241-F241</x:f>
        <x:v>-791.6996933869987</x:v>
      </x:c>
      <x:c r="H241" s="24" t="n">
        <x:f>MIN(1,MAX(0,Subsurface_Inputs!$C$13*EXP(-0.5*((A241-Subsurface_Inputs!$C$14)/Subsurface_Inputs!$C$15)^2)+Subsurface_Inputs!$C$16*EXP(-0.5*((A241-Subsurface_Inputs!$C$17)/Subsurface_Inputs!$C$18)^2)))</x:f>
        <x:v>0.0007805567827152858</x:v>
      </x:c>
      <x:c r="I241" s="24" t="n">
        <x:f>Subsurface_Inputs!$C$19+Subsurface_Inputs!$C$20*SIN(2*PI()*(A241-Subsurface_Inputs!$C$21)/Subsurface_Inputs!$C$22)-Subsurface_Inputs!$C$23*H241</x:f>
        <x:v>4674.489398773456</x:v>
      </x:c>
      <x:c r="J241" s="24" t="n">
        <x:f>B241-I241</x:f>
        <x:v>-4505.51038235012</x:v>
      </x:c>
      <x:c r="K241" s="24" t="n">
        <x:f>Subsurface_Inputs!$C$25+Subsurface_Inputs!$C$26*SIN(2*PI()*(A241+Subsurface_Inputs!$C$27)/Subsurface_Inputs!$C$28)+Subsurface_Inputs!$C$29*COS(2*PI()*(A241-Subsurface_Inputs!$C$30)/Subsurface_Inputs!$C$31)-Subsurface_Inputs!$C$32*(B241-AVERAGE($B$2:$B$242))</x:f>
        <x:v>14615.862307364549</x:v>
      </x:c>
      <x:c r="L241" s="24" t="n">
        <x:f>B241-K241</x:f>
        <x:v>-14446.883290941214</x:v>
      </x:c>
      <x:c r="M241" s="24" t="n">
        <x:f>2*Subsurface_Inputs!$C$34*F241/Subsurface_Inputs!$C$35*1000000</x:f>
        <x:v>11.407946116258831</x:v>
      </x:c>
      <x:c r="N241" s="24" t="n">
        <x:f>2*Subsurface_Inputs!$C$34*I241/Subsurface_Inputs!$C$35*1000000</x:f>
        <x:v>55.5090090346219</x:v>
      </x:c>
      <x:c r="O241" s="24" t="n">
        <x:f>2*Subsurface_Inputs!$C$34*K241/Subsurface_Inputs!$C$35*1000000</x:f>
        <x:v>173.56163714504717</x:v>
      </x:c>
      <x:c r="P241" s="24" t="n">
        <x:f>Subsurface_Inputs!$C$37-2*Subsurface_Inputs!$C$36*(F241/1000)</x:f>
        <x:v>-11.7292216776586</x:v>
      </x:c>
      <x:c r="Q241" s="24" t="n">
        <x:f>Subsurface_Inputs!$C$38+Subsurface_Inputs!$C$39*H241-2*Subsurface_Inputs!$C$36*(I241/1000)</x:f>
        <x:v>-32.407055906747786</x:v>
      </x:c>
      <x:c r="R241" s="24" t="n">
        <x:f>Subsurface_Inputs!$C$40-2*Subsurface_Inputs!$C$36*(K241/1000)-Subsurface_Inputs!$C$41*ABS(L241-AVERAGE($L$2:$L$242))</x:f>
        <x:v>-33.5688495034627</x:v>
      </x:c>
      <x:c r="S241" s="24" t="n">
        <x:f>K241-AVERAGE($K$2:$K$242)</x:f>
        <x:v>-461.52238820956154</x:v>
      </x:c>
      <x:c r="T241" s="24" t="n">
        <x:f>K241/F241</x:f>
        <x:v>15.214100362701018</x:v>
      </x:c>
      <x:c r="U241" s="25" t="str">
        <x:f>IF(H241&gt;=Subsurface_Inputs!$C$42,"Lens visible","Weak/no lens")</x:f>
        <x:v>Weak/no lens</x:v>
      </x:c>
      <x:c r="V241" s="25" t="str">
        <x:f>IF(R241&gt;=W241,"Likely visible","Weak")</x:f>
        <x:v>Likely visible</x:v>
      </x:c>
      <x:c r="W241" s="24" t="n">
        <x:f>Subsurface_Inputs!$C$43</x:f>
        <x:v>-45</x:v>
      </x:c>
      <x:c r="X241" s="24" t="n">
        <x:f>Q241-W241</x:f>
        <x:v>12.592944093252214</x:v>
      </x:c>
      <x:c r="Y241" s="24" t="n">
        <x:f>R241-W241</x:f>
        <x:v>11.431150496537299</x:v>
      </x:c>
      <x:c r="Z241" s="24" t="n">
        <x:f>MAX(Q241,R241)-W241</x:f>
        <x:v>12.592944093252214</x:v>
      </x:c>
      <x:c r="AA241" s="24" t="n">
        <x:v>0</x:v>
      </x:c>
    </x:row>
    <x:row r="242">
      <x:c r="A242" s="24" t="n">
        <x:f>Model_Data!A242</x:f>
        <x:v>60</x:v>
      </x:c>
      <x:c r="B242" s="24" t="n">
        <x:f>Model_Data!Y242</x:f>
        <x:v>179.34901119414707</x:v>
      </x:c>
      <x:c r="C242" s="24" t="n">
        <x:f>Model_Data!X242</x:f>
        <x:v>31.89413090916895</x:v>
      </x:c>
      <x:c r="D242" s="24" t="n">
        <x:f>Model_Data!B242</x:f>
        <x:v>404</x:v>
      </x:c>
      <x:c r="E242" s="24" t="n">
        <x:f>Inputs!$C$6</x:f>
        <x:v>25</x:v>
      </x:c>
      <x:c r="F242" s="24" t="n">
        <x:f>Subsurface_Inputs!$C$5+Subsurface_Inputs!$C$6*SIN(2*PI()*(A242+Subsurface_Inputs!$C$7)/Subsurface_Inputs!$C$8)+Subsurface_Inputs!$C$9*COS(2*PI()*A242/Subsurface_Inputs!$C$10)+Subsurface_Inputs!$C$11*(B242-AVERAGE($B$2:$B$242))</x:f>
        <x:v>959.4501357167396</x:v>
      </x:c>
      <x:c r="G242" s="24" t="n">
        <x:f>B242-F242</x:f>
        <x:v>-780.1011245225925</x:v>
      </x:c>
      <x:c r="H242" s="24" t="n">
        <x:f>MIN(1,MAX(0,Subsurface_Inputs!$C$13*EXP(-0.5*((A242-Subsurface_Inputs!$C$14)/Subsurface_Inputs!$C$15)^2)+Subsurface_Inputs!$C$16*EXP(-0.5*((A242-Subsurface_Inputs!$C$17)/Subsurface_Inputs!$C$18)^2)))</x:f>
        <x:v>0.0006186784148549876</x:v>
      </x:c>
      <x:c r="I242" s="24" t="n">
        <x:f>Subsurface_Inputs!$C$19+Subsurface_Inputs!$C$20*SIN(2*PI()*(A242-Subsurface_Inputs!$C$21)/Subsurface_Inputs!$C$22)-Subsurface_Inputs!$C$23*H242</x:f>
        <x:v>4663.381495591821</x:v>
      </x:c>
      <x:c r="J242" s="24" t="n">
        <x:f>B242-I242</x:f>
        <x:v>-4484.032484397673</x:v>
      </x:c>
      <x:c r="K242" s="24" t="n">
        <x:f>Subsurface_Inputs!$C$25+Subsurface_Inputs!$C$26*SIN(2*PI()*(A242+Subsurface_Inputs!$C$27)/Subsurface_Inputs!$C$28)+Subsurface_Inputs!$C$29*COS(2*PI()*(A242-Subsurface_Inputs!$C$30)/Subsurface_Inputs!$C$31)-Subsurface_Inputs!$C$32*(B242-AVERAGE($B$2:$B$242))</x:f>
        <x:v>14617.138727886955</x:v>
      </x:c>
      <x:c r="L242" s="24" t="n">
        <x:f>B242-K242</x:f>
        <x:v>-14437.789716692809</x:v>
      </x:c>
      <x:c r="M242" s="24" t="n">
        <x:f>2*Subsurface_Inputs!$C$34*F242/Subsurface_Inputs!$C$35*1000000</x:f>
        <x:v>11.393356944128305</x:v>
      </x:c>
      <x:c r="N242" s="24" t="n">
        <x:f>2*Subsurface_Inputs!$C$34*I242/Subsurface_Inputs!$C$35*1000000</x:f>
        <x:v>55.377103997415716</x:v>
      </x:c>
      <x:c r="O242" s="24" t="n">
        <x:f>2*Subsurface_Inputs!$C$34*K242/Subsurface_Inputs!$C$35*1000000</x:f>
        <x:v>173.57679448786385</x:v>
      </x:c>
      <x:c r="P242" s="24" t="n">
        <x:f>Subsurface_Inputs!$C$37-2*Subsurface_Inputs!$C$36*(F242/1000)</x:f>
        <x:v>-11.727010244290131</x:v>
      </x:c>
      <x:c r="Q242" s="24" t="n">
        <x:f>Subsurface_Inputs!$C$38+Subsurface_Inputs!$C$39*H242-2*Subsurface_Inputs!$C$36*(I242/1000)</x:f>
        <x:v>-32.388518586331585</x:v>
      </x:c>
      <x:c r="R242" s="24" t="n">
        <x:f>Subsurface_Inputs!$C$40-2*Subsurface_Inputs!$C$36*(K242/1000)-Subsurface_Inputs!$C$41*ABS(L242-AVERAGE($L$2:$L$242))</x:f>
        <x:v>-33.60752135739666</x:v>
      </x:c>
      <x:c r="S242" s="24" t="n">
        <x:f>K242-AVERAGE($K$2:$K$242)</x:f>
        <x:v>-460.2459676871549</x:v>
      </x:c>
      <x:c r="T242" s="24" t="n">
        <x:f>K242/F242</x:f>
        <x:v>15.234912356302383</x:v>
      </x:c>
      <x:c r="U242" s="25" t="str">
        <x:f>IF(H242&gt;=Subsurface_Inputs!$C$42,"Lens visible","Weak/no lens")</x:f>
        <x:v>Weak/no lens</x:v>
      </x:c>
      <x:c r="V242" s="25" t="str">
        <x:f>IF(R242&gt;=W242,"Likely visible","Weak")</x:f>
        <x:v>Likely visible</x:v>
      </x:c>
      <x:c r="W242" s="24" t="n">
        <x:f>Subsurface_Inputs!$C$43</x:f>
        <x:v>-45</x:v>
      </x:c>
      <x:c r="X242" s="24" t="n">
        <x:f>Q242-W242</x:f>
        <x:v>12.611481413668415</x:v>
      </x:c>
      <x:c r="Y242" s="24" t="n">
        <x:f>R242-W242</x:f>
        <x:v>11.392478642603344</x:v>
      </x:c>
      <x:c r="Z242" s="24" t="n">
        <x:f>MAX(Q242,R242)-W242</x:f>
        <x:v>12.611481413668415</x:v>
      </x:c>
      <x:c r="AA242" s="24" t="n">
        <x:v>0</x:v>
      </x:c>
    </x:row>
  </x:sheetData>
  <x:pageMargins left="0.7" right="0.7" top="0.75" bottom="0.75" header="0.3" footer="0.3"/>
</x:worksheet>
</file>

<file path=xl/worksheets/sheet9.xml><?xml version="1.0" encoding="utf-8"?>
<x:worksheet xmlns:x="http://schemas.openxmlformats.org/spreadsheetml/2006/main">
  <x:sheetFormatPr baseColWidth="8" defaultRowHeight="13.800000190734863"/>
  <x:cols>
    <x:col min="1" max="10" width="20" style="73" customWidth="1"/>
  </x:cols>
  <x:sheetData>
    <x:row r="1" s="73" customFormat="1" ht="27.600000381469727" customHeight="1">
      <x:c r="A1" s="23" t="inlineStr">
        <x:is>
          <x:t xml:space="preserve">x_km</x:t>
        </x:is>
      </x:c>
      <x:c r="B1" s="23" t="inlineStr">
        <x:is>
          <x:t xml:space="preserve">mean_boundary_depth_m</x:t>
        </x:is>
      </x:c>
      <x:c r="C1" s="23" t="inlineStr">
        <x:is>
          <x:t xml:space="preserve">boundary_low_m</x:t>
        </x:is>
      </x:c>
      <x:c r="D1" s="23" t="inlineStr">
        <x:is>
          <x:t xml:space="preserve">boundary_high_m</x:t>
        </x:is>
      </x:c>
      <x:c r="E1" s="23" t="inlineStr">
        <x:is>
          <x:t xml:space="preserve">thin_shell_depth_m</x:t>
        </x:is>
      </x:c>
      <x:c r="F1" s="23" t="inlineStr">
        <x:is>
          <x:t xml:space="preserve">medium_shell_depth_m</x:t>
        </x:is>
      </x:c>
      <x:c r="G1" s="23" t="inlineStr">
        <x:is>
          <x:t xml:space="preserve">thick_shell_depth_m</x:t>
        </x:is>
      </x:c>
      <x:c r="H1" s="23" t="inlineStr">
        <x:is>
          <x:t xml:space="preserve">ocean_model_margin_db</x:t>
        </x:is>
      </x:c>
      <x:c r="I1" s="23" t="inlineStr">
        <x:is>
          <x:t xml:space="preserve">no_ocean_control_margin_db</x:t>
        </x:is>
      </x:c>
      <x:c r="J1" s="23" t="inlineStr">
        <x:is>
          <x:t xml:space="preserve">zero_margin_reference</x:t>
        </x:is>
      </x:c>
    </x:row>
    <x:row r="2">
      <x:c r="A2" s="25" t="n">
        <x:f>Subsurface_Live_Data!A2</x:f>
        <x:v>-60</x:v>
      </x:c>
      <x:c r="B2" s="25" t="n">
        <x:f>Subsurface_Live_Data!K2</x:f>
        <x:v>14538.343476908214</x:v>
      </x:c>
      <x:c r="C2" s="25" t="n">
        <x:f>MAX(0,B2-Subsurface_Inputs!$C$44)</x:f>
        <x:v>13038.343476908214</x:v>
      </x:c>
      <x:c r="D2" s="25" t="n">
        <x:f>B2+Subsurface_Inputs!$C$44</x:f>
        <x:v>16038.343476908214</x:v>
      </x:c>
      <x:c r="E2" s="25" t="n">
        <x:f>B2*Subsurface_Inputs!$C$45</x:f>
        <x:v>7996.088912299519</x:v>
      </x:c>
      <x:c r="F2" s="25" t="n">
        <x:f>B2</x:f>
        <x:v>14538.343476908214</x:v>
      </x:c>
      <x:c r="G2" s="25" t="n">
        <x:f>B2*Subsurface_Inputs!$C$46</x:f>
        <x:v>25442.101084589376</x:v>
      </x:c>
      <x:c r="H2" s="25" t="n">
        <x:f>Subsurface_Live_Data!Y2</x:f>
        <x:v>11.458819592406535</x:v>
      </x:c>
      <x:c r="I2" s="25" t="n">
        <x:f>Subsurface_Inputs!$C$47-Subsurface_Inputs!$C$43+2*SIN(2*PI()*A2/42)</x:f>
        <x:v>-15.867767478235116</x:v>
      </x:c>
      <x:c r="J2" s="25" t="n">
        <x:v>0</x:v>
      </x:c>
    </x:row>
    <x:row r="3">
      <x:c r="A3" s="25" t="n">
        <x:f>Subsurface_Live_Data!A3</x:f>
        <x:v>-59.5</x:v>
      </x:c>
      <x:c r="B3" s="25" t="n">
        <x:f>Subsurface_Live_Data!K3</x:f>
        <x:v>14548.766391190573</x:v>
      </x:c>
      <x:c r="C3" s="25" t="n">
        <x:f>MAX(0,B3-Subsurface_Inputs!$C$44)</x:f>
        <x:v>13048.766391190573</x:v>
      </x:c>
      <x:c r="D3" s="25" t="n">
        <x:f>B3+Subsurface_Inputs!$C$44</x:f>
        <x:v>16048.766391190573</x:v>
      </x:c>
      <x:c r="E3" s="25" t="n">
        <x:f>B3*Subsurface_Inputs!$C$45</x:f>
        <x:v>8001.821515154816</x:v>
      </x:c>
      <x:c r="F3" s="25" t="n">
        <x:f>B3</x:f>
        <x:v>14548.766391190573</x:v>
      </x:c>
      <x:c r="G3" s="25" t="n">
        <x:f>B3*Subsurface_Inputs!$C$46</x:f>
        <x:v>25460.341184583503</x:v>
      </x:c>
      <x:c r="H3" s="25" t="n">
        <x:f>Subsurface_Live_Data!Y3</x:f>
        <x:v>11.516671286898948</x:v>
      </x:c>
      <x:c r="I3" s="25" t="n">
        <x:f>Subsurface_Inputs!$C$47-Subsurface_Inputs!$C$43+2*SIN(2*PI()*A3/42)</x:f>
        <x:v>-16.000000000000004</x:v>
      </x:c>
      <x:c r="J3" s="25" t="n">
        <x:v>0</x:v>
      </x:c>
    </x:row>
    <x:row r="4">
      <x:c r="A4" s="25" t="n">
        <x:f>Subsurface_Live_Data!A4</x:f>
        <x:v>-59</x:v>
      </x:c>
      <x:c r="B4" s="25" t="n">
        <x:f>Subsurface_Live_Data!K4</x:f>
        <x:v>14557.33823698979</x:v>
      </x:c>
      <x:c r="C4" s="25" t="n">
        <x:f>MAX(0,B4-Subsurface_Inputs!$C$44)</x:f>
        <x:v>13057.33823698979</x:v>
      </x:c>
      <x:c r="D4" s="25" t="n">
        <x:f>B4+Subsurface_Inputs!$C$44</x:f>
        <x:v>16057.33823698979</x:v>
      </x:c>
      <x:c r="E4" s="25" t="n">
        <x:f>B4*Subsurface_Inputs!$C$45</x:f>
        <x:v>8006.536030344385</x:v>
      </x:c>
      <x:c r="F4" s="25" t="n">
        <x:f>B4</x:f>
        <x:v>14557.33823698979</x:v>
      </x:c>
      <x:c r="G4" s="25" t="n">
        <x:f>B4*Subsurface_Inputs!$C$46</x:f>
        <x:v>25475.341914732133</x:v>
      </x:c>
      <x:c r="H4" s="25" t="n">
        <x:f>Subsurface_Live_Data!Y4</x:f>
        <x:v>11.526344830412192</x:v>
      </x:c>
      <x:c r="I4" s="25" t="n">
        <x:f>Subsurface_Inputs!$C$47-Subsurface_Inputs!$C$43+2*SIN(2*PI()*A4/42)</x:f>
        <x:v>-16.126640116127245</x:v>
      </x:c>
      <x:c r="J4" s="25" t="n">
        <x:v>0</x:v>
      </x:c>
    </x:row>
    <x:row r="5">
      <x:c r="A5" s="25" t="n">
        <x:f>Subsurface_Live_Data!A5</x:f>
        <x:v>-58.5</x:v>
      </x:c>
      <x:c r="B5" s="25" t="n">
        <x:f>Subsurface_Live_Data!K5</x:f>
        <x:v>14562.907070815563</x:v>
      </x:c>
      <x:c r="C5" s="25" t="n">
        <x:f>MAX(0,B5-Subsurface_Inputs!$C$44)</x:f>
        <x:v>13062.907070815563</x:v>
      </x:c>
      <x:c r="D5" s="25" t="n">
        <x:f>B5+Subsurface_Inputs!$C$44</x:f>
        <x:v>16062.907070815563</x:v>
      </x:c>
      <x:c r="E5" s="25" t="n">
        <x:f>B5*Subsurface_Inputs!$C$45</x:f>
        <x:v>8009.598888948561</x:v>
      </x:c>
      <x:c r="F5" s="25" t="n">
        <x:f>B5</x:f>
        <x:v>14562.907070815563</x:v>
      </x:c>
      <x:c r="G5" s="25" t="n">
        <x:f>B5*Subsurface_Inputs!$C$46</x:f>
        <x:v>25485.087373927236</x:v>
      </x:c>
      <x:c r="H5" s="25" t="n">
        <x:f>Subsurface_Live_Data!Y5</x:f>
        <x:v>11.453021717594417</x:v>
      </x:c>
      <x:c r="I5" s="25" t="n">
        <x:f>Subsurface_Inputs!$C$47-Subsurface_Inputs!$C$43+2*SIN(2*PI()*A5/42)</x:f>
        <x:v>-16.246979603717467</x:v>
      </x:c>
      <x:c r="J5" s="25" t="n">
        <x:v>0</x:v>
      </x:c>
    </x:row>
    <x:row r="6">
      <x:c r="A6" s="25" t="n">
        <x:f>Subsurface_Live_Data!A6</x:f>
        <x:v>-58</x:v>
      </x:c>
      <x:c r="B6" s="25" t="n">
        <x:f>Subsurface_Live_Data!K6</x:f>
        <x:v>14573.125618242737</x:v>
      </x:c>
      <x:c r="C6" s="25" t="n">
        <x:f>MAX(0,B6-Subsurface_Inputs!$C$44)</x:f>
        <x:v>13073.125618242737</x:v>
      </x:c>
      <x:c r="D6" s="25" t="n">
        <x:f>B6+Subsurface_Inputs!$C$44</x:f>
        <x:v>16073.125618242737</x:v>
      </x:c>
      <x:c r="E6" s="25" t="n">
        <x:f>B6*Subsurface_Inputs!$C$45</x:f>
        <x:v>8015.219090033506</x:v>
      </x:c>
      <x:c r="F6" s="25" t="n">
        <x:f>B6</x:f>
        <x:v>14573.125618242737</x:v>
      </x:c>
      <x:c r="G6" s="25" t="n">
        <x:f>B6*Subsurface_Inputs!$C$46</x:f>
        <x:v>25502.96983192479</x:v>
      </x:c>
      <x:c r="H6" s="25" t="n">
        <x:f>Subsurface_Live_Data!Y6</x:f>
        <x:v>11.532767729891418</x:v>
      </x:c>
      <x:c r="I6" s="25" t="n">
        <x:f>Subsurface_Inputs!$C$47-Subsurface_Inputs!$C$43+2*SIN(2*PI()*A6/42)</x:f>
        <x:v>-16.360345475541838</x:v>
      </x:c>
      <x:c r="J6" s="25" t="n">
        <x:v>0</x:v>
      </x:c>
    </x:row>
    <x:row r="7">
      <x:c r="A7" s="25" t="n">
        <x:f>Subsurface_Live_Data!A7</x:f>
        <x:v>-57.5</x:v>
      </x:c>
      <x:c r="B7" s="25" t="n">
        <x:f>Subsurface_Live_Data!K7</x:f>
        <x:v>14578.335140524403</x:v>
      </x:c>
      <x:c r="C7" s="25" t="n">
        <x:f>MAX(0,B7-Subsurface_Inputs!$C$44)</x:f>
        <x:v>13078.335140524403</x:v>
      </x:c>
      <x:c r="D7" s="25" t="n">
        <x:f>B7+Subsurface_Inputs!$C$44</x:f>
        <x:v>16078.335140524403</x:v>
      </x:c>
      <x:c r="E7" s="25" t="n">
        <x:f>B7*Subsurface_Inputs!$C$45</x:f>
        <x:v>8018.084327288422</x:v>
      </x:c>
      <x:c r="F7" s="25" t="n">
        <x:f>B7</x:f>
        <x:v>14578.335140524403</x:v>
      </x:c>
      <x:c r="G7" s="25" t="n">
        <x:f>B7*Subsurface_Inputs!$C$46</x:f>
        <x:v>25512.086495917705</x:v>
      </x:c>
      <x:c r="H7" s="25" t="n">
        <x:f>Subsurface_Live_Data!Y7</x:f>
        <x:v>11.468900738164486</x:v>
      </x:c>
      <x:c r="I7" s="25" t="n">
        <x:f>Subsurface_Inputs!$C$47-Subsurface_Inputs!$C$43+2*SIN(2*PI()*A7/42)</x:f>
        <x:v>-16.46610374365965</x:v>
      </x:c>
      <x:c r="J7" s="25" t="n">
        <x:v>0</x:v>
      </x:c>
    </x:row>
    <x:row r="8">
      <x:c r="A8" s="25" t="n">
        <x:f>Subsurface_Live_Data!A8</x:f>
        <x:v>-57</x:v>
      </x:c>
      <x:c r="B8" s="25" t="n">
        <x:f>Subsurface_Live_Data!K8</x:f>
        <x:v>14585.997030216358</x:v>
      </x:c>
      <x:c r="C8" s="25" t="n">
        <x:f>MAX(0,B8-Subsurface_Inputs!$C$44)</x:f>
        <x:v>13085.997030216358</x:v>
      </x:c>
      <x:c r="D8" s="25" t="n">
        <x:f>B8+Subsurface_Inputs!$C$44</x:f>
        <x:v>16085.997030216358</x:v>
      </x:c>
      <x:c r="E8" s="25" t="n">
        <x:f>B8*Subsurface_Inputs!$C$45</x:f>
        <x:v>8022.2983666189975</x:v>
      </x:c>
      <x:c r="F8" s="25" t="n">
        <x:f>B8</x:f>
        <x:v>14585.997030216358</x:v>
      </x:c>
      <x:c r="G8" s="25" t="n">
        <x:f>B8*Subsurface_Inputs!$C$46</x:f>
        <x:v>25525.494802878628</x:v>
      </x:c>
      <x:c r="H8" s="25" t="n">
        <x:f>Subsurface_Live_Data!Y8</x:f>
        <x:v>11.491498763485254</x:v>
      </x:c>
      <x:c r="I8" s="25" t="n">
        <x:f>Subsurface_Inputs!$C$47-Subsurface_Inputs!$C$43+2*SIN(2*PI()*A8/42)</x:f>
        <x:v>-16.56366296493606</x:v>
      </x:c>
      <x:c r="J8" s="25" t="n">
        <x:v>0</x:v>
      </x:c>
    </x:row>
    <x:row r="9">
      <x:c r="A9" s="25" t="n">
        <x:f>Subsurface_Live_Data!A9</x:f>
        <x:v>-56.5</x:v>
      </x:c>
      <x:c r="B9" s="25" t="n">
        <x:f>Subsurface_Live_Data!K9</x:f>
        <x:v>14592.499316370253</x:v>
      </x:c>
      <x:c r="C9" s="25" t="n">
        <x:f>MAX(0,B9-Subsurface_Inputs!$C$44)</x:f>
        <x:v>13092.499316370253</x:v>
      </x:c>
      <x:c r="D9" s="25" t="n">
        <x:f>B9+Subsurface_Inputs!$C$44</x:f>
        <x:v>16092.499316370253</x:v>
      </x:c>
      <x:c r="E9" s="25" t="n">
        <x:f>B9*Subsurface_Inputs!$C$45</x:f>
        <x:v>8025.87462400364</x:v>
      </x:c>
      <x:c r="F9" s="25" t="n">
        <x:f>B9</x:f>
        <x:v>14592.499316370253</x:v>
      </x:c>
      <x:c r="G9" s="25" t="n">
        <x:f>B9*Subsurface_Inputs!$C$46</x:f>
        <x:v>25536.87380364794</x:v>
      </x:c>
      <x:c r="H9" s="25" t="n">
        <x:f>Subsurface_Live_Data!Y9</x:f>
        <x:v>11.489844684066966</x:v>
      </x:c>
      <x:c r="I9" s="25" t="n">
        <x:f>Subsurface_Inputs!$C$47-Subsurface_Inputs!$C$43+2*SIN(2*PI()*A9/42)</x:f>
        <x:v>-16.65247754863199</x:v>
      </x:c>
      <x:c r="J9" s="25" t="n">
        <x:v>0</x:v>
      </x:c>
    </x:row>
    <x:row r="10">
      <x:c r="A10" s="25" t="n">
        <x:f>Subsurface_Live_Data!A10</x:f>
        <x:v>-56</x:v>
      </x:c>
      <x:c r="B10" s="25" t="n">
        <x:f>Subsurface_Live_Data!K10</x:f>
        <x:v>14595.554644264555</x:v>
      </x:c>
      <x:c r="C10" s="25" t="n">
        <x:f>MAX(0,B10-Subsurface_Inputs!$C$44)</x:f>
        <x:v>13095.554644264555</x:v>
      </x:c>
      <x:c r="D10" s="25" t="n">
        <x:f>B10+Subsurface_Inputs!$C$44</x:f>
        <x:v>16095.554644264555</x:v>
      </x:c>
      <x:c r="E10" s="25" t="n">
        <x:f>B10*Subsurface_Inputs!$C$45</x:f>
        <x:v>8027.5550543455065</x:v>
      </x:c>
      <x:c r="F10" s="25" t="n">
        <x:f>B10</x:f>
        <x:v>14595.554644264555</x:v>
      </x:c>
      <x:c r="G10" s="25" t="n">
        <x:f>B10*Subsurface_Inputs!$C$46</x:f>
        <x:v>25542.22062746297</x:v>
      </x:c>
      <x:c r="H10" s="25" t="n">
        <x:f>Subsurface_Live_Data!Y10</x:f>
        <x:v>11.393928747671595</x:v>
      </x:c>
      <x:c r="I10" s="25" t="n">
        <x:f>Subsurface_Inputs!$C$47-Subsurface_Inputs!$C$43+2*SIN(2*PI()*A10/42)</x:f>
        <x:v>-16.73205080756888</x:v>
      </x:c>
      <x:c r="J10" s="25" t="n">
        <x:v>0</x:v>
      </x:c>
    </x:row>
    <x:row r="11">
      <x:c r="A11" s="25" t="n">
        <x:f>Subsurface_Live_Data!A11</x:f>
        <x:v>-55.5</x:v>
      </x:c>
      <x:c r="B11" s="25" t="n">
        <x:f>Subsurface_Live_Data!K11</x:f>
        <x:v>14602.692839300287</x:v>
      </x:c>
      <x:c r="C11" s="25" t="n">
        <x:f>MAX(0,B11-Subsurface_Inputs!$C$44)</x:f>
        <x:v>13102.692839300287</x:v>
      </x:c>
      <x:c r="D11" s="25" t="n">
        <x:f>B11+Subsurface_Inputs!$C$44</x:f>
        <x:v>16102.692839300287</x:v>
      </x:c>
      <x:c r="E11" s="25" t="n">
        <x:f>B11*Subsurface_Inputs!$C$45</x:f>
        <x:v>8031.481061615159</x:v>
      </x:c>
      <x:c r="F11" s="25" t="n">
        <x:f>B11</x:f>
        <x:v>14602.692839300287</x:v>
      </x:c>
      <x:c r="G11" s="25" t="n">
        <x:f>B11*Subsurface_Inputs!$C$46</x:f>
        <x:v>25554.712468775502</x:v>
      </x:c>
      <x:c r="H11" s="25" t="n">
        <x:f>Subsurface_Live_Data!Y11</x:f>
        <x:v>11.435776008351418</x:v>
      </x:c>
      <x:c r="I11" s="25" t="n">
        <x:f>Subsurface_Inputs!$C$47-Subsurface_Inputs!$C$43+2*SIN(2*PI()*A11/42)</x:f>
        <x:v>-16.801937735804838</x:v>
      </x:c>
      <x:c r="J11" s="25" t="n">
        <x:v>0</x:v>
      </x:c>
    </x:row>
    <x:row r="12">
      <x:c r="A12" s="25" t="n">
        <x:f>Subsurface_Live_Data!A12</x:f>
        <x:v>-55</x:v>
      </x:c>
      <x:c r="B12" s="25" t="n">
        <x:f>Subsurface_Live_Data!K12</x:f>
        <x:v>14606.307966267492</x:v>
      </x:c>
      <x:c r="C12" s="25" t="n">
        <x:f>MAX(0,B12-Subsurface_Inputs!$C$44)</x:f>
        <x:v>13106.307966267492</x:v>
      </x:c>
      <x:c r="D12" s="25" t="n">
        <x:f>B12+Subsurface_Inputs!$C$44</x:f>
        <x:v>16106.307966267492</x:v>
      </x:c>
      <x:c r="E12" s="25" t="n">
        <x:f>B12*Subsurface_Inputs!$C$45</x:f>
        <x:v>8033.469381447121</x:v>
      </x:c>
      <x:c r="F12" s="25" t="n">
        <x:f>B12</x:f>
        <x:v>14606.307966267492</x:v>
      </x:c>
      <x:c r="G12" s="25" t="n">
        <x:f>B12*Subsurface_Inputs!$C$46</x:f>
        <x:v>25561.038940968112</x:v>
      </x:c>
      <x:c r="H12" s="25" t="n">
        <x:f>Subsurface_Live_Data!Y12</x:f>
        <x:v>11.381607957439734</x:v>
      </x:c>
      <x:c r="I12" s="25" t="n">
        <x:f>Subsurface_Inputs!$C$47-Subsurface_Inputs!$C$43+2*SIN(2*PI()*A12/42)</x:f>
        <x:v>-16.86174749728841</x:v>
      </x:c>
      <x:c r="J12" s="25" t="n">
        <x:v>0</x:v>
      </x:c>
    </x:row>
    <x:row r="13">
      <x:c r="A13" s="25" t="n">
        <x:f>Subsurface_Live_Data!A13</x:f>
        <x:v>-54.5</x:v>
      </x:c>
      <x:c r="B13" s="25" t="n">
        <x:f>Subsurface_Live_Data!K13</x:f>
        <x:v>14609.094149774926</x:v>
      </x:c>
      <x:c r="C13" s="25" t="n">
        <x:f>MAX(0,B13-Subsurface_Inputs!$C$44)</x:f>
        <x:v>13109.094149774926</x:v>
      </x:c>
      <x:c r="D13" s="25" t="n">
        <x:f>B13+Subsurface_Inputs!$C$44</x:f>
        <x:v>16109.094149774926</x:v>
      </x:c>
      <x:c r="E13" s="25" t="n">
        <x:f>B13*Subsurface_Inputs!$C$45</x:f>
        <x:v>8035.00178237621</x:v>
      </x:c>
      <x:c r="F13" s="25" t="n">
        <x:f>B13</x:f>
        <x:v>14609.094149774926</x:v>
      </x:c>
      <x:c r="G13" s="25" t="n">
        <x:f>B13*Subsurface_Inputs!$C$46</x:f>
        <x:v>25565.91476210612</x:v>
      </x:c>
      <x:c r="H13" s="25" t="n">
        <x:f>Subsurface_Live_Data!Y13</x:f>
        <x:v>11.31453847230079</x:v>
      </x:c>
      <x:c r="I13" s="25" t="n">
        <x:f>Subsurface_Inputs!$C$47-Subsurface_Inputs!$C$43+2*SIN(2*PI()*A13/42)</x:f>
        <x:v>-16.91114561157228</x:v>
      </x:c>
      <x:c r="J13" s="25" t="n">
        <x:v>0</x:v>
      </x:c>
    </x:row>
    <x:row r="14">
      <x:c r="A14" s="25" t="n">
        <x:f>Subsurface_Live_Data!A14</x:f>
        <x:v>-54</x:v>
      </x:c>
      <x:c r="B14" s="25" t="n">
        <x:f>Subsurface_Live_Data!K14</x:f>
        <x:v>14613.717465260237</x:v>
      </x:c>
      <x:c r="C14" s="25" t="n">
        <x:f>MAX(0,B14-Subsurface_Inputs!$C$44)</x:f>
        <x:v>13113.717465260237</x:v>
      </x:c>
      <x:c r="D14" s="25" t="n">
        <x:f>B14+Subsurface_Inputs!$C$44</x:f>
        <x:v>16113.717465260237</x:v>
      </x:c>
      <x:c r="E14" s="25" t="n">
        <x:f>B14*Subsurface_Inputs!$C$45</x:f>
        <x:v>8037.544605893131</x:v>
      </x:c>
      <x:c r="F14" s="25" t="n">
        <x:f>B14</x:f>
        <x:v>14613.717465260237</x:v>
      </x:c>
      <x:c r="G14" s="25" t="n">
        <x:f>B14*Subsurface_Inputs!$C$46</x:f>
        <x:v>25574.005564205414</x:v>
      </x:c>
      <x:c r="H14" s="25" t="n">
        <x:f>Subsurface_Live_Data!Y14</x:f>
        <x:v>11.316762719778644</x:v>
      </x:c>
      <x:c r="I14" s="25" t="n">
        <x:f>Subsurface_Inputs!$C$47-Subsurface_Inputs!$C$43+2*SIN(2*PI()*A14/42)</x:f>
        <x:v>-16.94985582436365</x:v>
      </x:c>
      <x:c r="J14" s="25" t="n">
        <x:v>0</x:v>
      </x:c>
    </x:row>
    <x:row r="15">
      <x:c r="A15" s="25" t="n">
        <x:f>Subsurface_Live_Data!A15</x:f>
        <x:v>-53.5</x:v>
      </x:c>
      <x:c r="B15" s="25" t="n">
        <x:f>Subsurface_Live_Data!K15</x:f>
        <x:v>14615.557901101563</x:v>
      </x:c>
      <x:c r="C15" s="25" t="n">
        <x:f>MAX(0,B15-Subsurface_Inputs!$C$44)</x:f>
        <x:v>13115.557901101563</x:v>
      </x:c>
      <x:c r="D15" s="25" t="n">
        <x:f>B15+Subsurface_Inputs!$C$44</x:f>
        <x:v>16115.557901101563</x:v>
      </x:c>
      <x:c r="E15" s="25" t="n">
        <x:f>B15*Subsurface_Inputs!$C$45</x:f>
        <x:v>8038.556845605861</x:v>
      </x:c>
      <x:c r="F15" s="25" t="n">
        <x:f>B15</x:f>
        <x:v>14615.557901101563</x:v>
      </x:c>
      <x:c r="G15" s="25" t="n">
        <x:f>B15*Subsurface_Inputs!$C$46</x:f>
        <x:v>25577.226326927735</x:v>
      </x:c>
      <x:c r="H15" s="25" t="n">
        <x:f>Subsurface_Live_Data!Y15</x:f>
        <x:v>11.246216688552309</x:v>
      </x:c>
      <x:c r="I15" s="25" t="n">
        <x:f>Subsurface_Inputs!$C$47-Subsurface_Inputs!$C$43+2*SIN(2*PI()*A15/42)</x:f>
        <x:v>-16.97766165245026</x:v>
      </x:c>
      <x:c r="J15" s="25" t="n">
        <x:v>0</x:v>
      </x:c>
    </x:row>
    <x:row r="16">
      <x:c r="A16" s="25" t="n">
        <x:f>Subsurface_Live_Data!A16</x:f>
        <x:v>-53</x:v>
      </x:c>
      <x:c r="B16" s="25" t="n">
        <x:f>Subsurface_Live_Data!K16</x:f>
        <x:v>14618.824704591409</x:v>
      </x:c>
      <x:c r="C16" s="25" t="n">
        <x:f>MAX(0,B16-Subsurface_Inputs!$C$44)</x:f>
        <x:v>13118.824704591409</x:v>
      </x:c>
      <x:c r="D16" s="25" t="n">
        <x:f>B16+Subsurface_Inputs!$C$44</x:f>
        <x:v>16118.824704591409</x:v>
      </x:c>
      <x:c r="E16" s="25" t="n">
        <x:f>B16*Subsurface_Inputs!$C$45</x:f>
        <x:v>8040.3535875252755</x:v>
      </x:c>
      <x:c r="F16" s="25" t="n">
        <x:f>B16</x:f>
        <x:v>14618.824704591409</x:v>
      </x:c>
      <x:c r="G16" s="25" t="n">
        <x:f>B16*Subsurface_Inputs!$C$46</x:f>
        <x:v>25582.943233034966</x:v>
      </x:c>
      <x:c r="H16" s="25" t="n">
        <x:f>Subsurface_Live_Data!Y16</x:f>
        <x:v>11.23246928941603</x:v>
      </x:c>
      <x:c r="I16" s="25" t="n">
        <x:f>Subsurface_Inputs!$C$47-Subsurface_Inputs!$C$43+2*SIN(2*PI()*A16/42)</x:f>
        <x:v>-16.99440759436236</x:v>
      </x:c>
      <x:c r="J16" s="25" t="n">
        <x:v>0</x:v>
      </x:c>
    </x:row>
    <x:row r="17">
      <x:c r="A17" s="25" t="n">
        <x:f>Subsurface_Live_Data!A17</x:f>
        <x:v>-52.5</x:v>
      </x:c>
      <x:c r="B17" s="25" t="n">
        <x:f>Subsurface_Live_Data!K17</x:f>
        <x:v>14621.223871899127</x:v>
      </x:c>
      <x:c r="C17" s="25" t="n">
        <x:f>MAX(0,B17-Subsurface_Inputs!$C$44)</x:f>
        <x:v>13121.223871899127</x:v>
      </x:c>
      <x:c r="D17" s="25" t="n">
        <x:f>B17+Subsurface_Inputs!$C$44</x:f>
        <x:v>16121.223871899127</x:v>
      </x:c>
      <x:c r="E17" s="25" t="n">
        <x:f>B17*Subsurface_Inputs!$C$45</x:f>
        <x:v>8041.673129544521</x:v>
      </x:c>
      <x:c r="F17" s="25" t="n">
        <x:f>B17</x:f>
        <x:v>14621.223871899127</x:v>
      </x:c>
      <x:c r="G17" s="25" t="n">
        <x:f>B17*Subsurface_Inputs!$C$46</x:f>
        <x:v>25587.14177582347</x:v>
      </x:c>
      <x:c r="H17" s="25" t="n">
        <x:f>Subsurface_Live_Data!Y17</x:f>
        <x:v>11.20491915673798</x:v>
      </x:c>
      <x:c r="I17" s="25" t="n">
        <x:f>Subsurface_Inputs!$C$47-Subsurface_Inputs!$C$43+2*SIN(2*PI()*A17/42)</x:f>
        <x:v>-17</x:v>
      </x:c>
      <x:c r="J17" s="25" t="n">
        <x:v>0</x:v>
      </x:c>
    </x:row>
    <x:row r="18">
      <x:c r="A18" s="25" t="n">
        <x:f>Subsurface_Live_Data!A18</x:f>
        <x:v>-52</x:v>
      </x:c>
      <x:c r="B18" s="25" t="n">
        <x:f>Subsurface_Live_Data!K18</x:f>
        <x:v>14622.536888707544</x:v>
      </x:c>
      <x:c r="C18" s="25" t="n">
        <x:f>MAX(0,B18-Subsurface_Inputs!$C$44)</x:f>
        <x:v>13122.536888707544</x:v>
      </x:c>
      <x:c r="D18" s="25" t="n">
        <x:f>B18+Subsurface_Inputs!$C$44</x:f>
        <x:v>16122.536888707544</x:v>
      </x:c>
      <x:c r="E18" s="25" t="n">
        <x:f>B18*Subsurface_Inputs!$C$45</x:f>
        <x:v>8042.39528878915</x:v>
      </x:c>
      <x:c r="F18" s="25" t="n">
        <x:f>B18</x:f>
        <x:v>14622.536888707544</x:v>
      </x:c>
      <x:c r="G18" s="25" t="n">
        <x:f>B18*Subsurface_Inputs!$C$46</x:f>
        <x:v>25589.4395552382</x:v>
      </x:c>
      <x:c r="H18" s="25" t="n">
        <x:f>Subsurface_Live_Data!Y18</x:f>
        <x:v>11.156774948067664</x:v>
      </x:c>
      <x:c r="I18" s="25" t="n">
        <x:f>Subsurface_Inputs!$C$47-Subsurface_Inputs!$C$43+2*SIN(2*PI()*A18/42)</x:f>
        <x:v>-16.99440759436236</x:v>
      </x:c>
      <x:c r="J18" s="25" t="n">
        <x:v>0</x:v>
      </x:c>
    </x:row>
    <x:row r="19">
      <x:c r="A19" s="25" t="n">
        <x:f>Subsurface_Live_Data!A19</x:f>
        <x:v>-51.5</x:v>
      </x:c>
      <x:c r="B19" s="25" t="n">
        <x:f>Subsurface_Live_Data!K19</x:f>
        <x:v>14622.37004851927</x:v>
      </x:c>
      <x:c r="C19" s="25" t="n">
        <x:f>MAX(0,B19-Subsurface_Inputs!$C$44)</x:f>
        <x:v>13122.37004851927</x:v>
      </x:c>
      <x:c r="D19" s="25" t="n">
        <x:f>B19+Subsurface_Inputs!$C$44</x:f>
        <x:v>16122.37004851927</x:v>
      </x:c>
      <x:c r="E19" s="25" t="n">
        <x:f>B19*Subsurface_Inputs!$C$45</x:f>
        <x:v>8042.303526685599</x:v>
      </x:c>
      <x:c r="F19" s="25" t="n">
        <x:f>B19</x:f>
        <x:v>14622.37004851927</x:v>
      </x:c>
      <x:c r="G19" s="25" t="n">
        <x:f>B19*Subsurface_Inputs!$C$46</x:f>
        <x:v>25589.147584908722</x:v>
      </x:c>
      <x:c r="H19" s="25" t="n">
        <x:f>Subsurface_Live_Data!Y19</x:f>
        <x:v>11.075799003422546</x:v>
      </x:c>
      <x:c r="I19" s="25" t="n">
        <x:f>Subsurface_Inputs!$C$47-Subsurface_Inputs!$C$43+2*SIN(2*PI()*A19/42)</x:f>
        <x:v>-16.97766165245026</x:v>
      </x:c>
      <x:c r="J19" s="25" t="n">
        <x:v>0</x:v>
      </x:c>
    </x:row>
    <x:row r="20">
      <x:c r="A20" s="25" t="n">
        <x:f>Subsurface_Live_Data!A20</x:f>
        <x:v>-51</x:v>
      </x:c>
      <x:c r="B20" s="25" t="n">
        <x:f>Subsurface_Live_Data!K20</x:f>
        <x:v>14625.906076815862</x:v>
      </x:c>
      <x:c r="C20" s="25" t="n">
        <x:f>MAX(0,B20-Subsurface_Inputs!$C$44)</x:f>
        <x:v>13125.906076815862</x:v>
      </x:c>
      <x:c r="D20" s="25" t="n">
        <x:f>B20+Subsurface_Inputs!$C$44</x:f>
        <x:v>16125.906076815862</x:v>
      </x:c>
      <x:c r="E20" s="25" t="n">
        <x:f>B20*Subsurface_Inputs!$C$45</x:f>
        <x:v>8044.248342248725</x:v>
      </x:c>
      <x:c r="F20" s="25" t="n">
        <x:f>B20</x:f>
        <x:v>14625.906076815862</x:v>
      </x:c>
      <x:c r="G20" s="25" t="n">
        <x:f>B20*Subsurface_Inputs!$C$46</x:f>
        <x:v>25595.335634427756</x:v>
      </x:c>
      <x:c r="H20" s="25" t="n">
        <x:f>Subsurface_Live_Data!Y20</x:f>
        <x:v>11.121293541922824</x:v>
      </x:c>
      <x:c r="I20" s="25" t="n">
        <x:f>Subsurface_Inputs!$C$47-Subsurface_Inputs!$C$43+2*SIN(2*PI()*A20/42)</x:f>
        <x:v>-16.949855824363645</x:v>
      </x:c>
      <x:c r="J20" s="25" t="n">
        <x:v>0</x:v>
      </x:c>
    </x:row>
    <x:row r="21">
      <x:c r="A21" s="25" t="n">
        <x:f>Subsurface_Live_Data!A21</x:f>
        <x:v>-50.5</x:v>
      </x:c>
      <x:c r="B21" s="25" t="n">
        <x:f>Subsurface_Live_Data!K21</x:f>
        <x:v>14628.005233442185</x:v>
      </x:c>
      <x:c r="C21" s="25" t="n">
        <x:f>MAX(0,B21-Subsurface_Inputs!$C$44)</x:f>
        <x:v>13128.005233442185</x:v>
      </x:c>
      <x:c r="D21" s="25" t="n">
        <x:f>B21+Subsurface_Inputs!$C$44</x:f>
        <x:v>16128.005233442185</x:v>
      </x:c>
      <x:c r="E21" s="25" t="n">
        <x:f>B21*Subsurface_Inputs!$C$45</x:f>
        <x:v>8045.402878393203</x:v>
      </x:c>
      <x:c r="F21" s="25" t="n">
        <x:f>B21</x:f>
        <x:v>14628.005233442185</x:v>
      </x:c>
      <x:c r="G21" s="25" t="n">
        <x:f>B21*Subsurface_Inputs!$C$46</x:f>
        <x:v>25599.009158523826</x:v>
      </x:c>
      <x:c r="H21" s="25" t="n">
        <x:f>Subsurface_Live_Data!Y21</x:f>
        <x:v>11.134869527092249</x:v>
      </x:c>
      <x:c r="I21" s="25" t="n">
        <x:f>Subsurface_Inputs!$C$47-Subsurface_Inputs!$C$43+2*SIN(2*PI()*A21/42)</x:f>
        <x:v>-16.91114561157228</x:v>
      </x:c>
      <x:c r="J21" s="25" t="n">
        <x:v>0</x:v>
      </x:c>
    </x:row>
    <x:row r="22">
      <x:c r="A22" s="25" t="n">
        <x:f>Subsurface_Live_Data!A22</x:f>
        <x:v>-50</x:v>
      </x:c>
      <x:c r="B22" s="25" t="n">
        <x:f>Subsurface_Live_Data!K22</x:f>
        <x:v>14626.012286300014</x:v>
      </x:c>
      <x:c r="C22" s="25" t="n">
        <x:f>MAX(0,B22-Subsurface_Inputs!$C$44)</x:f>
        <x:v>13126.012286300014</x:v>
      </x:c>
      <x:c r="D22" s="25" t="n">
        <x:f>B22+Subsurface_Inputs!$C$44</x:f>
        <x:v>16126.012286300014</x:v>
      </x:c>
      <x:c r="E22" s="25" t="n">
        <x:f>B22*Subsurface_Inputs!$C$45</x:f>
        <x:v>8044.306757465009</x:v>
      </x:c>
      <x:c r="F22" s="25" t="n">
        <x:f>B22</x:f>
        <x:v>14626.012286300014</x:v>
      </x:c>
      <x:c r="G22" s="25" t="n">
        <x:f>B22*Subsurface_Inputs!$C$46</x:f>
        <x:v>25595.521501025025</x:v>
      </x:c>
      <x:c r="H22" s="25" t="n">
        <x:f>Subsurface_Live_Data!Y22</x:f>
        <x:v>11.034536351926569</x:v>
      </x:c>
      <x:c r="I22" s="25" t="n">
        <x:f>Subsurface_Inputs!$C$47-Subsurface_Inputs!$C$43+2*SIN(2*PI()*A22/42)</x:f>
        <x:v>-16.86174749728841</x:v>
      </x:c>
      <x:c r="J22" s="25" t="n">
        <x:v>0</x:v>
      </x:c>
    </x:row>
    <x:row r="23">
      <x:c r="A23" s="25" t="n">
        <x:f>Subsurface_Live_Data!A23</x:f>
        <x:v>-49.5</x:v>
      </x:c>
      <x:c r="B23" s="25" t="n">
        <x:f>Subsurface_Live_Data!K23</x:f>
        <x:v>14629.040649051138</x:v>
      </x:c>
      <x:c r="C23" s="25" t="n">
        <x:f>MAX(0,B23-Subsurface_Inputs!$C$44)</x:f>
        <x:v>13129.040649051138</x:v>
      </x:c>
      <x:c r="D23" s="25" t="n">
        <x:f>B23+Subsurface_Inputs!$C$44</x:f>
        <x:v>16129.040649051138</x:v>
      </x:c>
      <x:c r="E23" s="25" t="n">
        <x:f>B23*Subsurface_Inputs!$C$45</x:f>
        <x:v>8045.972356978126</x:v>
      </x:c>
      <x:c r="F23" s="25" t="n">
        <x:f>B23</x:f>
        <x:v>14629.040649051138</x:v>
      </x:c>
      <x:c r="G23" s="25" t="n">
        <x:f>B23*Subsurface_Inputs!$C$46</x:f>
        <x:v>25600.82113583949</x:v>
      </x:c>
      <x:c r="H23" s="25" t="n">
        <x:f>Subsurface_Live_Data!Y23</x:f>
        <x:v>11.100388976915333</x:v>
      </x:c>
      <x:c r="I23" s="25" t="n">
        <x:f>Subsurface_Inputs!$C$47-Subsurface_Inputs!$C$43+2*SIN(2*PI()*A23/42)</x:f>
        <x:v>-16.801937735804838</x:v>
      </x:c>
      <x:c r="J23" s="25" t="n">
        <x:v>0</x:v>
      </x:c>
    </x:row>
    <x:row r="24">
      <x:c r="A24" s="25" t="n">
        <x:f>Subsurface_Live_Data!A24</x:f>
        <x:v>-49</x:v>
      </x:c>
      <x:c r="B24" s="25" t="n">
        <x:f>Subsurface_Live_Data!K24</x:f>
        <x:v>14628.219878746673</x:v>
      </x:c>
      <x:c r="C24" s="25" t="n">
        <x:f>MAX(0,B24-Subsurface_Inputs!$C$44)</x:f>
        <x:v>13128.219878746673</x:v>
      </x:c>
      <x:c r="D24" s="25" t="n">
        <x:f>B24+Subsurface_Inputs!$C$44</x:f>
        <x:v>16128.219878746673</x:v>
      </x:c>
      <x:c r="E24" s="25" t="n">
        <x:f>B24*Subsurface_Inputs!$C$45</x:f>
        <x:v>8045.520933310671</x:v>
      </x:c>
      <x:c r="F24" s="25" t="n">
        <x:f>B24</x:f>
        <x:v>14628.219878746673</x:v>
      </x:c>
      <x:c r="G24" s="25" t="n">
        <x:f>B24*Subsurface_Inputs!$C$46</x:f>
        <x:v>25599.384787806677</x:v>
      </x:c>
      <x:c r="H24" s="25" t="n">
        <x:f>Subsurface_Live_Data!Y24</x:f>
        <x:v>11.059082032787487</x:v>
      </x:c>
      <x:c r="I24" s="25" t="n">
        <x:f>Subsurface_Inputs!$C$47-Subsurface_Inputs!$C$43+2*SIN(2*PI()*A24/42)</x:f>
        <x:v>-16.732050807568875</x:v>
      </x:c>
      <x:c r="J24" s="25" t="n">
        <x:v>0</x:v>
      </x:c>
    </x:row>
    <x:row r="25">
      <x:c r="A25" s="25" t="n">
        <x:f>Subsurface_Live_Data!A25</x:f>
        <x:v>-48.5</x:v>
      </x:c>
      <x:c r="B25" s="25" t="n">
        <x:f>Subsurface_Live_Data!K25</x:f>
        <x:v>14628.865542990865</x:v>
      </x:c>
      <x:c r="C25" s="25" t="n">
        <x:f>MAX(0,B25-Subsurface_Inputs!$C$44)</x:f>
        <x:v>13128.865542990865</x:v>
      </x:c>
      <x:c r="D25" s="25" t="n">
        <x:f>B25+Subsurface_Inputs!$C$44</x:f>
        <x:v>16128.865542990865</x:v>
      </x:c>
      <x:c r="E25" s="25" t="n">
        <x:f>B25*Subsurface_Inputs!$C$45</x:f>
        <x:v>8045.876048644976</x:v>
      </x:c>
      <x:c r="F25" s="25" t="n">
        <x:f>B25</x:f>
        <x:v>14628.865542990865</x:v>
      </x:c>
      <x:c r="G25" s="25" t="n">
        <x:f>B25*Subsurface_Inputs!$C$46</x:f>
        <x:v>25600.514700234013</x:v>
      </x:c>
      <x:c r="H25" s="25" t="n">
        <x:f>Subsurface_Live_Data!Y25</x:f>
        <x:v>11.073743837819762</x:v>
      </x:c>
      <x:c r="I25" s="25" t="n">
        <x:f>Subsurface_Inputs!$C$47-Subsurface_Inputs!$C$43+2*SIN(2*PI()*A25/42)</x:f>
        <x:v>-16.65247754863199</x:v>
      </x:c>
      <x:c r="J25" s="25" t="n">
        <x:v>0</x:v>
      </x:c>
    </x:row>
    <x:row r="26">
      <x:c r="A26" s="25" t="n">
        <x:f>Subsurface_Live_Data!A26</x:f>
        <x:v>-48</x:v>
      </x:c>
      <x:c r="B26" s="25" t="n">
        <x:f>Subsurface_Live_Data!K26</x:f>
        <x:v>14630.343646203191</x:v>
      </x:c>
      <x:c r="C26" s="25" t="n">
        <x:f>MAX(0,B26-Subsurface_Inputs!$C$44)</x:f>
        <x:v>13130.343646203191</x:v>
      </x:c>
      <x:c r="D26" s="25" t="n">
        <x:f>B26+Subsurface_Inputs!$C$44</x:f>
        <x:v>16130.343646203191</x:v>
      </x:c>
      <x:c r="E26" s="25" t="n">
        <x:f>B26*Subsurface_Inputs!$C$45</x:f>
        <x:v>8046.689005411756</x:v>
      </x:c>
      <x:c r="F26" s="25" t="n">
        <x:f>B26</x:f>
        <x:v>14630.343646203191</x:v>
      </x:c>
      <x:c r="G26" s="25" t="n">
        <x:f>B26*Subsurface_Inputs!$C$46</x:f>
        <x:v>25603.101380855584</x:v>
      </x:c>
      <x:c r="H26" s="25" t="n">
        <x:f>Subsurface_Live_Data!Y26</x:f>
        <x:v>11.124377416664593</x:v>
      </x:c>
      <x:c r="I26" s="25" t="n">
        <x:f>Subsurface_Inputs!$C$47-Subsurface_Inputs!$C$43+2*SIN(2*PI()*A26/42)</x:f>
        <x:v>-16.56366296493606</x:v>
      </x:c>
      <x:c r="J26" s="25" t="n">
        <x:v>0</x:v>
      </x:c>
    </x:row>
    <x:row r="27">
      <x:c r="A27" s="25" t="n">
        <x:f>Subsurface_Live_Data!A27</x:f>
        <x:v>-47.5</x:v>
      </x:c>
      <x:c r="B27" s="25" t="n">
        <x:f>Subsurface_Live_Data!K27</x:f>
        <x:v>14628.54315116047</x:v>
      </x:c>
      <x:c r="C27" s="25" t="n">
        <x:f>MAX(0,B27-Subsurface_Inputs!$C$44)</x:f>
        <x:v>13128.54315116047</x:v>
      </x:c>
      <x:c r="D27" s="25" t="n">
        <x:f>B27+Subsurface_Inputs!$C$44</x:f>
        <x:v>16128.54315116047</x:v>
      </x:c>
      <x:c r="E27" s="25" t="n">
        <x:f>B27*Subsurface_Inputs!$C$45</x:f>
        <x:v>8045.698733138259</x:v>
      </x:c>
      <x:c r="F27" s="25" t="n">
        <x:f>B27</x:f>
        <x:v>14628.54315116047</x:v>
      </x:c>
      <x:c r="G27" s="25" t="n">
        <x:f>B27*Subsurface_Inputs!$C$46</x:f>
        <x:v>25599.95051453082</x:v>
      </x:c>
      <x:c r="H27" s="25" t="n">
        <x:f>Subsurface_Live_Data!Y27</x:f>
        <x:v>11.08394504464011</x:v>
      </x:c>
      <x:c r="I27" s="25" t="n">
        <x:f>Subsurface_Inputs!$C$47-Subsurface_Inputs!$C$43+2*SIN(2*PI()*A27/42)</x:f>
        <x:v>-16.46610374365965</x:v>
      </x:c>
      <x:c r="J27" s="25" t="n">
        <x:v>0</x:v>
      </x:c>
    </x:row>
    <x:row r="28">
      <x:c r="A28" s="25" t="n">
        <x:f>Subsurface_Live_Data!A28</x:f>
        <x:v>-47</x:v>
      </x:c>
      <x:c r="B28" s="25" t="n">
        <x:f>Subsurface_Live_Data!K28</x:f>
        <x:v>14628.933341310483</x:v>
      </x:c>
      <x:c r="C28" s="25" t="n">
        <x:f>MAX(0,B28-Subsurface_Inputs!$C$44)</x:f>
        <x:v>13128.933341310483</x:v>
      </x:c>
      <x:c r="D28" s="25" t="n">
        <x:f>B28+Subsurface_Inputs!$C$44</x:f>
        <x:v>16128.933341310483</x:v>
      </x:c>
      <x:c r="E28" s="25" t="n">
        <x:f>B28*Subsurface_Inputs!$C$45</x:f>
        <x:v>8045.913337720766</x:v>
      </x:c>
      <x:c r="F28" s="25" t="n">
        <x:f>B28</x:f>
        <x:v>14628.933341310483</x:v>
      </x:c>
      <x:c r="G28" s="25" t="n">
        <x:f>B28*Subsurface_Inputs!$C$46</x:f>
        <x:v>25600.633347293347</x:v>
      </x:c>
      <x:c r="H28" s="25" t="n">
        <x:f>Subsurface_Live_Data!Y28</x:f>
        <x:v>11.120163596120719</x:v>
      </x:c>
      <x:c r="I28" s="25" t="n">
        <x:f>Subsurface_Inputs!$C$47-Subsurface_Inputs!$C$43+2*SIN(2*PI()*A28/42)</x:f>
        <x:v>-16.360345475541838</x:v>
      </x:c>
      <x:c r="J28" s="25" t="n">
        <x:v>0</x:v>
      </x:c>
    </x:row>
    <x:row r="29">
      <x:c r="A29" s="25" t="n">
        <x:f>Subsurface_Live_Data!A29</x:f>
        <x:v>-46.5</x:v>
      </x:c>
      <x:c r="B29" s="25" t="n">
        <x:f>Subsurface_Live_Data!K29</x:f>
        <x:v>14627.807692098573</x:v>
      </x:c>
      <x:c r="C29" s="25" t="n">
        <x:f>MAX(0,B29-Subsurface_Inputs!$C$44)</x:f>
        <x:v>13127.807692098573</x:v>
      </x:c>
      <x:c r="D29" s="25" t="n">
        <x:f>B29+Subsurface_Inputs!$C$44</x:f>
        <x:v>16127.807692098573</x:v>
      </x:c>
      <x:c r="E29" s="25" t="n">
        <x:f>B29*Subsurface_Inputs!$C$45</x:f>
        <x:v>8045.294230654216</x:v>
      </x:c>
      <x:c r="F29" s="25" t="n">
        <x:f>B29</x:f>
        <x:v>14627.807692098573</x:v>
      </x:c>
      <x:c r="G29" s="25" t="n">
        <x:f>B29*Subsurface_Inputs!$C$46</x:f>
        <x:v>25598.663461172502</x:v>
      </x:c>
      <x:c r="H29" s="25" t="n">
        <x:f>Subsurface_Live_Data!Y29</x:f>
        <x:v>11.11835345536425</x:v>
      </x:c>
      <x:c r="I29" s="25" t="n">
        <x:f>Subsurface_Inputs!$C$47-Subsurface_Inputs!$C$43+2*SIN(2*PI()*A29/42)</x:f>
        <x:v>-16.246979603717467</x:v>
      </x:c>
      <x:c r="J29" s="25" t="n">
        <x:v>0</x:v>
      </x:c>
    </x:row>
    <x:row r="30">
      <x:c r="A30" s="25" t="n">
        <x:f>Subsurface_Live_Data!A30</x:f>
        <x:v>-46</x:v>
      </x:c>
      <x:c r="B30" s="25" t="n">
        <x:f>Subsurface_Live_Data!K30</x:f>
        <x:v>14628.668588877104</x:v>
      </x:c>
      <x:c r="C30" s="25" t="n">
        <x:f>MAX(0,B30-Subsurface_Inputs!$C$44)</x:f>
        <x:v>13128.668588877104</x:v>
      </x:c>
      <x:c r="D30" s="25" t="n">
        <x:f>B30+Subsurface_Inputs!$C$44</x:f>
        <x:v>16128.668588877104</x:v>
      </x:c>
      <x:c r="E30" s="25" t="n">
        <x:f>B30*Subsurface_Inputs!$C$45</x:f>
        <x:v>8045.767723882408</x:v>
      </x:c>
      <x:c r="F30" s="25" t="n">
        <x:f>B30</x:f>
        <x:v>14628.668588877104</x:v>
      </x:c>
      <x:c r="G30" s="25" t="n">
        <x:f>B30*Subsurface_Inputs!$C$46</x:f>
        <x:v>25600.170030534933</x:v>
      </x:c>
      <x:c r="H30" s="25" t="n">
        <x:f>Subsurface_Live_Data!Y30</x:f>
        <x:v>11.185621601117823</x:v>
      </x:c>
      <x:c r="I30" s="25" t="n">
        <x:f>Subsurface_Inputs!$C$47-Subsurface_Inputs!$C$43+2*SIN(2*PI()*A30/42)</x:f>
        <x:v>-16.12664011612724</x:v>
      </x:c>
      <x:c r="J30" s="25" t="n">
        <x:v>0</x:v>
      </x:c>
    </x:row>
    <x:row r="31">
      <x:c r="A31" s="25" t="n">
        <x:f>Subsurface_Live_Data!A31</x:f>
        <x:v>-45.5</x:v>
      </x:c>
      <x:c r="B31" s="25" t="n">
        <x:f>Subsurface_Live_Data!K31</x:f>
        <x:v>14628.019588067555</x:v>
      </x:c>
      <x:c r="C31" s="25" t="n">
        <x:f>MAX(0,B31-Subsurface_Inputs!$C$44)</x:f>
        <x:v>13128.019588067555</x:v>
      </x:c>
      <x:c r="D31" s="25" t="n">
        <x:f>B31+Subsurface_Inputs!$C$44</x:f>
        <x:v>16128.019588067555</x:v>
      </x:c>
      <x:c r="E31" s="25" t="n">
        <x:f>B31*Subsurface_Inputs!$C$45</x:f>
        <x:v>8045.4107734371555</x:v>
      </x:c>
      <x:c r="F31" s="25" t="n">
        <x:f>B31</x:f>
        <x:v>14628.019588067555</x:v>
      </x:c>
      <x:c r="G31" s="25" t="n">
        <x:f>B31*Subsurface_Inputs!$C$46</x:f>
        <x:v>25599.03427911822</x:v>
      </x:c>
      <x:c r="H31" s="25" t="n">
        <x:f>Subsurface_Live_Data!Y31</x:f>
        <x:v>11.213671211747297</x:v>
      </x:c>
      <x:c r="I31" s="25" t="n">
        <x:f>Subsurface_Inputs!$C$47-Subsurface_Inputs!$C$43+2*SIN(2*PI()*A31/42)</x:f>
        <x:v>-16</x:v>
      </x:c>
      <x:c r="J31" s="25" t="n">
        <x:v>0</x:v>
      </x:c>
    </x:row>
    <x:row r="32">
      <x:c r="A32" s="25" t="n">
        <x:f>Subsurface_Live_Data!A32</x:f>
        <x:v>-45</x:v>
      </x:c>
      <x:c r="B32" s="25" t="n">
        <x:f>Subsurface_Live_Data!K32</x:f>
        <x:v>14629.081269338794</x:v>
      </x:c>
      <x:c r="C32" s="25" t="n">
        <x:f>MAX(0,B32-Subsurface_Inputs!$C$44)</x:f>
        <x:v>13129.081269338794</x:v>
      </x:c>
      <x:c r="D32" s="25" t="n">
        <x:f>B32+Subsurface_Inputs!$C$44</x:f>
        <x:v>16129.081269338794</x:v>
      </x:c>
      <x:c r="E32" s="25" t="n">
        <x:f>B32*Subsurface_Inputs!$C$45</x:f>
        <x:v>8045.994698136337</x:v>
      </x:c>
      <x:c r="F32" s="25" t="n">
        <x:f>B32</x:f>
        <x:v>14629.081269338794</x:v>
      </x:c>
      <x:c r="G32" s="25" t="n">
        <x:f>B32*Subsurface_Inputs!$C$46</x:f>
        <x:v>25600.89222134289</x:v>
      </x:c>
      <x:c r="H32" s="25" t="n">
        <x:f>Subsurface_Live_Data!Y32</x:f>
        <x:v>11.300860169559684</x:v>
      </x:c>
      <x:c r="I32" s="25" t="n">
        <x:f>Subsurface_Inputs!$C$47-Subsurface_Inputs!$C$43+2*SIN(2*PI()*A32/42)</x:f>
        <x:v>-15.867767478235116</x:v>
      </x:c>
      <x:c r="J32" s="25" t="n">
        <x:v>0</x:v>
      </x:c>
    </x:row>
    <x:row r="33">
      <x:c r="A33" s="25" t="n">
        <x:f>Subsurface_Live_Data!A33</x:f>
        <x:v>-44.5</x:v>
      </x:c>
      <x:c r="B33" s="25" t="n">
        <x:f>Subsurface_Live_Data!K33</x:f>
        <x:v>14627.9749848833</x:v>
      </x:c>
      <x:c r="C33" s="25" t="n">
        <x:f>MAX(0,B33-Subsurface_Inputs!$C$44)</x:f>
        <x:v>13127.9749848833</x:v>
      </x:c>
      <x:c r="D33" s="25" t="n">
        <x:f>B33+Subsurface_Inputs!$C$44</x:f>
        <x:v>16127.9749848833</x:v>
      </x:c>
      <x:c r="E33" s="25" t="n">
        <x:f>B33*Subsurface_Inputs!$C$45</x:f>
        <x:v>8045.386241685816</x:v>
      </x:c>
      <x:c r="F33" s="25" t="n">
        <x:f>B33</x:f>
        <x:v>14627.9749848833</x:v>
      </x:c>
      <x:c r="G33" s="25" t="n">
        <x:f>B33*Subsurface_Inputs!$C$46</x:f>
        <x:v>25598.956223545774</x:v>
      </x:c>
      <x:c r="H33" s="25" t="n">
        <x:f>Subsurface_Live_Data!Y33</x:f>
        <x:v>11.327057534365636</x:v>
      </x:c>
      <x:c r="I33" s="25" t="n">
        <x:f>Subsurface_Inputs!$C$47-Subsurface_Inputs!$C$43+2*SIN(2*PI()*A33/42)</x:f>
        <x:v>-15.73068204873279</x:v>
      </x:c>
      <x:c r="J33" s="25" t="n">
        <x:v>0</x:v>
      </x:c>
    </x:row>
    <x:row r="34">
      <x:c r="A34" s="25" t="n">
        <x:f>Subsurface_Live_Data!A34</x:f>
        <x:v>-44</x:v>
      </x:c>
      <x:c r="B34" s="25" t="n">
        <x:f>Subsurface_Live_Data!K34</x:f>
        <x:v>14625.911504274929</x:v>
      </x:c>
      <x:c r="C34" s="25" t="n">
        <x:f>MAX(0,B34-Subsurface_Inputs!$C$44)</x:f>
        <x:v>13125.911504274929</x:v>
      </x:c>
      <x:c r="D34" s="25" t="n">
        <x:f>B34+Subsurface_Inputs!$C$44</x:f>
        <x:v>16125.911504274929</x:v>
      </x:c>
      <x:c r="E34" s="25" t="n">
        <x:f>B34*Subsurface_Inputs!$C$45</x:f>
        <x:v>8044.251327351211</x:v>
      </x:c>
      <x:c r="F34" s="25" t="n">
        <x:f>B34</x:f>
        <x:v>14625.911504274929</x:v>
      </x:c>
      <x:c r="G34" s="25" t="n">
        <x:f>B34*Subsurface_Inputs!$C$46</x:f>
        <x:v>25595.345132481125</x:v>
      </x:c>
      <x:c r="H34" s="25" t="n">
        <x:f>Subsurface_Live_Data!Y34</x:f>
        <x:v>11.328707905104096</x:v>
      </x:c>
      <x:c r="I34" s="25" t="n">
        <x:f>Subsurface_Inputs!$C$47-Subsurface_Inputs!$C$43+2*SIN(2*PI()*A34/42)</x:f>
        <x:v>-15.589510348821808</x:v>
      </x:c>
      <x:c r="J34" s="25" t="n">
        <x:v>0</x:v>
      </x:c>
    </x:row>
    <x:row r="35">
      <x:c r="A35" s="25" t="n">
        <x:f>Subsurface_Live_Data!A35</x:f>
        <x:v>-43.5</x:v>
      </x:c>
      <x:c r="B35" s="25" t="n">
        <x:f>Subsurface_Live_Data!K35</x:f>
        <x:v>14621.986694083294</x:v>
      </x:c>
      <x:c r="C35" s="25" t="n">
        <x:f>MAX(0,B35-Subsurface_Inputs!$C$44)</x:f>
        <x:v>13121.986694083294</x:v>
      </x:c>
      <x:c r="D35" s="25" t="n">
        <x:f>B35+Subsurface_Inputs!$C$44</x:f>
        <x:v>16121.986694083294</x:v>
      </x:c>
      <x:c r="E35" s="25" t="n">
        <x:f>B35*Subsurface_Inputs!$C$45</x:f>
        <x:v>8042.092681745813</x:v>
      </x:c>
      <x:c r="F35" s="25" t="n">
        <x:f>B35</x:f>
        <x:v>14621.986694083294</x:v>
      </x:c>
      <x:c r="G35" s="25" t="n">
        <x:f>B35*Subsurface_Inputs!$C$46</x:f>
        <x:v>25588.476714645767</x:v>
      </x:c>
      <x:c r="H35" s="25" t="n">
        <x:f>Subsurface_Live_Data!Y35</x:f>
        <x:v>11.277146631645458</x:v>
      </x:c>
      <x:c r="I35" s="25" t="n">
        <x:f>Subsurface_Inputs!$C$47-Subsurface_Inputs!$C$43+2*SIN(2*PI()*A35/42)</x:f>
        <x:v>-15.445041867912629</x:v>
      </x:c>
      <x:c r="J35" s="25" t="n">
        <x:v>0</x:v>
      </x:c>
    </x:row>
    <x:row r="36">
      <x:c r="A36" s="25" t="n">
        <x:f>Subsurface_Live_Data!A36</x:f>
        <x:v>-43</x:v>
      </x:c>
      <x:c r="B36" s="25" t="n">
        <x:f>Subsurface_Live_Data!K36</x:f>
        <x:v>14623.693198890636</x:v>
      </x:c>
      <x:c r="C36" s="25" t="n">
        <x:f>MAX(0,B36-Subsurface_Inputs!$C$44)</x:f>
        <x:v>13123.693198890636</x:v>
      </x:c>
      <x:c r="D36" s="25" t="n">
        <x:f>B36+Subsurface_Inputs!$C$44</x:f>
        <x:v>16123.693198890636</x:v>
      </x:c>
      <x:c r="E36" s="25" t="n">
        <x:f>B36*Subsurface_Inputs!$C$45</x:f>
        <x:v>8043.031259389851</x:v>
      </x:c>
      <x:c r="F36" s="25" t="n">
        <x:f>B36</x:f>
        <x:v>14623.693198890636</x:v>
      </x:c>
      <x:c r="G36" s="25" t="n">
        <x:f>B36*Subsurface_Inputs!$C$46</x:f>
        <x:v>25591.463098058615</x:v>
      </x:c>
      <x:c r="H36" s="25" t="n">
        <x:f>Subsurface_Live_Data!Y36</x:f>
        <x:v>11.402061786815004</x:v>
      </x:c>
      <x:c r="I36" s="25" t="n">
        <x:f>Subsurface_Inputs!$C$47-Subsurface_Inputs!$C$43+2*SIN(2*PI()*A36/42)</x:f>
        <x:v>-15.298084532352348</x:v>
      </x:c>
      <x:c r="J36" s="25" t="n">
        <x:v>0</x:v>
      </x:c>
    </x:row>
    <x:row r="37">
      <x:c r="A37" s="25" t="n">
        <x:f>Subsurface_Live_Data!A37</x:f>
        <x:v>-42.5</x:v>
      </x:c>
      <x:c r="B37" s="25" t="n">
        <x:f>Subsurface_Live_Data!K37</x:f>
        <x:v>14620.914775457455</x:v>
      </x:c>
      <x:c r="C37" s="25" t="n">
        <x:f>MAX(0,B37-Subsurface_Inputs!$C$44)</x:f>
        <x:v>13120.914775457455</x:v>
      </x:c>
      <x:c r="D37" s="25" t="n">
        <x:f>B37+Subsurface_Inputs!$C$44</x:f>
        <x:v>16120.914775457455</x:v>
      </x:c>
      <x:c r="E37" s="25" t="n">
        <x:f>B37*Subsurface_Inputs!$C$45</x:f>
        <x:v>8041.503126501601</x:v>
      </x:c>
      <x:c r="F37" s="25" t="n">
        <x:f>B37</x:f>
        <x:v>14620.914775457455</x:v>
      </x:c>
      <x:c r="G37" s="25" t="n">
        <x:f>B37*Subsurface_Inputs!$C$46</x:f>
        <x:v>25586.600857050547</x:v>
      </x:c>
      <x:c r="H37" s="25" t="n">
        <x:f>Subsurface_Live_Data!Y37</x:f>
        <x:v>11.391265289964153</x:v>
      </x:c>
      <x:c r="I37" s="25" t="n">
        <x:f>Subsurface_Inputs!$C$47-Subsurface_Inputs!$C$43+2*SIN(2*PI()*A37/42)</x:f>
        <x:v>-15.14946018717285</x:v>
      </x:c>
      <x:c r="J37" s="25" t="n">
        <x:v>0</x:v>
      </x:c>
    </x:row>
    <x:row r="38">
      <x:c r="A38" s="25" t="n">
        <x:f>Subsurface_Live_Data!A38</x:f>
        <x:v>-42</x:v>
      </x:c>
      <x:c r="B38" s="25" t="n">
        <x:f>Subsurface_Live_Data!K38</x:f>
        <x:v>14619.806259259834</x:v>
      </x:c>
      <x:c r="C38" s="25" t="n">
        <x:f>MAX(0,B38-Subsurface_Inputs!$C$44)</x:f>
        <x:v>13119.806259259834</x:v>
      </x:c>
      <x:c r="D38" s="25" t="n">
        <x:f>B38+Subsurface_Inputs!$C$44</x:f>
        <x:v>16119.806259259834</x:v>
      </x:c>
      <x:c r="E38" s="25" t="n">
        <x:f>B38*Subsurface_Inputs!$C$45</x:f>
        <x:v>8040.893442592909</x:v>
      </x:c>
      <x:c r="F38" s="25" t="n">
        <x:f>B38</x:f>
        <x:v>14619.806259259834</x:v>
      </x:c>
      <x:c r="G38" s="25" t="n">
        <x:f>B38*Subsurface_Inputs!$C$46</x:f>
        <x:v>25584.66095370471</x:v>
      </x:c>
      <x:c r="H38" s="25" t="n">
        <x:f>Subsurface_Live_Data!Y38</x:f>
        <x:v>11.43323056441237</x:v>
      </x:c>
      <x:c r="I38" s="25" t="n">
        <x:f>Subsurface_Inputs!$C$47-Subsurface_Inputs!$C$43+2*SIN(2*PI()*A38/42)</x:f>
        <x:v>-15</x:v>
      </x:c>
      <x:c r="J38" s="25" t="n">
        <x:v>0</x:v>
      </x:c>
    </x:row>
    <x:row r="39">
      <x:c r="A39" s="25" t="n">
        <x:f>Subsurface_Live_Data!A39</x:f>
        <x:v>-41.5</x:v>
      </x:c>
      <x:c r="B39" s="25" t="n">
        <x:f>Subsurface_Live_Data!K39</x:f>
        <x:v>14617.022284654113</x:v>
      </x:c>
      <x:c r="C39" s="25" t="n">
        <x:f>MAX(0,B39-Subsurface_Inputs!$C$44)</x:f>
        <x:v>13117.022284654113</x:v>
      </x:c>
      <x:c r="D39" s="25" t="n">
        <x:f>B39+Subsurface_Inputs!$C$44</x:f>
        <x:v>16117.022284654113</x:v>
      </x:c>
      <x:c r="E39" s="25" t="n">
        <x:f>B39*Subsurface_Inputs!$C$45</x:f>
        <x:v>8039.3622565597625</x:v>
      </x:c>
      <x:c r="F39" s="25" t="n">
        <x:f>B39</x:f>
        <x:v>14617.022284654113</x:v>
      </x:c>
      <x:c r="G39" s="25" t="n">
        <x:f>B39*Subsurface_Inputs!$C$46</x:f>
        <x:v>25579.788998144697</x:v>
      </x:c>
      <x:c r="H39" s="25" t="n">
        <x:f>Subsurface_Live_Data!Y39</x:f>
        <x:v>11.424076195718278</x:v>
      </x:c>
      <x:c r="I39" s="25" t="n">
        <x:f>Subsurface_Inputs!$C$47-Subsurface_Inputs!$C$43+2*SIN(2*PI()*A39/42)</x:f>
        <x:v>-14.850539812827153</x:v>
      </x:c>
      <x:c r="J39" s="25" t="n">
        <x:v>0</x:v>
      </x:c>
    </x:row>
    <x:row r="40">
      <x:c r="A40" s="25" t="n">
        <x:f>Subsurface_Live_Data!A40</x:f>
        <x:v>-41</x:v>
      </x:c>
      <x:c r="B40" s="25" t="n">
        <x:f>Subsurface_Live_Data!K40</x:f>
        <x:v>14613.623267805096</x:v>
      </x:c>
      <x:c r="C40" s="25" t="n">
        <x:f>MAX(0,B40-Subsurface_Inputs!$C$44)</x:f>
        <x:v>13113.623267805096</x:v>
      </x:c>
      <x:c r="D40" s="25" t="n">
        <x:f>B40+Subsurface_Inputs!$C$44</x:f>
        <x:v>16113.623267805096</x:v>
      </x:c>
      <x:c r="E40" s="25" t="n">
        <x:f>B40*Subsurface_Inputs!$C$45</x:f>
        <x:v>8037.4927972928035</x:v>
      </x:c>
      <x:c r="F40" s="25" t="n">
        <x:f>B40</x:f>
        <x:v>14613.623267805096</x:v>
      </x:c>
      <x:c r="G40" s="25" t="n">
        <x:f>B40*Subsurface_Inputs!$C$46</x:f>
        <x:v>25573.840718658917</x:v>
      </x:c>
      <x:c r="H40" s="25" t="n">
        <x:f>Subsurface_Live_Data!Y40</x:f>
        <x:v>11.395475707488714</x:v>
      </x:c>
      <x:c r="I40" s="25" t="n">
        <x:f>Subsurface_Inputs!$C$47-Subsurface_Inputs!$C$43+2*SIN(2*PI()*A40/42)</x:f>
        <x:v>-14.70191546764765</x:v>
      </x:c>
      <x:c r="J40" s="25" t="n">
        <x:v>0</x:v>
      </x:c>
    </x:row>
    <x:row r="41">
      <x:c r="A41" s="25" t="n">
        <x:f>Subsurface_Live_Data!A41</x:f>
        <x:v>-40.5</x:v>
      </x:c>
      <x:c r="B41" s="25" t="n">
        <x:f>Subsurface_Live_Data!K41</x:f>
        <x:v>14608.974517463</x:v>
      </x:c>
      <x:c r="C41" s="25" t="n">
        <x:f>MAX(0,B41-Subsurface_Inputs!$C$44)</x:f>
        <x:v>13108.974517463</x:v>
      </x:c>
      <x:c r="D41" s="25" t="n">
        <x:f>B41+Subsurface_Inputs!$C$44</x:f>
        <x:v>16108.974517463</x:v>
      </x:c>
      <x:c r="E41" s="25" t="n">
        <x:f>B41*Subsurface_Inputs!$C$45</x:f>
        <x:v>8034.935984604651</x:v>
      </x:c>
      <x:c r="F41" s="25" t="n">
        <x:f>B41</x:f>
        <x:v>14608.974517463</x:v>
      </x:c>
      <x:c r="G41" s="25" t="n">
        <x:f>B41*Subsurface_Inputs!$C$46</x:f>
        <x:v>25565.70540556025</x:v>
      </x:c>
      <x:c r="H41" s="25" t="n">
        <x:f>Subsurface_Live_Data!Y41</x:f>
        <x:v>11.326927352897968</x:v>
      </x:c>
      <x:c r="I41" s="25" t="n">
        <x:f>Subsurface_Inputs!$C$47-Subsurface_Inputs!$C$43+2*SIN(2*PI()*A41/42)</x:f>
        <x:v>-14.554958132087371</x:v>
      </x:c>
      <x:c r="J41" s="25" t="n">
        <x:v>0</x:v>
      </x:c>
    </x:row>
    <x:row r="42">
      <x:c r="A42" s="25" t="n">
        <x:f>Subsurface_Live_Data!A42</x:f>
        <x:v>-40</x:v>
      </x:c>
      <x:c r="B42" s="25" t="n">
        <x:f>Subsurface_Live_Data!K42</x:f>
        <x:v>14605.554950848293</x:v>
      </x:c>
      <x:c r="C42" s="25" t="n">
        <x:f>MAX(0,B42-Subsurface_Inputs!$C$44)</x:f>
        <x:v>13105.554950848293</x:v>
      </x:c>
      <x:c r="D42" s="25" t="n">
        <x:f>B42+Subsurface_Inputs!$C$44</x:f>
        <x:v>16105.554950848293</x:v>
      </x:c>
      <x:c r="E42" s="25" t="n">
        <x:f>B42*Subsurface_Inputs!$C$45</x:f>
        <x:v>8033.055222966562</x:v>
      </x:c>
      <x:c r="F42" s="25" t="n">
        <x:f>B42</x:f>
        <x:v>14605.554950848293</x:v>
      </x:c>
      <x:c r="G42" s="25" t="n">
        <x:f>B42*Subsurface_Inputs!$C$46</x:f>
        <x:v>25559.72116398451</x:v>
      </x:c>
      <x:c r="H42" s="25" t="n">
        <x:f>Subsurface_Live_Data!Y42</x:f>
        <x:v>11.293728085994964</x:v>
      </x:c>
      <x:c r="I42" s="25" t="n">
        <x:f>Subsurface_Inputs!$C$47-Subsurface_Inputs!$C$43+2*SIN(2*PI()*A42/42)</x:f>
        <x:v>-14.41048965117819</x:v>
      </x:c>
      <x:c r="J42" s="25" t="n">
        <x:v>0</x:v>
      </x:c>
    </x:row>
    <x:row r="43">
      <x:c r="A43" s="25" t="n">
        <x:f>Subsurface_Live_Data!A43</x:f>
        <x:v>-39.5</x:v>
      </x:c>
      <x:c r="B43" s="25" t="n">
        <x:f>Subsurface_Live_Data!K43</x:f>
        <x:v>14602.691093675494</x:v>
      </x:c>
      <x:c r="C43" s="25" t="n">
        <x:f>MAX(0,B43-Subsurface_Inputs!$C$44)</x:f>
        <x:v>13102.691093675494</x:v>
      </x:c>
      <x:c r="D43" s="25" t="n">
        <x:f>B43+Subsurface_Inputs!$C$44</x:f>
        <x:v>16102.691093675494</x:v>
      </x:c>
      <x:c r="E43" s="25" t="n">
        <x:f>B43*Subsurface_Inputs!$C$45</x:f>
        <x:v>8031.480101521523</x:v>
      </x:c>
      <x:c r="F43" s="25" t="n">
        <x:f>B43</x:f>
        <x:v>14602.691093675494</x:v>
      </x:c>
      <x:c r="G43" s="25" t="n">
        <x:f>B43*Subsurface_Inputs!$C$46</x:f>
        <x:v>25554.709413932113</x:v>
      </x:c>
      <x:c r="H43" s="25" t="n">
        <x:f>Subsurface_Live_Data!Y43</x:f>
        <x:v>11.27416274270162</x:v>
      </x:c>
      <x:c r="I43" s="25" t="n">
        <x:f>Subsurface_Inputs!$C$47-Subsurface_Inputs!$C$43+2*SIN(2*PI()*A43/42)</x:f>
        <x:v>-14.26931795126721</x:v>
      </x:c>
      <x:c r="J43" s="25" t="n">
        <x:v>0</x:v>
      </x:c>
    </x:row>
    <x:row r="44">
      <x:c r="A44" s="25" t="n">
        <x:f>Subsurface_Live_Data!A44</x:f>
        <x:v>-39</x:v>
      </x:c>
      <x:c r="B44" s="25" t="n">
        <x:f>Subsurface_Live_Data!K44</x:f>
        <x:v>14602.748972256197</x:v>
      </x:c>
      <x:c r="C44" s="25" t="n">
        <x:f>MAX(0,B44-Subsurface_Inputs!$C$44)</x:f>
        <x:v>13102.748972256197</x:v>
      </x:c>
      <x:c r="D44" s="25" t="n">
        <x:f>B44+Subsurface_Inputs!$C$44</x:f>
        <x:v>16102.748972256197</x:v>
      </x:c>
      <x:c r="E44" s="25" t="n">
        <x:f>B44*Subsurface_Inputs!$C$45</x:f>
        <x:v>8031.511934740909</x:v>
      </x:c>
      <x:c r="F44" s="25" t="n">
        <x:f>B44</x:f>
        <x:v>14602.748972256197</x:v>
      </x:c>
      <x:c r="G44" s="25" t="n">
        <x:f>B44*Subsurface_Inputs!$C$46</x:f>
        <x:v>25554.810701448343</x:v>
      </x:c>
      <x:c r="H44" s="25" t="n">
        <x:f>Subsurface_Live_Data!Y44</x:f>
        <x:v>11.340040388026814</x:v>
      </x:c>
      <x:c r="I44" s="25" t="n">
        <x:f>Subsurface_Inputs!$C$47-Subsurface_Inputs!$C$43+2*SIN(2*PI()*A44/42)</x:f>
        <x:v>-14.132232521764884</x:v>
      </x:c>
      <x:c r="J44" s="25" t="n">
        <x:v>0</x:v>
      </x:c>
    </x:row>
    <x:row r="45">
      <x:c r="A45" s="25" t="n">
        <x:f>Subsurface_Live_Data!A45</x:f>
        <x:v>-38.5</x:v>
      </x:c>
      <x:c r="B45" s="25" t="n">
        <x:f>Subsurface_Live_Data!K45</x:f>
        <x:v>14596.90416266791</x:v>
      </x:c>
      <x:c r="C45" s="25" t="n">
        <x:f>MAX(0,B45-Subsurface_Inputs!$C$44)</x:f>
        <x:v>13096.90416266791</x:v>
      </x:c>
      <x:c r="D45" s="25" t="n">
        <x:f>B45+Subsurface_Inputs!$C$44</x:f>
        <x:v>16096.90416266791</x:v>
      </x:c>
      <x:c r="E45" s="25" t="n">
        <x:f>B45*Subsurface_Inputs!$C$45</x:f>
        <x:v>8028.297289467351</x:v>
      </x:c>
      <x:c r="F45" s="25" t="n">
        <x:f>B45</x:f>
        <x:v>14596.90416266791</x:v>
      </x:c>
      <x:c r="G45" s="25" t="n">
        <x:f>B45*Subsurface_Inputs!$C$46</x:f>
        <x:v>25544.582284668842</x:v>
      </x:c>
      <x:c r="H45" s="25" t="n">
        <x:f>Subsurface_Live_Data!Y45</x:f>
        <x:v>11.21882140419359</x:v>
      </x:c>
      <x:c r="I45" s="25" t="n">
        <x:f>Subsurface_Inputs!$C$47-Subsurface_Inputs!$C$43+2*SIN(2*PI()*A45/42)</x:f>
        <x:v>-14</x:v>
      </x:c>
      <x:c r="J45" s="25" t="n">
        <x:v>0</x:v>
      </x:c>
    </x:row>
    <x:row r="46">
      <x:c r="A46" s="25" t="n">
        <x:f>Subsurface_Live_Data!A46</x:f>
        <x:v>-38</x:v>
      </x:c>
      <x:c r="B46" s="25" t="n">
        <x:f>Subsurface_Live_Data!K46</x:f>
        <x:v>14596.295801636577</x:v>
      </x:c>
      <x:c r="C46" s="25" t="n">
        <x:f>MAX(0,B46-Subsurface_Inputs!$C$44)</x:f>
        <x:v>13096.295801636577</x:v>
      </x:c>
      <x:c r="D46" s="25" t="n">
        <x:f>B46+Subsurface_Inputs!$C$44</x:f>
        <x:v>16096.295801636577</x:v>
      </x:c>
      <x:c r="E46" s="25" t="n">
        <x:f>B46*Subsurface_Inputs!$C$45</x:f>
        <x:v>8027.962690900118</x:v>
      </x:c>
      <x:c r="F46" s="25" t="n">
        <x:f>B46</x:f>
        <x:v>14596.295801636577</x:v>
      </x:c>
      <x:c r="G46" s="25" t="n">
        <x:f>B46*Subsurface_Inputs!$C$46</x:f>
        <x:v>25543.51765286401</x:v>
      </x:c>
      <x:c r="H46" s="25" t="n">
        <x:f>Subsurface_Live_Data!Y46</x:f>
        <x:v>11.25227392903512</x:v>
      </x:c>
      <x:c r="I46" s="25" t="n">
        <x:f>Subsurface_Inputs!$C$47-Subsurface_Inputs!$C$43+2*SIN(2*PI()*A46/42)</x:f>
        <x:v>-13.873359883872755</x:v>
      </x:c>
      <x:c r="J46" s="25" t="n">
        <x:v>0</x:v>
      </x:c>
    </x:row>
    <x:row r="47">
      <x:c r="A47" s="25" t="n">
        <x:f>Subsurface_Live_Data!A47</x:f>
        <x:v>-37.5</x:v>
      </x:c>
      <x:c r="B47" s="25" t="n">
        <x:f>Subsurface_Live_Data!K47</x:f>
        <x:v>14589.655674119576</x:v>
      </x:c>
      <x:c r="C47" s="25" t="n">
        <x:f>MAX(0,B47-Subsurface_Inputs!$C$44)</x:f>
        <x:v>13089.655674119576</x:v>
      </x:c>
      <x:c r="D47" s="25" t="n">
        <x:f>B47+Subsurface_Inputs!$C$44</x:f>
        <x:v>16089.655674119576</x:v>
      </x:c>
      <x:c r="E47" s="25" t="n">
        <x:f>B47*Subsurface_Inputs!$C$45</x:f>
        <x:v>8024.310620765767</x:v>
      </x:c>
      <x:c r="F47" s="25" t="n">
        <x:f>B47</x:f>
        <x:v>14589.655674119576</x:v>
      </x:c>
      <x:c r="G47" s="25" t="n">
        <x:f>B47*Subsurface_Inputs!$C$46</x:f>
        <x:v>25531.897429709257</x:v>
      </x:c>
      <x:c r="H47" s="25" t="n">
        <x:f>Subsurface_Live_Data!Y47</x:f>
        <x:v>11.092663374976432</x:v>
      </x:c>
      <x:c r="I47" s="25" t="n">
        <x:f>Subsurface_Inputs!$C$47-Subsurface_Inputs!$C$43+2*SIN(2*PI()*A47/42)</x:f>
        <x:v>-13.753020396282533</x:v>
      </x:c>
      <x:c r="J47" s="25" t="n">
        <x:v>0</x:v>
      </x:c>
    </x:row>
    <x:row r="48">
      <x:c r="A48" s="25" t="n">
        <x:f>Subsurface_Live_Data!A48</x:f>
        <x:v>-37</x:v>
      </x:c>
      <x:c r="B48" s="25" t="n">
        <x:f>Subsurface_Live_Data!K48</x:f>
        <x:v>14588.806016104165</x:v>
      </x:c>
      <x:c r="C48" s="25" t="n">
        <x:f>MAX(0,B48-Subsurface_Inputs!$C$44)</x:f>
        <x:v>13088.806016104165</x:v>
      </x:c>
      <x:c r="D48" s="25" t="n">
        <x:f>B48+Subsurface_Inputs!$C$44</x:f>
        <x:v>16088.806016104165</x:v>
      </x:c>
      <x:c r="E48" s="25" t="n">
        <x:f>B48*Subsurface_Inputs!$C$45</x:f>
        <x:v>8023.843308857291</x:v>
      </x:c>
      <x:c r="F48" s="25" t="n">
        <x:f>B48</x:f>
        <x:v>14588.806016104165</x:v>
      </x:c>
      <x:c r="G48" s="25" t="n">
        <x:f>B48*Subsurface_Inputs!$C$46</x:f>
        <x:v>25530.41052818229</x:v>
      </x:c>
      <x:c r="H48" s="25" t="n">
        <x:f>Subsurface_Live_Data!Y48</x:f>
        <x:v>11.102787840036143</x:v>
      </x:c>
      <x:c r="I48" s="25" t="n">
        <x:f>Subsurface_Inputs!$C$47-Subsurface_Inputs!$C$43+2*SIN(2*PI()*A48/42)</x:f>
        <x:v>-13.639654524458162</x:v>
      </x:c>
      <x:c r="J48" s="25" t="n">
        <x:v>0</x:v>
      </x:c>
    </x:row>
    <x:row r="49">
      <x:c r="A49" s="25" t="n">
        <x:f>Subsurface_Live_Data!A49</x:f>
        <x:v>-36.5</x:v>
      </x:c>
      <x:c r="B49" s="25" t="n">
        <x:f>Subsurface_Live_Data!K49</x:f>
        <x:v>14583.853391519191</x:v>
      </x:c>
      <x:c r="C49" s="25" t="n">
        <x:f>MAX(0,B49-Subsurface_Inputs!$C$44)</x:f>
        <x:v>13083.853391519191</x:v>
      </x:c>
      <x:c r="D49" s="25" t="n">
        <x:f>B49+Subsurface_Inputs!$C$44</x:f>
        <x:v>16083.853391519191</x:v>
      </x:c>
      <x:c r="E49" s="25" t="n">
        <x:f>B49*Subsurface_Inputs!$C$45</x:f>
        <x:v>8021.119365335556</x:v>
      </x:c>
      <x:c r="F49" s="25" t="n">
        <x:f>B49</x:f>
        <x:v>14583.853391519191</x:v>
      </x:c>
      <x:c r="G49" s="25" t="n">
        <x:f>B49*Subsurface_Inputs!$C$46</x:f>
        <x:v>25521.743435158583</x:v>
      </x:c>
      <x:c r="H49" s="25" t="n">
        <x:f>Subsurface_Live_Data!Y49</x:f>
        <x:v>10.977232703780771</x:v>
      </x:c>
      <x:c r="I49" s="25" t="n">
        <x:f>Subsurface_Inputs!$C$47-Subsurface_Inputs!$C$43+2*SIN(2*PI()*A49/42)</x:f>
        <x:v>-13.533896256340347</x:v>
      </x:c>
      <x:c r="J49" s="25" t="n">
        <x:v>0</x:v>
      </x:c>
    </x:row>
    <x:row r="50">
      <x:c r="A50" s="25" t="n">
        <x:f>Subsurface_Live_Data!A50</x:f>
        <x:v>-36</x:v>
      </x:c>
      <x:c r="B50" s="25" t="n">
        <x:f>Subsurface_Live_Data!K50</x:f>
        <x:v>14582.102622173152</x:v>
      </x:c>
      <x:c r="C50" s="25" t="n">
        <x:f>MAX(0,B50-Subsurface_Inputs!$C$44)</x:f>
        <x:v>13082.102622173152</x:v>
      </x:c>
      <x:c r="D50" s="25" t="n">
        <x:f>B50+Subsurface_Inputs!$C$44</x:f>
        <x:v>16082.102622173152</x:v>
      </x:c>
      <x:c r="E50" s="25" t="n">
        <x:f>B50*Subsurface_Inputs!$C$45</x:f>
        <x:v>8020.156442195234</x:v>
      </x:c>
      <x:c r="F50" s="25" t="n">
        <x:f>B50</x:f>
        <x:v>14582.102622173152</x:v>
      </x:c>
      <x:c r="G50" s="25" t="n">
        <x:f>B50*Subsurface_Inputs!$C$46</x:f>
        <x:v>25518.679588803017</x:v>
      </x:c>
      <x:c r="H50" s="25" t="n">
        <x:f>Subsurface_Live_Data!Y50</x:f>
        <x:v>10.939810837081076</x:v>
      </x:c>
      <x:c r="I50" s="25" t="n">
        <x:f>Subsurface_Inputs!$C$47-Subsurface_Inputs!$C$43+2*SIN(2*PI()*A50/42)</x:f>
        <x:v>-13.43633703506394</x:v>
      </x:c>
      <x:c r="J50" s="25" t="n">
        <x:v>0</x:v>
      </x:c>
    </x:row>
    <x:row r="51">
      <x:c r="A51" s="25" t="n">
        <x:f>Subsurface_Live_Data!A51</x:f>
        <x:v>-35.5</x:v>
      </x:c>
      <x:c r="B51" s="25" t="n">
        <x:f>Subsurface_Live_Data!K51</x:f>
        <x:v>14580.284946826363</x:v>
      </x:c>
      <x:c r="C51" s="25" t="n">
        <x:f>MAX(0,B51-Subsurface_Inputs!$C$44)</x:f>
        <x:v>13080.284946826363</x:v>
      </x:c>
      <x:c r="D51" s="25" t="n">
        <x:f>B51+Subsurface_Inputs!$C$44</x:f>
        <x:v>16080.284946826363</x:v>
      </x:c>
      <x:c r="E51" s="25" t="n">
        <x:f>B51*Subsurface_Inputs!$C$45</x:f>
        <x:v>8019.1567207545</x:v>
      </x:c>
      <x:c r="F51" s="25" t="n">
        <x:f>B51</x:f>
        <x:v>14580.284946826363</x:v>
      </x:c>
      <x:c r="G51" s="25" t="n">
        <x:f>B51*Subsurface_Inputs!$C$46</x:f>
        <x:v>25515.498656946136</x:v>
      </x:c>
      <x:c r="H51" s="25" t="n">
        <x:f>Subsurface_Live_Data!Y51</x:f>
        <x:v>10.88898635109949</x:v>
      </x:c>
      <x:c r="I51" s="25" t="n">
        <x:f>Subsurface_Inputs!$C$47-Subsurface_Inputs!$C$43+2*SIN(2*PI()*A51/42)</x:f>
        <x:v>-13.347522451368011</x:v>
      </x:c>
      <x:c r="J51" s="25" t="n">
        <x:v>0</x:v>
      </x:c>
    </x:row>
    <x:row r="52">
      <x:c r="A52" s="25" t="n">
        <x:f>Subsurface_Live_Data!A52</x:f>
        <x:v>-35</x:v>
      </x:c>
      <x:c r="B52" s="25" t="n">
        <x:f>Subsurface_Live_Data!K52</x:f>
        <x:v>14581.129325609454</x:v>
      </x:c>
      <x:c r="C52" s="25" t="n">
        <x:f>MAX(0,B52-Subsurface_Inputs!$C$44)</x:f>
        <x:v>13081.129325609454</x:v>
      </x:c>
      <x:c r="D52" s="25" t="n">
        <x:f>B52+Subsurface_Inputs!$C$44</x:f>
        <x:v>16081.129325609454</x:v>
      </x:c>
      <x:c r="E52" s="25" t="n">
        <x:f>B52*Subsurface_Inputs!$C$45</x:f>
        <x:v>8019.621129085201</x:v>
      </x:c>
      <x:c r="F52" s="25" t="n">
        <x:f>B52</x:f>
        <x:v>14581.129325609454</x:v>
      </x:c>
      <x:c r="G52" s="25" t="n">
        <x:f>B52*Subsurface_Inputs!$C$46</x:f>
        <x:v>25516.976319816546</x:v>
      </x:c>
      <x:c r="H52" s="25" t="n">
        <x:f>Subsurface_Live_Data!Y52</x:f>
        <x:v>10.907800242211557</x:v>
      </x:c>
      <x:c r="I52" s="25" t="n">
        <x:f>Subsurface_Inputs!$C$47-Subsurface_Inputs!$C$43+2*SIN(2*PI()*A52/42)</x:f>
        <x:v>-13.267949192431121</x:v>
      </x:c>
      <x:c r="J52" s="25" t="n">
        <x:v>0</x:v>
      </x:c>
    </x:row>
    <x:row r="53">
      <x:c r="A53" s="25" t="n">
        <x:f>Subsurface_Live_Data!A53</x:f>
        <x:v>-34.5</x:v>
      </x:c>
      <x:c r="B53" s="25" t="n">
        <x:f>Subsurface_Live_Data!K53</x:f>
        <x:v>14576.85763200879</x:v>
      </x:c>
      <x:c r="C53" s="25" t="n">
        <x:f>MAX(0,B53-Subsurface_Inputs!$C$44)</x:f>
        <x:v>13076.85763200879</x:v>
      </x:c>
      <x:c r="D53" s="25" t="n">
        <x:f>B53+Subsurface_Inputs!$C$44</x:f>
        <x:v>16076.85763200879</x:v>
      </x:c>
      <x:c r="E53" s="25" t="n">
        <x:f>B53*Subsurface_Inputs!$C$45</x:f>
        <x:v>8017.271697604835</x:v>
      </x:c>
      <x:c r="F53" s="25" t="n">
        <x:f>B53</x:f>
        <x:v>14576.85763200879</x:v>
      </x:c>
      <x:c r="G53" s="25" t="n">
        <x:f>B53*Subsurface_Inputs!$C$46</x:f>
        <x:v>25509.500856015384</x:v>
      </x:c>
      <x:c r="H53" s="25" t="n">
        <x:f>Subsurface_Live_Data!Y53</x:f>
        <x:v>10.75599676424995</x:v>
      </x:c>
      <x:c r="I53" s="25" t="n">
        <x:f>Subsurface_Inputs!$C$47-Subsurface_Inputs!$C$43+2*SIN(2*PI()*A53/42)</x:f>
        <x:v>-13.198062264195162</x:v>
      </x:c>
      <x:c r="J53" s="25" t="n">
        <x:v>0</x:v>
      </x:c>
    </x:row>
    <x:row r="54">
      <x:c r="A54" s="25" t="n">
        <x:f>Subsurface_Live_Data!A54</x:f>
        <x:v>-34</x:v>
      </x:c>
      <x:c r="B54" s="25" t="n">
        <x:f>Subsurface_Live_Data!K54</x:f>
        <x:v>14577.628747923229</x:v>
      </x:c>
      <x:c r="C54" s="25" t="n">
        <x:f>MAX(0,B54-Subsurface_Inputs!$C$44)</x:f>
        <x:v>13077.628747923229</x:v>
      </x:c>
      <x:c r="D54" s="25" t="n">
        <x:f>B54+Subsurface_Inputs!$C$44</x:f>
        <x:v>16077.628747923229</x:v>
      </x:c>
      <x:c r="E54" s="25" t="n">
        <x:f>B54*Subsurface_Inputs!$C$45</x:f>
        <x:v>8017.695811357777</x:v>
      </x:c>
      <x:c r="F54" s="25" t="n">
        <x:f>B54</x:f>
        <x:v>14577.628747923229</x:v>
      </x:c>
      <x:c r="G54" s="25" t="n">
        <x:f>B54*Subsurface_Inputs!$C$46</x:f>
        <x:v>25510.85030886565</x:v>
      </x:c>
      <x:c r="H54" s="25" t="n">
        <x:f>Subsurface_Live_Data!Y54</x:f>
        <x:v>10.745291711753005</x:v>
      </x:c>
      <x:c r="I54" s="25" t="n">
        <x:f>Subsurface_Inputs!$C$47-Subsurface_Inputs!$C$43+2*SIN(2*PI()*A54/42)</x:f>
        <x:v>-13.138252502711591</x:v>
      </x:c>
      <x:c r="J54" s="25" t="n">
        <x:v>0</x:v>
      </x:c>
    </x:row>
    <x:row r="55">
      <x:c r="A55" s="25" t="n">
        <x:f>Subsurface_Live_Data!A55</x:f>
        <x:v>-33.5</x:v>
      </x:c>
      <x:c r="B55" s="25" t="n">
        <x:f>Subsurface_Live_Data!K55</x:f>
        <x:v>14578.092560023488</x:v>
      </x:c>
      <x:c r="C55" s="25" t="n">
        <x:f>MAX(0,B55-Subsurface_Inputs!$C$44)</x:f>
        <x:v>13078.092560023488</x:v>
      </x:c>
      <x:c r="D55" s="25" t="n">
        <x:f>B55+Subsurface_Inputs!$C$44</x:f>
        <x:v>16078.092560023488</x:v>
      </x:c>
      <x:c r="E55" s="25" t="n">
        <x:f>B55*Subsurface_Inputs!$C$45</x:f>
        <x:v>8017.950908012919</x:v>
      </x:c>
      <x:c r="F55" s="25" t="n">
        <x:f>B55</x:f>
        <x:v>14578.092560023488</x:v>
      </x:c>
      <x:c r="G55" s="25" t="n">
        <x:f>B55*Subsurface_Inputs!$C$46</x:f>
        <x:v>25511.661980041103</x:v>
      </x:c>
      <x:c r="H55" s="25" t="n">
        <x:f>Subsurface_Live_Data!Y55</x:f>
        <x:v>10.710193895076713</x:v>
      </x:c>
      <x:c r="I55" s="25" t="n">
        <x:f>Subsurface_Inputs!$C$47-Subsurface_Inputs!$C$43+2*SIN(2*PI()*A55/42)</x:f>
        <x:v>-13.088854388427718</x:v>
      </x:c>
      <x:c r="J55" s="25" t="n">
        <x:v>0</x:v>
      </x:c>
    </x:row>
    <x:row r="56">
      <x:c r="A56" s="25" t="n">
        <x:f>Subsurface_Live_Data!A56</x:f>
        <x:v>-33</x:v>
      </x:c>
      <x:c r="B56" s="25" t="n">
        <x:f>Subsurface_Live_Data!K56</x:f>
        <x:v>14578.466646582594</x:v>
      </x:c>
      <x:c r="C56" s="25" t="n">
        <x:f>MAX(0,B56-Subsurface_Inputs!$C$44)</x:f>
        <x:v>13078.466646582594</x:v>
      </x:c>
      <x:c r="D56" s="25" t="n">
        <x:f>B56+Subsurface_Inputs!$C$44</x:f>
        <x:v>16078.466646582594</x:v>
      </x:c>
      <x:c r="E56" s="25" t="n">
        <x:f>B56*Subsurface_Inputs!$C$45</x:f>
        <x:v>8018.156655620427</x:v>
      </x:c>
      <x:c r="F56" s="25" t="n">
        <x:f>B56</x:f>
        <x:v>14578.466646582594</x:v>
      </x:c>
      <x:c r="G56" s="25" t="n">
        <x:f>B56*Subsurface_Inputs!$C$46</x:f>
        <x:v>25512.31663151954</x:v>
      </x:c>
      <x:c r="H56" s="25" t="n">
        <x:f>Subsurface_Live_Data!Y56</x:f>
        <x:v>10.656567626636402</x:v>
      </x:c>
      <x:c r="I56" s="25" t="n">
        <x:f>Subsurface_Inputs!$C$47-Subsurface_Inputs!$C$43+2*SIN(2*PI()*A56/42)</x:f>
        <x:v>-13.050144175636353</x:v>
      </x:c>
      <x:c r="J56" s="25" t="n">
        <x:v>0</x:v>
      </x:c>
    </x:row>
    <x:row r="57">
      <x:c r="A57" s="25" t="n">
        <x:f>Subsurface_Live_Data!A57</x:f>
        <x:v>-32.5</x:v>
      </x:c>
      <x:c r="B57" s="25" t="n">
        <x:f>Subsurface_Live_Data!K57</x:f>
        <x:v>14580.08569704939</x:v>
      </x:c>
      <x:c r="C57" s="25" t="n">
        <x:f>MAX(0,B57-Subsurface_Inputs!$C$44)</x:f>
        <x:v>13080.08569704939</x:v>
      </x:c>
      <x:c r="D57" s="25" t="n">
        <x:f>B57+Subsurface_Inputs!$C$44</x:f>
        <x:v>16080.08569704939</x:v>
      </x:c>
      <x:c r="E57" s="25" t="n">
        <x:f>B57*Subsurface_Inputs!$C$45</x:f>
        <x:v>8019.047133377165</x:v>
      </x:c>
      <x:c r="F57" s="25" t="n">
        <x:f>B57</x:f>
        <x:v>14580.08569704939</x:v>
      </x:c>
      <x:c r="G57" s="25" t="n">
        <x:f>B57*Subsurface_Inputs!$C$46</x:f>
        <x:v>25515.14996983643</x:v>
      </x:c>
      <x:c r="H57" s="25" t="n">
        <x:f>Subsurface_Live_Data!Y57</x:f>
        <x:v>10.624684654638372</x:v>
      </x:c>
      <x:c r="I57" s="25" t="n">
        <x:f>Subsurface_Inputs!$C$47-Subsurface_Inputs!$C$43+2*SIN(2*PI()*A57/42)</x:f>
        <x:v>-13.022338347549743</x:v>
      </x:c>
      <x:c r="J57" s="25" t="n">
        <x:v>0</x:v>
      </x:c>
    </x:row>
    <x:row r="58">
      <x:c r="A58" s="25" t="n">
        <x:f>Subsurface_Live_Data!A58</x:f>
        <x:v>-32</x:v>
      </x:c>
      <x:c r="B58" s="25" t="n">
        <x:f>Subsurface_Live_Data!K58</x:f>
        <x:v>14584.952070760557</x:v>
      </x:c>
      <x:c r="C58" s="25" t="n">
        <x:f>MAX(0,B58-Subsurface_Inputs!$C$44)</x:f>
        <x:v>13084.952070760557</x:v>
      </x:c>
      <x:c r="D58" s="25" t="n">
        <x:f>B58+Subsurface_Inputs!$C$44</x:f>
        <x:v>16084.952070760557</x:v>
      </x:c>
      <x:c r="E58" s="25" t="n">
        <x:f>B58*Subsurface_Inputs!$C$45</x:f>
        <x:v>8021.723638918307</x:v>
      </x:c>
      <x:c r="F58" s="25" t="n">
        <x:f>B58</x:f>
        <x:v>14584.952070760557</x:v>
      </x:c>
      <x:c r="G58" s="25" t="n">
        <x:f>B58*Subsurface_Inputs!$C$46</x:f>
        <x:v>25523.666123830975</x:v>
      </x:c>
      <x:c r="H58" s="25" t="n">
        <x:f>Subsurface_Live_Data!Y58</x:f>
        <x:v>10.675396785439716</x:v>
      </x:c>
      <x:c r="I58" s="25" t="n">
        <x:f>Subsurface_Inputs!$C$47-Subsurface_Inputs!$C$43+2*SIN(2*PI()*A58/42)</x:f>
        <x:v>-13.005592405637639</x:v>
      </x:c>
      <x:c r="J58" s="25" t="n">
        <x:v>0</x:v>
      </x:c>
    </x:row>
    <x:row r="59">
      <x:c r="A59" s="25" t="n">
        <x:f>Subsurface_Live_Data!A59</x:f>
        <x:v>-31.5</x:v>
      </x:c>
      <x:c r="B59" s="25" t="n">
        <x:f>Subsurface_Live_Data!K59</x:f>
        <x:v>14587.057234351585</x:v>
      </x:c>
      <x:c r="C59" s="25" t="n">
        <x:f>MAX(0,B59-Subsurface_Inputs!$C$44)</x:f>
        <x:v>13087.057234351585</x:v>
      </x:c>
      <x:c r="D59" s="25" t="n">
        <x:f>B59+Subsurface_Inputs!$C$44</x:f>
        <x:v>16087.057234351585</x:v>
      </x:c>
      <x:c r="E59" s="25" t="n">
        <x:f>B59*Subsurface_Inputs!$C$45</x:f>
        <x:v>8022.881478893372</x:v>
      </x:c>
      <x:c r="F59" s="25" t="n">
        <x:f>B59</x:f>
        <x:v>14587.057234351585</x:v>
      </x:c>
      <x:c r="G59" s="25" t="n">
        <x:f>B59*Subsurface_Inputs!$C$46</x:f>
        <x:v>25527.350160115275</x:v>
      </x:c>
      <x:c r="H59" s="25" t="n">
        <x:f>Subsurface_Live_Data!Y59</x:f>
        <x:v>10.623086602121845</x:v>
      </x:c>
      <x:c r="I59" s="25" t="n">
        <x:f>Subsurface_Inputs!$C$47-Subsurface_Inputs!$C$43+2*SIN(2*PI()*A59/42)</x:f>
        <x:v>-13</x:v>
      </x:c>
      <x:c r="J59" s="25" t="n">
        <x:v>0</x:v>
      </x:c>
    </x:row>
    <x:row r="60">
      <x:c r="A60" s="25" t="n">
        <x:f>Subsurface_Live_Data!A60</x:f>
        <x:v>-31</x:v>
      </x:c>
      <x:c r="B60" s="25" t="n">
        <x:f>Subsurface_Live_Data!K60</x:f>
        <x:v>14592.076103026691</x:v>
      </x:c>
      <x:c r="C60" s="25" t="n">
        <x:f>MAX(0,B60-Subsurface_Inputs!$C$44)</x:f>
        <x:v>13092.076103026691</x:v>
      </x:c>
      <x:c r="D60" s="25" t="n">
        <x:f>B60+Subsurface_Inputs!$C$44</x:f>
        <x:v>16092.076103026691</x:v>
      </x:c>
      <x:c r="E60" s="25" t="n">
        <x:f>B60*Subsurface_Inputs!$C$45</x:f>
        <x:v>8025.641856664681</x:v>
      </x:c>
      <x:c r="F60" s="25" t="n">
        <x:f>B60</x:f>
        <x:v>14592.076103026691</x:v>
      </x:c>
      <x:c r="G60" s="25" t="n">
        <x:f>B60*Subsurface_Inputs!$C$46</x:f>
        <x:v>25536.13318029671</x:v>
      </x:c>
      <x:c r="H60" s="25" t="n">
        <x:f>Subsurface_Live_Data!Y60</x:f>
        <x:v>10.641692875388586</x:v>
      </x:c>
      <x:c r="I60" s="25" t="n">
        <x:f>Subsurface_Inputs!$C$47-Subsurface_Inputs!$C$43+2*SIN(2*PI()*A60/42)</x:f>
        <x:v>-13.005592405637639</x:v>
      </x:c>
      <x:c r="J60" s="25" t="n">
        <x:v>0</x:v>
      </x:c>
    </x:row>
    <x:row r="61">
      <x:c r="A61" s="25" t="n">
        <x:f>Subsurface_Live_Data!A61</x:f>
        <x:v>-30.5</x:v>
      </x:c>
      <x:c r="B61" s="25" t="n">
        <x:f>Subsurface_Live_Data!K61</x:f>
        <x:v>14599.553282966977</x:v>
      </x:c>
      <x:c r="C61" s="25" t="n">
        <x:f>MAX(0,B61-Subsurface_Inputs!$C$44)</x:f>
        <x:v>13099.553282966977</x:v>
      </x:c>
      <x:c r="D61" s="25" t="n">
        <x:f>B61+Subsurface_Inputs!$C$44</x:f>
        <x:v>16099.553282966977</x:v>
      </x:c>
      <x:c r="E61" s="25" t="n">
        <x:f>B61*Subsurface_Inputs!$C$45</x:f>
        <x:v>8029.754305631838</x:v>
      </x:c>
      <x:c r="F61" s="25" t="n">
        <x:f>B61</x:f>
        <x:v>14599.553282966977</x:v>
      </x:c>
      <x:c r="G61" s="25" t="n">
        <x:f>B61*Subsurface_Inputs!$C$46</x:f>
        <x:v>25549.21824519221</x:v>
      </x:c>
      <x:c r="H61" s="25" t="n">
        <x:f>Subsurface_Live_Data!Y61</x:f>
        <x:v>10.716558090918973</x:v>
      </x:c>
      <x:c r="I61" s="25" t="n">
        <x:f>Subsurface_Inputs!$C$47-Subsurface_Inputs!$C$43+2*SIN(2*PI()*A61/42)</x:f>
        <x:v>-13.022338347549743</x:v>
      </x:c>
      <x:c r="J61" s="25" t="n">
        <x:v>0</x:v>
      </x:c>
    </x:row>
    <x:row r="62">
      <x:c r="A62" s="25" t="n">
        <x:f>Subsurface_Live_Data!A62</x:f>
        <x:v>-30</x:v>
      </x:c>
      <x:c r="B62" s="25" t="n">
        <x:f>Subsurface_Live_Data!K62</x:f>
        <x:v>14605.92076461545</x:v>
      </x:c>
      <x:c r="C62" s="25" t="n">
        <x:f>MAX(0,B62-Subsurface_Inputs!$C$44)</x:f>
        <x:v>13105.92076461545</x:v>
      </x:c>
      <x:c r="D62" s="25" t="n">
        <x:f>B62+Subsurface_Inputs!$C$44</x:f>
        <x:v>16105.92076461545</x:v>
      </x:c>
      <x:c r="E62" s="25" t="n">
        <x:f>B62*Subsurface_Inputs!$C$45</x:f>
        <x:v>8033.256420538498</x:v>
      </x:c>
      <x:c r="F62" s="25" t="n">
        <x:f>B62</x:f>
        <x:v>14605.92076461545</x:v>
      </x:c>
      <x:c r="G62" s="25" t="n">
        <x:f>B62*Subsurface_Inputs!$C$46</x:f>
        <x:v>25560.361338077037</x:v>
      </x:c>
      <x:c r="H62" s="25" t="n">
        <x:f>Subsurface_Live_Data!Y62</x:f>
        <x:v>10.737289374659099</x:v>
      </x:c>
      <x:c r="I62" s="25" t="n">
        <x:f>Subsurface_Inputs!$C$47-Subsurface_Inputs!$C$43+2*SIN(2*PI()*A62/42)</x:f>
        <x:v>-13.050144175636353</x:v>
      </x:c>
      <x:c r="J62" s="25" t="n">
        <x:v>0</x:v>
      </x:c>
    </x:row>
    <x:row r="63">
      <x:c r="A63" s="25" t="n">
        <x:f>Subsurface_Live_Data!A63</x:f>
        <x:v>-29.5</x:v>
      </x:c>
      <x:c r="B63" s="25" t="n">
        <x:f>Subsurface_Live_Data!K63</x:f>
        <x:v>14614.27394913712</x:v>
      </x:c>
      <x:c r="C63" s="25" t="n">
        <x:f>MAX(0,B63-Subsurface_Inputs!$C$44)</x:f>
        <x:v>13114.27394913712</x:v>
      </x:c>
      <x:c r="D63" s="25" t="n">
        <x:f>B63+Subsurface_Inputs!$C$44</x:f>
        <x:v>16114.27394913712</x:v>
      </x:c>
      <x:c r="E63" s="25" t="n">
        <x:f>B63*Subsurface_Inputs!$C$45</x:f>
        <x:v>8037.850672025416</x:v>
      </x:c>
      <x:c r="F63" s="25" t="n">
        <x:f>B63</x:f>
        <x:v>14614.27394913712</x:v>
      </x:c>
      <x:c r="G63" s="25" t="n">
        <x:f>B63*Subsurface_Inputs!$C$46</x:f>
        <x:v>25574.97941098996</x:v>
      </x:c>
      <x:c r="H63" s="25" t="n">
        <x:f>Subsurface_Live_Data!Y63</x:f>
        <x:v>10.798582873999244</x:v>
      </x:c>
      <x:c r="I63" s="25" t="n">
        <x:f>Subsurface_Inputs!$C$47-Subsurface_Inputs!$C$43+2*SIN(2*PI()*A63/42)</x:f>
        <x:v>-13.08885438842772</x:v>
      </x:c>
      <x:c r="J63" s="25" t="n">
        <x:v>0</x:v>
      </x:c>
    </x:row>
    <x:row r="64">
      <x:c r="A64" s="25" t="n">
        <x:f>Subsurface_Live_Data!A64</x:f>
        <x:v>-29</x:v>
      </x:c>
      <x:c r="B64" s="25" t="n">
        <x:f>Subsurface_Live_Data!K64</x:f>
        <x:v>14621.073466646072</x:v>
      </x:c>
      <x:c r="C64" s="25" t="n">
        <x:f>MAX(0,B64-Subsurface_Inputs!$C$44)</x:f>
        <x:v>13121.073466646072</x:v>
      </x:c>
      <x:c r="D64" s="25" t="n">
        <x:f>B64+Subsurface_Inputs!$C$44</x:f>
        <x:v>16121.073466646072</x:v>
      </x:c>
      <x:c r="E64" s="25" t="n">
        <x:f>B64*Subsurface_Inputs!$C$45</x:f>
        <x:v>8041.59040665534</x:v>
      </x:c>
      <x:c r="F64" s="25" t="n">
        <x:f>B64</x:f>
        <x:v>14621.073466646072</x:v>
      </x:c>
      <x:c r="G64" s="25" t="n">
        <x:f>B64*Subsurface_Inputs!$C$46</x:f>
        <x:v>25586.878566630625</x:v>
      </x:c>
      <x:c r="H64" s="25" t="n">
        <x:f>Subsurface_Live_Data!Y64</x:f>
        <x:v>10.791021672156923</x:v>
      </x:c>
      <x:c r="I64" s="25" t="n">
        <x:f>Subsurface_Inputs!$C$47-Subsurface_Inputs!$C$43+2*SIN(2*PI()*A64/42)</x:f>
        <x:v>-13.138252502711591</x:v>
      </x:c>
      <x:c r="J64" s="25" t="n">
        <x:v>0</x:v>
      </x:c>
    </x:row>
    <x:row r="65">
      <x:c r="A65" s="25" t="n">
        <x:f>Subsurface_Live_Data!A65</x:f>
        <x:v>-28.5</x:v>
      </x:c>
      <x:c r="B65" s="25" t="n">
        <x:f>Subsurface_Live_Data!K65</x:f>
        <x:v>14632.4426235159</x:v>
      </x:c>
      <x:c r="C65" s="25" t="n">
        <x:f>MAX(0,B65-Subsurface_Inputs!$C$44)</x:f>
        <x:v>13132.4426235159</x:v>
      </x:c>
      <x:c r="D65" s="25" t="n">
        <x:f>B65+Subsurface_Inputs!$C$44</x:f>
        <x:v>16132.4426235159</x:v>
      </x:c>
      <x:c r="E65" s="25" t="n">
        <x:f>B65*Subsurface_Inputs!$C$45</x:f>
        <x:v>8047.843442933746</x:v>
      </x:c>
      <x:c r="F65" s="25" t="n">
        <x:f>B65</x:f>
        <x:v>14632.4426235159</x:v>
      </x:c>
      <x:c r="G65" s="25" t="n">
        <x:f>B65*Subsurface_Inputs!$C$46</x:f>
        <x:v>25606.774591152825</x:v>
      </x:c>
      <x:c r="H65" s="25" t="n">
        <x:f>Subsurface_Live_Data!Y65</x:f>
        <x:v>10.902573367276915</x:v>
      </x:c>
      <x:c r="I65" s="25" t="n">
        <x:f>Subsurface_Inputs!$C$47-Subsurface_Inputs!$C$43+2*SIN(2*PI()*A65/42)</x:f>
        <x:v>-13.198062264195162</x:v>
      </x:c>
      <x:c r="J65" s="25" t="n">
        <x:v>0</x:v>
      </x:c>
    </x:row>
    <x:row r="66">
      <x:c r="A66" s="25" t="n">
        <x:f>Subsurface_Live_Data!A66</x:f>
        <x:v>-28</x:v>
      </x:c>
      <x:c r="B66" s="25" t="n">
        <x:f>Subsurface_Live_Data!K66</x:f>
        <x:v>14641.123866777607</x:v>
      </x:c>
      <x:c r="C66" s="25" t="n">
        <x:f>MAX(0,B66-Subsurface_Inputs!$C$44)</x:f>
        <x:v>13141.123866777607</x:v>
      </x:c>
      <x:c r="D66" s="25" t="n">
        <x:f>B66+Subsurface_Inputs!$C$44</x:f>
        <x:v>16141.123866777607</x:v>
      </x:c>
      <x:c r="E66" s="25" t="n">
        <x:f>B66*Subsurface_Inputs!$C$45</x:f>
        <x:v>8052.618126727684</x:v>
      </x:c>
      <x:c r="F66" s="25" t="n">
        <x:f>B66</x:f>
        <x:v>14641.123866777607</x:v>
      </x:c>
      <x:c r="G66" s="25" t="n">
        <x:f>B66*Subsurface_Inputs!$C$46</x:f>
        <x:v>25621.966766860813</x:v>
      </x:c>
      <x:c r="H66" s="25" t="n">
        <x:f>Subsurface_Live_Data!Y66</x:f>
        <x:v>10.909509279233056</x:v>
      </x:c>
      <x:c r="I66" s="25" t="n">
        <x:f>Subsurface_Inputs!$C$47-Subsurface_Inputs!$C$43+2*SIN(2*PI()*A66/42)</x:f>
        <x:v>-13.267949192431123</x:v>
      </x:c>
      <x:c r="J66" s="25" t="n">
        <x:v>0</x:v>
      </x:c>
    </x:row>
    <x:row r="67">
      <x:c r="A67" s="25" t="n">
        <x:f>Subsurface_Live_Data!A67</x:f>
        <x:v>-27.5</x:v>
      </x:c>
      <x:c r="B67" s="25" t="n">
        <x:f>Subsurface_Live_Data!K67</x:f>
        <x:v>14653.311244711229</x:v>
      </x:c>
      <x:c r="C67" s="25" t="n">
        <x:f>MAX(0,B67-Subsurface_Inputs!$C$44)</x:f>
        <x:v>13153.311244711229</x:v>
      </x:c>
      <x:c r="D67" s="25" t="n">
        <x:f>B67+Subsurface_Inputs!$C$44</x:f>
        <x:v>16153.311244711229</x:v>
      </x:c>
      <x:c r="E67" s="25" t="n">
        <x:f>B67*Subsurface_Inputs!$C$45</x:f>
        <x:v>8059.3211845911765</x:v>
      </x:c>
      <x:c r="F67" s="25" t="n">
        <x:f>B67</x:f>
        <x:v>14653.311244711229</x:v>
      </x:c>
      <x:c r="G67" s="25" t="n">
        <x:f>B67*Subsurface_Inputs!$C$46</x:f>
        <x:v>25643.294678244652</x:v>
      </x:c>
      <x:c r="H67" s="25" t="n">
        <x:f>Subsurface_Live_Data!Y67</x:f>
        <x:v>11.002079179357061</x:v>
      </x:c>
      <x:c r="I67" s="25" t="n">
        <x:f>Subsurface_Inputs!$C$47-Subsurface_Inputs!$C$43+2*SIN(2*PI()*A67/42)</x:f>
        <x:v>-13.347522451368011</x:v>
      </x:c>
      <x:c r="J67" s="25" t="n">
        <x:v>0</x:v>
      </x:c>
    </x:row>
    <x:row r="68">
      <x:c r="A68" s="25" t="n">
        <x:f>Subsurface_Live_Data!A68</x:f>
        <x:v>-27</x:v>
      </x:c>
      <x:c r="B68" s="25" t="n">
        <x:f>Subsurface_Live_Data!K68</x:f>
        <x:v>14665.036556690677</x:v>
      </x:c>
      <x:c r="C68" s="25" t="n">
        <x:f>MAX(0,B68-Subsurface_Inputs!$C$44)</x:f>
        <x:v>13165.036556690677</x:v>
      </x:c>
      <x:c r="D68" s="25" t="n">
        <x:f>B68+Subsurface_Inputs!$C$44</x:f>
        <x:v>16165.036556690677</x:v>
      </x:c>
      <x:c r="E68" s="25" t="n">
        <x:f>B68*Subsurface_Inputs!$C$45</x:f>
        <x:v>8065.7701061798725</x:v>
      </x:c>
      <x:c r="F68" s="25" t="n">
        <x:f>B68</x:f>
        <x:v>14665.036556690677</x:v>
      </x:c>
      <x:c r="G68" s="25" t="n">
        <x:f>B68*Subsurface_Inputs!$C$46</x:f>
        <x:v>25663.813974208686</x:v>
      </x:c>
      <x:c r="H68" s="25" t="n">
        <x:f>Subsurface_Live_Data!Y68</x:f>
        <x:v>11.057880836584204</x:v>
      </x:c>
      <x:c r="I68" s="25" t="n">
        <x:f>Subsurface_Inputs!$C$47-Subsurface_Inputs!$C$43+2*SIN(2*PI()*A68/42)</x:f>
        <x:v>-13.436337035063941</x:v>
      </x:c>
      <x:c r="J68" s="25" t="n">
        <x:v>0</x:v>
      </x:c>
    </x:row>
    <x:row r="69">
      <x:c r="A69" s="25" t="n">
        <x:f>Subsurface_Live_Data!A69</x:f>
        <x:v>-26.5</x:v>
      </x:c>
      <x:c r="B69" s="25" t="n">
        <x:f>Subsurface_Live_Data!K69</x:f>
        <x:v>14676.338809952047</x:v>
      </x:c>
      <x:c r="C69" s="25" t="n">
        <x:f>MAX(0,B69-Subsurface_Inputs!$C$44)</x:f>
        <x:v>13176.338809952047</x:v>
      </x:c>
      <x:c r="D69" s="25" t="n">
        <x:f>B69+Subsurface_Inputs!$C$44</x:f>
        <x:v>16176.338809952047</x:v>
      </x:c>
      <x:c r="E69" s="25" t="n">
        <x:f>B69*Subsurface_Inputs!$C$45</x:f>
        <x:v>8071.986345473627</x:v>
      </x:c>
      <x:c r="F69" s="25" t="n">
        <x:f>B69</x:f>
        <x:v>14676.338809952047</x:v>
      </x:c>
      <x:c r="G69" s="25" t="n">
        <x:f>B69*Subsurface_Inputs!$C$46</x:f>
        <x:v>25683.59291741608</x:v>
      </x:c>
      <x:c r="H69" s="25" t="n">
        <x:f>Subsurface_Live_Data!Y69</x:f>
        <x:v>11.077875754022791</x:v>
      </x:c>
      <x:c r="I69" s="25" t="n">
        <x:f>Subsurface_Inputs!$C$47-Subsurface_Inputs!$C$43+2*SIN(2*PI()*A69/42)</x:f>
        <x:v>-13.533896256340347</x:v>
      </x:c>
      <x:c r="J69" s="25" t="n">
        <x:v>0</x:v>
      </x:c>
    </x:row>
    <x:row r="70">
      <x:c r="A70" s="25" t="n">
        <x:f>Subsurface_Live_Data!A70</x:f>
        <x:v>-26</x:v>
      </x:c>
      <x:c r="B70" s="25" t="n">
        <x:f>Subsurface_Live_Data!K70</x:f>
        <x:v>14691.249740602572</x:v>
      </x:c>
      <x:c r="C70" s="25" t="n">
        <x:f>MAX(0,B70-Subsurface_Inputs!$C$44)</x:f>
        <x:v>13191.249740602572</x:v>
      </x:c>
      <x:c r="D70" s="25" t="n">
        <x:f>B70+Subsurface_Inputs!$C$44</x:f>
        <x:v>16191.249740602572</x:v>
      </x:c>
      <x:c r="E70" s="25" t="n">
        <x:f>B70*Subsurface_Inputs!$C$45</x:f>
        <x:v>8080.187357331415</x:v>
      </x:c>
      <x:c r="F70" s="25" t="n">
        <x:f>B70</x:f>
        <x:v>14691.249740602572</x:v>
      </x:c>
      <x:c r="G70" s="25" t="n">
        <x:f>B70*Subsurface_Inputs!$C$46</x:f>
        <x:v>25709.687046054503</x:v>
      </x:c>
      <x:c r="H70" s="25" t="n">
        <x:f>Subsurface_Live_Data!Y70</x:f>
        <x:v>11.185944796017424</x:v>
      </x:c>
      <x:c r="I70" s="25" t="n">
        <x:f>Subsurface_Inputs!$C$47-Subsurface_Inputs!$C$43+2*SIN(2*PI()*A70/42)</x:f>
        <x:v>-13.63965452445816</x:v>
      </x:c>
      <x:c r="J70" s="25" t="n">
        <x:v>0</x:v>
      </x:c>
    </x:row>
    <x:row r="71">
      <x:c r="A71" s="25" t="n">
        <x:f>Subsurface_Live_Data!A71</x:f>
        <x:v>-25.5</x:v>
      </x:c>
      <x:c r="B71" s="25" t="n">
        <x:f>Subsurface_Live_Data!K71</x:f>
        <x:v>14704.33755909024</x:v>
      </x:c>
      <x:c r="C71" s="25" t="n">
        <x:f>MAX(0,B71-Subsurface_Inputs!$C$44)</x:f>
        <x:v>13204.33755909024</x:v>
      </x:c>
      <x:c r="D71" s="25" t="n">
        <x:f>B71+Subsurface_Inputs!$C$44</x:f>
        <x:v>16204.33755909024</x:v>
      </x:c>
      <x:c r="E71" s="25" t="n">
        <x:f>B71*Subsurface_Inputs!$C$45</x:f>
        <x:v>8087.3856574996325</x:v>
      </x:c>
      <x:c r="F71" s="25" t="n">
        <x:f>B71</x:f>
        <x:v>14704.33755909024</x:v>
      </x:c>
      <x:c r="G71" s="25" t="n">
        <x:f>B71*Subsurface_Inputs!$C$46</x:f>
        <x:v>25732.59072840792</x:v>
      </x:c>
      <x:c r="H71" s="25" t="n">
        <x:f>Subsurface_Live_Data!Y71</x:f>
        <x:v>11.214821032610757</x:v>
      </x:c>
      <x:c r="I71" s="25" t="n">
        <x:f>Subsurface_Inputs!$C$47-Subsurface_Inputs!$C$43+2*SIN(2*PI()*A71/42)</x:f>
        <x:v>-13.753020396282533</x:v>
      </x:c>
      <x:c r="J71" s="25" t="n">
        <x:v>0</x:v>
      </x:c>
    </x:row>
    <x:row r="72">
      <x:c r="A72" s="25" t="n">
        <x:f>Subsurface_Live_Data!A72</x:f>
        <x:v>-25</x:v>
      </x:c>
      <x:c r="B72" s="25" t="n">
        <x:f>Subsurface_Live_Data!K72</x:f>
        <x:v>14719.836152269878</x:v>
      </x:c>
      <x:c r="C72" s="25" t="n">
        <x:f>MAX(0,B72-Subsurface_Inputs!$C$44)</x:f>
        <x:v>13219.836152269878</x:v>
      </x:c>
      <x:c r="D72" s="25" t="n">
        <x:f>B72+Subsurface_Inputs!$C$44</x:f>
        <x:v>16219.836152269878</x:v>
      </x:c>
      <x:c r="E72" s="25" t="n">
        <x:f>B72*Subsurface_Inputs!$C$45</x:f>
        <x:v>8095.9098837484335</x:v>
      </x:c>
      <x:c r="F72" s="25" t="n">
        <x:f>B72</x:f>
        <x:v>14719.836152269878</x:v>
      </x:c>
      <x:c r="G72" s="25" t="n">
        <x:f>B72*Subsurface_Inputs!$C$46</x:f>
        <x:v>25759.713266472285</x:v>
      </x:c>
      <x:c r="H72" s="25" t="n">
        <x:f>Subsurface_Live_Data!Y72</x:f>
        <x:v>11.294723484494781</x:v>
      </x:c>
      <x:c r="I72" s="25" t="n">
        <x:f>Subsurface_Inputs!$C$47-Subsurface_Inputs!$C$43+2*SIN(2*PI()*A72/42)</x:f>
        <x:v>-13.873359883872755</x:v>
      </x:c>
      <x:c r="J72" s="25" t="n">
        <x:v>0</x:v>
      </x:c>
    </x:row>
    <x:row r="73">
      <x:c r="A73" s="25" t="n">
        <x:f>Subsurface_Live_Data!A73</x:f>
        <x:v>-24.5</x:v>
      </x:c>
      <x:c r="B73" s="25" t="n">
        <x:f>Subsurface_Live_Data!K73</x:f>
        <x:v>14732.271053468106</x:v>
      </x:c>
      <x:c r="C73" s="25" t="n">
        <x:f>MAX(0,B73-Subsurface_Inputs!$C$44)</x:f>
        <x:v>13232.271053468106</x:v>
      </x:c>
      <x:c r="D73" s="25" t="n">
        <x:f>B73+Subsurface_Inputs!$C$44</x:f>
        <x:v>16232.271053468106</x:v>
      </x:c>
      <x:c r="E73" s="25" t="n">
        <x:f>B73*Subsurface_Inputs!$C$45</x:f>
        <x:v>8102.749079407459</x:v>
      </x:c>
      <x:c r="F73" s="25" t="n">
        <x:f>B73</x:f>
        <x:v>14732.271053468106</x:v>
      </x:c>
      <x:c r="G73" s="25" t="n">
        <x:f>B73*Subsurface_Inputs!$C$46</x:f>
        <x:v>25781.474343569185</x:v>
      </x:c>
      <x:c r="H73" s="25" t="n">
        <x:f>Subsurface_Live_Data!Y73</x:f>
        <x:v>11.25719126250047</x:v>
      </x:c>
      <x:c r="I73" s="25" t="n">
        <x:f>Subsurface_Inputs!$C$47-Subsurface_Inputs!$C$43+2*SIN(2*PI()*A73/42)</x:f>
        <x:v>-14</x:v>
      </x:c>
      <x:c r="J73" s="25" t="n">
        <x:v>0</x:v>
      </x:c>
    </x:row>
    <x:row r="74">
      <x:c r="A74" s="25" t="n">
        <x:f>Subsurface_Live_Data!A74</x:f>
        <x:v>-24</x:v>
      </x:c>
      <x:c r="B74" s="25" t="n">
        <x:f>Subsurface_Live_Data!K74</x:f>
        <x:v>14748.893722340972</x:v>
      </x:c>
      <x:c r="C74" s="25" t="n">
        <x:f>MAX(0,B74-Subsurface_Inputs!$C$44)</x:f>
        <x:v>13248.893722340972</x:v>
      </x:c>
      <x:c r="D74" s="25" t="n">
        <x:f>B74+Subsurface_Inputs!$C$44</x:f>
        <x:v>16248.893722340972</x:v>
      </x:c>
      <x:c r="E74" s="25" t="n">
        <x:f>B74*Subsurface_Inputs!$C$45</x:f>
        <x:v>8111.891547287535</x:v>
      </x:c>
      <x:c r="F74" s="25" t="n">
        <x:f>B74</x:f>
        <x:v>14748.893722340972</x:v>
      </x:c>
      <x:c r="G74" s="25" t="n">
        <x:f>B74*Subsurface_Inputs!$C$46</x:f>
        <x:v>25810.5640140967</x:v>
      </x:c>
      <x:c r="H74" s="25" t="n">
        <x:f>Subsurface_Live_Data!Y74</x:f>
        <x:v>11.325418971252496</x:v>
      </x:c>
      <x:c r="I74" s="25" t="n">
        <x:f>Subsurface_Inputs!$C$47-Subsurface_Inputs!$C$43+2*SIN(2*PI()*A74/42)</x:f>
        <x:v>-14.132232521764884</x:v>
      </x:c>
      <x:c r="J74" s="25" t="n">
        <x:v>0</x:v>
      </x:c>
    </x:row>
    <x:row r="75">
      <x:c r="A75" s="25" t="n">
        <x:f>Subsurface_Live_Data!A75</x:f>
        <x:v>-23.5</x:v>
      </x:c>
      <x:c r="B75" s="25" t="n">
        <x:f>Subsurface_Live_Data!K75</x:f>
        <x:v>14764.46311292151</x:v>
      </x:c>
      <x:c r="C75" s="25" t="n">
        <x:f>MAX(0,B75-Subsurface_Inputs!$C$44)</x:f>
        <x:v>13264.46311292151</x:v>
      </x:c>
      <x:c r="D75" s="25" t="n">
        <x:f>B75+Subsurface_Inputs!$C$44</x:f>
        <x:v>16264.46311292151</x:v>
      </x:c>
      <x:c r="E75" s="25" t="n">
        <x:f>B75*Subsurface_Inputs!$C$45</x:f>
        <x:v>8120.454712106832</x:v>
      </x:c>
      <x:c r="F75" s="25" t="n">
        <x:f>B75</x:f>
        <x:v>14764.46311292151</x:v>
      </x:c>
      <x:c r="G75" s="25" t="n">
        <x:f>B75*Subsurface_Inputs!$C$46</x:f>
        <x:v>25837.810447612643</x:v>
      </x:c>
      <x:c r="H75" s="25" t="n">
        <x:f>Subsurface_Live_Data!Y75</x:f>
        <x:v>11.338249939067502</x:v>
      </x:c>
      <x:c r="I75" s="25" t="n">
        <x:f>Subsurface_Inputs!$C$47-Subsurface_Inputs!$C$43+2*SIN(2*PI()*A75/42)</x:f>
        <x:v>-14.26931795126721</x:v>
      </x:c>
      <x:c r="J75" s="25" t="n">
        <x:v>0</x:v>
      </x:c>
    </x:row>
    <x:row r="76">
      <x:c r="A76" s="25" t="n">
        <x:f>Subsurface_Live_Data!A76</x:f>
        <x:v>-23</x:v>
      </x:c>
      <x:c r="B76" s="25" t="n">
        <x:f>Subsurface_Live_Data!K76</x:f>
        <x:v>14780.793521743944</x:v>
      </x:c>
      <x:c r="C76" s="25" t="n">
        <x:f>MAX(0,B76-Subsurface_Inputs!$C$44)</x:f>
        <x:v>13280.793521743944</x:v>
      </x:c>
      <x:c r="D76" s="25" t="n">
        <x:f>B76+Subsurface_Inputs!$C$44</x:f>
        <x:v>16280.793521743944</x:v>
      </x:c>
      <x:c r="E76" s="25" t="n">
        <x:f>B76*Subsurface_Inputs!$C$45</x:f>
        <x:v>8129.43643695917</x:v>
      </x:c>
      <x:c r="F76" s="25" t="n">
        <x:f>B76</x:f>
        <x:v>14780.793521743944</x:v>
      </x:c>
      <x:c r="G76" s="25" t="n">
        <x:f>B76*Subsurface_Inputs!$C$46</x:f>
        <x:v>25866.388663051905</x:v>
      </x:c>
      <x:c r="H76" s="25" t="n">
        <x:f>Subsurface_Live_Data!Y76</x:f>
        <x:v>11.351691680234389</x:v>
      </x:c>
      <x:c r="I76" s="25" t="n">
        <x:f>Subsurface_Inputs!$C$47-Subsurface_Inputs!$C$43+2*SIN(2*PI()*A76/42)</x:f>
        <x:v>-14.410489651178192</x:v>
      </x:c>
      <x:c r="J76" s="25" t="n">
        <x:v>0</x:v>
      </x:c>
    </x:row>
    <x:row r="77">
      <x:c r="A77" s="25" t="n">
        <x:f>Subsurface_Live_Data!A77</x:f>
        <x:v>-22.5</x:v>
      </x:c>
      <x:c r="B77" s="25" t="n">
        <x:f>Subsurface_Live_Data!K77</x:f>
        <x:v>14797.700652613988</x:v>
      </x:c>
      <x:c r="C77" s="25" t="n">
        <x:f>MAX(0,B77-Subsurface_Inputs!$C$44)</x:f>
        <x:v>13297.700652613988</x:v>
      </x:c>
      <x:c r="D77" s="25" t="n">
        <x:f>B77+Subsurface_Inputs!$C$44</x:f>
        <x:v>16297.700652613988</x:v>
      </x:c>
      <x:c r="E77" s="25" t="n">
        <x:f>B77*Subsurface_Inputs!$C$45</x:f>
        <x:v>8138.735358937694</x:v>
      </x:c>
      <x:c r="F77" s="25" t="n">
        <x:f>B77</x:f>
        <x:v>14797.700652613988</x:v>
      </x:c>
      <x:c r="G77" s="25" t="n">
        <x:f>B77*Subsurface_Inputs!$C$46</x:f>
        <x:v>25895.97614207448</x:v>
      </x:c>
      <x:c r="H77" s="25" t="n">
        <x:f>Subsurface_Live_Data!Y77</x:f>
        <x:v>11.360313465460159</x:v>
      </x:c>
      <x:c r="I77" s="25" t="n">
        <x:f>Subsurface_Inputs!$C$47-Subsurface_Inputs!$C$43+2*SIN(2*PI()*A77/42)</x:f>
        <x:v>-14.554958132087371</x:v>
      </x:c>
      <x:c r="J77" s="25" t="n">
        <x:v>0</x:v>
      </x:c>
    </x:row>
    <x:row r="78">
      <x:c r="A78" s="25" t="n">
        <x:f>Subsurface_Live_Data!A78</x:f>
        <x:v>-22</x:v>
      </x:c>
      <x:c r="B78" s="25" t="n">
        <x:f>Subsurface_Live_Data!K78</x:f>
        <x:v>14812.199905041163</x:v>
      </x:c>
      <x:c r="C78" s="25" t="n">
        <x:f>MAX(0,B78-Subsurface_Inputs!$C$44)</x:f>
        <x:v>13312.199905041163</x:v>
      </x:c>
      <x:c r="D78" s="25" t="n">
        <x:f>B78+Subsurface_Inputs!$C$44</x:f>
        <x:v>16312.199905041163</x:v>
      </x:c>
      <x:c r="E78" s="25" t="n">
        <x:f>B78*Subsurface_Inputs!$C$45</x:f>
        <x:v>8146.709947772641</x:v>
      </x:c>
      <x:c r="F78" s="25" t="n">
        <x:f>B78</x:f>
        <x:v>14812.199905041163</x:v>
      </x:c>
      <x:c r="G78" s="25" t="n">
        <x:f>B78*Subsurface_Inputs!$C$46</x:f>
        <x:v>25921.349833822034</x:v>
      </x:c>
      <x:c r="H78" s="25" t="n">
        <x:f>Subsurface_Live_Data!Y78</x:f>
        <x:v>11.272576444408514</x:v>
      </x:c>
      <x:c r="I78" s="25" t="n">
        <x:f>Subsurface_Inputs!$C$47-Subsurface_Inputs!$C$43+2*SIN(2*PI()*A78/42)</x:f>
        <x:v>-14.701915467647652</x:v>
      </x:c>
      <x:c r="J78" s="25" t="n">
        <x:v>0</x:v>
      </x:c>
    </x:row>
    <x:row r="79">
      <x:c r="A79" s="25" t="n">
        <x:f>Subsurface_Live_Data!A79</x:f>
        <x:v>-21.5</x:v>
      </x:c>
      <x:c r="B79" s="25" t="n">
        <x:f>Subsurface_Live_Data!K79</x:f>
        <x:v>14829.43520052092</x:v>
      </x:c>
      <x:c r="C79" s="25" t="n">
        <x:f>MAX(0,B79-Subsurface_Inputs!$C$44)</x:f>
        <x:v>13329.43520052092</x:v>
      </x:c>
      <x:c r="D79" s="25" t="n">
        <x:f>B79+Subsurface_Inputs!$C$44</x:f>
        <x:v>16329.43520052092</x:v>
      </x:c>
      <x:c r="E79" s="25" t="n">
        <x:f>B79*Subsurface_Inputs!$C$45</x:f>
        <x:v>8156.189360286507</x:v>
      </x:c>
      <x:c r="F79" s="25" t="n">
        <x:f>B79</x:f>
        <x:v>14829.43520052092</x:v>
      </x:c>
      <x:c r="G79" s="25" t="n">
        <x:f>B79*Subsurface_Inputs!$C$46</x:f>
        <x:v>25951.51160091161</x:v>
      </x:c>
      <x:c r="H79" s="25" t="n">
        <x:f>Subsurface_Live_Data!Y79</x:f>
        <x:v>11.247129016783873</x:v>
      </x:c>
      <x:c r="I79" s="25" t="n">
        <x:f>Subsurface_Inputs!$C$47-Subsurface_Inputs!$C$43+2*SIN(2*PI()*A79/42)</x:f>
        <x:v>-14.850539812827153</x:v>
      </x:c>
      <x:c r="J79" s="25" t="n">
        <x:v>0</x:v>
      </x:c>
    </x:row>
    <x:row r="80">
      <x:c r="A80" s="25" t="n">
        <x:f>Subsurface_Live_Data!A80</x:f>
        <x:v>-21</x:v>
      </x:c>
      <x:c r="B80" s="25" t="n">
        <x:f>Subsurface_Live_Data!K80</x:f>
        <x:v>14851.674432510064</x:v>
      </x:c>
      <x:c r="C80" s="25" t="n">
        <x:f>MAX(0,B80-Subsurface_Inputs!$C$44)</x:f>
        <x:v>13351.674432510064</x:v>
      </x:c>
      <x:c r="D80" s="25" t="n">
        <x:f>B80+Subsurface_Inputs!$C$44</x:f>
        <x:v>16351.674432510064</x:v>
      </x:c>
      <x:c r="E80" s="25" t="n">
        <x:f>B80*Subsurface_Inputs!$C$45</x:f>
        <x:v>8168.420937880536</x:v>
      </x:c>
      <x:c r="F80" s="25" t="n">
        <x:f>B80</x:f>
        <x:v>14851.674432510064</x:v>
      </x:c>
      <x:c r="G80" s="25" t="n">
        <x:f>B80*Subsurface_Inputs!$C$46</x:f>
        <x:v>25990.430256892614</x:v>
      </x:c>
      <x:c r="H80" s="25" t="n">
        <x:f>Subsurface_Live_Data!Y80</x:f>
        <x:v>11.354180722343763</x:v>
      </x:c>
      <x:c r="I80" s="25" t="n">
        <x:f>Subsurface_Inputs!$C$47-Subsurface_Inputs!$C$43+2*SIN(2*PI()*A80/42)</x:f>
        <x:v>-15</x:v>
      </x:c>
      <x:c r="J80" s="25" t="n">
        <x:v>0</x:v>
      </x:c>
    </x:row>
    <x:row r="81">
      <x:c r="A81" s="25" t="n">
        <x:f>Subsurface_Live_Data!A81</x:f>
        <x:v>-20.5</x:v>
      </x:c>
      <x:c r="B81" s="25" t="n">
        <x:f>Subsurface_Live_Data!K81</x:f>
        <x:v>14869.049486702861</x:v>
      </x:c>
      <x:c r="C81" s="25" t="n">
        <x:f>MAX(0,B81-Subsurface_Inputs!$C$44)</x:f>
        <x:v>13369.049486702861</x:v>
      </x:c>
      <x:c r="D81" s="25" t="n">
        <x:f>B81+Subsurface_Inputs!$C$44</x:f>
        <x:v>16369.049486702861</x:v>
      </x:c>
      <x:c r="E81" s="25" t="n">
        <x:f>B81*Subsurface_Inputs!$C$45</x:f>
        <x:v>8177.9772176865745</x:v>
      </x:c>
      <x:c r="F81" s="25" t="n">
        <x:f>B81</x:f>
        <x:v>14869.049486702861</x:v>
      </x:c>
      <x:c r="G81" s="25" t="n">
        <x:f>B81*Subsurface_Inputs!$C$46</x:f>
        <x:v>26020.836601730007</x:v>
      </x:c>
      <x:c r="H81" s="25" t="n">
        <x:f>Subsurface_Live_Data!Y81</x:f>
        <x:v>11.290558893280085</x:v>
      </x:c>
      <x:c r="I81" s="25" t="n">
        <x:f>Subsurface_Inputs!$C$47-Subsurface_Inputs!$C$43+2*SIN(2*PI()*A81/42)</x:f>
        <x:v>-15.14946018717285</x:v>
      </x:c>
      <x:c r="J81" s="25" t="n">
        <x:v>0</x:v>
      </x:c>
    </x:row>
    <x:row r="82">
      <x:c r="A82" s="25" t="n">
        <x:f>Subsurface_Live_Data!A82</x:f>
        <x:v>-20</x:v>
      </x:c>
      <x:c r="B82" s="25" t="n">
        <x:f>Subsurface_Live_Data!K82</x:f>
        <x:v>14891.436062206292</x:v>
      </x:c>
      <x:c r="C82" s="25" t="n">
        <x:f>MAX(0,B82-Subsurface_Inputs!$C$44)</x:f>
        <x:v>13391.436062206292</x:v>
      </x:c>
      <x:c r="D82" s="25" t="n">
        <x:f>B82+Subsurface_Inputs!$C$44</x:f>
        <x:v>16391.436062206292</x:v>
      </x:c>
      <x:c r="E82" s="25" t="n">
        <x:f>B82*Subsurface_Inputs!$C$45</x:f>
        <x:v>8190.289834213461</x:v>
      </x:c>
      <x:c r="F82" s="25" t="n">
        <x:f>B82</x:f>
        <x:v>14891.436062206292</x:v>
      </x:c>
      <x:c r="G82" s="25" t="n">
        <x:f>B82*Subsurface_Inputs!$C$46</x:f>
        <x:v>26060.01310886101</x:v>
      </x:c>
      <x:c r="H82" s="25" t="n">
        <x:f>Subsurface_Live_Data!Y82</x:f>
        <x:v>11.36069559448277</x:v>
      </x:c>
      <x:c r="I82" s="25" t="n">
        <x:f>Subsurface_Inputs!$C$47-Subsurface_Inputs!$C$43+2*SIN(2*PI()*A82/42)</x:f>
        <x:v>-15.29808453235235</x:v>
      </x:c>
      <x:c r="J82" s="25" t="n">
        <x:v>0</x:v>
      </x:c>
    </x:row>
    <x:row r="83">
      <x:c r="A83" s="25" t="n">
        <x:f>Subsurface_Live_Data!A83</x:f>
        <x:v>-19.5</x:v>
      </x:c>
      <x:c r="B83" s="25" t="n">
        <x:f>Subsurface_Live_Data!K83</x:f>
        <x:v>14910.194563445193</x:v>
      </x:c>
      <x:c r="C83" s="25" t="n">
        <x:f>MAX(0,B83-Subsurface_Inputs!$C$44)</x:f>
        <x:v>13410.194563445193</x:v>
      </x:c>
      <x:c r="D83" s="25" t="n">
        <x:f>B83+Subsurface_Inputs!$C$44</x:f>
        <x:v>16410.19456344519</x:v>
      </x:c>
      <x:c r="E83" s="25" t="n">
        <x:f>B83*Subsurface_Inputs!$C$45</x:f>
        <x:v>8200.607009894857</x:v>
      </x:c>
      <x:c r="F83" s="25" t="n">
        <x:f>B83</x:f>
        <x:v>14910.194563445193</x:v>
      </x:c>
      <x:c r="G83" s="25" t="n">
        <x:f>B83*Subsurface_Inputs!$C$46</x:f>
        <x:v>26092.840486029087</x:v>
      </x:c>
      <x:c r="H83" s="25" t="n">
        <x:f>Subsurface_Live_Data!Y83</x:f>
        <x:v>11.299339356268206</x:v>
      </x:c>
      <x:c r="I83" s="25" t="n">
        <x:f>Subsurface_Inputs!$C$47-Subsurface_Inputs!$C$43+2*SIN(2*PI()*A83/42)</x:f>
        <x:v>-15.445041867912629</x:v>
      </x:c>
      <x:c r="J83" s="25" t="n">
        <x:v>0</x:v>
      </x:c>
    </x:row>
    <x:row r="84">
      <x:c r="A84" s="25" t="n">
        <x:f>Subsurface_Live_Data!A84</x:f>
        <x:v>-19</x:v>
      </x:c>
      <x:c r="B84" s="25" t="n">
        <x:f>Subsurface_Live_Data!K84</x:f>
        <x:v>14932.184635308318</x:v>
      </x:c>
      <x:c r="C84" s="25" t="n">
        <x:f>MAX(0,B84-Subsurface_Inputs!$C$44)</x:f>
        <x:v>13432.184635308318</x:v>
      </x:c>
      <x:c r="D84" s="25" t="n">
        <x:f>B84+Subsurface_Inputs!$C$44</x:f>
        <x:v>16432.184635308317</x:v>
      </x:c>
      <x:c r="E84" s="25" t="n">
        <x:f>B84*Subsurface_Inputs!$C$45</x:f>
        <x:v>8212.701549419577</x:v>
      </x:c>
      <x:c r="F84" s="25" t="n">
        <x:f>B84</x:f>
        <x:v>14932.184635308318</x:v>
      </x:c>
      <x:c r="G84" s="25" t="n">
        <x:f>B84*Subsurface_Inputs!$C$46</x:f>
        <x:v>26131.323111789556</x:v>
      </x:c>
      <x:c r="H84" s="25" t="n">
        <x:f>Subsurface_Live_Data!Y84</x:f>
        <x:v>11.318230004173138</x:v>
      </x:c>
      <x:c r="I84" s="25" t="n">
        <x:f>Subsurface_Inputs!$C$47-Subsurface_Inputs!$C$43+2*SIN(2*PI()*A84/42)</x:f>
        <x:v>-15.58951034882181</x:v>
      </x:c>
      <x:c r="J84" s="25" t="n">
        <x:v>0</x:v>
      </x:c>
    </x:row>
    <x:row r="85">
      <x:c r="A85" s="25" t="n">
        <x:f>Subsurface_Live_Data!A85</x:f>
        <x:v>-18.5</x:v>
      </x:c>
      <x:c r="B85" s="25" t="n">
        <x:f>Subsurface_Live_Data!K85</x:f>
        <x:v>14956.623219107312</x:v>
      </x:c>
      <x:c r="C85" s="25" t="n">
        <x:f>MAX(0,B85-Subsurface_Inputs!$C$44)</x:f>
        <x:v>13456.623219107312</x:v>
      </x:c>
      <x:c r="D85" s="25" t="n">
        <x:f>B85+Subsurface_Inputs!$C$44</x:f>
        <x:v>16456.623219107314</x:v>
      </x:c>
      <x:c r="E85" s="25" t="n">
        <x:f>B85*Subsurface_Inputs!$C$45</x:f>
        <x:v>8226.142770509023</x:v>
      </x:c>
      <x:c r="F85" s="25" t="n">
        <x:f>B85</x:f>
        <x:v>14956.623219107312</x:v>
      </x:c>
      <x:c r="G85" s="25" t="n">
        <x:f>B85*Subsurface_Inputs!$C$46</x:f>
        <x:v>26174.090633437798</x:v>
      </x:c>
      <x:c r="H85" s="25" t="n">
        <x:f>Subsurface_Live_Data!Y85</x:f>
        <x:v>11.393986820829596</x:v>
      </x:c>
      <x:c r="I85" s="25" t="n">
        <x:f>Subsurface_Inputs!$C$47-Subsurface_Inputs!$C$43+2*SIN(2*PI()*A85/42)</x:f>
        <x:v>-15.73068204873279</x:v>
      </x:c>
      <x:c r="J85" s="25" t="n">
        <x:v>0</x:v>
      </x:c>
    </x:row>
    <x:row r="86">
      <x:c r="A86" s="25" t="n">
        <x:f>Subsurface_Live_Data!A86</x:f>
        <x:v>-18</x:v>
      </x:c>
      <x:c r="B86" s="25" t="n">
        <x:f>Subsurface_Live_Data!K86</x:f>
        <x:v>14977.225154246555</x:v>
      </x:c>
      <x:c r="C86" s="25" t="n">
        <x:f>MAX(0,B86-Subsurface_Inputs!$C$44)</x:f>
        <x:v>13477.225154246555</x:v>
      </x:c>
      <x:c r="D86" s="25" t="n">
        <x:f>B86+Subsurface_Inputs!$C$44</x:f>
        <x:v>16477.225154246553</x:v>
      </x:c>
      <x:c r="E86" s="25" t="n">
        <x:f>B86*Subsurface_Inputs!$C$45</x:f>
        <x:v>8237.473834835606</x:v>
      </x:c>
      <x:c r="F86" s="25" t="n">
        <x:f>B86</x:f>
        <x:v>14977.225154246555</x:v>
      </x:c>
      <x:c r="G86" s="25" t="n">
        <x:f>B86*Subsurface_Inputs!$C$46</x:f>
        <x:v>26210.14401993147</x:v>
      </x:c>
      <x:c r="H86" s="25" t="n">
        <x:f>Subsurface_Live_Data!Y86</x:f>
        <x:v>11.333976608756615</x:v>
      </x:c>
      <x:c r="I86" s="25" t="n">
        <x:f>Subsurface_Inputs!$C$47-Subsurface_Inputs!$C$43+2*SIN(2*PI()*A86/42)</x:f>
        <x:v>-15.867767478235116</x:v>
      </x:c>
      <x:c r="J86" s="25" t="n">
        <x:v>0</x:v>
      </x:c>
    </x:row>
    <x:row r="87">
      <x:c r="A87" s="25" t="n">
        <x:f>Subsurface_Live_Data!A87</x:f>
        <x:v>-17.5</x:v>
      </x:c>
      <x:c r="B87" s="25" t="n">
        <x:f>Subsurface_Live_Data!K87</x:f>
        <x:v>15001.397890806353</x:v>
      </x:c>
      <x:c r="C87" s="25" t="n">
        <x:f>MAX(0,B87-Subsurface_Inputs!$C$44)</x:f>
        <x:v>13501.397890806353</x:v>
      </x:c>
      <x:c r="D87" s="25" t="n">
        <x:f>B87+Subsurface_Inputs!$C$44</x:f>
        <x:v>16501.39789080635</x:v>
      </x:c>
      <x:c r="E87" s="25" t="n">
        <x:f>B87*Subsurface_Inputs!$C$45</x:f>
        <x:v>8250.768839943496</x:v>
      </x:c>
      <x:c r="F87" s="25" t="n">
        <x:f>B87</x:f>
        <x:v>15001.397890806353</x:v>
      </x:c>
      <x:c r="G87" s="25" t="n">
        <x:f>B87*Subsurface_Inputs!$C$46</x:f>
        <x:v>26252.446308911116</x:v>
      </x:c>
      <x:c r="H87" s="25" t="n">
        <x:f>Subsurface_Live_Data!Y87</x:f>
        <x:v>11.366960963516341</x:v>
      </x:c>
      <x:c r="I87" s="25" t="n">
        <x:f>Subsurface_Inputs!$C$47-Subsurface_Inputs!$C$43+2*SIN(2*PI()*A87/42)</x:f>
        <x:v>-16</x:v>
      </x:c>
      <x:c r="J87" s="25" t="n">
        <x:v>0</x:v>
      </x:c>
    </x:row>
    <x:row r="88">
      <x:c r="A88" s="25" t="n">
        <x:f>Subsurface_Live_Data!A88</x:f>
        <x:v>-17</x:v>
      </x:c>
      <x:c r="B88" s="25" t="n">
        <x:f>Subsurface_Live_Data!K88</x:f>
        <x:v>15029.035468184995</x:v>
      </x:c>
      <x:c r="C88" s="25" t="n">
        <x:f>MAX(0,B88-Subsurface_Inputs!$C$44)</x:f>
        <x:v>13529.035468184995</x:v>
      </x:c>
      <x:c r="D88" s="25" t="n">
        <x:f>B88+Subsurface_Inputs!$C$44</x:f>
        <x:v>16529.035468184993</x:v>
      </x:c>
      <x:c r="E88" s="25" t="n">
        <x:f>B88*Subsurface_Inputs!$C$45</x:f>
        <x:v>8265.969507501748</x:v>
      </x:c>
      <x:c r="F88" s="25" t="n">
        <x:f>B88</x:f>
        <x:v>15029.035468184995</x:v>
      </x:c>
      <x:c r="G88" s="25" t="n">
        <x:f>B88*Subsurface_Inputs!$C$46</x:f>
        <x:v>26300.81206932374</x:v>
      </x:c>
      <x:c r="H88" s="25" t="n">
        <x:f>Subsurface_Live_Data!Y88</x:f>
        <x:v>11.490555106161587</x:v>
      </x:c>
      <x:c r="I88" s="25" t="n">
        <x:f>Subsurface_Inputs!$C$47-Subsurface_Inputs!$C$43+2*SIN(2*PI()*A88/42)</x:f>
        <x:v>-16.126640116127245</x:v>
      </x:c>
      <x:c r="J88" s="25" t="n">
        <x:v>0</x:v>
      </x:c>
    </x:row>
    <x:row r="89">
      <x:c r="A89" s="25" t="n">
        <x:f>Subsurface_Live_Data!A89</x:f>
        <x:v>-16.5</x:v>
      </x:c>
      <x:c r="B89" s="25" t="n">
        <x:f>Subsurface_Live_Data!K89</x:f>
        <x:v>15054.19542273615</x:v>
      </x:c>
      <x:c r="C89" s="25" t="n">
        <x:f>MAX(0,B89-Subsurface_Inputs!$C$44)</x:f>
        <x:v>13554.19542273615</x:v>
      </x:c>
      <x:c r="D89" s="25" t="n">
        <x:f>B89+Subsurface_Inputs!$C$44</x:f>
        <x:v>16554.19542273615</x:v>
      </x:c>
      <x:c r="E89" s="25" t="n">
        <x:f>B89*Subsurface_Inputs!$C$45</x:f>
        <x:v>8279.807482504883</x:v>
      </x:c>
      <x:c r="F89" s="25" t="n">
        <x:f>B89</x:f>
        <x:v>15054.19542273615</x:v>
      </x:c>
      <x:c r="G89" s="25" t="n">
        <x:f>B89*Subsurface_Inputs!$C$46</x:f>
        <x:v>26344.841989788263</x:v>
      </x:c>
      <x:c r="H89" s="25" t="n">
        <x:f>Subsurface_Live_Data!Y89</x:f>
        <x:v>11.522826992578295</x:v>
      </x:c>
      <x:c r="I89" s="25" t="n">
        <x:f>Subsurface_Inputs!$C$47-Subsurface_Inputs!$C$43+2*SIN(2*PI()*A89/42)</x:f>
        <x:v>-16.246979603717467</x:v>
      </x:c>
      <x:c r="J89" s="25" t="n">
        <x:v>0</x:v>
      </x:c>
    </x:row>
    <x:row r="90">
      <x:c r="A90" s="25" t="n">
        <x:f>Subsurface_Live_Data!A90</x:f>
        <x:v>-16</x:v>
      </x:c>
      <x:c r="B90" s="25" t="n">
        <x:f>Subsurface_Live_Data!K90</x:f>
        <x:v>15076.99559977411</x:v>
      </x:c>
      <x:c r="C90" s="25" t="n">
        <x:f>MAX(0,B90-Subsurface_Inputs!$C$44)</x:f>
        <x:v>13576.99559977411</x:v>
      </x:c>
      <x:c r="D90" s="25" t="n">
        <x:f>B90+Subsurface_Inputs!$C$44</x:f>
        <x:v>16576.995599774113</x:v>
      </x:c>
      <x:c r="E90" s="25" t="n">
        <x:f>B90*Subsurface_Inputs!$C$45</x:f>
        <x:v>8292.34757987576</x:v>
      </x:c>
      <x:c r="F90" s="25" t="n">
        <x:f>B90</x:f>
        <x:v>15076.99559977411</x:v>
      </x:c>
      <x:c r="G90" s="25" t="n">
        <x:f>B90*Subsurface_Inputs!$C$46</x:f>
        <x:v>26384.742299604695</x:v>
      </x:c>
      <x:c r="H90" s="25" t="n">
        <x:f>Subsurface_Live_Data!Y90</x:f>
        <x:v>11.468377346074561</x:v>
      </x:c>
      <x:c r="I90" s="25" t="n">
        <x:f>Subsurface_Inputs!$C$47-Subsurface_Inputs!$C$43+2*SIN(2*PI()*A90/42)</x:f>
        <x:v>-16.360345475541838</x:v>
      </x:c>
      <x:c r="J90" s="25" t="n">
        <x:v>0</x:v>
      </x:c>
    </x:row>
    <x:row r="91">
      <x:c r="A91" s="25" t="n">
        <x:f>Subsurface_Live_Data!A91</x:f>
        <x:v>-15.5</x:v>
      </x:c>
      <x:c r="B91" s="25" t="n">
        <x:f>Subsurface_Live_Data!K91</x:f>
        <x:v>15105.051448537502</x:v>
      </x:c>
      <x:c r="C91" s="25" t="n">
        <x:f>MAX(0,B91-Subsurface_Inputs!$C$44)</x:f>
        <x:v>13605.051448537502</x:v>
      </x:c>
      <x:c r="D91" s="25" t="n">
        <x:f>B91+Subsurface_Inputs!$C$44</x:f>
        <x:v>16605.051448537502</x:v>
      </x:c>
      <x:c r="E91" s="25" t="n">
        <x:f>B91*Subsurface_Inputs!$C$45</x:f>
        <x:v>8307.778296695627</x:v>
      </x:c>
      <x:c r="F91" s="25" t="n">
        <x:f>B91</x:f>
        <x:v>15105.051448537502</x:v>
      </x:c>
      <x:c r="G91" s="25" t="n">
        <x:f>B91*Subsurface_Inputs!$C$46</x:f>
        <x:v>26433.84003494063</x:v>
      </x:c>
      <x:c r="H91" s="25" t="n">
        <x:f>Subsurface_Live_Data!Y91</x:f>
        <x:v>11.56256527893845</x:v>
      </x:c>
      <x:c r="I91" s="25" t="n">
        <x:f>Subsurface_Inputs!$C$47-Subsurface_Inputs!$C$43+2*SIN(2*PI()*A91/42)</x:f>
        <x:v>-16.46610374365965</x:v>
      </x:c>
      <x:c r="J91" s="25" t="n">
        <x:v>0</x:v>
      </x:c>
    </x:row>
    <x:row r="92">
      <x:c r="A92" s="25" t="n">
        <x:f>Subsurface_Live_Data!A92</x:f>
        <x:v>-15</x:v>
      </x:c>
      <x:c r="B92" s="25" t="n">
        <x:f>Subsurface_Live_Data!K92</x:f>
        <x:v>15130.78865834882</x:v>
      </x:c>
      <x:c r="C92" s="25" t="n">
        <x:f>MAX(0,B92-Subsurface_Inputs!$C$44)</x:f>
        <x:v>13630.78865834882</x:v>
      </x:c>
      <x:c r="D92" s="25" t="n">
        <x:f>B92+Subsurface_Inputs!$C$44</x:f>
        <x:v>16630.78865834882</x:v>
      </x:c>
      <x:c r="E92" s="25" t="n">
        <x:f>B92*Subsurface_Inputs!$C$45</x:f>
        <x:v>8321.933762091852</x:v>
      </x:c>
      <x:c r="F92" s="25" t="n">
        <x:f>B92</x:f>
        <x:v>15130.78865834882</x:v>
      </x:c>
      <x:c r="G92" s="25" t="n">
        <x:f>B92*Subsurface_Inputs!$C$46</x:f>
        <x:v>26478.880152110436</x:v>
      </x:c>
      <x:c r="H92" s="25" t="n">
        <x:f>Subsurface_Live_Data!Y92</x:f>
        <x:v>11.573383574152366</x:v>
      </x:c>
      <x:c r="I92" s="25" t="n">
        <x:f>Subsurface_Inputs!$C$47-Subsurface_Inputs!$C$43+2*SIN(2*PI()*A92/42)</x:f>
        <x:v>-16.56366296493606</x:v>
      </x:c>
      <x:c r="J92" s="25" t="n">
        <x:v>0</x:v>
      </x:c>
    </x:row>
    <x:row r="93">
      <x:c r="A93" s="25" t="n">
        <x:f>Subsurface_Live_Data!A93</x:f>
        <x:v>-14.5</x:v>
      </x:c>
      <x:c r="B93" s="25" t="n">
        <x:f>Subsurface_Live_Data!K93</x:f>
        <x:v>15157.295315059795</x:v>
      </x:c>
      <x:c r="C93" s="25" t="n">
        <x:f>MAX(0,B93-Subsurface_Inputs!$C$44)</x:f>
        <x:v>13657.295315059795</x:v>
      </x:c>
      <x:c r="D93" s="25" t="n">
        <x:f>B93+Subsurface_Inputs!$C$44</x:f>
        <x:v>16657.295315059797</x:v>
      </x:c>
      <x:c r="E93" s="25" t="n">
        <x:f>B93*Subsurface_Inputs!$C$45</x:f>
        <x:v>8336.512423282888</x:v>
      </x:c>
      <x:c r="F93" s="25" t="n">
        <x:f>B93</x:f>
        <x:v>15157.295315059795</x:v>
      </x:c>
      <x:c r="G93" s="25" t="n">
        <x:f>B93*Subsurface_Inputs!$C$46</x:f>
        <x:v>26525.266801354643</x:v>
      </x:c>
      <x:c r="H93" s="25" t="n">
        <x:f>Subsurface_Live_Data!Y93</x:f>
        <x:v>11.596964229012642</x:v>
      </x:c>
      <x:c r="I93" s="25" t="n">
        <x:f>Subsurface_Inputs!$C$47-Subsurface_Inputs!$C$43+2*SIN(2*PI()*A93/42)</x:f>
        <x:v>-16.65247754863199</x:v>
      </x:c>
      <x:c r="J93" s="25" t="n">
        <x:v>0</x:v>
      </x:c>
    </x:row>
    <x:row r="94">
      <x:c r="A94" s="25" t="n">
        <x:f>Subsurface_Live_Data!A94</x:f>
        <x:v>-14</x:v>
      </x:c>
      <x:c r="B94" s="25" t="n">
        <x:f>Subsurface_Live_Data!K94</x:f>
        <x:v>15185.969392963387</x:v>
      </x:c>
      <x:c r="C94" s="25" t="n">
        <x:f>MAX(0,B94-Subsurface_Inputs!$C$44)</x:f>
        <x:v>13685.969392963387</x:v>
      </x:c>
      <x:c r="D94" s="25" t="n">
        <x:f>B94+Subsurface_Inputs!$C$44</x:f>
        <x:v>16685.969392963387</x:v>
      </x:c>
      <x:c r="E94" s="25" t="n">
        <x:f>B94*Subsurface_Inputs!$C$45</x:f>
        <x:v>8352.283166129864</x:v>
      </x:c>
      <x:c r="F94" s="25" t="n">
        <x:f>B94</x:f>
        <x:v>15185.969392963387</x:v>
      </x:c>
      <x:c r="G94" s="25" t="n">
        <x:f>B94*Subsurface_Inputs!$C$46</x:f>
        <x:v>26575.446437685925</x:v>
      </x:c>
      <x:c r="H94" s="25" t="n">
        <x:f>Subsurface_Live_Data!Y94</x:f>
        <x:v>11.65303840634082</x:v>
      </x:c>
      <x:c r="I94" s="25" t="n">
        <x:f>Subsurface_Inputs!$C$47-Subsurface_Inputs!$C$43+2*SIN(2*PI()*A94/42)</x:f>
        <x:v>-16.73205080756888</x:v>
      </x:c>
      <x:c r="J94" s="25" t="n">
        <x:v>0</x:v>
      </x:c>
    </x:row>
    <x:row r="95">
      <x:c r="A95" s="25" t="n">
        <x:f>Subsurface_Live_Data!A95</x:f>
        <x:v>-13.5</x:v>
      </x:c>
      <x:c r="B95" s="25" t="n">
        <x:f>Subsurface_Live_Data!K95</x:f>
        <x:v>15214.640299238325</x:v>
      </x:c>
      <x:c r="C95" s="25" t="n">
        <x:f>MAX(0,B95-Subsurface_Inputs!$C$44)</x:f>
        <x:v>13714.640299238325</x:v>
      </x:c>
      <x:c r="D95" s="25" t="n">
        <x:f>B95+Subsurface_Inputs!$C$44</x:f>
        <x:v>16714.640299238323</x:v>
      </x:c>
      <x:c r="E95" s="25" t="n">
        <x:f>B95*Subsurface_Inputs!$C$45</x:f>
        <x:v>8368.052164581079</x:v>
      </x:c>
      <x:c r="F95" s="25" t="n">
        <x:f>B95</x:f>
        <x:v>15214.640299238325</x:v>
      </x:c>
      <x:c r="G95" s="25" t="n">
        <x:f>B95*Subsurface_Inputs!$C$46</x:f>
        <x:v>26625.62052366707</x:v>
      </x:c>
      <x:c r="H95" s="25" t="n">
        <x:f>Subsurface_Live_Data!Y95</x:f>
        <x:v>11.477996849977245</x:v>
      </x:c>
      <x:c r="I95" s="25" t="n">
        <x:f>Subsurface_Inputs!$C$47-Subsurface_Inputs!$C$43+2*SIN(2*PI()*A95/42)</x:f>
        <x:v>-16.801937735804838</x:v>
      </x:c>
      <x:c r="J95" s="25" t="n">
        <x:v>0</x:v>
      </x:c>
    </x:row>
    <x:row r="96">
      <x:c r="A96" s="25" t="n">
        <x:f>Subsurface_Live_Data!A96</x:f>
        <x:v>-13</x:v>
      </x:c>
      <x:c r="B96" s="25" t="n">
        <x:f>Subsurface_Live_Data!K96</x:f>
        <x:v>15241.286697126148</x:v>
      </x:c>
      <x:c r="C96" s="25" t="n">
        <x:f>MAX(0,B96-Subsurface_Inputs!$C$44)</x:f>
        <x:v>13741.286697126148</x:v>
      </x:c>
      <x:c r="D96" s="25" t="n">
        <x:f>B96+Subsurface_Inputs!$C$44</x:f>
        <x:v>16741.286697126146</x:v>
      </x:c>
      <x:c r="E96" s="25" t="n">
        <x:f>B96*Subsurface_Inputs!$C$45</x:f>
        <x:v>8382.707683419383</x:v>
      </x:c>
      <x:c r="F96" s="25" t="n">
        <x:f>B96</x:f>
        <x:v>15241.286697126148</x:v>
      </x:c>
      <x:c r="G96" s="25" t="n">
        <x:f>B96*Subsurface_Inputs!$C$46</x:f>
        <x:v>26672.251719970758</x:v>
      </x:c>
      <x:c r="H96" s="25" t="n">
        <x:f>Subsurface_Live_Data!Y96</x:f>
        <x:v>11.379905453939706</x:v>
      </x:c>
      <x:c r="I96" s="25" t="n">
        <x:f>Subsurface_Inputs!$C$47-Subsurface_Inputs!$C$43+2*SIN(2*PI()*A96/42)</x:f>
        <x:v>-16.86174749728841</x:v>
      </x:c>
      <x:c r="J96" s="25" t="n">
        <x:v>0</x:v>
      </x:c>
    </x:row>
    <x:row r="97">
      <x:c r="A97" s="25" t="n">
        <x:f>Subsurface_Live_Data!A97</x:f>
        <x:v>-12.5</x:v>
      </x:c>
      <x:c r="B97" s="25" t="n">
        <x:f>Subsurface_Live_Data!K97</x:f>
        <x:v>15267.885369240817</x:v>
      </x:c>
      <x:c r="C97" s="25" t="n">
        <x:f>MAX(0,B97-Subsurface_Inputs!$C$44)</x:f>
        <x:v>13767.885369240817</x:v>
      </x:c>
      <x:c r="D97" s="25" t="n">
        <x:f>B97+Subsurface_Inputs!$C$44</x:f>
        <x:v>16767.885369240816</x:v>
      </x:c>
      <x:c r="E97" s="25" t="n">
        <x:f>B97*Subsurface_Inputs!$C$45</x:f>
        <x:v>8397.336953082451</x:v>
      </x:c>
      <x:c r="F97" s="25" t="n">
        <x:f>B97</x:f>
        <x:v>15267.885369240817</x:v>
      </x:c>
      <x:c r="G97" s="25" t="n">
        <x:f>B97*Subsurface_Inputs!$C$46</x:f>
        <x:v>26718.79939617143</x:v>
      </x:c>
      <x:c r="H97" s="25" t="n">
        <x:f>Subsurface_Live_Data!Y97</x:f>
        <x:v>11.289568636877028</x:v>
      </x:c>
      <x:c r="I97" s="25" t="n">
        <x:f>Subsurface_Inputs!$C$47-Subsurface_Inputs!$C$43+2*SIN(2*PI()*A97/42)</x:f>
        <x:v>-16.91114561157228</x:v>
      </x:c>
      <x:c r="J97" s="25" t="n">
        <x:v>0</x:v>
      </x:c>
    </x:row>
    <x:row r="98">
      <x:c r="A98" s="25" t="n">
        <x:f>Subsurface_Live_Data!A98</x:f>
        <x:v>-12</x:v>
      </x:c>
      <x:c r="B98" s="25" t="n">
        <x:f>Subsurface_Live_Data!K98</x:f>
        <x:v>15298.413678377061</x:v>
      </x:c>
      <x:c r="C98" s="25" t="n">
        <x:f>MAX(0,B98-Subsurface_Inputs!$C$44)</x:f>
        <x:v>13798.413678377061</x:v>
      </x:c>
      <x:c r="D98" s="25" t="n">
        <x:f>B98+Subsurface_Inputs!$C$44</x:f>
        <x:v>16798.41367837706</x:v>
      </x:c>
      <x:c r="E98" s="25" t="n">
        <x:f>B98*Subsurface_Inputs!$C$45</x:f>
        <x:v>8414.127523107385</x:v>
      </x:c>
      <x:c r="F98" s="25" t="n">
        <x:f>B98</x:f>
        <x:v>15298.413678377061</x:v>
      </x:c>
      <x:c r="G98" s="25" t="n">
        <x:f>B98*Subsurface_Inputs!$C$46</x:f>
        <x:v>26772.223937159855</x:v>
      </x:c>
      <x:c r="H98" s="25" t="n">
        <x:f>Subsurface_Live_Data!Y98</x:f>
        <x:v>11.06899877662434</x:v>
      </x:c>
      <x:c r="I98" s="25" t="n">
        <x:f>Subsurface_Inputs!$C$47-Subsurface_Inputs!$C$43+2*SIN(2*PI()*A98/42)</x:f>
        <x:v>-16.94985582436365</x:v>
      </x:c>
      <x:c r="J98" s="25" t="n">
        <x:v>0</x:v>
      </x:c>
    </x:row>
    <x:row r="99">
      <x:c r="A99" s="25" t="n">
        <x:f>Subsurface_Live_Data!A99</x:f>
        <x:v>-11.5</x:v>
      </x:c>
      <x:c r="B99" s="25" t="n">
        <x:f>Subsurface_Live_Data!K99</x:f>
        <x:v>15324.614103451211</x:v>
      </x:c>
      <x:c r="C99" s="25" t="n">
        <x:f>MAX(0,B99-Subsurface_Inputs!$C$44)</x:f>
        <x:v>13824.614103451211</x:v>
      </x:c>
      <x:c r="D99" s="25" t="n">
        <x:f>B99+Subsurface_Inputs!$C$44</x:f>
        <x:v>16824.61410345121</x:v>
      </x:c>
      <x:c r="E99" s="25" t="n">
        <x:f>B99*Subsurface_Inputs!$C$45</x:f>
        <x:v>8428.537756898168</x:v>
      </x:c>
      <x:c r="F99" s="25" t="n">
        <x:f>B99</x:f>
        <x:v>15324.614103451211</x:v>
      </x:c>
      <x:c r="G99" s="25" t="n">
        <x:f>B99*Subsurface_Inputs!$C$46</x:f>
        <x:v>26818.07468103962</x:v>
      </x:c>
      <x:c r="H99" s="25" t="n">
        <x:f>Subsurface_Live_Data!Y99</x:f>
        <x:v>11.00071227984526</x:v>
      </x:c>
      <x:c r="I99" s="25" t="n">
        <x:f>Subsurface_Inputs!$C$47-Subsurface_Inputs!$C$43+2*SIN(2*PI()*A99/42)</x:f>
        <x:v>-16.97766165245026</x:v>
      </x:c>
      <x:c r="J99" s="25" t="n">
        <x:v>0</x:v>
      </x:c>
    </x:row>
    <x:row r="100">
      <x:c r="A100" s="25" t="n">
        <x:f>Subsurface_Live_Data!A100</x:f>
        <x:v>-11</x:v>
      </x:c>
      <x:c r="B100" s="25" t="n">
        <x:f>Subsurface_Live_Data!K100</x:f>
        <x:v>15353.311864414836</x:v>
      </x:c>
      <x:c r="C100" s="25" t="n">
        <x:f>MAX(0,B100-Subsurface_Inputs!$C$44)</x:f>
        <x:v>13853.311864414836</x:v>
      </x:c>
      <x:c r="D100" s="25" t="n">
        <x:f>B100+Subsurface_Inputs!$C$44</x:f>
        <x:v>16853.311864414834</x:v>
      </x:c>
      <x:c r="E100" s="25" t="n">
        <x:f>B100*Subsurface_Inputs!$C$45</x:f>
        <x:v>8444.32152542816</x:v>
      </x:c>
      <x:c r="F100" s="25" t="n">
        <x:f>B100</x:f>
        <x:v>15353.311864414836</x:v>
      </x:c>
      <x:c r="G100" s="25" t="n">
        <x:f>B100*Subsurface_Inputs!$C$46</x:f>
        <x:v>26868.295762725964</x:v>
      </x:c>
      <x:c r="H100" s="25" t="n">
        <x:f>Subsurface_Live_Data!Y100</x:f>
        <x:v>10.84878669749451</x:v>
      </x:c>
      <x:c r="I100" s="25" t="n">
        <x:f>Subsurface_Inputs!$C$47-Subsurface_Inputs!$C$43+2*SIN(2*PI()*A100/42)</x:f>
        <x:v>-16.99440759436236</x:v>
      </x:c>
      <x:c r="J100" s="25" t="n">
        <x:v>0</x:v>
      </x:c>
    </x:row>
    <x:row r="101">
      <x:c r="A101" s="25" t="n">
        <x:f>Subsurface_Live_Data!A101</x:f>
        <x:v>-10.5</x:v>
      </x:c>
      <x:c r="B101" s="25" t="n">
        <x:f>Subsurface_Live_Data!K101</x:f>
        <x:v>15381.489084576646</x:v>
      </x:c>
      <x:c r="C101" s="25" t="n">
        <x:f>MAX(0,B101-Subsurface_Inputs!$C$44)</x:f>
        <x:v>13881.489084576646</x:v>
      </x:c>
      <x:c r="D101" s="25" t="n">
        <x:f>B101+Subsurface_Inputs!$C$44</x:f>
        <x:v>16881.489084576646</x:v>
      </x:c>
      <x:c r="E101" s="25" t="n">
        <x:f>B101*Subsurface_Inputs!$C$45</x:f>
        <x:v>8459.818996517155</x:v>
      </x:c>
      <x:c r="F101" s="25" t="n">
        <x:f>B101</x:f>
        <x:v>15381.489084576646</x:v>
      </x:c>
      <x:c r="G101" s="25" t="n">
        <x:f>B101*Subsurface_Inputs!$C$46</x:f>
        <x:v>26917.60589800913</x:v>
      </x:c>
      <x:c r="H101" s="25" t="n">
        <x:f>Subsurface_Live_Data!Y101</x:f>
        <x:v>10.715600351220239</x:v>
      </x:c>
      <x:c r="I101" s="25" t="n">
        <x:f>Subsurface_Inputs!$C$47-Subsurface_Inputs!$C$43+2*SIN(2*PI()*A101/42)</x:f>
        <x:v>-17</x:v>
      </x:c>
      <x:c r="J101" s="25" t="n">
        <x:v>0</x:v>
      </x:c>
    </x:row>
    <x:row r="102">
      <x:c r="A102" s="25" t="n">
        <x:f>Subsurface_Live_Data!A102</x:f>
        <x:v>-10</x:v>
      </x:c>
      <x:c r="B102" s="25" t="n">
        <x:f>Subsurface_Live_Data!K102</x:f>
        <x:v>15410.508745213148</x:v>
      </x:c>
      <x:c r="C102" s="25" t="n">
        <x:f>MAX(0,B102-Subsurface_Inputs!$C$44)</x:f>
        <x:v>13910.508745213148</x:v>
      </x:c>
      <x:c r="D102" s="25" t="n">
        <x:f>B102+Subsurface_Inputs!$C$44</x:f>
        <x:v>16910.50874521315</x:v>
      </x:c>
      <x:c r="E102" s="25" t="n">
        <x:f>B102*Subsurface_Inputs!$C$45</x:f>
        <x:v>8475.779809867232</x:v>
      </x:c>
      <x:c r="F102" s="25" t="n">
        <x:f>B102</x:f>
        <x:v>15410.508745213148</x:v>
      </x:c>
      <x:c r="G102" s="25" t="n">
        <x:f>B102*Subsurface_Inputs!$C$46</x:f>
        <x:v>26968.390304123008</x:v>
      </x:c>
      <x:c r="H102" s="25" t="n">
        <x:f>Subsurface_Live_Data!Y102</x:f>
        <x:v>10.552937731266816</x:v>
      </x:c>
      <x:c r="I102" s="25" t="n">
        <x:f>Subsurface_Inputs!$C$47-Subsurface_Inputs!$C$43+2*SIN(2*PI()*A102/42)</x:f>
        <x:v>-16.99440759436236</x:v>
      </x:c>
      <x:c r="J102" s="25" t="n">
        <x:v>0</x:v>
      </x:c>
    </x:row>
    <x:row r="103">
      <x:c r="A103" s="25" t="n">
        <x:f>Subsurface_Live_Data!A103</x:f>
        <x:v>-9.5</x:v>
      </x:c>
      <x:c r="B103" s="25" t="n">
        <x:f>Subsurface_Live_Data!K103</x:f>
        <x:v>15439.79021897657</x:v>
      </x:c>
      <x:c r="C103" s="25" t="n">
        <x:f>MAX(0,B103-Subsurface_Inputs!$C$44)</x:f>
        <x:v>13939.79021897657</x:v>
      </x:c>
      <x:c r="D103" s="25" t="n">
        <x:f>B103+Subsurface_Inputs!$C$44</x:f>
        <x:v>16939.79021897657</x:v>
      </x:c>
      <x:c r="E103" s="25" t="n">
        <x:f>B103*Subsurface_Inputs!$C$45</x:f>
        <x:v>8491.884620437115</x:v>
      </x:c>
      <x:c r="F103" s="25" t="n">
        <x:f>B103</x:f>
        <x:v>15439.79021897657</x:v>
      </x:c>
      <x:c r="G103" s="25" t="n">
        <x:f>B103*Subsurface_Inputs!$C$46</x:f>
        <x:v>27019.632883208997</x:v>
      </x:c>
      <x:c r="H103" s="25" t="n">
        <x:f>Subsurface_Live_Data!Y103</x:f>
        <x:v>10.37937353917549</x:v>
      </x:c>
      <x:c r="I103" s="25" t="n">
        <x:f>Subsurface_Inputs!$C$47-Subsurface_Inputs!$C$43+2*SIN(2*PI()*A103/42)</x:f>
        <x:v>-16.97766165245026</x:v>
      </x:c>
      <x:c r="J103" s="25" t="n">
        <x:v>0</x:v>
      </x:c>
    </x:row>
    <x:row r="104">
      <x:c r="A104" s="25" t="n">
        <x:f>Subsurface_Live_Data!A104</x:f>
        <x:v>-9</x:v>
      </x:c>
      <x:c r="B104" s="25" t="n">
        <x:f>Subsurface_Live_Data!K104</x:f>
        <x:v>15467.420577548042</x:v>
      </x:c>
      <x:c r="C104" s="25" t="n">
        <x:f>MAX(0,B104-Subsurface_Inputs!$C$44)</x:f>
        <x:v>13967.420577548042</x:v>
      </x:c>
      <x:c r="D104" s="25" t="n">
        <x:f>B104+Subsurface_Inputs!$C$44</x:f>
        <x:v>16967.420577548044</x:v>
      </x:c>
      <x:c r="E104" s="25" t="n">
        <x:f>B104*Subsurface_Inputs!$C$45</x:f>
        <x:v>8507.081317651424</x:v>
      </x:c>
      <x:c r="F104" s="25" t="n">
        <x:f>B104</x:f>
        <x:v>15467.420577548042</x:v>
      </x:c>
      <x:c r="G104" s="25" t="n">
        <x:f>B104*Subsurface_Inputs!$C$46</x:f>
        <x:v>27067.986010709075</x:v>
      </x:c>
      <x:c r="H104" s="25" t="n">
        <x:f>Subsurface_Live_Data!Y104</x:f>
        <x:v>10.259264306893598</x:v>
      </x:c>
      <x:c r="I104" s="25" t="n">
        <x:f>Subsurface_Inputs!$C$47-Subsurface_Inputs!$C$43+2*SIN(2*PI()*A104/42)</x:f>
        <x:v>-16.94985582436365</x:v>
      </x:c>
      <x:c r="J104" s="25" t="n">
        <x:v>0</x:v>
      </x:c>
    </x:row>
    <x:row r="105">
      <x:c r="A105" s="25" t="n">
        <x:f>Subsurface_Live_Data!A105</x:f>
        <x:v>-8.5</x:v>
      </x:c>
      <x:c r="B105" s="25" t="n">
        <x:f>Subsurface_Live_Data!K105</x:f>
        <x:v>15499.09132522038</x:v>
      </x:c>
      <x:c r="C105" s="25" t="n">
        <x:f>MAX(0,B105-Subsurface_Inputs!$C$44)</x:f>
        <x:v>13999.09132522038</x:v>
      </x:c>
      <x:c r="D105" s="25" t="n">
        <x:f>B105+Subsurface_Inputs!$C$44</x:f>
        <x:v>16999.091325220383</x:v>
      </x:c>
      <x:c r="E105" s="25" t="n">
        <x:f>B105*Subsurface_Inputs!$C$45</x:f>
        <x:v>8524.50022887121</x:v>
      </x:c>
      <x:c r="F105" s="25" t="n">
        <x:f>B105</x:f>
        <x:v>15499.09132522038</x:v>
      </x:c>
      <x:c r="G105" s="25" t="n">
        <x:f>B105*Subsurface_Inputs!$C$46</x:f>
        <x:v>27123.409819135668</x:v>
      </x:c>
      <x:c r="H105" s="25" t="n">
        <x:f>Subsurface_Live_Data!Y105</x:f>
        <x:v>9.995583270854908</x:v>
      </x:c>
      <x:c r="I105" s="25" t="n">
        <x:f>Subsurface_Inputs!$C$47-Subsurface_Inputs!$C$43+2*SIN(2*PI()*A105/42)</x:f>
        <x:v>-16.91114561157228</x:v>
      </x:c>
      <x:c r="J105" s="25" t="n">
        <x:v>0</x:v>
      </x:c>
    </x:row>
    <x:row r="106">
      <x:c r="A106" s="25" t="n">
        <x:f>Subsurface_Live_Data!A106</x:f>
        <x:v>-8</x:v>
      </x:c>
      <x:c r="B106" s="25" t="n">
        <x:f>Subsurface_Live_Data!K106</x:f>
        <x:v>15525.64240190194</x:v>
      </x:c>
      <x:c r="C106" s="25" t="n">
        <x:f>MAX(0,B106-Subsurface_Inputs!$C$44)</x:f>
        <x:v>14025.64240190194</x:v>
      </x:c>
      <x:c r="D106" s="25" t="n">
        <x:f>B106+Subsurface_Inputs!$C$44</x:f>
        <x:v>17025.64240190194</x:v>
      </x:c>
      <x:c r="E106" s="25" t="n">
        <x:f>B106*Subsurface_Inputs!$C$45</x:f>
        <x:v>8539.103321046068</x:v>
      </x:c>
      <x:c r="F106" s="25" t="n">
        <x:f>B106</x:f>
        <x:v>15525.64240190194</x:v>
      </x:c>
      <x:c r="G106" s="25" t="n">
        <x:f>B106*Subsurface_Inputs!$C$46</x:f>
        <x:v>27169.874203328392</x:v>
      </x:c>
      <x:c r="H106" s="25" t="n">
        <x:f>Subsurface_Live_Data!Y106</x:f>
        <x:v>9.901768272525374</x:v>
      </x:c>
      <x:c r="I106" s="25" t="n">
        <x:f>Subsurface_Inputs!$C$47-Subsurface_Inputs!$C$43+2*SIN(2*PI()*A106/42)</x:f>
        <x:v>-16.86174749728841</x:v>
      </x:c>
      <x:c r="J106" s="25" t="n">
        <x:v>0</x:v>
      </x:c>
    </x:row>
    <x:row r="107">
      <x:c r="A107" s="25" t="n">
        <x:f>Subsurface_Live_Data!A107</x:f>
        <x:v>-7.5</x:v>
      </x:c>
      <x:c r="B107" s="25" t="n">
        <x:f>Subsurface_Live_Data!K107</x:f>
        <x:v>15554.79313941637</x:v>
      </x:c>
      <x:c r="C107" s="25" t="n">
        <x:f>MAX(0,B107-Subsurface_Inputs!$C$44)</x:f>
        <x:v>14054.79313941637</x:v>
      </x:c>
      <x:c r="D107" s="25" t="n">
        <x:f>B107+Subsurface_Inputs!$C$44</x:f>
        <x:v>17054.793139416368</x:v>
      </x:c>
      <x:c r="E107" s="25" t="n">
        <x:f>B107*Subsurface_Inputs!$C$45</x:f>
        <x:v>8555.136226679004</x:v>
      </x:c>
      <x:c r="F107" s="25" t="n">
        <x:f>B107</x:f>
        <x:v>15554.79313941637</x:v>
      </x:c>
      <x:c r="G107" s="25" t="n">
        <x:f>B107*Subsurface_Inputs!$C$46</x:f>
        <x:v>27220.887993978646</x:v>
      </x:c>
      <x:c r="H107" s="25" t="n">
        <x:f>Subsurface_Live_Data!Y107</x:f>
        <x:v>9.71108668593208</x:v>
      </x:c>
      <x:c r="I107" s="25" t="n">
        <x:f>Subsurface_Inputs!$C$47-Subsurface_Inputs!$C$43+2*SIN(2*PI()*A107/42)</x:f>
        <x:v>-16.801937735804838</x:v>
      </x:c>
      <x:c r="J107" s="25" t="n">
        <x:v>0</x:v>
      </x:c>
    </x:row>
    <x:row r="108">
      <x:c r="A108" s="25" t="n">
        <x:f>Subsurface_Live_Data!A108</x:f>
        <x:v>-7</x:v>
      </x:c>
      <x:c r="B108" s="25" t="n">
        <x:f>Subsurface_Live_Data!K108</x:f>
        <x:v>15586.69843418237</x:v>
      </x:c>
      <x:c r="C108" s="25" t="n">
        <x:f>MAX(0,B108-Subsurface_Inputs!$C$44)</x:f>
        <x:v>14086.69843418237</x:v>
      </x:c>
      <x:c r="D108" s="25" t="n">
        <x:f>B108+Subsurface_Inputs!$C$44</x:f>
        <x:v>17086.69843418237</x:v>
      </x:c>
      <x:c r="E108" s="25" t="n">
        <x:f>B108*Subsurface_Inputs!$C$45</x:f>
        <x:v>8572.684138800305</x:v>
      </x:c>
      <x:c r="F108" s="25" t="n">
        <x:f>B108</x:f>
        <x:v>15586.69843418237</x:v>
      </x:c>
      <x:c r="G108" s="25" t="n">
        <x:f>B108*Subsurface_Inputs!$C$46</x:f>
        <x:v>27276.722259819147</x:v>
      </x:c>
      <x:c r="H108" s="25" t="n">
        <x:f>Subsurface_Live_Data!Y108</x:f>
        <x:v>9.416807921530676</x:v>
      </x:c>
      <x:c r="I108" s="25" t="n">
        <x:f>Subsurface_Inputs!$C$47-Subsurface_Inputs!$C$43+2*SIN(2*PI()*A108/42)</x:f>
        <x:v>-16.73205080756888</x:v>
      </x:c>
      <x:c r="J108" s="25" t="n">
        <x:v>0</x:v>
      </x:c>
    </x:row>
    <x:row r="109">
      <x:c r="A109" s="25" t="n">
        <x:f>Subsurface_Live_Data!A109</x:f>
        <x:v>-6.5</x:v>
      </x:c>
      <x:c r="B109" s="25" t="n">
        <x:f>Subsurface_Live_Data!K109</x:f>
        <x:v>15612.620101689698</x:v>
      </x:c>
      <x:c r="C109" s="25" t="n">
        <x:f>MAX(0,B109-Subsurface_Inputs!$C$44)</x:f>
        <x:v>14112.620101689698</x:v>
      </x:c>
      <x:c r="D109" s="25" t="n">
        <x:f>B109+Subsurface_Inputs!$C$44</x:f>
        <x:v>17112.620101689696</x:v>
      </x:c>
      <x:c r="E109" s="25" t="n">
        <x:f>B109*Subsurface_Inputs!$C$45</x:f>
        <x:v>8586.941055929334</x:v>
      </x:c>
      <x:c r="F109" s="25" t="n">
        <x:f>B109</x:f>
        <x:v>15612.620101689698</x:v>
      </x:c>
      <x:c r="G109" s="25" t="n">
        <x:f>B109*Subsurface_Inputs!$C$46</x:f>
        <x:v>27322.08517795697</x:v>
      </x:c>
      <x:c r="H109" s="25" t="n">
        <x:f>Subsurface_Live_Data!Y109</x:f>
        <x:v>9.317874115560905</x:v>
      </x:c>
      <x:c r="I109" s="25" t="n">
        <x:f>Subsurface_Inputs!$C$47-Subsurface_Inputs!$C$43+2*SIN(2*PI()*A109/42)</x:f>
        <x:v>-16.65247754863199</x:v>
      </x:c>
      <x:c r="J109" s="25" t="n">
        <x:v>0</x:v>
      </x:c>
    </x:row>
    <x:row r="110">
      <x:c r="A110" s="25" t="n">
        <x:f>Subsurface_Live_Data!A110</x:f>
        <x:v>-6</x:v>
      </x:c>
      <x:c r="B110" s="25" t="n">
        <x:f>Subsurface_Live_Data!K110</x:f>
        <x:v>15641.05910048063</x:v>
      </x:c>
      <x:c r="C110" s="25" t="n">
        <x:f>MAX(0,B110-Subsurface_Inputs!$C$44)</x:f>
        <x:v>14141.05910048063</x:v>
      </x:c>
      <x:c r="D110" s="25" t="n">
        <x:f>B110+Subsurface_Inputs!$C$44</x:f>
        <x:v>17141.05910048063</x:v>
      </x:c>
      <x:c r="E110" s="25" t="n">
        <x:f>B110*Subsurface_Inputs!$C$45</x:f>
        <x:v>8602.582505264347</x:v>
      </x:c>
      <x:c r="F110" s="25" t="n">
        <x:f>B110</x:f>
        <x:v>15641.05910048063</x:v>
      </x:c>
      <x:c r="G110" s="25" t="n">
        <x:f>B110*Subsurface_Inputs!$C$46</x:f>
        <x:v>27371.853425841102</x:v>
      </x:c>
      <x:c r="H110" s="25" t="n">
        <x:f>Subsurface_Live_Data!Y110</x:f>
        <x:v>9.12070150207203</x:v>
      </x:c>
      <x:c r="I110" s="25" t="n">
        <x:f>Subsurface_Inputs!$C$47-Subsurface_Inputs!$C$43+2*SIN(2*PI()*A110/42)</x:f>
        <x:v>-16.56366296493606</x:v>
      </x:c>
      <x:c r="J110" s="25" t="n">
        <x:v>0</x:v>
      </x:c>
    </x:row>
    <x:row r="111">
      <x:c r="A111" s="25" t="n">
        <x:f>Subsurface_Live_Data!A111</x:f>
        <x:v>-5.5</x:v>
      </x:c>
      <x:c r="B111" s="25" t="n">
        <x:f>Subsurface_Live_Data!K111</x:f>
        <x:v>15669.38478023053</x:v>
      </x:c>
      <x:c r="C111" s="25" t="n">
        <x:f>MAX(0,B111-Subsurface_Inputs!$C$44)</x:f>
        <x:v>14169.38478023053</x:v>
      </x:c>
      <x:c r="D111" s="25" t="n">
        <x:f>B111+Subsurface_Inputs!$C$44</x:f>
        <x:v>17169.38478023053</x:v>
      </x:c>
      <x:c r="E111" s="25" t="n">
        <x:f>B111*Subsurface_Inputs!$C$45</x:f>
        <x:v>8618.161629126793</x:v>
      </x:c>
      <x:c r="F111" s="25" t="n">
        <x:f>B111</x:f>
        <x:v>15669.38478023053</x:v>
      </x:c>
      <x:c r="G111" s="25" t="n">
        <x:f>B111*Subsurface_Inputs!$C$46</x:f>
        <x:v>27421.42336540343</x:v>
      </x:c>
      <x:c r="H111" s="25" t="n">
        <x:f>Subsurface_Live_Data!Y111</x:f>
        <x:v>8.914326917310795</x:v>
      </x:c>
      <x:c r="I111" s="25" t="n">
        <x:f>Subsurface_Inputs!$C$47-Subsurface_Inputs!$C$43+2*SIN(2*PI()*A111/42)</x:f>
        <x:v>-16.46610374365965</x:v>
      </x:c>
      <x:c r="J111" s="25" t="n">
        <x:v>0</x:v>
      </x:c>
    </x:row>
    <x:row r="112">
      <x:c r="A112" s="25" t="n">
        <x:f>Subsurface_Live_Data!A112</x:f>
        <x:v>-5</x:v>
      </x:c>
      <x:c r="B112" s="25" t="n">
        <x:f>Subsurface_Live_Data!K112</x:f>
        <x:v>15697.234366267416</x:v>
      </x:c>
      <x:c r="C112" s="25" t="n">
        <x:f>MAX(0,B112-Subsurface_Inputs!$C$44)</x:f>
        <x:v>14197.234366267416</x:v>
      </x:c>
      <x:c r="D112" s="25" t="n">
        <x:f>B112+Subsurface_Inputs!$C$44</x:f>
        <x:v>17197.234366267417</x:v>
      </x:c>
      <x:c r="E112" s="25" t="n">
        <x:f>B112*Subsurface_Inputs!$C$45</x:f>
        <x:v>8633.478901447079</x:v>
      </x:c>
      <x:c r="F112" s="25" t="n">
        <x:f>B112</x:f>
        <x:v>15697.234366267416</x:v>
      </x:c>
      <x:c r="G112" s="25" t="n">
        <x:f>B112*Subsurface_Inputs!$C$46</x:f>
        <x:v>27470.16014096798</x:v>
      </x:c>
      <x:c r="H112" s="25" t="n">
        <x:f>Subsurface_Live_Data!Y112</x:f>
        <x:v>8.709851587082419</x:v>
      </x:c>
      <x:c r="I112" s="25" t="n">
        <x:f>Subsurface_Inputs!$C$47-Subsurface_Inputs!$C$43+2*SIN(2*PI()*A112/42)</x:f>
        <x:v>-16.360345475541838</x:v>
      </x:c>
      <x:c r="J112" s="25" t="n">
        <x:v>0</x:v>
      </x:c>
    </x:row>
    <x:row r="113">
      <x:c r="A113" s="25" t="n">
        <x:f>Subsurface_Live_Data!A113</x:f>
        <x:v>-4.5</x:v>
      </x:c>
      <x:c r="B113" s="25" t="n">
        <x:f>Subsurface_Live_Data!K113</x:f>
        <x:v>15723.473778049667</x:v>
      </x:c>
      <x:c r="C113" s="25" t="n">
        <x:f>MAX(0,B113-Subsurface_Inputs!$C$44)</x:f>
        <x:v>14223.473778049667</x:v>
      </x:c>
      <x:c r="D113" s="25" t="n">
        <x:f>B113+Subsurface_Inputs!$C$44</x:f>
        <x:v>17223.473778049665</x:v>
      </x:c>
      <x:c r="E113" s="25" t="n">
        <x:f>B113*Subsurface_Inputs!$C$45</x:f>
        <x:v>8647.910577927318</x:v>
      </x:c>
      <x:c r="F113" s="25" t="n">
        <x:f>B113</x:f>
        <x:v>15723.473778049667</x:v>
      </x:c>
      <x:c r="G113" s="25" t="n">
        <x:f>B113*Subsurface_Inputs!$C$46</x:f>
        <x:v>27516.079111586918</x:v>
      </x:c>
      <x:c r="H113" s="25" t="n">
        <x:f>Subsurface_Live_Data!Y113</x:f>
        <x:v>8.544905322863741</x:v>
      </x:c>
      <x:c r="I113" s="25" t="n">
        <x:f>Subsurface_Inputs!$C$47-Subsurface_Inputs!$C$43+2*SIN(2*PI()*A113/42)</x:f>
        <x:v>-16.246979603717467</x:v>
      </x:c>
      <x:c r="J113" s="25" t="n">
        <x:v>0</x:v>
      </x:c>
    </x:row>
    <x:row r="114">
      <x:c r="A114" s="25" t="n">
        <x:f>Subsurface_Live_Data!A114</x:f>
        <x:v>-4</x:v>
      </x:c>
      <x:c r="B114" s="25" t="n">
        <x:f>Subsurface_Live_Data!K114</x:f>
        <x:v>15748.287353885475</x:v>
      </x:c>
      <x:c r="C114" s="25" t="n">
        <x:f>MAX(0,B114-Subsurface_Inputs!$C$44)</x:f>
        <x:v>14248.287353885475</x:v>
      </x:c>
      <x:c r="D114" s="25" t="n">
        <x:f>B114+Subsurface_Inputs!$C$44</x:f>
        <x:v>17248.287353885476</x:v>
      </x:c>
      <x:c r="E114" s="25" t="n">
        <x:f>B114*Subsurface_Inputs!$C$45</x:f>
        <x:v>8661.558044637011</x:v>
      </x:c>
      <x:c r="F114" s="25" t="n">
        <x:f>B114</x:f>
        <x:v>15748.287353885475</x:v>
      </x:c>
      <x:c r="G114" s="25" t="n">
        <x:f>B114*Subsurface_Inputs!$C$46</x:f>
        <x:v>27559.50286929958</x:v>
      </x:c>
      <x:c r="H114" s="25" t="n">
        <x:f>Subsurface_Live_Data!Y114</x:f>
        <x:v>8.411822848461185</x:v>
      </x:c>
      <x:c r="I114" s="25" t="n">
        <x:f>Subsurface_Inputs!$C$47-Subsurface_Inputs!$C$43+2*SIN(2*PI()*A114/42)</x:f>
        <x:v>-16.126640116127245</x:v>
      </x:c>
      <x:c r="J114" s="25" t="n">
        <x:v>0</x:v>
      </x:c>
    </x:row>
    <x:row r="115">
      <x:c r="A115" s="25" t="n">
        <x:f>Subsurface_Live_Data!A115</x:f>
        <x:v>-3.5</x:v>
      </x:c>
      <x:c r="B115" s="25" t="n">
        <x:f>Subsurface_Live_Data!K115</x:f>
        <x:v>15775.781421619797</x:v>
      </x:c>
      <x:c r="C115" s="25" t="n">
        <x:f>MAX(0,B115-Subsurface_Inputs!$C$44)</x:f>
        <x:v>14275.781421619797</x:v>
      </x:c>
      <x:c r="D115" s="25" t="n">
        <x:f>B115+Subsurface_Inputs!$C$44</x:f>
        <x:v>17275.781421619795</x:v>
      </x:c>
      <x:c r="E115" s="25" t="n">
        <x:f>B115*Subsurface_Inputs!$C$45</x:f>
        <x:v>8676.679781890889</x:v>
      </x:c>
      <x:c r="F115" s="25" t="n">
        <x:f>B115</x:f>
        <x:v>15775.781421619797</x:v>
      </x:c>
      <x:c r="G115" s="25" t="n">
        <x:f>B115*Subsurface_Inputs!$C$46</x:f>
        <x:v>27607.617487834643</x:v>
      </x:c>
      <x:c r="H115" s="25" t="n">
        <x:f>Subsurface_Live_Data!Y115</x:f>
        <x:v>8.168158463866561</x:v>
      </x:c>
      <x:c r="I115" s="25" t="n">
        <x:f>Subsurface_Inputs!$C$47-Subsurface_Inputs!$C$43+2*SIN(2*PI()*A115/42)</x:f>
        <x:v>-16</x:v>
      </x:c>
      <x:c r="J115" s="25" t="n">
        <x:v>0</x:v>
      </x:c>
    </x:row>
    <x:row r="116">
      <x:c r="A116" s="25" t="n">
        <x:f>Subsurface_Live_Data!A116</x:f>
        <x:v>-3</x:v>
      </x:c>
      <x:c r="B116" s="25" t="n">
        <x:f>Subsurface_Live_Data!K116</x:f>
        <x:v>15797.512523197016</x:v>
      </x:c>
      <x:c r="C116" s="25" t="n">
        <x:f>MAX(0,B116-Subsurface_Inputs!$C$44)</x:f>
        <x:v>14297.512523197016</x:v>
      </x:c>
      <x:c r="D116" s="25" t="n">
        <x:f>B116+Subsurface_Inputs!$C$44</x:f>
        <x:v>17297.512523197016</x:v>
      </x:c>
      <x:c r="E116" s="25" t="n">
        <x:f>B116*Subsurface_Inputs!$C$45</x:f>
        <x:v>8688.63188775836</x:v>
      </x:c>
      <x:c r="F116" s="25" t="n">
        <x:f>B116</x:f>
        <x:v>15797.512523197016</x:v>
      </x:c>
      <x:c r="G116" s="25" t="n">
        <x:f>B116*Subsurface_Inputs!$C$46</x:f>
        <x:v>27645.646915594778</x:v>
      </x:c>
      <x:c r="H116" s="25" t="n">
        <x:f>Subsurface_Live_Data!Y116</x:f>
        <x:v>8.102847555253376</x:v>
      </x:c>
      <x:c r="I116" s="25" t="n">
        <x:f>Subsurface_Inputs!$C$47-Subsurface_Inputs!$C$43+2*SIN(2*PI()*A116/42)</x:f>
        <x:v>-15.867767478235116</x:v>
      </x:c>
      <x:c r="J116" s="25" t="n">
        <x:v>0</x:v>
      </x:c>
    </x:row>
    <x:row r="117">
      <x:c r="A117" s="25" t="n">
        <x:f>Subsurface_Live_Data!A117</x:f>
        <x:v>-2.5</x:v>
      </x:c>
      <x:c r="B117" s="25" t="n">
        <x:f>Subsurface_Live_Data!K117</x:f>
        <x:v>15820.518953735607</x:v>
      </x:c>
      <x:c r="C117" s="25" t="n">
        <x:f>MAX(0,B117-Subsurface_Inputs!$C$44)</x:f>
        <x:v>14320.518953735607</x:v>
      </x:c>
      <x:c r="D117" s="25" t="n">
        <x:f>B117+Subsurface_Inputs!$C$44</x:f>
        <x:v>17320.518953735605</x:v>
      </x:c>
      <x:c r="E117" s="25" t="n">
        <x:f>B117*Subsurface_Inputs!$C$45</x:f>
        <x:v>8701.285424554584</x:v>
      </x:c>
      <x:c r="F117" s="25" t="n">
        <x:f>B117</x:f>
        <x:v>15820.518953735607</x:v>
      </x:c>
      <x:c r="G117" s="25" t="n">
        <x:f>B117*Subsurface_Inputs!$C$46</x:f>
        <x:v>27685.908169037313</x:v>
      </x:c>
      <x:c r="H117" s="25" t="n">
        <x:f>Subsurface_Live_Data!Y117</x:f>
        <x:v>7.97272555069658</x:v>
      </x:c>
      <x:c r="I117" s="25" t="n">
        <x:f>Subsurface_Inputs!$C$47-Subsurface_Inputs!$C$43+2*SIN(2*PI()*A117/42)</x:f>
        <x:v>-15.73068204873279</x:v>
      </x:c>
      <x:c r="J117" s="25" t="n">
        <x:v>0</x:v>
      </x:c>
    </x:row>
    <x:row r="118">
      <x:c r="A118" s="25" t="n">
        <x:f>Subsurface_Live_Data!A118</x:f>
        <x:v>-2</x:v>
      </x:c>
      <x:c r="B118" s="25" t="n">
        <x:f>Subsurface_Live_Data!K118</x:f>
        <x:v>15840.763766829245</x:v>
      </x:c>
      <x:c r="C118" s="25" t="n">
        <x:f>MAX(0,B118-Subsurface_Inputs!$C$44)</x:f>
        <x:v>14340.763766829245</x:v>
      </x:c>
      <x:c r="D118" s="25" t="n">
        <x:f>B118+Subsurface_Inputs!$C$44</x:f>
        <x:v>17340.763766829245</x:v>
      </x:c>
      <x:c r="E118" s="25" t="n">
        <x:f>B118*Subsurface_Inputs!$C$45</x:f>
        <x:v>8712.420071756085</x:v>
      </x:c>
      <x:c r="F118" s="25" t="n">
        <x:f>B118</x:f>
        <x:v>15840.763766829245</x:v>
      </x:c>
      <x:c r="G118" s="25" t="n">
        <x:f>B118*Subsurface_Inputs!$C$46</x:f>
        <x:v>27721.336591951178</x:v>
      </x:c>
      <x:c r="H118" s="25" t="n">
        <x:f>Subsurface_Live_Data!Y118</x:f>
        <x:v>7.9153326994303015</x:v>
      </x:c>
      <x:c r="I118" s="25" t="n">
        <x:f>Subsurface_Inputs!$C$47-Subsurface_Inputs!$C$43+2*SIN(2*PI()*A118/42)</x:f>
        <x:v>-15.589510348821808</x:v>
      </x:c>
      <x:c r="J118" s="25" t="n">
        <x:v>0</x:v>
      </x:c>
    </x:row>
    <x:row r="119">
      <x:c r="A119" s="25" t="n">
        <x:f>Subsurface_Live_Data!A119</x:f>
        <x:v>-1.5</x:v>
      </x:c>
      <x:c r="B119" s="25" t="n">
        <x:f>Subsurface_Live_Data!K119</x:f>
        <x:v>15862.974345451357</x:v>
      </x:c>
      <x:c r="C119" s="25" t="n">
        <x:f>MAX(0,B119-Subsurface_Inputs!$C$44)</x:f>
        <x:v>14362.974345451357</x:v>
      </x:c>
      <x:c r="D119" s="25" t="n">
        <x:f>B119+Subsurface_Inputs!$C$44</x:f>
        <x:v>17362.97434545136</x:v>
      </x:c>
      <x:c r="E119" s="25" t="n">
        <x:f>B119*Subsurface_Inputs!$C$45</x:f>
        <x:v>8724.635889998248</x:v>
      </x:c>
      <x:c r="F119" s="25" t="n">
        <x:f>B119</x:f>
        <x:v>15862.974345451357</x:v>
      </x:c>
      <x:c r="G119" s="25" t="n">
        <x:f>B119*Subsurface_Inputs!$C$46</x:f>
        <x:v>27760.205104539877</x:v>
      </x:c>
      <x:c r="H119" s="25" t="n">
        <x:f>Subsurface_Live_Data!Y119</x:f>
        <x:v>7.7670025372452045</x:v>
      </x:c>
      <x:c r="I119" s="25" t="n">
        <x:f>Subsurface_Inputs!$C$47-Subsurface_Inputs!$C$43+2*SIN(2*PI()*A119/42)</x:f>
        <x:v>-15.445041867912629</x:v>
      </x:c>
      <x:c r="J119" s="25" t="n">
        <x:v>0</x:v>
      </x:c>
    </x:row>
    <x:row r="120">
      <x:c r="A120" s="25" t="n">
        <x:f>Subsurface_Live_Data!A120</x:f>
        <x:v>-1</x:v>
      </x:c>
      <x:c r="B120" s="25" t="n">
        <x:f>Subsurface_Live_Data!K120</x:f>
        <x:v>15882.259787427232</x:v>
      </x:c>
      <x:c r="C120" s="25" t="n">
        <x:f>MAX(0,B120-Subsurface_Inputs!$C$44)</x:f>
        <x:v>14382.259787427232</x:v>
      </x:c>
      <x:c r="D120" s="25" t="n">
        <x:f>B120+Subsurface_Inputs!$C$44</x:f>
        <x:v>17382.259787427232</x:v>
      </x:c>
      <x:c r="E120" s="25" t="n">
        <x:f>B120*Subsurface_Inputs!$C$45</x:f>
        <x:v>8735.242883084979</x:v>
      </x:c>
      <x:c r="F120" s="25" t="n">
        <x:f>B120</x:f>
        <x:v>15882.259787427232</x:v>
      </x:c>
      <x:c r="G120" s="25" t="n">
        <x:f>B120*Subsurface_Inputs!$C$46</x:f>
        <x:v>27793.954627997657</x:v>
      </x:c>
      <x:c r="H120" s="25" t="n">
        <x:f>Subsurface_Live_Data!Y120</x:f>
        <x:v>7.694701387861457</x:v>
      </x:c>
      <x:c r="I120" s="25" t="n">
        <x:f>Subsurface_Inputs!$C$47-Subsurface_Inputs!$C$43+2*SIN(2*PI()*A120/42)</x:f>
        <x:v>-15.298084532352348</x:v>
      </x:c>
      <x:c r="J120" s="25" t="n">
        <x:v>0</x:v>
      </x:c>
    </x:row>
    <x:row r="121">
      <x:c r="A121" s="25" t="n">
        <x:f>Subsurface_Live_Data!A121</x:f>
        <x:v>-0.5</x:v>
      </x:c>
      <x:c r="B121" s="25" t="n">
        <x:f>Subsurface_Live_Data!K121</x:f>
        <x:v>15897.379848026414</x:v>
      </x:c>
      <x:c r="C121" s="25" t="n">
        <x:f>MAX(0,B121-Subsurface_Inputs!$C$44)</x:f>
        <x:v>14397.379848026414</x:v>
      </x:c>
      <x:c r="D121" s="25" t="n">
        <x:f>B121+Subsurface_Inputs!$C$44</x:f>
        <x:v>17397.379848026416</x:v>
      </x:c>
      <x:c r="E121" s="25" t="n">
        <x:f>B121*Subsurface_Inputs!$C$45</x:f>
        <x:v>8743.558916414528</x:v>
      </x:c>
      <x:c r="F121" s="25" t="n">
        <x:f>B121</x:f>
        <x:v>15897.379848026414</x:v>
      </x:c>
      <x:c r="G121" s="25" t="n">
        <x:f>B121*Subsurface_Inputs!$C$46</x:f>
        <x:v>27820.414734046226</x:v>
      </x:c>
      <x:c r="H121" s="25" t="n">
        <x:f>Subsurface_Live_Data!Y121</x:f>
        <x:v>7.739958542105505</x:v>
      </x:c>
      <x:c r="I121" s="25" t="n">
        <x:f>Subsurface_Inputs!$C$47-Subsurface_Inputs!$C$43+2*SIN(2*PI()*A121/42)</x:f>
        <x:v>-15.14946018717285</x:v>
      </x:c>
      <x:c r="J121" s="25" t="n">
        <x:v>0</x:v>
      </x:c>
    </x:row>
    <x:row r="122">
      <x:c r="A122" s="25" t="n">
        <x:f>Subsurface_Live_Data!A122</x:f>
        <x:v>0</x:v>
      </x:c>
      <x:c r="B122" s="25" t="n">
        <x:f>Subsurface_Live_Data!K122</x:f>
        <x:v>15915.349780721906</x:v>
      </x:c>
      <x:c r="C122" s="25" t="n">
        <x:f>MAX(0,B122-Subsurface_Inputs!$C$44)</x:f>
        <x:v>14415.349780721906</x:v>
      </x:c>
      <x:c r="D122" s="25" t="n">
        <x:f>B122+Subsurface_Inputs!$C$44</x:f>
        <x:v>17415.349780721906</x:v>
      </x:c>
      <x:c r="E122" s="25" t="n">
        <x:f>B122*Subsurface_Inputs!$C$45</x:f>
        <x:v>8753.442379397049</x:v>
      </x:c>
      <x:c r="F122" s="25" t="n">
        <x:f>B122</x:f>
        <x:v>15915.349780721906</x:v>
      </x:c>
      <x:c r="G122" s="25" t="n">
        <x:f>B122*Subsurface_Inputs!$C$46</x:f>
        <x:v>27851.862116263335</x:v>
      </x:c>
      <x:c r="H122" s="25" t="n">
        <x:f>Subsurface_Live_Data!Y122</x:f>
        <x:v>7.660593900141208</x:v>
      </x:c>
      <x:c r="I122" s="25" t="n">
        <x:f>Subsurface_Inputs!$C$47-Subsurface_Inputs!$C$43+2*SIN(2*PI()*A122/42)</x:f>
        <x:v>-15</x:v>
      </x:c>
      <x:c r="J122" s="25" t="n">
        <x:v>0</x:v>
      </x:c>
    </x:row>
    <x:row r="123">
      <x:c r="A123" s="25" t="n">
        <x:f>Subsurface_Live_Data!A123</x:f>
        <x:v>0.5</x:v>
      </x:c>
      <x:c r="B123" s="25" t="n">
        <x:f>Subsurface_Live_Data!K123</x:f>
        <x:v>15932.899548678191</x:v>
      </x:c>
      <x:c r="C123" s="25" t="n">
        <x:f>MAX(0,B123-Subsurface_Inputs!$C$44)</x:f>
        <x:v>14432.899548678191</x:v>
      </x:c>
      <x:c r="D123" s="25" t="n">
        <x:f>B123+Subsurface_Inputs!$C$44</x:f>
        <x:v>17432.899548678193</x:v>
      </x:c>
      <x:c r="E123" s="25" t="n">
        <x:f>B123*Subsurface_Inputs!$C$45</x:f>
        <x:v>8763.094751773006</x:v>
      </x:c>
      <x:c r="F123" s="25" t="n">
        <x:f>B123</x:f>
        <x:v>15932.899548678191</x:v>
      </x:c>
      <x:c r="G123" s="25" t="n">
        <x:f>B123*Subsurface_Inputs!$C$46</x:f>
        <x:v>27882.574210186835</x:v>
      </x:c>
      <x:c r="H123" s="25" t="n">
        <x:f>Subsurface_Live_Data!Y123</x:f>
        <x:v>7.56799385614989</x:v>
      </x:c>
      <x:c r="I123" s="25" t="n">
        <x:f>Subsurface_Inputs!$C$47-Subsurface_Inputs!$C$43+2*SIN(2*PI()*A123/42)</x:f>
        <x:v>-14.85053981282715</x:v>
      </x:c>
      <x:c r="J123" s="25" t="n">
        <x:v>0</x:v>
      </x:c>
    </x:row>
    <x:row r="124">
      <x:c r="A124" s="25" t="n">
        <x:f>Subsurface_Live_Data!A124</x:f>
        <x:v>1</x:v>
      </x:c>
      <x:c r="B124" s="25" t="n">
        <x:f>Subsurface_Live_Data!K124</x:f>
        <x:v>15947.69149082374</x:v>
      </x:c>
      <x:c r="C124" s="25" t="n">
        <x:f>MAX(0,B124-Subsurface_Inputs!$C$44)</x:f>
        <x:v>14447.69149082374</x:v>
      </x:c>
      <x:c r="D124" s="25" t="n">
        <x:f>B124+Subsurface_Inputs!$C$44</x:f>
        <x:v>17447.691490823738</x:v>
      </x:c>
      <x:c r="E124" s="25" t="n">
        <x:f>B124*Subsurface_Inputs!$C$45</x:f>
        <x:v>8771.230319953058</x:v>
      </x:c>
      <x:c r="F124" s="25" t="n">
        <x:f>B124</x:f>
        <x:v>15947.69149082374</x:v>
      </x:c>
      <x:c r="G124" s="25" t="n">
        <x:f>B124*Subsurface_Inputs!$C$46</x:f>
        <x:v>27908.460108941545</x:v>
      </x:c>
      <x:c r="H124" s="25" t="n">
        <x:f>Subsurface_Live_Data!Y124</x:f>
        <x:v>7.541546479781566</x:v>
      </x:c>
      <x:c r="I124" s="25" t="n">
        <x:f>Subsurface_Inputs!$C$47-Subsurface_Inputs!$C$43+2*SIN(2*PI()*A124/42)</x:f>
        <x:v>-14.701915467647652</x:v>
      </x:c>
      <x:c r="J124" s="25" t="n">
        <x:v>0</x:v>
      </x:c>
    </x:row>
    <x:row r="125">
      <x:c r="A125" s="25" t="n">
        <x:f>Subsurface_Live_Data!A125</x:f>
        <x:v>1.5</x:v>
      </x:c>
      <x:c r="B125" s="25" t="n">
        <x:f>Subsurface_Live_Data!K125</x:f>
        <x:v>15960.826835798127</x:v>
      </x:c>
      <x:c r="C125" s="25" t="n">
        <x:f>MAX(0,B125-Subsurface_Inputs!$C$44)</x:f>
        <x:v>14460.826835798127</x:v>
      </x:c>
      <x:c r="D125" s="25" t="n">
        <x:f>B125+Subsurface_Inputs!$C$44</x:f>
        <x:v>17460.82683579813</x:v>
      </x:c>
      <x:c r="E125" s="25" t="n">
        <x:f>B125*Subsurface_Inputs!$C$45</x:f>
        <x:v>8778.45475968897</x:v>
      </x:c>
      <x:c r="F125" s="25" t="n">
        <x:f>B125</x:f>
        <x:v>15960.826835798127</x:v>
      </x:c>
      <x:c r="G125" s="25" t="n">
        <x:f>B125*Subsurface_Inputs!$C$46</x:f>
        <x:v>27931.44696264672</x:v>
      </x:c>
      <x:c r="H125" s="25" t="n">
        <x:f>Subsurface_Live_Data!Y125</x:f>
        <x:v>7.5424913275554815</x:v>
      </x:c>
      <x:c r="I125" s="25" t="n">
        <x:f>Subsurface_Inputs!$C$47-Subsurface_Inputs!$C$43+2*SIN(2*PI()*A125/42)</x:f>
        <x:v>-14.554958132087371</x:v>
      </x:c>
      <x:c r="J125" s="25" t="n">
        <x:v>0</x:v>
      </x:c>
    </x:row>
    <x:row r="126">
      <x:c r="A126" s="25" t="n">
        <x:f>Subsurface_Live_Data!A126</x:f>
        <x:v>2</x:v>
      </x:c>
      <x:c r="B126" s="25" t="n">
        <x:f>Subsurface_Live_Data!K126</x:f>
        <x:v>15973.127659706997</x:v>
      </x:c>
      <x:c r="C126" s="25" t="n">
        <x:f>MAX(0,B126-Subsurface_Inputs!$C$44)</x:f>
        <x:v>14473.127659706997</x:v>
      </x:c>
      <x:c r="D126" s="25" t="n">
        <x:f>B126+Subsurface_Inputs!$C$44</x:f>
        <x:v>17473.127659706995</x:v>
      </x:c>
      <x:c r="E126" s="25" t="n">
        <x:f>B126*Subsurface_Inputs!$C$45</x:f>
        <x:v>8785.220212838849</x:v>
      </x:c>
      <x:c r="F126" s="25" t="n">
        <x:f>B126</x:f>
        <x:v>15973.127659706997</x:v>
      </x:c>
      <x:c r="G126" s="25" t="n">
        <x:f>B126*Subsurface_Inputs!$C$46</x:f>
        <x:v>27952.973404487246</x:v>
      </x:c>
      <x:c r="H126" s="25" t="n">
        <x:f>Subsurface_Live_Data!Y126</x:f>
        <x:v>7.541716023960383</x:v>
      </x:c>
      <x:c r="I126" s="25" t="n">
        <x:f>Subsurface_Inputs!$C$47-Subsurface_Inputs!$C$43+2*SIN(2*PI()*A126/42)</x:f>
        <x:v>-14.410489651178192</x:v>
      </x:c>
      <x:c r="J126" s="25" t="n">
        <x:v>0</x:v>
      </x:c>
    </x:row>
    <x:row r="127">
      <x:c r="A127" s="25" t="n">
        <x:f>Subsurface_Live_Data!A127</x:f>
        <x:v>2.5</x:v>
      </x:c>
      <x:c r="B127" s="25" t="n">
        <x:f>Subsurface_Live_Data!K127</x:f>
        <x:v>15984.674832252715</x:v>
      </x:c>
      <x:c r="C127" s="25" t="n">
        <x:f>MAX(0,B127-Subsurface_Inputs!$C$44)</x:f>
        <x:v>14484.674832252715</x:v>
      </x:c>
      <x:c r="D127" s="25" t="n">
        <x:f>B127+Subsurface_Inputs!$C$44</x:f>
        <x:v>17484.674832252713</x:v>
      </x:c>
      <x:c r="E127" s="25" t="n">
        <x:f>B127*Subsurface_Inputs!$C$45</x:f>
        <x:v>8791.571157738994</x:v>
      </x:c>
      <x:c r="F127" s="25" t="n">
        <x:f>B127</x:f>
        <x:v>15984.674832252715</x:v>
      </x:c>
      <x:c r="G127" s="25" t="n">
        <x:f>B127*Subsurface_Inputs!$C$46</x:f>
        <x:v>27973.18095644225</x:v>
      </x:c>
      <x:c r="H127" s="25" t="n">
        <x:f>Subsurface_Live_Data!Y127</x:f>
        <x:v>7.535639746382422</x:v>
      </x:c>
      <x:c r="I127" s="25" t="n">
        <x:f>Subsurface_Inputs!$C$47-Subsurface_Inputs!$C$43+2*SIN(2*PI()*A127/42)</x:f>
        <x:v>-14.26931795126721</x:v>
      </x:c>
      <x:c r="J127" s="25" t="n">
        <x:v>0</x:v>
      </x:c>
    </x:row>
    <x:row r="128">
      <x:c r="A128" s="25" t="n">
        <x:f>Subsurface_Live_Data!A128</x:f>
        <x:v>3</x:v>
      </x:c>
      <x:c r="B128" s="25" t="n">
        <x:f>Subsurface_Live_Data!K128</x:f>
        <x:v>15999.039471084727</x:v>
      </x:c>
      <x:c r="C128" s="25" t="n">
        <x:f>MAX(0,B128-Subsurface_Inputs!$C$44)</x:f>
        <x:v>14499.039471084727</x:v>
      </x:c>
      <x:c r="D128" s="25" t="n">
        <x:f>B128+Subsurface_Inputs!$C$44</x:f>
        <x:v>17499.039471084725</x:v>
      </x:c>
      <x:c r="E128" s="25" t="n">
        <x:f>B128*Subsurface_Inputs!$C$45</x:f>
        <x:v>8799.4717090966</x:v>
      </x:c>
      <x:c r="F128" s="25" t="n">
        <x:f>B128</x:f>
        <x:v>15999.039471084727</x:v>
      </x:c>
      <x:c r="G128" s="25" t="n">
        <x:f>B128*Subsurface_Inputs!$C$46</x:f>
        <x:v>27998.31907439827</x:v>
      </x:c>
      <x:c r="H128" s="25" t="n">
        <x:f>Subsurface_Live_Data!Y128</x:f>
        <x:v>7.400773998090436</x:v>
      </x:c>
      <x:c r="I128" s="25" t="n">
        <x:f>Subsurface_Inputs!$C$47-Subsurface_Inputs!$C$43+2*SIN(2*PI()*A128/42)</x:f>
        <x:v>-14.132232521764884</x:v>
      </x:c>
      <x:c r="J128" s="25" t="n">
        <x:v>0</x:v>
      </x:c>
    </x:row>
    <x:row r="129">
      <x:c r="A129" s="25" t="n">
        <x:f>Subsurface_Live_Data!A129</x:f>
        <x:v>3.5</x:v>
      </x:c>
      <x:c r="B129" s="25" t="n">
        <x:f>Subsurface_Live_Data!K129</x:f>
        <x:v>16006.80700146983</x:v>
      </x:c>
      <x:c r="C129" s="25" t="n">
        <x:f>MAX(0,B129-Subsurface_Inputs!$C$44)</x:f>
        <x:v>14506.80700146983</x:v>
      </x:c>
      <x:c r="D129" s="25" t="n">
        <x:f>B129+Subsurface_Inputs!$C$44</x:f>
        <x:v>17506.80700146983</x:v>
      </x:c>
      <x:c r="E129" s="25" t="n">
        <x:f>B129*Subsurface_Inputs!$C$45</x:f>
        <x:v>8803.743850808407</x:v>
      </x:c>
      <x:c r="F129" s="25" t="n">
        <x:f>B129</x:f>
        <x:v>16006.80700146983</x:v>
      </x:c>
      <x:c r="G129" s="25" t="n">
        <x:f>B129*Subsurface_Inputs!$C$46</x:f>
        <x:v>28011.9122525722</x:v>
      </x:c>
      <x:c r="H129" s="25" t="n">
        <x:f>Subsurface_Live_Data!Y129</x:f>
        <x:v>7.460025984144565</x:v>
      </x:c>
      <x:c r="I129" s="25" t="n">
        <x:f>Subsurface_Inputs!$C$47-Subsurface_Inputs!$C$43+2*SIN(2*PI()*A129/42)</x:f>
        <x:v>-14</x:v>
      </x:c>
      <x:c r="J129" s="25" t="n">
        <x:v>0</x:v>
      </x:c>
    </x:row>
    <x:row r="130">
      <x:c r="A130" s="25" t="n">
        <x:f>Subsurface_Live_Data!A130</x:f>
        <x:v>4</x:v>
      </x:c>
      <x:c r="B130" s="25" t="n">
        <x:f>Subsurface_Live_Data!K130</x:f>
        <x:v>16017.235991847305</x:v>
      </x:c>
      <x:c r="C130" s="25" t="n">
        <x:f>MAX(0,B130-Subsurface_Inputs!$C$44)</x:f>
        <x:v>14517.235991847305</x:v>
      </x:c>
      <x:c r="D130" s="25" t="n">
        <x:f>B130+Subsurface_Inputs!$C$44</x:f>
        <x:v>17517.235991847305</x:v>
      </x:c>
      <x:c r="E130" s="25" t="n">
        <x:f>B130*Subsurface_Inputs!$C$45</x:f>
        <x:v>8809.479795516017</x:v>
      </x:c>
      <x:c r="F130" s="25" t="n">
        <x:f>B130</x:f>
        <x:v>16017.235991847305</x:v>
      </x:c>
      <x:c r="G130" s="25" t="n">
        <x:f>B130*Subsurface_Inputs!$C$46</x:f>
        <x:v>28030.162985732783</x:v>
      </x:c>
      <x:c r="H130" s="25" t="n">
        <x:f>Subsurface_Live_Data!Y130</x:f>
        <x:v>7.394540837486403</x:v>
      </x:c>
      <x:c r="I130" s="25" t="n">
        <x:f>Subsurface_Inputs!$C$47-Subsurface_Inputs!$C$43+2*SIN(2*PI()*A130/42)</x:f>
        <x:v>-13.873359883872755</x:v>
      </x:c>
      <x:c r="J130" s="25" t="n">
        <x:v>0</x:v>
      </x:c>
    </x:row>
    <x:row r="131">
      <x:c r="A131" s="25" t="n">
        <x:f>Subsurface_Live_Data!A131</x:f>
        <x:v>4.5</x:v>
      </x:c>
      <x:c r="B131" s="25" t="n">
        <x:f>Subsurface_Live_Data!K131</x:f>
        <x:v>16025.329990466256</x:v>
      </x:c>
      <x:c r="C131" s="25" t="n">
        <x:f>MAX(0,B131-Subsurface_Inputs!$C$44)</x:f>
        <x:v>14525.329990466256</x:v>
      </x:c>
      <x:c r="D131" s="25" t="n">
        <x:f>B131+Subsurface_Inputs!$C$44</x:f>
        <x:v>17525.329990466256</x:v>
      </x:c>
      <x:c r="E131" s="25" t="n">
        <x:f>B131*Subsurface_Inputs!$C$45</x:f>
        <x:v>8813.931494756442</x:v>
      </x:c>
      <x:c r="F131" s="25" t="n">
        <x:f>B131</x:f>
        <x:v>16025.329990466256</x:v>
      </x:c>
      <x:c r="G131" s="25" t="n">
        <x:f>B131*Subsurface_Inputs!$C$46</x:f>
        <x:v>28044.32748331595</x:v>
      </x:c>
      <x:c r="H131" s="25" t="n">
        <x:f>Subsurface_Live_Data!Y131</x:f>
        <x:v>7.375491122166011</x:v>
      </x:c>
      <x:c r="I131" s="25" t="n">
        <x:f>Subsurface_Inputs!$C$47-Subsurface_Inputs!$C$43+2*SIN(2*PI()*A131/42)</x:f>
        <x:v>-13.753020396282533</x:v>
      </x:c>
      <x:c r="J131" s="25" t="n">
        <x:v>0</x:v>
      </x:c>
    </x:row>
    <x:row r="132">
      <x:c r="A132" s="25" t="n">
        <x:f>Subsurface_Live_Data!A132</x:f>
        <x:v>5</x:v>
      </x:c>
      <x:c r="B132" s="25" t="n">
        <x:f>Subsurface_Live_Data!K132</x:f>
        <x:v>16035.975154282105</x:v>
      </x:c>
      <x:c r="C132" s="25" t="n">
        <x:f>MAX(0,B132-Subsurface_Inputs!$C$44)</x:f>
        <x:v>14535.975154282105</x:v>
      </x:c>
      <x:c r="D132" s="25" t="n">
        <x:f>B132+Subsurface_Inputs!$C$44</x:f>
        <x:v>17535.975154282103</x:v>
      </x:c>
      <x:c r="E132" s="25" t="n">
        <x:f>B132*Subsurface_Inputs!$C$45</x:f>
        <x:v>8819.786334855158</x:v>
      </x:c>
      <x:c r="F132" s="25" t="n">
        <x:f>B132</x:f>
        <x:v>16035.975154282105</x:v>
      </x:c>
      <x:c r="G132" s="25" t="n">
        <x:f>B132*Subsurface_Inputs!$C$46</x:f>
        <x:v>28062.956519993684</x:v>
      </x:c>
      <x:c r="H132" s="25" t="n">
        <x:f>Subsurface_Live_Data!Y132</x:f>
        <x:v>7.234433387496523</x:v>
      </x:c>
      <x:c r="I132" s="25" t="n">
        <x:f>Subsurface_Inputs!$C$47-Subsurface_Inputs!$C$43+2*SIN(2*PI()*A132/42)</x:f>
        <x:v>-13.63965452445816</x:v>
      </x:c>
      <x:c r="J132" s="25" t="n">
        <x:v>0</x:v>
      </x:c>
    </x:row>
    <x:row r="133">
      <x:c r="A133" s="25" t="n">
        <x:f>Subsurface_Live_Data!A133</x:f>
        <x:v>5.5</x:v>
      </x:c>
      <x:c r="B133" s="25" t="n">
        <x:f>Subsurface_Live_Data!K133</x:f>
        <x:v>16043.928899152814</x:v>
      </x:c>
      <x:c r="C133" s="25" t="n">
        <x:f>MAX(0,B133-Subsurface_Inputs!$C$44)</x:f>
        <x:v>14543.928899152814</x:v>
      </x:c>
      <x:c r="D133" s="25" t="n">
        <x:f>B133+Subsurface_Inputs!$C$44</x:f>
        <x:v>17543.928899152816</x:v>
      </x:c>
      <x:c r="E133" s="25" t="n">
        <x:f>B133*Subsurface_Inputs!$C$45</x:f>
        <x:v>8824.160894534049</x:v>
      </x:c>
      <x:c r="F133" s="25" t="n">
        <x:f>B133</x:f>
        <x:v>16043.928899152814</x:v>
      </x:c>
      <x:c r="G133" s="25" t="n">
        <x:f>B133*Subsurface_Inputs!$C$46</x:f>
        <x:v>28076.875573517424</x:v>
      </x:c>
      <x:c r="H133" s="25" t="n">
        <x:f>Subsurface_Live_Data!Y133</x:f>
        <x:v>7.151128040150709</x:v>
      </x:c>
      <x:c r="I133" s="25" t="n">
        <x:f>Subsurface_Inputs!$C$47-Subsurface_Inputs!$C$43+2*SIN(2*PI()*A133/42)</x:f>
        <x:v>-13.533896256340348</x:v>
      </x:c>
      <x:c r="J133" s="25" t="n">
        <x:v>0</x:v>
      </x:c>
    </x:row>
    <x:row r="134">
      <x:c r="A134" s="25" t="n">
        <x:f>Subsurface_Live_Data!A134</x:f>
        <x:v>6</x:v>
      </x:c>
      <x:c r="B134" s="25" t="n">
        <x:f>Subsurface_Live_Data!K134</x:f>
        <x:v>16050.16829622489</x:v>
      </x:c>
      <x:c r="C134" s="25" t="n">
        <x:f>MAX(0,B134-Subsurface_Inputs!$C$44)</x:f>
        <x:v>14550.16829622489</x:v>
      </x:c>
      <x:c r="D134" s="25" t="n">
        <x:f>B134+Subsurface_Inputs!$C$44</x:f>
        <x:v>17550.16829622489</x:v>
      </x:c>
      <x:c r="E134" s="25" t="n">
        <x:f>B134*Subsurface_Inputs!$C$45</x:f>
        <x:v>8827.59256292369</x:v>
      </x:c>
      <x:c r="F134" s="25" t="n">
        <x:f>B134</x:f>
        <x:v>16050.16829622489</x:v>
      </x:c>
      <x:c r="G134" s="25" t="n">
        <x:f>B134*Subsurface_Inputs!$C$46</x:f>
        <x:v>28087.79451839356</x:v>
      </x:c>
      <x:c r="H134" s="25" t="n">
        <x:f>Subsurface_Live_Data!Y134</x:f>
        <x:v>7.091622644256596</x:v>
      </x:c>
      <x:c r="I134" s="25" t="n">
        <x:f>Subsurface_Inputs!$C$47-Subsurface_Inputs!$C$43+2*SIN(2*PI()*A134/42)</x:f>
        <x:v>-13.436337035063941</x:v>
      </x:c>
      <x:c r="J134" s="25" t="n">
        <x:v>0</x:v>
      </x:c>
    </x:row>
    <x:row r="135">
      <x:c r="A135" s="25" t="n">
        <x:f>Subsurface_Live_Data!A135</x:f>
        <x:v>6.5</x:v>
      </x:c>
      <x:c r="B135" s="25" t="n">
        <x:f>Subsurface_Live_Data!K135</x:f>
        <x:v>16055.648842831959</x:v>
      </x:c>
      <x:c r="C135" s="25" t="n">
        <x:f>MAX(0,B135-Subsurface_Inputs!$C$44)</x:f>
        <x:v>14555.648842831959</x:v>
      </x:c>
      <x:c r="D135" s="25" t="n">
        <x:f>B135+Subsurface_Inputs!$C$44</x:f>
        <x:v>17555.648842831957</x:v>
      </x:c>
      <x:c r="E135" s="25" t="n">
        <x:f>B135*Subsurface_Inputs!$C$45</x:f>
        <x:v>8830.606863557578</x:v>
      </x:c>
      <x:c r="F135" s="25" t="n">
        <x:f>B135</x:f>
        <x:v>16055.648842831959</x:v>
      </x:c>
      <x:c r="G135" s="25" t="n">
        <x:f>B135*Subsurface_Inputs!$C$46</x:f>
        <x:v>28097.38547495593</x:v>
      </x:c>
      <x:c r="H135" s="25" t="n">
        <x:f>Subsurface_Live_Data!Y135</x:f>
        <x:v>7.022772764799129</x:v>
      </x:c>
      <x:c r="I135" s="25" t="n">
        <x:f>Subsurface_Inputs!$C$47-Subsurface_Inputs!$C$43+2*SIN(2*PI()*A135/42)</x:f>
        <x:v>-13.347522451368011</x:v>
      </x:c>
      <x:c r="J135" s="25" t="n">
        <x:v>0</x:v>
      </x:c>
    </x:row>
    <x:row r="136">
      <x:c r="A136" s="25" t="n">
        <x:f>Subsurface_Live_Data!A136</x:f>
        <x:v>7</x:v>
      </x:c>
      <x:c r="B136" s="25" t="n">
        <x:f>Subsurface_Live_Data!K136</x:f>
        <x:v>16057.186598182136</x:v>
      </x:c>
      <x:c r="C136" s="25" t="n">
        <x:f>MAX(0,B136-Subsurface_Inputs!$C$44)</x:f>
        <x:v>14557.186598182136</x:v>
      </x:c>
      <x:c r="D136" s="25" t="n">
        <x:f>B136+Subsurface_Inputs!$C$44</x:f>
        <x:v>17557.186598182136</x:v>
      </x:c>
      <x:c r="E136" s="25" t="n">
        <x:f>B136*Subsurface_Inputs!$C$45</x:f>
        <x:v>8831.452629000176</x:v>
      </x:c>
      <x:c r="F136" s="25" t="n">
        <x:f>B136</x:f>
        <x:v>16057.186598182136</x:v>
      </x:c>
      <x:c r="G136" s="25" t="n">
        <x:f>B136*Subsurface_Inputs!$C$46</x:f>
        <x:v>28100.07654681874</x:v>
      </x:c>
      <x:c r="H136" s="25" t="n">
        <x:f>Subsurface_Live_Data!Y136</x:f>
        <x:v>7.053779572031566</x:v>
      </x:c>
      <x:c r="I136" s="25" t="n">
        <x:f>Subsurface_Inputs!$C$47-Subsurface_Inputs!$C$43+2*SIN(2*PI()*A136/42)</x:f>
        <x:v>-13.267949192431123</x:v>
      </x:c>
      <x:c r="J136" s="25" t="n">
        <x:v>0</x:v>
      </x:c>
    </x:row>
    <x:row r="137">
      <x:c r="A137" s="25" t="n">
        <x:f>Subsurface_Live_Data!A137</x:f>
        <x:v>7.5</x:v>
      </x:c>
      <x:c r="B137" s="25" t="n">
        <x:f>Subsurface_Live_Data!K137</x:f>
        <x:v>16063.197058525908</x:v>
      </x:c>
      <x:c r="C137" s="25" t="n">
        <x:f>MAX(0,B137-Subsurface_Inputs!$C$44)</x:f>
        <x:v>14563.197058525908</x:v>
      </x:c>
      <x:c r="D137" s="25" t="n">
        <x:f>B137+Subsurface_Inputs!$C$44</x:f>
        <x:v>17563.197058525908</x:v>
      </x:c>
      <x:c r="E137" s="25" t="n">
        <x:f>B137*Subsurface_Inputs!$C$45</x:f>
        <x:v>8834.75838218925</x:v>
      </x:c>
      <x:c r="F137" s="25" t="n">
        <x:f>B137</x:f>
        <x:v>16063.197058525908</x:v>
      </x:c>
      <x:c r="G137" s="25" t="n">
        <x:f>B137*Subsurface_Inputs!$C$46</x:f>
        <x:v>28110.594852420338</x:v>
      </x:c>
      <x:c r="H137" s="25" t="n">
        <x:f>Subsurface_Live_Data!Y137</x:f>
        <x:v>6.895222783514718</x:v>
      </x:c>
      <x:c r="I137" s="25" t="n">
        <x:f>Subsurface_Inputs!$C$47-Subsurface_Inputs!$C$43+2*SIN(2*PI()*A137/42)</x:f>
        <x:v>-13.198062264195162</x:v>
      </x:c>
      <x:c r="J137" s="25" t="n">
        <x:v>0</x:v>
      </x:c>
    </x:row>
    <x:row r="138">
      <x:c r="A138" s="25" t="n">
        <x:f>Subsurface_Live_Data!A138</x:f>
        <x:v>8</x:v>
      </x:c>
      <x:c r="B138" s="25" t="n">
        <x:f>Subsurface_Live_Data!K138</x:f>
        <x:v>16064.496639991332</x:v>
      </x:c>
      <x:c r="C138" s="25" t="n">
        <x:f>MAX(0,B138-Subsurface_Inputs!$C$44)</x:f>
        <x:v>14564.496639991332</x:v>
      </x:c>
      <x:c r="D138" s="25" t="n">
        <x:f>B138+Subsurface_Inputs!$C$44</x:f>
        <x:v>17564.496639991332</x:v>
      </x:c>
      <x:c r="E138" s="25" t="n">
        <x:f>B138*Subsurface_Inputs!$C$45</x:f>
        <x:v>8835.473151995233</x:v>
      </x:c>
      <x:c r="F138" s="25" t="n">
        <x:f>B138</x:f>
        <x:v>16064.496639991332</x:v>
      </x:c>
      <x:c r="G138" s="25" t="n">
        <x:f>B138*Subsurface_Inputs!$C$46</x:f>
        <x:v>28112.869119984833</x:v>
      </x:c>
      <x:c r="H138" s="25" t="n">
        <x:f>Subsurface_Live_Data!Y138</x:f>
        <x:v>6.862655815818961</x:v>
      </x:c>
      <x:c r="I138" s="25" t="n">
        <x:f>Subsurface_Inputs!$C$47-Subsurface_Inputs!$C$43+2*SIN(2*PI()*A138/42)</x:f>
        <x:v>-13.138252502711591</x:v>
      </x:c>
      <x:c r="J138" s="25" t="n">
        <x:v>0</x:v>
      </x:c>
    </x:row>
    <x:row r="139">
      <x:c r="A139" s="25" t="n">
        <x:f>Subsurface_Live_Data!A139</x:f>
        <x:v>8.5</x:v>
      </x:c>
      <x:c r="B139" s="25" t="n">
        <x:f>Subsurface_Live_Data!K139</x:f>
        <x:v>16066.128989193123</x:v>
      </x:c>
      <x:c r="C139" s="25" t="n">
        <x:f>MAX(0,B139-Subsurface_Inputs!$C$44)</x:f>
        <x:v>14566.128989193123</x:v>
      </x:c>
      <x:c r="D139" s="25" t="n">
        <x:f>B139+Subsurface_Inputs!$C$44</x:f>
        <x:v>17566.128989193123</x:v>
      </x:c>
      <x:c r="E139" s="25" t="n">
        <x:f>B139*Subsurface_Inputs!$C$45</x:f>
        <x:v>8836.370944056218</x:v>
      </x:c>
      <x:c r="F139" s="25" t="n">
        <x:f>B139</x:f>
        <x:v>16066.128989193123</x:v>
      </x:c>
      <x:c r="G139" s="25" t="n">
        <x:f>B139*Subsurface_Inputs!$C$46</x:f>
        <x:v>28115.725731087965</x:v>
      </x:c>
      <x:c r="H139" s="25" t="n">
        <x:f>Subsurface_Live_Data!Y139</x:f>
        <x:v>6.782690265200294</x:v>
      </x:c>
      <x:c r="I139" s="25" t="n">
        <x:f>Subsurface_Inputs!$C$47-Subsurface_Inputs!$C$43+2*SIN(2*PI()*A139/42)</x:f>
        <x:v>-13.088854388427718</x:v>
      </x:c>
      <x:c r="J139" s="25" t="n">
        <x:v>0</x:v>
      </x:c>
    </x:row>
    <x:row r="140">
      <x:c r="A140" s="25" t="n">
        <x:f>Subsurface_Live_Data!A140</x:f>
        <x:v>9</x:v>
      </x:c>
      <x:c r="B140" s="25" t="n">
        <x:f>Subsurface_Live_Data!K140</x:f>
        <x:v>16063.809243256452</x:v>
      </x:c>
      <x:c r="C140" s="25" t="n">
        <x:f>MAX(0,B140-Subsurface_Inputs!$C$44)</x:f>
        <x:v>14563.809243256452</x:v>
      </x:c>
      <x:c r="D140" s="25" t="n">
        <x:f>B140+Subsurface_Inputs!$C$44</x:f>
        <x:v>17563.80924325645</x:v>
      </x:c>
      <x:c r="E140" s="25" t="n">
        <x:f>B140*Subsurface_Inputs!$C$45</x:f>
        <x:v>8835.09508379105</x:v>
      </x:c>
      <x:c r="F140" s="25" t="n">
        <x:f>B140</x:f>
        <x:v>16063.809243256452</x:v>
      </x:c>
      <x:c r="G140" s="25" t="n">
        <x:f>B140*Subsurface_Inputs!$C$46</x:f>
        <x:v>28111.66617569879</x:v>
      </x:c>
      <x:c r="H140" s="25" t="n">
        <x:f>Subsurface_Live_Data!Y140</x:f>
        <x:v>6.802640421381554</x:v>
      </x:c>
      <x:c r="I140" s="25" t="n">
        <x:f>Subsurface_Inputs!$C$47-Subsurface_Inputs!$C$43+2*SIN(2*PI()*A140/42)</x:f>
        <x:v>-13.050144175636353</x:v>
      </x:c>
      <x:c r="J140" s="25" t="n">
        <x:v>0</x:v>
      </x:c>
    </x:row>
    <x:row r="141">
      <x:c r="A141" s="25" t="n">
        <x:f>Subsurface_Live_Data!A141</x:f>
        <x:v>9.5</x:v>
      </x:c>
      <x:c r="B141" s="25" t="n">
        <x:f>Subsurface_Live_Data!K141</x:f>
        <x:v>16060.87573901286</x:v>
      </x:c>
      <x:c r="C141" s="25" t="n">
        <x:f>MAX(0,B141-Subsurface_Inputs!$C$44)</x:f>
        <x:v>14560.87573901286</x:v>
      </x:c>
      <x:c r="D141" s="25" t="n">
        <x:f>B141+Subsurface_Inputs!$C$44</x:f>
        <x:v>17560.87573901286</x:v>
      </x:c>
      <x:c r="E141" s="25" t="n">
        <x:f>B141*Subsurface_Inputs!$C$45</x:f>
        <x:v>8833.481656457074</x:v>
      </x:c>
      <x:c r="F141" s="25" t="n">
        <x:f>B141</x:f>
        <x:v>16060.87573901286</x:v>
      </x:c>
      <x:c r="G141" s="25" t="n">
        <x:f>B141*Subsurface_Inputs!$C$46</x:f>
        <x:v>28106.532543272504</x:v>
      </x:c>
      <x:c r="H141" s="25" t="n">
        <x:f>Subsurface_Live_Data!Y141</x:f>
        <x:v>6.807868722571676</x:v>
      </x:c>
      <x:c r="I141" s="25" t="n">
        <x:f>Subsurface_Inputs!$C$47-Subsurface_Inputs!$C$43+2*SIN(2*PI()*A141/42)</x:f>
        <x:v>-13.022338347549743</x:v>
      </x:c>
      <x:c r="J141" s="25" t="n">
        <x:v>0</x:v>
      </x:c>
    </x:row>
    <x:row r="142">
      <x:c r="A142" s="25" t="n">
        <x:f>Subsurface_Live_Data!A142</x:f>
        <x:v>10</x:v>
      </x:c>
      <x:c r="B142" s="25" t="n">
        <x:f>Subsurface_Live_Data!K142</x:f>
        <x:v>16059.65300237692</x:v>
      </x:c>
      <x:c r="C142" s="25" t="n">
        <x:f>MAX(0,B142-Subsurface_Inputs!$C$44)</x:f>
        <x:v>14559.65300237692</x:v>
      </x:c>
      <x:c r="D142" s="25" t="n">
        <x:f>B142+Subsurface_Inputs!$C$44</x:f>
        <x:v>17559.65300237692</x:v>
      </x:c>
      <x:c r="E142" s="25" t="n">
        <x:f>B142*Subsurface_Inputs!$C$45</x:f>
        <x:v>8832.809151307307</x:v>
      </x:c>
      <x:c r="F142" s="25" t="n">
        <x:f>B142</x:f>
        <x:v>16059.65300237692</x:v>
      </x:c>
      <x:c r="G142" s="25" t="n">
        <x:f>B142*Subsurface_Inputs!$C$46</x:f>
        <x:v>28104.39275415961</x:v>
      </x:c>
      <x:c r="H142" s="25" t="n">
        <x:f>Subsurface_Live_Data!Y142</x:f>
        <x:v>6.718651903261531</x:v>
      </x:c>
      <x:c r="I142" s="25" t="n">
        <x:f>Subsurface_Inputs!$C$47-Subsurface_Inputs!$C$43+2*SIN(2*PI()*A142/42)</x:f>
        <x:v>-13.005592405637639</x:v>
      </x:c>
      <x:c r="J142" s="25" t="n">
        <x:v>0</x:v>
      </x:c>
    </x:row>
    <x:row r="143">
      <x:c r="A143" s="25" t="n">
        <x:f>Subsurface_Live_Data!A143</x:f>
        <x:v>10.5</x:v>
      </x:c>
      <x:c r="B143" s="25" t="n">
        <x:f>Subsurface_Live_Data!K143</x:f>
        <x:v>16056.097371463005</x:v>
      </x:c>
      <x:c r="C143" s="25" t="n">
        <x:f>MAX(0,B143-Subsurface_Inputs!$C$44)</x:f>
        <x:v>14556.097371463005</x:v>
      </x:c>
      <x:c r="D143" s="25" t="n">
        <x:f>B143+Subsurface_Inputs!$C$44</x:f>
        <x:v>17556.097371463005</x:v>
      </x:c>
      <x:c r="E143" s="25" t="n">
        <x:f>B143*Subsurface_Inputs!$C$45</x:f>
        <x:v>8830.853554304653</x:v>
      </x:c>
      <x:c r="F143" s="25" t="n">
        <x:f>B143</x:f>
        <x:v>16056.097371463005</x:v>
      </x:c>
      <x:c r="G143" s="25" t="n">
        <x:f>B143*Subsurface_Inputs!$C$46</x:f>
        <x:v>28098.17040006026</x:v>
      </x:c>
      <x:c r="H143" s="25" t="n">
        <x:f>Subsurface_Live_Data!Y143</x:f>
        <x:v>6.67421816878818</x:v>
      </x:c>
      <x:c r="I143" s="25" t="n">
        <x:f>Subsurface_Inputs!$C$47-Subsurface_Inputs!$C$43+2*SIN(2*PI()*A143/42)</x:f>
        <x:v>-13</x:v>
      </x:c>
      <x:c r="J143" s="25" t="n">
        <x:v>0</x:v>
      </x:c>
    </x:row>
    <x:row r="144">
      <x:c r="A144" s="25" t="n">
        <x:f>Subsurface_Live_Data!A144</x:f>
        <x:v>11</x:v>
      </x:c>
      <x:c r="B144" s="25" t="n">
        <x:f>Subsurface_Live_Data!K144</x:f>
        <x:v>16048.05644574271</x:v>
      </x:c>
      <x:c r="C144" s="25" t="n">
        <x:f>MAX(0,B144-Subsurface_Inputs!$C$44)</x:f>
        <x:v>14548.05644574271</x:v>
      </x:c>
      <x:c r="D144" s="25" t="n">
        <x:f>B144+Subsurface_Inputs!$C$44</x:f>
        <x:v>17548.05644574271</x:v>
      </x:c>
      <x:c r="E144" s="25" t="n">
        <x:f>B144*Subsurface_Inputs!$C$45</x:f>
        <x:v>8826.431045158492</x:v>
      </x:c>
      <x:c r="F144" s="25" t="n">
        <x:f>B144</x:f>
        <x:v>16048.05644574271</x:v>
      </x:c>
      <x:c r="G144" s="25" t="n">
        <x:f>B144*Subsurface_Inputs!$C$46</x:f>
        <x:v>28084.098780049742</x:v>
      </x:c>
      <x:c r="H144" s="25" t="n">
        <x:f>Subsurface_Live_Data!Y144</x:f>
        <x:v>6.748857559477642</x:v>
      </x:c>
      <x:c r="I144" s="25" t="n">
        <x:f>Subsurface_Inputs!$C$47-Subsurface_Inputs!$C$43+2*SIN(2*PI()*A144/42)</x:f>
        <x:v>-13.005592405637639</x:v>
      </x:c>
      <x:c r="J144" s="25" t="n">
        <x:v>0</x:v>
      </x:c>
    </x:row>
    <x:row r="145">
      <x:c r="A145" s="25" t="n">
        <x:f>Subsurface_Live_Data!A145</x:f>
        <x:v>11.5</x:v>
      </x:c>
      <x:c r="B145" s="25" t="n">
        <x:f>Subsurface_Live_Data!K145</x:f>
        <x:v>16041.249630235392</x:v>
      </x:c>
      <x:c r="C145" s="25" t="n">
        <x:f>MAX(0,B145-Subsurface_Inputs!$C$44)</x:f>
        <x:v>14541.249630235392</x:v>
      </x:c>
      <x:c r="D145" s="25" t="n">
        <x:f>B145+Subsurface_Inputs!$C$44</x:f>
        <x:v>17541.24963023539</x:v>
      </x:c>
      <x:c r="E145" s="25" t="n">
        <x:f>B145*Subsurface_Inputs!$C$45</x:f>
        <x:v>8822.687296629467</x:v>
      </x:c>
      <x:c r="F145" s="25" t="n">
        <x:f>B145</x:f>
        <x:v>16041.249630235392</x:v>
      </x:c>
      <x:c r="G145" s="25" t="n">
        <x:f>B145*Subsurface_Inputs!$C$46</x:f>
        <x:v>28072.186852911935</x:v>
      </x:c>
      <x:c r="H145" s="25" t="n">
        <x:f>Subsurface_Live_Data!Y145</x:f>
        <x:v>6.746361374428972</x:v>
      </x:c>
      <x:c r="I145" s="25" t="n">
        <x:f>Subsurface_Inputs!$C$47-Subsurface_Inputs!$C$43+2*SIN(2*PI()*A145/42)</x:f>
        <x:v>-13.022338347549743</x:v>
      </x:c>
      <x:c r="J145" s="25" t="n">
        <x:v>0</x:v>
      </x:c>
    </x:row>
    <x:row r="146">
      <x:c r="A146" s="25" t="n">
        <x:f>Subsurface_Live_Data!A146</x:f>
        <x:v>12</x:v>
      </x:c>
      <x:c r="B146" s="25" t="n">
        <x:f>Subsurface_Live_Data!K146</x:f>
        <x:v>16033.398823391757</x:v>
      </x:c>
      <x:c r="C146" s="25" t="n">
        <x:f>MAX(0,B146-Subsurface_Inputs!$C$44)</x:f>
        <x:v>14533.398823391757</x:v>
      </x:c>
      <x:c r="D146" s="25" t="n">
        <x:f>B146+Subsurface_Inputs!$C$44</x:f>
        <x:v>17533.398823391755</x:v>
      </x:c>
      <x:c r="E146" s="25" t="n">
        <x:f>B146*Subsurface_Inputs!$C$45</x:f>
        <x:v>8818.369352865468</x:v>
      </x:c>
      <x:c r="F146" s="25" t="n">
        <x:f>B146</x:f>
        <x:v>16033.398823391757</x:v>
      </x:c>
      <x:c r="G146" s="25" t="n">
        <x:f>B146*Subsurface_Inputs!$C$46</x:f>
        <x:v>28058.447940935574</x:v>
      </x:c>
      <x:c r="H146" s="25" t="n">
        <x:f>Subsurface_Live_Data!Y146</x:f>
        <x:v>6.745472212837484</x:v>
      </x:c>
      <x:c r="I146" s="25" t="n">
        <x:f>Subsurface_Inputs!$C$47-Subsurface_Inputs!$C$43+2*SIN(2*PI()*A146/42)</x:f>
        <x:v>-13.050144175636353</x:v>
      </x:c>
      <x:c r="J146" s="25" t="n">
        <x:v>0</x:v>
      </x:c>
    </x:row>
    <x:row r="147">
      <x:c r="A147" s="25" t="n">
        <x:f>Subsurface_Live_Data!A147</x:f>
        <x:v>12.5</x:v>
      </x:c>
      <x:c r="B147" s="25" t="n">
        <x:f>Subsurface_Live_Data!K147</x:f>
        <x:v>16021.161227495551</x:v>
      </x:c>
      <x:c r="C147" s="25" t="n">
        <x:f>MAX(0,B147-Subsurface_Inputs!$C$44)</x:f>
        <x:v>14521.161227495551</x:v>
      </x:c>
      <x:c r="D147" s="25" t="n">
        <x:f>B147+Subsurface_Inputs!$C$44</x:f>
        <x:v>17521.16122749555</x:v>
      </x:c>
      <x:c r="E147" s="25" t="n">
        <x:f>B147*Subsurface_Inputs!$C$45</x:f>
        <x:v>8811.638675122555</x:v>
      </x:c>
      <x:c r="F147" s="25" t="n">
        <x:f>B147</x:f>
        <x:v>16021.161227495551</x:v>
      </x:c>
      <x:c r="G147" s="25" t="n">
        <x:f>B147*Subsurface_Inputs!$C$46</x:f>
        <x:v>28037.032148117214</x:v>
      </x:c>
      <x:c r="H147" s="25" t="n">
        <x:f>Subsurface_Live_Data!Y147</x:f>
        <x:v>6.861592334330737</x:v>
      </x:c>
      <x:c r="I147" s="25" t="n">
        <x:f>Subsurface_Inputs!$C$47-Subsurface_Inputs!$C$43+2*SIN(2*PI()*A147/42)</x:f>
        <x:v>-13.088854388427718</x:v>
      </x:c>
      <x:c r="J147" s="25" t="n">
        <x:v>0</x:v>
      </x:c>
    </x:row>
    <x:row r="148">
      <x:c r="A148" s="25" t="n">
        <x:f>Subsurface_Live_Data!A148</x:f>
        <x:v>13</x:v>
      </x:c>
      <x:c r="B148" s="25" t="n">
        <x:f>Subsurface_Live_Data!K148</x:f>
        <x:v>16010.081996804991</x:v>
      </x:c>
      <x:c r="C148" s="25" t="n">
        <x:f>MAX(0,B148-Subsurface_Inputs!$C$44)</x:f>
        <x:v>14510.081996804991</x:v>
      </x:c>
      <x:c r="D148" s="25" t="n">
        <x:f>B148+Subsurface_Inputs!$C$44</x:f>
        <x:v>17510.08199680499</x:v>
      </x:c>
      <x:c r="E148" s="25" t="n">
        <x:f>B148*Subsurface_Inputs!$C$45</x:f>
        <x:v>8805.545098242746</x:v>
      </x:c>
      <x:c r="F148" s="25" t="n">
        <x:f>B148</x:f>
        <x:v>16010.081996804991</x:v>
      </x:c>
      <x:c r="G148" s="25" t="n">
        <x:f>B148*Subsurface_Inputs!$C$46</x:f>
        <x:v>28017.643494408734</x:v>
      </x:c>
      <x:c r="H148" s="25" t="n">
        <x:f>Subsurface_Live_Data!Y148</x:f>
        <x:v>6.904695729184056</x:v>
      </x:c>
      <x:c r="I148" s="25" t="n">
        <x:f>Subsurface_Inputs!$C$47-Subsurface_Inputs!$C$43+2*SIN(2*PI()*A148/42)</x:f>
        <x:v>-13.138252502711591</x:v>
      </x:c>
      <x:c r="J148" s="25" t="n">
        <x:v>0</x:v>
      </x:c>
    </x:row>
    <x:row r="149">
      <x:c r="A149" s="25" t="n">
        <x:f>Subsurface_Live_Data!A149</x:f>
        <x:v>13.5</x:v>
      </x:c>
      <x:c r="B149" s="25" t="n">
        <x:f>Subsurface_Live_Data!K149</x:f>
        <x:v>15999.920769914777</x:v>
      </x:c>
      <x:c r="C149" s="25" t="n">
        <x:f>MAX(0,B149-Subsurface_Inputs!$C$44)</x:f>
        <x:v>14499.920769914777</x:v>
      </x:c>
      <x:c r="D149" s="25" t="n">
        <x:f>B149+Subsurface_Inputs!$C$44</x:f>
        <x:v>17499.920769914777</x:v>
      </x:c>
      <x:c r="E149" s="25" t="n">
        <x:f>B149*Subsurface_Inputs!$C$45</x:f>
        <x:v>8799.956423453128</x:v>
      </x:c>
      <x:c r="F149" s="25" t="n">
        <x:f>B149</x:f>
        <x:v>15999.920769914777</x:v>
      </x:c>
      <x:c r="G149" s="25" t="n">
        <x:f>B149*Subsurface_Inputs!$C$46</x:f>
        <x:v>27999.86134735086</x:v>
      </x:c>
      <x:c r="H149" s="25" t="n">
        <x:f>Subsurface_Live_Data!Y149</x:f>
        <x:v>6.883674818100573</x:v>
      </x:c>
      <x:c r="I149" s="25" t="n">
        <x:f>Subsurface_Inputs!$C$47-Subsurface_Inputs!$C$43+2*SIN(2*PI()*A149/42)</x:f>
        <x:v>-13.198062264195162</x:v>
      </x:c>
      <x:c r="J149" s="25" t="n">
        <x:v>0</x:v>
      </x:c>
    </x:row>
    <x:row r="150">
      <x:c r="A150" s="25" t="n">
        <x:f>Subsurface_Live_Data!A150</x:f>
        <x:v>14</x:v>
      </x:c>
      <x:c r="B150" s="25" t="n">
        <x:f>Subsurface_Live_Data!K150</x:f>
        <x:v>15985.326614254289</x:v>
      </x:c>
      <x:c r="C150" s="25" t="n">
        <x:f>MAX(0,B150-Subsurface_Inputs!$C$44)</x:f>
        <x:v>14485.326614254289</x:v>
      </x:c>
      <x:c r="D150" s="25" t="n">
        <x:f>B150+Subsurface_Inputs!$C$44</x:f>
        <x:v>17485.32661425429</x:v>
      </x:c>
      <x:c r="E150" s="25" t="n">
        <x:f>B150*Subsurface_Inputs!$C$45</x:f>
        <x:v>8791.92963783986</x:v>
      </x:c>
      <x:c r="F150" s="25" t="n">
        <x:f>B150</x:f>
        <x:v>15985.326614254289</x:v>
      </x:c>
      <x:c r="G150" s="25" t="n">
        <x:f>B150*Subsurface_Inputs!$C$46</x:f>
        <x:v>27974.321574945006</x:v>
      </x:c>
      <x:c r="H150" s="25" t="n">
        <x:f>Subsurface_Live_Data!Y150</x:f>
        <x:v>6.9831401540182725</x:v>
      </x:c>
      <x:c r="I150" s="25" t="n">
        <x:f>Subsurface_Inputs!$C$47-Subsurface_Inputs!$C$43+2*SIN(2*PI()*A150/42)</x:f>
        <x:v>-13.267949192431123</x:v>
      </x:c>
      <x:c r="J150" s="25" t="n">
        <x:v>0</x:v>
      </x:c>
    </x:row>
    <x:row r="151">
      <x:c r="A151" s="25" t="n">
        <x:f>Subsurface_Live_Data!A151</x:f>
        <x:v>14.5</x:v>
      </x:c>
      <x:c r="B151" s="25" t="n">
        <x:f>Subsurface_Live_Data!K151</x:f>
        <x:v>15969.73928107725</x:v>
      </x:c>
      <x:c r="C151" s="25" t="n">
        <x:f>MAX(0,B151-Subsurface_Inputs!$C$44)</x:f>
        <x:v>14469.73928107725</x:v>
      </x:c>
      <x:c r="D151" s="25" t="n">
        <x:f>B151+Subsurface_Inputs!$C$44</x:f>
        <x:v>17469.73928107725</x:v>
      </x:c>
      <x:c r="E151" s="25" t="n">
        <x:f>B151*Subsurface_Inputs!$C$45</x:f>
        <x:v>8783.356604592489</x:v>
      </x:c>
      <x:c r="F151" s="25" t="n">
        <x:f>B151</x:f>
        <x:v>15969.73928107725</x:v>
      </x:c>
      <x:c r="G151" s="25" t="n">
        <x:f>B151*Subsurface_Inputs!$C$46</x:f>
        <x:v>27947.043741885187</x:v>
      </x:c>
      <x:c r="H151" s="25" t="n">
        <x:f>Subsurface_Live_Data!Y151</x:f>
        <x:v>7.085612794805691</x:v>
      </x:c>
      <x:c r="I151" s="25" t="n">
        <x:f>Subsurface_Inputs!$C$47-Subsurface_Inputs!$C$43+2*SIN(2*PI()*A151/42)</x:f>
        <x:v>-13.347522451368011</x:v>
      </x:c>
      <x:c r="J151" s="25" t="n">
        <x:v>0</x:v>
      </x:c>
    </x:row>
    <x:row r="152">
      <x:c r="A152" s="25" t="n">
        <x:f>Subsurface_Live_Data!A152</x:f>
        <x:v>15</x:v>
      </x:c>
      <x:c r="B152" s="25" t="n">
        <x:f>Subsurface_Live_Data!K152</x:f>
        <x:v>15955.784004300433</x:v>
      </x:c>
      <x:c r="C152" s="25" t="n">
        <x:f>MAX(0,B152-Subsurface_Inputs!$C$44)</x:f>
        <x:v>14455.784004300433</x:v>
      </x:c>
      <x:c r="D152" s="25" t="n">
        <x:f>B152+Subsurface_Inputs!$C$44</x:f>
        <x:v>17455.784004300433</x:v>
      </x:c>
      <x:c r="E152" s="25" t="n">
        <x:f>B152*Subsurface_Inputs!$C$45</x:f>
        <x:v>8775.681202365238</x:v>
      </x:c>
      <x:c r="F152" s="25" t="n">
        <x:f>B152</x:f>
        <x:v>15955.784004300433</x:v>
      </x:c>
      <x:c r="G152" s="25" t="n">
        <x:f>B152*Subsurface_Inputs!$C$46</x:f>
        <x:v>27922.62200752576</x:v>
      </x:c>
      <x:c r="H152" s="25" t="n">
        <x:f>Subsurface_Live_Data!Y152</x:f>
        <x:v>7.101667015848584</x:v>
      </x:c>
      <x:c r="I152" s="25" t="n">
        <x:f>Subsurface_Inputs!$C$47-Subsurface_Inputs!$C$43+2*SIN(2*PI()*A152/42)</x:f>
        <x:v>-13.43633703506394</x:v>
      </x:c>
      <x:c r="J152" s="25" t="n">
        <x:v>0</x:v>
      </x:c>
    </x:row>
    <x:row r="153">
      <x:c r="A153" s="25" t="n">
        <x:f>Subsurface_Live_Data!A153</x:f>
        <x:v>15.5</x:v>
      </x:c>
      <x:c r="B153" s="25" t="n">
        <x:f>Subsurface_Live_Data!K153</x:f>
        <x:v>15939.048750669783</x:v>
      </x:c>
      <x:c r="C153" s="25" t="n">
        <x:f>MAX(0,B153-Subsurface_Inputs!$C$44)</x:f>
        <x:v>14439.048750669783</x:v>
      </x:c>
      <x:c r="D153" s="25" t="n">
        <x:f>B153+Subsurface_Inputs!$C$44</x:f>
        <x:v>17439.048750669783</x:v>
      </x:c>
      <x:c r="E153" s="25" t="n">
        <x:f>B153*Subsurface_Inputs!$C$45</x:f>
        <x:v>8766.47681286838</x:v>
      </x:c>
      <x:c r="F153" s="25" t="n">
        <x:f>B153</x:f>
        <x:v>15939.048750669783</x:v>
      </x:c>
      <x:c r="G153" s="25" t="n">
        <x:f>B153*Subsurface_Inputs!$C$46</x:f>
        <x:v>27893.33531367212</x:v>
      </x:c>
      <x:c r="H153" s="25" t="n">
        <x:f>Subsurface_Live_Data!Y153</x:f>
        <x:v>7.1838132042366</x:v>
      </x:c>
      <x:c r="I153" s="25" t="n">
        <x:f>Subsurface_Inputs!$C$47-Subsurface_Inputs!$C$43+2*SIN(2*PI()*A153/42)</x:f>
        <x:v>-13.533896256340347</x:v>
      </x:c>
      <x:c r="J153" s="25" t="n">
        <x:v>0</x:v>
      </x:c>
    </x:row>
    <x:row r="154">
      <x:c r="A154" s="25" t="n">
        <x:f>Subsurface_Live_Data!A154</x:f>
        <x:v>16</x:v>
      </x:c>
      <x:c r="B154" s="25" t="n">
        <x:f>Subsurface_Live_Data!K154</x:f>
        <x:v>15920.135353699008</x:v>
      </x:c>
      <x:c r="C154" s="25" t="n">
        <x:f>MAX(0,B154-Subsurface_Inputs!$C$44)</x:f>
        <x:v>14420.135353699008</x:v>
      </x:c>
      <x:c r="D154" s="25" t="n">
        <x:f>B154+Subsurface_Inputs!$C$44</x:f>
        <x:v>17420.135353699006</x:v>
      </x:c>
      <x:c r="E154" s="25" t="n">
        <x:f>B154*Subsurface_Inputs!$C$45</x:f>
        <x:v>8756.074444534455</x:v>
      </x:c>
      <x:c r="F154" s="25" t="n">
        <x:f>B154</x:f>
        <x:v>15920.135353699008</x:v>
      </x:c>
      <x:c r="G154" s="25" t="n">
        <x:f>B154*Subsurface_Inputs!$C$46</x:f>
        <x:v>27860.236868973265</x:v>
      </x:c>
      <x:c r="H154" s="25" t="n">
        <x:f>Subsurface_Live_Data!Y154</x:f>
        <x:v>7.312281132748701</x:v>
      </x:c>
      <x:c r="I154" s="25" t="n">
        <x:f>Subsurface_Inputs!$C$47-Subsurface_Inputs!$C$43+2*SIN(2*PI()*A154/42)</x:f>
        <x:v>-13.63965452445816</x:v>
      </x:c>
      <x:c r="J154" s="25" t="n">
        <x:v>0</x:v>
      </x:c>
    </x:row>
    <x:row r="155">
      <x:c r="A155" s="25" t="n">
        <x:f>Subsurface_Live_Data!A155</x:f>
        <x:v>16.5</x:v>
      </x:c>
      <x:c r="B155" s="25" t="n">
        <x:f>Subsurface_Live_Data!K155</x:f>
        <x:v>15900.088700233617</x:v>
      </x:c>
      <x:c r="C155" s="25" t="n">
        <x:f>MAX(0,B155-Subsurface_Inputs!$C$44)</x:f>
        <x:v>14400.088700233617</x:v>
      </x:c>
      <x:c r="D155" s="25" t="n">
        <x:f>B155+Subsurface_Inputs!$C$44</x:f>
        <x:v>17400.088700233617</x:v>
      </x:c>
      <x:c r="E155" s="25" t="n">
        <x:f>B155*Subsurface_Inputs!$C$45</x:f>
        <x:v>8745.04878512849</x:v>
      </x:c>
      <x:c r="F155" s="25" t="n">
        <x:f>B155</x:f>
        <x:v>15900.088700233617</x:v>
      </x:c>
      <x:c r="G155" s="25" t="n">
        <x:f>B155*Subsurface_Inputs!$C$46</x:f>
        <x:v>27825.15522540883</x:v>
      </x:c>
      <x:c r="H155" s="25" t="n">
        <x:f>Subsurface_Live_Data!Y155</x:f>
        <x:v>7.4521231864764985</x:v>
      </x:c>
      <x:c r="I155" s="25" t="n">
        <x:f>Subsurface_Inputs!$C$47-Subsurface_Inputs!$C$43+2*SIN(2*PI()*A155/42)</x:f>
        <x:v>-13.753020396282533</x:v>
      </x:c>
      <x:c r="J155" s="25" t="n">
        <x:v>0</x:v>
      </x:c>
    </x:row>
    <x:row r="156">
      <x:c r="A156" s="25" t="n">
        <x:f>Subsurface_Live_Data!A156</x:f>
        <x:v>17</x:v>
      </x:c>
      <x:c r="B156" s="25" t="n">
        <x:f>Subsurface_Live_Data!K156</x:f>
        <x:v>15880.399991454993</x:v>
      </x:c>
      <x:c r="C156" s="25" t="n">
        <x:f>MAX(0,B156-Subsurface_Inputs!$C$44)</x:f>
        <x:v>14380.399991454993</x:v>
      </x:c>
      <x:c r="D156" s="25" t="n">
        <x:f>B156+Subsurface_Inputs!$C$44</x:f>
        <x:v>17380.399991454993</x:v>
      </x:c>
      <x:c r="E156" s="25" t="n">
        <x:f>B156*Subsurface_Inputs!$C$45</x:f>
        <x:v>8734.219995300247</x:v>
      </x:c>
      <x:c r="F156" s="25" t="n">
        <x:f>B156</x:f>
        <x:v>15880.399991454993</x:v>
      </x:c>
      <x:c r="G156" s="25" t="n">
        <x:f>B156*Subsurface_Inputs!$C$46</x:f>
        <x:v>27790.699985046238</x:v>
      </x:c>
      <x:c r="H156" s="25" t="n">
        <x:f>Subsurface_Live_Data!Y156</x:f>
        <x:v>7.553099997733035</x:v>
      </x:c>
      <x:c r="I156" s="25" t="n">
        <x:f>Subsurface_Inputs!$C$47-Subsurface_Inputs!$C$43+2*SIN(2*PI()*A156/42)</x:f>
        <x:v>-13.873359883872757</x:v>
      </x:c>
      <x:c r="J156" s="25" t="n">
        <x:v>0</x:v>
      </x:c>
    </x:row>
    <x:row r="157">
      <x:c r="A157" s="25" t="n">
        <x:f>Subsurface_Live_Data!A157</x:f>
        <x:v>17.5</x:v>
      </x:c>
      <x:c r="B157" s="25" t="n">
        <x:f>Subsurface_Live_Data!K157</x:f>
        <x:v>15857.998232165117</x:v>
      </x:c>
      <x:c r="C157" s="25" t="n">
        <x:f>MAX(0,B157-Subsurface_Inputs!$C$44)</x:f>
        <x:v>14357.998232165117</x:v>
      </x:c>
      <x:c r="D157" s="25" t="n">
        <x:f>B157+Subsurface_Inputs!$C$44</x:f>
        <x:v>17357.99823216512</x:v>
      </x:c>
      <x:c r="E157" s="25" t="n">
        <x:f>B157*Subsurface_Inputs!$C$45</x:f>
        <x:v>8721.899027690815</x:v>
      </x:c>
      <x:c r="F157" s="25" t="n">
        <x:f>B157</x:f>
        <x:v>15857.998232165117</x:v>
      </x:c>
      <x:c r="G157" s="25" t="n">
        <x:f>B157*Subsurface_Inputs!$C$46</x:f>
        <x:v>27751.496906288954</x:v>
      </x:c>
      <x:c r="H157" s="25" t="n">
        <x:f>Subsurface_Live_Data!Y157</x:f>
        <x:v>7.7218277215539715</x:v>
      </x:c>
      <x:c r="I157" s="25" t="n">
        <x:f>Subsurface_Inputs!$C$47-Subsurface_Inputs!$C$43+2*SIN(2*PI()*A157/42)</x:f>
        <x:v>-14</x:v>
      </x:c>
      <x:c r="J157" s="25" t="n">
        <x:v>0</x:v>
      </x:c>
    </x:row>
    <x:row r="158">
      <x:c r="A158" s="25" t="n">
        <x:f>Subsurface_Live_Data!A158</x:f>
        <x:v>18</x:v>
      </x:c>
      <x:c r="B158" s="25" t="n">
        <x:f>Subsurface_Live_Data!K158</x:f>
        <x:v>15835.432705922185</x:v>
      </x:c>
      <x:c r="C158" s="25" t="n">
        <x:f>MAX(0,B158-Subsurface_Inputs!$C$44)</x:f>
        <x:v>14335.432705922185</x:v>
      </x:c>
      <x:c r="D158" s="25" t="n">
        <x:f>B158+Subsurface_Inputs!$C$44</x:f>
        <x:v>17335.432705922183</x:v>
      </x:c>
      <x:c r="E158" s="25" t="n">
        <x:f>B158*Subsurface_Inputs!$C$45</x:f>
        <x:v>8709.487988257202</x:v>
      </x:c>
      <x:c r="F158" s="25" t="n">
        <x:f>B158</x:f>
        <x:v>15835.432705922185</x:v>
      </x:c>
      <x:c r="G158" s="25" t="n">
        <x:f>B158*Subsurface_Inputs!$C$46</x:f>
        <x:v>27712.007235363824</x:v>
      </x:c>
      <x:c r="H158" s="25" t="n">
        <x:f>Subsurface_Live_Data!Y158</x:f>
        <x:v>7.871789319044858</x:v>
      </x:c>
      <x:c r="I158" s="25" t="n">
        <x:f>Subsurface_Inputs!$C$47-Subsurface_Inputs!$C$43+2*SIN(2*PI()*A158/42)</x:f>
        <x:v>-14.132232521764884</x:v>
      </x:c>
      <x:c r="J158" s="25" t="n">
        <x:v>0</x:v>
      </x:c>
    </x:row>
    <x:row r="159">
      <x:c r="A159" s="25" t="n">
        <x:f>Subsurface_Live_Data!A159</x:f>
        <x:v>18.5</x:v>
      </x:c>
      <x:c r="B159" s="25" t="n">
        <x:f>Subsurface_Live_Data!K159</x:f>
        <x:v>15813.188429767826</x:v>
      </x:c>
      <x:c r="C159" s="25" t="n">
        <x:f>MAX(0,B159-Subsurface_Inputs!$C$44)</x:f>
        <x:v>14313.188429767826</x:v>
      </x:c>
      <x:c r="D159" s="25" t="n">
        <x:f>B159+Subsurface_Inputs!$C$44</x:f>
        <x:v>17313.188429767826</x:v>
      </x:c>
      <x:c r="E159" s="25" t="n">
        <x:f>B159*Subsurface_Inputs!$C$45</x:f>
        <x:v>8697.253636372305</x:v>
      </x:c>
      <x:c r="F159" s="25" t="n">
        <x:f>B159</x:f>
        <x:v>15813.188429767826</x:v>
      </x:c>
      <x:c r="G159" s="25" t="n">
        <x:f>B159*Subsurface_Inputs!$C$46</x:f>
        <x:v>27673.079752093698</x:v>
      </x:c>
      <x:c r="H159" s="25" t="n">
        <x:f>Subsurface_Live_Data!Y159</x:f>
        <x:v>7.9874607557263175</x:v>
      </x:c>
      <x:c r="I159" s="25" t="n">
        <x:f>Subsurface_Inputs!$C$47-Subsurface_Inputs!$C$43+2*SIN(2*PI()*A159/42)</x:f>
        <x:v>-14.26931795126721</x:v>
      </x:c>
      <x:c r="J159" s="25" t="n">
        <x:v>0</x:v>
      </x:c>
    </x:row>
    <x:row r="160">
      <x:c r="A160" s="25" t="n">
        <x:f>Subsurface_Live_Data!A160</x:f>
        <x:v>19</x:v>
      </x:c>
      <x:c r="B160" s="25" t="n">
        <x:f>Subsurface_Live_Data!K160</x:f>
        <x:v>15787.561669406818</x:v>
      </x:c>
      <x:c r="C160" s="25" t="n">
        <x:f>MAX(0,B160-Subsurface_Inputs!$C$44)</x:f>
        <x:v>14287.561669406818</x:v>
      </x:c>
      <x:c r="D160" s="25" t="n">
        <x:f>B160+Subsurface_Inputs!$C$44</x:f>
        <x:v>17287.561669406816</x:v>
      </x:c>
      <x:c r="E160" s="25" t="n">
        <x:f>B160*Subsurface_Inputs!$C$45</x:f>
        <x:v>8683.15891817375</x:v>
      </x:c>
      <x:c r="F160" s="25" t="n">
        <x:f>B160</x:f>
        <x:v>15787.561669406818</x:v>
      </x:c>
      <x:c r="G160" s="25" t="n">
        <x:f>B160*Subsurface_Inputs!$C$46</x:f>
        <x:v>27628.23292146193</x:v>
      </x:c>
      <x:c r="H160" s="25" t="n">
        <x:f>Subsurface_Live_Data!Y160</x:f>
        <x:v>8.197329884976163</x:v>
      </x:c>
      <x:c r="I160" s="25" t="n">
        <x:f>Subsurface_Inputs!$C$47-Subsurface_Inputs!$C$43+2*SIN(2*PI()*A160/42)</x:f>
        <x:v>-14.41048965117819</x:v>
      </x:c>
      <x:c r="J160" s="25" t="n">
        <x:v>0</x:v>
      </x:c>
    </x:row>
    <x:row r="161">
      <x:c r="A161" s="25" t="n">
        <x:f>Subsurface_Live_Data!A161</x:f>
        <x:v>19.5</x:v>
      </x:c>
      <x:c r="B161" s="25" t="n">
        <x:f>Subsurface_Live_Data!K161</x:f>
        <x:v>15762.323121828636</x:v>
      </x:c>
      <x:c r="C161" s="25" t="n">
        <x:f>MAX(0,B161-Subsurface_Inputs!$C$44)</x:f>
        <x:v>14262.323121828636</x:v>
      </x:c>
      <x:c r="D161" s="25" t="n">
        <x:f>B161+Subsurface_Inputs!$C$44</x:f>
        <x:v>17262.32312182864</x:v>
      </x:c>
      <x:c r="E161" s="25" t="n">
        <x:f>B161*Subsurface_Inputs!$C$45</x:f>
        <x:v>8669.27771700575</x:v>
      </x:c>
      <x:c r="F161" s="25" t="n">
        <x:f>B161</x:f>
        <x:v>15762.323121828636</x:v>
      </x:c>
      <x:c r="G161" s="25" t="n">
        <x:f>B161*Subsurface_Inputs!$C$46</x:f>
        <x:v>27584.065463200113</x:v>
      </x:c>
      <x:c r="H161" s="25" t="n">
        <x:f>Subsurface_Live_Data!Y161</x:f>
        <x:v>8.373013417403499</x:v>
      </x:c>
      <x:c r="I161" s="25" t="n">
        <x:f>Subsurface_Inputs!$C$47-Subsurface_Inputs!$C$43+2*SIN(2*PI()*A161/42)</x:f>
        <x:v>-14.554958132087371</x:v>
      </x:c>
      <x:c r="J161" s="25" t="n">
        <x:v>0</x:v>
      </x:c>
    </x:row>
    <x:row r="162">
      <x:c r="A162" s="25" t="n">
        <x:f>Subsurface_Live_Data!A162</x:f>
        <x:v>20</x:v>
      </x:c>
      <x:c r="B162" s="25" t="n">
        <x:f>Subsurface_Live_Data!K162</x:f>
        <x:v>15737.095893870204</x:v>
      </x:c>
      <x:c r="C162" s="25" t="n">
        <x:f>MAX(0,B162-Subsurface_Inputs!$C$44)</x:f>
        <x:v>14237.095893870204</x:v>
      </x:c>
      <x:c r="D162" s="25" t="n">
        <x:f>B162+Subsurface_Inputs!$C$44</x:f>
        <x:v>17237.095893870202</x:v>
      </x:c>
      <x:c r="E162" s="25" t="n">
        <x:f>B162*Subsurface_Inputs!$C$45</x:f>
        <x:v>8655.402741628614</x:v>
      </x:c>
      <x:c r="F162" s="25" t="n">
        <x:f>B162</x:f>
        <x:v>15737.095893870204</x:v>
      </x:c>
      <x:c r="G162" s="25" t="n">
        <x:f>B162*Subsurface_Inputs!$C$46</x:f>
        <x:v>27539.917814272856</x:v>
      </x:c>
      <x:c r="H162" s="25" t="n">
        <x:f>Subsurface_Live_Data!Y162</x:f>
        <x:v>8.528719537877315</x:v>
      </x:c>
      <x:c r="I162" s="25" t="n">
        <x:f>Subsurface_Inputs!$C$47-Subsurface_Inputs!$C$43+2*SIN(2*PI()*A162/42)</x:f>
        <x:v>-14.70191546764765</x:v>
      </x:c>
      <x:c r="J162" s="25" t="n">
        <x:v>0</x:v>
      </x:c>
    </x:row>
    <x:row r="163">
      <x:c r="A163" s="25" t="n">
        <x:f>Subsurface_Live_Data!A163</x:f>
        <x:v>20.5</x:v>
      </x:c>
      <x:c r="B163" s="25" t="n">
        <x:f>Subsurface_Live_Data!K163</x:f>
        <x:v>15711.171253853849</x:v>
      </x:c>
      <x:c r="C163" s="25" t="n">
        <x:f>MAX(0,B163-Subsurface_Inputs!$C$44)</x:f>
        <x:v>14211.171253853849</x:v>
      </x:c>
      <x:c r="D163" s="25" t="n">
        <x:f>B163+Subsurface_Inputs!$C$44</x:f>
        <x:v>17211.17125385385</x:v>
      </x:c>
      <x:c r="E163" s="25" t="n">
        <x:f>B163*Subsurface_Inputs!$C$45</x:f>
        <x:v>8641.144189619617</x:v>
      </x:c>
      <x:c r="F163" s="25" t="n">
        <x:f>B163</x:f>
        <x:v>15711.171253853849</x:v>
      </x:c>
      <x:c r="G163" s="25" t="n">
        <x:f>B163*Subsurface_Inputs!$C$46</x:f>
        <x:v>27494.549694244233</x:v>
      </x:c>
      <x:c r="H163" s="25" t="n">
        <x:f>Subsurface_Live_Data!Y163</x:f>
        <x:v>8.69009213477819</x:v>
      </x:c>
      <x:c r="I163" s="25" t="n">
        <x:f>Subsurface_Inputs!$C$47-Subsurface_Inputs!$C$43+2*SIN(2*PI()*A163/42)</x:f>
        <x:v>-14.85053981282715</x:v>
      </x:c>
      <x:c r="J163" s="25" t="n">
        <x:v>0</x:v>
      </x:c>
    </x:row>
    <x:row r="164">
      <x:c r="A164" s="25" t="n">
        <x:f>Subsurface_Live_Data!A164</x:f>
        <x:v>21</x:v>
      </x:c>
      <x:c r="B164" s="25" t="n">
        <x:f>Subsurface_Live_Data!K164</x:f>
        <x:v>15685.108568743879</x:v>
      </x:c>
      <x:c r="C164" s="25" t="n">
        <x:f>MAX(0,B164-Subsurface_Inputs!$C$44)</x:f>
        <x:v>14185.108568743879</x:v>
      </x:c>
      <x:c r="D164" s="25" t="n">
        <x:f>B164+Subsurface_Inputs!$C$44</x:f>
        <x:v>17185.10856874388</x:v>
      </x:c>
      <x:c r="E164" s="25" t="n">
        <x:f>B164*Subsurface_Inputs!$C$45</x:f>
        <x:v>8626.809712809134</x:v>
      </x:c>
      <x:c r="F164" s="25" t="n">
        <x:f>B164</x:f>
        <x:v>15685.108568743879</x:v>
      </x:c>
      <x:c r="G164" s="25" t="n">
        <x:f>B164*Subsurface_Inputs!$C$46</x:f>
        <x:v>27448.93999530179</x:v>
      </x:c>
      <x:c r="H164" s="25" t="n">
        <x:f>Subsurface_Live_Data!Y164</x:f>
        <x:v>8.839215672583983</x:v>
      </x:c>
      <x:c r="I164" s="25" t="n">
        <x:f>Subsurface_Inputs!$C$47-Subsurface_Inputs!$C$43+2*SIN(2*PI()*A164/42)</x:f>
        <x:v>-15</x:v>
      </x:c>
      <x:c r="J164" s="25" t="n">
        <x:v>0</x:v>
      </x:c>
    </x:row>
    <x:row r="165">
      <x:c r="A165" s="25" t="n">
        <x:f>Subsurface_Live_Data!A165</x:f>
        <x:v>21.5</x:v>
      </x:c>
      <x:c r="B165" s="25" t="n">
        <x:f>Subsurface_Live_Data!K165</x:f>
        <x:v>15658.02240777977</x:v>
      </x:c>
      <x:c r="C165" s="25" t="n">
        <x:f>MAX(0,B165-Subsurface_Inputs!$C$44)</x:f>
        <x:v>14158.02240777977</x:v>
      </x:c>
      <x:c r="D165" s="25" t="n">
        <x:f>B165+Subsurface_Inputs!$C$44</x:f>
        <x:v>17158.02240777977</x:v>
      </x:c>
      <x:c r="E165" s="25" t="n">
        <x:f>B165*Subsurface_Inputs!$C$45</x:f>
        <x:v>8611.912324278874</x:v>
      </x:c>
      <x:c r="F165" s="25" t="n">
        <x:f>B165</x:f>
        <x:v>15658.02240777977</x:v>
      </x:c>
      <x:c r="G165" s="25" t="n">
        <x:f>B165*Subsurface_Inputs!$C$46</x:f>
        <x:v>27401.539213614597</x:v>
      </x:c>
      <x:c r="H165" s="25" t="n">
        <x:f>Subsurface_Live_Data!Y165</x:f>
        <x:v>9.007858255554432</x:v>
      </x:c>
      <x:c r="I165" s="25" t="n">
        <x:f>Subsurface_Inputs!$C$47-Subsurface_Inputs!$C$43+2*SIN(2*PI()*A165/42)</x:f>
        <x:v>-15.149460187172847</x:v>
      </x:c>
      <x:c r="J165" s="25" t="n">
        <x:v>0</x:v>
      </x:c>
    </x:row>
    <x:row r="166">
      <x:c r="A166" s="25" t="n">
        <x:f>Subsurface_Live_Data!A166</x:f>
        <x:v>22</x:v>
      </x:c>
      <x:c r="B166" s="25" t="n">
        <x:f>Subsurface_Live_Data!K166</x:f>
        <x:v>15630.330005252259</x:v>
      </x:c>
      <x:c r="C166" s="25" t="n">
        <x:f>MAX(0,B166-Subsurface_Inputs!$C$44)</x:f>
        <x:v>14130.330005252259</x:v>
      </x:c>
      <x:c r="D166" s="25" t="n">
        <x:f>B166+Subsurface_Inputs!$C$44</x:f>
        <x:v>17130.33000525226</x:v>
      </x:c>
      <x:c r="E166" s="25" t="n">
        <x:f>B166*Subsurface_Inputs!$C$45</x:f>
        <x:v>8596.681502888743</x:v>
      </x:c>
      <x:c r="F166" s="25" t="n">
        <x:f>B166</x:f>
        <x:v>15630.330005252259</x:v>
      </x:c>
      <x:c r="G166" s="25" t="n">
        <x:f>B166*Subsurface_Inputs!$C$46</x:f>
        <x:v>27353.077509191455</x:v>
      </x:c>
      <x:c r="H166" s="25" t="n">
        <x:f>Subsurface_Live_Data!Y166</x:f>
        <x:v>9.183034296557892</x:v>
      </x:c>
      <x:c r="I166" s="25" t="n">
        <x:f>Subsurface_Inputs!$C$47-Subsurface_Inputs!$C$43+2*SIN(2*PI()*A166/42)</x:f>
        <x:v>-15.298084532352348</x:v>
      </x:c>
      <x:c r="J166" s="25" t="n">
        <x:v>0</x:v>
      </x:c>
    </x:row>
    <x:row r="167">
      <x:c r="A167" s="25" t="n">
        <x:f>Subsurface_Live_Data!A167</x:f>
        <x:v>22.5</x:v>
      </x:c>
      <x:c r="B167" s="25" t="n">
        <x:f>Subsurface_Live_Data!K167</x:f>
        <x:v>15603.432448110258</x:v>
      </x:c>
      <x:c r="C167" s="25" t="n">
        <x:f>MAX(0,B167-Subsurface_Inputs!$C$44)</x:f>
        <x:v>14103.432448110258</x:v>
      </x:c>
      <x:c r="D167" s="25" t="n">
        <x:f>B167+Subsurface_Inputs!$C$44</x:f>
        <x:v>17103.43244811026</x:v>
      </x:c>
      <x:c r="E167" s="25" t="n">
        <x:f>B167*Subsurface_Inputs!$C$45</x:f>
        <x:v>8581.887846460642</x:v>
      </x:c>
      <x:c r="F167" s="25" t="n">
        <x:f>B167</x:f>
        <x:v>15603.432448110258</x:v>
      </x:c>
      <x:c r="G167" s="25" t="n">
        <x:f>B167*Subsurface_Inputs!$C$46</x:f>
        <x:v>27306.006784192952</x:v>
      </x:c>
      <x:c r="H167" s="25" t="n">
        <x:f>Subsurface_Live_Data!Y167</x:f>
        <x:v>9.317959401068606</x:v>
      </x:c>
      <x:c r="I167" s="25" t="n">
        <x:f>Subsurface_Inputs!$C$47-Subsurface_Inputs!$C$43+2*SIN(2*PI()*A167/42)</x:f>
        <x:v>-15.445041867912629</x:v>
      </x:c>
      <x:c r="J167" s="25" t="n">
        <x:v>0</x:v>
      </x:c>
    </x:row>
    <x:row r="168">
      <x:c r="A168" s="25" t="n">
        <x:f>Subsurface_Live_Data!A168</x:f>
        <x:v>23</x:v>
      </x:c>
      <x:c r="B168" s="25" t="n">
        <x:f>Subsurface_Live_Data!K168</x:f>
        <x:v>15576.006285577792</x:v>
      </x:c>
      <x:c r="C168" s="25" t="n">
        <x:f>MAX(0,B168-Subsurface_Inputs!$C$44)</x:f>
        <x:v>14076.006285577792</x:v>
      </x:c>
      <x:c r="D168" s="25" t="n">
        <x:f>B168+Subsurface_Inputs!$C$44</x:f>
        <x:v>17076.006285577794</x:v>
      </x:c>
      <x:c r="E168" s="25" t="n">
        <x:f>B168*Subsurface_Inputs!$C$45</x:f>
        <x:v>8566.803457067786</x:v>
      </x:c>
      <x:c r="F168" s="25" t="n">
        <x:f>B168</x:f>
        <x:v>15576.006285577792</x:v>
      </x:c>
      <x:c r="G168" s="25" t="n">
        <x:f>B168*Subsurface_Inputs!$C$46</x:f>
        <x:v>27258.010999761136</x:v>
      </x:c>
      <x:c r="H168" s="25" t="n">
        <x:f>Subsurface_Live_Data!Y168</x:f>
        <x:v>9.4595098540631</x:v>
      </x:c>
      <x:c r="I168" s="25" t="n">
        <x:f>Subsurface_Inputs!$C$47-Subsurface_Inputs!$C$43+2*SIN(2*PI()*A168/42)</x:f>
        <x:v>-15.589510348821808</x:v>
      </x:c>
      <x:c r="J168" s="25" t="n">
        <x:v>0</x:v>
      </x:c>
    </x:row>
    <x:row r="169">
      <x:c r="A169" s="25" t="n">
        <x:f>Subsurface_Live_Data!A169</x:f>
        <x:v>23.5</x:v>
      </x:c>
      <x:c r="B169" s="25" t="n">
        <x:f>Subsurface_Live_Data!K169</x:f>
        <x:v>15548.580022641641</x:v>
      </x:c>
      <x:c r="C169" s="25" t="n">
        <x:f>MAX(0,B169-Subsurface_Inputs!$C$44)</x:f>
        <x:v>14048.580022641641</x:v>
      </x:c>
      <x:c r="D169" s="25" t="n">
        <x:f>B169+Subsurface_Inputs!$C$44</x:f>
        <x:v>17048.58002264164</x:v>
      </x:c>
      <x:c r="E169" s="25" t="n">
        <x:f>B169*Subsurface_Inputs!$C$45</x:f>
        <x:v>8551.719012452904</x:v>
      </x:c>
      <x:c r="F169" s="25" t="n">
        <x:f>B169</x:f>
        <x:v>15548.580022641641</x:v>
      </x:c>
      <x:c r="G169" s="25" t="n">
        <x:f>B169*Subsurface_Inputs!$C$46</x:f>
        <x:v>27210.01503962287</x:v>
      </x:c>
      <x:c r="H169" s="25" t="n">
        <x:f>Subsurface_Live_Data!Y169</x:f>
        <x:v>9.590918785865725</x:v>
      </x:c>
      <x:c r="I169" s="25" t="n">
        <x:f>Subsurface_Inputs!$C$47-Subsurface_Inputs!$C$43+2*SIN(2*PI()*A169/42)</x:f>
        <x:v>-15.73068204873279</x:v>
      </x:c>
      <x:c r="J169" s="25" t="n">
        <x:v>0</x:v>
      </x:c>
    </x:row>
    <x:row r="170">
      <x:c r="A170" s="25" t="n">
        <x:f>Subsurface_Live_Data!A170</x:f>
        <x:v>24</x:v>
      </x:c>
      <x:c r="B170" s="25" t="n">
        <x:f>Subsurface_Live_Data!K170</x:f>
        <x:v>15518.47278025502</x:v>
      </x:c>
      <x:c r="C170" s="25" t="n">
        <x:f>MAX(0,B170-Subsurface_Inputs!$C$44)</x:f>
        <x:v>14018.47278025502</x:v>
      </x:c>
      <x:c r="D170" s="25" t="n">
        <x:f>B170+Subsurface_Inputs!$C$44</x:f>
        <x:v>17018.47278025502</x:v>
      </x:c>
      <x:c r="E170" s="25" t="n">
        <x:f>B170*Subsurface_Inputs!$C$45</x:f>
        <x:v>8535.160029140263</x:v>
      </x:c>
      <x:c r="F170" s="25" t="n">
        <x:f>B170</x:f>
        <x:v>15518.47278025502</x:v>
      </x:c>
      <x:c r="G170" s="25" t="n">
        <x:f>B170*Subsurface_Inputs!$C$46</x:f>
        <x:v>27157.327365446286</x:v>
      </x:c>
      <x:c r="H170" s="25" t="n">
        <x:f>Subsurface_Live_Data!Y170</x:f>
        <x:v>9.805738417495135</x:v>
      </x:c>
      <x:c r="I170" s="25" t="n">
        <x:f>Subsurface_Inputs!$C$47-Subsurface_Inputs!$C$43+2*SIN(2*PI()*A170/42)</x:f>
        <x:v>-15.867767478235116</x:v>
      </x:c>
      <x:c r="J170" s="25" t="n">
        <x:v>0</x:v>
      </x:c>
    </x:row>
    <x:row r="171">
      <x:c r="A171" s="25" t="n">
        <x:f>Subsurface_Live_Data!A171</x:f>
        <x:v>24.5</x:v>
      </x:c>
      <x:c r="B171" s="25" t="n">
        <x:f>Subsurface_Live_Data!K171</x:f>
        <x:v>15493.131581035035</x:v>
      </x:c>
      <x:c r="C171" s="25" t="n">
        <x:f>MAX(0,B171-Subsurface_Inputs!$C$44)</x:f>
        <x:v>13993.131581035035</x:v>
      </x:c>
      <x:c r="D171" s="25" t="n">
        <x:f>B171+Subsurface_Inputs!$C$44</x:f>
        <x:v>16993.131581035035</x:v>
      </x:c>
      <x:c r="E171" s="25" t="n">
        <x:f>B171*Subsurface_Inputs!$C$45</x:f>
        <x:v>8521.22236956927</x:v>
      </x:c>
      <x:c r="F171" s="25" t="n">
        <x:f>B171</x:f>
        <x:v>15493.131581035035</x:v>
      </x:c>
      <x:c r="G171" s="25" t="n">
        <x:f>B171*Subsurface_Inputs!$C$46</x:f>
        <x:v>27112.98026681131</x:v>
      </x:c>
      <x:c r="H171" s="25" t="n">
        <x:f>Subsurface_Live_Data!Y171</x:f>
        <x:v>9.849415253345136</x:v>
      </x:c>
      <x:c r="I171" s="25" t="n">
        <x:f>Subsurface_Inputs!$C$47-Subsurface_Inputs!$C$43+2*SIN(2*PI()*A171/42)</x:f>
        <x:v>-16</x:v>
      </x:c>
      <x:c r="J171" s="25" t="n">
        <x:v>0</x:v>
      </x:c>
    </x:row>
    <x:row r="172">
      <x:c r="A172" s="25" t="n">
        <x:f>Subsurface_Live_Data!A172</x:f>
        <x:v>25</x:v>
      </x:c>
      <x:c r="B172" s="25" t="n">
        <x:f>Subsurface_Live_Data!K172</x:f>
        <x:v>15463.492493885004</x:v>
      </x:c>
      <x:c r="C172" s="25" t="n">
        <x:f>MAX(0,B172-Subsurface_Inputs!$C$44)</x:f>
        <x:v>13963.492493885004</x:v>
      </x:c>
      <x:c r="D172" s="25" t="n">
        <x:f>B172+Subsurface_Inputs!$C$44</x:f>
        <x:v>16963.492493885</x:v>
      </x:c>
      <x:c r="E172" s="25" t="n">
        <x:f>B172*Subsurface_Inputs!$C$45</x:f>
        <x:v>8504.920871636752</x:v>
      </x:c>
      <x:c r="F172" s="25" t="n">
        <x:f>B172</x:f>
        <x:v>15463.492493885004</x:v>
      </x:c>
      <x:c r="G172" s="25" t="n">
        <x:f>B172*Subsurface_Inputs!$C$46</x:f>
        <x:v>27061.111864298757</x:v>
      </x:c>
      <x:c r="H172" s="25" t="n">
        <x:f>Subsurface_Live_Data!Y172</x:f>
        <x:v>10.034902348829824</x:v>
      </x:c>
      <x:c r="I172" s="25" t="n">
        <x:f>Subsurface_Inputs!$C$47-Subsurface_Inputs!$C$43+2*SIN(2*PI()*A172/42)</x:f>
        <x:v>-16.126640116127245</x:v>
      </x:c>
      <x:c r="J172" s="25" t="n">
        <x:v>0</x:v>
      </x:c>
    </x:row>
    <x:row r="173">
      <x:c r="A173" s="25" t="n">
        <x:f>Subsurface_Live_Data!A173</x:f>
        <x:v>25.5</x:v>
      </x:c>
      <x:c r="B173" s="25" t="n">
        <x:f>Subsurface_Live_Data!K173</x:f>
        <x:v>15438.185629581796</x:v>
      </x:c>
      <x:c r="C173" s="25" t="n">
        <x:f>MAX(0,B173-Subsurface_Inputs!$C$44)</x:f>
        <x:v>13938.185629581796</x:v>
      </x:c>
      <x:c r="D173" s="25" t="n">
        <x:f>B173+Subsurface_Inputs!$C$44</x:f>
        <x:v>16938.185629581796</x:v>
      </x:c>
      <x:c r="E173" s="25" t="n">
        <x:f>B173*Subsurface_Inputs!$C$45</x:f>
        <x:v>8491.00209626999</x:v>
      </x:c>
      <x:c r="F173" s="25" t="n">
        <x:f>B173</x:f>
        <x:v>15438.185629581796</x:v>
      </x:c>
      <x:c r="G173" s="25" t="n">
        <x:f>B173*Subsurface_Inputs!$C$46</x:f>
        <x:v>27016.824851768142</x:v>
      </x:c>
      <x:c r="H173" s="25" t="n">
        <x:f>Subsurface_Live_Data!Y173</x:f>
        <x:v>10.066981506142135</x:v>
      </x:c>
      <x:c r="I173" s="25" t="n">
        <x:f>Subsurface_Inputs!$C$47-Subsurface_Inputs!$C$43+2*SIN(2*PI()*A173/42)</x:f>
        <x:v>-16.246979603717467</x:v>
      </x:c>
      <x:c r="J173" s="25" t="n">
        <x:v>0</x:v>
      </x:c>
    </x:row>
    <x:row r="174">
      <x:c r="A174" s="25" t="n">
        <x:f>Subsurface_Live_Data!A174</x:f>
        <x:v>26</x:v>
      </x:c>
      <x:c r="B174" s="25" t="n">
        <x:f>Subsurface_Live_Data!K174</x:f>
        <x:v>15409.145316242713</x:v>
      </x:c>
      <x:c r="C174" s="25" t="n">
        <x:f>MAX(0,B174-Subsurface_Inputs!$C$44)</x:f>
        <x:v>13909.145316242713</x:v>
      </x:c>
      <x:c r="D174" s="25" t="n">
        <x:f>B174+Subsurface_Inputs!$C$44</x:f>
        <x:v>16909.145316242713</x:v>
      </x:c>
      <x:c r="E174" s="25" t="n">
        <x:f>B174*Subsurface_Inputs!$C$45</x:f>
        <x:v>8475.029923933493</x:v>
      </x:c>
      <x:c r="F174" s="25" t="n">
        <x:f>B174</x:f>
        <x:v>15409.145316242713</x:v>
      </x:c>
      <x:c r="G174" s="25" t="n">
        <x:f>B174*Subsurface_Inputs!$C$46</x:f>
        <x:v>26966.00430342475</x:v>
      </x:c>
      <x:c r="H174" s="25" t="n">
        <x:f>Subsurface_Live_Data!Y174</x:f>
        <x:v>10.224287443835998</x:v>
      </x:c>
      <x:c r="I174" s="25" t="n">
        <x:f>Subsurface_Inputs!$C$47-Subsurface_Inputs!$C$43+2*SIN(2*PI()*A174/42)</x:f>
        <x:v>-16.360345475541838</x:v>
      </x:c>
      <x:c r="J174" s="25" t="n">
        <x:v>0</x:v>
      </x:c>
    </x:row>
    <x:row r="175">
      <x:c r="A175" s="25" t="n">
        <x:f>Subsurface_Live_Data!A175</x:f>
        <x:v>26.5</x:v>
      </x:c>
      <x:c r="B175" s="25" t="n">
        <x:f>Subsurface_Live_Data!K175</x:f>
        <x:v>15380.200342679758</x:v>
      </x:c>
      <x:c r="C175" s="25" t="n">
        <x:f>MAX(0,B175-Subsurface_Inputs!$C$44)</x:f>
        <x:v>13880.200342679758</x:v>
      </x:c>
      <x:c r="D175" s="25" t="n">
        <x:f>B175+Subsurface_Inputs!$C$44</x:f>
        <x:v>16880.20034267976</x:v>
      </x:c>
      <x:c r="E175" s="25" t="n">
        <x:f>B175*Subsurface_Inputs!$C$45</x:f>
        <x:v>8459.110188473867</x:v>
      </x:c>
      <x:c r="F175" s="25" t="n">
        <x:f>B175</x:f>
        <x:v>15380.200342679758</x:v>
      </x:c>
      <x:c r="G175" s="25" t="n">
        <x:f>B175*Subsurface_Inputs!$C$46</x:f>
        <x:v>26915.350599689576</x:v>
      </x:c>
      <x:c r="H175" s="25" t="n">
        <x:f>Subsurface_Live_Data!Y175</x:f>
        <x:v>10.37661708334823</x:v>
      </x:c>
      <x:c r="I175" s="25" t="n">
        <x:f>Subsurface_Inputs!$C$47-Subsurface_Inputs!$C$43+2*SIN(2*PI()*A175/42)</x:f>
        <x:v>-16.46610374365965</x:v>
      </x:c>
      <x:c r="J175" s="25" t="n">
        <x:v>0</x:v>
      </x:c>
    </x:row>
    <x:row r="176">
      <x:c r="A176" s="25" t="n">
        <x:f>Subsurface_Live_Data!A176</x:f>
        <x:v>27</x:v>
      </x:c>
      <x:c r="B176" s="25" t="n">
        <x:f>Subsurface_Live_Data!K176</x:f>
        <x:v>15355.916304404951</x:v>
      </x:c>
      <x:c r="C176" s="25" t="n">
        <x:f>MAX(0,B176-Subsurface_Inputs!$C$44)</x:f>
        <x:v>13855.916304404951</x:v>
      </x:c>
      <x:c r="D176" s="25" t="n">
        <x:f>B176+Subsurface_Inputs!$C$44</x:f>
        <x:v>16855.91630440495</x:v>
      </x:c>
      <x:c r="E176" s="25" t="n">
        <x:f>B176*Subsurface_Inputs!$C$45</x:f>
        <x:v>8445.753967422725</x:v>
      </x:c>
      <x:c r="F176" s="25" t="n">
        <x:f>B176</x:f>
        <x:v>15355.916304404951</x:v>
      </x:c>
      <x:c r="G176" s="25" t="n">
        <x:f>B176*Subsurface_Inputs!$C$46</x:f>
        <x:v>26872.853532708665</x:v>
      </x:c>
      <x:c r="H176" s="25" t="n">
        <x:f>Subsurface_Live_Data!Y176</x:f>
        <x:v>10.368430879881146</x:v>
      </x:c>
      <x:c r="I176" s="25" t="n">
        <x:f>Subsurface_Inputs!$C$47-Subsurface_Inputs!$C$43+2*SIN(2*PI()*A176/42)</x:f>
        <x:v>-16.56366296493606</x:v>
      </x:c>
      <x:c r="J176" s="25" t="n">
        <x:v>0</x:v>
      </x:c>
    </x:row>
    <x:row r="177">
      <x:c r="A177" s="25" t="n">
        <x:f>Subsurface_Live_Data!A177</x:f>
        <x:v>27.5</x:v>
      </x:c>
      <x:c r="B177" s="25" t="n">
        <x:f>Subsurface_Live_Data!K177</x:f>
        <x:v>15327.740262481037</x:v>
      </x:c>
      <x:c r="C177" s="25" t="n">
        <x:f>MAX(0,B177-Subsurface_Inputs!$C$44)</x:f>
        <x:v>13827.740262481037</x:v>
      </x:c>
      <x:c r="D177" s="25" t="n">
        <x:f>B177+Subsurface_Inputs!$C$44</x:f>
        <x:v>16827.740262481035</x:v>
      </x:c>
      <x:c r="E177" s="25" t="n">
        <x:f>B177*Subsurface_Inputs!$C$45</x:f>
        <x:v>8430.25714436457</x:v>
      </x:c>
      <x:c r="F177" s="25" t="n">
        <x:f>B177</x:f>
        <x:v>15327.740262481037</x:v>
      </x:c>
      <x:c r="G177" s="25" t="n">
        <x:f>B177*Subsurface_Inputs!$C$46</x:f>
        <x:v>26823.545459341814</x:v>
      </x:c>
      <x:c r="H177" s="25" t="n">
        <x:f>Subsurface_Live_Data!Y177</x:f>
        <x:v>10.49507755232549</x:v>
      </x:c>
      <x:c r="I177" s="25" t="n">
        <x:f>Subsurface_Inputs!$C$47-Subsurface_Inputs!$C$43+2*SIN(2*PI()*A177/42)</x:f>
        <x:v>-16.65247754863199</x:v>
      </x:c>
      <x:c r="J177" s="25" t="n">
        <x:v>0</x:v>
      </x:c>
    </x:row>
    <x:row r="178">
      <x:c r="A178" s="25" t="n">
        <x:f>Subsurface_Live_Data!A178</x:f>
        <x:v>28</x:v>
      </x:c>
      <x:c r="B178" s="25" t="n">
        <x:f>Subsurface_Live_Data!K178</x:f>
        <x:v>15301.840793373181</x:v>
      </x:c>
      <x:c r="C178" s="25" t="n">
        <x:f>MAX(0,B178-Subsurface_Inputs!$C$44)</x:f>
        <x:v>13801.840793373181</x:v>
      </x:c>
      <x:c r="D178" s="25" t="n">
        <x:f>B178+Subsurface_Inputs!$C$44</x:f>
        <x:v>16801.84079337318</x:v>
      </x:c>
      <x:c r="E178" s="25" t="n">
        <x:f>B178*Subsurface_Inputs!$C$45</x:f>
        <x:v>8416.012436355251</x:v>
      </x:c>
      <x:c r="F178" s="25" t="n">
        <x:f>B178</x:f>
        <x:v>15301.840793373181</x:v>
      </x:c>
      <x:c r="G178" s="25" t="n">
        <x:f>B178*Subsurface_Inputs!$C$46</x:f>
        <x:v>26778.221388403068</x:v>
      </x:c>
      <x:c r="H178" s="25" t="n">
        <x:f>Subsurface_Live_Data!Y178</x:f>
        <x:v>10.545888705162866</x:v>
      </x:c>
      <x:c r="I178" s="25" t="n">
        <x:f>Subsurface_Inputs!$C$47-Subsurface_Inputs!$C$43+2*SIN(2*PI()*A178/42)</x:f>
        <x:v>-16.73205080756888</x:v>
      </x:c>
      <x:c r="J178" s="25" t="n">
        <x:v>0</x:v>
      </x:c>
    </x:row>
    <x:row r="179">
      <x:c r="A179" s="25" t="n">
        <x:f>Subsurface_Live_Data!A179</x:f>
        <x:v>28.5</x:v>
      </x:c>
      <x:c r="B179" s="25" t="n">
        <x:f>Subsurface_Live_Data!K179</x:f>
        <x:v>15272.833757183122</x:v>
      </x:c>
      <x:c r="C179" s="25" t="n">
        <x:f>MAX(0,B179-Subsurface_Inputs!$C$44)</x:f>
        <x:v>13772.833757183122</x:v>
      </x:c>
      <x:c r="D179" s="25" t="n">
        <x:f>B179+Subsurface_Inputs!$C$44</x:f>
        <x:v>16772.83375718312</x:v>
      </x:c>
      <x:c r="E179" s="25" t="n">
        <x:f>B179*Subsurface_Inputs!$C$45</x:f>
        <x:v>8400.058566450718</x:v>
      </x:c>
      <x:c r="F179" s="25" t="n">
        <x:f>B179</x:f>
        <x:v>15272.833757183122</x:v>
      </x:c>
      <x:c r="G179" s="25" t="n">
        <x:f>B179*Subsurface_Inputs!$C$46</x:f>
        <x:v>26727.459075070463</x:v>
      </x:c>
      <x:c r="H179" s="25" t="n">
        <x:f>Subsurface_Live_Data!Y179</x:f>
        <x:v>10.707258668914037</x:v>
      </x:c>
      <x:c r="I179" s="25" t="n">
        <x:f>Subsurface_Inputs!$C$47-Subsurface_Inputs!$C$43+2*SIN(2*PI()*A179/42)</x:f>
        <x:v>-16.801937735804838</x:v>
      </x:c>
      <x:c r="J179" s="25" t="n">
        <x:v>0</x:v>
      </x:c>
    </x:row>
    <x:row r="180">
      <x:c r="A180" s="25" t="n">
        <x:f>Subsurface_Live_Data!A180</x:f>
        <x:v>29</x:v>
      </x:c>
      <x:c r="B180" s="25" t="n">
        <x:f>Subsurface_Live_Data!K180</x:f>
        <x:v>15247.471049891155</x:v>
      </x:c>
      <x:c r="C180" s="25" t="n">
        <x:f>MAX(0,B180-Subsurface_Inputs!$C$44)</x:f>
        <x:v>13747.471049891155</x:v>
      </x:c>
      <x:c r="D180" s="25" t="n">
        <x:f>B180+Subsurface_Inputs!$C$44</x:f>
        <x:v>16747.471049891155</x:v>
      </x:c>
      <x:c r="E180" s="25" t="n">
        <x:f>B180*Subsurface_Inputs!$C$45</x:f>
        <x:v>8386.109077440136</x:v>
      </x:c>
      <x:c r="F180" s="25" t="n">
        <x:f>B180</x:f>
        <x:v>15247.471049891155</x:v>
      </x:c>
      <x:c r="G180" s="25" t="n">
        <x:f>B180*Subsurface_Inputs!$C$46</x:f>
        <x:v>26683.07433730952</x:v>
      </x:c>
      <x:c r="H180" s="25" t="n">
        <x:f>Subsurface_Live_Data!Y180</x:f>
        <x:v>10.748425265349454</x:v>
      </x:c>
      <x:c r="I180" s="25" t="n">
        <x:f>Subsurface_Inputs!$C$47-Subsurface_Inputs!$C$43+2*SIN(2*PI()*A180/42)</x:f>
        <x:v>-16.86174749728841</x:v>
      </x:c>
      <x:c r="J180" s="25" t="n">
        <x:v>0</x:v>
      </x:c>
    </x:row>
    <x:row r="181">
      <x:c r="A181" s="25" t="n">
        <x:f>Subsurface_Live_Data!A181</x:f>
        <x:v>29.5</x:v>
      </x:c>
      <x:c r="B181" s="25" t="n">
        <x:f>Subsurface_Live_Data!K181</x:f>
        <x:v>15221.486466946375</x:v>
      </x:c>
      <x:c r="C181" s="25" t="n">
        <x:f>MAX(0,B181-Subsurface_Inputs!$C$44)</x:f>
        <x:v>13721.486466946375</x:v>
      </x:c>
      <x:c r="D181" s="25" t="n">
        <x:f>B181+Subsurface_Inputs!$C$44</x:f>
        <x:v>16721.486466946375</x:v>
      </x:c>
      <x:c r="E181" s="25" t="n">
        <x:f>B181*Subsurface_Inputs!$C$45</x:f>
        <x:v>8371.817556820506</x:v>
      </x:c>
      <x:c r="F181" s="25" t="n">
        <x:f>B181</x:f>
        <x:v>15221.486466946375</x:v>
      </x:c>
      <x:c r="G181" s="25" t="n">
        <x:f>B181*Subsurface_Inputs!$C$46</x:f>
        <x:v>26637.601317156157</x:v>
      </x:c>
      <x:c r="H181" s="25" t="n">
        <x:f>Subsurface_Live_Data!Y181</x:f>
        <x:v>10.817307642281186</x:v>
      </x:c>
      <x:c r="I181" s="25" t="n">
        <x:f>Subsurface_Inputs!$C$47-Subsurface_Inputs!$C$43+2*SIN(2*PI()*A181/42)</x:f>
        <x:v>-16.91114561157228</x:v>
      </x:c>
      <x:c r="J181" s="25" t="n">
        <x:v>0</x:v>
      </x:c>
    </x:row>
    <x:row r="182">
      <x:c r="A182" s="25" t="n">
        <x:f>Subsurface_Live_Data!A182</x:f>
        <x:v>30</x:v>
      </x:c>
      <x:c r="B182" s="25" t="n">
        <x:f>Subsurface_Live_Data!K182</x:f>
        <x:v>15193.623838416177</x:v>
      </x:c>
      <x:c r="C182" s="25" t="n">
        <x:f>MAX(0,B182-Subsurface_Inputs!$C$44)</x:f>
        <x:v>13693.623838416177</x:v>
      </x:c>
      <x:c r="D182" s="25" t="n">
        <x:f>B182+Subsurface_Inputs!$C$44</x:f>
        <x:v>16693.623838416177</x:v>
      </x:c>
      <x:c r="E182" s="25" t="n">
        <x:f>B182*Subsurface_Inputs!$C$45</x:f>
        <x:v>8356.493111128899</x:v>
      </x:c>
      <x:c r="F182" s="25" t="n">
        <x:f>B182</x:f>
        <x:v>15193.623838416177</x:v>
      </x:c>
      <x:c r="G182" s="25" t="n">
        <x:f>B182*Subsurface_Inputs!$C$46</x:f>
        <x:v>26588.841717228308</x:v>
      </x:c>
      <x:c r="H182" s="25" t="n">
        <x:f>Subsurface_Live_Data!Y182</x:f>
        <x:v>10.9583363927686</x:v>
      </x:c>
      <x:c r="I182" s="25" t="n">
        <x:f>Subsurface_Inputs!$C$47-Subsurface_Inputs!$C$43+2*SIN(2*PI()*A182/42)</x:f>
        <x:v>-16.94985582436365</x:v>
      </x:c>
      <x:c r="J182" s="25" t="n">
        <x:v>0</x:v>
      </x:c>
    </x:row>
    <x:row r="183">
      <x:c r="A183" s="25" t="n">
        <x:f>Subsurface_Live_Data!A183</x:f>
        <x:v>30.5</x:v>
      </x:c>
      <x:c r="B183" s="25" t="n">
        <x:f>Subsurface_Live_Data!K183</x:f>
        <x:v>15167.924996429276</x:v>
      </x:c>
      <x:c r="C183" s="25" t="n">
        <x:f>MAX(0,B183-Subsurface_Inputs!$C$44)</x:f>
        <x:v>13667.924996429276</x:v>
      </x:c>
      <x:c r="D183" s="25" t="n">
        <x:f>B183+Subsurface_Inputs!$C$44</x:f>
        <x:v>16667.924996429276</x:v>
      </x:c>
      <x:c r="E183" s="25" t="n">
        <x:f>B183*Subsurface_Inputs!$C$45</x:f>
        <x:v>8342.358748036102</x:v>
      </x:c>
      <x:c r="F183" s="25" t="n">
        <x:f>B183</x:f>
        <x:v>15167.924996429276</x:v>
      </x:c>
      <x:c r="G183" s="25" t="n">
        <x:f>B183*Subsurface_Inputs!$C$46</x:f>
        <x:v>26543.868743751234</x:v>
      </x:c>
      <x:c r="H183" s="25" t="n">
        <x:f>Subsurface_Live_Data!Y183</x:f>
        <x:v>11.033810092530551</x:v>
      </x:c>
      <x:c r="I183" s="25" t="n">
        <x:f>Subsurface_Inputs!$C$47-Subsurface_Inputs!$C$43+2*SIN(2*PI()*A183/42)</x:f>
        <x:v>-16.97766165245026</x:v>
      </x:c>
      <x:c r="J183" s="25" t="n">
        <x:v>0</x:v>
      </x:c>
    </x:row>
    <x:row r="184">
      <x:c r="A184" s="25" t="n">
        <x:f>Subsurface_Live_Data!A184</x:f>
        <x:v>31</x:v>
      </x:c>
      <x:c r="B184" s="25" t="n">
        <x:f>Subsurface_Live_Data!K184</x:f>
        <x:v>15140.057820585285</x:v>
      </x:c>
      <x:c r="C184" s="25" t="n">
        <x:f>MAX(0,B184-Subsurface_Inputs!$C$44)</x:f>
        <x:v>13640.057820585285</x:v>
      </x:c>
      <x:c r="D184" s="25" t="n">
        <x:f>B184+Subsurface_Inputs!$C$44</x:f>
        <x:v>16640.057820585287</x:v>
      </x:c>
      <x:c r="E184" s="25" t="n">
        <x:f>B184*Subsurface_Inputs!$C$45</x:f>
        <x:v>8327.031801321908</x:v>
      </x:c>
      <x:c r="F184" s="25" t="n">
        <x:f>B184</x:f>
        <x:v>15140.057820585285</x:v>
      </x:c>
      <x:c r="G184" s="25" t="n">
        <x:f>B184*Subsurface_Inputs!$C$46</x:f>
        <x:v>26495.10118602425</x:v>
      </x:c>
      <x:c r="H184" s="25" t="n">
        <x:f>Subsurface_Live_Data!Y184</x:f>
        <x:v>11.193817246816572</x:v>
      </x:c>
      <x:c r="I184" s="25" t="n">
        <x:f>Subsurface_Inputs!$C$47-Subsurface_Inputs!$C$43+2*SIN(2*PI()*A184/42)</x:f>
        <x:v>-16.99440759436236</x:v>
      </x:c>
      <x:c r="J184" s="25" t="n">
        <x:v>0</x:v>
      </x:c>
    </x:row>
    <x:row r="185">
      <x:c r="A185" s="25" t="n">
        <x:f>Subsurface_Live_Data!A185</x:f>
        <x:v>31.5</x:v>
      </x:c>
      <x:c r="B185" s="25" t="n">
        <x:f>Subsurface_Live_Data!K185</x:f>
        <x:v>15115.746926095402</x:v>
      </x:c>
      <x:c r="C185" s="25" t="n">
        <x:f>MAX(0,B185-Subsurface_Inputs!$C$44)</x:f>
        <x:v>13615.746926095402</x:v>
      </x:c>
      <x:c r="D185" s="25" t="n">
        <x:f>B185+Subsurface_Inputs!$C$44</x:f>
        <x:v>16615.746926095402</x:v>
      </x:c>
      <x:c r="E185" s="25" t="n">
        <x:f>B185*Subsurface_Inputs!$C$45</x:f>
        <x:v>8313.660809352472</x:v>
      </x:c>
      <x:c r="F185" s="25" t="n">
        <x:f>B185</x:f>
        <x:v>15115.746926095402</x:v>
      </x:c>
      <x:c r="G185" s="25" t="n">
        <x:f>B185*Subsurface_Inputs!$C$46</x:f>
        <x:v>26452.557120666956</x:v>
      </x:c>
      <x:c r="H185" s="25" t="n">
        <x:f>Subsurface_Live_Data!Y185</x:f>
        <x:v>11.242744641552832</x:v>
      </x:c>
      <x:c r="I185" s="25" t="n">
        <x:f>Subsurface_Inputs!$C$47-Subsurface_Inputs!$C$43+2*SIN(2*PI()*A185/42)</x:f>
        <x:v>-17</x:v>
      </x:c>
      <x:c r="J185" s="25" t="n">
        <x:v>0</x:v>
      </x:c>
    </x:row>
    <x:row r="186">
      <x:c r="A186" s="25" t="n">
        <x:f>Subsurface_Live_Data!A186</x:f>
        <x:v>32</x:v>
      </x:c>
      <x:c r="B186" s="25" t="n">
        <x:f>Subsurface_Live_Data!K186</x:f>
        <x:v>15087.819991779359</x:v>
      </x:c>
      <x:c r="C186" s="25" t="n">
        <x:f>MAX(0,B186-Subsurface_Inputs!$C$44)</x:f>
        <x:v>13587.819991779359</x:v>
      </x:c>
      <x:c r="D186" s="25" t="n">
        <x:f>B186+Subsurface_Inputs!$C$44</x:f>
        <x:v>16587.81999177936</x:v>
      </x:c>
      <x:c r="E186" s="25" t="n">
        <x:f>B186*Subsurface_Inputs!$C$45</x:f>
        <x:v>8298.300995478648</x:v>
      </x:c>
      <x:c r="F186" s="25" t="n">
        <x:f>B186</x:f>
        <x:v>15087.819991779359</x:v>
      </x:c>
      <x:c r="G186" s="25" t="n">
        <x:f>B186*Subsurface_Inputs!$C$46</x:f>
        <x:v>26403.68498561388</x:v>
      </x:c>
      <x:c r="H186" s="25" t="n">
        <x:f>Subsurface_Live_Data!Y186</x:f>
        <x:v>11.428225375338407</x:v>
      </x:c>
      <x:c r="I186" s="25" t="n">
        <x:f>Subsurface_Inputs!$C$47-Subsurface_Inputs!$C$43+2*SIN(2*PI()*A186/42)</x:f>
        <x:v>-16.99440759436236</x:v>
      </x:c>
      <x:c r="J186" s="25" t="n">
        <x:v>0</x:v>
      </x:c>
    </x:row>
    <x:row r="187">
      <x:c r="A187" s="25" t="n">
        <x:f>Subsurface_Live_Data!A187</x:f>
        <x:v>32.5</x:v>
      </x:c>
      <x:c r="B187" s="25" t="n">
        <x:f>Subsurface_Live_Data!K187</x:f>
        <x:v>15060.407592662797</x:v>
      </x:c>
      <x:c r="C187" s="25" t="n">
        <x:f>MAX(0,B187-Subsurface_Inputs!$C$44)</x:f>
        <x:v>13560.407592662797</x:v>
      </x:c>
      <x:c r="D187" s="25" t="n">
        <x:f>B187+Subsurface_Inputs!$C$44</x:f>
        <x:v>16560.4075926628</x:v>
      </x:c>
      <x:c r="E187" s="25" t="n">
        <x:f>B187*Subsurface_Inputs!$C$45</x:f>
        <x:v>8283.224175964539</x:v>
      </x:c>
      <x:c r="F187" s="25" t="n">
        <x:f>B187</x:f>
        <x:v>15060.407592662797</x:v>
      </x:c>
      <x:c r="G187" s="25" t="n">
        <x:f>B187*Subsurface_Inputs!$C$46</x:f>
        <x:v>26355.713287159895</x:v>
      </x:c>
      <x:c r="H187" s="25" t="n">
        <x:f>Subsurface_Live_Data!Y187</x:f>
        <x:v>11.60935368443424</x:v>
      </x:c>
      <x:c r="I187" s="25" t="n">
        <x:f>Subsurface_Inputs!$C$47-Subsurface_Inputs!$C$43+2*SIN(2*PI()*A187/42)</x:f>
        <x:v>-16.97766165245026</x:v>
      </x:c>
      <x:c r="J187" s="25" t="n">
        <x:v>0</x:v>
      </x:c>
    </x:row>
    <x:row r="188">
      <x:c r="A188" s="25" t="n">
        <x:f>Subsurface_Live_Data!A188</x:f>
        <x:v>33</x:v>
      </x:c>
      <x:c r="B188" s="25" t="n">
        <x:f>Subsurface_Live_Data!K188</x:f>
        <x:v>15034.536710550718</x:v>
      </x:c>
      <x:c r="C188" s="25" t="n">
        <x:f>MAX(0,B188-Subsurface_Inputs!$C$44)</x:f>
        <x:v>13534.536710550718</x:v>
      </x:c>
      <x:c r="D188" s="25" t="n">
        <x:f>B188+Subsurface_Inputs!$C$44</x:f>
        <x:v>16534.536710550718</x:v>
      </x:c>
      <x:c r="E188" s="25" t="n">
        <x:f>B188*Subsurface_Inputs!$C$45</x:f>
        <x:v>8268.995190802896</x:v>
      </x:c>
      <x:c r="F188" s="25" t="n">
        <x:f>B188</x:f>
        <x:v>15034.536710550718</x:v>
      </x:c>
      <x:c r="G188" s="25" t="n">
        <x:f>B188*Subsurface_Inputs!$C$46</x:f>
        <x:v>26310.439243463756</x:v>
      </x:c>
      <x:c r="H188" s="25" t="n">
        <x:f>Subsurface_Live_Data!Y188</x:f>
        <x:v>11.751854321649247</x:v>
      </x:c>
      <x:c r="I188" s="25" t="n">
        <x:f>Subsurface_Inputs!$C$47-Subsurface_Inputs!$C$43+2*SIN(2*PI()*A188/42)</x:f>
        <x:v>-16.94985582436365</x:v>
      </x:c>
      <x:c r="J188" s="25" t="n">
        <x:v>0</x:v>
      </x:c>
    </x:row>
    <x:row r="189">
      <x:c r="A189" s="25" t="n">
        <x:f>Subsurface_Live_Data!A189</x:f>
        <x:v>33.5</x:v>
      </x:c>
      <x:c r="B189" s="25" t="n">
        <x:f>Subsurface_Live_Data!K189</x:f>
        <x:v>15008.916500694751</x:v>
      </x:c>
      <x:c r="C189" s="25" t="n">
        <x:f>MAX(0,B189-Subsurface_Inputs!$C$44)</x:f>
        <x:v>13508.916500694751</x:v>
      </x:c>
      <x:c r="D189" s="25" t="n">
        <x:f>B189+Subsurface_Inputs!$C$44</x:f>
        <x:v>16508.91650069475</x:v>
      </x:c>
      <x:c r="E189" s="25" t="n">
        <x:f>B189*Subsurface_Inputs!$C$45</x:f>
        <x:v>8254.904075382114</x:v>
      </x:c>
      <x:c r="F189" s="25" t="n">
        <x:f>B189</x:f>
        <x:v>15008.916500694751</x:v>
      </x:c>
      <x:c r="G189" s="25" t="n">
        <x:f>B189*Subsurface_Inputs!$C$46</x:f>
        <x:v>26265.603876215813</x:v>
      </x:c>
      <x:c r="H189" s="25" t="n">
        <x:f>Subsurface_Live_Data!Y189</x:f>
        <x:v>11.901072509591963</x:v>
      </x:c>
      <x:c r="I189" s="25" t="n">
        <x:f>Subsurface_Inputs!$C$47-Subsurface_Inputs!$C$43+2*SIN(2*PI()*A189/42)</x:f>
        <x:v>-16.91114561157228</x:v>
      </x:c>
      <x:c r="J189" s="25" t="n">
        <x:v>0</x:v>
      </x:c>
    </x:row>
    <x:row r="190">
      <x:c r="A190" s="25" t="n">
        <x:f>Subsurface_Live_Data!A190</x:f>
        <x:v>34</x:v>
      </x:c>
      <x:c r="B190" s="25" t="n">
        <x:f>Subsurface_Live_Data!K190</x:f>
        <x:v>14981.50285514281</x:v>
      </x:c>
      <x:c r="C190" s="25" t="n">
        <x:f>MAX(0,B190-Subsurface_Inputs!$C$44)</x:f>
        <x:v>13481.50285514281</x:v>
      </x:c>
      <x:c r="D190" s="25" t="n">
        <x:f>B190+Subsurface_Inputs!$C$44</x:f>
        <x:v>16481.50285514281</x:v>
      </x:c>
      <x:c r="E190" s="25" t="n">
        <x:f>B190*Subsurface_Inputs!$C$45</x:f>
        <x:v>8239.826570328545</x:v>
      </x:c>
      <x:c r="F190" s="25" t="n">
        <x:f>B190</x:f>
        <x:v>14981.50285514281</x:v>
      </x:c>
      <x:c r="G190" s="25" t="n">
        <x:f>B190*Subsurface_Inputs!$C$46</x:f>
        <x:v>26217.629996499916</x:v>
      </x:c>
      <x:c r="H190" s="25" t="n">
        <x:f>Subsurface_Live_Data!Y190</x:f>
        <x:v>11.93839405738953</x:v>
      </x:c>
      <x:c r="I190" s="25" t="n">
        <x:f>Subsurface_Inputs!$C$47-Subsurface_Inputs!$C$43+2*SIN(2*PI()*A190/42)</x:f>
        <x:v>-16.86174749728841</x:v>
      </x:c>
      <x:c r="J190" s="25" t="n">
        <x:v>0</x:v>
      </x:c>
    </x:row>
    <x:row r="191">
      <x:c r="A191" s="25" t="n">
        <x:f>Subsurface_Live_Data!A191</x:f>
        <x:v>34.5</x:v>
      </x:c>
      <x:c r="B191" s="25" t="n">
        <x:f>Subsurface_Live_Data!K191</x:f>
        <x:v>14956.29351283138</x:v>
      </x:c>
      <x:c r="C191" s="25" t="n">
        <x:f>MAX(0,B191-Subsurface_Inputs!$C$44)</x:f>
        <x:v>13456.29351283138</x:v>
      </x:c>
      <x:c r="D191" s="25" t="n">
        <x:f>B191+Subsurface_Inputs!$C$44</x:f>
        <x:v>16456.29351283138</x:v>
      </x:c>
      <x:c r="E191" s="25" t="n">
        <x:f>B191*Subsurface_Inputs!$C$45</x:f>
        <x:v>8225.96143205726</x:v>
      </x:c>
      <x:c r="F191" s="25" t="n">
        <x:f>B191</x:f>
        <x:v>14956.29351283138</x:v>
      </x:c>
      <x:c r="G191" s="25" t="n">
        <x:f>B191*Subsurface_Inputs!$C$46</x:f>
        <x:v>26173.513647454914</x:v>
      </x:c>
      <x:c r="H191" s="25" t="n">
        <x:f>Subsurface_Live_Data!Y191</x:f>
        <x:v>11.860649470344754</x:v>
      </x:c>
      <x:c r="I191" s="25" t="n">
        <x:f>Subsurface_Inputs!$C$47-Subsurface_Inputs!$C$43+2*SIN(2*PI()*A191/42)</x:f>
        <x:v>-16.801937735804838</x:v>
      </x:c>
      <x:c r="J191" s="25" t="n">
        <x:v>0</x:v>
      </x:c>
    </x:row>
    <x:row r="192">
      <x:c r="A192" s="25" t="n">
        <x:f>Subsurface_Live_Data!A192</x:f>
        <x:v>35</x:v>
      </x:c>
      <x:c r="B192" s="25" t="n">
        <x:f>Subsurface_Live_Data!K192</x:f>
        <x:v>14933.449478009088</x:v>
      </x:c>
      <x:c r="C192" s="25" t="n">
        <x:f>MAX(0,B192-Subsurface_Inputs!$C$44)</x:f>
        <x:v>13433.449478009088</x:v>
      </x:c>
      <x:c r="D192" s="25" t="n">
        <x:f>B192+Subsurface_Inputs!$C$44</x:f>
        <x:v>16433.44947800909</x:v>
      </x:c>
      <x:c r="E192" s="25" t="n">
        <x:f>B192*Subsurface_Inputs!$C$45</x:f>
        <x:v>8213.397212905</x:v>
      </x:c>
      <x:c r="F192" s="25" t="n">
        <x:f>B192</x:f>
        <x:v>14933.449478009088</x:v>
      </x:c>
      <x:c r="G192" s="25" t="n">
        <x:f>B192*Subsurface_Inputs!$C$46</x:f>
        <x:v>26133.536586515904</x:v>
      </x:c>
      <x:c r="H192" s="25" t="n">
        <x:f>Subsurface_Live_Data!Y192</x:f>
        <x:v>11.837722705166932</x:v>
      </x:c>
      <x:c r="I192" s="25" t="n">
        <x:f>Subsurface_Inputs!$C$47-Subsurface_Inputs!$C$43+2*SIN(2*PI()*A192/42)</x:f>
        <x:v>-16.73205080756888</x:v>
      </x:c>
      <x:c r="J192" s="25" t="n">
        <x:v>0</x:v>
      </x:c>
    </x:row>
    <x:row r="193">
      <x:c r="A193" s="25" t="n">
        <x:f>Subsurface_Live_Data!A193</x:f>
        <x:v>35.5</x:v>
      </x:c>
      <x:c r="B193" s="25" t="n">
        <x:f>Subsurface_Live_Data!K193</x:f>
        <x:v>14910.216672625642</x:v>
      </x:c>
      <x:c r="C193" s="25" t="n">
        <x:f>MAX(0,B193-Subsurface_Inputs!$C$44)</x:f>
        <x:v>13410.216672625642</x:v>
      </x:c>
      <x:c r="D193" s="25" t="n">
        <x:f>B193+Subsurface_Inputs!$C$44</x:f>
        <x:v>16410.21667262564</x:v>
      </x:c>
      <x:c r="E193" s="25" t="n">
        <x:f>B193*Subsurface_Inputs!$C$45</x:f>
        <x:v>8200.619169944104</x:v>
      </x:c>
      <x:c r="F193" s="25" t="n">
        <x:f>B193</x:f>
        <x:v>14910.216672625642</x:v>
      </x:c>
      <x:c r="G193" s="25" t="n">
        <x:f>B193*Subsurface_Inputs!$C$46</x:f>
        <x:v>26092.879177094874</x:v>
      </x:c>
      <x:c r="H193" s="25" t="n">
        <x:f>Subsurface_Live_Data!Y193</x:f>
        <x:v>11.784094635001594</x:v>
      </x:c>
      <x:c r="I193" s="25" t="n">
        <x:f>Subsurface_Inputs!$C$47-Subsurface_Inputs!$C$43+2*SIN(2*PI()*A193/42)</x:f>
        <x:v>-16.65247754863199</x:v>
      </x:c>
      <x:c r="J193" s="25" t="n">
        <x:v>0</x:v>
      </x:c>
    </x:row>
    <x:row r="194">
      <x:c r="A194" s="25" t="n">
        <x:f>Subsurface_Live_Data!A194</x:f>
        <x:v>36</x:v>
      </x:c>
      <x:c r="B194" s="25" t="n">
        <x:f>Subsurface_Live_Data!K194</x:f>
        <x:v>14886.46343791321</x:v>
      </x:c>
      <x:c r="C194" s="25" t="n">
        <x:f>MAX(0,B194-Subsurface_Inputs!$C$44)</x:f>
        <x:v>13386.46343791321</x:v>
      </x:c>
      <x:c r="D194" s="25" t="n">
        <x:f>B194+Subsurface_Inputs!$C$44</x:f>
        <x:v>16386.46343791321</x:v>
      </x:c>
      <x:c r="E194" s="25" t="n">
        <x:f>B194*Subsurface_Inputs!$C$45</x:f>
        <x:v>8187.554890852266</x:v>
      </x:c>
      <x:c r="F194" s="25" t="n">
        <x:f>B194</x:f>
        <x:v>14886.46343791321</x:v>
      </x:c>
      <x:c r="G194" s="25" t="n">
        <x:f>B194*Subsurface_Inputs!$C$46</x:f>
        <x:v>26051.311016348118</x:v>
      </x:c>
      <x:c r="H194" s="25" t="n">
        <x:f>Subsurface_Live_Data!Y194</x:f>
        <x:v>11.694996917271908</x:v>
      </x:c>
      <x:c r="I194" s="25" t="n">
        <x:f>Subsurface_Inputs!$C$47-Subsurface_Inputs!$C$43+2*SIN(2*PI()*A194/42)</x:f>
        <x:v>-16.56366296493606</x:v>
      </x:c>
      <x:c r="J194" s="25" t="n">
        <x:v>0</x:v>
      </x:c>
    </x:row>
    <x:row r="195">
      <x:c r="A195" s="25" t="n">
        <x:f>Subsurface_Live_Data!A195</x:f>
        <x:v>36.5</x:v>
      </x:c>
      <x:c r="B195" s="25" t="n">
        <x:f>Subsurface_Live_Data!K195</x:f>
        <x:v>14861.558563029474</x:v>
      </x:c>
      <x:c r="C195" s="25" t="n">
        <x:f>MAX(0,B195-Subsurface_Inputs!$C$44)</x:f>
        <x:v>13361.558563029474</x:v>
      </x:c>
      <x:c r="D195" s="25" t="n">
        <x:f>B195+Subsurface_Inputs!$C$44</x:f>
        <x:v>16361.558563029474</x:v>
      </x:c>
      <x:c r="E195" s="25" t="n">
        <x:f>B195*Subsurface_Inputs!$C$45</x:f>
        <x:v>8173.857209666211</x:v>
      </x:c>
      <x:c r="F195" s="25" t="n">
        <x:f>B195</x:f>
        <x:v>14861.558563029474</x:v>
      </x:c>
      <x:c r="G195" s="25" t="n">
        <x:f>B195*Subsurface_Inputs!$C$46</x:f>
        <x:v>26007.727485301577</x:v>
      </x:c>
      <x:c r="H195" s="25" t="n">
        <x:f>Subsurface_Live_Data!Y195</x:f>
        <x:v>11.550345784684538</x:v>
      </x:c>
      <x:c r="I195" s="25" t="n">
        <x:f>Subsurface_Inputs!$C$47-Subsurface_Inputs!$C$43+2*SIN(2*PI()*A195/42)</x:f>
        <x:v>-16.466103743659655</x:v>
      </x:c>
      <x:c r="J195" s="25" t="n">
        <x:v>0</x:v>
      </x:c>
    </x:row>
    <x:row r="196">
      <x:c r="A196" s="25" t="n">
        <x:f>Subsurface_Live_Data!A196</x:f>
        <x:v>37</x:v>
      </x:c>
      <x:c r="B196" s="25" t="n">
        <x:f>Subsurface_Live_Data!K196</x:f>
        <x:v>14840.110005912007</x:v>
      </x:c>
      <x:c r="C196" s="25" t="n">
        <x:f>MAX(0,B196-Subsurface_Inputs!$C$44)</x:f>
        <x:v>13340.110005912007</x:v>
      </x:c>
      <x:c r="D196" s="25" t="n">
        <x:f>B196+Subsurface_Inputs!$C$44</x:f>
        <x:v>16340.110005912007</x:v>
      </x:c>
      <x:c r="E196" s="25" t="n">
        <x:f>B196*Subsurface_Inputs!$C$45</x:f>
        <x:v>8162.060503251605</x:v>
      </x:c>
      <x:c r="F196" s="25" t="n">
        <x:f>B196</x:f>
        <x:v>14840.110005912007</x:v>
      </x:c>
      <x:c r="G196" s="25" t="n">
        <x:f>B196*Subsurface_Inputs!$C$46</x:f>
        <x:v>25970.192510346013</x:v>
      </x:c>
      <x:c r="H196" s="25" t="n">
        <x:f>Subsurface_Live_Data!Y196</x:f>
        <x:v>11.491331845105222</x:v>
      </x:c>
      <x:c r="I196" s="25" t="n">
        <x:f>Subsurface_Inputs!$C$47-Subsurface_Inputs!$C$43+2*SIN(2*PI()*A196/42)</x:f>
        <x:v>-16.360345475541838</x:v>
      </x:c>
      <x:c r="J196" s="25" t="n">
        <x:v>0</x:v>
      </x:c>
    </x:row>
    <x:row r="197">
      <x:c r="A197" s="25" t="n">
        <x:f>Subsurface_Live_Data!A197</x:f>
        <x:v>37.5</x:v>
      </x:c>
      <x:c r="B197" s="25" t="n">
        <x:f>Subsurface_Live_Data!K197</x:f>
        <x:v>14819.341583785392</x:v>
      </x:c>
      <x:c r="C197" s="25" t="n">
        <x:f>MAX(0,B197-Subsurface_Inputs!$C$44)</x:f>
        <x:v>13319.341583785392</x:v>
      </x:c>
      <x:c r="D197" s="25" t="n">
        <x:f>B197+Subsurface_Inputs!$C$44</x:f>
        <x:v>16319.341583785392</x:v>
      </x:c>
      <x:c r="E197" s="25" t="n">
        <x:f>B197*Subsurface_Inputs!$C$45</x:f>
        <x:v>8150.637871081966</x:v>
      </x:c>
      <x:c r="F197" s="25" t="n">
        <x:f>B197</x:f>
        <x:v>14819.341583785392</x:v>
      </x:c>
      <x:c r="G197" s="25" t="n">
        <x:f>B197*Subsurface_Inputs!$C$46</x:f>
        <x:v>25933.847771624434</x:v>
      </x:c>
      <x:c r="H197" s="25" t="n">
        <x:f>Subsurface_Live_Data!Y197</x:f>
        <x:v>11.431983824879552</x:v>
      </x:c>
      <x:c r="I197" s="25" t="n">
        <x:f>Subsurface_Inputs!$C$47-Subsurface_Inputs!$C$43+2*SIN(2*PI()*A197/42)</x:f>
        <x:v>-16.246979603717467</x:v>
      </x:c>
      <x:c r="J197" s="25" t="n">
        <x:v>0</x:v>
      </x:c>
    </x:row>
    <x:row r="198">
      <x:c r="A198" s="25" t="n">
        <x:f>Subsurface_Live_Data!A198</x:f>
        <x:v>38</x:v>
      </x:c>
      <x:c r="B198" s="25" t="n">
        <x:f>Subsurface_Live_Data!K198</x:f>
        <x:v>14799.576086730554</x:v>
      </x:c>
      <x:c r="C198" s="25" t="n">
        <x:f>MAX(0,B198-Subsurface_Inputs!$C$44)</x:f>
        <x:v>13299.576086730554</x:v>
      </x:c>
      <x:c r="D198" s="25" t="n">
        <x:f>B198+Subsurface_Inputs!$C$44</x:f>
        <x:v>16299.576086730554</x:v>
      </x:c>
      <x:c r="E198" s="25" t="n">
        <x:f>B198*Subsurface_Inputs!$C$45</x:f>
        <x:v>8139.766847701806</x:v>
      </x:c>
      <x:c r="F198" s="25" t="n">
        <x:f>B198</x:f>
        <x:v>14799.576086730554</x:v>
      </x:c>
      <x:c r="G198" s="25" t="n">
        <x:f>B198*Subsurface_Inputs!$C$46</x:f>
        <x:v>25899.25815177847</x:v>
      </x:c>
      <x:c r="H198" s="25" t="n">
        <x:f>Subsurface_Live_Data!Y198</x:f>
        <x:v>11.381749805357828</x:v>
      </x:c>
      <x:c r="I198" s="25" t="n">
        <x:f>Subsurface_Inputs!$C$47-Subsurface_Inputs!$C$43+2*SIN(2*PI()*A198/42)</x:f>
        <x:v>-16.126640116127245</x:v>
      </x:c>
      <x:c r="J198" s="25" t="n">
        <x:v>0</x:v>
      </x:c>
    </x:row>
    <x:row r="199">
      <x:c r="A199" s="25" t="n">
        <x:f>Subsurface_Live_Data!A199</x:f>
        <x:v>38.5</x:v>
      </x:c>
      <x:c r="B199" s="25" t="n">
        <x:f>Subsurface_Live_Data!K199</x:f>
        <x:v>14776.789430047362</x:v>
      </x:c>
      <x:c r="C199" s="25" t="n">
        <x:f>MAX(0,B199-Subsurface_Inputs!$C$44)</x:f>
        <x:v>13276.789430047362</x:v>
      </x:c>
      <x:c r="D199" s="25" t="n">
        <x:f>B199+Subsurface_Inputs!$C$44</x:f>
        <x:v>16276.789430047362</x:v>
      </x:c>
      <x:c r="E199" s="25" t="n">
        <x:f>B199*Subsurface_Inputs!$C$45</x:f>
        <x:v>8127.23418652605</x:v>
      </x:c>
      <x:c r="F199" s="25" t="n">
        <x:f>B199</x:f>
        <x:v>14776.789430047362</x:v>
      </x:c>
      <x:c r="G199" s="25" t="n">
        <x:f>B199*Subsurface_Inputs!$C$46</x:f>
        <x:v>25859.381502582884</x:v>
      </x:c>
      <x:c r="H199" s="25" t="n">
        <x:f>Subsurface_Live_Data!Y199</x:f>
        <x:v>11.216378554783745</x:v>
      </x:c>
      <x:c r="I199" s="25" t="n">
        <x:f>Subsurface_Inputs!$C$47-Subsurface_Inputs!$C$43+2*SIN(2*PI()*A199/42)</x:f>
        <x:v>-16</x:v>
      </x:c>
      <x:c r="J199" s="25" t="n">
        <x:v>0</x:v>
      </x:c>
    </x:row>
    <x:row r="200">
      <x:c r="A200" s="25" t="n">
        <x:f>Subsurface_Live_Data!A200</x:f>
        <x:v>39</x:v>
      </x:c>
      <x:c r="B200" s="25" t="n">
        <x:f>Subsurface_Live_Data!K200</x:f>
        <x:v>14759.992307171664</x:v>
      </x:c>
      <x:c r="C200" s="25" t="n">
        <x:f>MAX(0,B200-Subsurface_Inputs!$C$44)</x:f>
        <x:v>13259.992307171664</x:v>
      </x:c>
      <x:c r="D200" s="25" t="n">
        <x:f>B200+Subsurface_Inputs!$C$44</x:f>
        <x:v>16259.992307171664</x:v>
      </x:c>
      <x:c r="E200" s="25" t="n">
        <x:f>B200*Subsurface_Inputs!$C$45</x:f>
        <x:v>8117.995768944415</x:v>
      </x:c>
      <x:c r="F200" s="25" t="n">
        <x:f>B200</x:f>
        <x:v>14759.992307171664</x:v>
      </x:c>
      <x:c r="G200" s="25" t="n">
        <x:f>B200*Subsurface_Inputs!$C$46</x:f>
        <x:v>25829.986537550412</x:v>
      </x:c>
      <x:c r="H200" s="25" t="n">
        <x:f>Subsurface_Live_Data!Y200</x:f>
        <x:v>11.212778363095168</x:v>
      </x:c>
      <x:c r="I200" s="25" t="n">
        <x:f>Subsurface_Inputs!$C$47-Subsurface_Inputs!$C$43+2*SIN(2*PI()*A200/42)</x:f>
        <x:v>-15.867767478235116</x:v>
      </x:c>
      <x:c r="J200" s="25" t="n">
        <x:v>0</x:v>
      </x:c>
    </x:row>
    <x:row r="201">
      <x:c r="A201" s="25" t="n">
        <x:f>Subsurface_Live_Data!A201</x:f>
        <x:v>39.5</x:v>
      </x:c>
      <x:c r="B201" s="25" t="n">
        <x:f>Subsurface_Live_Data!K201</x:f>
        <x:v>14743.375119644172</x:v>
      </x:c>
      <x:c r="C201" s="25" t="n">
        <x:f>MAX(0,B201-Subsurface_Inputs!$C$44)</x:f>
        <x:v>13243.375119644172</x:v>
      </x:c>
      <x:c r="D201" s="25" t="n">
        <x:f>B201+Subsurface_Inputs!$C$44</x:f>
        <x:v>16243.375119644172</x:v>
      </x:c>
      <x:c r="E201" s="25" t="n">
        <x:f>B201*Subsurface_Inputs!$C$45</x:f>
        <x:v>8108.856315804295</x:v>
      </x:c>
      <x:c r="F201" s="25" t="n">
        <x:f>B201</x:f>
        <x:v>14743.375119644172</x:v>
      </x:c>
      <x:c r="G201" s="25" t="n">
        <x:f>B201*Subsurface_Inputs!$C$46</x:f>
        <x:v>25800.9064593773</x:v>
      </x:c>
      <x:c r="H201" s="25" t="n">
        <x:f>Subsurface_Live_Data!Y201</x:f>
        <x:v>11.191877129614454</x:v>
      </x:c>
      <x:c r="I201" s="25" t="n">
        <x:f>Subsurface_Inputs!$C$47-Subsurface_Inputs!$C$43+2*SIN(2*PI()*A201/42)</x:f>
        <x:v>-15.73068204873279</x:v>
      </x:c>
      <x:c r="J201" s="25" t="n">
        <x:v>0</x:v>
      </x:c>
    </x:row>
    <x:row r="202">
      <x:c r="A202" s="25" t="n">
        <x:f>Subsurface_Live_Data!A202</x:f>
        <x:v>40</x:v>
      </x:c>
      <x:c r="B202" s="25" t="n">
        <x:f>Subsurface_Live_Data!K202</x:f>
        <x:v>14726.192868523865</x:v>
      </x:c>
      <x:c r="C202" s="25" t="n">
        <x:f>MAX(0,B202-Subsurface_Inputs!$C$44)</x:f>
        <x:v>13226.192868523865</x:v>
      </x:c>
      <x:c r="D202" s="25" t="n">
        <x:f>B202+Subsurface_Inputs!$C$44</x:f>
        <x:v>16226.192868523865</x:v>
      </x:c>
      <x:c r="E202" s="25" t="n">
        <x:f>B202*Subsurface_Inputs!$C$45</x:f>
        <x:v>8099.406077688127</x:v>
      </x:c>
      <x:c r="F202" s="25" t="n">
        <x:f>B202</x:f>
        <x:v>14726.192868523865</x:v>
      </x:c>
      <x:c r="G202" s="25" t="n">
        <x:f>B202*Subsurface_Inputs!$C$46</x:f>
        <x:v>25770.837519916764</x:v>
      </x:c>
      <x:c r="H202" s="25" t="n">
        <x:f>Subsurface_Live_Data!Y202</x:f>
        <x:v>11.130509105531864</x:v>
      </x:c>
      <x:c r="I202" s="25" t="n">
        <x:f>Subsurface_Inputs!$C$47-Subsurface_Inputs!$C$43+2*SIN(2*PI()*A202/42)</x:f>
        <x:v>-15.58951034882181</x:v>
      </x:c>
      <x:c r="J202" s="25" t="n">
        <x:v>0</x:v>
      </x:c>
    </x:row>
    <x:row r="203">
      <x:c r="A203" s="25" t="n">
        <x:f>Subsurface_Live_Data!A203</x:f>
        <x:v>40.5</x:v>
      </x:c>
      <x:c r="B203" s="25" t="n">
        <x:f>Subsurface_Live_Data!K203</x:f>
        <x:v>14711.226828791258</x:v>
      </x:c>
      <x:c r="C203" s="25" t="n">
        <x:f>MAX(0,B203-Subsurface_Inputs!$C$44)</x:f>
        <x:v>13211.226828791258</x:v>
      </x:c>
      <x:c r="D203" s="25" t="n">
        <x:f>B203+Subsurface_Inputs!$C$44</x:f>
        <x:v>16211.226828791258</x:v>
      </x:c>
      <x:c r="E203" s="25" t="n">
        <x:f>B203*Subsurface_Inputs!$C$45</x:f>
        <x:v>8091.174755835193</x:v>
      </x:c>
      <x:c r="F203" s="25" t="n">
        <x:f>B203</x:f>
        <x:v>14711.226828791258</x:v>
      </x:c>
      <x:c r="G203" s="25" t="n">
        <x:f>B203*Subsurface_Inputs!$C$46</x:f>
        <x:v>25744.6469503847</x:v>
      </x:c>
      <x:c r="H203" s="25" t="n">
        <x:f>Subsurface_Live_Data!Y203</x:f>
        <x:v>11.11407848530849</x:v>
      </x:c>
      <x:c r="I203" s="25" t="n">
        <x:f>Subsurface_Inputs!$C$47-Subsurface_Inputs!$C$43+2*SIN(2*PI()*A203/42)</x:f>
        <x:v>-15.445041867912629</x:v>
      </x:c>
      <x:c r="J203" s="25" t="n">
        <x:v>0</x:v>
      </x:c>
    </x:row>
    <x:row r="204">
      <x:c r="A204" s="25" t="n">
        <x:f>Subsurface_Live_Data!A204</x:f>
        <x:v>41</x:v>
      </x:c>
      <x:c r="B204" s="25" t="n">
        <x:f>Subsurface_Live_Data!K204</x:f>
        <x:v>14699.881320538967</x:v>
      </x:c>
      <x:c r="C204" s="25" t="n">
        <x:f>MAX(0,B204-Subsurface_Inputs!$C$44)</x:f>
        <x:v>13199.881320538967</x:v>
      </x:c>
      <x:c r="D204" s="25" t="n">
        <x:f>B204+Subsurface_Inputs!$C$44</x:f>
        <x:v>16199.881320538967</x:v>
      </x:c>
      <x:c r="E204" s="25" t="n">
        <x:f>B204*Subsurface_Inputs!$C$45</x:f>
        <x:v>8084.934726296433</x:v>
      </x:c>
      <x:c r="F204" s="25" t="n">
        <x:f>B204</x:f>
        <x:v>14699.881320538967</x:v>
      </x:c>
      <x:c r="G204" s="25" t="n">
        <x:f>B204*Subsurface_Inputs!$C$46</x:f>
        <x:v>25724.792310943194</x:v>
      </x:c>
      <x:c r="H204" s="25" t="n">
        <x:f>Subsurface_Live_Data!Y204</x:f>
        <x:v>11.185679960260906</x:v>
      </x:c>
      <x:c r="I204" s="25" t="n">
        <x:f>Subsurface_Inputs!$C$47-Subsurface_Inputs!$C$43+2*SIN(2*PI()*A204/42)</x:f>
        <x:v>-15.29808453235235</x:v>
      </x:c>
      <x:c r="J204" s="25" t="n">
        <x:v>0</x:v>
      </x:c>
    </x:row>
    <x:row r="205">
      <x:c r="A205" s="25" t="n">
        <x:f>Subsurface_Live_Data!A205</x:f>
        <x:v>41.5</x:v>
      </x:c>
      <x:c r="B205" s="25" t="n">
        <x:f>Subsurface_Live_Data!K205</x:f>
        <x:v>14687.004164423177</x:v>
      </x:c>
      <x:c r="C205" s="25" t="n">
        <x:f>MAX(0,B205-Subsurface_Inputs!$C$44)</x:f>
        <x:v>13187.004164423177</x:v>
      </x:c>
      <x:c r="D205" s="25" t="n">
        <x:f>B205+Subsurface_Inputs!$C$44</x:f>
        <x:v>16187.004164423177</x:v>
      </x:c>
      <x:c r="E205" s="25" t="n">
        <x:f>B205*Subsurface_Inputs!$C$45</x:f>
        <x:v>8077.852290432748</x:v>
      </x:c>
      <x:c r="F205" s="25" t="n">
        <x:f>B205</x:f>
        <x:v>14687.004164423177</x:v>
      </x:c>
      <x:c r="G205" s="25" t="n">
        <x:f>B205*Subsurface_Inputs!$C$46</x:f>
        <x:v>25702.25728774056</x:v>
      </x:c>
      <x:c r="H205" s="25" t="n">
        <x:f>Subsurface_Live_Data!Y205</x:f>
        <x:v>11.18671648369235</x:v>
      </x:c>
      <x:c r="I205" s="25" t="n">
        <x:f>Subsurface_Inputs!$C$47-Subsurface_Inputs!$C$43+2*SIN(2*PI()*A205/42)</x:f>
        <x:v>-15.149460187172847</x:v>
      </x:c>
      <x:c r="J205" s="25" t="n">
        <x:v>0</x:v>
      </x:c>
    </x:row>
    <x:row r="206">
      <x:c r="A206" s="25" t="n">
        <x:f>Subsurface_Live_Data!A206</x:f>
        <x:v>42</x:v>
      </x:c>
      <x:c r="B206" s="25" t="n">
        <x:f>Subsurface_Live_Data!K206</x:f>
        <x:v>14673.651759639273</x:v>
      </x:c>
      <x:c r="C206" s="25" t="n">
        <x:f>MAX(0,B206-Subsurface_Inputs!$C$44)</x:f>
        <x:v>13173.651759639273</x:v>
      </x:c>
      <x:c r="D206" s="25" t="n">
        <x:f>B206+Subsurface_Inputs!$C$44</x:f>
        <x:v>16173.651759639273</x:v>
      </x:c>
      <x:c r="E206" s="25" t="n">
        <x:f>B206*Subsurface_Inputs!$C$45</x:f>
        <x:v>8070.508467801601</x:v>
      </x:c>
      <x:c r="F206" s="25" t="n">
        <x:f>B206</x:f>
        <x:v>14673.651759639273</x:v>
      </x:c>
      <x:c r="G206" s="25" t="n">
        <x:f>B206*Subsurface_Inputs!$C$46</x:f>
        <x:v>25678.89057936873</x:v>
      </x:c>
      <x:c r="H206" s="25" t="n">
        <x:f>Subsurface_Live_Data!Y206</x:f>
        <x:v>11.14969854878342</x:v>
      </x:c>
      <x:c r="I206" s="25" t="n">
        <x:f>Subsurface_Inputs!$C$47-Subsurface_Inputs!$C$43+2*SIN(2*PI()*A206/42)</x:f>
        <x:v>-15</x:v>
      </x:c>
      <x:c r="J206" s="25" t="n">
        <x:v>0</x:v>
      </x:c>
    </x:row>
    <x:row r="207">
      <x:c r="A207" s="25" t="n">
        <x:f>Subsurface_Live_Data!A207</x:f>
        <x:v>42.5</x:v>
      </x:c>
      <x:c r="B207" s="25" t="n">
        <x:f>Subsurface_Live_Data!K207</x:f>
        <x:v>14662.973588793413</x:v>
      </x:c>
      <x:c r="C207" s="25" t="n">
        <x:f>MAX(0,B207-Subsurface_Inputs!$C$44)</x:f>
        <x:v>13162.973588793413</x:v>
      </x:c>
      <x:c r="D207" s="25" t="n">
        <x:f>B207+Subsurface_Inputs!$C$44</x:f>
        <x:v>16162.973588793413</x:v>
      </x:c>
      <x:c r="E207" s="25" t="n">
        <x:f>B207*Subsurface_Inputs!$C$45</x:f>
        <x:v>8064.635473836378</x:v>
      </x:c>
      <x:c r="F207" s="25" t="n">
        <x:f>B207</x:f>
        <x:v>14662.973588793413</x:v>
      </x:c>
      <x:c r="G207" s="25" t="n">
        <x:f>B207*Subsurface_Inputs!$C$46</x:f>
        <x:v>25660.203780388474</x:v>
      </x:c>
      <x:c r="H207" s="25" t="n">
        <x:f>Subsurface_Live_Data!Y207</x:f>
        <x:v>11.171603960827213</x:v>
      </x:c>
      <x:c r="I207" s="25" t="n">
        <x:f>Subsurface_Inputs!$C$47-Subsurface_Inputs!$C$43+2*SIN(2*PI()*A207/42)</x:f>
        <x:v>-14.85053981282715</x:v>
      </x:c>
      <x:c r="J207" s="25" t="n">
        <x:v>0</x:v>
      </x:c>
    </x:row>
    <x:row r="208">
      <x:c r="A208" s="25" t="n">
        <x:f>Subsurface_Live_Data!A208</x:f>
        <x:v>43</x:v>
      </x:c>
      <x:c r="B208" s="25" t="n">
        <x:f>Subsurface_Live_Data!K208</x:f>
        <x:v>14653.271975733256</x:v>
      </x:c>
      <x:c r="C208" s="25" t="n">
        <x:f>MAX(0,B208-Subsurface_Inputs!$C$44)</x:f>
        <x:v>13153.271975733256</x:v>
      </x:c>
      <x:c r="D208" s="25" t="n">
        <x:f>B208+Subsurface_Inputs!$C$44</x:f>
        <x:v>16153.271975733256</x:v>
      </x:c>
      <x:c r="E208" s="25" t="n">
        <x:f>B208*Subsurface_Inputs!$C$45</x:f>
        <x:v>8059.299586653292</x:v>
      </x:c>
      <x:c r="F208" s="25" t="n">
        <x:f>B208</x:f>
        <x:v>14653.271975733256</x:v>
      </x:c>
      <x:c r="G208" s="25" t="n">
        <x:f>B208*Subsurface_Inputs!$C$46</x:f>
        <x:v>25643.2259575332</x:v>
      </x:c>
      <x:c r="H208" s="25" t="n">
        <x:f>Subsurface_Live_Data!Y208</x:f>
        <x:v>11.200315953272892</x:v>
      </x:c>
      <x:c r="I208" s="25" t="n">
        <x:f>Subsurface_Inputs!$C$47-Subsurface_Inputs!$C$43+2*SIN(2*PI()*A208/42)</x:f>
        <x:v>-14.701915467647652</x:v>
      </x:c>
      <x:c r="J208" s="25" t="n">
        <x:v>0</x:v>
      </x:c>
    </x:row>
    <x:row r="209">
      <x:c r="A209" s="25" t="n">
        <x:f>Subsurface_Live_Data!A209</x:f>
        <x:v>43.5</x:v>
      </x:c>
      <x:c r="B209" s="25" t="n">
        <x:f>Subsurface_Live_Data!K209</x:f>
        <x:v>14645.692657462254</x:v>
      </x:c>
      <x:c r="C209" s="25" t="n">
        <x:f>MAX(0,B209-Subsurface_Inputs!$C$44)</x:f>
        <x:v>13145.692657462254</x:v>
      </x:c>
      <x:c r="D209" s="25" t="n">
        <x:f>B209+Subsurface_Inputs!$C$44</x:f>
        <x:v>16145.692657462254</x:v>
      </x:c>
      <x:c r="E209" s="25" t="n">
        <x:f>B209*Subsurface_Inputs!$C$45</x:f>
        <x:v>8055.13096160424</x:v>
      </x:c>
      <x:c r="F209" s="25" t="n">
        <x:f>B209</x:f>
        <x:v>14645.692657462254</x:v>
      </x:c>
      <x:c r="G209" s="25" t="n">
        <x:f>B209*Subsurface_Inputs!$C$46</x:f>
        <x:v>25629.962150558946</x:v>
      </x:c>
      <x:c r="H209" s="25" t="n">
        <x:f>Subsurface_Live_Data!Y209</x:f>
        <x:v>11.271272202033003</x:v>
      </x:c>
      <x:c r="I209" s="25" t="n">
        <x:f>Subsurface_Inputs!$C$47-Subsurface_Inputs!$C$43+2*SIN(2*PI()*A209/42)</x:f>
        <x:v>-14.554958132087371</x:v>
      </x:c>
      <x:c r="J209" s="25" t="n">
        <x:v>0</x:v>
      </x:c>
    </x:row>
    <x:row r="210">
      <x:c r="A210" s="25" t="n">
        <x:f>Subsurface_Live_Data!A210</x:f>
        <x:v>44</x:v>
      </x:c>
      <x:c r="B210" s="25" t="n">
        <x:f>Subsurface_Live_Data!K210</x:f>
        <x:v>14638.157168949723</x:v>
      </x:c>
      <x:c r="C210" s="25" t="n">
        <x:f>MAX(0,B210-Subsurface_Inputs!$C$44)</x:f>
        <x:v>13138.157168949723</x:v>
      </x:c>
      <x:c r="D210" s="25" t="n">
        <x:f>B210+Subsurface_Inputs!$C$44</x:f>
        <x:v>16138.157168949723</x:v>
      </x:c>
      <x:c r="E210" s="25" t="n">
        <x:f>B210*Subsurface_Inputs!$C$45</x:f>
        <x:v>8050.986442922348</x:v>
      </x:c>
      <x:c r="F210" s="25" t="n">
        <x:f>B210</x:f>
        <x:v>14638.157168949723</x:v>
      </x:c>
      <x:c r="G210" s="25" t="n">
        <x:f>B210*Subsurface_Inputs!$C$46</x:f>
        <x:v>25616.775045662016</x:v>
      </x:c>
      <x:c r="H210" s="25" t="n">
        <x:f>Subsurface_Live_Data!Y210</x:f>
        <x:v>11.320754618324706</x:v>
      </x:c>
      <x:c r="I210" s="25" t="n">
        <x:f>Subsurface_Inputs!$C$47-Subsurface_Inputs!$C$43+2*SIN(2*PI()*A210/42)</x:f>
        <x:v>-14.410489651178192</x:v>
      </x:c>
      <x:c r="J210" s="25" t="n">
        <x:v>0</x:v>
      </x:c>
    </x:row>
    <x:row r="211">
      <x:c r="A211" s="25" t="n">
        <x:f>Subsurface_Live_Data!A211</x:f>
        <x:v>44.5</x:v>
      </x:c>
      <x:c r="B211" s="25" t="n">
        <x:f>Subsurface_Live_Data!K211</x:f>
        <x:v>14633.280812812143</x:v>
      </x:c>
      <x:c r="C211" s="25" t="n">
        <x:f>MAX(0,B211-Subsurface_Inputs!$C$44)</x:f>
        <x:v>13133.280812812143</x:v>
      </x:c>
      <x:c r="D211" s="25" t="n">
        <x:f>B211+Subsurface_Inputs!$C$44</x:f>
        <x:v>16133.280812812143</x:v>
      </x:c>
      <x:c r="E211" s="25" t="n">
        <x:f>B211*Subsurface_Inputs!$C$45</x:f>
        <x:v>8048.304447046679</x:v>
      </x:c>
      <x:c r="F211" s="25" t="n">
        <x:f>B211</x:f>
        <x:v>14633.280812812143</x:v>
      </x:c>
      <x:c r="G211" s="25" t="n">
        <x:f>B211*Subsurface_Inputs!$C$46</x:f>
        <x:v>25608.24142242125</x:v>
      </x:c>
      <x:c r="H211" s="25" t="n">
        <x:f>Subsurface_Live_Data!Y211</x:f>
        <x:v>11.429535420606243</x:v>
      </x:c>
      <x:c r="I211" s="25" t="n">
        <x:f>Subsurface_Inputs!$C$47-Subsurface_Inputs!$C$43+2*SIN(2*PI()*A211/42)</x:f>
        <x:v>-14.26931795126721</x:v>
      </x:c>
      <x:c r="J211" s="25" t="n">
        <x:v>0</x:v>
      </x:c>
    </x:row>
    <x:row r="212">
      <x:c r="A212" s="25" t="n">
        <x:f>Subsurface_Live_Data!A212</x:f>
        <x:v>45</x:v>
      </x:c>
      <x:c r="B212" s="25" t="n">
        <x:f>Subsurface_Live_Data!K212</x:f>
        <x:v>14626.915429680796</x:v>
      </x:c>
      <x:c r="C212" s="25" t="n">
        <x:f>MAX(0,B212-Subsurface_Inputs!$C$44)</x:f>
        <x:v>13126.915429680796</x:v>
      </x:c>
      <x:c r="D212" s="25" t="n">
        <x:f>B212+Subsurface_Inputs!$C$44</x:f>
        <x:v>16126.915429680796</x:v>
      </x:c>
      <x:c r="E212" s="25" t="n">
        <x:f>B212*Subsurface_Inputs!$C$45</x:f>
        <x:v>8044.803486324438</x:v>
      </x:c>
      <x:c r="F212" s="25" t="n">
        <x:f>B212</x:f>
        <x:v>14626.915429680796</x:v>
      </x:c>
      <x:c r="G212" s="25" t="n">
        <x:f>B212*Subsurface_Inputs!$C$46</x:f>
        <x:v>25597.10200194139</x:v>
      </x:c>
      <x:c r="H212" s="25" t="n">
        <x:f>Subsurface_Live_Data!Y212</x:f>
        <x:v>11.470320501270635</x:v>
      </x:c>
      <x:c r="I212" s="25" t="n">
        <x:f>Subsurface_Inputs!$C$47-Subsurface_Inputs!$C$43+2*SIN(2*PI()*A212/42)</x:f>
        <x:v>-14.132232521764884</x:v>
      </x:c>
      <x:c r="J212" s="25" t="n">
        <x:v>0</x:v>
      </x:c>
    </x:row>
    <x:row r="213">
      <x:c r="A213" s="25" t="n">
        <x:f>Subsurface_Live_Data!A213</x:f>
        <x:v>45.5</x:v>
      </x:c>
      <x:c r="B213" s="25" t="n">
        <x:f>Subsurface_Live_Data!K213</x:f>
        <x:v>14618.90219150512</x:v>
      </x:c>
      <x:c r="C213" s="25" t="n">
        <x:f>MAX(0,B213-Subsurface_Inputs!$C$44)</x:f>
        <x:v>13118.90219150512</x:v>
      </x:c>
      <x:c r="D213" s="25" t="n">
        <x:f>B213+Subsurface_Inputs!$C$44</x:f>
        <x:v>16118.90219150512</x:v>
      </x:c>
      <x:c r="E213" s="25" t="n">
        <x:f>B213*Subsurface_Inputs!$C$45</x:f>
        <x:v>8040.3962053278165</x:v>
      </x:c>
      <x:c r="F213" s="25" t="n">
        <x:f>B213</x:f>
        <x:v>14618.90219150512</x:v>
      </x:c>
      <x:c r="G213" s="25" t="n">
        <x:f>B213*Subsurface_Inputs!$C$46</x:f>
        <x:v>25583.078835133958</x:v>
      </x:c>
      <x:c r="H213" s="25" t="n">
        <x:f>Subsurface_Live_Data!Y213</x:f>
        <x:v>11.438626787830351</x:v>
      </x:c>
      <x:c r="I213" s="25" t="n">
        <x:f>Subsurface_Inputs!$C$47-Subsurface_Inputs!$C$43+2*SIN(2*PI()*A213/42)</x:f>
        <x:v>-14</x:v>
      </x:c>
      <x:c r="J213" s="25" t="n">
        <x:v>0</x:v>
      </x:c>
    </x:row>
    <x:row r="214">
      <x:c r="A214" s="25" t="n">
        <x:f>Subsurface_Live_Data!A214</x:f>
        <x:v>46</x:v>
      </x:c>
      <x:c r="B214" s="25" t="n">
        <x:f>Subsurface_Live_Data!K214</x:f>
        <x:v>14615.145412726702</x:v>
      </x:c>
      <x:c r="C214" s="25" t="n">
        <x:f>MAX(0,B214-Subsurface_Inputs!$C$44)</x:f>
        <x:v>13115.145412726702</x:v>
      </x:c>
      <x:c r="D214" s="25" t="n">
        <x:f>B214+Subsurface_Inputs!$C$44</x:f>
        <x:v>16115.145412726702</x:v>
      </x:c>
      <x:c r="E214" s="25" t="n">
        <x:f>B214*Subsurface_Inputs!$C$45</x:f>
        <x:v>8038.3299769996875</x:v>
      </x:c>
      <x:c r="F214" s="25" t="n">
        <x:f>B214</x:f>
        <x:v>14615.145412726702</x:v>
      </x:c>
      <x:c r="G214" s="25" t="n">
        <x:f>B214*Subsurface_Inputs!$C$46</x:f>
        <x:v>25576.50447227173</x:v>
      </x:c>
      <x:c r="H214" s="25" t="n">
        <x:f>Subsurface_Live_Data!Y214</x:f>
        <x:v>11.516594789611446</x:v>
      </x:c>
      <x:c r="I214" s="25" t="n">
        <x:f>Subsurface_Inputs!$C$47-Subsurface_Inputs!$C$43+2*SIN(2*PI()*A214/42)</x:f>
        <x:v>-13.873359883872757</x:v>
      </x:c>
      <x:c r="J214" s="25" t="n">
        <x:v>0</x:v>
      </x:c>
    </x:row>
    <x:row r="215">
      <x:c r="A215" s="25" t="n">
        <x:f>Subsurface_Live_Data!A215</x:f>
        <x:v>46.5</x:v>
      </x:c>
      <x:c r="B215" s="25" t="n">
        <x:f>Subsurface_Live_Data!K215</x:f>
        <x:v>14612.173134210097</x:v>
      </x:c>
      <x:c r="C215" s="25" t="n">
        <x:f>MAX(0,B215-Subsurface_Inputs!$C$44)</x:f>
        <x:v>13112.173134210097</x:v>
      </x:c>
      <x:c r="D215" s="25" t="n">
        <x:f>B215+Subsurface_Inputs!$C$44</x:f>
        <x:v>16112.173134210097</x:v>
      </x:c>
      <x:c r="E215" s="25" t="n">
        <x:f>B215*Subsurface_Inputs!$C$45</x:f>
        <x:v>8036.6952238155545</x:v>
      </x:c>
      <x:c r="F215" s="25" t="n">
        <x:f>B215</x:f>
        <x:v>14612.173134210097</x:v>
      </x:c>
      <x:c r="G215" s="25" t="n">
        <x:f>B215*Subsurface_Inputs!$C$46</x:f>
        <x:v>25571.30298486767</x:v>
      </x:c>
      <x:c r="H215" s="25" t="n">
        <x:f>Subsurface_Live_Data!Y215</x:f>
        <x:v>11.597893991821792</x:v>
      </x:c>
      <x:c r="I215" s="25" t="n">
        <x:f>Subsurface_Inputs!$C$47-Subsurface_Inputs!$C$43+2*SIN(2*PI()*A215/42)</x:f>
        <x:v>-13.753020396282535</x:v>
      </x:c>
      <x:c r="J215" s="25" t="n">
        <x:v>0</x:v>
      </x:c>
    </x:row>
    <x:row r="216">
      <x:c r="A216" s="25" t="n">
        <x:f>Subsurface_Live_Data!A216</x:f>
        <x:v>47</x:v>
      </x:c>
      <x:c r="B216" s="25" t="n">
        <x:f>Subsurface_Live_Data!K216</x:f>
        <x:v>14607.701900076461</x:v>
      </x:c>
      <x:c r="C216" s="25" t="n">
        <x:f>MAX(0,B216-Subsurface_Inputs!$C$44)</x:f>
        <x:v>13107.701900076461</x:v>
      </x:c>
      <x:c r="D216" s="25" t="n">
        <x:f>B216+Subsurface_Inputs!$C$44</x:f>
        <x:v>16107.701900076461</x:v>
      </x:c>
      <x:c r="E216" s="25" t="n">
        <x:f>B216*Subsurface_Inputs!$C$45</x:f>
        <x:v>8034.236045042055</x:v>
      </x:c>
      <x:c r="F216" s="25" t="n">
        <x:f>B216</x:f>
        <x:v>14607.701900076461</x:v>
      </x:c>
      <x:c r="G216" s="25" t="n">
        <x:f>B216*Subsurface_Inputs!$C$46</x:f>
        <x:v>25563.47832513381</x:v>
      </x:c>
      <x:c r="H216" s="25" t="n">
        <x:f>Subsurface_Live_Data!Y216</x:f>
        <x:v>11.612814287331389</x:v>
      </x:c>
      <x:c r="I216" s="25" t="n">
        <x:f>Subsurface_Inputs!$C$47-Subsurface_Inputs!$C$43+2*SIN(2*PI()*A216/42)</x:f>
        <x:v>-13.63965452445816</x:v>
      </x:c>
      <x:c r="J216" s="25" t="n">
        <x:v>0</x:v>
      </x:c>
    </x:row>
    <x:row r="217">
      <x:c r="A217" s="25" t="n">
        <x:f>Subsurface_Live_Data!A217</x:f>
        <x:v>47.5</x:v>
      </x:c>
      <x:c r="B217" s="25" t="n">
        <x:f>Subsurface_Live_Data!K217</x:f>
        <x:v>14604.637100240314</x:v>
      </x:c>
      <x:c r="C217" s="25" t="n">
        <x:f>MAX(0,B217-Subsurface_Inputs!$C$44)</x:f>
        <x:v>13104.637100240314</x:v>
      </x:c>
      <x:c r="D217" s="25" t="n">
        <x:f>B217+Subsurface_Inputs!$C$44</x:f>
        <x:v>16104.637100240314</x:v>
      </x:c>
      <x:c r="E217" s="25" t="n">
        <x:f>B217*Subsurface_Inputs!$C$45</x:f>
        <x:v>8032.550405132173</x:v>
      </x:c>
      <x:c r="F217" s="25" t="n">
        <x:f>B217</x:f>
        <x:v>14604.637100240314</x:v>
      </x:c>
      <x:c r="G217" s="25" t="n">
        <x:f>B217*Subsurface_Inputs!$C$46</x:f>
        <x:v>25558.11492542055</x:v>
      </x:c>
      <x:c r="H217" s="25" t="n">
        <x:f>Subsurface_Live_Data!Y217</x:f>
        <x:v>11.6513602656484</x:v>
      </x:c>
      <x:c r="I217" s="25" t="n">
        <x:f>Subsurface_Inputs!$C$47-Subsurface_Inputs!$C$43+2*SIN(2*PI()*A217/42)</x:f>
        <x:v>-13.533896256340347</x:v>
      </x:c>
      <x:c r="J217" s="25" t="n">
        <x:v>0</x:v>
      </x:c>
    </x:row>
    <x:row r="218">
      <x:c r="A218" s="25" t="n">
        <x:f>Subsurface_Live_Data!A218</x:f>
        <x:v>48</x:v>
      </x:c>
      <x:c r="B218" s="25" t="n">
        <x:f>Subsurface_Live_Data!K218</x:f>
        <x:v>14598.23820003855</x:v>
      </x:c>
      <x:c r="C218" s="25" t="n">
        <x:f>MAX(0,B218-Subsurface_Inputs!$C$44)</x:f>
        <x:v>13098.23820003855</x:v>
      </x:c>
      <x:c r="D218" s="25" t="n">
        <x:f>B218+Subsurface_Inputs!$C$44</x:f>
        <x:v>16098.23820003855</x:v>
      </x:c>
      <x:c r="E218" s="25" t="n">
        <x:f>B218*Subsurface_Inputs!$C$45</x:f>
        <x:v>8029.031010021203</x:v>
      </x:c>
      <x:c r="F218" s="25" t="n">
        <x:f>B218</x:f>
        <x:v>14598.23820003855</x:v>
      </x:c>
      <x:c r="G218" s="25" t="n">
        <x:f>B218*Subsurface_Inputs!$C$46</x:f>
        <x:v>25546.91685006746</x:v>
      </x:c>
      <x:c r="H218" s="25" t="n">
        <x:f>Subsurface_Live_Data!Y218</x:f>
        <x:v>11.5683049111747</x:v>
      </x:c>
      <x:c r="I218" s="25" t="n">
        <x:f>Subsurface_Inputs!$C$47-Subsurface_Inputs!$C$43+2*SIN(2*PI()*A218/42)</x:f>
        <x:v>-13.436337035063941</x:v>
      </x:c>
      <x:c r="J218" s="25" t="n">
        <x:v>0</x:v>
      </x:c>
    </x:row>
    <x:row r="219">
      <x:c r="A219" s="25" t="n">
        <x:f>Subsurface_Live_Data!A219</x:f>
        <x:v>48.5</x:v>
      </x:c>
      <x:c r="B219" s="25" t="n">
        <x:f>Subsurface_Live_Data!K219</x:f>
        <x:v>14596.397177031604</x:v>
      </x:c>
      <x:c r="C219" s="25" t="n">
        <x:f>MAX(0,B219-Subsurface_Inputs!$C$44)</x:f>
        <x:v>13096.397177031604</x:v>
      </x:c>
      <x:c r="D219" s="25" t="n">
        <x:f>B219+Subsurface_Inputs!$C$44</x:f>
        <x:v>16096.397177031604</x:v>
      </x:c>
      <x:c r="E219" s="25" t="n">
        <x:f>B219*Subsurface_Inputs!$C$45</x:f>
        <x:v>8028.018447367383</x:v>
      </x:c>
      <x:c r="F219" s="25" t="n">
        <x:f>B219</x:f>
        <x:v>14596.397177031604</x:v>
      </x:c>
      <x:c r="G219" s="25" t="n">
        <x:f>B219*Subsurface_Inputs!$C$46</x:f>
        <x:v>25543.695059805308</x:v>
      </x:c>
      <x:c r="H219" s="25" t="n">
        <x:f>Subsurface_Live_Data!Y219</x:f>
        <x:v>11.607183879978301</x:v>
      </x:c>
      <x:c r="I219" s="25" t="n">
        <x:f>Subsurface_Inputs!$C$47-Subsurface_Inputs!$C$43+2*SIN(2*PI()*A219/42)</x:f>
        <x:v>-13.347522451368011</x:v>
      </x:c>
      <x:c r="J219" s="25" t="n">
        <x:v>0</x:v>
      </x:c>
    </x:row>
    <x:row r="220">
      <x:c r="A220" s="25" t="n">
        <x:f>Subsurface_Live_Data!A220</x:f>
        <x:v>49</x:v>
      </x:c>
      <x:c r="B220" s="25" t="n">
        <x:f>Subsurface_Live_Data!K220</x:f>
        <x:v>14594.33019373929</x:v>
      </x:c>
      <x:c r="C220" s="25" t="n">
        <x:f>MAX(0,B220-Subsurface_Inputs!$C$44)</x:f>
        <x:v>13094.33019373929</x:v>
      </x:c>
      <x:c r="D220" s="25" t="n">
        <x:f>B220+Subsurface_Inputs!$C$44</x:f>
        <x:v>16094.33019373929</x:v>
      </x:c>
      <x:c r="E220" s="25" t="n">
        <x:f>B220*Subsurface_Inputs!$C$45</x:f>
        <x:v>8026.88160655661</x:v>
      </x:c>
      <x:c r="F220" s="25" t="n">
        <x:f>B220</x:f>
        <x:v>14594.33019373929</x:v>
      </x:c>
      <x:c r="G220" s="25" t="n">
        <x:f>B220*Subsurface_Inputs!$C$46</x:f>
        <x:v>25540.077839043755</x:v>
      </x:c>
      <x:c r="H220" s="25" t="n">
        <x:f>Subsurface_Live_Data!Y220</x:f>
        <x:v>11.62151981749269</x:v>
      </x:c>
      <x:c r="I220" s="25" t="n">
        <x:f>Subsurface_Inputs!$C$47-Subsurface_Inputs!$C$43+2*SIN(2*PI()*A220/42)</x:f>
        <x:v>-13.267949192431123</x:v>
      </x:c>
      <x:c r="J220" s="25" t="n">
        <x:v>0</x:v>
      </x:c>
    </x:row>
    <x:row r="221">
      <x:c r="A221" s="25" t="n">
        <x:f>Subsurface_Live_Data!A221</x:f>
        <x:v>49.5</x:v>
      </x:c>
      <x:c r="B221" s="25" t="n">
        <x:f>Subsurface_Live_Data!K221</x:f>
        <x:v>14591.31268234764</x:v>
      </x:c>
      <x:c r="C221" s="25" t="n">
        <x:f>MAX(0,B221-Subsurface_Inputs!$C$44)</x:f>
        <x:v>13091.31268234764</x:v>
      </x:c>
      <x:c r="D221" s="25" t="n">
        <x:f>B221+Subsurface_Inputs!$C$44</x:f>
        <x:v>16091.31268234764</x:v>
      </x:c>
      <x:c r="E221" s="25" t="n">
        <x:f>B221*Subsurface_Inputs!$C$45</x:f>
        <x:v>8025.221975291202</x:v>
      </x:c>
      <x:c r="F221" s="25" t="n">
        <x:f>B221</x:f>
        <x:v>14591.31268234764</x:v>
      </x:c>
      <x:c r="G221" s="25" t="n">
        <x:f>B221*Subsurface_Inputs!$C$46</x:f>
        <x:v>25534.79719410837</x:v>
      </x:c>
      <x:c r="H221" s="25" t="n">
        <x:f>Subsurface_Live_Data!Y221</x:f>
        <x:v>11.589782425933791</x:v>
      </x:c>
      <x:c r="I221" s="25" t="n">
        <x:f>Subsurface_Inputs!$C$47-Subsurface_Inputs!$C$43+2*SIN(2*PI()*A221/42)</x:f>
        <x:v>-13.198062264195162</x:v>
      </x:c>
      <x:c r="J221" s="25" t="n">
        <x:v>0</x:v>
      </x:c>
    </x:row>
    <x:row r="222">
      <x:c r="A222" s="25" t="n">
        <x:f>Subsurface_Live_Data!A222</x:f>
        <x:v>50</x:v>
      </x:c>
      <x:c r="B222" s="25" t="n">
        <x:f>Subsurface_Live_Data!K222</x:f>
        <x:v>14589.816141882691</x:v>
      </x:c>
      <x:c r="C222" s="25" t="n">
        <x:f>MAX(0,B222-Subsurface_Inputs!$C$44)</x:f>
        <x:v>13089.816141882691</x:v>
      </x:c>
      <x:c r="D222" s="25" t="n">
        <x:f>B222+Subsurface_Inputs!$C$44</x:f>
        <x:v>16089.816141882691</x:v>
      </x:c>
      <x:c r="E222" s="25" t="n">
        <x:f>B222*Subsurface_Inputs!$C$45</x:f>
        <x:v>8024.398878035481</x:v>
      </x:c>
      <x:c r="F222" s="25" t="n">
        <x:f>B222</x:f>
        <x:v>14589.816141882691</x:v>
      </x:c>
      <x:c r="G222" s="25" t="n">
        <x:f>B222*Subsurface_Inputs!$C$46</x:f>
        <x:v>25532.17824829471</x:v>
      </x:c>
      <x:c r="H222" s="25" t="n">
        <x:f>Subsurface_Live_Data!Y222</x:f>
        <x:v>11.588823991701751</x:v>
      </x:c>
      <x:c r="I222" s="25" t="n">
        <x:f>Subsurface_Inputs!$C$47-Subsurface_Inputs!$C$43+2*SIN(2*PI()*A222/42)</x:f>
        <x:v>-13.138252502711591</x:v>
      </x:c>
      <x:c r="J222" s="25" t="n">
        <x:v>0</x:v>
      </x:c>
    </x:row>
    <x:row r="223">
      <x:c r="A223" s="25" t="n">
        <x:f>Subsurface_Live_Data!A223</x:f>
        <x:v>50.5</x:v>
      </x:c>
      <x:c r="B223" s="25" t="n">
        <x:f>Subsurface_Live_Data!K223</x:f>
        <x:v>14585.724440359641</x:v>
      </x:c>
      <x:c r="C223" s="25" t="n">
        <x:f>MAX(0,B223-Subsurface_Inputs!$C$44)</x:f>
        <x:v>13085.724440359641</x:v>
      </x:c>
      <x:c r="D223" s="25" t="n">
        <x:f>B223+Subsurface_Inputs!$C$44</x:f>
        <x:v>16085.724440359641</x:v>
      </x:c>
      <x:c r="E223" s="25" t="n">
        <x:f>B223*Subsurface_Inputs!$C$45</x:f>
        <x:v>8022.148442197804</x:v>
      </x:c>
      <x:c r="F223" s="25" t="n">
        <x:f>B223</x:f>
        <x:v>14585.724440359641</x:v>
      </x:c>
      <x:c r="G223" s="25" t="n">
        <x:f>B223*Subsurface_Inputs!$C$46</x:f>
        <x:v>25525.017770629373</x:v>
      </x:c>
      <x:c r="H223" s="25" t="n">
        <x:f>Subsurface_Live_Data!Y223</x:f>
        <x:v>11.492818451770304</x:v>
      </x:c>
      <x:c r="I223" s="25" t="n">
        <x:f>Subsurface_Inputs!$C$47-Subsurface_Inputs!$C$43+2*SIN(2*PI()*A223/42)</x:f>
        <x:v>-13.08885438842772</x:v>
      </x:c>
      <x:c r="J223" s="25" t="n">
        <x:v>0</x:v>
      </x:c>
    </x:row>
    <x:row r="224">
      <x:c r="A224" s="25" t="n">
        <x:f>Subsurface_Live_Data!A224</x:f>
        <x:v>51</x:v>
      </x:c>
      <x:c r="B224" s="25" t="n">
        <x:f>Subsurface_Live_Data!K224</x:f>
        <x:v>14585.165789111039</x:v>
      </x:c>
      <x:c r="C224" s="25" t="n">
        <x:f>MAX(0,B224-Subsurface_Inputs!$C$44)</x:f>
        <x:v>13085.165789111039</x:v>
      </x:c>
      <x:c r="D224" s="25" t="n">
        <x:f>B224+Subsurface_Inputs!$C$44</x:f>
        <x:v>16085.165789111039</x:v>
      </x:c>
      <x:c r="E224" s="25" t="n">
        <x:f>B224*Subsurface_Inputs!$C$45</x:f>
        <x:v>8021.841184011072</x:v>
      </x:c>
      <x:c r="F224" s="25" t="n">
        <x:f>B224</x:f>
        <x:v>14585.165789111039</x:v>
      </x:c>
      <x:c r="G224" s="25" t="n">
        <x:f>B224*Subsurface_Inputs!$C$46</x:f>
        <x:v>25524.04013094432</x:v>
      </x:c>
      <x:c r="H224" s="25" t="n">
        <x:f>Subsurface_Live_Data!Y224</x:f>
        <x:v>11.491202636761741</x:v>
      </x:c>
      <x:c r="I224" s="25" t="n">
        <x:f>Subsurface_Inputs!$C$47-Subsurface_Inputs!$C$43+2*SIN(2*PI()*A224/42)</x:f>
        <x:v>-13.050144175636353</x:v>
      </x:c>
      <x:c r="J224" s="25" t="n">
        <x:v>0</x:v>
      </x:c>
    </x:row>
    <x:row r="225">
      <x:c r="A225" s="25" t="n">
        <x:f>Subsurface_Live_Data!A225</x:f>
        <x:v>51.5</x:v>
      </x:c>
      <x:c r="B225" s="25" t="n">
        <x:f>Subsurface_Live_Data!K225</x:f>
        <x:v>14581.93601801468</x:v>
      </x:c>
      <x:c r="C225" s="25" t="n">
        <x:f>MAX(0,B225-Subsurface_Inputs!$C$44)</x:f>
        <x:v>13081.93601801468</x:v>
      </x:c>
      <x:c r="D225" s="25" t="n">
        <x:f>B225+Subsurface_Inputs!$C$44</x:f>
        <x:v>16081.93601801468</x:v>
      </x:c>
      <x:c r="E225" s="25" t="n">
        <x:f>B225*Subsurface_Inputs!$C$45</x:f>
        <x:v>8020.0648099080745</x:v>
      </x:c>
      <x:c r="F225" s="25" t="n">
        <x:f>B225</x:f>
        <x:v>14581.93601801468</x:v>
      </x:c>
      <x:c r="G225" s="25" t="n">
        <x:f>B225*Subsurface_Inputs!$C$46</x:f>
        <x:v>25518.38803152569</x:v>
      </x:c>
      <x:c r="H225" s="25" t="n">
        <x:f>Subsurface_Live_Data!Y225</x:f>
        <x:v>11.393955472999828</x:v>
      </x:c>
      <x:c r="I225" s="25" t="n">
        <x:f>Subsurface_Inputs!$C$47-Subsurface_Inputs!$C$43+2*SIN(2*PI()*A225/42)</x:f>
        <x:v>-13.022338347549743</x:v>
      </x:c>
      <x:c r="J225" s="25" t="n">
        <x:v>0</x:v>
      </x:c>
    </x:row>
    <x:row r="226">
      <x:c r="A226" s="25" t="n">
        <x:f>Subsurface_Live_Data!A226</x:f>
        <x:v>52</x:v>
      </x:c>
      <x:c r="B226" s="25" t="n">
        <x:f>Subsurface_Live_Data!K226</x:f>
        <x:v>14581.267028886516</x:v>
      </x:c>
      <x:c r="C226" s="25" t="n">
        <x:f>MAX(0,B226-Subsurface_Inputs!$C$44)</x:f>
        <x:v>13081.267028886516</x:v>
      </x:c>
      <x:c r="D226" s="25" t="n">
        <x:f>B226+Subsurface_Inputs!$C$44</x:f>
        <x:v>16081.267028886516</x:v>
      </x:c>
      <x:c r="E226" s="25" t="n">
        <x:f>B226*Subsurface_Inputs!$C$45</x:f>
        <x:v>8019.696865887584</x:v>
      </x:c>
      <x:c r="F226" s="25" t="n">
        <x:f>B226</x:f>
        <x:v>14581.267028886516</x:v>
      </x:c>
      <x:c r="G226" s="25" t="n">
        <x:f>B226*Subsurface_Inputs!$C$46</x:f>
        <x:v>25517.2173005514</x:v>
      </x:c>
      <x:c r="H226" s="25" t="n">
        <x:f>Subsurface_Live_Data!Y226</x:f>
        <x:v>11.36298445980163</x:v>
      </x:c>
      <x:c r="I226" s="25" t="n">
        <x:f>Subsurface_Inputs!$C$47-Subsurface_Inputs!$C$43+2*SIN(2*PI()*A226/42)</x:f>
        <x:v>-13.005592405637639</x:v>
      </x:c>
      <x:c r="J226" s="25" t="n">
        <x:v>0</x:v>
      </x:c>
    </x:row>
    <x:row r="227">
      <x:c r="A227" s="25" t="n">
        <x:f>Subsurface_Live_Data!A227</x:f>
        <x:v>52.5</x:v>
      </x:c>
      <x:c r="B227" s="25" t="n">
        <x:f>Subsurface_Live_Data!K227</x:f>
        <x:v>14582.445512559116</x:v>
      </x:c>
      <x:c r="C227" s="25" t="n">
        <x:f>MAX(0,B227-Subsurface_Inputs!$C$44)</x:f>
        <x:v>13082.445512559116</x:v>
      </x:c>
      <x:c r="D227" s="25" t="n">
        <x:f>B227+Subsurface_Inputs!$C$44</x:f>
        <x:v>16082.445512559116</x:v>
      </x:c>
      <x:c r="E227" s="25" t="n">
        <x:f>B227*Subsurface_Inputs!$C$45</x:f>
        <x:v>8020.345031907515</x:v>
      </x:c>
      <x:c r="F227" s="25" t="n">
        <x:f>B227</x:f>
        <x:v>14582.445512559116</x:v>
      </x:c>
      <x:c r="G227" s="25" t="n">
        <x:f>B227*Subsurface_Inputs!$C$46</x:f>
        <x:v>25519.27964697845</x:v>
      </x:c>
      <x:c r="H227" s="25" t="n">
        <x:f>Subsurface_Live_Data!Y227</x:f>
        <x:v>11.377275918171264</x:v>
      </x:c>
      <x:c r="I227" s="25" t="n">
        <x:f>Subsurface_Inputs!$C$47-Subsurface_Inputs!$C$43+2*SIN(2*PI()*A227/42)</x:f>
        <x:v>-13</x:v>
      </x:c>
      <x:c r="J227" s="25" t="n">
        <x:v>0</x:v>
      </x:c>
    </x:row>
    <x:row r="228">
      <x:c r="A228" s="25" t="n">
        <x:f>Subsurface_Live_Data!A228</x:f>
        <x:v>53</x:v>
      </x:c>
      <x:c r="B228" s="25" t="n">
        <x:f>Subsurface_Live_Data!K228</x:f>
        <x:v>14580.862995264828</x:v>
      </x:c>
      <x:c r="C228" s="25" t="n">
        <x:f>MAX(0,B228-Subsurface_Inputs!$C$44)</x:f>
        <x:v>13080.862995264828</x:v>
      </x:c>
      <x:c r="D228" s="25" t="n">
        <x:f>B228+Subsurface_Inputs!$C$44</x:f>
        <x:v>16080.862995264828</x:v>
      </x:c>
      <x:c r="E228" s="25" t="n">
        <x:f>B228*Subsurface_Inputs!$C$45</x:f>
        <x:v>8019.474647395656</x:v>
      </x:c>
      <x:c r="F228" s="25" t="n">
        <x:f>B228</x:f>
        <x:v>14580.862995264828</x:v>
      </x:c>
      <x:c r="G228" s="25" t="n">
        <x:f>B228*Subsurface_Inputs!$C$46</x:f>
        <x:v>25516.510241713448</x:v>
      </x:c>
      <x:c r="H228" s="25" t="n">
        <x:f>Subsurface_Live_Data!Y228</x:f>
        <x:v>11.295974951950484</x:v>
      </x:c>
      <x:c r="I228" s="25" t="n">
        <x:f>Subsurface_Inputs!$C$47-Subsurface_Inputs!$C$43+2*SIN(2*PI()*A228/42)</x:f>
        <x:v>-13.005592405637639</x:v>
      </x:c>
      <x:c r="J228" s="25" t="n">
        <x:v>0</x:v>
      </x:c>
    </x:row>
    <x:row r="229">
      <x:c r="A229" s="25" t="n">
        <x:f>Subsurface_Live_Data!A229</x:f>
        <x:v>53.5</x:v>
      </x:c>
      <x:c r="B229" s="25" t="n">
        <x:f>Subsurface_Live_Data!K229</x:f>
        <x:v>14582.689740911543</x:v>
      </x:c>
      <x:c r="C229" s="25" t="n">
        <x:f>MAX(0,B229-Subsurface_Inputs!$C$44)</x:f>
        <x:v>13082.689740911543</x:v>
      </x:c>
      <x:c r="D229" s="25" t="n">
        <x:f>B229+Subsurface_Inputs!$C$44</x:f>
        <x:v>16082.689740911543</x:v>
      </x:c>
      <x:c r="E229" s="25" t="n">
        <x:f>B229*Subsurface_Inputs!$C$45</x:f>
        <x:v>8020.479357501349</x:v>
      </x:c>
      <x:c r="F229" s="25" t="n">
        <x:f>B229</x:f>
        <x:v>14582.689740911543</x:v>
      </x:c>
      <x:c r="G229" s="25" t="n">
        <x:f>B229*Subsurface_Inputs!$C$46</x:f>
        <x:v>25519.7070465952</x:v>
      </x:c>
      <x:c r="H229" s="25" t="n">
        <x:f>Subsurface_Live_Data!Y229</x:f>
        <x:v>11.309919447269799</x:v>
      </x:c>
      <x:c r="I229" s="25" t="n">
        <x:f>Subsurface_Inputs!$C$47-Subsurface_Inputs!$C$43+2*SIN(2*PI()*A229/42)</x:f>
        <x:v>-13.022338347549743</x:v>
      </x:c>
      <x:c r="J229" s="25" t="n">
        <x:v>0</x:v>
      </x:c>
    </x:row>
    <x:row r="230">
      <x:c r="A230" s="25" t="n">
        <x:f>Subsurface_Live_Data!A230</x:f>
        <x:v>54</x:v>
      </x:c>
      <x:c r="B230" s="25" t="n">
        <x:f>Subsurface_Live_Data!K230</x:f>
        <x:v>14584.402882438928</x:v>
      </x:c>
      <x:c r="C230" s="25" t="n">
        <x:f>MAX(0,B230-Subsurface_Inputs!$C$44)</x:f>
        <x:v>13084.402882438928</x:v>
      </x:c>
      <x:c r="D230" s="25" t="n">
        <x:f>B230+Subsurface_Inputs!$C$44</x:f>
        <x:v>16084.402882438928</x:v>
      </x:c>
      <x:c r="E230" s="25" t="n">
        <x:f>B230*Subsurface_Inputs!$C$45</x:f>
        <x:v>8021.421585341411</x:v>
      </x:c>
      <x:c r="F230" s="25" t="n">
        <x:f>B230</x:f>
        <x:v>14584.402882438928</x:v>
      </x:c>
      <x:c r="G230" s="25" t="n">
        <x:f>B230*Subsurface_Inputs!$C$46</x:f>
        <x:v>25522.705044268125</x:v>
      </x:c>
      <x:c r="H230" s="25" t="n">
        <x:f>Subsurface_Live_Data!Y230</x:f>
        <x:v>11.311688458769659</x:v>
      </x:c>
      <x:c r="I230" s="25" t="n">
        <x:f>Subsurface_Inputs!$C$47-Subsurface_Inputs!$C$43+2*SIN(2*PI()*A230/42)</x:f>
        <x:v>-13.050144175636353</x:v>
      </x:c>
      <x:c r="J230" s="25" t="n">
        <x:v>0</x:v>
      </x:c>
    </x:row>
    <x:row r="231">
      <x:c r="A231" s="25" t="n">
        <x:f>Subsurface_Live_Data!A231</x:f>
        <x:v>54.5</x:v>
      </x:c>
      <x:c r="B231" s="25" t="n">
        <x:f>Subsurface_Live_Data!K231</x:f>
        <x:v>14587.135802631929</x:v>
      </x:c>
      <x:c r="C231" s="25" t="n">
        <x:f>MAX(0,B231-Subsurface_Inputs!$C$44)</x:f>
        <x:v>13087.135802631929</x:v>
      </x:c>
      <x:c r="D231" s="25" t="n">
        <x:f>B231+Subsurface_Inputs!$C$44</x:f>
        <x:v>16087.135802631929</x:v>
      </x:c>
      <x:c r="E231" s="25" t="n">
        <x:f>B231*Subsurface_Inputs!$C$45</x:f>
        <x:v>8022.924691447562</x:v>
      </x:c>
      <x:c r="F231" s="25" t="n">
        <x:f>B231</x:f>
        <x:v>14587.135802631929</x:v>
      </x:c>
      <x:c r="G231" s="25" t="n">
        <x:f>B231*Subsurface_Inputs!$C$46</x:f>
        <x:v>25527.487654605873</x:v>
      </x:c>
      <x:c r="H231" s="25" t="n">
        <x:f>Subsurface_Live_Data!Y231</x:f>
        <x:v>11.337150160353666</x:v>
      </x:c>
      <x:c r="I231" s="25" t="n">
        <x:f>Subsurface_Inputs!$C$47-Subsurface_Inputs!$C$43+2*SIN(2*PI()*A231/42)</x:f>
        <x:v>-13.088854388427718</x:v>
      </x:c>
      <x:c r="J231" s="25" t="n">
        <x:v>0</x:v>
      </x:c>
    </x:row>
    <x:row r="232">
      <x:c r="A232" s="25" t="n">
        <x:f>Subsurface_Live_Data!A232</x:f>
        <x:v>55</x:v>
      </x:c>
      <x:c r="B232" s="25" t="n">
        <x:f>Subsurface_Live_Data!K232</x:f>
        <x:v>14587.76637498493</x:v>
      </x:c>
      <x:c r="C232" s="25" t="n">
        <x:f>MAX(0,B232-Subsurface_Inputs!$C$44)</x:f>
        <x:v>13087.76637498493</x:v>
      </x:c>
      <x:c r="D232" s="25" t="n">
        <x:f>B232+Subsurface_Inputs!$C$44</x:f>
        <x:v>16087.76637498493</x:v>
      </x:c>
      <x:c r="E232" s="25" t="n">
        <x:f>B232*Subsurface_Inputs!$C$45</x:f>
        <x:v>8023.271506241713</x:v>
      </x:c>
      <x:c r="F232" s="25" t="n">
        <x:f>B232</x:f>
        <x:v>14587.76637498493</x:v>
      </x:c>
      <x:c r="G232" s="25" t="n">
        <x:f>B232*Subsurface_Inputs!$C$46</x:f>
        <x:v>25528.59115622363</x:v>
      </x:c>
      <x:c r="H232" s="25" t="n">
        <x:f>Subsurface_Live_Data!Y232</x:f>
        <x:v>11.291231271539914</x:v>
      </x:c>
      <x:c r="I232" s="25" t="n">
        <x:f>Subsurface_Inputs!$C$47-Subsurface_Inputs!$C$43+2*SIN(2*PI()*A232/42)</x:f>
        <x:v>-13.138252502711591</x:v>
      </x:c>
      <x:c r="J232" s="25" t="n">
        <x:v>0</x:v>
      </x:c>
    </x:row>
    <x:row r="233">
      <x:c r="A233" s="25" t="n">
        <x:f>Subsurface_Live_Data!A233</x:f>
        <x:v>55.5</x:v>
      </x:c>
      <x:c r="B233" s="25" t="n">
        <x:f>Subsurface_Live_Data!K233</x:f>
        <x:v>14591.085193045687</x:v>
      </x:c>
      <x:c r="C233" s="25" t="n">
        <x:f>MAX(0,B233-Subsurface_Inputs!$C$44)</x:f>
        <x:v>13091.085193045687</x:v>
      </x:c>
      <x:c r="D233" s="25" t="n">
        <x:f>B233+Subsurface_Inputs!$C$44</x:f>
        <x:v>16091.085193045687</x:v>
      </x:c>
      <x:c r="E233" s="25" t="n">
        <x:f>B233*Subsurface_Inputs!$C$45</x:f>
        <x:v>8025.096856175128</x:v>
      </x:c>
      <x:c r="F233" s="25" t="n">
        <x:f>B233</x:f>
        <x:v>14591.085193045687</x:v>
      </x:c>
      <x:c r="G233" s="25" t="n">
        <x:f>B233*Subsurface_Inputs!$C$46</x:f>
        <x:v>25534.399087829952</x:v>
      </x:c>
      <x:c r="H233" s="25" t="n">
        <x:f>Subsurface_Live_Data!Y233</x:f>
        <x:v>11.322347833630666</x:v>
      </x:c>
      <x:c r="I233" s="25" t="n">
        <x:f>Subsurface_Inputs!$C$47-Subsurface_Inputs!$C$43+2*SIN(2*PI()*A233/42)</x:f>
        <x:v>-13.198062264195162</x:v>
      </x:c>
      <x:c r="J233" s="25" t="n">
        <x:v>0</x:v>
      </x:c>
    </x:row>
    <x:row r="234">
      <x:c r="A234" s="25" t="n">
        <x:f>Subsurface_Live_Data!A234</x:f>
        <x:v>56</x:v>
      </x:c>
      <x:c r="B234" s="25" t="n">
        <x:f>Subsurface_Live_Data!K234</x:f>
        <x:v>14593.125138126077</x:v>
      </x:c>
      <x:c r="C234" s="25" t="n">
        <x:f>MAX(0,B234-Subsurface_Inputs!$C$44)</x:f>
        <x:v>13093.125138126077</x:v>
      </x:c>
      <x:c r="D234" s="25" t="n">
        <x:f>B234+Subsurface_Inputs!$C$44</x:f>
        <x:v>16093.125138126077</x:v>
      </x:c>
      <x:c r="E234" s="25" t="n">
        <x:f>B234*Subsurface_Inputs!$C$45</x:f>
        <x:v>8026.218825969343</x:v>
      </x:c>
      <x:c r="F234" s="25" t="n">
        <x:f>B234</x:f>
        <x:v>14593.125138126077</x:v>
      </x:c>
      <x:c r="G234" s="25" t="n">
        <x:f>B234*Subsurface_Inputs!$C$46</x:f>
        <x:v>25537.968991720634</x:v>
      </x:c>
      <x:c r="H234" s="25" t="n">
        <x:f>Subsurface_Live_Data!Y234</x:f>
        <x:v>11.309429167380237</x:v>
      </x:c>
      <x:c r="I234" s="25" t="n">
        <x:f>Subsurface_Inputs!$C$47-Subsurface_Inputs!$C$43+2*SIN(2*PI()*A234/42)</x:f>
        <x:v>-13.267949192431121</x:v>
      </x:c>
      <x:c r="J234" s="25" t="n">
        <x:v>0</x:v>
      </x:c>
    </x:row>
    <x:row r="235">
      <x:c r="A235" s="25" t="n">
        <x:f>Subsurface_Live_Data!A235</x:f>
        <x:v>56.5</x:v>
      </x:c>
      <x:c r="B235" s="25" t="n">
        <x:f>Subsurface_Live_Data!K235</x:f>
        <x:v>14595.45983017993</x:v>
      </x:c>
      <x:c r="C235" s="25" t="n">
        <x:f>MAX(0,B235-Subsurface_Inputs!$C$44)</x:f>
        <x:v>13095.45983017993</x:v>
      </x:c>
      <x:c r="D235" s="25" t="n">
        <x:f>B235+Subsurface_Inputs!$C$44</x:f>
        <x:v>16095.45983017993</x:v>
      </x:c>
      <x:c r="E235" s="25" t="n">
        <x:f>B235*Subsurface_Inputs!$C$45</x:f>
        <x:v>8027.502906598963</x:v>
      </x:c>
      <x:c r="F235" s="25" t="n">
        <x:f>B235</x:f>
        <x:v>14595.45983017993</x:v>
      </x:c>
      <x:c r="G235" s="25" t="n">
        <x:f>B235*Subsurface_Inputs!$C$46</x:f>
        <x:v>25542.05470281488</x:v>
      </x:c>
      <x:c r="H235" s="25" t="n">
        <x:f>Subsurface_Live_Data!Y235</x:f>
        <x:v>11.301898613026317</x:v>
      </x:c>
      <x:c r="I235" s="25" t="n">
        <x:f>Subsurface_Inputs!$C$47-Subsurface_Inputs!$C$43+2*SIN(2*PI()*A235/42)</x:f>
        <x:v>-13.347522451368011</x:v>
      </x:c>
      <x:c r="J235" s="25" t="n">
        <x:v>0</x:v>
      </x:c>
    </x:row>
    <x:row r="236">
      <x:c r="A236" s="25" t="n">
        <x:f>Subsurface_Live_Data!A236</x:f>
        <x:v>57</x:v>
      </x:c>
      <x:c r="B236" s="25" t="n">
        <x:f>Subsurface_Live_Data!K236</x:f>
        <x:v>14596.845934459488</x:v>
      </x:c>
      <x:c r="C236" s="25" t="n">
        <x:f>MAX(0,B236-Subsurface_Inputs!$C$44)</x:f>
        <x:v>13096.845934459488</x:v>
      </x:c>
      <x:c r="D236" s="25" t="n">
        <x:f>B236+Subsurface_Inputs!$C$44</x:f>
        <x:v>16096.845934459488</x:v>
      </x:c>
      <x:c r="E236" s="25" t="n">
        <x:f>B236*Subsurface_Inputs!$C$45</x:f>
        <x:v>8028.26526395272</x:v>
      </x:c>
      <x:c r="F236" s="25" t="n">
        <x:f>B236</x:f>
        <x:v>14596.845934459488</x:v>
      </x:c>
      <x:c r="G236" s="25" t="n">
        <x:f>B236*Subsurface_Inputs!$C$46</x:f>
        <x:v>25544.480385304105</x:v>
      </x:c>
      <x:c r="H236" s="25" t="n">
        <x:f>Subsurface_Live_Data!Y236</x:f>
        <x:v>11.262492360753157</x:v>
      </x:c>
      <x:c r="I236" s="25" t="n">
        <x:f>Subsurface_Inputs!$C$47-Subsurface_Inputs!$C$43+2*SIN(2*PI()*A236/42)</x:f>
        <x:v>-13.43633703506394</x:v>
      </x:c>
      <x:c r="J236" s="25" t="n">
        <x:v>0</x:v>
      </x:c>
    </x:row>
    <x:row r="237">
      <x:c r="A237" s="25" t="n">
        <x:f>Subsurface_Live_Data!A237</x:f>
        <x:v>57.5</x:v>
      </x:c>
      <x:c r="B237" s="25" t="n">
        <x:f>Subsurface_Live_Data!K237</x:f>
        <x:v>14602.914420845136</x:v>
      </x:c>
      <x:c r="C237" s="25" t="n">
        <x:f>MAX(0,B237-Subsurface_Inputs!$C$44)</x:f>
        <x:v>13102.914420845136</x:v>
      </x:c>
      <x:c r="D237" s="25" t="n">
        <x:f>B237+Subsurface_Inputs!$C$44</x:f>
        <x:v>16102.914420845136</x:v>
      </x:c>
      <x:c r="E237" s="25" t="n">
        <x:f>B237*Subsurface_Inputs!$C$45</x:f>
        <x:v>8031.602931464826</x:v>
      </x:c>
      <x:c r="F237" s="25" t="n">
        <x:f>B237</x:f>
        <x:v>14602.914420845136</x:v>
      </x:c>
      <x:c r="G237" s="25" t="n">
        <x:f>B237*Subsurface_Inputs!$C$46</x:f>
        <x:v>25555.10023647899</x:v>
      </x:c>
      <x:c r="H237" s="25" t="n">
        <x:f>Subsurface_Live_Data!Y237</x:f>
        <x:v>11.365470361125247</x:v>
      </x:c>
      <x:c r="I237" s="25" t="n">
        <x:f>Subsurface_Inputs!$C$47-Subsurface_Inputs!$C$43+2*SIN(2*PI()*A237/42)</x:f>
        <x:v>-13.533896256340348</x:v>
      </x:c>
      <x:c r="J237" s="25" t="n">
        <x:v>0</x:v>
      </x:c>
    </x:row>
    <x:row r="238">
      <x:c r="A238" s="25" t="n">
        <x:f>Subsurface_Live_Data!A238</x:f>
        <x:v>58</x:v>
      </x:c>
      <x:c r="B238" s="25" t="n">
        <x:f>Subsurface_Live_Data!K238</x:f>
        <x:v>14603.596271830193</x:v>
      </x:c>
      <x:c r="C238" s="25" t="n">
        <x:f>MAX(0,B238-Subsurface_Inputs!$C$44)</x:f>
        <x:v>13103.596271830193</x:v>
      </x:c>
      <x:c r="D238" s="25" t="n">
        <x:f>B238+Subsurface_Inputs!$C$44</x:f>
        <x:v>16103.596271830193</x:v>
      </x:c>
      <x:c r="E238" s="25" t="n">
        <x:f>B238*Subsurface_Inputs!$C$45</x:f>
        <x:v>8031.977949506607</x:v>
      </x:c>
      <x:c r="F238" s="25" t="n">
        <x:f>B238</x:f>
        <x:v>14603.596271830193</x:v>
      </x:c>
      <x:c r="G238" s="25" t="n">
        <x:f>B238*Subsurface_Inputs!$C$46</x:f>
        <x:v>25556.293475702838</x:v>
      </x:c>
      <x:c r="H238" s="25" t="n">
        <x:f>Subsurface_Live_Data!Y238</x:f>
        <x:v>11.301970156879626</x:v>
      </x:c>
      <x:c r="I238" s="25" t="n">
        <x:f>Subsurface_Inputs!$C$47-Subsurface_Inputs!$C$43+2*SIN(2*PI()*A238/42)</x:f>
        <x:v>-13.639654524458162</x:v>
      </x:c>
      <x:c r="J238" s="25" t="n">
        <x:v>0</x:v>
      </x:c>
    </x:row>
    <x:row r="239">
      <x:c r="A239" s="25" t="n">
        <x:f>Subsurface_Live_Data!A239</x:f>
        <x:v>58.5</x:v>
      </x:c>
      <x:c r="B239" s="25" t="n">
        <x:f>Subsurface_Live_Data!K239</x:f>
        <x:v>14607.412196224737</x:v>
      </x:c>
      <x:c r="C239" s="25" t="n">
        <x:f>MAX(0,B239-Subsurface_Inputs!$C$44)</x:f>
        <x:v>13107.412196224737</x:v>
      </x:c>
      <x:c r="D239" s="25" t="n">
        <x:f>B239+Subsurface_Inputs!$C$44</x:f>
        <x:v>16107.412196224737</x:v>
      </x:c>
      <x:c r="E239" s="25" t="n">
        <x:f>B239*Subsurface_Inputs!$C$45</x:f>
        <x:v>8034.076707923607</x:v>
      </x:c>
      <x:c r="F239" s="25" t="n">
        <x:f>B239</x:f>
        <x:v>14607.412196224737</x:v>
      </x:c>
      <x:c r="G239" s="25" t="n">
        <x:f>B239*Subsurface_Inputs!$C$46</x:f>
        <x:v>25562.971343393292</x:v>
      </x:c>
      <x:c r="H239" s="25" t="n">
        <x:f>Subsurface_Live_Data!Y239</x:f>
        <x:v>11.335147442684978</x:v>
      </x:c>
      <x:c r="I239" s="25" t="n">
        <x:f>Subsurface_Inputs!$C$47-Subsurface_Inputs!$C$43+2*SIN(2*PI()*A239/42)</x:f>
        <x:v>-13.753020396282533</x:v>
      </x:c>
      <x:c r="J239" s="25" t="n">
        <x:v>0</x:v>
      </x:c>
    </x:row>
    <x:row r="240">
      <x:c r="A240" s="25" t="n">
        <x:f>Subsurface_Live_Data!A240</x:f>
        <x:v>59</x:v>
      </x:c>
      <x:c r="B240" s="25" t="n">
        <x:f>Subsurface_Live_Data!K240</x:f>
        <x:v>14609.562196914056</x:v>
      </x:c>
      <x:c r="C240" s="25" t="n">
        <x:f>MAX(0,B240-Subsurface_Inputs!$C$44)</x:f>
        <x:v>13109.562196914056</x:v>
      </x:c>
      <x:c r="D240" s="25" t="n">
        <x:f>B240+Subsurface_Inputs!$C$44</x:f>
        <x:v>16109.562196914056</x:v>
      </x:c>
      <x:c r="E240" s="25" t="n">
        <x:f>B240*Subsurface_Inputs!$C$45</x:f>
        <x:v>8035.259208302731</x:v>
      </x:c>
      <x:c r="F240" s="25" t="n">
        <x:f>B240</x:f>
        <x:v>14609.562196914056</x:v>
      </x:c>
      <x:c r="G240" s="25" t="n">
        <x:f>B240*Subsurface_Inputs!$C$46</x:f>
        <x:v>25566.7338445996</x:v>
      </x:c>
      <x:c r="H240" s="25" t="n">
        <x:f>Subsurface_Live_Data!Y240</x:f>
        <x:v>11.318243607930299</x:v>
      </x:c>
      <x:c r="I240" s="25" t="n">
        <x:f>Subsurface_Inputs!$C$47-Subsurface_Inputs!$C$43+2*SIN(2*PI()*A240/42)</x:f>
        <x:v>-13.873359883872755</x:v>
      </x:c>
      <x:c r="J240" s="25" t="n">
        <x:v>0</x:v>
      </x:c>
    </x:row>
    <x:row r="241">
      <x:c r="A241" s="25" t="n">
        <x:f>Subsurface_Live_Data!A241</x:f>
        <x:v>59.5</x:v>
      </x:c>
      <x:c r="B241" s="25" t="n">
        <x:f>Subsurface_Live_Data!K241</x:f>
        <x:v>14615.862307364549</x:v>
      </x:c>
      <x:c r="C241" s="25" t="n">
        <x:f>MAX(0,B241-Subsurface_Inputs!$C$44)</x:f>
        <x:v>13115.862307364549</x:v>
      </x:c>
      <x:c r="D241" s="25" t="n">
        <x:f>B241+Subsurface_Inputs!$C$44</x:f>
        <x:v>16115.862307364549</x:v>
      </x:c>
      <x:c r="E241" s="25" t="n">
        <x:f>B241*Subsurface_Inputs!$C$45</x:f>
        <x:v>8038.724269050503</x:v>
      </x:c>
      <x:c r="F241" s="25" t="n">
        <x:f>B241</x:f>
        <x:v>14615.862307364549</x:v>
      </x:c>
      <x:c r="G241" s="25" t="n">
        <x:f>B241*Subsurface_Inputs!$C$46</x:f>
        <x:v>25577.75903788796</x:v>
      </x:c>
      <x:c r="H241" s="25" t="n">
        <x:f>Subsurface_Live_Data!Y241</x:f>
        <x:v>11.431150496537299</x:v>
      </x:c>
      <x:c r="I241" s="25" t="n">
        <x:f>Subsurface_Inputs!$C$47-Subsurface_Inputs!$C$43+2*SIN(2*PI()*A241/42)</x:f>
        <x:v>-13.999999999999996</x:v>
      </x:c>
      <x:c r="J241" s="25" t="n">
        <x:v>0</x:v>
      </x:c>
    </x:row>
    <x:row r="242">
      <x:c r="A242" s="25" t="n">
        <x:f>Subsurface_Live_Data!A242</x:f>
        <x:v>60</x:v>
      </x:c>
      <x:c r="B242" s="25" t="n">
        <x:f>Subsurface_Live_Data!K242</x:f>
        <x:v>14617.138727886955</x:v>
      </x:c>
      <x:c r="C242" s="25" t="n">
        <x:f>MAX(0,B242-Subsurface_Inputs!$C$44)</x:f>
        <x:v>13117.138727886955</x:v>
      </x:c>
      <x:c r="D242" s="25" t="n">
        <x:f>B242+Subsurface_Inputs!$C$44</x:f>
        <x:v>16117.138727886955</x:v>
      </x:c>
      <x:c r="E242" s="25" t="n">
        <x:f>B242*Subsurface_Inputs!$C$45</x:f>
        <x:v>8039.426300337826</x:v>
      </x:c>
      <x:c r="F242" s="25" t="n">
        <x:f>B242</x:f>
        <x:v>14617.138727886955</x:v>
      </x:c>
      <x:c r="G242" s="25" t="n">
        <x:f>B242*Subsurface_Inputs!$C$46</x:f>
        <x:v>25579.992773802172</x:v>
      </x:c>
      <x:c r="H242" s="25" t="n">
        <x:f>Subsurface_Live_Data!Y242</x:f>
        <x:v>11.392478642603344</x:v>
      </x:c>
      <x:c r="I242" s="25" t="n">
        <x:f>Subsurface_Inputs!$C$47-Subsurface_Inputs!$C$43+2*SIN(2*PI()*A242/42)</x:f>
        <x:v>-14.132232521764884</x:v>
      </x:c>
      <x:c r="J242" s="25" t="n">
        <x:v>0</x:v>
      </x:c>
    </x:row>
  </x:sheetData>
  <x:pageMargins left="0.7" right="0.7" top="0.75" bottom="0.75" header="0.3" footer="0.3"/>
</x:worksheet>
</file>

<file path=xl/worksheets/sheet10.xml><?xml version="1.0" encoding="utf-8"?>
<x:worksheet xmlns:x="http://schemas.openxmlformats.org/spreadsheetml/2006/main">
  <x:sheetFormatPr baseColWidth="8" defaultRowHeight="13.800000190734863"/>
  <x:cols>
    <x:col min="1" max="1" width="30" style="73" customWidth="1"/>
    <x:col min="2" max="2" width="22" style="73" customWidth="1"/>
    <x:col min="3" max="3" width="16" style="73" customWidth="1"/>
    <x:col min="4" max="4" width="22" style="73" customWidth="1"/>
    <x:col min="5" max="5" width="56" style="73" customWidth="1"/>
    <x:col min="7" max="7" width="16" style="73" customWidth="1"/>
    <x:col min="8" max="8" width="26" style="73" customWidth="1"/>
    <x:col min="9" max="9" width="16" style="73" customWidth="1"/>
    <x:col min="10" max="10" width="24" style="73" customWidth="1"/>
  </x:cols>
  <x:sheetData>
    <x:row r="1" s="73" customFormat="1" ht="41.400001525878906" customHeight="1">
      <x:c r="A1" s="23" t="inlineStr">
        <x:is>
          <x:t xml:space="preserve">Material / interface</x:t>
        </x:is>
      </x:c>
      <x:c r="B1" s="23" t="inlineStr">
        <x:is>
          <x:t xml:space="preserve">Reflection strength before depth loss (dB)</x:t>
        </x:is>
      </x:c>
      <x:c r="C1" s="23" t="inlineStr">
        <x:is>
          <x:t xml:space="preserve">One-way attenuation (dB/km)</x:t>
        </x:is>
      </x:c>
      <x:c r="D1" s="23" t="inlineStr">
        <x:is>
          <x:t xml:space="preserve">Why it matters</x:t>
        </x:is>
      </x:c>
      <x:c r="G1" s="31" t="inlineStr">
        <x:is>
          <x:t xml:space="preserve">material_index</x:t>
        </x:is>
      </x:c>
      <x:c r="H1" s="31" t="inlineStr">
        <x:is>
          <x:t xml:space="preserve">material_reflection_strength_db</x:t>
        </x:is>
      </x:c>
      <x:c r="I1" s="31" t="inlineStr">
        <x:is>
          <x:t xml:space="preserve">evidence_index</x:t>
        </x:is>
      </x:c>
      <x:c r="J1" s="31" t="inlineStr">
        <x:is>
          <x:t xml:space="preserve">evidence_support_score</x:t>
        </x:is>
      </x:c>
    </x:row>
    <x:row r="2" s="73" customFormat="1" ht="27.600000381469727" customHeight="1">
      <x:c r="A2" s="25" t="inlineStr">
        <x:is>
          <x:t xml:space="preserve">Cold clean ice layer</x:t>
        </x:is>
      </x:c>
      <x:c r="B2" s="25" t="n">
        <x:v>-18</x:v>
      </x:c>
      <x:c r="C2" s="25" t="n">
        <x:v>0.5</x:v>
      </x:c>
      <x:c r="D2" s="25" t="inlineStr">
        <x:is>
          <x:t xml:space="preserve">Weak internal contrast; often harder to see.</x:t>
        </x:is>
      </x:c>
      <x:c r="G2" t="n">
        <x:v>1</x:v>
      </x:c>
      <x:c r="H2" t="n">
        <x:f>B2</x:f>
        <x:v>-18</x:v>
      </x:c>
    </x:row>
    <x:row r="3" s="73" customFormat="1" ht="41.400001525878906" customHeight="1">
      <x:c r="A3" s="25" t="inlineStr">
        <x:is>
          <x:t xml:space="preserve">Warmer ice boundary</x:t>
        </x:is>
      </x:c>
      <x:c r="B3" s="25" t="n">
        <x:v>-14</x:v>
      </x:c>
      <x:c r="C3" s="25" t="n">
        <x:v>0.8</x:v>
      </x:c>
      <x:c r="D3" s="25" t="inlineStr">
        <x:is>
          <x:t xml:space="preserve">Temperature/structure contrast can strengthen a reflector.</x:t>
        </x:is>
      </x:c>
      <x:c r="G3" t="n">
        <x:v>2</x:v>
      </x:c>
      <x:c r="H3" t="n">
        <x:f>B3</x:f>
        <x:v>-14</x:v>
      </x:c>
    </x:row>
    <x:row r="4" s="73" customFormat="1" ht="41.400001525878906" customHeight="1">
      <x:c r="A4" s="25" t="inlineStr">
        <x:is>
          <x:t xml:space="preserve">Dirty/salty ice layer</x:t>
        </x:is>
      </x:c>
      <x:c r="B4" s="25" t="n">
        <x:v>-10</x:v>
      </x:c>
      <x:c r="C4" s="25" t="n">
        <x:v>1.2</x:v>
      </x:c>
      <x:c r="D4" s="25" t="inlineStr">
        <x:is>
          <x:t xml:space="preserve">Impurities can create stronger dielectric contrast and more loss.</x:t>
        </x:is>
      </x:c>
      <x:c r="G4" t="n">
        <x:v>3</x:v>
      </x:c>
      <x:c r="H4" t="n">
        <x:f>B4</x:f>
        <x:v>-10</x:v>
      </x:c>
    </x:row>
    <x:row r="5" s="73" customFormat="1" ht="27.600000381469727" customHeight="1">
      <x:c r="A5" s="25" t="inlineStr">
        <x:is>
          <x:t xml:space="preserve">Briny pocket/lens</x:t>
        </x:is>
      </x:c>
      <x:c r="B5" s="25" t="n">
        <x:v>-6</x:v>
      </x:c>
      <x:c r="C5" s="25" t="n">
        <x:v>2</x:v>
      </x:c>
      <x:c r="D5" s="25" t="inlineStr">
        <x:is>
          <x:t xml:space="preserve">High contrast but can be lossy.</x:t>
        </x:is>
      </x:c>
      <x:c r="G5" t="n">
        <x:v>4</x:v>
      </x:c>
      <x:c r="H5" t="n">
        <x:f>B5</x:f>
        <x:v>-6</x:v>
      </x:c>
    </x:row>
    <x:row r="6" s="73" customFormat="1" ht="27.600000381469727" customHeight="1">
      <x:c r="A6" s="25" t="inlineStr">
        <x:is>
          <x:t xml:space="preserve">Liquid salty ocean boundary</x:t>
        </x:is>
      </x:c>
      <x:c r="B6" s="25" t="n">
        <x:v>-2</x:v>
      </x:c>
      <x:c r="C6" s="25" t="n">
        <x:v>0</x:v>
      </x:c>
      <x:c r="D6" s="25" t="inlineStr">
        <x:is>
          <x:t xml:space="preserve">Strong material contrast at the bottom boundary.</x:t>
        </x:is>
      </x:c>
      <x:c r="G6" t="n">
        <x:v>5</x:v>
      </x:c>
      <x:c r="H6" t="n">
        <x:f>B6</x:f>
        <x:v>-2</x:v>
      </x:c>
    </x:row>
    <x:row r="9">
      <x:c r="A9" s="23" t="inlineStr">
        <x:is>
          <x:t xml:space="preserve">Evidence source</x:t>
        </x:is>
      </x:c>
      <x:c r="B9" s="23" t="inlineStr">
        <x:is>
          <x:t xml:space="preserve">Support score (%)</x:t>
        </x:is>
      </x:c>
      <x:c r="C9" s="23" t="inlineStr">
        <x:is>
          <x:t xml:space="preserve">Weight (%)</x:t>
        </x:is>
      </x:c>
      <x:c r="D9" s="23" t="inlineStr">
        <x:is>
          <x:t xml:space="preserve">Weighted contribution</x:t>
        </x:is>
      </x:c>
      <x:c r="E9" s="23" t="inlineStr">
        <x:is>
          <x:t xml:space="preserve">Notes</x:t>
        </x:is>
      </x:c>
    </x:row>
    <x:row r="10">
      <x:c r="A10" s="25" t="inlineStr">
        <x:is>
          <x:t xml:space="preserve">Radar sounding</x:t>
        </x:is>
      </x:c>
      <x:c r="B10" s="25" t="n">
        <x:f>Subsurface_Inputs!$C$48</x:f>
        <x:v>55</x:v>
      </x:c>
      <x:c r="C10" s="25" t="n">
        <x:f>Subsurface_Inputs!$C$52</x:f>
        <x:v>40</x:v>
      </x:c>
      <x:c r="D10" s="25" t="n">
        <x:f>B10*C10/100</x:f>
        <x:v>22</x:v>
      </x:c>
      <x:c r="E10" s="25" t="inlineStr">
        <x:is>
          <x:t xml:space="preserve">REASON-like radar structure support.</x:t>
        </x:is>
      </x:c>
      <x:c r="I10" t="n">
        <x:v>1</x:v>
      </x:c>
      <x:c r="J10" t="n">
        <x:f>B10</x:f>
        <x:v>55</x:v>
      </x:c>
    </x:row>
    <x:row r="11">
      <x:c r="A11" s="25" t="inlineStr">
        <x:is>
          <x:t xml:space="preserve">Thermal context</x:t>
        </x:is>
      </x:c>
      <x:c r="B11" s="25" t="n">
        <x:f>Subsurface_Inputs!$C$49</x:f>
        <x:v>35</x:v>
      </x:c>
      <x:c r="C11" s="25" t="n">
        <x:f>Subsurface_Inputs!$C$53</x:f>
        <x:v>20</x:v>
      </x:c>
      <x:c r="D11" s="25" t="n">
        <x:f>B11*C11/100</x:f>
        <x:v>7</x:v>
      </x:c>
      <x:c r="E11" s="25" t="inlineStr">
        <x:is>
          <x:t xml:space="preserve">E-THEMIS-style warm-region support.</x:t>
        </x:is>
      </x:c>
      <x:c r="I11" t="n">
        <x:v>2</x:v>
      </x:c>
      <x:c r="J11" t="n">
        <x:f>B11</x:f>
        <x:v>35</x:v>
      </x:c>
    </x:row>
    <x:row r="12">
      <x:c r="A12" s="25" t="inlineStr">
        <x:is>
          <x:t xml:space="preserve">Surface composition</x:t>
        </x:is>
      </x:c>
      <x:c r="B12" s="25" t="n">
        <x:f>Subsurface_Inputs!$C$50</x:f>
        <x:v>40</x:v>
      </x:c>
      <x:c r="C12" s="25" t="n">
        <x:f>Subsurface_Inputs!$C$54</x:f>
        <x:v>20</x:v>
      </x:c>
      <x:c r="D12" s="25" t="n">
        <x:f>B12*C12/100</x:f>
        <x:v>8</x:v>
      </x:c>
      <x:c r="E12" s="25" t="inlineStr">
        <x:is>
          <x:t xml:space="preserve">MISE-style salts/ice/organics support.</x:t>
        </x:is>
      </x:c>
      <x:c r="I12" t="n">
        <x:v>3</x:v>
      </x:c>
      <x:c r="J12" t="n">
        <x:f>B12</x:f>
        <x:v>40</x:v>
      </x:c>
    </x:row>
    <x:row r="13">
      <x:c r="A13" s="25" t="inlineStr">
        <x:is>
          <x:t xml:space="preserve">Magnetic/plasma ocean support</x:t>
        </x:is>
      </x:c>
      <x:c r="B13" s="25" t="n">
        <x:f>Subsurface_Inputs!$C$51</x:f>
        <x:v>50</x:v>
      </x:c>
      <x:c r="C13" s="25" t="n">
        <x:f>Subsurface_Inputs!$C$55</x:f>
        <x:v>20</x:v>
      </x:c>
      <x:c r="D13" s="25" t="n">
        <x:f>B13*C13/100</x:f>
        <x:v>10</x:v>
      </x:c>
      <x:c r="E13" s="25" t="inlineStr">
        <x:is>
          <x:t xml:space="preserve">ECM/PIMS-style ocean support.</x:t>
        </x:is>
      </x:c>
      <x:c r="I13" t="n">
        <x:v>4</x:v>
      </x:c>
      <x:c r="J13" t="n">
        <x:f>B13</x:f>
        <x:v>50</x:v>
      </x:c>
    </x:row>
    <x:row r="14">
      <x:c r="A14" s="25" t="inlineStr">
        <x:is>
          <x:t xml:space="preserve">Total weighted support</x:t>
        </x:is>
      </x:c>
      <x:c r="B14" s="25" t="n"/>
      <x:c r="C14" s="25" t="n">
        <x:f>SUM(C10:C13)</x:f>
        <x:v>100</x:v>
      </x:c>
      <x:c r="D14" s="25" t="n">
        <x:f>SUM(D10:D13)/MAX(1,C14)*100</x:f>
        <x:v>47</x:v>
      </x:c>
      <x:c r="E14" s="25" t="inlineStr">
        <x:is>
          <x:t xml:space="preserve">Combined evidence score.</x:t>
        </x:is>
      </x:c>
    </x:row>
  </x:sheetData>
  <x:pageMargins left="0.7" right="0.7" top="0.75" bottom="0.75" header="0.3" footer="0.3"/>
</x:worksheet>
</file>

<file path=xl/worksheets/sheet11.xml><?xml version="1.0" encoding="utf-8"?>
<x:worksheet xmlns:x="http://schemas.openxmlformats.org/spreadsheetml/2006/main">
  <x:sheetFormatPr baseColWidth="8" defaultRowHeight="13.800000190734863"/>
  <x:cols>
    <x:col min="1" max="7" width="22" style="73" customWidth="1"/>
  </x:cols>
  <x:sheetData>
    <x:row r="1" s="73" customFormat="1" ht="27.600000381469727" customHeight="1">
      <x:c r="A1" s="23" t="inlineStr">
        <x:is>
          <x:t xml:space="preserve">x_km</x:t>
        </x:is>
      </x:c>
      <x:c r="B1" s="23" t="inlineStr">
        <x:is>
          <x:t xml:space="preserve">surface_clutter_lower_us</x:t>
        </x:is>
      </x:c>
      <x:c r="C1" s="23" t="inlineStr">
        <x:is>
          <x:t xml:space="preserve">surface_clutter_upper_us</x:t>
        </x:is>
      </x:c>
      <x:c r="D1" s="23" t="inlineStr">
        <x:is>
          <x:t xml:space="preserve">shallow_return_delay_with_jitter_us</x:t>
        </x:is>
      </x:c>
      <x:c r="E1" s="23" t="inlineStr">
        <x:is>
          <x:t xml:space="preserve">lens_return_delay_with_jitter_us</x:t>
        </x:is>
      </x:c>
      <x:c r="F1" s="23" t="inlineStr">
        <x:is>
          <x:t xml:space="preserve">ocean_return_delay_with_jitter_us</x:t>
        </x:is>
      </x:c>
      <x:c r="G1" s="23" t="inlineStr">
        <x:is>
          <x:t xml:space="preserve">noise_floor_proxy</x:t>
        </x:is>
      </x:c>
    </x:row>
    <x:row r="2">
      <x:c r="A2" s="25" t="n">
        <x:f>Subsurface_Live_Data!A2</x:f>
        <x:v>-60</x:v>
      </x:c>
      <x:c r="B2" s="25" t="n">
        <x:v>0</x:v>
      </x:c>
      <x:c r="C2" s="25" t="n">
        <x:f>Subsurface_Inputs!$C$57+1.5*SIN(2*PI()*A2/35)</x:f>
        <x:v>13.462391868272736</x:v>
      </x:c>
      <x:c r="D2" s="25" t="n">
        <x:f>Subsurface_Live_Data!M2+Subsurface_Inputs!$C$56*SIN(2*PI()*A2/31)</x:f>
        <x:v>11.833217134323283</x:v>
      </x:c>
      <x:c r="E2" s="25" t="str">
        <x:f>IF(Subsurface_Live_Data!H2&gt;=Subsurface_Inputs!$C$42,Subsurface_Live_Data!N2+Subsurface_Inputs!$C$56*SIN(2*PI()*A2/27),"")</x:f>
      </x:c>
      <x:c r="F2" s="25" t="n">
        <x:f>Subsurface_Live_Data!O2+Subsurface_Inputs!$C$56*SIN(2*PI()*A2/47)</x:f>
        <x:v>171.16200481596744</x:v>
      </x:c>
      <x:c r="G2" s="25" t="n">
        <x:f>-55+3*SIN(2*PI()*A2/19)</x:f>
        <x:v>-57.51149943478758</x:v>
      </x:c>
    </x:row>
    <x:row r="3">
      <x:c r="A3" s="25" t="n">
        <x:f>Subsurface_Live_Data!A3</x:f>
        <x:v>-59.5</x:v>
      </x:c>
      <x:c r="B3" s="25" t="n">
        <x:v>0</x:v>
      </x:c>
      <x:c r="C3" s="25" t="n">
        <x:f>Subsurface_Inputs!$C$57+1.5*SIN(2*PI()*A3/35)</x:f>
        <x:v>13.42658477444273</x:v>
      </x:c>
      <x:c r="D3" s="25" t="n">
        <x:f>Subsurface_Live_Data!M3+Subsurface_Inputs!$C$56*SIN(2*PI()*A3/31)</x:f>
        <x:v>11.96622916929907</x:v>
      </x:c>
      <x:c r="E3" s="25" t="str">
        <x:f>IF(Subsurface_Live_Data!H3&gt;=Subsurface_Inputs!$C$42,Subsurface_Live_Data!N3+Subsurface_Inputs!$C$56*SIN(2*PI()*A3/27),"")</x:f>
      </x:c>
      <x:c r="F3" s="25" t="n">
        <x:f>Subsurface_Live_Data!O3+Subsurface_Inputs!$C$56*SIN(2*PI()*A3/47)</x:f>
        <x:v>171.27241434932014</x:v>
      </x:c>
      <x:c r="G3" s="25" t="n">
        <x:f>-55+3*SIN(2*PI()*A3/19)</x:f>
        <x:v>-57.2071717320194</x:v>
      </x:c>
    </x:row>
    <x:row r="4">
      <x:c r="A4" s="25" t="n">
        <x:f>Subsurface_Live_Data!A4</x:f>
        <x:v>-59</x:v>
      </x:c>
      <x:c r="B4" s="25" t="n">
        <x:v>0</x:v>
      </x:c>
      <x:c r="C4" s="25" t="n">
        <x:f>Subsurface_Inputs!$C$57+1.5*SIN(2*PI()*A4/35)</x:f>
        <x:v>13.379291658827176</x:v>
      </x:c>
      <x:c r="D4" s="25" t="n">
        <x:f>Subsurface_Live_Data!M4+Subsurface_Inputs!$C$56*SIN(2*PI()*A4/31)</x:f>
        <x:v>12.117922338400662</x:v>
      </x:c>
      <x:c r="E4" s="25" t="str">
        <x:f>IF(Subsurface_Live_Data!H4&gt;=Subsurface_Inputs!$C$42,Subsurface_Live_Data!N4+Subsurface_Inputs!$C$56*SIN(2*PI()*A4/27),"")</x:f>
      </x:c>
      <x:c r="F4" s="25" t="n">
        <x:f>Subsurface_Live_Data!O4+Subsurface_Inputs!$C$56*SIN(2*PI()*A4/47)</x:f>
        <x:v>171.36750838193723</x:v>
      </x:c>
      <x:c r="G4" s="25" t="n">
        <x:f>-55+3*SIN(2*PI()*A4/19)</x:f>
        <x:v>-56.842638138069</x:v>
      </x:c>
    </x:row>
    <x:row r="5">
      <x:c r="A5" s="25" t="n">
        <x:f>Subsurface_Live_Data!A5</x:f>
        <x:v>-58.5</x:v>
      </x:c>
      <x:c r="B5" s="25" t="n">
        <x:v>0</x:v>
      </x:c>
      <x:c r="C5" s="25" t="n">
        <x:f>Subsurface_Inputs!$C$57+1.5*SIN(2*PI()*A5/35)</x:f>
        <x:v>13.320893297785107</x:v>
      </x:c>
      <x:c r="D5" s="25" t="n">
        <x:f>Subsurface_Live_Data!M5+Subsurface_Inputs!$C$56*SIN(2*PI()*A5/31)</x:f>
        <x:v>12.291269268907246</x:v>
      </x:c>
      <x:c r="E5" s="25" t="str">
        <x:f>IF(Subsurface_Live_Data!H5&gt;=Subsurface_Inputs!$C$42,Subsurface_Live_Data!N5+Subsurface_Inputs!$C$56*SIN(2*PI()*A5/27),"")</x:f>
      </x:c>
      <x:c r="F5" s="25" t="n">
        <x:f>Subsurface_Live_Data!O5+Subsurface_Inputs!$C$56*SIN(2*PI()*A5/47)</x:f>
        <x:v>171.43363762532118</x:v>
      </x:c>
      <x:c r="G5" s="25" t="n">
        <x:f>-55+3*SIN(2*PI()*A5/19)</x:f>
        <x:v>-56.42784217911122</x:v>
      </x:c>
    </x:row>
    <x:row r="6">
      <x:c r="A6" s="25" t="n">
        <x:f>Subsurface_Live_Data!A6</x:f>
        <x:v>-58</x:v>
      </x:c>
      <x:c r="B6" s="25" t="n">
        <x:v>0</x:v>
      </x:c>
      <x:c r="C6" s="25" t="n">
        <x:f>Subsurface_Inputs!$C$57+1.5*SIN(2*PI()*A6/35)</x:f>
        <x:v>13.251859880581954</x:v>
      </x:c>
      <x:c r="D6" s="25" t="n">
        <x:f>Subsurface_Live_Data!M6+Subsurface_Inputs!$C$56*SIN(2*PI()*A6/31)</x:f>
        <x:v>12.459187592157058</x:v>
      </x:c>
      <x:c r="E6" s="25" t="str">
        <x:f>IF(Subsurface_Live_Data!H6&gt;=Subsurface_Inputs!$C$42,Subsurface_Live_Data!N6+Subsurface_Inputs!$C$56*SIN(2*PI()*A6/27),"")</x:f>
      </x:c>
      <x:c r="F6" s="25" t="n">
        <x:f>Subsurface_Live_Data!O6+Subsurface_Inputs!$C$56*SIN(2*PI()*A6/47)</x:f>
        <x:v>171.5616772910373</x:v>
      </x:c>
      <x:c r="G6" s="25" t="n">
        <x:f>-55+3*SIN(2*PI()*A6/19)</x:f>
        <x:v>-55.97409840761405</x:v>
      </x:c>
    </x:row>
    <x:row r="7">
      <x:c r="A7" s="25" t="n">
        <x:f>Subsurface_Live_Data!A7</x:f>
        <x:v>-57.5</x:v>
      </x:c>
      <x:c r="B7" s="25" t="n">
        <x:v>0</x:v>
      </x:c>
      <x:c r="C7" s="25" t="n">
        <x:f>Subsurface_Inputs!$C$57+1.5*SIN(2*PI()*A7/35)</x:f>
        <x:v>13.172747223702045</x:v>
      </x:c>
      <x:c r="D7" s="25" t="n">
        <x:f>Subsurface_Live_Data!M7+Subsurface_Inputs!$C$56*SIN(2*PI()*A7/31)</x:f>
        <x:v>12.653151260857149</x:v>
      </x:c>
      <x:c r="E7" s="25" t="str">
        <x:f>IF(Subsurface_Live_Data!H7&gt;=Subsurface_Inputs!$C$42,Subsurface_Live_Data!N7+Subsurface_Inputs!$C$56*SIN(2*PI()*A7/27),"")</x:f>
      </x:c>
      <x:c r="F7" s="25" t="n">
        <x:f>Subsurface_Live_Data!O7+Subsurface_Inputs!$C$56*SIN(2*PI()*A7/47)</x:f>
        <x:v>171.63690109395728</x:v>
      </x:c>
      <x:c r="G7" s="25" t="n">
        <x:f>-55+3*SIN(2*PI()*A7/19)</x:f>
        <x:v>-55.49378377084221</x:v>
      </x:c>
    </x:row>
    <x:row r="8">
      <x:c r="A8" s="25" t="n">
        <x:f>Subsurface_Live_Data!A8</x:f>
        <x:v>-57</x:v>
      </x:c>
      <x:c r="B8" s="25" t="n">
        <x:v>0</x:v>
      </x:c>
      <x:c r="C8" s="25" t="n">
        <x:f>Subsurface_Inputs!$C$57+1.5*SIN(2*PI()*A8/35)</x:f>
        <x:v>13.084192295741087</x:v>
      </x:c>
      <x:c r="D8" s="25" t="n">
        <x:f>Subsurface_Live_Data!M8+Subsurface_Inputs!$C$56*SIN(2*PI()*A8/31)</x:f>
        <x:v>12.84637775361228</x:v>
      </x:c>
      <x:c r="E8" s="25" t="str">
        <x:f>IF(Subsurface_Live_Data!H8&gt;=Subsurface_Inputs!$C$42,Subsurface_Live_Data!N8+Subsurface_Inputs!$C$56*SIN(2*PI()*A8/27),"")</x:f>
      </x:c>
      <x:c r="F8" s="25" t="n">
        <x:f>Subsurface_Live_Data!O8+Subsurface_Inputs!$C$56*SIN(2*PI()*A8/47)</x:f>
        <x:v>171.7478525136675</x:v>
      </x:c>
      <x:c r="G8" s="25" t="n">
        <x:f>-55+3*SIN(2*PI()*A8/19)</x:f>
        <x:v>-55</x:v>
      </x:c>
    </x:row>
    <x:row r="9">
      <x:c r="A9" s="25" t="n">
        <x:f>Subsurface_Live_Data!A9</x:f>
        <x:v>-56.5</x:v>
      </x:c>
      <x:c r="B9" s="25" t="n">
        <x:v>0</x:v>
      </x:c>
      <x:c r="C9" s="25" t="n">
        <x:f>Subsurface_Inputs!$C$57+1.5*SIN(2*PI()*A9/35)</x:f>
        <x:v>12.98690808890957</x:v>
      </x:c>
      <x:c r="D9" s="25" t="n">
        <x:f>Subsurface_Live_Data!M9+Subsurface_Inputs!$C$56*SIN(2*PI()*A9/31)</x:f>
        <x:v>13.049494780557698</x:v>
      </x:c>
      <x:c r="E9" s="25" t="str">
        <x:f>IF(Subsurface_Live_Data!H9&gt;=Subsurface_Inputs!$C$42,Subsurface_Live_Data!N9+Subsurface_Inputs!$C$56*SIN(2*PI()*A9/27),"")</x:f>
      </x:c>
      <x:c r="F9" s="25" t="n">
        <x:f>Subsurface_Live_Data!O9+Subsurface_Inputs!$C$56*SIN(2*PI()*A9/47)</x:f>
        <x:v>171.85155064294082</x:v>
      </x:c>
      <x:c r="G9" s="25" t="n">
        <x:f>-55+3*SIN(2*PI()*A9/19)</x:f>
        <x:v>-54.506216229157786</x:v>
      </x:c>
    </x:row>
    <x:row r="10">
      <x:c r="A10" s="25" t="n">
        <x:f>Subsurface_Live_Data!A10</x:f>
        <x:v>-56</x:v>
      </x:c>
      <x:c r="B10" s="25" t="n">
        <x:v>0</x:v>
      </x:c>
      <x:c r="C10" s="25" t="n">
        <x:f>Subsurface_Inputs!$C$57+1.5*SIN(2*PI()*A10/35)</x:f>
        <x:v>12.881677878438708</x:v>
      </x:c>
      <x:c r="D10" s="25" t="n">
        <x:f>Subsurface_Live_Data!M10+Subsurface_Inputs!$C$56*SIN(2*PI()*A10/31)</x:f>
        <x:v>13.268490835863538</x:v>
      </x:c>
      <x:c r="E10" s="25" t="str">
        <x:f>IF(Subsurface_Live_Data!H10&gt;=Subsurface_Inputs!$C$42,Subsurface_Live_Data!N10+Subsurface_Inputs!$C$56*SIN(2*PI()*A10/27),"")</x:f>
      </x:c>
      <x:c r="F10" s="25" t="n">
        <x:f>Subsurface_Live_Data!O10+Subsurface_Inputs!$C$56*SIN(2*PI()*A10/47)</x:f>
        <x:v>171.92071512976042</x:v>
      </x:c>
      <x:c r="G10" s="25" t="n">
        <x:f>-55+3*SIN(2*PI()*A10/19)</x:f>
        <x:v>-54.02590159238594</x:v>
      </x:c>
    </x:row>
    <x:row r="11">
      <x:c r="A11" s="25" t="n">
        <x:f>Subsurface_Live_Data!A11</x:f>
        <x:v>-55.5</x:v>
      </x:c>
      <x:c r="B11" s="25" t="n">
        <x:v>0</x:v>
      </x:c>
      <x:c r="C11" s="25" t="n">
        <x:f>Subsurface_Inputs!$C$57+1.5*SIN(2*PI()*A11/35)</x:f>
        <x:v>12.769348916108859</x:v>
      </x:c>
      <x:c r="D11" s="25" t="n">
        <x:f>Subsurface_Live_Data!M11+Subsurface_Inputs!$C$56*SIN(2*PI()*A11/31)</x:f>
        <x:v>13.475919532016679</x:v>
      </x:c>
      <x:c r="E11" s="25" t="str">
        <x:f>IF(Subsurface_Live_Data!H11&gt;=Subsurface_Inputs!$C$42,Subsurface_Live_Data!N11+Subsurface_Inputs!$C$56*SIN(2*PI()*A11/27),"")</x:f>
      </x:c>
      <x:c r="F11" s="25" t="n">
        <x:f>Subsurface_Live_Data!O11+Subsurface_Inputs!$C$56*SIN(2*PI()*A11/47)</x:f>
        <x:v>172.04461489795784</x:v>
      </x:c>
      <x:c r="G11" s="25" t="n">
        <x:f>-55+3*SIN(2*PI()*A11/19)</x:f>
        <x:v>-53.572157820888776</x:v>
      </x:c>
    </x:row>
    <x:row r="12">
      <x:c r="A12" s="25" t="n">
        <x:f>Subsurface_Live_Data!A12</x:f>
        <x:v>-55</x:v>
      </x:c>
      <x:c r="B12" s="25" t="n">
        <x:v>0</x:v>
      </x:c>
      <x:c r="C12" s="25" t="n">
        <x:f>Subsurface_Inputs!$C$57+1.5*SIN(2*PI()*A12/35)</x:f>
        <x:v>12.650825608676337</x:v>
      </x:c>
      <x:c r="D12" s="25" t="n">
        <x:f>Subsurface_Live_Data!M12+Subsurface_Inputs!$C$56*SIN(2*PI()*A12/31)</x:f>
        <x:v>13.695581792774238</x:v>
      </x:c>
      <x:c r="E12" s="25" t="str">
        <x:f>IF(Subsurface_Live_Data!H12&gt;=Subsurface_Inputs!$C$42,Subsurface_Live_Data!N12+Subsurface_Inputs!$C$56*SIN(2*PI()*A12/27),"")</x:f>
      </x:c>
      <x:c r="F12" s="25" t="n">
        <x:f>Subsurface_Live_Data!O12+Subsurface_Inputs!$C$56*SIN(2*PI()*A12/47)</x:f>
        <x:v>172.13275558163733</x:v>
      </x:c>
      <x:c r="G12" s="25" t="n">
        <x:f>-55+3*SIN(2*PI()*A12/19)</x:f>
        <x:v>-53.157361861931</x:v>
      </x:c>
    </x:row>
    <x:row r="13">
      <x:c r="A13" s="25" t="n">
        <x:f>Subsurface_Live_Data!A13</x:f>
        <x:v>-54.5</x:v>
      </x:c>
      <x:c r="B13" s="25" t="n">
        <x:v>0</x:v>
      </x:c>
      <x:c r="C13" s="25" t="n">
        <x:f>Subsurface_Inputs!$C$57+1.5*SIN(2*PI()*A13/35)</x:f>
        <x:v>12.527062236122013</x:v>
      </x:c>
      <x:c r="D13" s="25" t="n">
        <x:f>Subsurface_Live_Data!M13+Subsurface_Inputs!$C$56*SIN(2*PI()*A13/31)</x:f>
        <x:v>13.91625075328307</x:v>
      </x:c>
      <x:c r="E13" s="25" t="str">
        <x:f>IF(Subsurface_Live_Data!H13&gt;=Subsurface_Inputs!$C$42,Subsurface_Live_Data!N13+Subsurface_Inputs!$C$56*SIN(2*PI()*A13/27),"")</x:f>
      </x:c>
      <x:c r="F13" s="25" t="n">
        <x:f>Subsurface_Live_Data!O13+Subsurface_Inputs!$C$56*SIN(2*PI()*A13/47)</x:f>
        <x:v>172.21692766661553</x:v>
      </x:c>
      <x:c r="G13" s="25" t="n">
        <x:f>-55+3*SIN(2*PI()*A13/19)</x:f>
        <x:v>-52.7928282679806</x:v>
      </x:c>
    </x:row>
    <x:row r="14">
      <x:c r="A14" s="25" t="n">
        <x:f>Subsurface_Live_Data!A14</x:f>
        <x:v>-54</x:v>
      </x:c>
      <x:c r="B14" s="25" t="n">
        <x:v>0</x:v>
      </x:c>
      <x:c r="C14" s="25" t="n">
        <x:f>Subsurface_Inputs!$C$57+1.5*SIN(2*PI()*A14/35)</x:f>
        <x:v>12.399055268350011</x:v>
      </x:c>
      <x:c r="D14" s="25" t="n">
        <x:f>Subsurface_Live_Data!M14+Subsurface_Inputs!$C$56*SIN(2*PI()*A14/31)</x:f>
        <x:v>14.126739869660426</x:v>
      </x:c>
      <x:c r="E14" s="25" t="str">
        <x:f>IF(Subsurface_Live_Data!H14&gt;=Subsurface_Inputs!$C$42,Subsurface_Live_Data!N14+Subsurface_Inputs!$C$56*SIN(2*PI()*A14/27),"")</x:f>
      </x:c>
      <x:c r="F14" s="25" t="n">
        <x:f>Subsurface_Live_Data!O14+Subsurface_Inputs!$C$56*SIN(2*PI()*A14/47)</x:f>
        <x:v>172.32856231891094</x:v>
      </x:c>
      <x:c r="G14" s="25" t="n">
        <x:f>-55+3*SIN(2*PI()*A14/19)</x:f>
        <x:v>-52.48850056521241</x:v>
      </x:c>
    </x:row>
    <x:row r="15">
      <x:c r="A15" s="25" t="n">
        <x:f>Subsurface_Live_Data!A15</x:f>
        <x:v>-53.5</x:v>
      </x:c>
      <x:c r="B15" s="25" t="n">
        <x:v>0</x:v>
      </x:c>
      <x:c r="C15" s="25" t="n">
        <x:f>Subsurface_Inputs!$C$57+1.5*SIN(2*PI()*A15/35)</x:f>
        <x:v>12.267835342197955</x:v>
      </x:c>
      <x:c r="D15" s="25" t="n">
        <x:f>Subsurface_Live_Data!M15+Subsurface_Inputs!$C$56*SIN(2*PI()*A15/31)</x:f>
        <x:v>14.340556915942718</x:v>
      </x:c>
      <x:c r="E15" s="25" t="str">
        <x:f>IF(Subsurface_Live_Data!H15&gt;=Subsurface_Inputs!$C$42,Subsurface_Live_Data!N15+Subsurface_Inputs!$C$56*SIN(2*PI()*A15/27),"")</x:f>
      </x:c>
      <x:c r="F15" s="25" t="n">
        <x:f>Subsurface_Live_Data!O15+Subsurface_Inputs!$C$56*SIN(2*PI()*A15/47)</x:f>
        <x:v>172.41254406183737</x:v>
      </x:c>
      <x:c r="G15" s="25" t="n">
        <x:f>-55+3*SIN(2*PI()*A15/19)</x:f>
        <x:v>-52.25268002003482</x:v>
      </x:c>
    </x:row>
    <x:row r="16">
      <x:c r="A16" s="25" t="n">
        <x:f>Subsurface_Live_Data!A16</x:f>
        <x:v>-53</x:v>
      </x:c>
      <x:c r="B16" s="25" t="n">
        <x:v>0</x:v>
      </x:c>
      <x:c r="C16" s="25" t="n">
        <x:f>Subsurface_Inputs!$C$57+1.5*SIN(2*PI()*A16/35)</x:f>
        <x:v>12.134458963355149</x:v>
      </x:c>
      <x:c r="D16" s="25" t="n">
        <x:f>Subsurface_Live_Data!M16+Subsurface_Inputs!$C$56*SIN(2*PI()*A16/31)</x:f>
        <x:v>14.541257845901676</x:v>
      </x:c>
      <x:c r="E16" s="25" t="str">
        <x:f>IF(Subsurface_Live_Data!H16&gt;=Subsurface_Inputs!$C$42,Subsurface_Live_Data!N16+Subsurface_Inputs!$C$56*SIN(2*PI()*A16/27),"")</x:f>
      </x:c>
      <x:c r="F16" s="25" t="n">
        <x:f>Subsurface_Live_Data!O16+Subsurface_Inputs!$C$56*SIN(2*PI()*A16/47)</x:f>
        <x:v>172.51857973611146</x:v>
      </x:c>
      <x:c r="G16" s="25" t="n">
        <x:f>-55+3*SIN(2*PI()*A16/19)</x:f>
        <x:v>-52.09179920218201</x:v>
      </x:c>
    </x:row>
    <x:row r="17">
      <x:c r="A17" s="25" t="n">
        <x:f>Subsurface_Live_Data!A17</x:f>
        <x:v>-52.5</x:v>
      </x:c>
      <x:c r="B17" s="25" t="n">
        <x:v>0</x:v>
      </x:c>
      <x:c r="C17" s="25" t="n">
        <x:f>Subsurface_Inputs!$C$57+1.5*SIN(2*PI()*A17/35)</x:f>
        <x:v>12</x:v>
      </x:c>
      <x:c r="D17" s="25" t="n">
        <x:f>Subsurface_Live_Data!M17+Subsurface_Inputs!$C$56*SIN(2*PI()*A17/31)</x:f>
        <x:v>14.734498792358927</x:v>
      </x:c>
      <x:c r="E17" s="25" t="str">
        <x:f>IF(Subsurface_Live_Data!H17&gt;=Subsurface_Inputs!$C$42,Subsurface_Live_Data!N17+Subsurface_Inputs!$C$56*SIN(2*PI()*A17/27),"")</x:f>
      </x:c>
      <x:c r="F17" s="25" t="n">
        <x:f>Subsurface_Live_Data!O17+Subsurface_Inputs!$C$56*SIN(2*PI()*A17/47)</x:f>
        <x:v>172.61912799489085</x:v>
      </x:c>
      <x:c r="G17" s="25" t="n">
        <x:f>-55+3*SIN(2*PI()*A17/19)</x:f>
        <x:v>-52.01024652097999</x:v>
      </x:c>
    </x:row>
    <x:row r="18">
      <x:c r="A18" s="25" t="n">
        <x:f>Subsurface_Live_Data!A18</x:f>
        <x:v>-52</x:v>
      </x:c>
      <x:c r="B18" s="25" t="n">
        <x:v>0</x:v>
      </x:c>
      <x:c r="C18" s="25" t="n">
        <x:f>Subsurface_Inputs!$C$57+1.5*SIN(2*PI()*A18/35)</x:f>
        <x:v>11.86554103664485</x:v>
      </x:c>
      <x:c r="D18" s="25" t="n">
        <x:f>Subsurface_Live_Data!M18+Subsurface_Inputs!$C$56*SIN(2*PI()*A18/31)</x:f>
        <x:v>14.918961988730631</x:v>
      </x:c>
      <x:c r="E18" s="25" t="str">
        <x:f>IF(Subsurface_Live_Data!H18&gt;=Subsurface_Inputs!$C$42,Subsurface_Live_Data!N18+Subsurface_Inputs!$C$56*SIN(2*PI()*A18/27),"")</x:f>
      </x:c>
      <x:c r="F18" s="25" t="n">
        <x:f>Subsurface_Live_Data!O18+Subsurface_Inputs!$C$56*SIN(2*PI()*A18/47)</x:f>
        <x:v>172.7112721760463</x:v>
      </x:c>
      <x:c r="G18" s="25" t="n">
        <x:f>-55+3*SIN(2*PI()*A18/19)</x:f>
        <x:v>-52.01024652097999</x:v>
      </x:c>
    </x:row>
    <x:row r="19">
      <x:c r="A19" s="25" t="n">
        <x:f>Subsurface_Live_Data!A19</x:f>
        <x:v>-51.5</x:v>
      </x:c>
      <x:c r="B19" s="25" t="n">
        <x:v>0</x:v>
      </x:c>
      <x:c r="C19" s="25" t="n">
        <x:f>Subsurface_Inputs!$C$57+1.5*SIN(2*PI()*A19/35)</x:f>
        <x:v>11.732164657802045</x:v>
      </x:c>
      <x:c r="D19" s="25" t="n">
        <x:f>Subsurface_Live_Data!M19+Subsurface_Inputs!$C$56*SIN(2*PI()*A19/31)</x:f>
        <x:v>15.094024012147958</x:v>
      </x:c>
      <x:c r="E19" s="25" t="str">
        <x:f>IF(Subsurface_Live_Data!H19&gt;=Subsurface_Inputs!$C$42,Subsurface_Live_Data!N19+Subsurface_Inputs!$C$56*SIN(2*PI()*A19/27),"")</x:f>
      </x:c>
      <x:c r="F19" s="25" t="n">
        <x:f>Subsurface_Live_Data!O19+Subsurface_Inputs!$C$56*SIN(2*PI()*A19/47)</x:f>
        <x:v>172.78999516047736</x:v>
      </x:c>
      <x:c r="G19" s="25" t="n">
        <x:f>-55+3*SIN(2*PI()*A19/19)</x:f>
        <x:v>-52.09179920218201</x:v>
      </x:c>
    </x:row>
    <x:row r="20">
      <x:c r="A20" s="25" t="n">
        <x:f>Subsurface_Live_Data!A20</x:f>
        <x:v>-51</x:v>
      </x:c>
      <x:c r="B20" s="25" t="n">
        <x:v>0</x:v>
      </x:c>
      <x:c r="C20" s="25" t="n">
        <x:f>Subsurface_Inputs!$C$57+1.5*SIN(2*PI()*A20/35)</x:f>
        <x:v>11.600944731649987</x:v>
      </x:c>
      <x:c r="D20" s="25" t="n">
        <x:f>Subsurface_Live_Data!M20+Subsurface_Inputs!$C$56*SIN(2*PI()*A20/31)</x:f>
        <x:v>15.240273039994138</x:v>
      </x:c>
      <x:c r="E20" s="25" t="str">
        <x:f>IF(Subsurface_Live_Data!H20&gt;=Subsurface_Inputs!$C$42,Subsurface_Live_Data!N20+Subsurface_Inputs!$C$56*SIN(2*PI()*A20/27),"")</x:f>
      </x:c>
      <x:c r="F20" s="25" t="n">
        <x:f>Subsurface_Live_Data!O20+Subsurface_Inputs!$C$56*SIN(2*PI()*A20/47)</x:f>
        <x:v>172.91648075611016</x:v>
      </x:c>
      <x:c r="G20" s="25" t="n">
        <x:f>-55+3*SIN(2*PI()*A20/19)</x:f>
        <x:v>-52.25268002003483</x:v>
      </x:c>
    </x:row>
    <x:row r="21">
      <x:c r="A21" s="25" t="n">
        <x:f>Subsurface_Live_Data!A21</x:f>
        <x:v>-50.5</x:v>
      </x:c>
      <x:c r="B21" s="25" t="n">
        <x:v>0</x:v>
      </x:c>
      <x:c r="C21" s="25" t="n">
        <x:f>Subsurface_Inputs!$C$57+1.5*SIN(2*PI()*A21/35)</x:f>
        <x:v>11.472937763877985</x:v>
      </x:c>
      <x:c r="D21" s="25" t="n">
        <x:f>Subsurface_Live_Data!M21+Subsurface_Inputs!$C$56*SIN(2*PI()*A21/31)</x:f>
        <x:v>15.373481343704539</x:v>
      </x:c>
      <x:c r="E21" s="25" t="str">
        <x:f>IF(Subsurface_Live_Data!H21&gt;=Subsurface_Inputs!$C$42,Subsurface_Live_Data!N21+Subsurface_Inputs!$C$56*SIN(2*PI()*A21/27),"")</x:f>
      </x:c>
      <x:c r="F21" s="25" t="n">
        <x:f>Subsurface_Live_Data!O21+Subsurface_Inputs!$C$56*SIN(2*PI()*A21/47)</x:f>
        <x:v>173.02931777796817</x:v>
      </x:c>
      <x:c r="G21" s="25" t="n">
        <x:f>-55+3*SIN(2*PI()*A21/19)</x:f>
        <x:v>-52.48850056521242</x:v>
      </x:c>
    </x:row>
    <x:row r="22">
      <x:c r="A22" s="25" t="n">
        <x:f>Subsurface_Live_Data!A22</x:f>
        <x:v>-50</x:v>
      </x:c>
      <x:c r="B22" s="25" t="n">
        <x:v>0</x:v>
      </x:c>
      <x:c r="C22" s="25" t="n">
        <x:f>Subsurface_Inputs!$C$57+1.5*SIN(2*PI()*A22/35)</x:f>
        <x:v>11.349174391323663</x:v>
      </x:c>
      <x:c r="D22" s="25" t="n">
        <x:f>Subsurface_Live_Data!M22+Subsurface_Inputs!$C$56*SIN(2*PI()*A22/31)</x:f>
        <x:v>15.501182099089995</x:v>
      </x:c>
      <x:c r="E22" s="25" t="str">
        <x:f>IF(Subsurface_Live_Data!H22&gt;=Subsurface_Inputs!$C$42,Subsurface_Live_Data!N22+Subsurface_Inputs!$C$56*SIN(2*PI()*A22/27),"")</x:f>
      </x:c>
      <x:c r="F22" s="25" t="n">
        <x:f>Subsurface_Live_Data!O22+Subsurface_Inputs!$C$56*SIN(2*PI()*A22/47)</x:f>
        <x:v>173.09658303232194</x:v>
      </x:c>
      <x:c r="G22" s="25" t="n">
        <x:f>-55+3*SIN(2*PI()*A22/19)</x:f>
        <x:v>-52.7928282679806</x:v>
      </x:c>
    </x:row>
    <x:row r="23">
      <x:c r="A23" s="25" t="n">
        <x:f>Subsurface_Live_Data!A23</x:f>
        <x:v>-49.5</x:v>
      </x:c>
      <x:c r="B23" s="25" t="n">
        <x:v>0</x:v>
      </x:c>
      <x:c r="C23" s="25" t="n">
        <x:f>Subsurface_Inputs!$C$57+1.5*SIN(2*PI()*A23/35)</x:f>
        <x:v>11.230651083891141</x:v>
      </x:c>
      <x:c r="D23" s="25" t="n">
        <x:f>Subsurface_Live_Data!M23+Subsurface_Inputs!$C$56*SIN(2*PI()*A23/31)</x:f>
        <x:v>15.591196271052924</x:v>
      </x:c>
      <x:c r="E23" s="25" t="str">
        <x:f>IF(Subsurface_Live_Data!H23&gt;=Subsurface_Inputs!$C$42,Subsurface_Live_Data!N23+Subsurface_Inputs!$C$56*SIN(2*PI()*A23/27),"")</x:f>
      </x:c>
      <x:c r="F23" s="25" t="n">
        <x:f>Subsurface_Live_Data!O23+Subsurface_Inputs!$C$56*SIN(2*PI()*A23/47)</x:f>
        <x:v>173.22609110799183</x:v>
      </x:c>
      <x:c r="G23" s="25" t="n">
        <x:f>-55+3*SIN(2*PI()*A23/19)</x:f>
        <x:v>-53.157361861930994</x:v>
      </x:c>
    </x:row>
    <x:row r="24">
      <x:c r="A24" s="25" t="n">
        <x:f>Subsurface_Live_Data!A24</x:f>
        <x:v>-49</x:v>
      </x:c>
      <x:c r="B24" s="25" t="n">
        <x:v>0</x:v>
      </x:c>
      <x:c r="C24" s="25" t="n">
        <x:f>Subsurface_Inputs!$C$57+1.5*SIN(2*PI()*A24/35)</x:f>
        <x:v>11.11832212156129</x:v>
      </x:c>
      <x:c r="D24" s="25" t="n">
        <x:f>Subsurface_Live_Data!M24+Subsurface_Inputs!$C$56*SIN(2*PI()*A24/31)</x:f>
        <x:v>15.672601114629915</x:v>
      </x:c>
      <x:c r="E24" s="25" t="str">
        <x:f>IF(Subsurface_Live_Data!H24&gt;=Subsurface_Inputs!$C$42,Subsurface_Live_Data!N24+Subsurface_Inputs!$C$56*SIN(2*PI()*A24/27),"")</x:f>
      </x:c>
      <x:c r="F24" s="25" t="n">
        <x:f>Subsurface_Live_Data!O24+Subsurface_Inputs!$C$56*SIN(2*PI()*A24/47)</x:f>
        <x:v>173.31208874160276</x:v>
      </x:c>
      <x:c r="G24" s="25" t="n">
        <x:f>-55+3*SIN(2*PI()*A24/19)</x:f>
        <x:v>-53.57215782088878</x:v>
      </x:c>
    </x:row>
    <x:row r="25">
      <x:c r="A25" s="25" t="n">
        <x:f>Subsurface_Live_Data!A25</x:f>
        <x:v>-48.5</x:v>
      </x:c>
      <x:c r="B25" s="25" t="n">
        <x:v>0</x:v>
      </x:c>
      <x:c r="C25" s="25" t="n">
        <x:f>Subsurface_Inputs!$C$57+1.5*SIN(2*PI()*A25/35)</x:f>
        <x:v>11.01309191109043</x:v>
      </x:c>
      <x:c r="D25" s="25" t="n">
        <x:f>Subsurface_Live_Data!M25+Subsurface_Inputs!$C$56*SIN(2*PI()*A25/31)</x:f>
        <x:v>15.726603724107166</x:v>
      </x:c>
      <x:c r="E25" s="25" t="str">
        <x:f>IF(Subsurface_Live_Data!H25&gt;=Subsurface_Inputs!$C$42,Subsurface_Live_Data!N25+Subsurface_Inputs!$C$56*SIN(2*PI()*A25/27),"")</x:f>
      </x:c>
      <x:c r="F25" s="25" t="n">
        <x:f>Subsurface_Live_Data!O25+Subsurface_Inputs!$C$56*SIN(2*PI()*A25/47)</x:f>
        <x:v>173.41727005332913</x:v>
      </x:c>
      <x:c r="G25" s="25" t="n">
        <x:f>-55+3*SIN(2*PI()*A25/19)</x:f>
        <x:v>-54.02590159238595</x:v>
      </x:c>
    </x:row>
    <x:row r="26">
      <x:c r="A26" s="25" t="n">
        <x:f>Subsurface_Live_Data!A26</x:f>
        <x:v>-48</x:v>
      </x:c>
      <x:c r="B26" s="25" t="n">
        <x:v>0</x:v>
      </x:c>
      <x:c r="C26" s="25" t="n">
        <x:f>Subsurface_Inputs!$C$57+1.5*SIN(2*PI()*A26/35)</x:f>
        <x:v>10.915807704258912</x:v>
      </x:c>
      <x:c r="D26" s="25" t="n">
        <x:f>Subsurface_Live_Data!M26+Subsurface_Inputs!$C$56*SIN(2*PI()*A26/31)</x:f>
        <x:v>15.754873984447931</x:v>
      </x:c>
      <x:c r="E26" s="25" t="str">
        <x:f>IF(Subsurface_Live_Data!H26&gt;=Subsurface_Inputs!$C$42,Subsurface_Live_Data!N26+Subsurface_Inputs!$C$56*SIN(2*PI()*A26/27),"")</x:f>
      </x:c>
      <x:c r="F26" s="25" t="n">
        <x:f>Subsurface_Live_Data!O26+Subsurface_Inputs!$C$56*SIN(2*PI()*A26/47)</x:f>
        <x:v>173.53367089884262</x:v>
      </x:c>
      <x:c r="G26" s="25" t="n">
        <x:f>-55+3*SIN(2*PI()*A26/19)</x:f>
        <x:v>-54.5062162291578</x:v>
      </x:c>
    </x:row>
    <x:row r="27">
      <x:c r="A27" s="25" t="n">
        <x:f>Subsurface_Live_Data!A27</x:f>
        <x:v>-47.5</x:v>
      </x:c>
      <x:c r="B27" s="25" t="n">
        <x:v>0</x:v>
      </x:c>
      <x:c r="C27" s="25" t="n">
        <x:f>Subsurface_Inputs!$C$57+1.5*SIN(2*PI()*A27/35)</x:f>
        <x:v>10.827252776297955</x:v>
      </x:c>
      <x:c r="D27" s="25" t="n">
        <x:f>Subsurface_Live_Data!M27+Subsurface_Inputs!$C$56*SIN(2*PI()*A27/31)</x:f>
        <x:v>15.771168158252861</x:v>
      </x:c>
      <x:c r="E27" s="25" t="str">
        <x:f>IF(Subsurface_Live_Data!H27&gt;=Subsurface_Inputs!$C$42,Subsurface_Live_Data!N27+Subsurface_Inputs!$C$56*SIN(2*PI()*A27/27),"")</x:f>
      </x:c>
      <x:c r="F27" s="25" t="n">
        <x:f>Subsurface_Live_Data!O27+Subsurface_Inputs!$C$56*SIN(2*PI()*A27/47)</x:f>
        <x:v>173.6120317154915</x:v>
      </x:c>
      <x:c r="G27" s="25" t="n">
        <x:f>-55+3*SIN(2*PI()*A27/19)</x:f>
        <x:v>-55</x:v>
      </x:c>
    </x:row>
    <x:row r="28">
      <x:c r="A28" s="25" t="n">
        <x:f>Subsurface_Live_Data!A28</x:f>
        <x:v>-47</x:v>
      </x:c>
      <x:c r="B28" s="25" t="n">
        <x:v>0</x:v>
      </x:c>
      <x:c r="C28" s="25" t="n">
        <x:f>Subsurface_Inputs!$C$57+1.5*SIN(2*PI()*A28/35)</x:f>
        <x:v>10.748140119418046</x:v>
      </x:c>
      <x:c r="D28" s="25" t="n">
        <x:f>Subsurface_Live_Data!M28+Subsurface_Inputs!$C$56*SIN(2*PI()*A28/31)</x:f>
        <x:v>15.757035583970938</x:v>
      </x:c>
      <x:c r="E28" s="25" t="str">
        <x:f>IF(Subsurface_Live_Data!H28&gt;=Subsurface_Inputs!$C$42,Subsurface_Live_Data!N28+Subsurface_Inputs!$C$56*SIN(2*PI()*A28/27),"")</x:f>
      </x:c>
      <x:c r="F28" s="25" t="n">
        <x:f>Subsurface_Live_Data!O28+Subsurface_Inputs!$C$56*SIN(2*PI()*A28/47)</x:f>
        <x:v>173.71685412801585</x:v>
      </x:c>
      <x:c r="G28" s="25" t="n">
        <x:f>-55+3*SIN(2*PI()*A28/19)</x:f>
        <x:v>-55.4937837708422</x:v>
      </x:c>
    </x:row>
    <x:row r="29">
      <x:c r="A29" s="25" t="n">
        <x:f>Subsurface_Live_Data!A29</x:f>
        <x:v>-46.5</x:v>
      </x:c>
      <x:c r="B29" s="25" t="n">
        <x:v>0</x:v>
      </x:c>
      <x:c r="C29" s="25" t="n">
        <x:f>Subsurface_Inputs!$C$57+1.5*SIN(2*PI()*A29/35)</x:f>
        <x:v>10.679106702214893</x:v>
      </x:c>
      <x:c r="D29" s="25" t="n">
        <x:f>Subsurface_Live_Data!M29+Subsurface_Inputs!$C$56*SIN(2*PI()*A29/31)</x:f>
        <x:v>15.725458307066779</x:v>
      </x:c>
      <x:c r="E29" s="25" t="str">
        <x:f>IF(Subsurface_Live_Data!H29&gt;=Subsurface_Inputs!$C$42,Subsurface_Live_Data!N29+Subsurface_Inputs!$C$56*SIN(2*PI()*A29/27),"")</x:f>
      </x:c>
      <x:c r="F29" s="25" t="n">
        <x:f>Subsurface_Live_Data!O29+Subsurface_Inputs!$C$56*SIN(2*PI()*A29/47)</x:f>
        <x:v>173.80367612730618</x:v>
      </x:c>
      <x:c r="G29" s="25" t="n">
        <x:f>-55+3*SIN(2*PI()*A29/19)</x:f>
        <x:v>-55.97409840761406</x:v>
      </x:c>
    </x:row>
    <x:row r="30">
      <x:c r="A30" s="25" t="n">
        <x:f>Subsurface_Live_Data!A30</x:f>
        <x:v>-46</x:v>
      </x:c>
      <x:c r="B30" s="25" t="n">
        <x:v>0</x:v>
      </x:c>
      <x:c r="C30" s="25" t="n">
        <x:f>Subsurface_Inputs!$C$57+1.5*SIN(2*PI()*A30/35)</x:f>
        <x:v>10.620708341172824</x:v>
      </x:c>
      <x:c r="D30" s="25" t="n">
        <x:f>Subsurface_Live_Data!M30+Subsurface_Inputs!$C$56*SIN(2*PI()*A30/31)</x:f>
        <x:v>15.665259253335098</x:v>
      </x:c>
      <x:c r="E30" s="25" t="str">
        <x:f>IF(Subsurface_Live_Data!H30&gt;=Subsurface_Inputs!$C$42,Subsurface_Live_Data!N30+Subsurface_Inputs!$C$56*SIN(2*PI()*A30/27),"")</x:f>
      </x:c>
      <x:c r="F30" s="25" t="n">
        <x:f>Subsurface_Live_Data!O30+Subsurface_Inputs!$C$56*SIN(2*PI()*A30/47)</x:f>
        <x:v>173.91364065722678</x:v>
      </x:c>
      <x:c r="G30" s="25" t="n">
        <x:f>-55+3*SIN(2*PI()*A30/19)</x:f>
        <x:v>-56.427842179111224</x:v>
      </x:c>
    </x:row>
    <x:row r="31">
      <x:c r="A31" s="25" t="n">
        <x:f>Subsurface_Live_Data!A31</x:f>
        <x:v>-45.5</x:v>
      </x:c>
      <x:c r="B31" s="25" t="n">
        <x:v>0</x:v>
      </x:c>
      <x:c r="C31" s="25" t="n">
        <x:f>Subsurface_Inputs!$C$57+1.5*SIN(2*PI()*A31/35)</x:f>
        <x:v>10.57341522555727</x:v>
      </x:c>
      <x:c r="D31" s="25" t="n">
        <x:f>Subsurface_Live_Data!M31+Subsurface_Inputs!$C$56*SIN(2*PI()*A31/31)</x:f>
        <x:v>15.589300365519971</x:v>
      </x:c>
      <x:c r="E31" s="25" t="str">
        <x:f>IF(Subsurface_Live_Data!H31&gt;=Subsurface_Inputs!$C$42,Subsurface_Live_Data!N31+Subsurface_Inputs!$C$56*SIN(2*PI()*A31/27),"")</x:f>
      </x:c>
      <x:c r="F31" s="25" t="n">
        <x:f>Subsurface_Live_Data!O31+Subsurface_Inputs!$C$56*SIN(2*PI()*A31/47)</x:f>
        <x:v>174.00478239392748</x:v>
      </x:c>
      <x:c r="G31" s="25" t="n">
        <x:f>-55+3*SIN(2*PI()*A31/19)</x:f>
        <x:v>-56.842638138069006</x:v>
      </x:c>
    </x:row>
    <x:row r="32">
      <x:c r="A32" s="25" t="n">
        <x:f>Subsurface_Live_Data!A32</x:f>
        <x:v>-45</x:v>
      </x:c>
      <x:c r="B32" s="25" t="n">
        <x:v>0</x:v>
      </x:c>
      <x:c r="C32" s="25" t="n">
        <x:f>Subsurface_Inputs!$C$57+1.5*SIN(2*PI()*A32/35)</x:f>
        <x:v>10.537608131727264</x:v>
      </x:c>
      <x:c r="D32" s="25" t="n">
        <x:f>Subsurface_Live_Data!M32+Subsurface_Inputs!$C$56*SIN(2*PI()*A32/31)</x:f>
        <x:v>15.487936108104272</x:v>
      </x:c>
      <x:c r="E32" s="25" t="str">
        <x:f>IF(Subsurface_Live_Data!H32&gt;=Subsurface_Inputs!$C$42,Subsurface_Live_Data!N32+Subsurface_Inputs!$C$56*SIN(2*PI()*A32/27),"")</x:f>
      </x:c>
      <x:c r="F32" s="25" t="n">
        <x:f>Subsurface_Live_Data!O32+Subsurface_Inputs!$C$56*SIN(2*PI()*A32/47)</x:f>
        <x:v>174.11490385867228</x:v>
      </x:c>
      <x:c r="G32" s="25" t="n">
        <x:f>-55+3*SIN(2*PI()*A32/19)</x:f>
        <x:v>-57.20717173201939</x:v>
      </x:c>
    </x:row>
    <x:row r="33">
      <x:c r="A33" s="25" t="n">
        <x:f>Subsurface_Live_Data!A33</x:f>
        <x:v>-44.5</x:v>
      </x:c>
      <x:c r="B33" s="25" t="n">
        <x:v>0</x:v>
      </x:c>
      <x:c r="C33" s="25" t="n">
        <x:f>Subsurface_Inputs!$C$57+1.5*SIN(2*PI()*A33/35)</x:f>
        <x:v>10.513575357348097</x:v>
      </x:c>
      <x:c r="D33" s="25" t="n">
        <x:f>Subsurface_Live_Data!M33+Subsurface_Inputs!$C$56*SIN(2*PI()*A33/31)</x:f>
        <x:v>15.375873820031197</x:v>
      </x:c>
      <x:c r="E33" s="25" t="str">
        <x:f>IF(Subsurface_Live_Data!H33&gt;=Subsurface_Inputs!$C$42,Subsurface_Live_Data!N33+Subsurface_Inputs!$C$56*SIN(2*PI()*A33/27),"")</x:f>
      </x:c>
      <x:c r="F33" s="25" t="n">
        <x:f>Subsurface_Live_Data!O33+Subsurface_Inputs!$C$56*SIN(2*PI()*A33/47)</x:f>
        <x:v>174.19751104549064</x:v>
      </x:c>
      <x:c r="G33" s="25" t="n">
        <x:f>-55+3*SIN(2*PI()*A33/19)</x:f>
        <x:v>-57.51149943478759</x:v>
      </x:c>
    </x:row>
    <x:row r="34">
      <x:c r="A34" s="25" t="n">
        <x:f>Subsurface_Live_Data!A34</x:f>
        <x:v>-44</x:v>
      </x:c>
      <x:c r="B34" s="25" t="n">
        <x:v>0</x:v>
      </x:c>
      <x:c r="C34" s="25" t="n">
        <x:f>Subsurface_Inputs!$C$57+1.5*SIN(2*PI()*A34/35)</x:f>
        <x:v>10.501510400188028</x:v>
      </x:c>
      <x:c r="D34" s="25" t="n">
        <x:f>Subsurface_Live_Data!M34+Subsurface_Inputs!$C$56*SIN(2*PI()*A34/31)</x:f>
        <x:v>15.250799526961734</x:v>
      </x:c>
      <x:c r="E34" s="25" t="str">
        <x:f>IF(Subsurface_Live_Data!H34&gt;=Subsurface_Inputs!$C$42,Subsurface_Live_Data!N34+Subsurface_Inputs!$C$56*SIN(2*PI()*A34/27),"")</x:f>
      </x:c>
      <x:c r="F34" s="25" t="n">
        <x:f>Subsurface_Live_Data!O34+Subsurface_Inputs!$C$56*SIN(2*PI()*A34/47)</x:f>
        <x:v>174.26655408317814</x:v>
      </x:c>
      <x:c r="G34" s="25" t="n">
        <x:f>-55+3*SIN(2*PI()*A34/19)</x:f>
        <x:v>-57.74731997996518</x:v>
      </x:c>
    </x:row>
    <x:row r="35">
      <x:c r="A35" s="25" t="n">
        <x:f>Subsurface_Live_Data!A35</x:f>
        <x:v>-43.5</x:v>
      </x:c>
      <x:c r="B35" s="25" t="n">
        <x:v>0</x:v>
      </x:c>
      <x:c r="C35" s="25" t="n">
        <x:f>Subsurface_Inputs!$C$57+1.5*SIN(2*PI()*A35/35)</x:f>
        <x:v>10.501510400188028</x:v>
      </x:c>
      <x:c r="D35" s="25" t="n">
        <x:f>Subsurface_Live_Data!M35+Subsurface_Inputs!$C$56*SIN(2*PI()*A35/31)</x:f>
        <x:v>15.117796410487783</x:v>
      </x:c>
      <x:c r="E35" s="25" t="str">
        <x:f>IF(Subsurface_Live_Data!H35&gt;=Subsurface_Inputs!$C$42,Subsurface_Live_Data!N35+Subsurface_Inputs!$C$56*SIN(2*PI()*A35/27),"")</x:f>
      </x:c>
      <x:c r="F35" s="25" t="n">
        <x:f>Subsurface_Live_Data!O35+Subsurface_Inputs!$C$56*SIN(2*PI()*A35/47)</x:f>
        <x:v>174.3108786921869</x:v>
      </x:c>
      <x:c r="G35" s="25" t="n">
        <x:f>-55+3*SIN(2*PI()*A35/19)</x:f>
        <x:v>-57.90820079781799</x:v>
      </x:c>
    </x:row>
    <x:row r="36">
      <x:c r="A36" s="25" t="n">
        <x:f>Subsurface_Live_Data!A36</x:f>
        <x:v>-43</x:v>
      </x:c>
      <x:c r="B36" s="25" t="n">
        <x:v>0</x:v>
      </x:c>
      <x:c r="C36" s="25" t="n">
        <x:f>Subsurface_Inputs!$C$57+1.5*SIN(2*PI()*A36/35)</x:f>
        <x:v>10.513575357348097</x:v>
      </x:c>
      <x:c r="D36" s="25" t="n">
        <x:f>Subsurface_Live_Data!M36+Subsurface_Inputs!$C$56*SIN(2*PI()*A36/31)</x:f>
        <x:v>14.953652118705836</x:v>
      </x:c>
      <x:c r="E36" s="25" t="str">
        <x:f>IF(Subsurface_Live_Data!H36&gt;=Subsurface_Inputs!$C$42,Subsurface_Live_Data!N36+Subsurface_Inputs!$C$56*SIN(2*PI()*A36/27),"")</x:f>
      </x:c>
      <x:c r="F36" s="25" t="n">
        <x:f>Subsurface_Live_Data!O36+Subsurface_Inputs!$C$56*SIN(2*PI()*A36/47)</x:f>
        <x:v>174.41905302011025</x:v>
      </x:c>
      <x:c r="G36" s="25" t="n">
        <x:f>-55+3*SIN(2*PI()*A36/19)</x:f>
        <x:v>-57.98975347902001</x:v>
      </x:c>
    </x:row>
    <x:row r="37">
      <x:c r="A37" s="25" t="n">
        <x:f>Subsurface_Live_Data!A37</x:f>
        <x:v>-42.5</x:v>
      </x:c>
      <x:c r="B37" s="25" t="n">
        <x:v>0</x:v>
      </x:c>
      <x:c r="C37" s="25" t="n">
        <x:f>Subsurface_Inputs!$C$57+1.5*SIN(2*PI()*A37/35)</x:f>
        <x:v>10.537608131727264</x:v>
      </x:c>
      <x:c r="D37" s="25" t="n">
        <x:f>Subsurface_Live_Data!M37+Subsurface_Inputs!$C$56*SIN(2*PI()*A37/31)</x:f>
        <x:v>14.795059516896803</x:v>
      </x:c>
      <x:c r="E37" s="25" t="str">
        <x:f>IF(Subsurface_Live_Data!H37&gt;=Subsurface_Inputs!$C$42,Subsurface_Live_Data!N37+Subsurface_Inputs!$C$56*SIN(2*PI()*A37/27),"")</x:f>
      </x:c>
      <x:c r="F37" s="25" t="n">
        <x:f>Subsurface_Live_Data!O37+Subsurface_Inputs!$C$56*SIN(2*PI()*A37/47)</x:f>
        <x:v>174.47055524788928</x:v>
      </x:c>
      <x:c r="G37" s="25" t="n">
        <x:f>-55+3*SIN(2*PI()*A37/19)</x:f>
        <x:v>-57.98975347902001</x:v>
      </x:c>
    </x:row>
    <x:row r="38">
      <x:c r="A38" s="25" t="n">
        <x:f>Subsurface_Live_Data!A38</x:f>
        <x:v>-42</x:v>
      </x:c>
      <x:c r="B38" s="25" t="n">
        <x:v>0</x:v>
      </x:c>
      <x:c r="C38" s="25" t="n">
        <x:f>Subsurface_Inputs!$C$57+1.5*SIN(2*PI()*A38/35)</x:f>
        <x:v>10.57341522555727</x:v>
      </x:c>
      <x:c r="D38" s="25" t="n">
        <x:f>Subsurface_Live_Data!M38+Subsurface_Inputs!$C$56*SIN(2*PI()*A38/31)</x:f>
        <x:v>14.623633092067976</x:v>
      </x:c>
      <x:c r="E38" s="25" t="n">
        <x:f>IF(Subsurface_Live_Data!H38&gt;=Subsurface_Inputs!$C$42,Subsurface_Live_Data!N38+Subsurface_Inputs!$C$56*SIN(2*PI()*A38/27),"")</x:f>
        <x:v>63.69463087860594</x:v>
      </x:c>
      <x:c r="F38" s="25" t="n">
        <x:f>Subsurface_Live_Data!O38+Subsurface_Inputs!$C$56*SIN(2*PI()*A38/47)</x:f>
        <x:v>174.53809594102577</x:v>
      </x:c>
      <x:c r="G38" s="25" t="n">
        <x:f>-55+3*SIN(2*PI()*A38/19)</x:f>
        <x:v>-57.90820079781799</x:v>
      </x:c>
    </x:row>
    <x:row r="39">
      <x:c r="A39" s="25" t="n">
        <x:f>Subsurface_Live_Data!A39</x:f>
        <x:v>-41.5</x:v>
      </x:c>
      <x:c r="B39" s="25" t="n">
        <x:v>0</x:v>
      </x:c>
      <x:c r="C39" s="25" t="n">
        <x:f>Subsurface_Inputs!$C$57+1.5*SIN(2*PI()*A39/35)</x:f>
        <x:v>10.620708341172824</x:v>
      </x:c>
      <x:c r="D39" s="25" t="n">
        <x:f>Subsurface_Live_Data!M39+Subsurface_Inputs!$C$56*SIN(2*PI()*A39/31)</x:f>
        <x:v>14.453309080222434</x:v>
      </x:c>
      <x:c r="E39" s="25" t="n">
        <x:f>IF(Subsurface_Live_Data!H39&gt;=Subsurface_Inputs!$C$42,Subsurface_Live_Data!N39+Subsurface_Inputs!$C$56*SIN(2*PI()*A39/27),"")</x:f>
        <x:v>63.272179333920896</x:v>
      </x:c>
      <x:c r="F39" s="25" t="n">
        <x:f>Subsurface_Live_Data!O39+Subsurface_Inputs!$C$56*SIN(2*PI()*A39/47)</x:f>
        <x:v>174.58158883344757</x:v>
      </x:c>
      <x:c r="G39" s="25" t="n">
        <x:f>-55+3*SIN(2*PI()*A39/19)</x:f>
        <x:v>-57.74731997996518</x:v>
      </x:c>
    </x:row>
    <x:row r="40">
      <x:c r="A40" s="25" t="n">
        <x:f>Subsurface_Live_Data!A40</x:f>
        <x:v>-41</x:v>
      </x:c>
      <x:c r="B40" s="25" t="n">
        <x:v>0</x:v>
      </x:c>
      <x:c r="C40" s="25" t="n">
        <x:f>Subsurface_Inputs!$C$57+1.5*SIN(2*PI()*A40/35)</x:f>
        <x:v>10.679106702214893</x:v>
      </x:c>
      <x:c r="D40" s="25" t="n">
        <x:f>Subsurface_Live_Data!M40+Subsurface_Inputs!$C$56*SIN(2*PI()*A40/31)</x:f>
        <x:v>14.283125832266197</x:v>
      </x:c>
      <x:c r="E40" s="25" t="n">
        <x:f>IF(Subsurface_Live_Data!H40&gt;=Subsurface_Inputs!$C$42,Subsurface_Live_Data!N40+Subsurface_Inputs!$C$56*SIN(2*PI()*A40/27),"")</x:f>
        <x:v>62.83770307044693</x:v>
      </x:c>
      <x:c r="F40" s="25" t="n">
        <x:f>Subsurface_Live_Data!O40+Subsurface_Inputs!$C$56*SIN(2*PI()*A40/47)</x:f>
        <x:v>174.61328434077456</x:v>
      </x:c>
      <x:c r="G40" s="25" t="n">
        <x:f>-55+3*SIN(2*PI()*A40/19)</x:f>
        <x:v>-57.51149943478758</x:v>
      </x:c>
    </x:row>
    <x:row r="41">
      <x:c r="A41" s="25" t="n">
        <x:f>Subsurface_Live_Data!A41</x:f>
        <x:v>-40.5</x:v>
      </x:c>
      <x:c r="B41" s="25" t="n">
        <x:v>0</x:v>
      </x:c>
      <x:c r="C41" s="25" t="n">
        <x:f>Subsurface_Inputs!$C$57+1.5*SIN(2*PI()*A41/35)</x:f>
        <x:v>10.748140119418046</x:v>
      </x:c>
      <x:c r="D41" s="25" t="n">
        <x:f>Subsurface_Live_Data!M41+Subsurface_Inputs!$C$56*SIN(2*PI()*A41/31)</x:f>
        <x:v>14.11788278833431</x:v>
      </x:c>
      <x:c r="E41" s="25" t="n">
        <x:f>IF(Subsurface_Live_Data!H41&gt;=Subsurface_Inputs!$C$42,Subsurface_Live_Data!N41+Subsurface_Inputs!$C$56*SIN(2*PI()*A41/27),"")</x:f>
        <x:v>62.393836762334416</x:v>
      </x:c>
      <x:c r="F41" s="25" t="n">
        <x:f>Subsurface_Live_Data!O41+Subsurface_Inputs!$C$56*SIN(2*PI()*A41/47)</x:f>
        <x:v>174.62532374899945</x:v>
      </x:c>
      <x:c r="G41" s="25" t="n">
        <x:f>-55+3*SIN(2*PI()*A41/19)</x:f>
        <x:v>-57.20717173201939</x:v>
      </x:c>
    </x:row>
    <x:row r="42">
      <x:c r="A42" s="25" t="n">
        <x:f>Subsurface_Live_Data!A42</x:f>
        <x:v>-40</x:v>
      </x:c>
      <x:c r="B42" s="25" t="n">
        <x:v>0</x:v>
      </x:c>
      <x:c r="C42" s="25" t="n">
        <x:f>Subsurface_Inputs!$C$57+1.5*SIN(2*PI()*A42/35)</x:f>
        <x:v>10.827252776297955</x:v>
      </x:c>
      <x:c r="D42" s="25" t="n">
        <x:f>Subsurface_Live_Data!M42+Subsurface_Inputs!$C$56*SIN(2*PI()*A42/31)</x:f>
        <x:v>13.951784584339508</x:v>
      </x:c>
      <x:c r="E42" s="25" t="n">
        <x:f>IF(Subsurface_Live_Data!H42&gt;=Subsurface_Inputs!$C$42,Subsurface_Live_Data!N42+Subsurface_Inputs!$C$56*SIN(2*PI()*A42/27),"")</x:f>
        <x:v>61.94327669589608</x:v>
      </x:c>
      <x:c r="F42" s="25" t="n">
        <x:f>Subsurface_Live_Data!O42+Subsurface_Inputs!$C$56*SIN(2*PI()*A42/47)</x:f>
        <x:v>174.64684358455034</x:v>
      </x:c>
      <x:c r="G42" s="25" t="n">
        <x:f>-55+3*SIN(2*PI()*A42/19)</x:f>
        <x:v>-56.842638138069006</x:v>
      </x:c>
    </x:row>
    <x:row r="43">
      <x:c r="A43" s="25" t="n">
        <x:f>Subsurface_Live_Data!A43</x:f>
        <x:v>-39.5</x:v>
      </x:c>
      <x:c r="B43" s="25" t="n">
        <x:v>0</x:v>
      </x:c>
      <x:c r="C43" s="25" t="n">
        <x:f>Subsurface_Inputs!$C$57+1.5*SIN(2*PI()*A43/35)</x:f>
        <x:v>10.915807704258913</x:v>
      </x:c>
      <x:c r="D43" s="25" t="n">
        <x:f>Subsurface_Live_Data!M43+Subsurface_Inputs!$C$56*SIN(2*PI()*A43/31)</x:f>
        <x:v>13.789659895467674</x:v>
      </x:c>
      <x:c r="E43" s="25" t="n">
        <x:f>IF(Subsurface_Live_Data!H43&gt;=Subsurface_Inputs!$C$42,Subsurface_Live_Data!N43+Subsurface_Inputs!$C$56*SIN(2*PI()*A43/27),"")</x:f>
        <x:v>61.48875026069394</x:v>
      </x:c>
      <x:c r="F43" s="25" t="n">
        <x:f>Subsurface_Live_Data!O43+Subsurface_Inputs!$C$56*SIN(2*PI()*A43/47)</x:f>
        <x:v>174.66956894659648</x:v>
      </x:c>
      <x:c r="G43" s="25" t="n">
        <x:f>-55+3*SIN(2*PI()*A43/19)</x:f>
        <x:v>-56.427842179111224</x:v>
      </x:c>
    </x:row>
    <x:row r="44">
      <x:c r="A44" s="25" t="n">
        <x:f>Subsurface_Live_Data!A44</x:f>
        <x:v>-39</x:v>
      </x:c>
      <x:c r="B44" s="25" t="n">
        <x:v>0</x:v>
      </x:c>
      <x:c r="C44" s="25" t="n">
        <x:f>Subsurface_Inputs!$C$57+1.5*SIN(2*PI()*A44/35)</x:f>
        <x:v>11.01309191109043</x:v>
      </x:c>
      <x:c r="D44" s="25" t="n">
        <x:f>Subsurface_Live_Data!M44+Subsurface_Inputs!$C$56*SIN(2*PI()*A44/31)</x:f>
        <x:v>13.625913725676966</x:v>
      </x:c>
      <x:c r="E44" s="25" t="n">
        <x:f>IF(Subsurface_Live_Data!H44&gt;=Subsurface_Inputs!$C$42,Subsurface_Live_Data!N44+Subsurface_Inputs!$C$56*SIN(2*PI()*A44/27),"")</x:f>
        <x:v>61.032985253532715</x:v>
      </x:c>
      <x:c r="F44" s="25" t="n">
        <x:f>Subsurface_Live_Data!O44+Subsurface_Inputs!$C$56*SIN(2*PI()*A44/47)</x:f>
        <x:v>174.72134273308524</x:v>
      </x:c>
      <x:c r="G44" s="25" t="n">
        <x:f>-55+3*SIN(2*PI()*A44/19)</x:f>
        <x:v>-55.97409840761404</x:v>
      </x:c>
    </x:row>
    <x:row r="45">
      <x:c r="A45" s="25" t="n">
        <x:f>Subsurface_Live_Data!A45</x:f>
        <x:v>-38.5</x:v>
      </x:c>
      <x:c r="B45" s="25" t="n">
        <x:v>0</x:v>
      </x:c>
      <x:c r="C45" s="25" t="n">
        <x:f>Subsurface_Inputs!$C$57+1.5*SIN(2*PI()*A45/35)</x:f>
        <x:v>11.11832212156129</x:v>
      </x:c>
      <x:c r="D45" s="25" t="n">
        <x:f>Subsurface_Live_Data!M45+Subsurface_Inputs!$C$56*SIN(2*PI()*A45/31)</x:f>
        <x:v>13.492768959798088</x:v>
      </x:c>
      <x:c r="E45" s="25" t="n">
        <x:f>IF(Subsurface_Live_Data!H45&gt;=Subsurface_Inputs!$C$42,Subsurface_Live_Data!N45+Subsurface_Inputs!$C$56*SIN(2*PI()*A45/27),"")</x:f>
        <x:v>60.578679386341655</x:v>
      </x:c>
      <x:c r="F45" s="25" t="n">
        <x:f>Subsurface_Live_Data!O45+Subsurface_Inputs!$C$56*SIN(2*PI()*A45/47)</x:f>
        <x:v>174.69714778843633</x:v>
      </x:c>
      <x:c r="G45" s="25" t="n">
        <x:f>-55+3*SIN(2*PI()*A45/19)</x:f>
        <x:v>-55.4937837708422</x:v>
      </x:c>
    </x:row>
    <x:row r="46">
      <x:c r="A46" s="25" t="n">
        <x:f>Subsurface_Live_Data!A46</x:f>
        <x:v>-38</x:v>
      </x:c>
      <x:c r="B46" s="25" t="n">
        <x:v>0</x:v>
      </x:c>
      <x:c r="C46" s="25" t="n">
        <x:f>Subsurface_Inputs!$C$57+1.5*SIN(2*PI()*A46/35)</x:f>
        <x:v>11.230651083891141</x:v>
      </x:c>
      <x:c r="D46" s="25" t="n">
        <x:f>Subsurface_Live_Data!M46+Subsurface_Inputs!$C$56*SIN(2*PI()*A46/31)</x:f>
        <x:v>13.354530369621418</x:v>
      </x:c>
      <x:c r="E46" s="25" t="n">
        <x:f>IF(Subsurface_Live_Data!H46&gt;=Subsurface_Inputs!$C$42,Subsurface_Live_Data!N46+Subsurface_Inputs!$C$56*SIN(2*PI()*A46/27),"")</x:f>
        <x:v>60.12847038374264</x:v>
      </x:c>
      <x:c r="F46" s="25" t="n">
        <x:f>Subsurface_Live_Data!O46+Subsurface_Inputs!$C$56*SIN(2*PI()*A46/47)</x:f>
        <x:v>174.7290581190651</x:v>
      </x:c>
      <x:c r="G46" s="25" t="n">
        <x:f>-55+3*SIN(2*PI()*A46/19)</x:f>
        <x:v>-55</x:v>
      </x:c>
    </x:row>
    <x:row r="47">
      <x:c r="A47" s="25" t="n">
        <x:f>Subsurface_Live_Data!A47</x:f>
        <x:v>-37.5</x:v>
      </x:c>
      <x:c r="B47" s="25" t="n">
        <x:v>0</x:v>
      </x:c>
      <x:c r="C47" s="25" t="n">
        <x:f>Subsurface_Inputs!$C$57+1.5*SIN(2*PI()*A47/35)</x:f>
        <x:v>11.349174391323663</x:v>
      </x:c>
      <x:c r="D47" s="25" t="n">
        <x:f>Subsurface_Live_Data!M47+Subsurface_Inputs!$C$56*SIN(2*PI()*A47/31)</x:f>
        <x:v>13.25130854879388</x:v>
      </x:c>
      <x:c r="E47" s="25" t="n">
        <x:f>IF(Subsurface_Live_Data!H47&gt;=Subsurface_Inputs!$C$42,Subsurface_Live_Data!N47+Subsurface_Inputs!$C$56*SIN(2*PI()*A47/27),"")</x:f>
        <x:v>59.684907046045694</x:v>
      </x:c>
      <x:c r="F47" s="25" t="n">
        <x:f>Subsurface_Live_Data!O47+Subsurface_Inputs!$C$56*SIN(2*PI()*A47/47)</x:f>
        <x:v>174.6830902189844</x:v>
      </x:c>
      <x:c r="G47" s="25" t="n">
        <x:f>-55+3*SIN(2*PI()*A47/19)</x:f>
        <x:v>-54.50621622915779</x:v>
      </x:c>
    </x:row>
    <x:row r="48">
      <x:c r="A48" s="25" t="n">
        <x:f>Subsurface_Live_Data!A48</x:f>
        <x:v>-37</x:v>
      </x:c>
      <x:c r="B48" s="25" t="n">
        <x:v>0</x:v>
      </x:c>
      <x:c r="C48" s="25" t="n">
        <x:f>Subsurface_Inputs!$C$57+1.5*SIN(2*PI()*A48/35)</x:f>
        <x:v>11.472937763877987</x:v>
      </x:c>
      <x:c r="D48" s="25" t="n">
        <x:f>Subsurface_Live_Data!M48+Subsurface_Inputs!$C$56*SIN(2*PI()*A48/31)</x:f>
        <x:v>13.14462425572058</x:v>
      </x:c>
      <x:c r="E48" s="25" t="n">
        <x:f>IF(Subsurface_Live_Data!H48&gt;=Subsurface_Inputs!$C$42,Subsurface_Live_Data!N48+Subsurface_Inputs!$C$56*SIN(2*PI()*A48/27),"")</x:f>
        <x:v>59.25042163867944</x:v>
      </x:c>
      <x:c r="F48" s="25" t="n">
        <x:f>Subsurface_Live_Data!O48+Subsurface_Inputs!$C$56*SIN(2*PI()*A48/47)</x:f>
        <x:v>174.69948488032745</x:v>
      </x:c>
      <x:c r="G48" s="25" t="n">
        <x:f>-55+3*SIN(2*PI()*A48/19)</x:f>
        <x:v>-54.02590159238595</x:v>
      </x:c>
    </x:row>
    <x:row r="49">
      <x:c r="A49" s="25" t="n">
        <x:f>Subsurface_Live_Data!A49</x:f>
        <x:v>-36.5</x:v>
      </x:c>
      <x:c r="B49" s="25" t="n">
        <x:v>0</x:v>
      </x:c>
      <x:c r="C49" s="25" t="n">
        <x:f>Subsurface_Inputs!$C$57+1.5*SIN(2*PI()*A49/35)</x:f>
        <x:v>11.600944731649987</x:v>
      </x:c>
      <x:c r="D49" s="25" t="n">
        <x:f>Subsurface_Live_Data!M49+Subsurface_Inputs!$C$56*SIN(2*PI()*A49/31)</x:f>
        <x:v>13.069401997832664</x:v>
      </x:c>
      <x:c r="E49" s="25" t="n">
        <x:f>IF(Subsurface_Live_Data!H49&gt;=Subsurface_Inputs!$C$42,Subsurface_Live_Data!N49+Subsurface_Inputs!$C$56*SIN(2*PI()*A49/27),"")</x:f>
        <x:v>58.82730394989614</x:v>
      </x:c>
      <x:c r="F49" s="25" t="n">
        <x:f>Subsurface_Live_Data!O49+Subsurface_Inputs!$C$56*SIN(2*PI()*A49/47)</x:f>
        <x:v>174.6606404341728</x:v>
      </x:c>
      <x:c r="G49" s="25" t="n">
        <x:f>-55+3*SIN(2*PI()*A49/19)</x:f>
        <x:v>-53.572157820888776</x:v>
      </x:c>
    </x:row>
    <x:row r="50">
      <x:c r="A50" s="25" t="n">
        <x:f>Subsurface_Live_Data!A50</x:f>
        <x:v>-36</x:v>
      </x:c>
      <x:c r="B50" s="25" t="n">
        <x:v>0</x:v>
      </x:c>
      <x:c r="C50" s="25" t="n">
        <x:f>Subsurface_Inputs!$C$57+1.5*SIN(2*PI()*A50/35)</x:f>
        <x:v>11.732164657802045</x:v>
      </x:c>
      <x:c r="D50" s="25" t="n">
        <x:f>Subsurface_Live_Data!M50+Subsurface_Inputs!$C$56*SIN(2*PI()*A50/31)</x:f>
        <x:v>13.001920703650951</x:v>
      </x:c>
      <x:c r="E50" s="25" t="n">
        <x:f>IF(Subsurface_Live_Data!H50&gt;=Subsurface_Inputs!$C$42,Subsurface_Live_Data!N50+Subsurface_Inputs!$C$56*SIN(2*PI()*A50/27),"")</x:f>
        <x:v>58.41767733528795</x:v>
      </x:c>
      <x:c r="F50" s="25" t="n">
        <x:f>Subsurface_Live_Data!O50+Subsurface_Inputs!$C$56*SIN(2*PI()*A50/47)</x:f>
        <x:v>174.6532115967964</x:v>
      </x:c>
      <x:c r="G50" s="25" t="n">
        <x:f>-55+3*SIN(2*PI()*A50/19)</x:f>
        <x:v>-53.157361861930994</x:v>
      </x:c>
    </x:row>
    <x:row r="51">
      <x:c r="A51" s="25" t="n">
        <x:f>Subsurface_Live_Data!A51</x:f>
        <x:v>-35.5</x:v>
      </x:c>
      <x:c r="B51" s="25" t="n">
        <x:v>0</x:v>
      </x:c>
      <x:c r="C51" s="25" t="n">
        <x:f>Subsurface_Inputs!$C$57+1.5*SIN(2*PI()*A51/35)</x:f>
        <x:v>11.86554103664485</x:v>
      </x:c>
      <x:c r="D51" s="25" t="n">
        <x:f>Subsurface_Live_Data!M51+Subsurface_Inputs!$C$56*SIN(2*PI()*A51/31)</x:f>
        <x:v>12.954022272277502</x:v>
      </x:c>
      <x:c r="E51" s="25" t="n">
        <x:f>IF(Subsurface_Live_Data!H51&gt;=Subsurface_Inputs!$C$42,Subsurface_Live_Data!N51+Subsurface_Inputs!$C$56*SIN(2*PI()*A51/27),"")</x:f>
        <x:v>58.02347704055207</x:v>
      </x:c>
      <x:c r="F51" s="25" t="n">
        <x:f>Subsurface_Live_Data!O51+Subsurface_Inputs!$C$56*SIN(2*PI()*A51/47)</x:f>
        <x:v>174.63832253988505</x:v>
      </x:c>
      <x:c r="G51" s="25" t="n">
        <x:f>-55+3*SIN(2*PI()*A51/19)</x:f>
        <x:v>-52.79282826798061</x:v>
      </x:c>
    </x:row>
    <x:row r="52">
      <x:c r="A52" s="25" t="n">
        <x:f>Subsurface_Live_Data!A52</x:f>
        <x:v>-35</x:v>
      </x:c>
      <x:c r="B52" s="25" t="n">
        <x:v>0</x:v>
      </x:c>
      <x:c r="C52" s="25" t="n">
        <x:f>Subsurface_Inputs!$C$57+1.5*SIN(2*PI()*A52/35)</x:f>
        <x:v>12</x:v>
      </x:c>
      <x:c r="D52" s="25" t="n">
        <x:f>Subsurface_Live_Data!M52+Subsurface_Inputs!$C$56*SIN(2*PI()*A52/31)</x:f>
        <x:v>12.916876813734895</x:v>
      </x:c>
      <x:c r="E52" s="25" t="n">
        <x:f>IF(Subsurface_Live_Data!H52&gt;=Subsurface_Inputs!$C$42,Subsurface_Live_Data!N52+Subsurface_Inputs!$C$56*SIN(2*PI()*A52/27),"")</x:f>
        <x:v>57.646431063426405</x:v>
      </x:c>
      <x:c r="F52" s="25" t="n">
        <x:f>Subsurface_Live_Data!O52+Subsurface_Inputs!$C$56*SIN(2*PI()*A52/47)</x:f>
        <x:v>174.64834943811942</x:v>
      </x:c>
      <x:c r="G52" s="25" t="n">
        <x:f>-55+3*SIN(2*PI()*A52/19)</x:f>
        <x:v>-52.48850056521241</x:v>
      </x:c>
    </x:row>
    <x:row r="53">
      <x:c r="A53" s="25" t="n">
        <x:f>Subsurface_Live_Data!A53</x:f>
        <x:v>-34.5</x:v>
      </x:c>
      <x:c r="B53" s="25" t="n">
        <x:v>0</x:v>
      </x:c>
      <x:c r="C53" s="25" t="n">
        <x:f>Subsurface_Inputs!$C$57+1.5*SIN(2*PI()*A53/35)</x:f>
        <x:v>12.13445896335515</x:v>
      </x:c>
      <x:c r="D53" s="25" t="n">
        <x:f>Subsurface_Live_Data!M53+Subsurface_Inputs!$C$56*SIN(2*PI()*A53/31)</x:f>
        <x:v>12.916974675122045</x:v>
      </x:c>
      <x:c r="E53" s="25" t="n">
        <x:f>IF(Subsurface_Live_Data!H53&gt;=Subsurface_Inputs!$C$42,Subsurface_Live_Data!N53+Subsurface_Inputs!$C$56*SIN(2*PI()*A53/27),"")</x:f>
        <x:v>57.28804378219413</x:v>
      </x:c>
      <x:c r="F53" s="25" t="n">
        <x:f>Subsurface_Live_Data!O53+Subsurface_Inputs!$C$56*SIN(2*PI()*A53/47)</x:f>
        <x:v>174.59092795860985</x:v>
      </x:c>
      <x:c r="G53" s="25" t="n">
        <x:f>-55+3*SIN(2*PI()*A53/19)</x:f>
        <x:v>-52.25268002003483</x:v>
      </x:c>
    </x:row>
    <x:row r="54">
      <x:c r="A54" s="25" t="n">
        <x:f>Subsurface_Live_Data!A54</x:f>
        <x:v>-34</x:v>
      </x:c>
      <x:c r="B54" s="25" t="n">
        <x:v>0</x:v>
      </x:c>
      <x:c r="C54" s="25" t="n">
        <x:f>Subsurface_Inputs!$C$57+1.5*SIN(2*PI()*A54/35)</x:f>
        <x:v>12.267835342197955</x:v>
      </x:c>
      <x:c r="D54" s="25" t="n">
        <x:f>Subsurface_Live_Data!M54+Subsurface_Inputs!$C$56*SIN(2*PI()*A54/31)</x:f>
        <x:v>12.919620293137514</x:v>
      </x:c>
      <x:c r="E54" s="25" t="n">
        <x:f>IF(Subsurface_Live_Data!H54&gt;=Subsurface_Inputs!$C$42,Subsurface_Live_Data!N54+Subsurface_Inputs!$C$56*SIN(2*PI()*A54/27),"")</x:f>
        <x:v>56.94958254206358</x:v>
      </x:c>
      <x:c r="F54" s="25" t="n">
        <x:f>Subsurface_Live_Data!O54+Subsurface_Inputs!$C$56*SIN(2*PI()*A54/47)</x:f>
        <x:v>174.58672352729175</x:v>
      </x:c>
      <x:c r="G54" s="25" t="n">
        <x:f>-55+3*SIN(2*PI()*A54/19)</x:f>
        <x:v>-52.09179920218201</x:v>
      </x:c>
    </x:row>
    <x:row r="55">
      <x:c r="A55" s="25" t="n">
        <x:f>Subsurface_Live_Data!A55</x:f>
        <x:v>-33.5</x:v>
      </x:c>
      <x:c r="B55" s="25" t="n">
        <x:v>0</x:v>
      </x:c>
      <x:c r="C55" s="25" t="n">
        <x:f>Subsurface_Inputs!$C$57+1.5*SIN(2*PI()*A55/35)</x:f>
        <x:v>12.399055268350013</x:v>
      </x:c>
      <x:c r="D55" s="25" t="n">
        <x:f>Subsurface_Live_Data!M55+Subsurface_Inputs!$C$56*SIN(2*PI()*A55/31)</x:f>
        <x:v>12.942413776663583</x:v>
      </x:c>
      <x:c r="E55" s="25" t="n">
        <x:f>IF(Subsurface_Live_Data!H55&gt;=Subsurface_Inputs!$C$42,Subsurface_Live_Data!N55+Subsurface_Inputs!$C$56*SIN(2*PI()*A55/27),"")</x:f>
        <x:v>56.63206735252432</x:v>
      </x:c>
      <x:c r="F55" s="25" t="n">
        <x:f>Subsurface_Live_Data!O55+Subsurface_Inputs!$C$56*SIN(2*PI()*A55/47)</x:f>
        <x:v>174.5722638558172</x:v>
      </x:c>
      <x:c r="G55" s="25" t="n">
        <x:f>-55+3*SIN(2*PI()*A55/19)</x:f>
        <x:v>-52.01024652097999</x:v>
      </x:c>
    </x:row>
    <x:row r="56">
      <x:c r="A56" s="25" t="n">
        <x:f>Subsurface_Live_Data!A56</x:f>
        <x:v>-33</x:v>
      </x:c>
      <x:c r="B56" s="25" t="n">
        <x:v>0</x:v>
      </x:c>
      <x:c r="C56" s="25" t="n">
        <x:f>Subsurface_Inputs!$C$57+1.5*SIN(2*PI()*A56/35)</x:f>
        <x:v>12.527062236122013</x:v>
      </x:c>
      <x:c r="D56" s="25" t="n">
        <x:f>Subsurface_Live_Data!M56+Subsurface_Inputs!$C$56*SIN(2*PI()*A56/31)</x:f>
        <x:v>12.983752133779676</x:v>
      </x:c>
      <x:c r="E56" s="25" t="n">
        <x:f>IF(Subsurface_Live_Data!H56&gt;=Subsurface_Inputs!$C$42,Subsurface_Live_Data!N56+Subsurface_Inputs!$C$56*SIN(2*PI()*A56/27),"")</x:f>
        <x:v>56.33626380893449</x:v>
      </x:c>
      <x:c r="F56" s="25" t="n">
        <x:f>Subsurface_Live_Data!O56+Subsurface_Inputs!$C$56*SIN(2*PI()*A56/47)</x:f>
        <x:v>174.55022183964826</x:v>
      </x:c>
      <x:c r="G56" s="25" t="n">
        <x:f>-55+3*SIN(2*PI()*A56/19)</x:f>
        <x:v>-52.01024652097999</x:v>
      </x:c>
    </x:row>
    <x:row r="57">
      <x:c r="A57" s="25" t="n">
        <x:f>Subsurface_Live_Data!A57</x:f>
        <x:v>-32.5</x:v>
      </x:c>
      <x:c r="B57" s="25" t="n">
        <x:v>0</x:v>
      </x:c>
      <x:c r="C57" s="25" t="n">
        <x:f>Subsurface_Inputs!$C$57+1.5*SIN(2*PI()*A57/35)</x:f>
        <x:v>12.650825608676337</x:v>
      </x:c>
      <x:c r="D57" s="25" t="n">
        <x:f>Subsurface_Live_Data!M57+Subsurface_Inputs!$C$56*SIN(2*PI()*A57/31)</x:f>
        <x:v>13.037945360527734</x:v>
      </x:c>
      <x:c r="E57" s="25" t="n">
        <x:f>IF(Subsurface_Live_Data!H57&gt;=Subsurface_Inputs!$C$42,Subsurface_Live_Data!N57+Subsurface_Inputs!$C$56*SIN(2*PI()*A57/27),"")</x:f>
        <x:v>56.062679310587555</x:v>
      </x:c>
      <x:c r="F57" s="25" t="n">
        <x:f>Subsurface_Live_Data!O57+Subsurface_Inputs!$C$56*SIN(2*PI()*A57/47)</x:f>
        <x:v>174.53656504330402</x:v>
      </x:c>
      <x:c r="G57" s="25" t="n">
        <x:f>-55+3*SIN(2*PI()*A57/19)</x:f>
        <x:v>-52.09179920218201</x:v>
      </x:c>
    </x:row>
    <x:row r="58">
      <x:c r="A58" s="25" t="n">
        <x:f>Subsurface_Live_Data!A58</x:f>
        <x:v>-32</x:v>
      </x:c>
      <x:c r="B58" s="25" t="n">
        <x:v>0</x:v>
      </x:c>
      <x:c r="C58" s="25" t="n">
        <x:f>Subsurface_Inputs!$C$57+1.5*SIN(2*PI()*A58/35)</x:f>
        <x:v>12.769348916108859</x:v>
      </x:c>
      <x:c r="D58" s="25" t="n">
        <x:f>Subsurface_Live_Data!M58+Subsurface_Inputs!$C$56*SIN(2*PI()*A58/31)</x:f>
        <x:v>13.096762480583589</x:v>
      </x:c>
      <x:c r="E58" s="25" t="n">
        <x:f>IF(Subsurface_Live_Data!H58&gt;=Subsurface_Inputs!$C$42,Subsurface_Live_Data!N58+Subsurface_Inputs!$C$56*SIN(2*PI()*A58/27),"")</x:f>
        <x:v>55.811562605825266</x:v>
      </x:c>
      <x:c r="F58" s="25" t="n">
        <x:f>Subsurface_Live_Data!O58+Subsurface_Inputs!$C$56*SIN(2*PI()*A58/47)</x:f>
        <x:v>174.55521810990456</x:v>
      </x:c>
      <x:c r="G58" s="25" t="n">
        <x:f>-55+3*SIN(2*PI()*A58/19)</x:f>
        <x:v>-52.25268002003483</x:v>
      </x:c>
    </x:row>
    <x:row r="59">
      <x:c r="A59" s="25" t="n">
        <x:f>Subsurface_Live_Data!A59</x:f>
        <x:v>-31.5</x:v>
      </x:c>
      <x:c r="B59" s="25" t="n">
        <x:v>0</x:v>
      </x:c>
      <x:c r="C59" s="25" t="n">
        <x:f>Subsurface_Inputs!$C$57+1.5*SIN(2*PI()*A59/35)</x:f>
        <x:v>12.88167787843871</x:v>
      </x:c>
      <x:c r="D59" s="25" t="n">
        <x:f>Subsurface_Live_Data!M59+Subsurface_Inputs!$C$56*SIN(2*PI()*A59/31)</x:f>
        <x:v>13.17890231562772</x:v>
      </x:c>
      <x:c r="E59" s="25" t="n">
        <x:f>IF(Subsurface_Live_Data!H59&gt;=Subsurface_Inputs!$C$42,Subsurface_Live_Data!N59+Subsurface_Inputs!$C$56*SIN(2*PI()*A59/27),"")</x:f>
        <x:v>55.58290665289033</x:v>
      </x:c>
      <x:c r="F59" s="25" t="n">
        <x:f>Subsurface_Live_Data!O59+Subsurface_Inputs!$C$56*SIN(2*PI()*A59/47)</x:f>
        <x:v>174.53500520040316</x:v>
      </x:c>
      <x:c r="G59" s="25" t="n">
        <x:f>-55+3*SIN(2*PI()*A59/19)</x:f>
        <x:v>-52.48850056521241</x:v>
      </x:c>
    </x:row>
    <x:row r="60">
      <x:c r="A60" s="25" t="n">
        <x:f>Subsurface_Live_Data!A60</x:f>
        <x:v>-31</x:v>
      </x:c>
      <x:c r="B60" s="25" t="n">
        <x:v>0</x:v>
      </x:c>
      <x:c r="C60" s="25" t="n">
        <x:f>Subsurface_Inputs!$C$57+1.5*SIN(2*PI()*A60/35)</x:f>
        <x:v>12.98690808890957</x:v>
      </x:c>
      <x:c r="D60" s="25" t="n">
        <x:f>Subsurface_Live_Data!M60+Subsurface_Inputs!$C$56*SIN(2*PI()*A60/31)</x:f>
        <x:v>13.26320436177126</x:v>
      </x:c>
      <x:c r="E60" s="25" t="n">
        <x:f>IF(Subsurface_Live_Data!H60&gt;=Subsurface_Inputs!$C$42,Subsurface_Live_Data!N60+Subsurface_Inputs!$C$56*SIN(2*PI()*A60/27),"")</x:f>
        <x:v>55.37645474362806</x:v>
      </x:c>
      <x:c r="F60" s="25" t="n">
        <x:f>Subsurface_Live_Data!O60+Subsurface_Inputs!$C$56*SIN(2*PI()*A60/47)</x:f>
        <x:v>174.54351718745002</x:v>
      </x:c>
      <x:c r="G60" s="25" t="n">
        <x:f>-55+3*SIN(2*PI()*A60/19)</x:f>
        <x:v>-52.79282826798061</x:v>
      </x:c>
    </x:row>
    <x:row r="61">
      <x:c r="A61" s="25" t="n">
        <x:f>Subsurface_Live_Data!A61</x:f>
        <x:v>-30.5</x:v>
      </x:c>
      <x:c r="B61" s="25" t="n">
        <x:v>0</x:v>
      </x:c>
      <x:c r="C61" s="25" t="n">
        <x:f>Subsurface_Inputs!$C$57+1.5*SIN(2*PI()*A61/35)</x:f>
        <x:v>13.084192295741087</x:v>
      </x:c>
      <x:c r="D61" s="25" t="n">
        <x:f>Subsurface_Live_Data!M61+Subsurface_Inputs!$C$56*SIN(2*PI()*A61/31)</x:f>
        <x:v>13.349121881344407</x:v>
      </x:c>
      <x:c r="E61" s="25" t="n">
        <x:f>IF(Subsurface_Live_Data!H61&gt;=Subsurface_Inputs!$C$42,Subsurface_Live_Data!N61+Subsurface_Inputs!$C$56*SIN(2*PI()*A61/27),"")</x:f>
        <x:v>55.19170979632118</x:v>
      </x:c>
      <x:c r="F61" s="25" t="n">
        <x:f>Subsurface_Live_Data!O61+Subsurface_Inputs!$C$56*SIN(2*PI()*A61/47)</x:f>
        <x:v>174.57557448792252</x:v>
      </x:c>
      <x:c r="G61" s="25" t="n">
        <x:f>-55+3*SIN(2*PI()*A61/19)</x:f>
        <x:v>-53.157361861930994</x:v>
      </x:c>
    </x:row>
    <x:row r="62">
      <x:c r="A62" s="25" t="n">
        <x:f>Subsurface_Live_Data!A62</x:f>
        <x:v>-30</x:v>
      </x:c>
      <x:c r="B62" s="25" t="n">
        <x:v>0</x:v>
      </x:c>
      <x:c r="C62" s="25" t="n">
        <x:f>Subsurface_Inputs!$C$57+1.5*SIN(2*PI()*A62/35)</x:f>
        <x:v>13.172747223702045</x:v>
      </x:c>
      <x:c r="D62" s="25" t="n">
        <x:f>Subsurface_Live_Data!M62+Subsurface_Inputs!$C$56*SIN(2*PI()*A62/31)</x:f>
        <x:v>13.446520856495681</x:v>
      </x:c>
      <x:c r="E62" s="25" t="n">
        <x:f>IF(Subsurface_Live_Data!H62&gt;=Subsurface_Inputs!$C$42,Subsurface_Live_Data!N62+Subsurface_Inputs!$C$56*SIN(2*PI()*A62/27),"")</x:f>
        <x:v>55.02794668433552</x:v>
      </x:c>
      <x:c r="F62" s="25" t="n">
        <x:f>Subsurface_Live_Data!O62+Subsurface_Inputs!$C$56*SIN(2*PI()*A62/47)</x:f>
        <x:v>174.5890607949218</x:v>
      </x:c>
      <x:c r="G62" s="25" t="n">
        <x:f>-55+3*SIN(2*PI()*A62/19)</x:f>
        <x:v>-53.57215782088878</x:v>
      </x:c>
    </x:row>
    <x:row r="63">
      <x:c r="A63" s="25" t="n">
        <x:f>Subsurface_Live_Data!A63</x:f>
        <x:v>-29.5</x:v>
      </x:c>
      <x:c r="B63" s="25" t="n">
        <x:v>0</x:v>
      </x:c>
      <x:c r="C63" s="25" t="n">
        <x:f>Subsurface_Inputs!$C$57+1.5*SIN(2*PI()*A63/35)</x:f>
        <x:v>13.251859880581954</x:v>
      </x:c>
      <x:c r="D63" s="25" t="n">
        <x:f>Subsurface_Live_Data!M63+Subsurface_Inputs!$C$56*SIN(2*PI()*A63/31)</x:f>
        <x:v>13.542551781168696</x:v>
      </x:c>
      <x:c r="E63" s="25" t="n">
        <x:f>IF(Subsurface_Live_Data!H63&gt;=Subsurface_Inputs!$C$42,Subsurface_Live_Data!N63+Subsurface_Inputs!$C$56*SIN(2*PI()*A63/27),"")</x:f>
        <x:v>54.88422742930896</x:v>
      </x:c>
      <x:c r="F63" s="25" t="n">
        <x:f>Subsurface_Live_Data!O63+Subsurface_Inputs!$C$56*SIN(2*PI()*A63/47)</x:f>
        <x:v>174.62101110467466</x:v>
      </x:c>
      <x:c r="G63" s="25" t="n">
        <x:f>-55+3*SIN(2*PI()*A63/19)</x:f>
        <x:v>-54.02590159238595</x:v>
      </x:c>
    </x:row>
    <x:row r="64">
      <x:c r="A64" s="25" t="n">
        <x:f>Subsurface_Live_Data!A64</x:f>
        <x:v>-29</x:v>
      </x:c>
      <x:c r="B64" s="25" t="n">
        <x:v>0</x:v>
      </x:c>
      <x:c r="C64" s="25" t="n">
        <x:f>Subsurface_Inputs!$C$57+1.5*SIN(2*PI()*A64/35)</x:f>
        <x:v>13.320893297785107</x:v>
      </x:c>
      <x:c r="D64" s="25" t="n">
        <x:f>Subsurface_Live_Data!M64+Subsurface_Inputs!$C$56*SIN(2*PI()*A64/31)</x:f>
        <x:v>13.646810159536122</x:v>
      </x:c>
      <x:c r="E64" s="25" t="n">
        <x:f>IF(Subsurface_Live_Data!H64&gt;=Subsurface_Inputs!$C$42,Subsurface_Live_Data!N64+Subsurface_Inputs!$C$56*SIN(2*PI()*A64/27),"")</x:f>
        <x:v>54.75941905175904</x:v>
      </x:c>
      <x:c r="F64" s="25" t="n">
        <x:f>Subsurface_Live_Data!O64+Subsurface_Inputs!$C$56*SIN(2*PI()*A64/47)</x:f>
        <x:v>174.62969614070803</x:v>
      </x:c>
      <x:c r="G64" s="25" t="n">
        <x:f>-55+3*SIN(2*PI()*A64/19)</x:f>
        <x:v>-54.5062162291578</x:v>
      </x:c>
    </x:row>
    <x:row r="65">
      <x:c r="A65" s="25" t="n">
        <x:f>Subsurface_Live_Data!A65</x:f>
        <x:v>-28.5</x:v>
      </x:c>
      <x:c r="B65" s="25" t="n">
        <x:v>0</x:v>
      </x:c>
      <x:c r="C65" s="25" t="n">
        <x:f>Subsurface_Inputs!$C$57+1.5*SIN(2*PI()*A65/35)</x:f>
        <x:v>13.379291658827176</x:v>
      </x:c>
      <x:c r="D65" s="25" t="n">
        <x:f>Subsurface_Live_Data!M65+Subsurface_Inputs!$C$56*SIN(2*PI()*A65/31)</x:f>
        <x:v>13.736085542531143</x:v>
      </x:c>
      <x:c r="E65" s="25" t="n">
        <x:f>IF(Subsurface_Live_Data!H65&gt;=Subsurface_Inputs!$C$42,Subsurface_Live_Data!N65+Subsurface_Inputs!$C$56*SIN(2*PI()*A65/27),"")</x:f>
        <x:v>54.65221383861781</x:v>
      </x:c>
      <x:c r="F65" s="25" t="n">
        <x:f>Subsurface_Live_Data!O65+Subsurface_Inputs!$C$56*SIN(2*PI()*A65/47)</x:f>
        <x:v>174.68815127281</x:v>
      </x:c>
      <x:c r="G65" s="25" t="n">
        <x:f>-55+3*SIN(2*PI()*A65/19)</x:f>
        <x:v>-55</x:v>
      </x:c>
    </x:row>
    <x:row r="66">
      <x:c r="A66" s="25" t="n">
        <x:f>Subsurface_Live_Data!A66</x:f>
        <x:v>-28</x:v>
      </x:c>
      <x:c r="B66" s="25" t="n">
        <x:v>0</x:v>
      </x:c>
      <x:c r="C66" s="25" t="n">
        <x:f>Subsurface_Inputs!$C$57+1.5*SIN(2*PI()*A66/35)</x:f>
        <x:v>13.42658477444273</x:v>
      </x:c>
      <x:c r="D66" s="25" t="n">
        <x:f>Subsurface_Live_Data!M66+Subsurface_Inputs!$C$56*SIN(2*PI()*A66/31)</x:f>
        <x:v>13.83258811138292</x:v>
      </x:c>
      <x:c r="E66" s="25" t="n">
        <x:f>IF(Subsurface_Live_Data!H66&gt;=Subsurface_Inputs!$C$42,Subsurface_Live_Data!N66+Subsurface_Inputs!$C$56*SIN(2*PI()*A66/27),"")</x:f>
        <x:v>54.5611517567082</x:v>
      </x:c>
      <x:c r="F66" s="25" t="n">
        <x:f>Subsurface_Live_Data!O66+Subsurface_Inputs!$C$56*SIN(2*PI()*A66/47)</x:f>
        <x:v>174.7105358183803</x:v>
      </x:c>
      <x:c r="G66" s="25" t="n">
        <x:f>-55+3*SIN(2*PI()*A66/19)</x:f>
        <x:v>-55.49378377084221</x:v>
      </x:c>
    </x:row>
    <x:row r="67">
      <x:c r="A67" s="25" t="n">
        <x:f>Subsurface_Live_Data!A67</x:f>
        <x:v>-27.5</x:v>
      </x:c>
      <x:c r="B67" s="25" t="n">
        <x:v>0</x:v>
      </x:c>
      <x:c r="C67" s="25" t="n">
        <x:f>Subsurface_Inputs!$C$57+1.5*SIN(2*PI()*A67/35)</x:f>
        <x:v>13.462391868272736</x:v>
      </x:c>
      <x:c r="D67" s="25" t="n">
        <x:f>Subsurface_Live_Data!M67+Subsurface_Inputs!$C$56*SIN(2*PI()*A67/31)</x:f>
        <x:v>13.912954604461488</x:v>
      </x:c>
      <x:c r="E67" s="25" t="n">
        <x:f>IF(Subsurface_Live_Data!H67&gt;=Subsurface_Inputs!$C$42,Subsurface_Live_Data!N67+Subsurface_Inputs!$C$56*SIN(2*PI()*A67/27),"")</x:f>
        <x:v>54.484644713909276</x:v>
      </x:c>
      <x:c r="F67" s="25" t="n">
        <x:f>Subsurface_Live_Data!O67+Subsurface_Inputs!$C$56*SIN(2*PI()*A67/47)</x:f>
        <x:v>174.77076381305258</x:v>
      </x:c>
      <x:c r="G67" s="25" t="n">
        <x:f>-55+3*SIN(2*PI()*A67/19)</x:f>
        <x:v>-55.97409840761405</x:v>
      </x:c>
    </x:row>
    <x:row r="68">
      <x:c r="A68" s="25" t="n">
        <x:f>Subsurface_Live_Data!A68</x:f>
        <x:v>-27</x:v>
      </x:c>
      <x:c r="B68" s="25" t="n">
        <x:v>0</x:v>
      </x:c>
      <x:c r="C68" s="25" t="n">
        <x:f>Subsurface_Inputs!$C$57+1.5*SIN(2*PI()*A68/35)</x:f>
        <x:v>13.486424642651903</x:v>
      </x:c>
      <x:c r="D68" s="25" t="n">
        <x:f>Subsurface_Live_Data!M68+Subsurface_Inputs!$C$56*SIN(2*PI()*A68/31)</x:f>
        <x:v>13.988408702764401</x:v>
      </x:c>
      <x:c r="E68" s="25" t="n">
        <x:f>IF(Subsurface_Live_Data!H68&gt;=Subsurface_Inputs!$C$42,Subsurface_Live_Data!N68+Subsurface_Inputs!$C$56*SIN(2*PI()*A68/27),"")</x:f>
        <x:v>54.421002346040794</x:v>
      </x:c>
      <x:c r="F68" s="25" t="n">
        <x:f>Subsurface_Live_Data!O68+Subsurface_Inputs!$C$56*SIN(2*PI()*A68/47)</x:f>
        <x:v>174.8220907216846</x:v>
      </x:c>
      <x:c r="G68" s="25" t="n">
        <x:f>-55+3*SIN(2*PI()*A68/19)</x:f>
        <x:v>-56.427842179111224</x:v>
      </x:c>
    </x:row>
    <x:row r="69">
      <x:c r="A69" s="25" t="n">
        <x:f>Subsurface_Live_Data!A69</x:f>
        <x:v>-26.5</x:v>
      </x:c>
      <x:c r="B69" s="25" t="n">
        <x:v>0</x:v>
      </x:c>
      <x:c r="C69" s="25" t="n">
        <x:f>Subsurface_Inputs!$C$57+1.5*SIN(2*PI()*A69/35)</x:f>
        <x:v>13.498489599811972</x:v>
      </x:c>
      <x:c r="D69" s="25" t="n">
        <x:f>Subsurface_Live_Data!M69+Subsurface_Inputs!$C$56*SIN(2*PI()*A69/31)</x:f>
        <x:v>14.056727626625122</x:v>
      </x:c>
      <x:c r="E69" s="25" t="n">
        <x:f>IF(Subsurface_Live_Data!H69&gt;=Subsurface_Inputs!$C$42,Subsurface_Live_Data!N69+Subsurface_Inputs!$C$56*SIN(2*PI()*A69/27),"")</x:f>
        <x:v>54.368458987627214</x:v>
      </x:c>
      <x:c r="F69" s="25" t="n">
        <x:f>Subsurface_Live_Data!O69+Subsurface_Inputs!$C$56*SIN(2*PI()*A69/47)</x:f>
        <x:v>174.8653723770344</x:v>
      </x:c>
      <x:c r="G69" s="25" t="n">
        <x:f>-55+3*SIN(2*PI()*A69/19)</x:f>
        <x:v>-56.842638138069006</x:v>
      </x:c>
    </x:row>
    <x:row r="70">
      <x:c r="A70" s="25" t="n">
        <x:f>Subsurface_Live_Data!A70</x:f>
        <x:v>-26</x:v>
      </x:c>
      <x:c r="B70" s="25" t="n">
        <x:v>0</x:v>
      </x:c>
      <x:c r="C70" s="25" t="n">
        <x:f>Subsurface_Inputs!$C$57+1.5*SIN(2*PI()*A70/35)</x:f>
        <x:v>13.498489599811972</x:v>
      </x:c>
      <x:c r="D70" s="25" t="n">
        <x:f>Subsurface_Live_Data!M70+Subsurface_Inputs!$C$56*SIN(2*PI()*A70/31)</x:f>
        <x:v>14.102329906298417</x:v>
      </x:c>
      <x:c r="E70" s="25" t="n">
        <x:f>IF(Subsurface_Live_Data!H70&gt;=Subsurface_Inputs!$C$42,Subsurface_Live_Data!N70+Subsurface_Inputs!$C$56*SIN(2*PI()*A70/27),"")</x:f>
        <x:v>54.325201468935155</x:v>
      </x:c>
      <x:c r="F70" s="25" t="n">
        <x:f>Subsurface_Live_Data!O70+Subsurface_Inputs!$C$56*SIN(2*PI()*A70/47)</x:f>
        <x:v>174.94889128988828</x:v>
      </x:c>
      <x:c r="G70" s="25" t="n">
        <x:f>-55+3*SIN(2*PI()*A70/19)</x:f>
        <x:v>-57.20717173201939</x:v>
      </x:c>
    </x:row>
    <x:row r="71">
      <x:c r="A71" s="25" t="n">
        <x:f>Subsurface_Live_Data!A71</x:f>
        <x:v>-25.5</x:v>
      </x:c>
      <x:c r="B71" s="25" t="n">
        <x:v>0</x:v>
      </x:c>
      <x:c r="C71" s="25" t="n">
        <x:f>Subsurface_Inputs!$C$57+1.5*SIN(2*PI()*A71/35)</x:f>
        <x:v>13.486424642651903</x:v>
      </x:c>
      <x:c r="D71" s="25" t="n">
        <x:f>Subsurface_Live_Data!M71+Subsurface_Inputs!$C$56*SIN(2*PI()*A71/31)</x:f>
        <x:v>14.14196563377072</x:v>
      </x:c>
      <x:c r="E71" s="25" t="n">
        <x:f>IF(Subsurface_Live_Data!H71&gt;=Subsurface_Inputs!$C$42,Subsurface_Live_Data!N71+Subsurface_Inputs!$C$56*SIN(2*PI()*A71/27),"")</x:f>
        <x:v>54.289397370236586</x:v>
      </x:c>
      <x:c r="F71" s="25" t="n">
        <x:f>Subsurface_Live_Data!O71+Subsurface_Inputs!$C$56*SIN(2*PI()*A71/47)</x:f>
        <x:v>175.0085634033535</x:v>
      </x:c>
      <x:c r="G71" s="25" t="n">
        <x:f>-55+3*SIN(2*PI()*A71/19)</x:f>
        <x:v>-57.51149943478759</x:v>
      </x:c>
    </x:row>
    <x:row r="72">
      <x:c r="A72" s="25" t="n">
        <x:f>Subsurface_Live_Data!A72</x:f>
        <x:v>-25</x:v>
      </x:c>
      <x:c r="B72" s="25" t="n">
        <x:v>0</x:v>
      </x:c>
      <x:c r="C72" s="25" t="n">
        <x:f>Subsurface_Inputs!$C$57+1.5*SIN(2*PI()*A72/35)</x:f>
        <x:v>13.462391868272736</x:v>
      </x:c>
      <x:c r="D72" s="25" t="n">
        <x:f>Subsurface_Live_Data!M72+Subsurface_Inputs!$C$56*SIN(2*PI()*A72/31)</x:f>
        <x:v>14.159846303345025</x:v>
      </x:c>
      <x:c r="E72" s="25" t="n">
        <x:f>IF(Subsurface_Live_Data!H72&gt;=Subsurface_Inputs!$C$42,Subsurface_Live_Data!N72+Subsurface_Inputs!$C$56*SIN(2*PI()*A72/27),"")</x:f>
        <x:v>54.2592233573158</x:v>
      </x:c>
      <x:c r="F72" s="25" t="n">
        <x:f>Subsurface_Live_Data!O72+Subsurface_Inputs!$C$56*SIN(2*PI()*A72/47)</x:f>
        <x:v>175.09509324010713</x:v>
      </x:c>
      <x:c r="G72" s="25" t="n">
        <x:f>-55+3*SIN(2*PI()*A72/19)</x:f>
        <x:v>-57.74731997996517</x:v>
      </x:c>
    </x:row>
    <x:row r="73">
      <x:c r="A73" s="25" t="n">
        <x:f>Subsurface_Live_Data!A73</x:f>
        <x:v>-24.5</x:v>
      </x:c>
      <x:c r="B73" s="25" t="n">
        <x:v>0</x:v>
      </x:c>
      <x:c r="C73" s="25" t="n">
        <x:f>Subsurface_Inputs!$C$57+1.5*SIN(2*PI()*A73/35)</x:f>
        <x:v>13.42658477444273</x:v>
      </x:c>
      <x:c r="D73" s="25" t="n">
        <x:f>Subsurface_Live_Data!M73+Subsurface_Inputs!$C$56*SIN(2*PI()*A73/31)</x:f>
        <x:v>14.173405042636901</x:v>
      </x:c>
      <x:c r="E73" s="25" t="n">
        <x:f>IF(Subsurface_Live_Data!H73&gt;=Subsurface_Inputs!$C$42,Subsurface_Live_Data!N73+Subsurface_Inputs!$C$56*SIN(2*PI()*A73/27),"")</x:f>
        <x:v>54.232893219944636</x:v>
      </x:c>
      <x:c r="F73" s="25" t="n">
        <x:f>Subsurface_Live_Data!O73+Subsurface_Inputs!$C$56*SIN(2*PI()*A73/47)</x:f>
        <x:v>175.1439076772996</x:v>
      </x:c>
      <x:c r="G73" s="25" t="n">
        <x:f>-55+3*SIN(2*PI()*A73/19)</x:f>
        <x:v>-57.90820079781799</x:v>
      </x:c>
    </x:row>
    <x:row r="74">
      <x:c r="A74" s="25" t="n">
        <x:f>Subsurface_Live_Data!A74</x:f>
        <x:v>-24</x:v>
      </x:c>
      <x:c r="B74" s="25" t="n">
        <x:v>0</x:v>
      </x:c>
      <x:c r="C74" s="25" t="n">
        <x:f>Subsurface_Inputs!$C$57+1.5*SIN(2*PI()*A74/35)</x:f>
        <x:v>13.379291658827176</x:v>
      </x:c>
      <x:c r="D74" s="25" t="n">
        <x:f>Subsurface_Live_Data!M74+Subsurface_Inputs!$C$56*SIN(2*PI()*A74/31)</x:f>
        <x:v>14.1572038673417</x:v>
      </x:c>
      <x:c r="E74" s="25" t="n">
        <x:f>IF(Subsurface_Live_Data!H74&gt;=Subsurface_Inputs!$C$42,Subsurface_Live_Data!N74+Subsurface_Inputs!$C$56*SIN(2*PI()*A74/27),"")</x:f>
        <x:v>54.208685237489725</x:v>
      </x:c>
      <x:c r="F74" s="25" t="n">
        <x:f>Subsurface_Live_Data!O74+Subsurface_Inputs!$C$56*SIN(2*PI()*A74/47)</x:f>
        <x:v>175.2415584227405</x:v>
      </x:c>
      <x:c r="G74" s="25" t="n">
        <x:f>-55+3*SIN(2*PI()*A74/19)</x:f>
        <x:v>-57.98975347902001</x:v>
      </x:c>
    </x:row>
    <x:row r="75">
      <x:c r="A75" s="25" t="n">
        <x:f>Subsurface_Live_Data!A75</x:f>
        <x:v>-23.5</x:v>
      </x:c>
      <x:c r="B75" s="25" t="n">
        <x:v>0</x:v>
      </x:c>
      <x:c r="C75" s="25" t="n">
        <x:f>Subsurface_Inputs!$C$57+1.5*SIN(2*PI()*A75/35)</x:f>
        <x:v>13.320893297785107</x:v>
      </x:c>
      <x:c r="D75" s="25" t="n">
        <x:f>Subsurface_Live_Data!M75+Subsurface_Inputs!$C$56*SIN(2*PI()*A75/31)</x:f>
        <x:v>14.128512993594303</x:v>
      </x:c>
      <x:c r="E75" s="25" t="n">
        <x:f>IF(Subsurface_Live_Data!H75&gt;=Subsurface_Inputs!$C$42,Subsurface_Live_Data!N75+Subsurface_Inputs!$C$56*SIN(2*PI()*A75/27),"")</x:f>
        <x:v>54.1849685030232</x:v>
      </x:c>
      <x:c r="F75" s="25" t="n">
        <x:f>Subsurface_Live_Data!O75+Subsurface_Inputs!$C$56*SIN(2*PI()*A75/47)</x:f>
        <x:v>175.32625414479432</x:v>
      </x:c>
      <x:c r="G75" s="25" t="n">
        <x:f>-55+3*SIN(2*PI()*A75/19)</x:f>
        <x:v>-57.98975347902001</x:v>
      </x:c>
    </x:row>
    <x:row r="76">
      <x:c r="A76" s="25" t="n">
        <x:f>Subsurface_Live_Data!A76</x:f>
        <x:v>-23</x:v>
      </x:c>
      <x:c r="B76" s="25" t="n">
        <x:v>0</x:v>
      </x:c>
      <x:c r="C76" s="25" t="n">
        <x:f>Subsurface_Inputs!$C$57+1.5*SIN(2*PI()*A76/35)</x:f>
        <x:v>13.251859880581954</x:v>
      </x:c>
      <x:c r="D76" s="25" t="n">
        <x:f>Subsurface_Live_Data!M76+Subsurface_Inputs!$C$56*SIN(2*PI()*A76/31)</x:f>
        <x:v>14.08100056914749</x:v>
      </x:c>
      <x:c r="E76" s="25" t="n">
        <x:f>IF(Subsurface_Live_Data!H76&gt;=Subsurface_Inputs!$C$42,Subsurface_Live_Data!N76+Subsurface_Inputs!$C$56*SIN(2*PI()*A76/27),"")</x:f>
        <x:v>54.16022784927287</x:v>
      </x:c>
      <x:c r="F76" s="25" t="n">
        <x:f>Subsurface_Live_Data!O76+Subsurface_Inputs!$C$56*SIN(2*PI()*A76/47)</x:f>
        <x:v>175.41998686850997</x:v>
      </x:c>
      <x:c r="G76" s="25" t="n">
        <x:f>-55+3*SIN(2*PI()*A76/19)</x:f>
        <x:v>-57.90820079781799</x:v>
      </x:c>
    </x:row>
    <x:row r="77">
      <x:c r="A77" s="25" t="n">
        <x:f>Subsurface_Live_Data!A77</x:f>
        <x:v>-22.5</x:v>
      </x:c>
      <x:c r="B77" s="25" t="n">
        <x:v>0</x:v>
      </x:c>
      <x:c r="C77" s="25" t="n">
        <x:f>Subsurface_Inputs!$C$57+1.5*SIN(2*PI()*A77/35)</x:f>
        <x:v>13.172747223702045</x:v>
      </x:c>
      <x:c r="D77" s="25" t="n">
        <x:f>Subsurface_Live_Data!M77+Subsurface_Inputs!$C$56*SIN(2*PI()*A77/31)</x:f>
        <x:v>14.015457473244256</x:v>
      </x:c>
      <x:c r="E77" s="25" t="n">
        <x:f>IF(Subsurface_Live_Data!H77&gt;=Subsurface_Inputs!$C$42,Subsurface_Live_Data!N77+Subsurface_Inputs!$C$56*SIN(2*PI()*A77/27),"")</x:f>
        <x:v>54.13308703639569</x:v>
      </x:c>
      <x:c r="F77" s="25" t="n">
        <x:f>Subsurface_Live_Data!O77+Subsurface_Inputs!$C$56*SIN(2*PI()*A77/47)</x:f>
        <x:v>175.52101556654083</x:v>
      </x:c>
      <x:c r="G77" s="25" t="n">
        <x:f>-55+3*SIN(2*PI()*A77/19)</x:f>
        <x:v>-57.74731997996517</x:v>
      </x:c>
    </x:row>
    <x:row r="78">
      <x:c r="A78" s="25" t="n">
        <x:f>Subsurface_Live_Data!A78</x:f>
        <x:v>-22</x:v>
      </x:c>
      <x:c r="B78" s="25" t="n">
        <x:v>0</x:v>
      </x:c>
      <x:c r="C78" s="25" t="n">
        <x:f>Subsurface_Inputs!$C$57+1.5*SIN(2*PI()*A78/35)</x:f>
        <x:v>13.084192295741087</x:v>
      </x:c>
      <x:c r="D78" s="25" t="n">
        <x:f>Subsurface_Live_Data!M78+Subsurface_Inputs!$C$56*SIN(2*PI()*A78/31)</x:f>
        <x:v>13.942517916139625</x:v>
      </x:c>
      <x:c r="E78" s="25" t="n">
        <x:f>IF(Subsurface_Live_Data!H78&gt;=Subsurface_Inputs!$C$42,Subsurface_Live_Data!N78+Subsurface_Inputs!$C$56*SIN(2*PI()*A78/27),"")</x:f>
        <x:v>54.10232988276156</x:v>
      </x:c>
      <x:c r="F78" s="25" t="n">
        <x:f>Subsurface_Live_Data!O78+Subsurface_Inputs!$C$56*SIN(2*PI()*A78/47)</x:f>
        <x:v>175.5943439305481</x:v>
      </x:c>
      <x:c r="G78" s="25" t="n">
        <x:f>-55+3*SIN(2*PI()*A78/19)</x:f>
        <x:v>-57.51149943478758</x:v>
      </x:c>
    </x:row>
    <x:row r="79">
      <x:c r="A79" s="25" t="n">
        <x:f>Subsurface_Live_Data!A79</x:f>
        <x:v>-21.5</x:v>
      </x:c>
      <x:c r="B79" s="25" t="n">
        <x:v>0</x:v>
      </x:c>
      <x:c r="C79" s="25" t="n">
        <x:f>Subsurface_Inputs!$C$57+1.5*SIN(2*PI()*A79/35)</x:f>
        <x:v>12.98690808890957</x:v>
      </x:c>
      <x:c r="D79" s="25" t="n">
        <x:f>Subsurface_Live_Data!M79+Subsurface_Inputs!$C$56*SIN(2*PI()*A79/31)</x:f>
        <x:v>13.845574499669171</x:v>
      </x:c>
      <x:c r="E79" s="25" t="n">
        <x:f>IF(Subsurface_Live_Data!H79&gt;=Subsurface_Inputs!$C$42,Subsurface_Live_Data!N79+Subsurface_Inputs!$C$56*SIN(2*PI()*A79/27),"")</x:f>
        <x:v>54.06691904550461</x:v>
      </x:c>
      <x:c r="F79" s="25" t="n">
        <x:f>Subsurface_Live_Data!O79+Subsurface_Inputs!$C$56*SIN(2*PI()*A79/47)</x:f>
        <x:v>175.70149690181844</x:v>
      </x:c>
      <x:c r="G79" s="25" t="n">
        <x:f>-55+3*SIN(2*PI()*A79/19)</x:f>
        <x:v>-57.2071717320194</x:v>
      </x:c>
    </x:row>
    <x:row r="80">
      <x:c r="A80" s="25" t="n">
        <x:f>Subsurface_Live_Data!A80</x:f>
        <x:v>-21</x:v>
      </x:c>
      <x:c r="B80" s="25" t="n">
        <x:v>0</x:v>
      </x:c>
      <x:c r="C80" s="25" t="n">
        <x:f>Subsurface_Inputs!$C$57+1.5*SIN(2*PI()*A80/35)</x:f>
        <x:v>12.88167787843871</x:v>
      </x:c>
      <x:c r="D80" s="25" t="n">
        <x:f>Subsurface_Live_Data!M80+Subsurface_Inputs!$C$56*SIN(2*PI()*A80/31)</x:f>
        <x:v>13.718103521163071</x:v>
      </x:c>
      <x:c r="E80" s="25" t="n">
        <x:f>IF(Subsurface_Live_Data!H80&gt;=Subsurface_Inputs!$C$42,Subsurface_Live_Data!N80+Subsurface_Inputs!$C$56*SIN(2*PI()*A80/27),"")</x:f>
        <x:v>54.02601218728453</x:v>
      </x:c>
      <x:c r="F80" s="25" t="n">
        <x:f>Subsurface_Live_Data!O80+Subsurface_Inputs!$C$56*SIN(2*PI()*A80/47)</x:f>
        <x:v>175.86984096881648</x:v>
      </x:c>
      <x:c r="G80" s="25" t="n">
        <x:f>-55+3*SIN(2*PI()*A80/19)</x:f>
        <x:v>-56.842638138069006</x:v>
      </x:c>
    </x:row>
    <x:row r="81">
      <x:c r="A81" s="25" t="n">
        <x:f>Subsurface_Live_Data!A81</x:f>
        <x:v>-20.5</x:v>
      </x:c>
      <x:c r="B81" s="25" t="n">
        <x:v>0</x:v>
      </x:c>
      <x:c r="C81" s="25" t="n">
        <x:f>Subsurface_Inputs!$C$57+1.5*SIN(2*PI()*A81/35)</x:f>
        <x:v>12.769348916108859</x:v>
      </x:c>
      <x:c r="D81" s="25" t="n">
        <x:f>Subsurface_Live_Data!M81+Subsurface_Inputs!$C$56*SIN(2*PI()*A81/31)</x:f>
        <x:v>13.595065597432113</x:v>
      </x:c>
      <x:c r="E81" s="25" t="n">
        <x:f>IF(Subsurface_Live_Data!H81&gt;=Subsurface_Inputs!$C$42,Subsurface_Live_Data!N81+Subsurface_Inputs!$C$56*SIN(2*PI()*A81/27),"")</x:f>
        <x:v>53.978975299192534</x:v>
      </x:c>
      <x:c r="F81" s="25" t="n">
        <x:f>Subsurface_Live_Data!O81+Subsurface_Inputs!$C$56*SIN(2*PI()*A81/47)</x:f>
        <x:v>175.98262105744845</x:v>
      </x:c>
      <x:c r="G81" s="25" t="n">
        <x:f>-55+3*SIN(2*PI()*A81/19)</x:f>
        <x:v>-56.42784217911122</x:v>
      </x:c>
    </x:row>
    <x:row r="82">
      <x:c r="A82" s="25" t="n">
        <x:f>Subsurface_Live_Data!A82</x:f>
        <x:v>-20</x:v>
      </x:c>
      <x:c r="B82" s="25" t="n">
        <x:v>0</x:v>
      </x:c>
      <x:c r="C82" s="25" t="n">
        <x:f>Subsurface_Inputs!$C$57+1.5*SIN(2*PI()*A82/35)</x:f>
        <x:v>12.650825608676337</x:v>
      </x:c>
      <x:c r="D82" s="25" t="n">
        <x:f>Subsurface_Live_Data!M82+Subsurface_Inputs!$C$56*SIN(2*PI()*A82/31)</x:f>
        <x:v>13.44472081399303</x:v>
      </x:c>
      <x:c r="E82" s="25" t="n">
        <x:f>IF(Subsurface_Live_Data!H82&gt;=Subsurface_Inputs!$C$42,Subsurface_Live_Data!N82+Subsurface_Inputs!$C$56*SIN(2*PI()*A82/27),"")</x:f>
        <x:v>53.92539298666411</x:v>
      </x:c>
      <x:c r="F82" s="25" t="n">
        <x:f>Subsurface_Live_Data!O82+Subsurface_Inputs!$C$56*SIN(2*PI()*A82/47)</x:f>
        <x:v>176.1575277291345</x:v>
      </x:c>
      <x:c r="G82" s="25" t="n">
        <x:f>-55+3*SIN(2*PI()*A82/19)</x:f>
        <x:v>-55.97409840761405</x:v>
      </x:c>
    </x:row>
    <x:row r="83">
      <x:c r="A83" s="25" t="n">
        <x:f>Subsurface_Live_Data!A83</x:f>
        <x:v>-19.5</x:v>
      </x:c>
      <x:c r="B83" s="25" t="n">
        <x:v>0</x:v>
      </x:c>
      <x:c r="C83" s="25" t="n">
        <x:f>Subsurface_Inputs!$C$57+1.5*SIN(2*PI()*A83/35)</x:f>
        <x:v>12.527062236122013</x:v>
      </x:c>
      <x:c r="D83" s="25" t="n">
        <x:f>Subsurface_Live_Data!M83+Subsurface_Inputs!$C$56*SIN(2*PI()*A83/31)</x:f>
        <x:v>13.29840783218823</x:v>
      </x:c>
      <x:c r="E83" s="25" t="n">
        <x:f>IF(Subsurface_Live_Data!H83&gt;=Subsurface_Inputs!$C$42,Subsurface_Live_Data!N83+Subsurface_Inputs!$C$56*SIN(2*PI()*A83/27),"")</x:f>
        <x:v>53.8650755651949</x:v>
      </x:c>
      <x:c r="F83" s="25" t="n">
        <x:f>Subsurface_Live_Data!O83+Subsurface_Inputs!$C$56*SIN(2*PI()*A83/47)</x:f>
        <x:v>176.29237292882257</x:v>
      </x:c>
      <x:c r="G83" s="25" t="n">
        <x:f>-55+3*SIN(2*PI()*A83/19)</x:f>
        <x:v>-55.4937837708422</x:v>
      </x:c>
    </x:row>
    <x:row r="84">
      <x:c r="A84" s="25" t="n">
        <x:f>Subsurface_Live_Data!A84</x:f>
        <x:v>-19</x:v>
      </x:c>
      <x:c r="B84" s="25" t="n">
        <x:v>0</x:v>
      </x:c>
      <x:c r="C84" s="25" t="n">
        <x:f>Subsurface_Inputs!$C$57+1.5*SIN(2*PI()*A84/35)</x:f>
        <x:v>12.399055268350013</x:v>
      </x:c>
      <x:c r="D84" s="25" t="n">
        <x:f>Subsurface_Live_Data!M84+Subsurface_Inputs!$C$56*SIN(2*PI()*A84/31)</x:f>
        <x:v>13.135106693120758</x:v>
      </x:c>
      <x:c r="E84" s="25" t="n">
        <x:f>IF(Subsurface_Live_Data!H84&gt;=Subsurface_Inputs!$C$42,Subsurface_Live_Data!N84+Subsurface_Inputs!$C$56*SIN(2*PI()*A84/27),"")</x:f>
        <x:v>53.79806285511729</x:v>
      </x:c>
      <x:c r="F84" s="25" t="n">
        <x:f>Subsurface_Live_Data!O84+Subsurface_Inputs!$C$56*SIN(2*PI()*A84/47)</x:f>
        <x:v>176.469006755122</x:v>
      </x:c>
      <x:c r="G84" s="25" t="n">
        <x:f>-55+3*SIN(2*PI()*A84/19)</x:f>
        <x:v>-55</x:v>
      </x:c>
    </x:row>
    <x:row r="85">
      <x:c r="A85" s="25" t="n">
        <x:f>Subsurface_Live_Data!A85</x:f>
        <x:v>-18.5</x:v>
      </x:c>
      <x:c r="B85" s="25" t="n">
        <x:v>0</x:v>
      </x:c>
      <x:c r="C85" s="25" t="n">
        <x:f>Subsurface_Inputs!$C$57+1.5*SIN(2*PI()*A85/35)</x:f>
        <x:v>12.267835342197955</x:v>
      </x:c>
      <x:c r="D85" s="25" t="n">
        <x:f>Subsurface_Live_Data!M85+Subsurface_Inputs!$C$56*SIN(2*PI()*A85/31)</x:f>
        <x:v>12.959919383975777</x:v>
      </x:c>
      <x:c r="E85" s="25" t="n">
        <x:f>IF(Subsurface_Live_Data!H85&gt;=Subsurface_Inputs!$C$42,Subsurface_Live_Data!N85+Subsurface_Inputs!$C$56*SIN(2*PI()*A85/27),"")</x:f>
        <x:v>53.72462460914915</x:v>
      </x:c>
      <x:c r="F85" s="25" t="n">
        <x:f>Subsurface_Live_Data!O85+Subsurface_Inputs!$C$56*SIN(2*PI()*A85/47)</x:f>
        <x:v>176.67850785688245</x:v>
      </x:c>
      <x:c r="G85" s="25" t="n">
        <x:f>-55+3*SIN(2*PI()*A85/19)</x:f>
        <x:v>-54.5062162291578</x:v>
      </x:c>
    </x:row>
    <x:row r="86">
      <x:c r="A86" s="25" t="n">
        <x:f>Subsurface_Live_Data!A86</x:f>
        <x:v>-18</x:v>
      </x:c>
      <x:c r="B86" s="25" t="n">
        <x:v>0</x:v>
      </x:c>
      <x:c r="C86" s="25" t="n">
        <x:f>Subsurface_Inputs!$C$57+1.5*SIN(2*PI()*A86/35)</x:f>
        <x:v>12.13445896335515</x:v>
      </x:c>
      <x:c r="D86" s="25" t="n">
        <x:f>Subsurface_Live_Data!M86+Subsurface_Inputs!$C$56*SIN(2*PI()*A86/31)</x:f>
        <x:v>12.79676770804064</x:v>
      </x:c>
      <x:c r="E86" s="25" t="n">
        <x:f>IF(Subsurface_Live_Data!H86&gt;=Subsurface_Inputs!$C$42,Subsurface_Live_Data!N86+Subsurface_Inputs!$C$56*SIN(2*PI()*A86/27),"")</x:f>
        <x:v>53.64525755229829</x:v>
      </x:c>
      <x:c r="F86" s="25" t="n">
        <x:f>Subsurface_Live_Data!O86+Subsurface_Inputs!$C$56*SIN(2*PI()*A86/47)</x:f>
        <x:v>176.84660113951827</x:v>
      </x:c>
      <x:c r="G86" s="25" t="n">
        <x:f>-55+3*SIN(2*PI()*A86/19)</x:f>
        <x:v>-54.02590159238595</x:v>
      </x:c>
    </x:row>
    <x:row r="87">
      <x:c r="A87" s="25" t="n">
        <x:f>Subsurface_Live_Data!A87</x:f>
        <x:v>-17.5</x:v>
      </x:c>
      <x:c r="B87" s="25" t="n">
        <x:v>0</x:v>
      </x:c>
      <x:c r="C87" s="25" t="n">
        <x:f>Subsurface_Inputs!$C$57+1.5*SIN(2*PI()*A87/35)</x:f>
        <x:v>12</x:v>
      </x:c>
      <x:c r="D87" s="25" t="n">
        <x:f>Subsurface_Live_Data!M87+Subsurface_Inputs!$C$56*SIN(2*PI()*A87/31)</x:f>
        <x:v>12.623226735380927</x:v>
      </x:c>
      <x:c r="E87" s="25" t="n">
        <x:f>IF(Subsurface_Live_Data!H87&gt;=Subsurface_Inputs!$C$42,Subsurface_Live_Data!N87+Subsurface_Inputs!$C$56*SIN(2*PI()*A87/27),"")</x:f>
        <x:v>53.560679060384096</x:v>
      </x:c>
      <x:c r="F87" s="25" t="n">
        <x:f>Subsurface_Live_Data!O87+Subsurface_Inputs!$C$56*SIN(2*PI()*A87/47)</x:f>
        <x:v>177.06159109807575</x:v>
      </x:c>
      <x:c r="G87" s="25" t="n">
        <x:f>-55+3*SIN(2*PI()*A87/19)</x:f>
        <x:v>-53.572157820888776</x:v>
      </x:c>
    </x:row>
    <x:row r="88">
      <x:c r="A88" s="25" t="n">
        <x:f>Subsurface_Live_Data!A88</x:f>
        <x:v>-17</x:v>
      </x:c>
      <x:c r="B88" s="25" t="n">
        <x:v>0</x:v>
      </x:c>
      <x:c r="C88" s="25" t="n">
        <x:f>Subsurface_Inputs!$C$57+1.5*SIN(2*PI()*A88/35)</x:f>
        <x:v>11.86554103664485</x:v>
      </x:c>
      <x:c r="D88" s="25" t="n">
        <x:f>Subsurface_Live_Data!M88+Subsurface_Inputs!$C$56*SIN(2*PI()*A88/31)</x:f>
        <x:v>12.442428673955972</x:v>
      </x:c>
      <x:c r="E88" s="25" t="n">
        <x:f>IF(Subsurface_Live_Data!H88&gt;=Subsurface_Inputs!$C$42,Subsurface_Live_Data!N88+Subsurface_Inputs!$C$56*SIN(2*PI()*A88/27),"")</x:f>
        <x:v>53.47181755027974</x:v>
      </x:c>
      <x:c r="F88" s="25" t="n">
        <x:f>Subsurface_Live_Data!O88+Subsurface_Inputs!$C$56*SIN(2*PI()*A88/47)</x:f>
        <x:v>177.32254129337883</x:v>
      </x:c>
      <x:c r="G88" s="25" t="n">
        <x:f>-55+3*SIN(2*PI()*A88/19)</x:f>
        <x:v>-53.157361861931</x:v>
      </x:c>
    </x:row>
    <x:row r="89">
      <x:c r="A89" s="25" t="n">
        <x:f>Subsurface_Live_Data!A89</x:f>
        <x:v>-16.5</x:v>
      </x:c>
      <x:c r="B89" s="25" t="n">
        <x:v>0</x:v>
      </x:c>
      <x:c r="C89" s="25" t="n">
        <x:f>Subsurface_Inputs!$C$57+1.5*SIN(2*PI()*A89/35)</x:f>
        <x:v>11.732164657802045</x:v>
      </x:c>
      <x:c r="D89" s="25" t="n">
        <x:f>Subsurface_Live_Data!M89+Subsurface_Inputs!$C$56*SIN(2*PI()*A89/31)</x:f>
        <x:v>12.27732760668193</x:v>
      </x:c>
      <x:c r="E89" s="25" t="n">
        <x:f>IF(Subsurface_Live_Data!H89&gt;=Subsurface_Inputs!$C$42,Subsurface_Live_Data!N89+Subsurface_Inputs!$C$56*SIN(2*PI()*A89/27),"")</x:f>
        <x:v>53.379799701322554</x:v>
      </x:c>
      <x:c r="F89" s="25" t="n">
        <x:f>Subsurface_Live_Data!O89+Subsurface_Inputs!$C$56*SIN(2*PI()*A89/47)</x:f>
        <x:v>177.55918599462143</x:v>
      </x:c>
      <x:c r="G89" s="25" t="n">
        <x:f>-55+3*SIN(2*PI()*A89/19)</x:f>
        <x:v>-52.7928282679806</x:v>
      </x:c>
    </x:row>
    <x:row r="90">
      <x:c r="A90" s="25" t="n">
        <x:f>Subsurface_Live_Data!A90</x:f>
        <x:v>-16</x:v>
      </x:c>
      <x:c r="B90" s="25" t="n">
        <x:v>0</x:v>
      </x:c>
      <x:c r="C90" s="25" t="n">
        <x:f>Subsurface_Inputs!$C$57+1.5*SIN(2*PI()*A90/35)</x:f>
        <x:v>11.600944731649987</x:v>
      </x:c>
      <x:c r="D90" s="25" t="n">
        <x:f>Subsurface_Live_Data!M90+Subsurface_Inputs!$C$56*SIN(2*PI()*A90/31)</x:f>
        <x:v>12.13028926001637</x:v>
      </x:c>
      <x:c r="E90" s="25" t="n">
        <x:f>IF(Subsurface_Live_Data!H90&gt;=Subsurface_Inputs!$C$42,Subsurface_Live_Data!N90+Subsurface_Inputs!$C$56*SIN(2*PI()*A90/27),"")</x:f>
        <x:v>53.285934672518344</x:v>
      </x:c>
      <x:c r="F90" s="25" t="n">
        <x:f>Subsurface_Live_Data!O90+Subsurface_Inputs!$C$56*SIN(2*PI()*A90/47)</x:f>
        <x:v>177.7732020742829</x:v>
      </x:c>
      <x:c r="G90" s="25" t="n">
        <x:f>-55+3*SIN(2*PI()*A90/19)</x:f>
        <x:v>-52.48850056521241</x:v>
      </x:c>
    </x:row>
    <x:row r="91">
      <x:c r="A91" s="25" t="n">
        <x:f>Subsurface_Live_Data!A91</x:f>
        <x:v>-15.5</x:v>
      </x:c>
      <x:c r="B91" s="25" t="n">
        <x:v>0</x:v>
      </x:c>
      <x:c r="C91" s="25" t="n">
        <x:f>Subsurface_Inputs!$C$57+1.5*SIN(2*PI()*A91/35)</x:f>
        <x:v>11.472937763877987</x:v>
      </x:c>
      <x:c r="D91" s="25" t="n">
        <x:f>Subsurface_Live_Data!M91+Subsurface_Inputs!$C$56*SIN(2*PI()*A91/31)</x:f>
        <x:v>11.97816819866713</x:v>
      </x:c>
      <x:c r="E91" s="25" t="n">
        <x:f>IF(Subsurface_Live_Data!H91&gt;=Subsurface_Inputs!$C$42,Subsurface_Live_Data!N91+Subsurface_Inputs!$C$56*SIN(2*PI()*A91/27),"")</x:f>
        <x:v>53.19169552350488</x:v>
      </x:c>
      <x:c r="F91" s="25" t="n">
        <x:f>Subsurface_Live_Data!O91+Subsurface_Inputs!$C$56*SIN(2*PI()*A91/47)</x:f>
        <x:v>178.05527547665494</x:v>
      </x:c>
      <x:c r="G91" s="25" t="n">
        <x:f>-55+3*SIN(2*PI()*A91/19)</x:f>
        <x:v>-52.25268002003483</x:v>
      </x:c>
    </x:row>
    <x:row r="92">
      <x:c r="A92" s="25" t="n">
        <x:f>Subsurface_Live_Data!A92</x:f>
        <x:v>-15</x:v>
      </x:c>
      <x:c r="B92" s="25" t="n">
        <x:v>0</x:v>
      </x:c>
      <x:c r="C92" s="25" t="n">
        <x:f>Subsurface_Inputs!$C$57+1.5*SIN(2*PI()*A92/35)</x:f>
        <x:v>11.349174391323663</x:v>
      </x:c>
      <x:c r="D92" s="25" t="n">
        <x:f>Subsurface_Live_Data!M92+Subsurface_Inputs!$C$56*SIN(2*PI()*A92/31)</x:f>
        <x:v>11.849236626605622</x:v>
      </x:c>
      <x:c r="E92" s="25" t="n">
        <x:f>IF(Subsurface_Live_Data!H92&gt;=Subsurface_Inputs!$C$42,Subsurface_Live_Data!N92+Subsurface_Inputs!$C$56*SIN(2*PI()*A92/27),"")</x:f>
        <x:v>53.098698088086074</x:v>
      </x:c>
      <x:c r="F92" s="25" t="n">
        <x:f>Subsurface_Live_Data!O92+Subsurface_Inputs!$C$56*SIN(2*PI()*A92/47)</x:f>
        <x:v>178.31569032245292</x:v>
      </x:c>
      <x:c r="G92" s="25" t="n">
        <x:f>-55+3*SIN(2*PI()*A92/19)</x:f>
        <x:v>-52.09179920218201</x:v>
      </x:c>
    </x:row>
    <x:row r="93">
      <x:c r="A93" s="25" t="n">
        <x:f>Subsurface_Live_Data!A93</x:f>
        <x:v>-14.5</x:v>
      </x:c>
      <x:c r="B93" s="25" t="n">
        <x:v>0</x:v>
      </x:c>
      <x:c r="C93" s="25" t="n">
        <x:f>Subsurface_Inputs!$C$57+1.5*SIN(2*PI()*A93/35)</x:f>
        <x:v>11.230651083891141</x:v>
      </x:c>
      <x:c r="D93" s="25" t="n">
        <x:f>Subsurface_Live_Data!M93+Subsurface_Inputs!$C$56*SIN(2*PI()*A93/31)</x:f>
        <x:v>11.735428821724822</x:v>
      </x:c>
      <x:c r="E93" s="25" t="n">
        <x:f>IF(Subsurface_Live_Data!H93&gt;=Subsurface_Inputs!$C$42,Subsurface_Live_Data!N93+Subsurface_Inputs!$C$56*SIN(2*PI()*A93/27),"")</x:f>
        <x:v>53.00867758686559</x:v>
      </x:c>
      <x:c r="F93" s="25" t="n">
        <x:f>Subsurface_Live_Data!O93+Subsurface_Inputs!$C$56*SIN(2*PI()*A93/47)</x:f>
        <x:v>178.5913191915579</x:v>
      </x:c>
      <x:c r="G93" s="25" t="n">
        <x:f>-55+3*SIN(2*PI()*A93/19)</x:f>
        <x:v>-52.01024652097999</x:v>
      </x:c>
    </x:row>
    <x:row r="94">
      <x:c r="A94" s="25" t="n">
        <x:f>Subsurface_Live_Data!A94</x:f>
        <x:v>-14</x:v>
      </x:c>
      <x:c r="B94" s="25" t="n">
        <x:v>0</x:v>
      </x:c>
      <x:c r="C94" s="25" t="n">
        <x:f>Subsurface_Inputs!$C$57+1.5*SIN(2*PI()*A94/35)</x:f>
        <x:v>11.11832212156129</x:v>
      </x:c>
      <x:c r="D94" s="25" t="n">
        <x:f>Subsurface_Live_Data!M94+Subsurface_Inputs!$C$56*SIN(2*PI()*A94/31)</x:f>
        <x:v>11.634209625118213</x:v>
      </x:c>
      <x:c r="E94" s="25" t="n">
        <x:f>IF(Subsurface_Live_Data!H94&gt;=Subsurface_Inputs!$C$42,Subsurface_Live_Data!N94+Subsurface_Inputs!$C$56*SIN(2*PI()*A94/27),"")</x:f>
        <x:v>52.923463299499616</x:v>
      </x:c>
      <x:c r="F94" s="25" t="n">
        <x:f>Subsurface_Live_Data!O94+Subsurface_Inputs!$C$56*SIN(2*PI()*A94/47)</x:f>
        <x:v>178.89893764782522</x:v>
      </x:c>
      <x:c r="G94" s="25" t="n">
        <x:f>-55+3*SIN(2*PI()*A94/19)</x:f>
        <x:v>-52.01024652097999</x:v>
      </x:c>
    </x:row>
    <x:row r="95">
      <x:c r="A95" s="25" t="n">
        <x:f>Subsurface_Live_Data!A95</x:f>
        <x:v>-13.5</x:v>
      </x:c>
      <x:c r="B95" s="25" t="n">
        <x:v>0</x:v>
      </x:c>
      <x:c r="C95" s="25" t="n">
        <x:f>Subsurface_Inputs!$C$57+1.5*SIN(2*PI()*A95/35)</x:f>
        <x:v>11.01309191109043</x:v>
      </x:c>
      <x:c r="D95" s="25" t="n">
        <x:f>Subsurface_Live_Data!M95+Subsurface_Inputs!$C$56*SIN(2*PI()*A95/31)</x:f>
        <x:v>11.554909378968981</x:v>
      </x:c>
      <x:c r="E95" s="25" t="n">
        <x:f>IF(Subsurface_Live_Data!H95&gt;=Subsurface_Inputs!$C$42,Subsurface_Live_Data!N95+Subsurface_Inputs!$C$56*SIN(2*PI()*A95/27),"")</x:f>
        <x:v>52.84495164679894</x:v>
      </x:c>
      <x:c r="F95" s="25" t="n">
        <x:f>Subsurface_Live_Data!O95+Subsurface_Inputs!$C$56*SIN(2*PI()*A95/47)</x:f>
        <x:v>179.21291702078796</x:v>
      </x:c>
      <x:c r="G95" s="25" t="n">
        <x:f>-55+3*SIN(2*PI()*A95/19)</x:f>
        <x:v>-52.09179920218201</x:v>
      </x:c>
    </x:row>
    <x:row r="96">
      <x:c r="A96" s="25" t="n">
        <x:f>Subsurface_Live_Data!A96</x:f>
        <x:v>-13</x:v>
      </x:c>
      <x:c r="B96" s="25" t="n">
        <x:v>0</x:v>
      </x:c>
      <x:c r="C96" s="25" t="n">
        <x:f>Subsurface_Inputs!$C$57+1.5*SIN(2*PI()*A96/35)</x:f>
        <x:v>10.915807704258913</x:v>
      </x:c>
      <x:c r="D96" s="25" t="n">
        <x:f>Subsurface_Live_Data!M96+Subsurface_Inputs!$C$56*SIN(2*PI()*A96/31)</x:f>
        <x:v>11.506075368317155</x:v>
      </x:c>
      <x:c r="E96" s="25" t="n">
        <x:f>IF(Subsurface_Live_Data!H96&gt;=Subsurface_Inputs!$C$42,Subsurface_Live_Data!N96+Subsurface_Inputs!$C$56*SIN(2*PI()*A96/27),"")</x:f>
        <x:v>52.77507805784559</x:v>
      </x:c>
      <x:c r="F96" s="25" t="n">
        <x:f>Subsurface_Live_Data!O96+Subsurface_Inputs!$C$56*SIN(2*PI()*A96/47)</x:f>
        <x:v>179.5093724604725</x:v>
      </x:c>
      <x:c r="G96" s="25" t="n">
        <x:f>-55+3*SIN(2*PI()*A96/19)</x:f>
        <x:v>-52.25268002003483</x:v>
      </x:c>
    </x:row>
    <x:row r="97">
      <x:c r="A97" s="25" t="n">
        <x:f>Subsurface_Live_Data!A97</x:f>
        <x:v>-12.5</x:v>
      </x:c>
      <x:c r="B97" s="25" t="n">
        <x:v>0</x:v>
      </x:c>
      <x:c r="C97" s="25" t="n">
        <x:f>Subsurface_Inputs!$C$57+1.5*SIN(2*PI()*A97/35)</x:f>
        <x:v>10.827252776297955</x:v>
      </x:c>
      <x:c r="D97" s="25" t="n">
        <x:f>Subsurface_Live_Data!M97+Subsurface_Inputs!$C$56*SIN(2*PI()*A97/31)</x:f>
        <x:v>11.482382923177182</x:v>
      </x:c>
      <x:c r="E97" s="25" t="n">
        <x:f>IF(Subsurface_Live_Data!H97&gt;=Subsurface_Inputs!$C$42,Subsurface_Live_Data!N97+Subsurface_Inputs!$C$56*SIN(2*PI()*A97/27),"")</x:f>
        <x:v>52.71578801701763</x:v>
      </x:c>
      <x:c r="F97" s="25" t="n">
        <x:f>Subsurface_Live_Data!O97+Subsurface_Inputs!$C$56*SIN(2*PI()*A97/47)</x:f>
        <x:v>179.8118672059323</x:v>
      </x:c>
      <x:c r="G97" s="25" t="n">
        <x:f>-55+3*SIN(2*PI()*A97/19)</x:f>
        <x:v>-52.48850056521241</x:v>
      </x:c>
    </x:row>
    <x:row r="98">
      <x:c r="A98" s="25" t="n">
        <x:f>Subsurface_Live_Data!A98</x:f>
        <x:v>-12</x:v>
      </x:c>
      <x:c r="B98" s="25" t="n">
        <x:v>0</x:v>
      </x:c>
      <x:c r="C98" s="25" t="n">
        <x:f>Subsurface_Inputs!$C$57+1.5*SIN(2*PI()*A98/35)</x:f>
        <x:v>10.748140119418046</x:v>
      </x:c>
      <x:c r="D98" s="25" t="n">
        <x:f>Subsurface_Live_Data!M98+Subsurface_Inputs!$C$56*SIN(2*PI()*A98/31)</x:f>
        <x:v>11.471387082687285</x:v>
      </x:c>
      <x:c r="E98" s="25" t="n">
        <x:f>IF(Subsurface_Live_Data!H98&gt;=Subsurface_Inputs!$C$42,Subsurface_Live_Data!N98+Subsurface_Inputs!$C$56*SIN(2*PI()*A98/27),"")</x:f>
        <x:v>52.66900769998341</x:v>
      </x:c>
      <x:c r="F98" s="25" t="n">
        <x:f>Subsurface_Live_Data!O98+Subsurface_Inputs!$C$56*SIN(2*PI()*A98/47)</x:f>
        <x:v>180.16769164518226</x:v>
      </x:c>
      <x:c r="G98" s="25" t="n">
        <x:f>-55+3*SIN(2*PI()*A98/19)</x:f>
        <x:v>-52.7928282679806</x:v>
      </x:c>
    </x:row>
    <x:row r="99">
      <x:c r="A99" s="25" t="n">
        <x:f>Subsurface_Live_Data!A99</x:f>
        <x:v>-11.5</x:v>
      </x:c>
      <x:c r="B99" s="25" t="n">
        <x:v>0</x:v>
      </x:c>
      <x:c r="C99" s="25" t="n">
        <x:f>Subsurface_Inputs!$C$57+1.5*SIN(2*PI()*A99/35)</x:f>
        <x:v>10.679106702214893</x:v>
      </x:c>
      <x:c r="D99" s="25" t="n">
        <x:f>Subsurface_Live_Data!M99+Subsurface_Inputs!$C$56*SIN(2*PI()*A99/31)</x:f>
        <x:v>11.501800541545622</x:v>
      </x:c>
      <x:c r="E99" s="25" t="n">
        <x:f>IF(Subsurface_Live_Data!H99&gt;=Subsurface_Inputs!$C$42,Subsurface_Live_Data!N99+Subsurface_Inputs!$C$56*SIN(2*PI()*A99/27),"")</x:f>
        <x:v>52.636614616059525</x:v>
      </x:c>
      <x:c r="F99" s="25" t="n">
        <x:f>Subsurface_Live_Data!O99+Subsurface_Inputs!$C$56*SIN(2*PI()*A99/47)</x:f>
        <x:v>180.47881859576074</x:v>
      </x:c>
      <x:c r="G99" s="25" t="n">
        <x:f>-55+3*SIN(2*PI()*A99/19)</x:f>
        <x:v>-53.157361861930994</x:v>
      </x:c>
    </x:row>
    <x:row r="100">
      <x:c r="A100" s="25" t="n">
        <x:f>Subsurface_Live_Data!A100</x:f>
        <x:v>-11</x:v>
      </x:c>
      <x:c r="B100" s="25" t="n">
        <x:v>0</x:v>
      </x:c>
      <x:c r="C100" s="25" t="n">
        <x:f>Subsurface_Inputs!$C$57+1.5*SIN(2*PI()*A100/35)</x:f>
        <x:v>10.620708341172824</x:v>
      </x:c>
      <x:c r="D100" s="25" t="n">
        <x:f>Subsurface_Live_Data!M100+Subsurface_Inputs!$C$56*SIN(2*PI()*A100/31)</x:f>
        <x:v>11.550794796189122</x:v>
      </x:c>
      <x:c r="E100" s="25" t="n">
        <x:f>IF(Subsurface_Live_Data!H100&gt;=Subsurface_Inputs!$C$42,Subsurface_Live_Data!N100+Subsurface_Inputs!$C$56*SIN(2*PI()*A100/27),"")</x:f>
        <x:v>52.62040867664199</x:v>
      </x:c>
      <x:c r="F100" s="25" t="n">
        <x:f>Subsurface_Live_Data!O100+Subsurface_Inputs!$C$56*SIN(2*PI()*A100/47)</x:f>
        <x:v>180.82629673777694</x:v>
      </x:c>
      <x:c r="G100" s="25" t="n">
        <x:f>-55+3*SIN(2*PI()*A100/19)</x:f>
        <x:v>-53.57215782088878</x:v>
      </x:c>
    </x:row>
    <x:row r="101">
      <x:c r="A101" s="25" t="n">
        <x:f>Subsurface_Live_Data!A101</x:f>
        <x:v>-10.5</x:v>
      </x:c>
      <x:c r="B101" s="25" t="n">
        <x:v>0</x:v>
      </x:c>
      <x:c r="C101" s="25" t="n">
        <x:f>Subsurface_Inputs!$C$57+1.5*SIN(2*PI()*A101/35)</x:f>
        <x:v>10.57341522555727</x:v>
      </x:c>
      <x:c r="D101" s="25" t="n">
        <x:f>Subsurface_Live_Data!M101+Subsurface_Inputs!$C$56*SIN(2*PI()*A101/31)</x:f>
        <x:v>11.628559856131705</x:v>
      </x:c>
      <x:c r="E101" s="25" t="n">
        <x:f>IF(Subsurface_Live_Data!H101&gt;=Subsurface_Inputs!$C$42,Subsurface_Live_Data!N101+Subsurface_Inputs!$C$56*SIN(2*PI()*A101/27),"")</x:f>
        <x:v>52.62208410562419</x:v>
      </x:c>
      <x:c r="F101" s="25" t="n">
        <x:f>Subsurface_Live_Data!O101+Subsurface_Inputs!$C$56*SIN(2*PI()*A101/47)</x:f>
        <x:v>181.17425923799036</x:v>
      </x:c>
      <x:c r="G101" s="25" t="n">
        <x:f>-55+3*SIN(2*PI()*A101/19)</x:f>
        <x:v>-54.02590159238595</x:v>
      </x:c>
    </x:row>
    <x:row r="102">
      <x:c r="A102" s="25" t="n">
        <x:f>Subsurface_Live_Data!A102</x:f>
        <x:v>-10</x:v>
      </x:c>
      <x:c r="B102" s="25" t="n">
        <x:v>0</x:v>
      </x:c>
      <x:c r="C102" s="25" t="n">
        <x:f>Subsurface_Inputs!$C$57+1.5*SIN(2*PI()*A102/35)</x:f>
        <x:v>10.537608131727264</x:v>
      </x:c>
      <x:c r="D102" s="25" t="n">
        <x:f>Subsurface_Live_Data!M102+Subsurface_Inputs!$C$56*SIN(2*PI()*A102/31)</x:f>
        <x:v>11.730041486604657</x:v>
      </x:c>
      <x:c r="E102" s="25" t="n">
        <x:f>IF(Subsurface_Live_Data!H102&gt;=Subsurface_Inputs!$C$42,Subsurface_Live_Data!N102+Subsurface_Inputs!$C$56*SIN(2*PI()*A102/27),"")</x:f>
        <x:v>52.643202597813215</x:v>
      </x:c>
      <x:c r="F102" s="25" t="n">
        <x:f>Subsurface_Live_Data!O102+Subsurface_Inputs!$C$56*SIN(2*PI()*A102/47)</x:f>
        <x:v>181.53883166294474</x:v>
      </x:c>
      <x:c r="G102" s="25" t="n">
        <x:f>-55+3*SIN(2*PI()*A102/19)</x:f>
        <x:v>-54.5062162291578</x:v>
      </x:c>
    </x:row>
    <x:row r="103">
      <x:c r="A103" s="25" t="n">
        <x:f>Subsurface_Live_Data!A103</x:f>
        <x:v>-9.5</x:v>
      </x:c>
      <x:c r="B103" s="25" t="n">
        <x:v>0</x:v>
      </x:c>
      <x:c r="C103" s="25" t="n">
        <x:f>Subsurface_Inputs!$C$57+1.5*SIN(2*PI()*A103/35)</x:f>
        <x:v>10.513575357348097</x:v>
      </x:c>
      <x:c r="D103" s="25" t="n">
        <x:f>Subsurface_Live_Data!M103+Subsurface_Inputs!$C$56*SIN(2*PI()*A103/31)</x:f>
        <x:v>11.856401515004766</x:v>
      </x:c>
      <x:c r="E103" s="25" t="n">
        <x:f>IF(Subsurface_Live_Data!H103&gt;=Subsurface_Inputs!$C$42,Subsurface_Live_Data!N103+Subsurface_Inputs!$C$56*SIN(2*PI()*A103/27),"")</x:f>
        <x:v>52.68516811544707</x:v>
      </x:c>
      <x:c r="F103" s="25" t="n">
        <x:f>Subsurface_Live_Data!O103+Subsurface_Inputs!$C$56*SIN(2*PI()*A103/47)</x:f>
        <x:v>181.91302995233184</x:v>
      </x:c>
      <x:c r="G103" s="25" t="n">
        <x:f>-55+3*SIN(2*PI()*A103/19)</x:f>
        <x:v>-55</x:v>
      </x:c>
    </x:row>
    <x:row r="104">
      <x:c r="A104" s="25" t="n">
        <x:f>Subsurface_Live_Data!A104</x:f>
        <x:v>-9</x:v>
      </x:c>
      <x:c r="B104" s="25" t="n">
        <x:v>0</x:v>
      </x:c>
      <x:c r="C104" s="25" t="n">
        <x:f>Subsurface_Inputs!$C$57+1.5*SIN(2*PI()*A104/35)</x:f>
        <x:v>10.501510400188028</x:v>
      </x:c>
      <x:c r="D104" s="25" t="n">
        <x:f>Subsurface_Live_Data!M104+Subsurface_Inputs!$C$56*SIN(2*PI()*A104/31)</x:f>
        <x:v>12.012952120862149</x:v>
      </x:c>
      <x:c r="E104" s="25" t="n">
        <x:f>IF(Subsurface_Live_Data!H104&gt;=Subsurface_Inputs!$C$42,Subsurface_Live_Data!N104+Subsurface_Inputs!$C$56*SIN(2*PI()*A104/27),"")</x:f>
        <x:v>52.74920369119536</x:v>
      </x:c>
      <x:c r="F104" s="25" t="n">
        <x:f>Subsurface_Live_Data!O104+Subsurface_Inputs!$C$56*SIN(2*PI()*A104/47)</x:f>
        <x:v>182.27402002340526</x:v>
      </x:c>
      <x:c r="G104" s="25" t="n">
        <x:f>-55+3*SIN(2*PI()*A104/19)</x:f>
        <x:v>-55.4937837708422</x:v>
      </x:c>
    </x:row>
    <x:row r="105">
      <x:c r="A105" s="25" t="n">
        <x:f>Subsurface_Live_Data!A105</x:f>
        <x:v>-8.5</x:v>
      </x:c>
      <x:c r="B105" s="25" t="n">
        <x:v>0</x:v>
      </x:c>
      <x:c r="C105" s="25" t="n">
        <x:f>Subsurface_Inputs!$C$57+1.5*SIN(2*PI()*A105/35)</x:f>
        <x:v>10.501510400188028</x:v>
      </x:c>
      <x:c r="D105" s="25" t="n">
        <x:f>Subsurface_Live_Data!M105+Subsurface_Inputs!$C$56*SIN(2*PI()*A105/31)</x:f>
        <x:v>12.178849110026642</x:v>
      </x:c>
      <x:c r="E105" s="25" t="n">
        <x:f>IF(Subsurface_Live_Data!H105&gt;=Subsurface_Inputs!$C$42,Subsurface_Live_Data!N105+Subsurface_Inputs!$C$56*SIN(2*PI()*A105/27),"")</x:f>
        <x:v>52.83633057878352</x:v>
      </x:c>
      <x:c r="F105" s="25" t="n">
        <x:f>Subsurface_Live_Data!O105+Subsurface_Inputs!$C$56*SIN(2*PI()*A105/47)</x:f>
        <x:v>182.6892409541461</x:v>
      </x:c>
      <x:c r="G105" s="25" t="n">
        <x:f>-55+3*SIN(2*PI()*A105/19)</x:f>
        <x:v>-55.97409840761405</x:v>
      </x:c>
    </x:row>
    <x:row r="106">
      <x:c r="A106" s="25" t="n">
        <x:f>Subsurface_Live_Data!A106</x:f>
        <x:v>-8</x:v>
      </x:c>
      <x:c r="B106" s="25" t="n">
        <x:v>0</x:v>
      </x:c>
      <x:c r="C106" s="25" t="n">
        <x:f>Subsurface_Inputs!$C$57+1.5*SIN(2*PI()*A106/35)</x:f>
        <x:v>10.513575357348097</x:v>
      </x:c>
      <x:c r="D106" s="25" t="n">
        <x:f>Subsurface_Live_Data!M106+Subsurface_Inputs!$C$56*SIN(2*PI()*A106/31)</x:f>
        <x:v>12.383300612394327</x:v>
      </x:c>
      <x:c r="E106" s="25" t="n">
        <x:f>IF(Subsurface_Live_Data!H106&gt;=Subsurface_Inputs!$C$42,Subsurface_Live_Data!N106+Subsurface_Inputs!$C$56*SIN(2*PI()*A106/27),"")</x:f>
        <x:v>52.94735005999193</x:v>
      </x:c>
      <x:c r="F106" s="25" t="n">
        <x:f>Subsurface_Live_Data!O106+Subsurface_Inputs!$C$56*SIN(2*PI()*A106/47)</x:f>
        <x:v>183.04974332940324</x:v>
      </x:c>
      <x:c r="G106" s="25" t="n">
        <x:f>-55+3*SIN(2*PI()*A106/19)</x:f>
        <x:v>-56.427842179111224</x:v>
      </x:c>
    </x:row>
    <x:row r="107">
      <x:c r="A107" s="25" t="n">
        <x:f>Subsurface_Live_Data!A107</x:f>
        <x:v>-7.5</x:v>
      </x:c>
      <x:c r="B107" s="25" t="n">
        <x:v>0</x:v>
      </x:c>
      <x:c r="C107" s="25" t="n">
        <x:f>Subsurface_Inputs!$C$57+1.5*SIN(2*PI()*A107/35)</x:f>
        <x:v>10.537608131727264</x:v>
      </x:c>
      <x:c r="D107" s="25" t="n">
        <x:f>Subsurface_Live_Data!M107+Subsurface_Inputs!$C$56*SIN(2*PI()*A107/31)</x:f>
        <x:v>12.597934112875077</x:v>
      </x:c>
      <x:c r="E107" s="25" t="n">
        <x:f>IF(Subsurface_Live_Data!H107&gt;=Subsurface_Inputs!$C$42,Subsurface_Live_Data!N107+Subsurface_Inputs!$C$56*SIN(2*PI()*A107/27),"")</x:f>
        <x:v>53.08282817970846</x:v>
      </x:c>
      <x:c r="F107" s="25" t="n">
        <x:f>Subsurface_Live_Data!O107+Subsurface_Inputs!$C$56*SIN(2*PI()*A107/47)</x:f>
        <x:v>183.44699137663565</x:v>
      </x:c>
      <x:c r="G107" s="25" t="n">
        <x:f>-55+3*SIN(2*PI()*A107/19)</x:f>
        <x:v>-56.842638138069006</x:v>
      </x:c>
    </x:row>
    <x:row r="108">
      <x:c r="A108" s="25" t="n">
        <x:f>Subsurface_Live_Data!A108</x:f>
        <x:v>-7</x:v>
      </x:c>
      <x:c r="B108" s="25" t="n">
        <x:v>0</x:v>
      </x:c>
      <x:c r="C108" s="25" t="n">
        <x:f>Subsurface_Inputs!$C$57+1.5*SIN(2*PI()*A108/35)</x:f>
        <x:v>10.57341522555727</x:v>
      </x:c>
      <x:c r="D108" s="25" t="n">
        <x:f>Subsurface_Live_Data!M108+Subsurface_Inputs!$C$56*SIN(2*PI()*A108/31)</x:f>
        <x:v>12.819759274198134</x:v>
      </x:c>
      <x:c r="E108" s="25" t="n">
        <x:f>IF(Subsurface_Live_Data!H108&gt;=Subsurface_Inputs!$C$42,Subsurface_Live_Data!N108+Subsurface_Inputs!$C$56*SIN(2*PI()*A108/27),"")</x:f>
        <x:v>53.24308363948805</x:v>
      </x:c>
      <x:c r="F108" s="25" t="n">
        <x:f>Subsurface_Live_Data!O108+Subsurface_Inputs!$C$56*SIN(2*PI()*A108/47)</x:f>
        <x:v>183.8825963078607</x:v>
      </x:c>
      <x:c r="G108" s="25" t="n">
        <x:f>-55+3*SIN(2*PI()*A108/19)</x:f>
        <x:v>-57.2071717320194</x:v>
      </x:c>
    </x:row>
    <x:row r="109">
      <x:c r="A109" s="25" t="n">
        <x:f>Subsurface_Live_Data!A109</x:f>
        <x:v>-6.5</x:v>
      </x:c>
      <x:c r="B109" s="25" t="n">
        <x:v>0</x:v>
      </x:c>
      <x:c r="C109" s="25" t="n">
        <x:f>Subsurface_Inputs!$C$57+1.5*SIN(2*PI()*A109/35)</x:f>
        <x:v>10.620708341172824</x:v>
      </x:c>
      <x:c r="D109" s="25" t="n">
        <x:f>Subsurface_Live_Data!M109+Subsurface_Inputs!$C$56*SIN(2*PI()*A109/31)</x:f>
        <x:v>13.075709208052775</x:v>
      </x:c>
      <x:c r="E109" s="25" t="n">
        <x:f>IF(Subsurface_Live_Data!H109&gt;=Subsurface_Inputs!$C$42,Subsurface_Live_Data!N109+Subsurface_Inputs!$C$56*SIN(2*PI()*A109/27),"")</x:f>
        <x:v>53.428179035301774</x:v>
      </x:c>
      <x:c r="F109" s="25" t="n">
        <x:f>Subsurface_Live_Data!O109+Subsurface_Inputs!$C$56*SIN(2*PI()*A109/47)</x:f>
        <x:v>184.2525398301557</x:v>
      </x:c>
      <x:c r="G109" s="25" t="n">
        <x:f>-55+3*SIN(2*PI()*A109/19)</x:f>
        <x:v>-57.51149943478759</x:v>
      </x:c>
    </x:row>
    <x:row r="110">
      <x:c r="A110" s="25" t="n">
        <x:f>Subsurface_Live_Data!A110</x:f>
        <x:v>-6</x:v>
      </x:c>
      <x:c r="B110" s="25" t="n">
        <x:v>0</x:v>
      </x:c>
      <x:c r="C110" s="25" t="n">
        <x:f>Subsurface_Inputs!$C$57+1.5*SIN(2*PI()*A110/35)</x:f>
        <x:v>10.679106702214893</x:v>
      </x:c>
      <x:c r="D110" s="25" t="n">
        <x:f>Subsurface_Live_Data!M110+Subsurface_Inputs!$C$56*SIN(2*PI()*A110/31)</x:f>
        <x:v>13.334015482247137</x:v>
      </x:c>
      <x:c r="E110" s="25" t="n">
        <x:f>IF(Subsurface_Live_Data!H110&gt;=Subsurface_Inputs!$C$42,Subsurface_Live_Data!N110+Subsurface_Inputs!$C$56*SIN(2*PI()*A110/27),"")</x:f>
        <x:v>53.63791557749561</x:v>
      </x:c>
      <x:c r="F110" s="25" t="n">
        <x:f>Subsurface_Live_Data!O110+Subsurface_Inputs!$C$56*SIN(2*PI()*A110/47)</x:f>
        <x:v>184.6574923480012</x:v>
      </x:c>
      <x:c r="G110" s="25" t="n">
        <x:f>-55+3*SIN(2*PI()*A110/19)</x:f>
        <x:v>-57.74731997996517</x:v>
      </x:c>
    </x:row>
    <x:row r="111">
      <x:c r="A111" s="25" t="n">
        <x:f>Subsurface_Live_Data!A111</x:f>
        <x:v>-5.5</x:v>
      </x:c>
      <x:c r="B111" s="25" t="n">
        <x:v>0</x:v>
      </x:c>
      <x:c r="C111" s="25" t="n">
        <x:f>Subsurface_Inputs!$C$57+1.5*SIN(2*PI()*A111/35)</x:f>
        <x:v>10.748140119418046</x:v>
      </x:c>
      <x:c r="D111" s="25" t="n">
        <x:f>Subsurface_Live_Data!M111+Subsurface_Inputs!$C$56*SIN(2*PI()*A111/31)</x:f>
        <x:v>13.6005050970286</x:v>
      </x:c>
      <x:c r="E111" s="25" t="str">
        <x:f>IF(Subsurface_Live_Data!H111&gt;=Subsurface_Inputs!$C$42,Subsurface_Live_Data!N111+Subsurface_Inputs!$C$56*SIN(2*PI()*A111/27),"")</x:f>
      </x:c>
      <x:c r="F111" s="25" t="n">
        <x:f>Subsurface_Live_Data!O111+Subsurface_Inputs!$C$56*SIN(2*PI()*A111/47)</x:f>
        <x:v>185.06591487723395</x:v>
      </x:c>
      <x:c r="G111" s="25" t="n">
        <x:f>-55+3*SIN(2*PI()*A111/19)</x:f>
        <x:v>-57.90820079781799</x:v>
      </x:c>
    </x:row>
    <x:row r="112">
      <x:c r="A112" s="25" t="n">
        <x:f>Subsurface_Live_Data!A112</x:f>
        <x:v>-5</x:v>
      </x:c>
      <x:c r="B112" s="25" t="n">
        <x:v>0</x:v>
      </x:c>
      <x:c r="C112" s="25" t="n">
        <x:f>Subsurface_Inputs!$C$57+1.5*SIN(2*PI()*A112/35)</x:f>
        <x:v>10.827252776297955</x:v>
      </x:c>
      <x:c r="D112" s="25" t="n">
        <x:f>Subsurface_Live_Data!M112+Subsurface_Inputs!$C$56*SIN(2*PI()*A112/31)</x:f>
        <x:v>13.873180764730014</x:v>
      </x:c>
      <x:c r="E112" s="25" t="str">
        <x:f>IF(Subsurface_Live_Data!H112&gt;=Subsurface_Inputs!$C$42,Subsurface_Live_Data!N112+Subsurface_Inputs!$C$56*SIN(2*PI()*A112/27),"")</x:f>
      </x:c>
      <x:c r="F112" s="25" t="n">
        <x:f>Subsurface_Live_Data!O112+Subsurface_Inputs!$C$56*SIN(2*PI()*A112/47)</x:f>
        <x:v>185.47317768106453</x:v>
      </x:c>
      <x:c r="G112" s="25" t="n">
        <x:f>-55+3*SIN(2*PI()*A112/19)</x:f>
        <x:v>-57.98975347902001</x:v>
      </x:c>
    </x:row>
    <x:row r="113">
      <x:c r="A113" s="25" t="n">
        <x:f>Subsurface_Live_Data!A113</x:f>
        <x:v>-4.5</x:v>
      </x:c>
      <x:c r="B113" s="25" t="n">
        <x:v>0</x:v>
      </x:c>
      <x:c r="C113" s="25" t="n">
        <x:f>Subsurface_Inputs!$C$57+1.5*SIN(2*PI()*A113/35)</x:f>
        <x:v>10.915807704258913</x:v>
      </x:c>
      <x:c r="D113" s="25" t="n">
        <x:f>Subsurface_Live_Data!M113+Subsurface_Inputs!$C$56*SIN(2*PI()*A113/31)</x:f>
        <x:v>14.152576323434097</x:v>
      </x:c>
      <x:c r="E113" s="25" t="str">
        <x:f>IF(Subsurface_Live_Data!H113&gt;=Subsurface_Inputs!$C$42,Subsurface_Live_Data!N113+Subsurface_Inputs!$C$56*SIN(2*PI()*A113/27),"")</x:f>
      </x:c>
      <x:c r="F113" s="25" t="n">
        <x:f>Subsurface_Live_Data!O113+Subsurface_Inputs!$C$56*SIN(2*PI()*A113/47)</x:f>
        <x:v>185.86547178613756</x:v>
      </x:c>
      <x:c r="G113" s="25" t="n">
        <x:f>-55+3*SIN(2*PI()*A113/19)</x:f>
        <x:v>-57.98975347902001</x:v>
      </x:c>
    </x:row>
    <x:row r="114">
      <x:c r="A114" s="25" t="n">
        <x:f>Subsurface_Live_Data!A114</x:f>
        <x:v>-4</x:v>
      </x:c>
      <x:c r="B114" s="25" t="n">
        <x:v>0</x:v>
      </x:c>
      <x:c r="C114" s="25" t="n">
        <x:f>Subsurface_Inputs!$C$57+1.5*SIN(2*PI()*A114/35)</x:f>
        <x:v>11.01309191109043</x:v>
      </x:c>
      <x:c r="D114" s="25" t="n">
        <x:f>Subsurface_Live_Data!M114+Subsurface_Inputs!$C$56*SIN(2*PI()*A114/31)</x:f>
        <x:v>14.434711607130449</x:v>
      </x:c>
      <x:c r="E114" s="25" t="str">
        <x:f>IF(Subsurface_Live_Data!H114&gt;=Subsurface_Inputs!$C$42,Subsurface_Live_Data!N114+Subsurface_Inputs!$C$56*SIN(2*PI()*A114/27),"")</x:f>
      </x:c>
      <x:c r="F114" s="25" t="n">
        <x:f>Subsurface_Live_Data!O114+Subsurface_Inputs!$C$56*SIN(2*PI()*A114/47)</x:f>
        <x:v>186.2446257435595</x:v>
      </x:c>
      <x:c r="G114" s="25" t="n">
        <x:f>-55+3*SIN(2*PI()*A114/19)</x:f>
        <x:v>-57.90820079781799</x:v>
      </x:c>
    </x:row>
    <x:row r="115">
      <x:c r="A115" s="25" t="n">
        <x:f>Subsurface_Live_Data!A115</x:f>
        <x:v>-3.5</x:v>
      </x:c>
      <x:c r="B115" s="25" t="n">
        <x:v>0</x:v>
      </x:c>
      <x:c r="C115" s="25" t="n">
        <x:f>Subsurface_Inputs!$C$57+1.5*SIN(2*PI()*A115/35)</x:f>
        <x:v>11.11832212156129</x:v>
      </x:c>
      <x:c r="D115" s="25" t="n">
        <x:f>Subsurface_Live_Data!M115+Subsurface_Inputs!$C$56*SIN(2*PI()*A115/31)</x:f>
        <x:v>14.702304134518254</x:v>
      </x:c>
      <x:c r="E115" s="25" t="str">
        <x:f>IF(Subsurface_Live_Data!H115&gt;=Subsurface_Inputs!$C$42,Subsurface_Live_Data!N115+Subsurface_Inputs!$C$56*SIN(2*PI()*A115/27),"")</x:f>
      </x:c>
      <x:c r="F115" s="25" t="n">
        <x:f>Subsurface_Live_Data!O115+Subsurface_Inputs!$C$56*SIN(2*PI()*A115/47)</x:f>
        <x:v>186.65902433286854</x:v>
      </x:c>
      <x:c r="G115" s="25" t="n">
        <x:f>-55+3*SIN(2*PI()*A115/19)</x:f>
        <x:v>-57.74731997996517</x:v>
      </x:c>
    </x:row>
    <x:row r="116">
      <x:c r="A116" s="25" t="n">
        <x:f>Subsurface_Live_Data!A116</x:f>
        <x:v>-3</x:v>
      </x:c>
      <x:c r="B116" s="25" t="n">
        <x:v>0</x:v>
      </x:c>
      <x:c r="C116" s="25" t="n">
        <x:f>Subsurface_Inputs!$C$57+1.5*SIN(2*PI()*A116/35)</x:f>
        <x:v>11.230651083891141</x:v>
      </x:c>
      <x:c r="D116" s="25" t="n">
        <x:f>Subsurface_Live_Data!M116+Subsurface_Inputs!$C$56*SIN(2*PI()*A116/31)</x:f>
        <x:v>14.980699567576501</x:v>
      </x:c>
      <x:c r="E116" s="25" t="str">
        <x:f>IF(Subsurface_Live_Data!H116&gt;=Subsurface_Inputs!$C$42,Subsurface_Live_Data!N116+Subsurface_Inputs!$C$56*SIN(2*PI()*A116/27),"")</x:f>
      </x:c>
      <x:c r="F116" s="25" t="n">
        <x:f>Subsurface_Live_Data!O116+Subsurface_Inputs!$C$56*SIN(2*PI()*A116/47)</x:f>
        <x:v>187.00800986132288</x:v>
      </x:c>
      <x:c r="G116" s="25" t="n">
        <x:f>-55+3*SIN(2*PI()*A116/19)</x:f>
        <x:v>-57.51149943478759</x:v>
      </x:c>
    </x:row>
    <x:row r="117">
      <x:c r="A117" s="25" t="n">
        <x:f>Subsurface_Live_Data!A117</x:f>
        <x:v>-2.5</x:v>
      </x:c>
      <x:c r="B117" s="25" t="n">
        <x:v>0</x:v>
      </x:c>
      <x:c r="C117" s="25" t="n">
        <x:f>Subsurface_Inputs!$C$57+1.5*SIN(2*PI()*A117/35)</x:f>
        <x:v>11.349174391323663</x:v>
      </x:c>
      <x:c r="D117" s="25" t="n">
        <x:f>Subsurface_Live_Data!M117+Subsurface_Inputs!$C$56*SIN(2*PI()*A117/31)</x:f>
        <x:v>15.24280907375238</x:v>
      </x:c>
      <x:c r="E117" s="25" t="str">
        <x:f>IF(Subsurface_Live_Data!H117&gt;=Subsurface_Inputs!$C$42,Subsurface_Live_Data!N117+Subsurface_Inputs!$C$56*SIN(2*PI()*A117/27),"")</x:f>
      </x:c>
      <x:c r="F117" s="25" t="n">
        <x:f>Subsurface_Live_Data!O117+Subsurface_Inputs!$C$56*SIN(2*PI()*A117/47)</x:f>
        <x:v>187.37475513034263</x:v>
      </x:c>
      <x:c r="G117" s="25" t="n">
        <x:f>-55+3*SIN(2*PI()*A117/19)</x:f>
        <x:v>-57.2071717320194</x:v>
      </x:c>
    </x:row>
    <x:row r="118">
      <x:c r="A118" s="25" t="n">
        <x:f>Subsurface_Live_Data!A118</x:f>
        <x:v>-2</x:v>
      </x:c>
      <x:c r="B118" s="25" t="n">
        <x:v>0</x:v>
      </x:c>
      <x:c r="C118" s="25" t="n">
        <x:f>Subsurface_Inputs!$C$57+1.5*SIN(2*PI()*A118/35)</x:f>
        <x:v>11.472937763877987</x:v>
      </x:c>
      <x:c r="D118" s="25" t="n">
        <x:f>Subsurface_Live_Data!M118+Subsurface_Inputs!$C$56*SIN(2*PI()*A118/31)</x:f>
        <x:v>15.499254058509585</x:v>
      </x:c>
      <x:c r="E118" s="25" t="str">
        <x:f>IF(Subsurface_Live_Data!H118&gt;=Subsurface_Inputs!$C$42,Subsurface_Live_Data!N118+Subsurface_Inputs!$C$56*SIN(2*PI()*A118/27),"")</x:f>
      </x:c>
      <x:c r="F118" s="25" t="n">
        <x:f>Subsurface_Live_Data!O118+Subsurface_Inputs!$C$56*SIN(2*PI()*A118/47)</x:f>
        <x:v>187.71090407662348</x:v>
      </x:c>
      <x:c r="G118" s="25" t="n">
        <x:f>-55+3*SIN(2*PI()*A118/19)</x:f>
        <x:v>-56.842638138069006</x:v>
      </x:c>
    </x:row>
    <x:row r="119">
      <x:c r="A119" s="25" t="n">
        <x:f>Subsurface_Live_Data!A119</x:f>
        <x:v>-1.5</x:v>
      </x:c>
      <x:c r="B119" s="25" t="n">
        <x:v>0</x:v>
      </x:c>
      <x:c r="C119" s="25" t="n">
        <x:f>Subsurface_Inputs!$C$57+1.5*SIN(2*PI()*A119/35)</x:f>
        <x:v>11.600944731649987</x:v>
      </x:c>
      <x:c r="D119" s="25" t="n">
        <x:f>Subsurface_Live_Data!M119+Subsurface_Inputs!$C$56*SIN(2*PI()*A119/31)</x:f>
        <x:v>15.731093031687319</x:v>
      </x:c>
      <x:c r="E119" s="25" t="str">
        <x:f>IF(Subsurface_Live_Data!H119&gt;=Subsurface_Inputs!$C$42,Subsurface_Live_Data!N119+Subsurface_Inputs!$C$56*SIN(2*PI()*A119/27),"")</x:f>
      </x:c>
      <x:c r="F119" s="25" t="n">
        <x:f>Subsurface_Live_Data!O119+Subsurface_Inputs!$C$56*SIN(2*PI()*A119/47)</x:f>
        <x:v>188.07216619737875</x:v>
      </x:c>
      <x:c r="G119" s="25" t="n">
        <x:f>-55+3*SIN(2*PI()*A119/19)</x:f>
        <x:v>-56.427842179111224</x:v>
      </x:c>
    </x:row>
    <x:row r="120">
      <x:c r="A120" s="25" t="n">
        <x:f>Subsurface_Live_Data!A120</x:f>
        <x:v>-1</x:v>
      </x:c>
      <x:c r="B120" s="25" t="n">
        <x:v>0</x:v>
      </x:c>
      <x:c r="C120" s="25" t="n">
        <x:f>Subsurface_Inputs!$C$57+1.5*SIN(2*PI()*A120/35)</x:f>
        <x:v>11.732164657802045</x:v>
      </x:c>
      <x:c r="D120" s="25" t="n">
        <x:f>Subsurface_Live_Data!M120+Subsurface_Inputs!$C$56*SIN(2*PI()*A120/31)</x:f>
        <x:v>15.952226502738215</x:v>
      </x:c>
      <x:c r="E120" s="25" t="str">
        <x:f>IF(Subsurface_Live_Data!H120&gt;=Subsurface_Inputs!$C$42,Subsurface_Live_Data!N120+Subsurface_Inputs!$C$56*SIN(2*PI()*A120/27),"")</x:f>
      </x:c>
      <x:c r="F120" s="25" t="n">
        <x:f>Subsurface_Live_Data!O120+Subsurface_Inputs!$C$56*SIN(2*PI()*A120/47)</x:f>
        <x:v>188.40002708568701</x:v>
      </x:c>
      <x:c r="G120" s="25" t="n">
        <x:f>-55+3*SIN(2*PI()*A120/19)</x:f>
        <x:v>-55.97409840761405</x:v>
      </x:c>
    </x:row>
    <x:row r="121">
      <x:c r="A121" s="25" t="n">
        <x:f>Subsurface_Live_Data!A121</x:f>
        <x:v>-0.5</x:v>
      </x:c>
      <x:c r="B121" s="25" t="n">
        <x:v>0</x:v>
      </x:c>
      <x:c r="C121" s="25" t="n">
        <x:f>Subsurface_Inputs!$C$57+1.5*SIN(2*PI()*A121/35)</x:f>
        <x:v>11.86554103664485</x:v>
      </x:c>
      <x:c r="D121" s="25" t="n">
        <x:f>Subsurface_Live_Data!M121+Subsurface_Inputs!$C$56*SIN(2*PI()*A121/31)</x:f>
        <x:v>16.16441011761666</x:v>
      </x:c>
      <x:c r="E121" s="25" t="str">
        <x:f>IF(Subsurface_Live_Data!H121&gt;=Subsurface_Inputs!$C$42,Subsurface_Live_Data!N121+Subsurface_Inputs!$C$56*SIN(2*PI()*A121/27),"")</x:f>
      </x:c>
      <x:c r="F121" s="25" t="n">
        <x:f>Subsurface_Live_Data!O121+Subsurface_Inputs!$C$56*SIN(2*PI()*A121/47)</x:f>
        <x:v>188.6793175003886</x:v>
      </x:c>
      <x:c r="G121" s="25" t="n">
        <x:f>-55+3*SIN(2*PI()*A121/19)</x:f>
        <x:v>-55.4937837708422</x:v>
      </x:c>
    </x:row>
    <x:row r="122">
      <x:c r="A122" s="25" t="n">
        <x:f>Subsurface_Live_Data!A122</x:f>
        <x:v>0</x:v>
      </x:c>
      <x:c r="B122" s="25" t="n">
        <x:v>0</x:v>
      </x:c>
      <x:c r="C122" s="25" t="n">
        <x:f>Subsurface_Inputs!$C$57+1.5*SIN(2*PI()*A122/35)</x:f>
        <x:v>12</x:v>
      </x:c>
      <x:c r="D122" s="25" t="n">
        <x:f>Subsurface_Live_Data!M122+Subsurface_Inputs!$C$56*SIN(2*PI()*A122/31)</x:f>
        <x:v>16.34165949496012</x:v>
      </x:c>
      <x:c r="E122" s="25" t="str">
        <x:f>IF(Subsurface_Live_Data!H122&gt;=Subsurface_Inputs!$C$42,Subsurface_Live_Data!N122+Subsurface_Inputs!$C$56*SIN(2*PI()*A122/27),"")</x:f>
      </x:c>
      <x:c r="F122" s="25" t="n">
        <x:f>Subsurface_Live_Data!O122+Subsurface_Inputs!$C$56*SIN(2*PI()*A122/47)</x:f>
        <x:v>188.99289727752253</x:v>
      </x:c>
      <x:c r="G122" s="25" t="n">
        <x:f>-55+3*SIN(2*PI()*A122/19)</x:f>
        <x:v>-55</x:v>
      </x:c>
    </x:row>
    <x:row r="123">
      <x:c r="A123" s="25" t="n">
        <x:f>Subsurface_Live_Data!A123</x:f>
        <x:v>0.5</x:v>
      </x:c>
      <x:c r="B123" s="25" t="n">
        <x:v>0</x:v>
      </x:c>
      <x:c r="C123" s="25" t="n">
        <x:f>Subsurface_Inputs!$C$57+1.5*SIN(2*PI()*A123/35)</x:f>
        <x:v>12.13445896335515</x:v>
      </x:c>
      <x:c r="D123" s="25" t="n">
        <x:f>Subsurface_Live_Data!M123+Subsurface_Inputs!$C$56*SIN(2*PI()*A123/31)</x:f>
        <x:v>16.493179649616593</x:v>
      </x:c>
      <x:c r="E123" s="25" t="str">
        <x:f>IF(Subsurface_Live_Data!H123&gt;=Subsurface_Inputs!$C$42,Subsurface_Live_Data!N123+Subsurface_Inputs!$C$56*SIN(2*PI()*A123/27),"")</x:f>
      </x:c>
      <x:c r="F123" s="25" t="n">
        <x:f>Subsurface_Live_Data!O123+Subsurface_Inputs!$C$56*SIN(2*PI()*A123/47)</x:f>
        <x:v>189.30148764804642</x:v>
      </x:c>
      <x:c r="G123" s="25" t="n">
        <x:f>-55+3*SIN(2*PI()*A123/19)</x:f>
        <x:v>-54.5062162291578</x:v>
      </x:c>
    </x:row>
    <x:row r="124">
      <x:c r="A124" s="25" t="n">
        <x:f>Subsurface_Live_Data!A124</x:f>
        <x:v>1</x:v>
      </x:c>
      <x:c r="B124" s="25" t="n">
        <x:v>0</x:v>
      </x:c>
      <x:c r="C124" s="25" t="n">
        <x:f>Subsurface_Inputs!$C$57+1.5*SIN(2*PI()*A124/35)</x:f>
        <x:v>12.267835342197955</x:v>
      </x:c>
      <x:c r="D124" s="25" t="n">
        <x:f>Subsurface_Live_Data!M124+Subsurface_Inputs!$C$56*SIN(2*PI()*A124/31)</x:f>
        <x:v>16.62532449599302</x:v>
      </x:c>
      <x:c r="E124" s="25" t="str">
        <x:f>IF(Subsurface_Live_Data!H124&gt;=Subsurface_Inputs!$C$42,Subsurface_Live_Data!N124+Subsurface_Inputs!$C$56*SIN(2*PI()*A124/27),"")</x:f>
      </x:c>
      <x:c r="F124" s="25" t="n">
        <x:f>Subsurface_Live_Data!O124+Subsurface_Inputs!$C$56*SIN(2*PI()*A124/47)</x:f>
        <x:v>189.57688169489833</x:v>
      </x:c>
      <x:c r="G124" s="25" t="n">
        <x:f>-55+3*SIN(2*PI()*A124/19)</x:f>
        <x:v>-54.02590159238595</x:v>
      </x:c>
    </x:row>
    <x:row r="125">
      <x:c r="A125" s="25" t="n">
        <x:f>Subsurface_Live_Data!A125</x:f>
        <x:v>1.5</x:v>
      </x:c>
      <x:c r="B125" s="25" t="n">
        <x:v>0</x:v>
      </x:c>
      <x:c r="C125" s="25" t="n">
        <x:f>Subsurface_Inputs!$C$57+1.5*SIN(2*PI()*A125/35)</x:f>
        <x:v>12.399055268350013</x:v>
      </x:c>
      <x:c r="D125" s="25" t="n">
        <x:f>Subsurface_Live_Data!M125+Subsurface_Inputs!$C$56*SIN(2*PI()*A125/31)</x:f>
        <x:v>16.733106801480393</x:v>
      </x:c>
      <x:c r="E125" s="25" t="str">
        <x:f>IF(Subsurface_Live_Data!H125&gt;=Subsurface_Inputs!$C$42,Subsurface_Live_Data!N125+Subsurface_Inputs!$C$56*SIN(2*PI()*A125/27),"")</x:f>
      </x:c>
      <x:c r="F125" s="25" t="n">
        <x:f>Subsurface_Live_Data!O125+Subsurface_Inputs!$C$56*SIN(2*PI()*A125/47)</x:f>
        <x:v>189.83171090832272</x:v>
      </x:c>
      <x:c r="G125" s="25" t="n">
        <x:f>-55+3*SIN(2*PI()*A125/19)</x:f>
        <x:v>-53.572157820888776</x:v>
      </x:c>
    </x:row>
    <x:row r="126">
      <x:c r="A126" s="25" t="n">
        <x:f>Subsurface_Live_Data!A126</x:f>
        <x:v>2</x:v>
      </x:c>
      <x:c r="B126" s="25" t="n">
        <x:v>0</x:v>
      </x:c>
      <x:c r="C126" s="25" t="n">
        <x:f>Subsurface_Inputs!$C$57+1.5*SIN(2*PI()*A126/35)</x:f>
        <x:v>12.527062236122013</x:v>
      </x:c>
      <x:c r="D126" s="25" t="n">
        <x:f>Subsurface_Live_Data!M126+Subsurface_Inputs!$C$56*SIN(2*PI()*A126/31)</x:f>
        <x:v>16.812821886486894</x:v>
      </x:c>
      <x:c r="E126" s="25" t="str">
        <x:f>IF(Subsurface_Live_Data!H126&gt;=Subsurface_Inputs!$C$42,Subsurface_Live_Data!N126+Subsurface_Inputs!$C$56*SIN(2*PI()*A126/27),"")</x:f>
      </x:c>
      <x:c r="F126" s="25" t="n">
        <x:f>Subsurface_Live_Data!O126+Subsurface_Inputs!$C$56*SIN(2*PI()*A126/47)</x:f>
        <x:v>190.0752958632997</x:v>
      </x:c>
      <x:c r="G126" s="25" t="n">
        <x:f>-55+3*SIN(2*PI()*A126/19)</x:f>
        <x:v>-53.157361861930994</x:v>
      </x:c>
    </x:row>
    <x:row r="127">
      <x:c r="A127" s="25" t="n">
        <x:f>Subsurface_Live_Data!A127</x:f>
        <x:v>2.5</x:v>
      </x:c>
      <x:c r="B127" s="25" t="n">
        <x:v>0</x:v>
      </x:c>
      <x:c r="C127" s="25" t="n">
        <x:f>Subsurface_Inputs!$C$57+1.5*SIN(2*PI()*A127/35)</x:f>
        <x:v>12.650825608676337</x:v>
      </x:c>
      <x:c r="D127" s="25" t="n">
        <x:f>Subsurface_Live_Data!M127+Subsurface_Inputs!$C$56*SIN(2*PI()*A127/31)</x:f>
        <x:v>16.863619223817754</x:v>
      </x:c>
      <x:c r="E127" s="25" t="str">
        <x:f>IF(Subsurface_Live_Data!H127&gt;=Subsurface_Inputs!$C$42,Subsurface_Live_Data!N127+Subsurface_Inputs!$C$56*SIN(2*PI()*A127/27),"")</x:f>
      </x:c>
      <x:c r="F127" s="25" t="n">
        <x:f>Subsurface_Live_Data!O127+Subsurface_Inputs!$C$56*SIN(2*PI()*A127/47)</x:f>
        <x:v>190.3081613562303</x:v>
      </x:c>
      <x:c r="G127" s="25" t="n">
        <x:f>-55+3*SIN(2*PI()*A127/19)</x:f>
        <x:v>-52.7928282679806</x:v>
      </x:c>
    </x:row>
    <x:row r="128">
      <x:c r="A128" s="25" t="n">
        <x:f>Subsurface_Live_Data!A128</x:f>
        <x:v>3</x:v>
      </x:c>
      <x:c r="B128" s="25" t="n">
        <x:v>0</x:v>
      </x:c>
      <x:c r="C128" s="25" t="n">
        <x:f>Subsurface_Inputs!$C$57+1.5*SIN(2*PI()*A128/35)</x:f>
        <x:v>12.769348916108859</x:v>
      </x:c>
      <x:c r="D128" s="25" t="n">
        <x:f>Subsurface_Live_Data!M128+Subsurface_Inputs!$C$56*SIN(2*PI()*A128/31)</x:f>
        <x:v>16.873144740225232</x:v>
      </x:c>
      <x:c r="E128" s="25" t="str">
        <x:f>IF(Subsurface_Live_Data!H128&gt;=Subsurface_Inputs!$C$42,Subsurface_Live_Data!N128+Subsurface_Inputs!$C$56*SIN(2*PI()*A128/27),"")</x:f>
      </x:c>
      <x:c r="F128" s="25" t="n">
        <x:f>Subsurface_Live_Data!O128+Subsurface_Inputs!$C$56*SIN(2*PI()*A128/47)</x:f>
        <x:v>190.57228637028882</x:v>
      </x:c>
      <x:c r="G128" s="25" t="n">
        <x:f>-55+3*SIN(2*PI()*A128/19)</x:f>
        <x:v>-52.48850056521241</x:v>
      </x:c>
    </x:row>
    <x:row r="129">
      <x:c r="A129" s="25" t="n">
        <x:f>Subsurface_Live_Data!A129</x:f>
        <x:v>3.5</x:v>
      </x:c>
      <x:c r="B129" s="25" t="n">
        <x:v>0</x:v>
      </x:c>
      <x:c r="C129" s="25" t="n">
        <x:f>Subsurface_Inputs!$C$57+1.5*SIN(2*PI()*A129/35)</x:f>
        <x:v>12.88167787843871</x:v>
      </x:c>
      <x:c r="D129" s="25" t="n">
        <x:f>Subsurface_Live_Data!M129+Subsurface_Inputs!$C$56*SIN(2*PI()*A129/31)</x:f>
        <x:v>16.873434736351918</x:v>
      </x:c>
      <x:c r="E129" s="25" t="str">
        <x:f>IF(Subsurface_Live_Data!H129&gt;=Subsurface_Inputs!$C$42,Subsurface_Live_Data!N129+Subsurface_Inputs!$C$56*SIN(2*PI()*A129/27),"")</x:f>
      </x:c>
      <x:c r="F129" s="25" t="n">
        <x:f>Subsurface_Live_Data!O129+Subsurface_Inputs!$C$56*SIN(2*PI()*A129/47)</x:f>
        <x:v>190.75545614148373</x:v>
      </x:c>
      <x:c r="G129" s="25" t="n">
        <x:f>-55+3*SIN(2*PI()*A129/19)</x:f>
        <x:v>-52.25268002003483</x:v>
      </x:c>
    </x:row>
    <x:row r="130">
      <x:c r="A130" s="25" t="n">
        <x:f>Subsurface_Live_Data!A130</x:f>
        <x:v>4</x:v>
      </x:c>
      <x:c r="B130" s="25" t="n">
        <x:v>0</x:v>
      </x:c>
      <x:c r="C130" s="25" t="n">
        <x:f>Subsurface_Inputs!$C$57+1.5*SIN(2*PI()*A130/35)</x:f>
        <x:v>12.98690808890957</x:v>
      </x:c>
      <x:c r="D130" s="25" t="n">
        <x:f>Subsurface_Live_Data!M130+Subsurface_Inputs!$C$56*SIN(2*PI()*A130/31)</x:f>
        <x:v>16.83349232105271</x:v>
      </x:c>
      <x:c r="E130" s="25" t="str">
        <x:f>IF(Subsurface_Live_Data!H130&gt;=Subsurface_Inputs!$C$42,Subsurface_Live_Data!N130+Subsurface_Inputs!$C$56*SIN(2*PI()*A130/27),"")</x:f>
      </x:c>
      <x:c r="F130" s="25" t="n">
        <x:f>Subsurface_Live_Data!O130+Subsurface_Inputs!$C$56*SIN(2*PI()*A130/47)</x:f>
        <x:v>190.96720895445915</x:v>
      </x:c>
      <x:c r="G130" s="25" t="n">
        <x:f>-55+3*SIN(2*PI()*A130/19)</x:f>
        <x:v>-52.09179920218201</x:v>
      </x:c>
    </x:row>
    <x:row r="131">
      <x:c r="A131" s="25" t="n">
        <x:f>Subsurface_Live_Data!A131</x:f>
        <x:v>4.5</x:v>
      </x:c>
      <x:c r="B131" s="25" t="n">
        <x:v>0</x:v>
      </x:c>
      <x:c r="C131" s="25" t="n">
        <x:f>Subsurface_Inputs!$C$57+1.5*SIN(2*PI()*A131/35)</x:f>
        <x:v>13.084192295741087</x:v>
      </x:c>
      <x:c r="D131" s="25" t="n">
        <x:f>Subsurface_Live_Data!M131+Subsurface_Inputs!$C$56*SIN(2*PI()*A131/31)</x:f>
        <x:v>16.770991729204585</x:v>
      </x:c>
      <x:c r="E131" s="25" t="str">
        <x:f>IF(Subsurface_Live_Data!H131&gt;=Subsurface_Inputs!$C$42,Subsurface_Live_Data!N131+Subsurface_Inputs!$C$56*SIN(2*PI()*A131/27),"")</x:f>
      </x:c>
      <x:c r="F131" s="25" t="n">
        <x:f>Subsurface_Live_Data!O131+Subsurface_Inputs!$C$56*SIN(2*PI()*A131/47)</x:f>
        <x:v>191.14781990886794</x:v>
      </x:c>
      <x:c r="G131" s="25" t="n">
        <x:f>-55+3*SIN(2*PI()*A131/19)</x:f>
        <x:v>-52.01024652097999</x:v>
      </x:c>
    </x:row>
    <x:row r="132">
      <x:c r="A132" s="25" t="n">
        <x:f>Subsurface_Live_Data!A132</x:f>
        <x:v>5</x:v>
      </x:c>
      <x:c r="B132" s="25" t="n">
        <x:v>0</x:v>
      </x:c>
      <x:c r="C132" s="25" t="n">
        <x:f>Subsurface_Inputs!$C$57+1.5*SIN(2*PI()*A132/35)</x:f>
        <x:v>13.172747223702045</x:v>
      </x:c>
      <x:c r="D132" s="25" t="n">
        <x:f>Subsurface_Live_Data!M132+Subsurface_Inputs!$C$56*SIN(2*PI()*A132/31)</x:f>
        <x:v>16.670364457554257</x:v>
      </x:c>
      <x:c r="E132" s="25" t="str">
        <x:f>IF(Subsurface_Live_Data!H132&gt;=Subsurface_Inputs!$C$42,Subsurface_Live_Data!N132+Subsurface_Inputs!$C$56*SIN(2*PI()*A132/27),"")</x:f>
      </x:c>
      <x:c r="F132" s="25" t="n">
        <x:f>Subsurface_Live_Data!O132+Subsurface_Inputs!$C$56*SIN(2*PI()*A132/47)</x:f>
        <x:v>191.35493416275077</x:v>
      </x:c>
      <x:c r="G132" s="25" t="n">
        <x:f>-55+3*SIN(2*PI()*A132/19)</x:f>
        <x:v>-52.01024652097999</x:v>
      </x:c>
    </x:row>
    <x:row r="133">
      <x:c r="A133" s="25" t="n">
        <x:f>Subsurface_Live_Data!A133</x:f>
        <x:v>5.5</x:v>
      </x:c>
      <x:c r="B133" s="25" t="n">
        <x:v>0</x:v>
      </x:c>
      <x:c r="C133" s="25" t="n">
        <x:f>Subsurface_Inputs!$C$57+1.5*SIN(2*PI()*A133/35)</x:f>
        <x:v>13.251859880581954</x:v>
      </x:c>
      <x:c r="D133" s="25" t="n">
        <x:f>Subsurface_Live_Data!M133+Subsurface_Inputs!$C$56*SIN(2*PI()*A133/31)</x:f>
        <x:v>16.550671488032744</x:v>
      </x:c>
      <x:c r="E133" s="25" t="str">
        <x:f>IF(Subsurface_Live_Data!H133&gt;=Subsurface_Inputs!$C$42,Subsurface_Live_Data!N133+Subsurface_Inputs!$C$56*SIN(2*PI()*A133/27),"")</x:f>
      </x:c>
      <x:c r="F133" s="25" t="n">
        <x:f>Subsurface_Live_Data!O133+Subsurface_Inputs!$C$56*SIN(2*PI()*A133/47)</x:f>
        <x:v>191.5259362046392</x:v>
      </x:c>
      <x:c r="G133" s="25" t="n">
        <x:f>-55+3*SIN(2*PI()*A133/19)</x:f>
        <x:v>-52.09179920218201</x:v>
      </x:c>
    </x:row>
    <x:row r="134">
      <x:c r="A134" s="25" t="n">
        <x:f>Subsurface_Live_Data!A134</x:f>
        <x:v>6</x:v>
      </x:c>
      <x:c r="B134" s="25" t="n">
        <x:v>0</x:v>
      </x:c>
      <x:c r="C134" s="25" t="n">
        <x:f>Subsurface_Inputs!$C$57+1.5*SIN(2*PI()*A134/35)</x:f>
        <x:v>13.320893297785107</x:v>
      </x:c>
      <x:c r="D134" s="25" t="n">
        <x:f>Subsurface_Live_Data!M134+Subsurface_Inputs!$C$56*SIN(2*PI()*A134/31)</x:f>
        <x:v>16.41011019785758</x:v>
      </x:c>
      <x:c r="E134" s="25" t="str">
        <x:f>IF(Subsurface_Live_Data!H134&gt;=Subsurface_Inputs!$C$42,Subsurface_Live_Data!N134+Subsurface_Inputs!$C$56*SIN(2*PI()*A134/27),"")</x:f>
      </x:c>
      <x:c r="F134" s="25" t="n">
        <x:f>Subsurface_Live_Data!O134+Subsurface_Inputs!$C$56*SIN(2*PI()*A134/47)</x:f>
        <x:v>191.6720867379131</x:v>
      </x:c>
      <x:c r="G134" s="25" t="n">
        <x:f>-55+3*SIN(2*PI()*A134/19)</x:f>
        <x:v>-52.25268002003483</x:v>
      </x:c>
    </x:row>
    <x:row r="135">
      <x:c r="A135" s="25" t="n">
        <x:f>Subsurface_Live_Data!A135</x:f>
        <x:v>6.5</x:v>
      </x:c>
      <x:c r="B135" s="25" t="n">
        <x:v>0</x:v>
      </x:c>
      <x:c r="C135" s="25" t="n">
        <x:f>Subsurface_Inputs!$C$57+1.5*SIN(2*PI()*A135/35)</x:f>
        <x:v>13.379291658827176</x:v>
      </x:c>
      <x:c r="D135" s="25" t="n">
        <x:f>Subsurface_Live_Data!M135+Subsurface_Inputs!$C$56*SIN(2*PI()*A135/31)</x:f>
        <x:v>16.247161288138262</x:v>
      </x:c>
      <x:c r="E135" s="25" t="str">
        <x:f>IF(Subsurface_Live_Data!H135&gt;=Subsurface_Inputs!$C$42,Subsurface_Live_Data!N135+Subsurface_Inputs!$C$56*SIN(2*PI()*A135/27),"")</x:f>
      </x:c>
      <x:c r="F135" s="25" t="n">
        <x:f>Subsurface_Live_Data!O135+Subsurface_Inputs!$C$56*SIN(2*PI()*A135/47)</x:f>
        <x:v>191.8044103500156</x:v>
      </x:c>
      <x:c r="G135" s="25" t="n">
        <x:f>-55+3*SIN(2*PI()*A135/19)</x:f>
        <x:v>-52.48850056521241</x:v>
      </x:c>
    </x:row>
    <x:row r="136">
      <x:c r="A136" s="25" t="n">
        <x:f>Subsurface_Live_Data!A136</x:f>
        <x:v>7</x:v>
      </x:c>
      <x:c r="B136" s="25" t="n">
        <x:v>0</x:v>
      </x:c>
      <x:c r="C136" s="25" t="n">
        <x:f>Subsurface_Inputs!$C$57+1.5*SIN(2*PI()*A136/35)</x:f>
        <x:v>13.42658477444273</x:v>
      </x:c>
      <x:c r="D136" s="25" t="n">
        <x:f>Subsurface_Live_Data!M136+Subsurface_Inputs!$C$56*SIN(2*PI()*A136/31)</x:f>
        <x:v>16.074529479086266</x:v>
      </x:c>
      <x:c r="E136" s="25" t="str">
        <x:f>IF(Subsurface_Live_Data!H136&gt;=Subsurface_Inputs!$C$42,Subsurface_Live_Data!N136+Subsurface_Inputs!$C$56*SIN(2*PI()*A136/27),"")</x:f>
      </x:c>
      <x:c r="F136" s="25" t="n">
        <x:f>Subsurface_Live_Data!O136+Subsurface_Inputs!$C$56*SIN(2*PI()*A136/47)</x:f>
        <x:v>191.88479779788975</x:v>
      </x:c>
      <x:c r="G136" s="25" t="n">
        <x:f>-55+3*SIN(2*PI()*A136/19)</x:f>
        <x:v>-52.7928282679806</x:v>
      </x:c>
    </x:row>
    <x:row r="137">
      <x:c r="A137" s="25" t="n">
        <x:f>Subsurface_Live_Data!A137</x:f>
        <x:v>7.5</x:v>
      </x:c>
      <x:c r="B137" s="25" t="n">
        <x:v>0</x:v>
      </x:c>
      <x:c r="C137" s="25" t="n">
        <x:f>Subsurface_Inputs!$C$57+1.5*SIN(2*PI()*A137/35)</x:f>
        <x:v>13.462391868272736</x:v>
      </x:c>
      <x:c r="D137" s="25" t="n">
        <x:f>Subsurface_Live_Data!M137+Subsurface_Inputs!$C$56*SIN(2*PI()*A137/31)</x:f>
        <x:v>15.865712344983017</x:v>
      </x:c>
      <x:c r="E137" s="25" t="str">
        <x:f>IF(Subsurface_Live_Data!H137&gt;=Subsurface_Inputs!$C$42,Subsurface_Live_Data!N137+Subsurface_Inputs!$C$56*SIN(2*PI()*A137/27),"")</x:f>
      </x:c>
      <x:c r="F137" s="25" t="n">
        <x:f>Subsurface_Live_Data!O137+Subsurface_Inputs!$C$56*SIN(2*PI()*A137/47)</x:f>
        <x:v>192.0129046314037</x:v>
      </x:c>
      <x:c r="G137" s="25" t="n">
        <x:f>-55+3*SIN(2*PI()*A137/19)</x:f>
        <x:v>-53.157361861930994</x:v>
      </x:c>
    </x:row>
    <x:row r="138">
      <x:c r="A138" s="25" t="n">
        <x:f>Subsurface_Live_Data!A138</x:f>
        <x:v>8</x:v>
      </x:c>
      <x:c r="B138" s="25" t="n">
        <x:v>0</x:v>
      </x:c>
      <x:c r="C138" s="25" t="n">
        <x:f>Subsurface_Inputs!$C$57+1.5*SIN(2*PI()*A138/35)</x:f>
        <x:v>13.486424642651903</x:v>
      </x:c>
      <x:c r="D138" s="25" t="n">
        <x:f>Subsurface_Live_Data!M138+Subsurface_Inputs!$C$56*SIN(2*PI()*A138/31)</x:f>
        <x:v>15.654032925709604</x:v>
      </x:c>
      <x:c r="E138" s="25" t="str">
        <x:f>IF(Subsurface_Live_Data!H138&gt;=Subsurface_Inputs!$C$42,Subsurface_Live_Data!N138+Subsurface_Inputs!$C$56*SIN(2*PI()*A138/27),"")</x:f>
      </x:c>
      <x:c r="F138" s="25" t="n">
        <x:f>Subsurface_Live_Data!O138+Subsurface_Inputs!$C$56*SIN(2*PI()*A138/47)</x:f>
        <x:v>192.0794234928657</x:v>
      </x:c>
      <x:c r="G138" s="25" t="n">
        <x:f>-55+3*SIN(2*PI()*A138/19)</x:f>
        <x:v>-53.572157820888776</x:v>
      </x:c>
    </x:row>
    <x:row r="139">
      <x:c r="A139" s="25" t="n">
        <x:f>Subsurface_Live_Data!A139</x:f>
        <x:v>8.5</x:v>
      </x:c>
      <x:c r="B139" s="25" t="n">
        <x:v>0</x:v>
      </x:c>
      <x:c r="C139" s="25" t="n">
        <x:f>Subsurface_Inputs!$C$57+1.5*SIN(2*PI()*A139/35)</x:f>
        <x:v>13.498489599811972</x:v>
      </x:c>
      <x:c r="D139" s="25" t="n">
        <x:f>Subsurface_Live_Data!M139+Subsurface_Inputs!$C$56*SIN(2*PI()*A139/31)</x:f>
        <x:v>15.424625610414004</x:v>
      </x:c>
      <x:c r="E139" s="25" t="str">
        <x:f>IF(Subsurface_Live_Data!H139&gt;=Subsurface_Inputs!$C$42,Subsurface_Live_Data!N139+Subsurface_Inputs!$C$56*SIN(2*PI()*A139/27),"")</x:f>
      </x:c>
      <x:c r="F139" s="25" t="n">
        <x:f>Subsurface_Live_Data!O139+Subsurface_Inputs!$C$56*SIN(2*PI()*A139/47)</x:f>
        <x:v>192.1440189249669</x:v>
      </x:c>
      <x:c r="G139" s="25" t="n">
        <x:f>-55+3*SIN(2*PI()*A139/19)</x:f>
        <x:v>-54.02590159238595</x:v>
      </x:c>
    </x:row>
    <x:row r="140">
      <x:c r="A140" s="25" t="n">
        <x:f>Subsurface_Live_Data!A140</x:f>
        <x:v>9</x:v>
      </x:c>
      <x:c r="B140" s="25" t="n">
        <x:v>0</x:v>
      </x:c>
      <x:c r="C140" s="25" t="n">
        <x:f>Subsurface_Inputs!$C$57+1.5*SIN(2*PI()*A140/35)</x:f>
        <x:v>13.498489599811972</x:v>
      </x:c>
      <x:c r="D140" s="25" t="n">
        <x:f>Subsurface_Live_Data!M140+Subsurface_Inputs!$C$56*SIN(2*PI()*A140/31)</x:f>
        <x:v>15.194323851358178</x:v>
      </x:c>
      <x:c r="E140" s="25" t="str">
        <x:f>IF(Subsurface_Live_Data!H140&gt;=Subsurface_Inputs!$C$42,Subsurface_Live_Data!N140+Subsurface_Inputs!$C$56*SIN(2*PI()*A140/27),"")</x:f>
      </x:c>
      <x:c r="F140" s="25" t="n">
        <x:f>Subsurface_Live_Data!O140+Subsurface_Inputs!$C$56*SIN(2*PI()*A140/47)</x:f>
        <x:v>192.15560676214918</x:v>
      </x:c>
      <x:c r="G140" s="25" t="n">
        <x:f>-55+3*SIN(2*PI()*A140/19)</x:f>
        <x:v>-54.5062162291578</x:v>
      </x:c>
    </x:row>
    <x:row r="141">
      <x:c r="A141" s="25" t="n">
        <x:f>Subsurface_Live_Data!A141</x:f>
        <x:v>9.5</x:v>
      </x:c>
      <x:c r="B141" s="25" t="n">
        <x:v>0</x:v>
      </x:c>
      <x:c r="C141" s="25" t="n">
        <x:f>Subsurface_Inputs!$C$57+1.5*SIN(2*PI()*A141/35)</x:f>
        <x:v>13.486424642651903</x:v>
      </x:c>
      <x:c r="D141" s="25" t="n">
        <x:f>Subsurface_Live_Data!M141+Subsurface_Inputs!$C$56*SIN(2*PI()*A141/31)</x:f>
        <x:v>14.95411413142432</x:v>
      </x:c>
      <x:c r="E141" s="25" t="str">
        <x:f>IF(Subsurface_Live_Data!H141&gt;=Subsurface_Inputs!$C$42,Subsurface_Live_Data!N141+Subsurface_Inputs!$C$56*SIN(2*PI()*A141/27),"")</x:f>
      </x:c>
      <x:c r="F141" s="25" t="n">
        <x:f>Subsurface_Live_Data!O141+Subsurface_Inputs!$C$56*SIN(2*PI()*A141/47)</x:f>
        <x:v>192.15365457527682</x:v>
      </x:c>
      <x:c r="G141" s="25" t="n">
        <x:f>-55+3*SIN(2*PI()*A141/19)</x:f>
        <x:v>-55</x:v>
      </x:c>
    </x:row>
    <x:row r="142">
      <x:c r="A142" s="25" t="n">
        <x:f>Subsurface_Live_Data!A142</x:f>
        <x:v>10</x:v>
      </x:c>
      <x:c r="B142" s="25" t="n">
        <x:v>0</x:v>
      </x:c>
      <x:c r="C142" s="25" t="n">
        <x:f>Subsurface_Inputs!$C$57+1.5*SIN(2*PI()*A142/35)</x:f>
        <x:v>13.462391868272736</x:v>
      </x:c>
      <x:c r="D142" s="25" t="n">
        <x:f>Subsurface_Live_Data!M142+Subsurface_Inputs!$C$56*SIN(2*PI()*A142/31)</x:f>
        <x:v>14.698409339009233</x:v>
      </x:c>
      <x:c r="E142" s="25" t="str">
        <x:f>IF(Subsurface_Live_Data!H142&gt;=Subsurface_Inputs!$C$42,Subsurface_Live_Data!N142+Subsurface_Inputs!$C$56*SIN(2*PI()*A142/27),"")</x:f>
      </x:c>
      <x:c r="F142" s="25" t="n">
        <x:f>Subsurface_Live_Data!O142+Subsurface_Inputs!$C$56*SIN(2*PI()*A142/47)</x:f>
        <x:v>192.16561897210306</x:v>
      </x:c>
      <x:c r="G142" s="25" t="n">
        <x:f>-55+3*SIN(2*PI()*A142/19)</x:f>
        <x:v>-55.4937837708422</x:v>
      </x:c>
    </x:row>
    <x:row r="143">
      <x:c r="A143" s="25" t="n">
        <x:f>Subsurface_Live_Data!A143</x:f>
        <x:v>10.5</x:v>
      </x:c>
      <x:c r="B143" s="25" t="n">
        <x:v>0</x:v>
      </x:c>
      <x:c r="C143" s="25" t="n">
        <x:f>Subsurface_Inputs!$C$57+1.5*SIN(2*PI()*A143/35)</x:f>
        <x:v>13.42658477444273</x:v>
      </x:c>
      <x:c r="D143" s="25" t="n">
        <x:f>Subsurface_Live_Data!M143+Subsurface_Inputs!$C$56*SIN(2*PI()*A143/31)</x:f>
        <x:v>14.443186632903982</x:v>
      </x:c>
      <x:c r="E143" s="25" t="str">
        <x:f>IF(Subsurface_Live_Data!H143&gt;=Subsurface_Inputs!$C$42,Subsurface_Live_Data!N143+Subsurface_Inputs!$C$56*SIN(2*PI()*A143/27),"")</x:f>
      </x:c>
      <x:c r="F143" s="25" t="n">
        <x:f>Subsurface_Live_Data!O143+Subsurface_Inputs!$C$56*SIN(2*PI()*A143/47)</x:f>
        <x:v>192.1433636606523</x:v>
      </x:c>
      <x:c r="G143" s="25" t="n">
        <x:f>-55+3*SIN(2*PI()*A143/19)</x:f>
        <x:v>-55.97409840761405</x:v>
      </x:c>
    </x:row>
    <x:row r="144">
      <x:c r="A144" s="25" t="n">
        <x:f>Subsurface_Live_Data!A144</x:f>
        <x:v>11</x:v>
      </x:c>
      <x:c r="B144" s="25" t="n">
        <x:v>0</x:v>
      </x:c>
      <x:c r="C144" s="25" t="n">
        <x:f>Subsurface_Inputs!$C$57+1.5*SIN(2*PI()*A144/35)</x:f>
        <x:v>13.379291658827176</x:v>
      </x:c>
      <x:c r="D144" s="25" t="n">
        <x:f>Subsurface_Live_Data!M144+Subsurface_Inputs!$C$56*SIN(2*PI()*A144/31)</x:f>
        <x:v>14.197938322271655</x:v>
      </x:c>
      <x:c r="E144" s="25" t="str">
        <x:f>IF(Subsurface_Live_Data!H144&gt;=Subsurface_Inputs!$C$42,Subsurface_Live_Data!N144+Subsurface_Inputs!$C$56*SIN(2*PI()*A144/27),"")</x:f>
      </x:c>
      <x:c r="F144" s="25" t="n">
        <x:f>Subsurface_Live_Data!O144+Subsurface_Inputs!$C$56*SIN(2*PI()*A144/47)</x:f>
        <x:v>192.06123995989697</x:v>
      </x:c>
      <x:c r="G144" s="25" t="n">
        <x:f>-55+3*SIN(2*PI()*A144/19)</x:f>
        <x:v>-56.42784217911122</x:v>
      </x:c>
    </x:row>
    <x:row r="145">
      <x:c r="A145" s="25" t="n">
        <x:f>Subsurface_Live_Data!A145</x:f>
        <x:v>11.5</x:v>
      </x:c>
      <x:c r="B145" s="25" t="n">
        <x:v>0</x:v>
      </x:c>
      <x:c r="C145" s="25" t="n">
        <x:f>Subsurface_Inputs!$C$57+1.5*SIN(2*PI()*A145/35)</x:f>
        <x:v>13.320893297785107</x:v>
      </x:c>
      <x:c r="D145" s="25" t="n">
        <x:f>Subsurface_Live_Data!M145+Subsurface_Inputs!$C$56*SIN(2*PI()*A145/31)</x:f>
        <x:v>13.945357369397957</x:v>
      </x:c>
      <x:c r="E145" s="25" t="str">
        <x:f>IF(Subsurface_Live_Data!H145&gt;=Subsurface_Inputs!$C$42,Subsurface_Live_Data!N145+Subsurface_Inputs!$C$56*SIN(2*PI()*A145/27),"")</x:f>
      </x:c>
      <x:c r="F145" s="25" t="n">
        <x:f>Subsurface_Live_Data!O145+Subsurface_Inputs!$C$56*SIN(2*PI()*A145/47)</x:f>
        <x:v>191.98710545335027</x:v>
      </x:c>
      <x:c r="G145" s="25" t="n">
        <x:f>-55+3*SIN(2*PI()*A145/19)</x:f>
        <x:v>-56.842638138069006</x:v>
      </x:c>
    </x:row>
    <x:row r="146">
      <x:c r="A146" s="25" t="n">
        <x:f>Subsurface_Live_Data!A146</x:f>
        <x:v>12</x:v>
      </x:c>
      <x:c r="B146" s="25" t="n">
        <x:v>0</x:v>
      </x:c>
      <x:c r="C146" s="25" t="n">
        <x:f>Subsurface_Inputs!$C$57+1.5*SIN(2*PI()*A146/35)</x:f>
        <x:v>13.251859880581954</x:v>
      </x:c>
      <x:c r="D146" s="25" t="n">
        <x:f>Subsurface_Live_Data!M146+Subsurface_Inputs!$C$56*SIN(2*PI()*A146/31)</x:f>
        <x:v>13.695158611352284</x:v>
      </x:c>
      <x:c r="E146" s="25" t="str">
        <x:f>IF(Subsurface_Live_Data!H146&gt;=Subsurface_Inputs!$C$42,Subsurface_Live_Data!N146+Subsurface_Inputs!$C$56*SIN(2*PI()*A146/27),"")</x:f>
      </x:c>
      <x:c r="F146" s="25" t="n">
        <x:f>Subsurface_Live_Data!O146+Subsurface_Inputs!$C$56*SIN(2*PI()*A146/47)</x:f>
        <x:v>191.8938780501334</x:v>
      </x:c>
      <x:c r="G146" s="25" t="n">
        <x:f>-55+3*SIN(2*PI()*A146/19)</x:f>
        <x:v>-57.2071717320194</x:v>
      </x:c>
    </x:row>
    <x:row r="147">
      <x:c r="A147" s="25" t="n">
        <x:f>Subsurface_Live_Data!A147</x:f>
        <x:v>12.5</x:v>
      </x:c>
      <x:c r="B147" s="25" t="n">
        <x:v>0</x:v>
      </x:c>
      <x:c r="C147" s="25" t="n">
        <x:f>Subsurface_Inputs!$C$57+1.5*SIN(2*PI()*A147/35)</x:f>
        <x:v>13.172747223702045</x:v>
      </x:c>
      <x:c r="D147" s="25" t="n">
        <x:f>Subsurface_Live_Data!M147+Subsurface_Inputs!$C$56*SIN(2*PI()*A147/31)</x:f>
        <x:v>13.460539670139086</x:v>
      </x:c>
      <x:c r="E147" s="25" t="str">
        <x:f>IF(Subsurface_Live_Data!H147&gt;=Subsurface_Inputs!$C$42,Subsurface_Live_Data!N147+Subsurface_Inputs!$C$56*SIN(2*PI()*A147/27),"")</x:f>
      </x:c>
      <x:c r="F147" s="25" t="n">
        <x:f>Subsurface_Live_Data!O147+Subsurface_Inputs!$C$56*SIN(2*PI()*A147/47)</x:f>
        <x:v>191.74186242252117</x:v>
      </x:c>
      <x:c r="G147" s="25" t="n">
        <x:f>-55+3*SIN(2*PI()*A147/19)</x:f>
        <x:v>-57.51149943478759</x:v>
      </x:c>
    </x:row>
    <x:row r="148">
      <x:c r="A148" s="25" t="n">
        <x:f>Subsurface_Live_Data!A148</x:f>
        <x:v>13</x:v>
      </x:c>
      <x:c r="B148" s="25" t="n">
        <x:v>0</x:v>
      </x:c>
      <x:c r="C148" s="25" t="n">
        <x:f>Subsurface_Inputs!$C$57+1.5*SIN(2*PI()*A148/35)</x:f>
        <x:v>13.084192295741087</x:v>
      </x:c>
      <x:c r="D148" s="25" t="n">
        <x:f>Subsurface_Live_Data!M148+Subsurface_Inputs!$C$56*SIN(2*PI()*A148/31)</x:f>
        <x:v>13.22439952439565</x:v>
      </x:c>
      <x:c r="E148" s="25" t="str">
        <x:f>IF(Subsurface_Live_Data!H148&gt;=Subsurface_Inputs!$C$42,Subsurface_Live_Data!N148+Subsurface_Inputs!$C$56*SIN(2*PI()*A148/27),"")</x:f>
      </x:c>
      <x:c r="F148" s="25" t="n">
        <x:f>Subsurface_Live_Data!O148+Subsurface_Inputs!$C$56*SIN(2*PI()*A148/47)</x:f>
        <x:v>191.59693652610935</x:v>
      </x:c>
      <x:c r="G148" s="25" t="n">
        <x:f>-55+3*SIN(2*PI()*A148/19)</x:f>
        <x:v>-57.74731997996517</x:v>
      </x:c>
    </x:row>
    <x:row r="149">
      <x:c r="A149" s="25" t="n">
        <x:f>Subsurface_Live_Data!A149</x:f>
        <x:v>13.5</x:v>
      </x:c>
      <x:c r="B149" s="25" t="n">
        <x:v>0</x:v>
      </x:c>
      <x:c r="C149" s="25" t="n">
        <x:f>Subsurface_Inputs!$C$57+1.5*SIN(2*PI()*A149/35)</x:f>
        <x:v>12.98690808890957</x:v>
      </x:c>
      <x:c r="D149" s="25" t="n">
        <x:f>Subsurface_Live_Data!M149+Subsurface_Inputs!$C$56*SIN(2*PI()*A149/31)</x:f>
        <x:v>12.989112680923652</x:v>
      </x:c>
      <x:c r="E149" s="25" t="str">
        <x:f>IF(Subsurface_Live_Data!H149&gt;=Subsurface_Inputs!$C$42,Subsurface_Live_Data!N149+Subsurface_Inputs!$C$56*SIN(2*PI()*A149/27),"")</x:f>
      </x:c>
      <x:c r="F149" s="25" t="n">
        <x:f>Subsurface_Live_Data!O149+Subsurface_Inputs!$C$56*SIN(2*PI()*A149/47)</x:f>
        <x:v>191.4563057726188</x:v>
      </x:c>
      <x:c r="G149" s="25" t="n">
        <x:f>-55+3*SIN(2*PI()*A149/19)</x:f>
        <x:v>-57.90820079781799</x:v>
      </x:c>
    </x:row>
    <x:row r="150">
      <x:c r="A150" s="25" t="n">
        <x:f>Subsurface_Live_Data!A150</x:f>
        <x:v>14</x:v>
      </x:c>
      <x:c r="B150" s="25" t="n">
        <x:v>0</x:v>
      </x:c>
      <x:c r="C150" s="25" t="n">
        <x:f>Subsurface_Inputs!$C$57+1.5*SIN(2*PI()*A150/35)</x:f>
        <x:v>12.88167787843871</x:v>
      </x:c>
      <x:c r="D150" s="25" t="n">
        <x:f>Subsurface_Live_Data!M150+Subsurface_Inputs!$C$56*SIN(2*PI()*A150/31)</x:f>
        <x:v>12.774232460360315</x:v>
      </x:c>
      <x:c r="E150" s="25" t="str">
        <x:f>IF(Subsurface_Live_Data!H150&gt;=Subsurface_Inputs!$C$42,Subsurface_Live_Data!N150+Subsurface_Inputs!$C$56*SIN(2*PI()*A150/27),"")</x:f>
      </x:c>
      <x:c r="F150" s="25" t="n">
        <x:f>Subsurface_Live_Data!O150+Subsurface_Inputs!$C$56*SIN(2*PI()*A150/47)</x:f>
        <x:v>191.25651764950226</x:v>
      </x:c>
      <x:c r="G150" s="25" t="n">
        <x:f>-55+3*SIN(2*PI()*A150/19)</x:f>
        <x:v>-57.98975347902001</x:v>
      </x:c>
    </x:row>
    <x:row r="151">
      <x:c r="A151" s="25" t="n">
        <x:f>Subsurface_Live_Data!A151</x:f>
        <x:v>14.5</x:v>
      </x:c>
      <x:c r="B151" s="25" t="n">
        <x:v>0</x:v>
      </x:c>
      <x:c r="C151" s="25" t="n">
        <x:f>Subsurface_Inputs!$C$57+1.5*SIN(2*PI()*A151/35)</x:f>
        <x:v>12.769348916108859</x:v>
      </x:c>
      <x:c r="D151" s="25" t="n">
        <x:f>Subsurface_Live_Data!M151+Subsurface_Inputs!$C$56*SIN(2*PI()*A151/31)</x:f>
        <x:v>12.569323266312349</x:v>
      </x:c>
      <x:c r="E151" s="25" t="str">
        <x:f>IF(Subsurface_Live_Data!H151&gt;=Subsurface_Inputs!$C$42,Subsurface_Live_Data!N151+Subsurface_Inputs!$C$56*SIN(2*PI()*A151/27),"")</x:f>
      </x:c>
      <x:c r="F151" s="25" t="n">
        <x:f>Subsurface_Live_Data!O151+Subsurface_Inputs!$C$56*SIN(2*PI()*A151/47)</x:f>
        <x:v>191.03853708137035</x:v>
      </x:c>
      <x:c r="G151" s="25" t="n">
        <x:f>-55+3*SIN(2*PI()*A151/19)</x:f>
        <x:v>-57.98975347902001</x:v>
      </x:c>
    </x:row>
    <x:row r="152">
      <x:c r="A152" s="25" t="n">
        <x:f>Subsurface_Live_Data!A152</x:f>
        <x:v>15</x:v>
      </x:c>
      <x:c r="B152" s="25" t="n">
        <x:v>0</x:v>
      </x:c>
      <x:c r="C152" s="25" t="n">
        <x:f>Subsurface_Inputs!$C$57+1.5*SIN(2*PI()*A152/35)</x:f>
        <x:v>12.650825608676337</x:v>
      </x:c>
      <x:c r="D152" s="25" t="n">
        <x:f>Subsurface_Live_Data!M152+Subsurface_Inputs!$C$56*SIN(2*PI()*A152/31)</x:f>
        <x:v>12.366549509147946</x:v>
      </x:c>
      <x:c r="E152" s="25" t="str">
        <x:f>IF(Subsurface_Live_Data!H152&gt;=Subsurface_Inputs!$C$42,Subsurface_Live_Data!N152+Subsurface_Inputs!$C$56*SIN(2*PI()*A152/27),"")</x:f>
      </x:c>
      <x:c r="F152" s="25" t="n">
        <x:f>Subsurface_Live_Data!O152+Subsurface_Inputs!$C$56*SIN(2*PI()*A152/47)</x:f>
        <x:v>190.83368527335122</x:v>
      </x:c>
      <x:c r="G152" s="25" t="n">
        <x:f>-55+3*SIN(2*PI()*A152/19)</x:f>
        <x:v>-57.90820079781799</x:v>
      </x:c>
    </x:row>
    <x:row r="153">
      <x:c r="A153" s="25" t="n">
        <x:f>Subsurface_Live_Data!A153</x:f>
        <x:v>15.5</x:v>
      </x:c>
      <x:c r="B153" s="25" t="n">
        <x:v>0</x:v>
      </x:c>
      <x:c r="C153" s="25" t="n">
        <x:f>Subsurface_Inputs!$C$57+1.5*SIN(2*PI()*A153/35)</x:f>
        <x:v>12.527062236122013</x:v>
      </x:c>
      <x:c r="D153" s="25" t="n">
        <x:f>Subsurface_Live_Data!M153+Subsurface_Inputs!$C$56*SIN(2*PI()*A153/31)</x:f>
        <x:v>12.181791685570879</x:v>
      </x:c>
      <x:c r="E153" s="25" t="str">
        <x:f>IF(Subsurface_Live_Data!H153&gt;=Subsurface_Inputs!$C$42,Subsurface_Live_Data!N153+Subsurface_Inputs!$C$56*SIN(2*PI()*A153/27),"")</x:f>
      </x:c>
      <x:c r="F153" s="25" t="n">
        <x:f>Subsurface_Live_Data!O153+Subsurface_Inputs!$C$56*SIN(2*PI()*A153/47)</x:f>
        <x:v>190.58974463648593</x:v>
      </x:c>
      <x:c r="G153" s="25" t="n">
        <x:f>-55+3*SIN(2*PI()*A153/19)</x:f>
        <x:v>-57.74731997996517</x:v>
      </x:c>
    </x:row>
    <x:row r="154">
      <x:c r="A154" s="25" t="n">
        <x:f>Subsurface_Live_Data!A154</x:f>
        <x:v>16</x:v>
      </x:c>
      <x:c r="B154" s="25" t="n">
        <x:v>0</x:v>
      </x:c>
      <x:c r="C154" s="25" t="n">
        <x:f>Subsurface_Inputs!$C$57+1.5*SIN(2*PI()*A154/35)</x:f>
        <x:v>12.399055268350013</x:v>
      </x:c>
      <x:c r="D154" s="25" t="n">
        <x:f>Subsurface_Live_Data!M154+Subsurface_Inputs!$C$56*SIN(2*PI()*A154/31)</x:f>
        <x:v>12.013765366416624</x:v>
      </x:c>
      <x:c r="E154" s="25" t="str">
        <x:f>IF(Subsurface_Live_Data!H154&gt;=Subsurface_Inputs!$C$42,Subsurface_Live_Data!N154+Subsurface_Inputs!$C$56*SIN(2*PI()*A154/27),"")</x:f>
      </x:c>
      <x:c r="F154" s="25" t="n">
        <x:f>Subsurface_Live_Data!O154+Subsurface_Inputs!$C$56*SIN(2*PI()*A154/47)</x:f>
        <x:v>190.3140637980437</x:v>
      </x:c>
      <x:c r="G154" s="25" t="n">
        <x:f>-55+3*SIN(2*PI()*A154/19)</x:f>
        <x:v>-57.51149943478759</x:v>
      </x:c>
    </x:row>
    <x:row r="155">
      <x:c r="A155" s="25" t="n">
        <x:f>Subsurface_Live_Data!A155</x:f>
        <x:v>16.5</x:v>
      </x:c>
      <x:c r="B155" s="25" t="n">
        <x:v>0</x:v>
      </x:c>
      <x:c r="C155" s="25" t="n">
        <x:f>Subsurface_Inputs!$C$57+1.5*SIN(2*PI()*A155/35)</x:f>
        <x:v>12.267835342197955</x:v>
      </x:c>
      <x:c r="D155" s="25" t="n">
        <x:f>Subsurface_Live_Data!M155+Subsurface_Inputs!$C$56*SIN(2*PI()*A155/31)</x:f>
        <x:v>11.85953818036684</x:v>
      </x:c>
      <x:c r="E155" s="25" t="str">
        <x:f>IF(Subsurface_Live_Data!H155&gt;=Subsurface_Inputs!$C$42,Subsurface_Live_Data!N155+Subsurface_Inputs!$C$56*SIN(2*PI()*A155/27),"")</x:f>
      </x:c>
      <x:c r="F155" s="25" t="n">
        <x:f>Subsurface_Live_Data!O155+Subsurface_Inputs!$C$56*SIN(2*PI()*A155/47)</x:f>
        <x:v>190.0192788304422</x:v>
      </x:c>
      <x:c r="G155" s="25" t="n">
        <x:f>-55+3*SIN(2*PI()*A155/19)</x:f>
        <x:v>-57.2071717320194</x:v>
      </x:c>
    </x:row>
    <x:row r="156">
      <x:c r="A156" s="25" t="n">
        <x:f>Subsurface_Live_Data!A156</x:f>
        <x:v>17</x:v>
      </x:c>
      <x:c r="B156" s="25" t="n">
        <x:v>0</x:v>
      </x:c>
      <x:c r="C156" s="25" t="n">
        <x:f>Subsurface_Inputs!$C$57+1.5*SIN(2*PI()*A156/35)</x:f>
        <x:v>12.13445896335515</x:v>
      </x:c>
      <x:c r="D156" s="25" t="n">
        <x:f>Subsurface_Live_Data!M156+Subsurface_Inputs!$C$56*SIN(2*PI()*A156/31)</x:f>
        <x:v>11.714530082976857</x:v>
      </x:c>
      <x:c r="E156" s="25" t="n">
        <x:f>IF(Subsurface_Live_Data!H156&gt;=Subsurface_Inputs!$C$42,Subsurface_Live_Data!N156+Subsurface_Inputs!$C$56*SIN(2*PI()*A156/27),"")</x:f>
        <x:v>63.547388021391306</x:v>
      </x:c>
      <x:c r="F156" s="25" t="n">
        <x:f>Subsurface_Live_Data!O156+Subsurface_Inputs!$C$56*SIN(2*PI()*A156/47)</x:f>
        <x:v>189.7233509562466</x:v>
      </x:c>
      <x:c r="G156" s="25" t="n">
        <x:f>-55+3*SIN(2*PI()*A156/19)</x:f>
        <x:v>-56.842638138069</x:v>
      </x:c>
    </x:row>
    <x:row r="157">
      <x:c r="A157" s="25" t="n">
        <x:f>Subsurface_Live_Data!A157</x:f>
        <x:v>17.5</x:v>
      </x:c>
      <x:c r="B157" s="25" t="n">
        <x:v>0</x:v>
      </x:c>
      <x:c r="C157" s="25" t="n">
        <x:f>Subsurface_Inputs!$C$57+1.5*SIN(2*PI()*A157/35)</x:f>
        <x:v>12</x:v>
      </x:c>
      <x:c r="D157" s="25" t="n">
        <x:f>Subsurface_Live_Data!M157+Subsurface_Inputs!$C$56*SIN(2*PI()*A157/31)</x:f>
        <x:v>11.589519600798809</x:v>
      </x:c>
      <x:c r="E157" s="25" t="n">
        <x:f>IF(Subsurface_Live_Data!H157&gt;=Subsurface_Inputs!$C$42,Subsurface_Live_Data!N157+Subsurface_Inputs!$C$56*SIN(2*PI()*A157/27),"")</x:f>
        <x:v>63.53355337195066</x:v>
      </x:c>
      <x:c r="F157" s="25" t="n">
        <x:f>Subsurface_Live_Data!O157+Subsurface_Inputs!$C$56*SIN(2*PI()*A157/47)</x:f>
        <x:v>189.39008994380833</x:v>
      </x:c>
      <x:c r="G157" s="25" t="n">
        <x:f>-55+3*SIN(2*PI()*A157/19)</x:f>
        <x:v>-56.427842179111224</x:v>
      </x:c>
    </x:row>
    <x:row r="158">
      <x:c r="A158" s="25" t="n">
        <x:f>Subsurface_Live_Data!A158</x:f>
        <x:v>18</x:v>
      </x:c>
      <x:c r="B158" s="25" t="n">
        <x:v>0</x:v>
      </x:c>
      <x:c r="C158" s="25" t="n">
        <x:f>Subsurface_Inputs!$C$57+1.5*SIN(2*PI()*A158/35)</x:f>
        <x:v>11.86554103664485</x:v>
      </x:c>
      <x:c r="D158" s="25" t="n">
        <x:f>Subsurface_Live_Data!M158+Subsurface_Inputs!$C$56*SIN(2*PI()*A158/31)</x:f>
        <x:v>11.476111237896308</x:v>
      </x:c>
      <x:c r="E158" s="25" t="n">
        <x:f>IF(Subsurface_Live_Data!H158&gt;=Subsurface_Inputs!$C$42,Subsurface_Live_Data!N158+Subsurface_Inputs!$C$56*SIN(2*PI()*A158/27),"")</x:f>
        <x:v>63.52566836253827</x:v>
      </x:c>
      <x:c r="F158" s="25" t="n">
        <x:f>Subsurface_Live_Data!O158+Subsurface_Inputs!$C$56*SIN(2*PI()*A158/47)</x:f>
        <x:v>189.05006855655768</x:v>
      </x:c>
      <x:c r="G158" s="25" t="n">
        <x:f>-55+3*SIN(2*PI()*A158/19)</x:f>
        <x:v>-55.97409840761405</x:v>
      </x:c>
    </x:row>
    <x:row r="159">
      <x:c r="A159" s="25" t="n">
        <x:f>Subsurface_Live_Data!A159</x:f>
        <x:v>18.5</x:v>
      </x:c>
      <x:c r="B159" s="25" t="n">
        <x:v>0</x:v>
      </x:c>
      <x:c r="C159" s="25" t="n">
        <x:f>Subsurface_Inputs!$C$57+1.5*SIN(2*PI()*A159/35)</x:f>
        <x:v>11.732164657802045</x:v>
      </x:c>
      <x:c r="D159" s="25" t="n">
        <x:f>Subsurface_Live_Data!M159+Subsurface_Inputs!$C$56*SIN(2*PI()*A159/31)</x:f>
        <x:v>11.372823574048207</x:v>
      </x:c>
      <x:c r="E159" s="25" t="n">
        <x:f>IF(Subsurface_Live_Data!H159&gt;=Subsurface_Inputs!$C$42,Subsurface_Live_Data!N159+Subsurface_Inputs!$C$56*SIN(2*PI()*A159/27),"")</x:f>
        <x:v>63.52496852932701</x:v>
      </x:c>
      <x:c r="F159" s="25" t="n">
        <x:f>Subsurface_Live_Data!O159+Subsurface_Inputs!$C$56*SIN(2*PI()*A159/47)</x:f>
        <x:v>188.7093681449731</x:v>
      </x:c>
      <x:c r="G159" s="25" t="n">
        <x:f>-55+3*SIN(2*PI()*A159/19)</x:f>
        <x:v>-55.4937837708422</x:v>
      </x:c>
    </x:row>
    <x:row r="160">
      <x:c r="A160" s="25" t="n">
        <x:f>Subsurface_Live_Data!A160</x:f>
        <x:v>19</x:v>
      </x:c>
      <x:c r="B160" s="25" t="n">
        <x:v>0</x:v>
      </x:c>
      <x:c r="C160" s="25" t="n">
        <x:f>Subsurface_Inputs!$C$57+1.5*SIN(2*PI()*A160/35)</x:f>
        <x:v>11.600944731649987</x:v>
      </x:c>
      <x:c r="D160" s="25" t="n">
        <x:f>Subsurface_Live_Data!M160+Subsurface_Inputs!$C$56*SIN(2*PI()*A160/31)</x:f>
        <x:v>11.292313648140093</x:v>
      </x:c>
      <x:c r="E160" s="25" t="n">
        <x:f>IF(Subsurface_Live_Data!H160&gt;=Subsurface_Inputs!$C$42,Subsurface_Live_Data!N160+Subsurface_Inputs!$C$56*SIN(2*PI()*A160/27),"")</x:f>
        <x:v>63.53251549462896</x:v>
      </x:c>
      <x:c r="F160" s="25" t="n">
        <x:f>Subsurface_Live_Data!O160+Subsurface_Inputs!$C$56*SIN(2*PI()*A160/47)</x:f>
        <x:v>188.3243492031052</x:v>
      </x:c>
      <x:c r="G160" s="25" t="n">
        <x:f>-55+3*SIN(2*PI()*A160/19)</x:f>
        <x:v>-55</x:v>
      </x:c>
    </x:row>
    <x:row r="161">
      <x:c r="A161" s="25" t="n">
        <x:f>Subsurface_Live_Data!A161</x:f>
        <x:v>19.5</x:v>
      </x:c>
      <x:c r="B161" s="25" t="n">
        <x:v>0</x:v>
      </x:c>
      <x:c r="C161" s="25" t="n">
        <x:f>Subsurface_Inputs!$C$57+1.5*SIN(2*PI()*A161/35)</x:f>
        <x:v>11.472937763877987</x:v>
      </x:c>
      <x:c r="D161" s="25" t="n">
        <x:f>Subsurface_Live_Data!M161+Subsurface_Inputs!$C$56*SIN(2*PI()*A161/31)</x:f>
        <x:v>11.221822348168624</x:v>
      </x:c>
      <x:c r="E161" s="25" t="n">
        <x:f>IF(Subsurface_Live_Data!H161&gt;=Subsurface_Inputs!$C$42,Subsurface_Live_Data!N161+Subsurface_Inputs!$C$56*SIN(2*PI()*A161/27),"")</x:f>
        <x:v>63.549184822205056</x:v>
      </x:c>
      <x:c r="F161" s="25" t="n">
        <x:f>Subsurface_Live_Data!O161+Subsurface_Inputs!$C$56*SIN(2*PI()*A161/47)</x:f>
        <x:v>187.94014875647892</x:v>
      </x:c>
      <x:c r="G161" s="25" t="n">
        <x:f>-55+3*SIN(2*PI()*A161/19)</x:f>
        <x:v>-54.5062162291578</x:v>
      </x:c>
    </x:row>
    <x:row r="162">
      <x:c r="A162" s="25" t="n">
        <x:f>Subsurface_Live_Data!A162</x:f>
        <x:v>20</x:v>
      </x:c>
      <x:c r="B162" s="25" t="n">
        <x:v>0</x:v>
      </x:c>
      <x:c r="C162" s="25" t="n">
        <x:f>Subsurface_Inputs!$C$57+1.5*SIN(2*PI()*A162/35)</x:f>
        <x:v>11.349174391323663</x:v>
      </x:c>
      <x:c r="D162" s="25" t="n">
        <x:f>Subsurface_Live_Data!M162+Subsurface_Inputs!$C$56*SIN(2*PI()*A162/31)</x:f>
        <x:v>11.162622059100514</x:v>
      </x:c>
      <x:c r="E162" s="25" t="n">
        <x:f>IF(Subsurface_Live_Data!H162&gt;=Subsurface_Inputs!$C$42,Subsurface_Live_Data!N162+Subsurface_Inputs!$C$56*SIN(2*PI()*A162/27),"")</x:f>
        <x:v>63.57565629456027</x:v>
      </x:c>
      <x:c r="F162" s="25" t="n">
        <x:f>Subsurface_Live_Data!O162+Subsurface_Inputs!$C$56*SIN(2*PI()*A162/47)</x:f>
        <x:v>187.55266862154326</x:v>
      </x:c>
      <x:c r="G162" s="25" t="n">
        <x:f>-55+3*SIN(2*PI()*A162/19)</x:f>
        <x:v>-54.02590159238595</x:v>
      </x:c>
    </x:row>
    <x:row r="163">
      <x:c r="A163" s="25" t="n">
        <x:f>Subsurface_Live_Data!A163</x:f>
        <x:v>20.5</x:v>
      </x:c>
      <x:c r="B163" s="25" t="n">
        <x:v>0</x:v>
      </x:c>
      <x:c r="C163" s="25" t="n">
        <x:f>Subsurface_Inputs!$C$57+1.5*SIN(2*PI()*A163/35)</x:f>
        <x:v>11.230651083891141</x:v>
      </x:c>
      <x:c r="D163" s="25" t="n">
        <x:f>Subsurface_Live_Data!M163+Subsurface_Inputs!$C$56*SIN(2*PI()*A163/31)</x:f>
        <x:v>11.117085910939823</x:v>
      </x:c>
      <x:c r="E163" s="25" t="n">
        <x:f>IF(Subsurface_Live_Data!H163&gt;=Subsurface_Inputs!$C$42,Subsurface_Live_Data!N163+Subsurface_Inputs!$C$56*SIN(2*PI()*A163/27),"")</x:f>
        <x:v>63.61240665184315</x:v>
      </x:c>
      <x:c r="F163" s="25" t="n">
        <x:f>Subsurface_Live_Data!O163+Subsurface_Inputs!$C$56*SIN(2*PI()*A163/47)</x:f>
        <x:v>187.15388531984638</x:v>
      </x:c>
      <x:c r="G163" s="25" t="n">
        <x:f>-55+3*SIN(2*PI()*A163/19)</x:f>
        <x:v>-53.57215782088878</x:v>
      </x:c>
    </x:row>
    <x:row r="164">
      <x:c r="A164" s="25" t="n">
        <x:f>Subsurface_Live_Data!A164</x:f>
        <x:v>21</x:v>
      </x:c>
      <x:c r="B164" s="25" t="n">
        <x:v>0</x:v>
      </x:c>
      <x:c r="C164" s="25" t="n">
        <x:f>Subsurface_Inputs!$C$57+1.5*SIN(2*PI()*A164/35)</x:f>
        <x:v>11.11832212156129</x:v>
      </x:c>
      <x:c r="D164" s="25" t="n">
        <x:f>Subsurface_Live_Data!M164+Subsurface_Inputs!$C$56*SIN(2*PI()*A164/31)</x:f>
        <x:v>11.083273722392962</x:v>
      </x:c>
      <x:c r="E164" s="25" t="n">
        <x:f>IF(Subsurface_Live_Data!H164&gt;=Subsurface_Inputs!$C$42,Subsurface_Live_Data!N164+Subsurface_Inputs!$C$56*SIN(2*PI()*A164/27),"")</x:f>
        <x:v>63.6597048045248</x:v>
      </x:c>
      <x:c r="F164" s="25" t="n">
        <x:f>Subsurface_Live_Data!O164+Subsurface_Inputs!$C$56*SIN(2*PI()*A164/47)</x:f>
        <x:v>186.7508473890742</x:v>
      </x:c>
      <x:c r="G164" s="25" t="n">
        <x:f>-55+3*SIN(2*PI()*A164/19)</x:f>
        <x:v>-53.157361861930994</x:v>
      </x:c>
    </x:row>
    <x:row r="165">
      <x:c r="A165" s="25" t="n">
        <x:f>Subsurface_Live_Data!A165</x:f>
        <x:v>21.5</x:v>
      </x:c>
      <x:c r="B165" s="25" t="n">
        <x:v>0</x:v>
      </x:c>
      <x:c r="C165" s="25" t="n">
        <x:f>Subsurface_Inputs!$C$57+1.5*SIN(2*PI()*A165/35)</x:f>
        <x:v>11.01309191109043</x:v>
      </x:c>
      <x:c r="D165" s="25" t="n">
        <x:f>Subsurface_Live_Data!M165+Subsurface_Inputs!$C$56*SIN(2*PI()*A165/31)</x:f>
        <x:v>11.064149082000071</x:v>
      </x:c>
      <x:c r="E165" s="25" t="n">
        <x:f>IF(Subsurface_Live_Data!H165&gt;=Subsurface_Inputs!$C$42,Subsurface_Live_Data!N165+Subsurface_Inputs!$C$56*SIN(2*PI()*A165/27),"")</x:f>
        <x:v>63.71760950787898</x:v>
      </x:c>
      <x:c r="F165" s="25" t="n">
        <x:f>Subsurface_Live_Data!O165+Subsurface_Inputs!$C$56*SIN(2*PI()*A165/47)</x:f>
        <x:v>186.33345824555371</x:v>
      </x:c>
      <x:c r="G165" s="25" t="n">
        <x:f>-55+3*SIN(2*PI()*A165/19)</x:f>
        <x:v>-52.7928282679806</x:v>
      </x:c>
    </x:row>
    <x:row r="166">
      <x:c r="A166" s="25" t="n">
        <x:f>Subsurface_Live_Data!A166</x:f>
        <x:v>22</x:v>
      </x:c>
      <x:c r="B166" s="25" t="n">
        <x:v>0</x:v>
      </x:c>
      <x:c r="C166" s="25" t="n">
        <x:f>Subsurface_Inputs!$C$57+1.5*SIN(2*PI()*A166/35)</x:f>
        <x:v>10.915807704258913</x:v>
      </x:c>
      <x:c r="D166" s="25" t="n">
        <x:f>Subsurface_Live_Data!M166+Subsurface_Inputs!$C$56*SIN(2*PI()*A166/31)</x:f>
        <x:v>11.058268520542958</x:v>
      </x:c>
      <x:c r="E166" s="25" t="n">
        <x:f>IF(Subsurface_Live_Data!H166&gt;=Subsurface_Inputs!$C$42,Subsurface_Live_Data!N166+Subsurface_Inputs!$C$56*SIN(2*PI()*A166/27),"")</x:f>
        <x:v>63.78596946557745</x:v>
      </x:c>
      <x:c r="F166" s="25" t="n">
        <x:f>Subsurface_Live_Data!O166+Subsurface_Inputs!$C$56*SIN(2*PI()*A166/47)</x:f>
        <x:v>185.90710011393347</x:v>
      </x:c>
      <x:c r="G166" s="25" t="n">
        <x:f>-55+3*SIN(2*PI()*A166/19)</x:f>
        <x:v>-52.48850056521242</x:v>
      </x:c>
    </x:row>
    <x:row r="167">
      <x:c r="A167" s="25" t="n">
        <x:f>Subsurface_Live_Data!A167</x:f>
        <x:v>22.5</x:v>
      </x:c>
      <x:c r="B167" s="25" t="n">
        <x:v>0</x:v>
      </x:c>
      <x:c r="C167" s="25" t="n">
        <x:f>Subsurface_Inputs!$C$57+1.5*SIN(2*PI()*A167/35)</x:f>
        <x:v>10.827252776297955</x:v>
      </x:c>
      <x:c r="D167" s="25" t="n">
        <x:f>Subsurface_Live_Data!M167+Subsurface_Inputs!$C$56*SIN(2*PI()*A167/31)</x:f>
        <x:v>11.060871859763138</x:v>
      </x:c>
      <x:c r="E167" s="25" t="n">
        <x:f>IF(Subsurface_Live_Data!H167&gt;=Subsurface_Inputs!$C$42,Subsurface_Live_Data!N167+Subsurface_Inputs!$C$56*SIN(2*PI()*A167/27),"")</x:f>
        <x:v>63.86442581239112</x:v>
      </x:c>
      <x:c r="F167" s="25" t="n">
        <x:f>Subsurface_Live_Data!O167+Subsurface_Inputs!$C$56*SIN(2*PI()*A167/47)</x:f>
        <x:v>185.48884625786278</x:v>
      </x:c>
      <x:c r="G167" s="25" t="n">
        <x:f>-55+3*SIN(2*PI()*A167/19)</x:f>
        <x:v>-52.25268002003483</x:v>
      </x:c>
    </x:row>
    <x:row r="168">
      <x:c r="A168" s="25" t="n">
        <x:f>Subsurface_Live_Data!A168</x:f>
        <x:v>23</x:v>
      </x:c>
      <x:c r="B168" s="25" t="n">
        <x:v>0</x:v>
      </x:c>
      <x:c r="C168" s="25" t="n">
        <x:f>Subsurface_Inputs!$C$57+1.5*SIN(2*PI()*A168/35)</x:f>
        <x:v>10.748140119418046</x:v>
      </x:c>
      <x:c r="D168" s="25" t="n">
        <x:f>Subsurface_Live_Data!M168+Subsurface_Inputs!$C$56*SIN(2*PI()*A168/31)</x:f>
        <x:v>11.076470424173417</x:v>
      </x:c>
      <x:c r="E168" s="25" t="n">
        <x:f>IF(Subsurface_Live_Data!H168&gt;=Subsurface_Inputs!$C$42,Subsurface_Live_Data!N168+Subsurface_Inputs!$C$56*SIN(2*PI()*A168/27),"")</x:f>
        <x:v>63.95241691180074</x:v>
      </x:c>
      <x:c r="F168" s="25" t="n">
        <x:f>Subsurface_Live_Data!O168+Subsurface_Inputs!$C$56*SIN(2*PI()*A168/47)</x:f>
        <x:v>185.06342233741938</x:v>
      </x:c>
      <x:c r="G168" s="25" t="n">
        <x:f>-55+3*SIN(2*PI()*A168/19)</x:f>
        <x:v>-52.09179920218201</x:v>
      </x:c>
    </x:row>
    <x:row r="169">
      <x:c r="A169" s="25" t="n">
        <x:f>Subsurface_Live_Data!A169</x:f>
        <x:v>23.5</x:v>
      </x:c>
      <x:c r="B169" s="25" t="n">
        <x:v>0</x:v>
      </x:c>
      <x:c r="C169" s="25" t="n">
        <x:f>Subsurface_Inputs!$C$57+1.5*SIN(2*PI()*A169/35)</x:f>
        <x:v>10.679106702214893</x:v>
      </x:c>
      <x:c r="D169" s="25" t="n">
        <x:f>Subsurface_Live_Data!M169+Subsurface_Inputs!$C$56*SIN(2*PI()*A169/31)</x:f>
        <x:v>11.103323567615266</x:v>
      </x:c>
      <x:c r="E169" s="25" t="n">
        <x:f>IF(Subsurface_Live_Data!H169&gt;=Subsurface_Inputs!$C$42,Subsurface_Live_Data!N169+Subsurface_Inputs!$C$56*SIN(2*PI()*A169/27),"")</x:f>
        <x:v>64.04918539284387</x:v>
      </x:c>
      <x:c r="F169" s="25" t="n">
        <x:f>Subsurface_Live_Data!O169+Subsurface_Inputs!$C$56*SIN(2*PI()*A169/47)</x:f>
        <x:v>184.63754975651935</x:v>
      </x:c>
      <x:c r="G169" s="25" t="n">
        <x:f>-55+3*SIN(2*PI()*A169/19)</x:f>
        <x:v>-52.01024652097999</x:v>
      </x:c>
    </x:row>
    <x:row r="170">
      <x:c r="A170" s="25" t="n">
        <x:f>Subsurface_Live_Data!A170</x:f>
        <x:v>24</x:v>
      </x:c>
      <x:c r="B170" s="25" t="n">
        <x:v>0</x:v>
      </x:c>
      <x:c r="C170" s="25" t="n">
        <x:f>Subsurface_Inputs!$C$57+1.5*SIN(2*PI()*A170/35)</x:f>
        <x:v>10.620708341172824</x:v>
      </x:c>
      <x:c r="D170" s="25" t="n">
        <x:f>Subsurface_Live_Data!M170+Subsurface_Inputs!$C$56*SIN(2*PI()*A170/31)</x:f>
        <x:v>11.150612031479731</x:v>
      </x:c>
      <x:c r="E170" s="25" t="n">
        <x:f>IF(Subsurface_Live_Data!H170&gt;=Subsurface_Inputs!$C$42,Subsurface_Live_Data!N170+Subsurface_Inputs!$C$56*SIN(2*PI()*A170/27),"")</x:f>
        <x:v>64.153787341177</x:v>
      </x:c>
      <x:c r="F170" s="25" t="n">
        <x:f>Subsurface_Live_Data!O170+Subsurface_Inputs!$C$56*SIN(2*PI()*A170/47)</x:f>
        <x:v>184.17984086156616</x:v>
      </x:c>
      <x:c r="G170" s="25" t="n">
        <x:f>-55+3*SIN(2*PI()*A170/19)</x:f>
        <x:v>-52.01024652097999</x:v>
      </x:c>
    </x:row>
    <x:row r="171">
      <x:c r="A171" s="25" t="n">
        <x:f>Subsurface_Live_Data!A171</x:f>
        <x:v>24.5</x:v>
      </x:c>
      <x:c r="B171" s="25" t="n">
        <x:v>0</x:v>
      </x:c>
      <x:c r="C171" s="25" t="n">
        <x:f>Subsurface_Inputs!$C$57+1.5*SIN(2*PI()*A171/35)</x:f>
        <x:v>10.57341522555727</x:v>
      </x:c>
      <x:c r="D171" s="25" t="n">
        <x:f>Subsurface_Live_Data!M171+Subsurface_Inputs!$C$56*SIN(2*PI()*A171/31)</x:f>
        <x:v>11.193185352141537</x:v>
      </x:c>
      <x:c r="E171" s="25" t="n">
        <x:f>IF(Subsurface_Live_Data!H171&gt;=Subsurface_Inputs!$C$42,Subsurface_Live_Data!N171+Subsurface_Inputs!$C$56*SIN(2*PI()*A171/27),"")</x:f>
        <x:v>64.26510355142348</x:v>
      </x:c>
      <x:c r="F171" s="25" t="n">
        <x:f>Subsurface_Live_Data!O171+Subsurface_Inputs!$C$56*SIN(2*PI()*A171/47)</x:f>
        <x:v>183.779175633993</x:v>
      </x:c>
      <x:c r="G171" s="25" t="n">
        <x:f>-55+3*SIN(2*PI()*A171/19)</x:f>
        <x:v>-52.09179920218201</x:v>
      </x:c>
    </x:row>
    <x:row r="172">
      <x:c r="A172" s="25" t="n">
        <x:f>Subsurface_Live_Data!A172</x:f>
        <x:v>25</x:v>
      </x:c>
      <x:c r="B172" s="25" t="n">
        <x:v>0</x:v>
      </x:c>
      <x:c r="C172" s="25" t="n">
        <x:f>Subsurface_Inputs!$C$57+1.5*SIN(2*PI()*A172/35)</x:f>
        <x:v>10.537608131727264</x:v>
      </x:c>
      <x:c r="D172" s="25" t="n">
        <x:f>Subsurface_Live_Data!M172+Subsurface_Inputs!$C$56*SIN(2*PI()*A172/31)</x:f>
        <x:v>11.261938627171219</x:v>
      </x:c>
      <x:c r="E172" s="25" t="n">
        <x:f>IF(Subsurface_Live_Data!H172&gt;=Subsurface_Inputs!$C$42,Subsurface_Live_Data!N172+Subsurface_Inputs!$C$56*SIN(2*PI()*A172/27),"")</x:f>
        <x:v>64.38185274064449</x:v>
      </x:c>
      <x:c r="F172" s="25" t="n">
        <x:f>Subsurface_Live_Data!O172+Subsurface_Inputs!$C$56*SIN(2*PI()*A172/47)</x:f>
        <x:v>183.3283664331558</x:v>
      </x:c>
      <x:c r="G172" s="25" t="n">
        <x:f>-55+3*SIN(2*PI()*A172/19)</x:f>
        <x:v>-52.25268002003483</x:v>
      </x:c>
    </x:row>
    <x:row r="173">
      <x:c r="A173" s="25" t="n">
        <x:f>Subsurface_Live_Data!A173</x:f>
        <x:v>25.5</x:v>
      </x:c>
      <x:c r="B173" s="25" t="n">
        <x:v>0</x:v>
      </x:c>
      <x:c r="C173" s="25" t="n">
        <x:f>Subsurface_Inputs!$C$57+1.5*SIN(2*PI()*A173/35)</x:f>
        <x:v>10.513575357348097</x:v>
      </x:c>
      <x:c r="D173" s="25" t="n">
        <x:f>Subsurface_Live_Data!M173+Subsurface_Inputs!$C$56*SIN(2*PI()*A173/31)</x:f>
        <x:v>11.327754319379249</x:v>
      </x:c>
      <x:c r="E173" s="25" t="n">
        <x:f>IF(Subsurface_Live_Data!H173&gt;=Subsurface_Inputs!$C$42,Subsurface_Live_Data!N173+Subsurface_Inputs!$C$56*SIN(2*PI()*A173/27),"")</x:f>
        <x:v>64.50260661542801</x:v>
      </x:c>
      <x:c r="F173" s="25" t="n">
        <x:f>Subsurface_Live_Data!O173+Subsurface_Inputs!$C$56*SIN(2*PI()*A173/47)</x:f>
        <x:v>182.9303362859524</x:v>
      </x:c>
      <x:c r="G173" s="25" t="n">
        <x:f>-55+3*SIN(2*PI()*A173/19)</x:f>
        <x:v>-52.48850056521241</x:v>
      </x:c>
    </x:row>
    <x:row r="174">
      <x:c r="A174" s="25" t="n">
        <x:f>Subsurface_Live_Data!A174</x:f>
        <x:v>26</x:v>
      </x:c>
      <x:c r="B174" s="25" t="n">
        <x:v>0</x:v>
      </x:c>
      <x:c r="C174" s="25" t="n">
        <x:f>Subsurface_Inputs!$C$57+1.5*SIN(2*PI()*A174/35)</x:f>
        <x:v>10.501510400188028</x:v>
      </x:c>
      <x:c r="D174" s="25" t="n">
        <x:f>Subsurface_Live_Data!M174+Subsurface_Inputs!$C$56*SIN(2*PI()*A174/31)</x:f>
        <x:v>11.418171815194272</x:v>
      </x:c>
      <x:c r="E174" s="25" t="n">
        <x:f>IF(Subsurface_Live_Data!H174&gt;=Subsurface_Inputs!$C$42,Subsurface_Live_Data!N174+Subsurface_Inputs!$C$56*SIN(2*PI()*A174/27),"")</x:f>
        <x:v>64.62580667689143</x:v>
      </x:c>
      <x:c r="F174" s="25" t="n">
        <x:f>Subsurface_Live_Data!O174+Subsurface_Inputs!$C$56*SIN(2*PI()*A174/47)</x:f>
        <x:v>182.48974181398128</x:v>
      </x:c>
      <x:c r="G174" s="25" t="n">
        <x:f>-55+3*SIN(2*PI()*A174/19)</x:f>
        <x:v>-52.79282826798061</x:v>
      </x:c>
    </x:row>
    <x:row r="175">
      <x:c r="A175" s="25" t="n">
        <x:f>Subsurface_Live_Data!A175</x:f>
        <x:v>26.5</x:v>
      </x:c>
      <x:c r="B175" s="25" t="n">
        <x:v>0</x:v>
      </x:c>
      <x:c r="C175" s="25" t="n">
        <x:f>Subsurface_Inputs!$C$57+1.5*SIN(2*PI()*A175/35)</x:f>
        <x:v>10.501510400188028</x:v>
      </x:c>
      <x:c r="D175" s="25" t="n">
        <x:f>Subsurface_Live_Data!M175+Subsurface_Inputs!$C$56*SIN(2*PI()*A175/31)</x:f>
        <x:v>11.520374612053963</x:v>
      </x:c>
      <x:c r="E175" s="25" t="n">
        <x:f>IF(Subsurface_Live_Data!H175&gt;=Subsurface_Inputs!$C$42,Subsurface_Live_Data!N175+Subsurface_Inputs!$C$56*SIN(2*PI()*A175/27),"")</x:f>
        <x:v>64.74978263816101</x:v>
      </x:c>
      <x:c r="F175" s="25" t="n">
        <x:f>Subsurface_Live_Data!O175+Subsurface_Inputs!$C$56*SIN(2*PI()*A175/47)</x:f>
        <x:v>182.05247704854796</x:v>
      </x:c>
      <x:c r="G175" s="25" t="n">
        <x:f>-55+3*SIN(2*PI()*A175/19)</x:f>
        <x:v>-53.157361861930994</x:v>
      </x:c>
    </x:row>
    <x:row r="176">
      <x:c r="A176" s="25" t="n">
        <x:f>Subsurface_Live_Data!A176</x:f>
        <x:v>27</x:v>
      </x:c>
      <x:c r="B176" s="25" t="n">
        <x:v>0</x:v>
      </x:c>
      <x:c r="C176" s="25" t="n">
        <x:f>Subsurface_Inputs!$C$57+1.5*SIN(2*PI()*A176/35)</x:f>
        <x:v>10.513575357348097</x:v>
      </x:c>
      <x:c r="D176" s="25" t="n">
        <x:f>Subsurface_Live_Data!M176+Subsurface_Inputs!$C$56*SIN(2*PI()*A176/31)</x:f>
        <x:v>11.61903326132532</x:v>
      </x:c>
      <x:c r="E176" s="25" t="n">
        <x:f>IF(Subsurface_Live_Data!H176&gt;=Subsurface_Inputs!$C$42,Subsurface_Live_Data!N176+Subsurface_Inputs!$C$56*SIN(2*PI()*A176/27),"")</x:f>
        <x:v>64.87277231709785</x:v>
      </x:c>
      <x:c r="F176" s="25" t="n">
        <x:f>Subsurface_Live_Data!O176+Subsurface_Inputs!$C$56*SIN(2*PI()*A176/47)</x:f>
        <x:v>181.67317569859486</x:v>
      </x:c>
      <x:c r="G176" s="25" t="n">
        <x:f>-55+3*SIN(2*PI()*A176/19)</x:f>
        <x:v>-53.572157820888776</x:v>
      </x:c>
    </x:row>
    <x:row r="177">
      <x:c r="A177" s="25" t="n">
        <x:f>Subsurface_Live_Data!A177</x:f>
        <x:v>27.5</x:v>
      </x:c>
      <x:c r="B177" s="25" t="n">
        <x:v>0</x:v>
      </x:c>
      <x:c r="C177" s="25" t="n">
        <x:f>Subsurface_Inputs!$C$57+1.5*SIN(2*PI()*A177/35)</x:f>
        <x:v>10.537608131727264</x:v>
      </x:c>
      <x:c r="D177" s="25" t="n">
        <x:f>Subsurface_Live_Data!M177+Subsurface_Inputs!$C$56*SIN(2*PI()*A177/31)</x:f>
        <x:v>11.743299583366504</x:v>
      </x:c>
      <x:c r="E177" s="25" t="n">
        <x:f>IF(Subsurface_Live_Data!H177&gt;=Subsurface_Inputs!$C$42,Subsurface_Live_Data!N177+Subsurface_Inputs!$C$56*SIN(2*PI()*A177/27),"")</x:f>
        <x:v>64.99294285281674</x:v>
      </x:c>
      <x:c r="F177" s="25" t="n">
        <x:f>Subsurface_Live_Data!O177+Subsurface_Inputs!$C$56*SIN(2*PI()*A177/47)</x:f>
        <x:v>181.25067874640123</x:v>
      </x:c>
      <x:c r="G177" s="25" t="n">
        <x:f>-55+3*SIN(2*PI()*A177/19)</x:f>
        <x:v>-54.02590159238595</x:v>
      </x:c>
    </x:row>
    <x:row r="178">
      <x:c r="A178" s="25" t="n">
        <x:f>Subsurface_Live_Data!A178</x:f>
        <x:v>28</x:v>
      </x:c>
      <x:c r="B178" s="25" t="n">
        <x:v>0</x:v>
      </x:c>
      <x:c r="C178" s="25" t="n">
        <x:f>Subsurface_Inputs!$C$57+1.5*SIN(2*PI()*A178/35)</x:f>
        <x:v>10.57341522555727</x:v>
      </x:c>
      <x:c r="D178" s="25" t="n">
        <x:f>Subsurface_Live_Data!M178+Subsurface_Inputs!$C$56*SIN(2*PI()*A178/31)</x:f>
        <x:v>11.872334660313339</x:v>
      </x:c>
      <x:c r="E178" s="25" t="n">
        <x:f>IF(Subsurface_Live_Data!H178&gt;=Subsurface_Inputs!$C$42,Subsurface_Live_Data!N178+Subsurface_Inputs!$C$56*SIN(2*PI()*A178/27),"")</x:f>
        <x:v>65.1084130777482</x:v>
      </x:c>
      <x:c r="F178" s="25" t="n">
        <x:f>Subsurface_Live_Data!O178+Subsurface_Inputs!$C$56*SIN(2*PI()*A178/47)</x:f>
        <x:v>180.8586299347382</x:v>
      </x:c>
      <x:c r="G178" s="25" t="n">
        <x:f>-55+3*SIN(2*PI()*A178/19)</x:f>
        <x:v>-54.50621622915779</x:v>
      </x:c>
    </x:row>
    <x:row r="179">
      <x:c r="A179" s="25" t="n">
        <x:f>Subsurface_Live_Data!A179</x:f>
        <x:v>28.5</x:v>
      </x:c>
      <x:c r="B179" s="25" t="n">
        <x:v>0</x:v>
      </x:c>
      <x:c r="C179" s="25" t="n">
        <x:f>Subsurface_Inputs!$C$57+1.5*SIN(2*PI()*A179/35)</x:f>
        <x:v>10.620708341172824</x:v>
      </x:c>
      <x:c r="D179" s="25" t="n">
        <x:f>Subsurface_Live_Data!M179+Subsurface_Inputs!$C$56*SIN(2*PI()*A179/31)</x:f>
        <x:v>12.024436316247574</x:v>
      </x:c>
      <x:c r="E179" s="25" t="n">
        <x:f>IF(Subsurface_Live_Data!H179&gt;=Subsurface_Inputs!$C$42,Subsurface_Live_Data!N179+Subsurface_Inputs!$C$56*SIN(2*PI()*A179/27),"")</x:f>
        <x:v>65.21727685770217</x:v>
      </x:c>
      <x:c r="F179" s="25" t="n">
        <x:f>Subsurface_Live_Data!O179+Subsurface_Inputs!$C$56*SIN(2*PI()*A179/47)</x:f>
        <x:v>180.43347061698594</x:v>
      </x:c>
      <x:c r="G179" s="25" t="n">
        <x:f>-55+3*SIN(2*PI()*A179/19)</x:f>
        <x:v>-55</x:v>
      </x:c>
    </x:row>
    <x:row r="180">
      <x:c r="A180" s="25" t="n">
        <x:f>Subsurface_Live_Data!A180</x:f>
        <x:v>29</x:v>
      </x:c>
      <x:c r="B180" s="25" t="n">
        <x:v>0</x:v>
      </x:c>
      <x:c r="C180" s="25" t="n">
        <x:f>Subsurface_Inputs!$C$57+1.5*SIN(2*PI()*A180/35)</x:f>
        <x:v>10.679106702214893</x:v>
      </x:c>
      <x:c r="D180" s="25" t="n">
        <x:f>Subsurface_Live_Data!M180+Subsurface_Inputs!$C$56*SIN(2*PI()*A180/31)</x:f>
        <x:v>12.17665074544833</x:v>
      </x:c>
      <x:c r="E180" s="25" t="n">
        <x:f>IF(Subsurface_Live_Data!H180&gt;=Subsurface_Inputs!$C$42,Subsurface_Live_Data!N180+Subsurface_Inputs!$C$56*SIN(2*PI()*A180/27),"")</x:f>
        <x:v>65.31762719093531</x:v>
      </x:c>
      <x:c r="F180" s="25" t="n">
        <x:f>Subsurface_Live_Data!O180+Subsurface_Inputs!$C$56*SIN(2*PI()*A180/47)</x:f>
        <x:v>180.05573920427497</x:v>
      </x:c>
      <x:c r="G180" s="25" t="n">
        <x:f>-55+3*SIN(2*PI()*A180/19)</x:f>
        <x:v>-55.4937837708422</x:v>
      </x:c>
    </x:row>
    <x:row r="181">
      <x:c r="A181" s="25" t="n">
        <x:f>Subsurface_Live_Data!A181</x:f>
        <x:v>29.5</x:v>
      </x:c>
      <x:c r="B181" s="25" t="n">
        <x:v>0</x:v>
      </x:c>
      <x:c r="C181" s="25" t="n">
        <x:f>Subsurface_Inputs!$C$57+1.5*SIN(2*PI()*A181/35)</x:f>
        <x:v>10.748140119418046</x:v>
      </x:c>
      <x:c r="D181" s="25" t="n">
        <x:f>Subsurface_Live_Data!M181+Subsurface_Inputs!$C$56*SIN(2*PI()*A181/31)</x:f>
        <x:v>12.343313972018914</x:v>
      </x:c>
      <x:c r="E181" s="25" t="n">
        <x:f>IF(Subsurface_Live_Data!H181&gt;=Subsurface_Inputs!$C$42,Subsurface_Live_Data!N181+Subsurface_Inputs!$C$56*SIN(2*PI()*A181/27),"")</x:f>
        <x:v>65.40758083417285</x:v>
      </x:c>
      <x:c r="F181" s="25" t="n">
        <x:f>Subsurface_Live_Data!O181+Subsurface_Inputs!$C$56*SIN(2*PI()*A181/47)</x:f>
        <x:v>179.67511692285976</x:v>
      </x:c>
      <x:c r="G181" s="25" t="n">
        <x:f>-55+3*SIN(2*PI()*A181/19)</x:f>
        <x:v>-55.97409840761405</x:v>
      </x:c>
    </x:row>
    <x:row r="182">
      <x:c r="A182" s="25" t="n">
        <x:f>Subsurface_Live_Data!A182</x:f>
        <x:v>30</x:v>
      </x:c>
      <x:c r="B182" s="25" t="n">
        <x:v>0</x:v>
      </x:c>
      <x:c r="C182" s="25" t="n">
        <x:f>Subsurface_Inputs!$C$57+1.5*SIN(2*PI()*A182/35)</x:f>
        <x:v>10.827252776297955</x:v>
      </x:c>
      <x:c r="D182" s="25" t="n">
        <x:f>Subsurface_Live_Data!M182+Subsurface_Inputs!$C$56*SIN(2*PI()*A182/31)</x:f>
        <x:v>12.52844107703034</x:v>
      </x:c>
      <x:c r="E182" s="25" t="n">
        <x:f>IF(Subsurface_Live_Data!H182&gt;=Subsurface_Inputs!$C$42,Subsurface_Live_Data!N182+Subsurface_Inputs!$C$56*SIN(2*PI()*A182/27),"")</x:f>
        <x:v>65.48530319968066</x:v>
      </x:c>
      <x:c r="F182" s="25" t="n">
        <x:f>Subsurface_Live_Data!O182+Subsurface_Inputs!$C$56*SIN(2*PI()*A182/47)</x:f>
        <x:v>179.27700873372723</x:v>
      </x:c>
      <x:c r="G182" s="25" t="n">
        <x:f>-55+3*SIN(2*PI()*A182/19)</x:f>
        <x:v>-56.42784217911122</x:v>
      </x:c>
    </x:row>
    <x:row r="183">
      <x:c r="A183" s="25" t="n">
        <x:f>Subsurface_Live_Data!A183</x:f>
        <x:v>30.5</x:v>
      </x:c>
      <x:c r="B183" s="25" t="n">
        <x:v>0</x:v>
      </x:c>
      <x:c r="C183" s="25" t="n">
        <x:f>Subsurface_Inputs!$C$57+1.5*SIN(2*PI()*A183/35)</x:f>
        <x:v>10.915807704258913</x:v>
      </x:c>
      <x:c r="D183" s="25" t="n">
        <x:f>Subsurface_Live_Data!M183+Subsurface_Inputs!$C$56*SIN(2*PI()*A183/31)</x:f>
        <x:v>12.717948848418454</x:v>
      </x:c>
      <x:c r="E183" s="25" t="n">
        <x:f>IF(Subsurface_Live_Data!H183&gt;=Subsurface_Inputs!$C$42,Subsurface_Live_Data!N183+Subsurface_Inputs!$C$56*SIN(2*PI()*A183/27),"")</x:f>
        <x:v>65.54903324381729</x:v>
      </x:c>
      <x:c r="F183" s="25" t="n">
        <x:f>Subsurface_Live_Data!O183+Subsurface_Inputs!$C$56*SIN(2*PI()*A183/47)</x:f>
        <x:v>178.90971123814685</x:v>
      </x:c>
      <x:c r="G183" s="25" t="n">
        <x:f>-55+3*SIN(2*PI()*A183/19)</x:f>
        <x:v>-56.842638138069006</x:v>
      </x:c>
    </x:row>
    <x:row r="184">
      <x:c r="A184" s="25" t="n">
        <x:f>Subsurface_Live_Data!A184</x:f>
        <x:v>31</x:v>
      </x:c>
      <x:c r="B184" s="25" t="n">
        <x:v>0</x:v>
      </x:c>
      <x:c r="C184" s="25" t="n">
        <x:f>Subsurface_Inputs!$C$57+1.5*SIN(2*PI()*A184/35)</x:f>
        <x:v>11.01309191109043</x:v>
      </x:c>
      <x:c r="D184" s="25" t="n">
        <x:f>Subsurface_Live_Data!M184+Subsurface_Inputs!$C$56*SIN(2*PI()*A184/31)</x:f>
        <x:v>12.926029181540256</x:v>
      </x:c>
      <x:c r="E184" s="25" t="n">
        <x:f>IF(Subsurface_Live_Data!H184&gt;=Subsurface_Inputs!$C$42,Subsurface_Live_Data!N184+Subsurface_Inputs!$C$56*SIN(2*PI()*A184/27),"")</x:f>
        <x:v>65.59710804515286</x:v>
      </x:c>
      <x:c r="F184" s="25" t="n">
        <x:f>Subsurface_Live_Data!O184+Subsurface_Inputs!$C$56*SIN(2*PI()*A184/47)</x:f>
        <x:v>178.52205849177082</x:v>
      </x:c>
      <x:c r="G184" s="25" t="n">
        <x:f>-55+3*SIN(2*PI()*A184/19)</x:f>
        <x:v>-57.20717173201939</x:v>
      </x:c>
    </x:row>
    <x:row r="185">
      <x:c r="A185" s="25" t="n">
        <x:f>Subsurface_Live_Data!A185</x:f>
        <x:v>31.5</x:v>
      </x:c>
      <x:c r="B185" s="25" t="n">
        <x:v>0</x:v>
      </x:c>
      <x:c r="C185" s="25" t="n">
        <x:f>Subsurface_Inputs!$C$57+1.5*SIN(2*PI()*A185/35)</x:f>
        <x:v>11.11832212156129</x:v>
      </x:c>
      <x:c r="D185" s="25" t="n">
        <x:f>Subsurface_Live_Data!M185+Subsurface_Inputs!$C$56*SIN(2*PI()*A185/31)</x:f>
        <x:v>13.132605861191797</x:v>
      </x:c>
      <x:c r="E185" s="25" t="n">
        <x:f>IF(Subsurface_Live_Data!H185&gt;=Subsurface_Inputs!$C$42,Subsurface_Live_Data!N185+Subsurface_Inputs!$C$56*SIN(2*PI()*A185/27),"")</x:f>
        <x:v>65.62798675046476</x:v>
      </x:c>
      <x:c r="F185" s="25" t="n">
        <x:f>Subsurface_Live_Data!O185+Subsurface_Inputs!$C$56*SIN(2*PI()*A185/47)</x:f>
        <x:v>178.1822830083325</x:v>
      </x:c>
      <x:c r="G185" s="25" t="n">
        <x:f>-55+3*SIN(2*PI()*A185/19)</x:f>
        <x:v>-57.51149943478759</x:v>
      </x:c>
    </x:row>
    <x:row r="186">
      <x:c r="A186" s="25" t="n">
        <x:f>Subsurface_Live_Data!A186</x:f>
        <x:v>32</x:v>
      </x:c>
      <x:c r="B186" s="25" t="n">
        <x:v>0</x:v>
      </x:c>
      <x:c r="C186" s="25" t="n">
        <x:f>Subsurface_Inputs!$C$57+1.5*SIN(2*PI()*A186/35)</x:f>
        <x:v>11.230651083891141</x:v>
      </x:c>
      <x:c r="D186" s="25" t="n">
        <x:f>Subsurface_Live_Data!M186+Subsurface_Inputs!$C$56*SIN(2*PI()*A186/31)</x:f>
        <x:v>13.361203536728544</x:v>
      </x:c>
      <x:c r="E186" s="25" t="n">
        <x:f>IF(Subsurface_Live_Data!H186&gt;=Subsurface_Inputs!$C$42,Subsurface_Live_Data!N186+Subsurface_Inputs!$C$56*SIN(2*PI()*A186/27),"")</x:f>
        <x:v>65.64027355097991</x:v>
      </x:c>
      <x:c r="F186" s="25" t="n">
        <x:f>Subsurface_Live_Data!O186+Subsurface_Inputs!$C$56*SIN(2*PI()*A186/47)</x:f>
        <x:v>177.8054424863073</x:v>
      </x:c>
      <x:c r="G186" s="25" t="n">
        <x:f>-55+3*SIN(2*PI()*A186/19)</x:f>
        <x:v>-57.74731997996517</x:v>
      </x:c>
    </x:row>
    <x:row r="187">
      <x:c r="A187" s="25" t="n">
        <x:f>Subsurface_Live_Data!A187</x:f>
        <x:v>32.5</x:v>
      </x:c>
      <x:c r="B187" s="25" t="n">
        <x:v>0</x:v>
      </x:c>
      <x:c r="C187" s="25" t="n">
        <x:f>Subsurface_Inputs!$C$57+1.5*SIN(2*PI()*A187/35)</x:f>
        <x:v>11.349174391323663</x:v>
      </x:c>
      <x:c r="D187" s="25" t="n">
        <x:f>Subsurface_Live_Data!M187+Subsurface_Inputs!$C$56*SIN(2*PI()*A187/31)</x:f>
        <x:v>13.59683590322651</x:v>
      </x:c>
      <x:c r="E187" s="25" t="n">
        <x:f>IF(Subsurface_Live_Data!H187&gt;=Subsurface_Inputs!$C$42,Subsurface_Live_Data!N187+Subsurface_Inputs!$C$56*SIN(2*PI()*A187/27),"")</x:f>
        <x:v>65.63273934038186</x:v>
      </x:c>
      <x:c r="F187" s="25" t="n">
        <x:f>Subsurface_Live_Data!O187+Subsurface_Inputs!$C$56*SIN(2*PI()*A187/47)</x:f>
        <x:v>177.44078894128288</x:v>
      </x:c>
      <x:c r="G187" s="25" t="n">
        <x:f>-55+3*SIN(2*PI()*A187/19)</x:f>
        <x:v>-57.90820079781799</x:v>
      </x:c>
    </x:row>
    <x:row r="188">
      <x:c r="A188" s="25" t="n">
        <x:f>Subsurface_Live_Data!A188</x:f>
        <x:v>33</x:v>
      </x:c>
      <x:c r="B188" s="25" t="n">
        <x:v>0</x:v>
      </x:c>
      <x:c r="C188" s="25" t="n">
        <x:f>Subsurface_Inputs!$C$57+1.5*SIN(2*PI()*A188/35)</x:f>
        <x:v>11.472937763877987</x:v>
      </x:c>
      <x:c r="D188" s="25" t="n">
        <x:f>Subsurface_Live_Data!M188+Subsurface_Inputs!$C$56*SIN(2*PI()*A188/31)</x:f>
        <x:v>13.834881332153214</x:v>
      </x:c>
      <x:c r="E188" s="25" t="n">
        <x:f>IF(Subsurface_Live_Data!H188&gt;=Subsurface_Inputs!$C$42,Subsurface_Live_Data!N188+Subsurface_Inputs!$C$56*SIN(2*PI()*A188/27),"")</x:f>
        <x:v>65.6043417014887</x:v>
      </x:c>
      <x:c r="F188" s="25" t="n">
        <x:f>Subsurface_Live_Data!O188+Subsurface_Inputs!$C$56*SIN(2*PI()*A188/47)</x:f>
        <x:v>177.10069244517538</x:v>
      </x:c>
      <x:c r="G188" s="25" t="n">
        <x:f>-55+3*SIN(2*PI()*A188/19)</x:f>
        <x:v>-57.98975347902001</x:v>
      </x:c>
    </x:row>
    <x:row r="189">
      <x:c r="A189" s="25" t="n">
        <x:f>Subsurface_Live_Data!A189</x:f>
        <x:v>33.5</x:v>
      </x:c>
      <x:c r="B189" s="25" t="n">
        <x:v>0</x:v>
      </x:c>
      <x:c r="C189" s="25" t="n">
        <x:f>Subsurface_Inputs!$C$57+1.5*SIN(2*PI()*A189/35)</x:f>
        <x:v>11.600944731649987</x:v>
      </x:c>
      <x:c r="D189" s="25" t="n">
        <x:f>Subsurface_Live_Data!M189+Subsurface_Inputs!$C$56*SIN(2*PI()*A189/31)</x:f>
        <x:v>14.07841712111491</x:v>
      </x:c>
      <x:c r="E189" s="25" t="n">
        <x:f>IF(Subsurface_Live_Data!H189&gt;=Subsurface_Inputs!$C$42,Subsurface_Live_Data!N189+Subsurface_Inputs!$C$56*SIN(2*PI()*A189/27),"")</x:f>
        <x:v>65.55424287113708</x:v>
      </x:c>
      <x:c r="F189" s="25" t="n">
        <x:f>Subsurface_Live_Data!O189+Subsurface_Inputs!$C$56*SIN(2*PI()*A189/47)</x:f>
        <x:v>176.76997123188784</x:v>
      </x:c>
      <x:c r="G189" s="25" t="n">
        <x:f>-55+3*SIN(2*PI()*A189/19)</x:f>
        <x:v>-57.98975347902001</x:v>
      </x:c>
    </x:row>
    <x:row r="190">
      <x:c r="A190" s="25" t="n">
        <x:f>Subsurface_Live_Data!A190</x:f>
        <x:v>34</x:v>
      </x:c>
      <x:c r="B190" s="25" t="n">
        <x:v>0</x:v>
      </x:c>
      <x:c r="C190" s="25" t="n">
        <x:f>Subsurface_Inputs!$C$57+1.5*SIN(2*PI()*A190/35)</x:f>
        <x:v>11.732164657802045</x:v>
      </x:c>
      <x:c r="D190" s="25" t="n">
        <x:f>Subsurface_Live_Data!M190+Subsurface_Inputs!$C$56*SIN(2*PI()*A190/31)</x:f>
        <x:v>14.332914863935185</x:v>
      </x:c>
      <x:c r="E190" s="25" t="n">
        <x:f>IF(Subsurface_Live_Data!H190&gt;=Subsurface_Inputs!$C$42,Subsurface_Live_Data!N190+Subsurface_Inputs!$C$56*SIN(2*PI()*A190/27),"")</x:f>
        <x:v>65.48182534345781</x:v>
      </x:c>
      <x:c r="F190" s="25" t="n">
        <x:f>Subsurface_Live_Data!O190+Subsurface_Inputs!$C$56*SIN(2*PI()*A190/47)</x:f>
        <x:v>176.42447004621403</x:v>
      </x:c>
      <x:c r="G190" s="25" t="n">
        <x:f>-55+3*SIN(2*PI()*A190/19)</x:f>
        <x:v>-57.90820079781799</x:v>
      </x:c>
    </x:row>
    <x:row r="191">
      <x:c r="A191" s="25" t="n">
        <x:f>Subsurface_Live_Data!A191</x:f>
        <x:v>34.5</x:v>
      </x:c>
      <x:c r="B191" s="25" t="n">
        <x:v>0</x:v>
      </x:c>
      <x:c r="C191" s="25" t="n">
        <x:f>Subsurface_Inputs!$C$57+1.5*SIN(2*PI()*A191/35)</x:f>
        <x:v>11.86554103664485</x:v>
      </x:c>
      <x:c r="D191" s="25" t="n">
        <x:f>Subsurface_Live_Data!M191+Subsurface_Inputs!$C$56*SIN(2*PI()*A191/31)</x:f>
        <x:v>14.583193050551364</x:v>
      </x:c>
      <x:c r="E191" s="25" t="n">
        <x:f>IF(Subsurface_Live_Data!H191&gt;=Subsurface_Inputs!$C$42,Subsurface_Live_Data!N191+Subsurface_Inputs!$C$56*SIN(2*PI()*A191/27),"")</x:f>
        <x:v>65.38670479092697</x:v>
      </x:c>
      <x:c r="F191" s="25" t="n">
        <x:f>Subsurface_Live_Data!O191+Subsurface_Inputs!$C$56*SIN(2*PI()*A191/47)</x:f>
        <x:v>176.11175074463824</x:v>
      </x:c>
      <x:c r="G191" s="25" t="n">
        <x:f>-55+3*SIN(2*PI()*A191/19)</x:f>
        <x:v>-57.74731997996517</x:v>
      </x:c>
    </x:row>
    <x:row r="192">
      <x:c r="A192" s="25" t="n">
        <x:f>Subsurface_Live_Data!A192</x:f>
        <x:v>35</x:v>
      </x:c>
      <x:c r="B192" s="25" t="n">
        <x:v>0</x:v>
      </x:c>
      <x:c r="C192" s="25" t="n">
        <x:f>Subsurface_Inputs!$C$57+1.5*SIN(2*PI()*A192/35)</x:f>
        <x:v>12</x:v>
      </x:c>
      <x:c r="D192" s="25" t="n">
        <x:f>Subsurface_Live_Data!M192+Subsurface_Inputs!$C$56*SIN(2*PI()*A192/31)</x:f>
        <x:v>14.826944147901509</x:v>
      </x:c>
      <x:c r="E192" s="25" t="n">
        <x:f>IF(Subsurface_Live_Data!H192&gt;=Subsurface_Inputs!$C$42,Subsurface_Live_Data!N192+Subsurface_Inputs!$C$56*SIN(2*PI()*A192/27),"")</x:f>
        <x:v>65.26874001053905</x:v>
      </x:c>
      <x:c r="F192" s="25" t="n">
        <x:f>Subsurface_Live_Data!O192+Subsurface_Inputs!$C$56*SIN(2*PI()*A192/47)</x:f>
        <x:v>175.83378490857586</x:v>
      </x:c>
      <x:c r="G192" s="25" t="n">
        <x:f>-55+3*SIN(2*PI()*A192/19)</x:f>
        <x:v>-57.51149943478759</x:v>
      </x:c>
    </x:row>
    <x:row r="193">
      <x:c r="A193" s="25" t="n">
        <x:f>Subsurface_Live_Data!A193</x:f>
        <x:v>35.5</x:v>
      </x:c>
      <x:c r="B193" s="25" t="n">
        <x:v>0</x:v>
      </x:c>
      <x:c r="C193" s="25" t="n">
        <x:f>Subsurface_Inputs!$C$57+1.5*SIN(2*PI()*A193/35)</x:f>
        <x:v>12.13445896335515</x:v>
      </x:c>
      <x:c r="D193" s="25" t="n">
        <x:f>Subsurface_Live_Data!M193+Subsurface_Inputs!$C$56*SIN(2*PI()*A193/31)</x:f>
        <x:v>15.071621949948156</x:v>
      </x:c>
      <x:c r="E193" s="25" t="n">
        <x:f>IF(Subsurface_Live_Data!H193&gt;=Subsurface_Inputs!$C$42,Subsurface_Live_Data!N193+Subsurface_Inputs!$C$56*SIN(2*PI()*A193/27),"")</x:f>
        <x:v>65.1280396390858</x:v>
      </x:c>
      <x:c r="F193" s="25" t="n">
        <x:f>Subsurface_Live_Data!O193+Subsurface_Inputs!$C$56*SIN(2*PI()*A193/47)</x:f>
        <x:v>175.55789809101935</x:v>
      </x:c>
      <x:c r="G193" s="25" t="n">
        <x:f>-55+3*SIN(2*PI()*A193/19)</x:f>
        <x:v>-57.20717173201939</x:v>
      </x:c>
    </x:row>
    <x:row r="194">
      <x:c r="A194" s="25" t="n">
        <x:f>Subsurface_Live_Data!A194</x:f>
        <x:v>36</x:v>
      </x:c>
      <x:c r="B194" s="25" t="n">
        <x:v>0</x:v>
      </x:c>
      <x:c r="C194" s="25" t="n">
        <x:f>Subsurface_Inputs!$C$57+1.5*SIN(2*PI()*A194/35)</x:f>
        <x:v>12.267835342197955</x:v>
      </x:c>
      <x:c r="D194" s="25" t="n">
        <x:f>Subsurface_Live_Data!M194+Subsurface_Inputs!$C$56*SIN(2*PI()*A194/31)</x:f>
        <x:v>15.31567161208274</x:v>
      </x:c>
      <x:c r="E194" s="25" t="n">
        <x:f>IF(Subsurface_Live_Data!H194&gt;=Subsurface_Inputs!$C$42,Subsurface_Live_Data!N194+Subsurface_Inputs!$C$56*SIN(2*PI()*A194/27),"")</x:f>
        <x:v>64.96496542639868</x:v>
      </x:c>
      <x:c r="F194" s="25" t="n">
        <x:f>Subsurface_Live_Data!O194+Subsurface_Inputs!$C$56*SIN(2*PI()*A194/47)</x:f>
        <x:v>175.2825268596642</x:v>
      </x:c>
      <x:c r="G194" s="25" t="n">
        <x:f>-55+3*SIN(2*PI()*A194/19)</x:f>
        <x:v>-56.842638138069006</x:v>
      </x:c>
    </x:row>
    <x:row r="195">
      <x:c r="A195" s="25" t="n">
        <x:f>Subsurface_Live_Data!A195</x:f>
        <x:v>36.5</x:v>
      </x:c>
      <x:c r="B195" s="25" t="n">
        <x:v>0</x:v>
      </x:c>
      <x:c r="C195" s="25" t="n">
        <x:f>Subsurface_Inputs!$C$57+1.5*SIN(2*PI()*A195/35)</x:f>
        <x:v>12.399055268350013</x:v>
      </x:c>
      <x:c r="D195" s="25" t="n">
        <x:f>Subsurface_Live_Data!M195+Subsurface_Inputs!$C$56*SIN(2*PI()*A195/31)</x:f>
        <x:v>15.559143008800289</x:v>
      </x:c>
      <x:c r="E195" s="25" t="n">
        <x:f>IF(Subsurface_Live_Data!H195&gt;=Subsurface_Inputs!$C$42,Subsurface_Live_Data!N195+Subsurface_Inputs!$C$56*SIN(2*PI()*A195/27),"")</x:f>
        <x:v>64.78013190778108</x:v>
      </x:c>
      <x:c r="F195" s="25" t="n">
        <x:f>Subsurface_Live_Data!O195+Subsurface_Inputs!$C$56*SIN(2*PI()*A195/47)</x:f>
        <x:v>175.00014575609637</x:v>
      </x:c>
      <x:c r="G195" s="25" t="n">
        <x:f>-55+3*SIN(2*PI()*A195/19)</x:f>
        <x:v>-56.427842179111224</x:v>
      </x:c>
    </x:row>
    <x:row r="196">
      <x:c r="A196" s="25" t="n">
        <x:f>Subsurface_Live_Data!A196</x:f>
        <x:v>37</x:v>
      </x:c>
      <x:c r="B196" s="25" t="n">
        <x:v>0</x:v>
      </x:c>
      <x:c r="C196" s="25" t="n">
        <x:f>Subsurface_Inputs!$C$57+1.5*SIN(2*PI()*A196/35)</x:f>
        <x:v>12.527062236122013</x:v>
      </x:c>
      <x:c r="D196" s="25" t="n">
        <x:f>Subsurface_Live_Data!M196+Subsurface_Inputs!$C$56*SIN(2*PI()*A196/31)</x:f>
        <x:v>15.784244332471001</x:v>
      </x:c>
      <x:c r="E196" s="25" t="n">
        <x:f>IF(Subsurface_Live_Data!H196&gt;=Subsurface_Inputs!$C$42,Subsurface_Live_Data!N196+Subsurface_Inputs!$C$56*SIN(2*PI()*A196/27),"")</x:f>
        <x:v>64.57440237566473</x:v>
      </x:c>
      <x:c r="F196" s="25" t="n">
        <x:f>Subsurface_Live_Data!O196+Subsurface_Inputs!$C$56*SIN(2*PI()*A196/47)</x:f>
        <x:v>174.76541406111815</x:v>
      </x:c>
      <x:c r="G196" s="25" t="n">
        <x:f>-55+3*SIN(2*PI()*A196/19)</x:f>
        <x:v>-55.97409840761405</x:v>
      </x:c>
    </x:row>
    <x:row r="197">
      <x:c r="A197" s="25" t="n">
        <x:f>Subsurface_Live_Data!A197</x:f>
        <x:v>37.5</x:v>
      </x:c>
      <x:c r="B197" s="25" t="n">
        <x:v>0</x:v>
      </x:c>
      <x:c r="C197" s="25" t="n">
        <x:f>Subsurface_Inputs!$C$57+1.5*SIN(2*PI()*A197/35)</x:f>
        <x:v>12.650825608676337</x:v>
      </x:c>
      <x:c r="D197" s="25" t="n">
        <x:f>Subsurface_Live_Data!M197+Subsurface_Inputs!$C$56*SIN(2*PI()*A197/31)</x:f>
        <x:v>15.998197497440234</x:v>
      </x:c>
      <x:c r="E197" s="25" t="n">
        <x:f>IF(Subsurface_Live_Data!H197&gt;=Subsurface_Inputs!$C$42,Subsurface_Live_Data!N197+Subsurface_Inputs!$C$56*SIN(2*PI()*A197/27),"")</x:f>
        <x:v>64.34888111445791</x:v>
      </x:c>
      <x:c r="F197" s="25" t="n">
        <x:f>Subsurface_Live_Data!O197+Subsurface_Inputs!$C$56*SIN(2*PI()*A197/47)</x:f>
        <x:v>174.54527575325662</x:v>
      </x:c>
      <x:c r="G197" s="25" t="n">
        <x:f>-55+3*SIN(2*PI()*A197/19)</x:f>
        <x:v>-55.49378377084221</x:v>
      </x:c>
    </x:row>
    <x:row r="198">
      <x:c r="A198" s="25" t="n">
        <x:f>Subsurface_Live_Data!A198</x:f>
        <x:v>38</x:v>
      </x:c>
      <x:c r="B198" s="25" t="n">
        <x:v>0</x:v>
      </x:c>
      <x:c r="C198" s="25" t="n">
        <x:f>Subsurface_Inputs!$C$57+1.5*SIN(2*PI()*A198/35)</x:f>
        <x:v>12.769348916108859</x:v>
      </x:c>
      <x:c r="D198" s="25" t="n">
        <x:f>Subsurface_Live_Data!M198+Subsurface_Inputs!$C$56*SIN(2*PI()*A198/31)</x:f>
        <x:v>16.1976998230906</x:v>
      </x:c>
      <x:c r="E198" s="25" t="n">
        <x:f>IF(Subsurface_Live_Data!H198&gt;=Subsurface_Inputs!$C$42,Subsurface_Live_Data!N198+Subsurface_Inputs!$C$56*SIN(2*PI()*A198/27),"")</x:f>
        <x:v>64.10490193008049</x:v>
      </x:c>
      <x:c r="F198" s="25" t="n">
        <x:f>Subsurface_Live_Data!O198+Subsurface_Inputs!$C$56*SIN(2*PI()*A198/47)</x:f>
        <x:v>174.34344564147648</x:v>
      </x:c>
      <x:c r="G198" s="25" t="n">
        <x:f>-55+3*SIN(2*PI()*A198/19)</x:f>
        <x:v>-55</x:v>
      </x:c>
    </x:row>
    <x:row r="199">
      <x:c r="A199" s="25" t="n">
        <x:f>Subsurface_Live_Data!A199</x:f>
        <x:v>38.5</x:v>
      </x:c>
      <x:c r="B199" s="25" t="n">
        <x:v>0</x:v>
      </x:c>
      <x:c r="C199" s="25" t="n">
        <x:f>Subsurface_Inputs!$C$57+1.5*SIN(2*PI()*A199/35)</x:f>
        <x:v>12.88167787843871</x:v>
      </x:c>
      <x:c r="D199" s="25" t="n">
        <x:f>Subsurface_Live_Data!M199+Subsurface_Inputs!$C$56*SIN(2*PI()*A199/31)</x:f>
        <x:v>16.394217360689066</x:v>
      </x:c>
      <x:c r="E199" s="25" t="n">
        <x:f>IF(Subsurface_Live_Data!H199&gt;=Subsurface_Inputs!$C$42,Subsurface_Live_Data!N199+Subsurface_Inputs!$C$56*SIN(2*PI()*A199/27),"")</x:f>
        <x:v>63.84401307510865</x:v>
      </x:c>
      <x:c r="F199" s="25" t="n">
        <x:f>Subsurface_Live_Data!O199+Subsurface_Inputs!$C$56*SIN(2*PI()*A199/47)</x:f>
        <x:v>174.1119913329567</x:v>
      </x:c>
      <x:c r="G199" s="25" t="n">
        <x:f>-55+3*SIN(2*PI()*A199/19)</x:f>
        <x:v>-54.5062162291578</x:v>
      </x:c>
    </x:row>
    <x:row r="200">
      <x:c r="A200" s="25" t="n">
        <x:f>Subsurface_Live_Data!A200</x:f>
        <x:v>39</x:v>
      </x:c>
      <x:c r="B200" s="25" t="n">
        <x:v>0</x:v>
      </x:c>
      <x:c r="C200" s="25" t="n">
        <x:f>Subsurface_Inputs!$C$57+1.5*SIN(2*PI()*A200/35)</x:f>
        <x:v>12.98690808890957</x:v>
      </x:c>
      <x:c r="D200" s="25" t="n">
        <x:f>Subsurface_Live_Data!M200+Subsurface_Inputs!$C$56*SIN(2*PI()*A200/31)</x:f>
        <x:v>16.555044245818262</x:v>
      </x:c>
      <x:c r="E200" s="25" t="n">
        <x:f>IF(Subsurface_Live_Data!H200&gt;=Subsurface_Inputs!$C$42,Subsurface_Live_Data!N200+Subsurface_Inputs!$C$56*SIN(2*PI()*A200/27),"")</x:f>
        <x:v>63.567958739990964</x:v>
      </x:c>
      <x:c r="F200" s="25" t="n">
        <x:f>Subsurface_Live_Data!O200+Subsurface_Inputs!$C$56*SIN(2*PI()*A200/47)</x:f>
        <x:v>173.95773896270308</x:v>
      </x:c>
      <x:c r="G200" s="25" t="n">
        <x:f>-55+3*SIN(2*PI()*A200/19)</x:f>
        <x:v>-54.02590159238596</x:v>
      </x:c>
    </x:row>
    <x:row r="201">
      <x:c r="A201" s="25" t="n">
        <x:f>Subsurface_Live_Data!A201</x:f>
        <x:v>39.5</x:v>
      </x:c>
      <x:c r="B201" s="25" t="n">
        <x:v>0</x:v>
      </x:c>
      <x:c r="C201" s="25" t="n">
        <x:f>Subsurface_Inputs!$C$57+1.5*SIN(2*PI()*A201/35)</x:f>
        <x:v>13.084192295741087</x:v>
      </x:c>
      <x:c r="D201" s="25" t="n">
        <x:f>Subsurface_Live_Data!M201+Subsurface_Inputs!$C$56*SIN(2*PI()*A201/31)</x:f>
        <x:v>16.697843074437436</x:v>
      </x:c>
      <x:c r="E201" s="25" t="n">
        <x:f>IF(Subsurface_Live_Data!H201&gt;=Subsurface_Inputs!$C$42,Subsurface_Live_Data!N201+Subsurface_Inputs!$C$56*SIN(2*PI()*A201/27),"")</x:f>
        <x:v>63.278657348625295</x:v>
      </x:c>
      <x:c r="F201" s="25" t="n">
        <x:f>Subsurface_Live_Data!O201+Subsurface_Inputs!$C$56*SIN(2*PI()*A201/47)</x:f>
        <x:v>173.81149831033235</x:v>
      </x:c>
      <x:c r="G201" s="25" t="n">
        <x:f>-55+3*SIN(2*PI()*A201/19)</x:f>
        <x:v>-53.572157820888776</x:v>
      </x:c>
    </x:row>
    <x:row r="202">
      <x:c r="A202" s="25" t="n">
        <x:f>Subsurface_Live_Data!A202</x:f>
        <x:v>40</x:v>
      </x:c>
      <x:c r="B202" s="25" t="n">
        <x:v>0</x:v>
      </x:c>
      <x:c r="C202" s="25" t="n">
        <x:f>Subsurface_Inputs!$C$57+1.5*SIN(2*PI()*A202/35)</x:f>
        <x:v>13.172747223702045</x:v>
      </x:c>
      <x:c r="D202" s="25" t="n">
        <x:f>Subsurface_Live_Data!M202+Subsurface_Inputs!$C$56*SIN(2*PI()*A202/31)</x:f>
        <x:v>16.823212266690284</x:v>
      </x:c>
      <x:c r="E202" s="25" t="n">
        <x:f>IF(Subsurface_Live_Data!H202&gt;=Subsurface_Inputs!$C$42,Subsurface_Live_Data!N202+Subsurface_Inputs!$C$56*SIN(2*PI()*A202/27),"")</x:f>
        <x:v>62.978176960915675</x:v>
      </x:c>
      <x:c r="F202" s="25" t="n">
        <x:f>Subsurface_Live_Data!O202+Subsurface_Inputs!$C$56*SIN(2*PI()*A202/47)</x:f>
        <x:v>173.6641944368427</x:v>
      </x:c>
      <x:c r="G202" s="25" t="n">
        <x:f>-55+3*SIN(2*PI()*A202/19)</x:f>
        <x:v>-53.157361861930994</x:v>
      </x:c>
    </x:row>
    <x:row r="203">
      <x:c r="A203" s="25" t="n">
        <x:f>Subsurface_Live_Data!A203</x:f>
        <x:v>40.5</x:v>
      </x:c>
      <x:c r="B203" s="25" t="n">
        <x:v>0</x:v>
      </x:c>
      <x:c r="C203" s="25" t="n">
        <x:f>Subsurface_Inputs!$C$57+1.5*SIN(2*PI()*A203/35)</x:f>
        <x:v>13.251859880581954</x:v>
      </x:c>
      <x:c r="D203" s="25" t="n">
        <x:f>Subsurface_Live_Data!M203+Subsurface_Inputs!$C$56*SIN(2*PI()*A203/31)</x:f>
        <x:v>16.919938276803965</x:v>
      </x:c>
      <x:c r="E203" s="25" t="n">
        <x:f>IF(Subsurface_Live_Data!H203&gt;=Subsurface_Inputs!$C$42,Subsurface_Live_Data!N203+Subsurface_Inputs!$C$56*SIN(2*PI()*A203/27),"")</x:f>
        <x:v>62.66870814407275</x:v>
      </x:c>
      <x:c r="F203" s="25" t="n">
        <x:f>Subsurface_Live_Data!O203+Subsurface_Inputs!$C$56*SIN(2*PI()*A203/47)</x:f>
        <x:v>173.54860126903804</x:v>
      </x:c>
      <x:c r="G203" s="25" t="n">
        <x:f>-55+3*SIN(2*PI()*A203/19)</x:f>
        <x:v>-52.79282826798061</x:v>
      </x:c>
    </x:row>
    <x:row r="204">
      <x:c r="A204" s="25" t="n">
        <x:f>Subsurface_Live_Data!A204</x:f>
        <x:v>41</x:v>
      </x:c>
      <x:c r="B204" s="25" t="n">
        <x:v>0</x:v>
      </x:c>
      <x:c r="C204" s="25" t="n">
        <x:f>Subsurface_Inputs!$C$57+1.5*SIN(2*PI()*A204/35)</x:f>
        <x:v>13.320893297785107</x:v>
      </x:c>
      <x:c r="D204" s="25" t="n">
        <x:f>Subsurface_Live_Data!M204+Subsurface_Inputs!$C$56*SIN(2*PI()*A204/31)</x:f>
        <x:v>16.98166337973247</x:v>
      </x:c>
      <x:c r="E204" s="25" t="n">
        <x:f>IF(Subsurface_Live_Data!H204&gt;=Subsurface_Inputs!$C$42,Subsurface_Live_Data!N204+Subsurface_Inputs!$C$56*SIN(2*PI()*A204/27),"")</x:f>
        <x:v>62.35253472684293</x:v>
      </x:c>
      <x:c r="F204" s="25" t="n">
        <x:f>Subsurface_Live_Data!O204+Subsurface_Inputs!$C$56*SIN(2*PI()*A204/47)</x:f>
        <x:v>173.48111746870947</x:v>
      </x:c>
      <x:c r="G204" s="25" t="n">
        <x:f>-55+3*SIN(2*PI()*A204/19)</x:f>
        <x:v>-52.48850056521242</x:v>
      </x:c>
    </x:row>
    <x:row r="205">
      <x:c r="A205" s="25" t="n">
        <x:f>Subsurface_Live_Data!A205</x:f>
        <x:v>41.5</x:v>
      </x:c>
      <x:c r="B205" s="25" t="n">
        <x:v>0</x:v>
      </x:c>
      <x:c r="C205" s="25" t="n">
        <x:f>Subsurface_Inputs!$C$57+1.5*SIN(2*PI()*A205/35)</x:f>
        <x:v>13.379291658827176</x:v>
      </x:c>
      <x:c r="D205" s="25" t="n">
        <x:f>Subsurface_Live_Data!M205+Subsurface_Inputs!$C$56*SIN(2*PI()*A205/31)</x:f>
        <x:v>17.024489403095263</x:v>
      </x:c>
      <x:c r="E205" s="25" t="n">
        <x:f>IF(Subsurface_Live_Data!H205&gt;=Subsurface_Inputs!$C$42,Subsurface_Live_Data!N205+Subsurface_Inputs!$C$56*SIN(2*PI()*A205/27),"")</x:f>
        <x:v>62.03200289522606</x:v>
      </x:c>
      <x:c r="F205" s="25" t="n">
        <x:f>Subsurface_Live_Data!O205+Subsurface_Inputs!$C$56*SIN(2*PI()*A205/47)</x:f>
        <x:v>173.40026119266332</x:v>
      </x:c>
      <x:c r="G205" s="25" t="n">
        <x:f>-55+3*SIN(2*PI()*A205/19)</x:f>
        <x:v>-52.25268002003482</x:v>
      </x:c>
    </x:row>
    <x:row r="206">
      <x:c r="A206" s="25" t="n">
        <x:f>Subsurface_Live_Data!A206</x:f>
        <x:v>42</x:v>
      </x:c>
      <x:c r="B206" s="25" t="n">
        <x:v>0</x:v>
      </x:c>
      <x:c r="C206" s="25" t="n">
        <x:f>Subsurface_Inputs!$C$57+1.5*SIN(2*PI()*A206/35)</x:f>
        <x:v>13.42658477444273</x:v>
      </x:c>
      <x:c r="D206" s="25" t="n">
        <x:f>Subsurface_Live_Data!M206+Subsurface_Inputs!$C$56*SIN(2*PI()*A206/31)</x:f>
        <x:v>17.043696391512455</x:v>
      </x:c>
      <x:c r="E206" s="25" t="n">
        <x:f>IF(Subsurface_Live_Data!H206&gt;=Subsurface_Inputs!$C$42,Subsurface_Live_Data!N206+Subsurface_Inputs!$C$56*SIN(2*PI()*A206/27),"")</x:f>
        <x:v>61.70948912347937</x:v>
      </x:c>
      <x:c r="F206" s="25" t="n">
        <x:f>Subsurface_Live_Data!O206+Subsurface_Inputs!$C$56*SIN(2*PI()*A206/47)</x:f>
        <x:v>173.31825522602335</x:v>
      </x:c>
      <x:c r="G206" s="25" t="n">
        <x:f>-55+3*SIN(2*PI()*A206/19)</x:f>
        <x:v>-52.09179920218201</x:v>
      </x:c>
    </x:row>
    <x:row r="207">
      <x:c r="A207" s="25" t="n">
        <x:f>Subsurface_Live_Data!A207</x:f>
        <x:v>42.5</x:v>
      </x:c>
      <x:c r="B207" s="25" t="n">
        <x:v>0</x:v>
      </x:c>
      <x:c r="C207" s="25" t="n">
        <x:f>Subsurface_Inputs!$C$57+1.5*SIN(2*PI()*A207/35)</x:f>
        <x:v>13.462391868272736</x:v>
      </x:c>
      <x:c r="D207" s="25" t="n">
        <x:f>Subsurface_Live_Data!M207+Subsurface_Inputs!$C$56*SIN(2*PI()*A207/31)</x:f>
        <x:v>17.027731376280872</x:v>
      </x:c>
      <x:c r="E207" s="25" t="n">
        <x:f>IF(Subsurface_Live_Data!H207&gt;=Subsurface_Inputs!$C$42,Subsurface_Live_Data!N207+Subsurface_Inputs!$C$56*SIN(2*PI()*A207/27),"")</x:f>
        <x:v>61.38736745949564</x:v>
      </x:c>
      <x:c r="F207" s="25" t="n">
        <x:f>Subsurface_Live_Data!O207+Subsurface_Inputs!$C$56*SIN(2*PI()*A207/47)</x:f>
        <x:v>173.2721574014499</x:v>
      </x:c>
      <x:c r="G207" s="25" t="n">
        <x:f>-55+3*SIN(2*PI()*A207/19)</x:f>
        <x:v>-52.01024652097999</x:v>
      </x:c>
    </x:row>
    <x:row r="208">
      <x:c r="A208" s="25" t="n">
        <x:f>Subsurface_Live_Data!A208</x:f>
        <x:v>43</x:v>
      </x:c>
      <x:c r="B208" s="25" t="n">
        <x:v>0</x:v>
      </x:c>
      <x:c r="C208" s="25" t="n">
        <x:f>Subsurface_Inputs!$C$57+1.5*SIN(2*PI()*A208/35)</x:f>
        <x:v>13.486424642651903</x:v>
      </x:c>
      <x:c r="D208" s="25" t="n">
        <x:f>Subsurface_Live_Data!M208+Subsurface_Inputs!$C$56*SIN(2*PI()*A208/31)</x:f>
        <x:v>16.981777784824565</x:v>
      </x:c>
      <x:c r="E208" s="25" t="n">
        <x:f>IF(Subsurface_Live_Data!H208&gt;=Subsurface_Inputs!$C$42,Subsurface_Live_Data!N208+Subsurface_Inputs!$C$56*SIN(2*PI()*A208/27),"")</x:f>
        <x:v>61.06797669846246</x:v>
      </x:c>
      <x:c r="F208" s="25" t="n">
        <x:f>Subsurface_Live_Data!O208+Subsurface_Inputs!$C$56*SIN(2*PI()*A208/47)</x:f>
        <x:v>173.24144757080543</x:v>
      </x:c>
      <x:c r="G208" s="25" t="n">
        <x:f>-55+3*SIN(2*PI()*A208/19)</x:f>
        <x:v>-52.01024652097999</x:v>
      </x:c>
    </x:row>
    <x:row r="209">
      <x:c r="A209" s="25" t="n">
        <x:f>Subsurface_Live_Data!A209</x:f>
        <x:v>43.5</x:v>
      </x:c>
      <x:c r="B209" s="25" t="n">
        <x:v>0</x:v>
      </x:c>
      <x:c r="C209" s="25" t="n">
        <x:f>Subsurface_Inputs!$C$57+1.5*SIN(2*PI()*A209/35)</x:f>
        <x:v>13.498489599811972</x:v>
      </x:c>
      <x:c r="D209" s="25" t="n">
        <x:f>Subsurface_Live_Data!M209+Subsurface_Inputs!$C$56*SIN(2*PI()*A209/31)</x:f>
        <x:v>16.90168136842663</x:v>
      </x:c>
      <x:c r="E209" s="25" t="str">
        <x:f>IF(Subsurface_Live_Data!H209&gt;=Subsurface_Inputs!$C$42,Subsurface_Live_Data!N209+Subsurface_Inputs!$C$56*SIN(2*PI()*A209/27),"")</x:f>
      </x:c>
      <x:c r="F209" s="25" t="n">
        <x:f>Subsurface_Live_Data!O209+Subsurface_Inputs!$C$56*SIN(2*PI()*A209/47)</x:f>
        <x:v>173.23935384735935</x:v>
      </x:c>
      <x:c r="G209" s="25" t="n">
        <x:f>-55+3*SIN(2*PI()*A209/19)</x:f>
        <x:v>-52.09179920218201</x:v>
      </x:c>
    </x:row>
    <x:row r="210">
      <x:c r="A210" s="25" t="n">
        <x:f>Subsurface_Live_Data!A210</x:f>
        <x:v>44</x:v>
      </x:c>
      <x:c r="B210" s="25" t="n">
        <x:v>0</x:v>
      </x:c>
      <x:c r="C210" s="25" t="n">
        <x:f>Subsurface_Inputs!$C$57+1.5*SIN(2*PI()*A210/35)</x:f>
        <x:v>13.498489599811972</x:v>
      </x:c>
      <x:c r="D210" s="25" t="n">
        <x:f>Subsurface_Live_Data!M210+Subsurface_Inputs!$C$56*SIN(2*PI()*A210/31)</x:f>
        <x:v>16.79455108350007</x:v>
      </x:c>
      <x:c r="E210" s="25" t="str">
        <x:f>IF(Subsurface_Live_Data!H210&gt;=Subsurface_Inputs!$C$42,Subsurface_Live_Data!N210+Subsurface_Inputs!$C$56*SIN(2*PI()*A210/27),"")</x:f>
      </x:c>
      <x:c r="F210" s="25" t="n">
        <x:f>Subsurface_Live_Data!O210+Subsurface_Inputs!$C$56*SIN(2*PI()*A210/47)</x:f>
        <x:v>173.24080207812918</x:v>
      </x:c>
      <x:c r="G210" s="25" t="n">
        <x:f>-55+3*SIN(2*PI()*A210/19)</x:f>
        <x:v>-52.25268002003482</x:v>
      </x:c>
    </x:row>
    <x:row r="211">
      <x:c r="A211" s="25" t="n">
        <x:f>Subsurface_Live_Data!A211</x:f>
        <x:v>44.5</x:v>
      </x:c>
      <x:c r="B211" s="25" t="n">
        <x:v>0</x:v>
      </x:c>
      <x:c r="C211" s="25" t="n">
        <x:f>Subsurface_Inputs!$C$57+1.5*SIN(2*PI()*A211/35)</x:f>
        <x:v>13.486424642651903</x:v>
      </x:c>
      <x:c r="D211" s="25" t="n">
        <x:f>Subsurface_Live_Data!M211+Subsurface_Inputs!$C$56*SIN(2*PI()*A211/31)</x:f>
        <x:v>16.651904840481784</x:v>
      </x:c>
      <x:c r="E211" s="25" t="str">
        <x:f>IF(Subsurface_Live_Data!H211&gt;=Subsurface_Inputs!$C$42,Subsurface_Live_Data!N211+Subsurface_Inputs!$C$56*SIN(2*PI()*A211/27),"")</x:f>
      </x:c>
      <x:c r="F211" s="25" t="n">
        <x:f>Subsurface_Live_Data!O211+Subsurface_Inputs!$C$56*SIN(2*PI()*A211/47)</x:f>
        <x:v>173.27644255142002</x:v>
      </x:c>
      <x:c r="G211" s="25" t="n">
        <x:f>-55+3*SIN(2*PI()*A211/19)</x:f>
        <x:v>-52.48850056521241</x:v>
      </x:c>
    </x:row>
    <x:row r="212">
      <x:c r="A212" s="25" t="n">
        <x:f>Subsurface_Live_Data!A212</x:f>
        <x:v>45</x:v>
      </x:c>
      <x:c r="B212" s="25" t="n">
        <x:v>0</x:v>
      </x:c>
      <x:c r="C212" s="25" t="n">
        <x:f>Subsurface_Inputs!$C$57+1.5*SIN(2*PI()*A212/35)</x:f>
        <x:v>13.462391868272736</x:v>
      </x:c>
      <x:c r="D212" s="25" t="n">
        <x:f>Subsurface_Live_Data!M212+Subsurface_Inputs!$C$56*SIN(2*PI()*A212/31)</x:f>
        <x:v>16.488547071684334</x:v>
      </x:c>
      <x:c r="E212" s="25" t="str">
        <x:f>IF(Subsurface_Live_Data!H212&gt;=Subsurface_Inputs!$C$42,Subsurface_Live_Data!N212+Subsurface_Inputs!$C$56*SIN(2*PI()*A212/27),"")</x:f>
      </x:c>
      <x:c r="F212" s="25" t="n">
        <x:f>Subsurface_Live_Data!O212+Subsurface_Inputs!$C$56*SIN(2*PI()*A212/47)</x:f>
        <x:v>173.2965985631456</x:v>
      </x:c>
      <x:c r="G212" s="25" t="n">
        <x:f>-55+3*SIN(2*PI()*A212/19)</x:f>
        <x:v>-52.79282826798061</x:v>
      </x:c>
    </x:row>
    <x:row r="213">
      <x:c r="A213" s="25" t="n">
        <x:f>Subsurface_Live_Data!A213</x:f>
        <x:v>45.5</x:v>
      </x:c>
      <x:c r="B213" s="25" t="n">
        <x:v>0</x:v>
      </x:c>
      <x:c r="C213" s="25" t="n">
        <x:f>Subsurface_Inputs!$C$57+1.5*SIN(2*PI()*A213/35)</x:f>
        <x:v>13.42658477444273</x:v>
      </x:c>
      <x:c r="D213" s="25" t="n">
        <x:f>Subsurface_Live_Data!M213+Subsurface_Inputs!$C$56*SIN(2*PI()*A213/31)</x:f>
        <x:v>16.306086585295144</x:v>
      </x:c>
      <x:c r="E213" s="25" t="str">
        <x:f>IF(Subsurface_Live_Data!H213&gt;=Subsurface_Inputs!$C$42,Subsurface_Live_Data!N213+Subsurface_Inputs!$C$56*SIN(2*PI()*A213/27),"")</x:f>
      </x:c>
      <x:c r="F213" s="25" t="n">
        <x:f>Subsurface_Live_Data!O213+Subsurface_Inputs!$C$56*SIN(2*PI()*A213/47)</x:f>
        <x:v>173.29895643221312</x:v>
      </x:c>
      <x:c r="G213" s="25" t="n">
        <x:f>-55+3*SIN(2*PI()*A213/19)</x:f>
        <x:v>-53.157361861930994</x:v>
      </x:c>
    </x:row>
    <x:row r="214">
      <x:c r="A214" s="25" t="n">
        <x:f>Subsurface_Live_Data!A214</x:f>
        <x:v>46</x:v>
      </x:c>
      <x:c r="B214" s="25" t="n">
        <x:v>0</x:v>
      </x:c>
      <x:c r="C214" s="25" t="n">
        <x:f>Subsurface_Inputs!$C$57+1.5*SIN(2*PI()*A214/35)</x:f>
        <x:v>13.379291658827176</x:v>
      </x:c>
      <x:c r="D214" s="25" t="n">
        <x:f>Subsurface_Live_Data!M214+Subsurface_Inputs!$C$56*SIN(2*PI()*A214/31)</x:f>
        <x:v>16.08589550788824</x:v>
      </x:c>
      <x:c r="E214" s="25" t="str">
        <x:f>IF(Subsurface_Live_Data!H214&gt;=Subsurface_Inputs!$C$42,Subsurface_Live_Data!N214+Subsurface_Inputs!$C$56*SIN(2*PI()*A214/27),"")</x:f>
      </x:c>
      <x:c r="F214" s="25" t="n">
        <x:f>Subsurface_Live_Data!O214+Subsurface_Inputs!$C$56*SIN(2*PI()*A214/47)</x:f>
        <x:v>173.35319367290685</x:v>
      </x:c>
      <x:c r="G214" s="25" t="n">
        <x:f>-55+3*SIN(2*PI()*A214/19)</x:f>
        <x:v>-53.572157820888776</x:v>
      </x:c>
    </x:row>
    <x:row r="215">
      <x:c r="A215" s="25" t="n">
        <x:f>Subsurface_Live_Data!A215</x:f>
        <x:v>46.5</x:v>
      </x:c>
      <x:c r="B215" s="25" t="n">
        <x:v>0</x:v>
      </x:c>
      <x:c r="C215" s="25" t="n">
        <x:f>Subsurface_Inputs!$C$57+1.5*SIN(2*PI()*A215/35)</x:f>
        <x:v>13.320893297785107</x:v>
      </x:c>
      <x:c r="D215" s="25" t="n">
        <x:f>Subsurface_Live_Data!M215+Subsurface_Inputs!$C$56*SIN(2*PI()*A215/31)</x:f>
        <x:v>15.841482299853174</x:v>
      </x:c>
      <x:c r="E215" s="25" t="str">
        <x:f>IF(Subsurface_Live_Data!H215&gt;=Subsurface_Inputs!$C$42,Subsurface_Live_Data!N215+Subsurface_Inputs!$C$56*SIN(2*PI()*A215/27),"")</x:f>
      </x:c>
      <x:c r="F215" s="25" t="n">
        <x:f>Subsurface_Live_Data!O215+Subsurface_Inputs!$C$56*SIN(2*PI()*A215/47)</x:f>
        <x:v>173.41763969932103</x:v>
      </x:c>
      <x:c r="G215" s="25" t="n">
        <x:f>-55+3*SIN(2*PI()*A215/19)</x:f>
        <x:v>-54.02590159238594</x:v>
      </x:c>
    </x:row>
    <x:row r="216">
      <x:c r="A216" s="25" t="n">
        <x:f>Subsurface_Live_Data!A216</x:f>
        <x:v>47</x:v>
      </x:c>
      <x:c r="B216" s="25" t="n">
        <x:v>0</x:v>
      </x:c>
      <x:c r="C216" s="25" t="n">
        <x:f>Subsurface_Inputs!$C$57+1.5*SIN(2*PI()*A216/35)</x:f>
        <x:v>13.251859880581954</x:v>
      </x:c>
      <x:c r="D216" s="25" t="n">
        <x:f>Subsurface_Live_Data!M216+Subsurface_Inputs!$C$56*SIN(2*PI()*A216/31)</x:f>
        <x:v>15.582631964163669</x:v>
      </x:c>
      <x:c r="E216" s="25" t="str">
        <x:f>IF(Subsurface_Live_Data!H216&gt;=Subsurface_Inputs!$C$42,Subsurface_Live_Data!N216+Subsurface_Inputs!$C$56*SIN(2*PI()*A216/27),"")</x:f>
      </x:c>
      <x:c r="F216" s="25" t="n">
        <x:f>Subsurface_Live_Data!O216+Subsurface_Inputs!$C$56*SIN(2*PI()*A216/47)</x:f>
        <x:v>173.4647332731506</x:v>
      </x:c>
      <x:c r="G216" s="25" t="n">
        <x:f>-55+3*SIN(2*PI()*A216/19)</x:f>
        <x:v>-54.5062162291578</x:v>
      </x:c>
    </x:row>
    <x:row r="217">
      <x:c r="A217" s="25" t="n">
        <x:f>Subsurface_Live_Data!A217</x:f>
        <x:v>47.5</x:v>
      </x:c>
      <x:c r="B217" s="25" t="n">
        <x:v>0</x:v>
      </x:c>
      <x:c r="C217" s="25" t="n">
        <x:f>Subsurface_Inputs!$C$57+1.5*SIN(2*PI()*A217/35)</x:f>
        <x:v>13.172747223702045</x:v>
      </x:c>
      <x:c r="D217" s="25" t="n">
        <x:f>Subsurface_Live_Data!M217+Subsurface_Inputs!$C$56*SIN(2*PI()*A217/31)</x:f>
        <x:v>15.301813178322535</x:v>
      </x:c>
      <x:c r="E217" s="25" t="str">
        <x:f>IF(Subsurface_Live_Data!H217&gt;=Subsurface_Inputs!$C$42,Subsurface_Live_Data!N217+Subsurface_Inputs!$C$56*SIN(2*PI()*A217/27),"")</x:f>
      </x:c>
      <x:c r="F217" s="25" t="n">
        <x:f>Subsurface_Live_Data!O217+Subsurface_Inputs!$C$56*SIN(2*PI()*A217/47)</x:f>
        <x:v>173.52852808800694</x:v>
      </x:c>
      <x:c r="G217" s="25" t="n">
        <x:f>-55+3*SIN(2*PI()*A217/19)</x:f>
        <x:v>-55</x:v>
      </x:c>
    </x:row>
    <x:row r="218">
      <x:c r="A218" s="25" t="n">
        <x:f>Subsurface_Live_Data!A218</x:f>
        <x:v>48</x:v>
      </x:c>
      <x:c r="B218" s="25" t="n">
        <x:v>0</x:v>
      </x:c>
      <x:c r="C218" s="25" t="n">
        <x:f>Subsurface_Inputs!$C$57+1.5*SIN(2*PI()*A218/35)</x:f>
        <x:v>13.084192295741088</x:v>
      </x:c>
      <x:c r="D218" s="25" t="n">
        <x:f>Subsurface_Live_Data!M218+Subsurface_Inputs!$C$56*SIN(2*PI()*A218/31)</x:f>
        <x:v>15.017699167331232</x:v>
      </x:c>
      <x:c r="E218" s="25" t="str">
        <x:f>IF(Subsurface_Live_Data!H218&gt;=Subsurface_Inputs!$C$42,Subsurface_Live_Data!N218+Subsurface_Inputs!$C$56*SIN(2*PI()*A218/27),"")</x:f>
      </x:c>
      <x:c r="F218" s="25" t="n">
        <x:f>Subsurface_Live_Data!O218+Subsurface_Inputs!$C$56*SIN(2*PI()*A218/47)</x:f>
        <x:v>173.552283386974</x:v>
      </x:c>
      <x:c r="G218" s="25" t="n">
        <x:f>-55+3*SIN(2*PI()*A218/19)</x:f>
        <x:v>-55.4937837708422</x:v>
      </x:c>
    </x:row>
    <x:row r="219">
      <x:c r="A219" s="25" t="n">
        <x:f>Subsurface_Live_Data!A219</x:f>
        <x:v>48.5</x:v>
      </x:c>
      <x:c r="B219" s="25" t="n">
        <x:v>0</x:v>
      </x:c>
      <x:c r="C219" s="25" t="n">
        <x:f>Subsurface_Inputs!$C$57+1.5*SIN(2*PI()*A219/35)</x:f>
        <x:v>12.98690808890957</x:v>
      </x:c>
      <x:c r="D219" s="25" t="n">
        <x:f>Subsurface_Live_Data!M219+Subsurface_Inputs!$C$56*SIN(2*PI()*A219/31)</x:f>
        <x:v>14.706336796053296</x:v>
      </x:c>
      <x:c r="E219" s="25" t="str">
        <x:f>IF(Subsurface_Live_Data!H219&gt;=Subsurface_Inputs!$C$42,Subsurface_Live_Data!N219+Subsurface_Inputs!$C$56*SIN(2*PI()*A219/27),"")</x:f>
      </x:c>
      <x:c r="F219" s="25" t="n">
        <x:f>Subsurface_Live_Data!O219+Subsurface_Inputs!$C$56*SIN(2*PI()*A219/47)</x:f>
        <x:v>173.6292700009907</x:v>
      </x:c>
      <x:c r="G219" s="25" t="n">
        <x:f>-55+3*SIN(2*PI()*A219/19)</x:f>
        <x:v>-55.97409840761405</x:v>
      </x:c>
    </x:row>
    <x:row r="220">
      <x:c r="A220" s="25" t="n">
        <x:f>Subsurface_Live_Data!A220</x:f>
        <x:v>49</x:v>
      </x:c>
      <x:c r="B220" s="25" t="n">
        <x:v>0</x:v>
      </x:c>
      <x:c r="C220" s="25" t="n">
        <x:f>Subsurface_Inputs!$C$57+1.5*SIN(2*PI()*A220/35)</x:f>
        <x:v>12.88167787843871</x:v>
      </x:c>
      <x:c r="D220" s="25" t="n">
        <x:f>Subsurface_Live_Data!M220+Subsurface_Inputs!$C$56*SIN(2*PI()*A220/31)</x:f>
        <x:v>14.386979370763848</x:v>
      </x:c>
      <x:c r="E220" s="25" t="str">
        <x:f>IF(Subsurface_Live_Data!H220&gt;=Subsurface_Inputs!$C$42,Subsurface_Live_Data!N220+Subsurface_Inputs!$C$56*SIN(2*PI()*A220/27),"")</x:f>
      </x:c>
      <x:c r="F220" s="25" t="n">
        <x:f>Subsurface_Live_Data!O220+Subsurface_Inputs!$C$56*SIN(2*PI()*A220/47)</x:f>
        <x:v>173.7022389438857</x:v>
      </x:c>
      <x:c r="G220" s="25" t="n">
        <x:f>-55+3*SIN(2*PI()*A220/19)</x:f>
        <x:v>-56.42784217911122</x:v>
      </x:c>
    </x:row>
    <x:row r="221">
      <x:c r="A221" s="25" t="n">
        <x:f>Subsurface_Live_Data!A221</x:f>
        <x:v>49.5</x:v>
      </x:c>
      <x:c r="B221" s="25" t="n">
        <x:v>0</x:v>
      </x:c>
      <x:c r="C221" s="25" t="n">
        <x:f>Subsurface_Inputs!$C$57+1.5*SIN(2*PI()*A221/35)</x:f>
        <x:v>12.769348916108859</x:v>
      </x:c>
      <x:c r="D221" s="25" t="n">
        <x:f>Subsurface_Live_Data!M221+Subsurface_Inputs!$C$56*SIN(2*PI()*A221/31)</x:f>
        <x:v>14.065269905827302</x:v>
      </x:c>
      <x:c r="E221" s="25" t="str">
        <x:f>IF(Subsurface_Live_Data!H221&gt;=Subsurface_Inputs!$C$42,Subsurface_Live_Data!N221+Subsurface_Inputs!$C$56*SIN(2*PI()*A221/27),"")</x:f>
      </x:c>
      <x:c r="F221" s="25" t="n">
        <x:f>Subsurface_Live_Data!O221+Subsurface_Inputs!$C$56*SIN(2*PI()*A221/47)</x:f>
        <x:v>173.76215053676512</x:v>
      </x:c>
      <x:c r="G221" s="25" t="n">
        <x:f>-55+3*SIN(2*PI()*A221/19)</x:f>
        <x:v>-56.842638138069006</x:v>
      </x:c>
    </x:row>
    <x:row r="222">
      <x:c r="A222" s="25" t="n">
        <x:f>Subsurface_Live_Data!A222</x:f>
        <x:v>50</x:v>
      </x:c>
      <x:c r="B222" s="25" t="n">
        <x:v>0</x:v>
      </x:c>
      <x:c r="C222" s="25" t="n">
        <x:f>Subsurface_Inputs!$C$57+1.5*SIN(2*PI()*A222/35)</x:f>
        <x:v>12.650825608676337</x:v>
      </x:c>
      <x:c r="D222" s="25" t="n">
        <x:f>Subsurface_Live_Data!M222+Subsurface_Inputs!$C$56*SIN(2*PI()*A222/31)</x:f>
        <x:v>13.736129141832397</x:v>
      </x:c>
      <x:c r="E222" s="25" t="str">
        <x:f>IF(Subsurface_Live_Data!H222&gt;=Subsurface_Inputs!$C$42,Subsurface_Live_Data!N222+Subsurface_Inputs!$C$56*SIN(2*PI()*A222/27),"")</x:f>
      </x:c>
      <x:c r="F222" s="25" t="n">
        <x:f>Subsurface_Live_Data!O222+Subsurface_Inputs!$C$56*SIN(2*PI()*A222/47)</x:f>
        <x:v>173.8379259216372</x:v>
      </x:c>
      <x:c r="G222" s="25" t="n">
        <x:f>-55+3*SIN(2*PI()*A222/19)</x:f>
        <x:v>-57.2071717320194</x:v>
      </x:c>
    </x:row>
    <x:row r="223">
      <x:c r="A223" s="25" t="n">
        <x:f>Subsurface_Live_Data!A223</x:f>
        <x:v>50.5</x:v>
      </x:c>
      <x:c r="B223" s="25" t="n">
        <x:v>0</x:v>
      </x:c>
      <x:c r="C223" s="25" t="n">
        <x:f>Subsurface_Inputs!$C$57+1.5*SIN(2*PI()*A223/35)</x:f>
        <x:v>12.527062236122015</x:v>
      </x:c>
      <x:c r="D223" s="25" t="n">
        <x:f>Subsurface_Live_Data!M223+Subsurface_Inputs!$C$56*SIN(2*PI()*A223/31)</x:f>
        <x:v>13.416906693626288</x:v>
      </x:c>
      <x:c r="E223" s="25" t="str">
        <x:f>IF(Subsurface_Live_Data!H223&gt;=Subsurface_Inputs!$C$42,Subsurface_Live_Data!N223+Subsurface_Inputs!$C$56*SIN(2*PI()*A223/27),"")</x:f>
      </x:c>
      <x:c r="F223" s="25" t="n">
        <x:f>Subsurface_Live_Data!O223+Subsurface_Inputs!$C$56*SIN(2*PI()*A223/47)</x:f>
        <x:v>173.8802687158138</x:v>
      </x:c>
      <x:c r="G223" s="25" t="n">
        <x:f>-55+3*SIN(2*PI()*A223/19)</x:f>
        <x:v>-57.51149943478758</x:v>
      </x:c>
    </x:row>
    <x:row r="224">
      <x:c r="A224" s="25" t="n">
        <x:f>Subsurface_Live_Data!A224</x:f>
        <x:v>51</x:v>
      </x:c>
      <x:c r="B224" s="25" t="n">
        <x:v>0</x:v>
      </x:c>
      <x:c r="C224" s="25" t="n">
        <x:f>Subsurface_Inputs!$C$57+1.5*SIN(2*PI()*A224/35)</x:f>
        <x:v>12.399055268350013</x:v>
      </x:c>
      <x:c r="D224" s="25" t="n">
        <x:f>Subsurface_Live_Data!M224+Subsurface_Inputs!$C$56*SIN(2*PI()*A224/31)</x:f>
        <x:v>13.090228036898202</x:v>
      </x:c>
      <x:c r="E224" s="25" t="str">
        <x:f>IF(Subsurface_Live_Data!H224&gt;=Subsurface_Inputs!$C$42,Subsurface_Live_Data!N224+Subsurface_Inputs!$C$56*SIN(2*PI()*A224/27),"")</x:f>
      </x:c>
      <x:c r="F224" s="25" t="n">
        <x:f>Subsurface_Live_Data!O224+Subsurface_Inputs!$C$56*SIN(2*PI()*A224/47)</x:f>
        <x:v>173.96154458333908</x:v>
      </x:c>
      <x:c r="G224" s="25" t="n">
        <x:f>-55+3*SIN(2*PI()*A224/19)</x:f>
        <x:v>-57.74731997996517</x:v>
      </x:c>
    </x:row>
    <x:row r="225">
      <x:c r="A225" s="25" t="n">
        <x:f>Subsurface_Live_Data!A225</x:f>
        <x:v>51.5</x:v>
      </x:c>
      <x:c r="B225" s="25" t="n">
        <x:v>0</x:v>
      </x:c>
      <x:c r="C225" s="25" t="n">
        <x:f>Subsurface_Inputs!$C$57+1.5*SIN(2*PI()*A225/35)</x:f>
        <x:v>12.267835342197955</x:v>
      </x:c>
      <x:c r="D225" s="25" t="n">
        <x:f>Subsurface_Live_Data!M225+Subsurface_Inputs!$C$56*SIN(2*PI()*A225/31)</x:f>
        <x:v>12.780547051105831</x:v>
      </x:c>
      <x:c r="E225" s="25" t="str">
        <x:f>IF(Subsurface_Live_Data!H225&gt;=Subsurface_Inputs!$C$42,Subsurface_Live_Data!N225+Subsurface_Inputs!$C$56*SIN(2*PI()*A225/27),"")</x:f>
      </x:c>
      <x:c r="F225" s="25" t="n">
        <x:f>Subsurface_Live_Data!O225+Subsurface_Inputs!$C$56*SIN(2*PI()*A225/47)</x:f>
        <x:v>174.0076871109721</x:v>
      </x:c>
      <x:c r="G225" s="25" t="n">
        <x:f>-55+3*SIN(2*PI()*A225/19)</x:f>
        <x:v>-57.90820079781799</x:v>
      </x:c>
    </x:row>
    <x:row r="226">
      <x:c r="A226" s="25" t="n">
        <x:f>Subsurface_Live_Data!A226</x:f>
        <x:v>52</x:v>
      </x:c>
      <x:c r="B226" s="25" t="n">
        <x:v>0</x:v>
      </x:c>
      <x:c r="C226" s="25" t="n">
        <x:f>Subsurface_Inputs!$C$57+1.5*SIN(2*PI()*A226/35)</x:f>
        <x:v>12.13445896335515</x:v>
      </x:c>
      <x:c r="D226" s="25" t="n">
        <x:f>Subsurface_Live_Data!M226+Subsurface_Inputs!$C$56*SIN(2*PI()*A226/31)</x:f>
        <x:v>12.473457077498425</x:v>
      </x:c>
      <x:c r="E226" s="25" t="str">
        <x:f>IF(Subsurface_Live_Data!H226&gt;=Subsurface_Inputs!$C$42,Subsurface_Live_Data!N226+Subsurface_Inputs!$C$56*SIN(2*PI()*A226/27),"")</x:f>
      </x:c>
      <x:c r="F226" s="25" t="n">
        <x:f>Subsurface_Live_Data!O226+Subsurface_Inputs!$C$56*SIN(2*PI()*A226/47)</x:f>
        <x:v>174.08044713610147</x:v>
      </x:c>
      <x:c r="G226" s="25" t="n">
        <x:f>-55+3*SIN(2*PI()*A226/19)</x:f>
        <x:v>-57.98975347902001</x:v>
      </x:c>
    </x:row>
    <x:row r="227">
      <x:c r="A227" s="25" t="n">
        <x:f>Subsurface_Live_Data!A227</x:f>
        <x:v>52.5</x:v>
      </x:c>
      <x:c r="B227" s="25" t="n">
        <x:v>0</x:v>
      </x:c>
      <x:c r="C227" s="25" t="n">
        <x:f>Subsurface_Inputs!$C$57+1.5*SIN(2*PI()*A227/35)</x:f>
        <x:v>12</x:v>
      </x:c>
      <x:c r="D227" s="25" t="n">
        <x:f>Subsurface_Live_Data!M227+Subsurface_Inputs!$C$56*SIN(2*PI()*A227/31)</x:f>
        <x:v>12.174616017488649</x:v>
      </x:c>
      <x:c r="E227" s="25" t="str">
        <x:f>IF(Subsurface_Live_Data!H227&gt;=Subsurface_Inputs!$C$42,Subsurface_Live_Data!N227+Subsurface_Inputs!$C$56*SIN(2*PI()*A227/27),"")</x:f>
      </x:c>
      <x:c r="F227" s="25" t="n">
        <x:f>Subsurface_Live_Data!O227+Subsurface_Inputs!$C$56*SIN(2*PI()*A227/47)</x:f>
        <x:v>174.17099375217242</x:v>
      </x:c>
      <x:c r="G227" s="25" t="n">
        <x:f>-55+3*SIN(2*PI()*A227/19)</x:f>
        <x:v>-57.98975347902001</x:v>
      </x:c>
    </x:row>
    <x:row r="228">
      <x:c r="A228" s="25" t="n">
        <x:f>Subsurface_Live_Data!A228</x:f>
        <x:v>53</x:v>
      </x:c>
      <x:c r="B228" s="25" t="n">
        <x:v>0</x:v>
      </x:c>
      <x:c r="C228" s="25" t="n">
        <x:f>Subsurface_Inputs!$C$57+1.5*SIN(2*PI()*A228/35)</x:f>
        <x:v>11.865541036644851</x:v>
      </x:c>
      <x:c r="D228" s="25" t="n">
        <x:f>Subsurface_Live_Data!M228+Subsurface_Inputs!$C$56*SIN(2*PI()*A228/31)</x:f>
        <x:v>11.902745355897315</x:v>
      </x:c>
      <x:c r="E228" s="25" t="str">
        <x:f>IF(Subsurface_Live_Data!H228&gt;=Subsurface_Inputs!$C$42,Subsurface_Live_Data!N228+Subsurface_Inputs!$C$56*SIN(2*PI()*A228/27),"")</x:f>
      </x:c>
      <x:c r="F228" s="25" t="n">
        <x:f>Subsurface_Live_Data!O228+Subsurface_Inputs!$C$56*SIN(2*PI()*A228/47)</x:f>
        <x:v>174.22425997698167</x:v>
      </x:c>
      <x:c r="G228" s="25" t="n">
        <x:f>-55+3*SIN(2*PI()*A228/19)</x:f>
        <x:v>-57.90820079781799</x:v>
      </x:c>
    </x:row>
    <x:row r="229">
      <x:c r="A229" s="25" t="n">
        <x:f>Subsurface_Live_Data!A229</x:f>
        <x:v>53.5</x:v>
      </x:c>
      <x:c r="B229" s="25" t="n">
        <x:v>0</x:v>
      </x:c>
      <x:c r="C229" s="25" t="n">
        <x:f>Subsurface_Inputs!$C$57+1.5*SIN(2*PI()*A229/35)</x:f>
        <x:v>11.732164657802045</x:v>
      </x:c>
      <x:c r="D229" s="25" t="n">
        <x:f>Subsurface_Live_Data!M229+Subsurface_Inputs!$C$56*SIN(2*PI()*A229/31)</x:f>
        <x:v>11.639800395716541</x:v>
      </x:c>
      <x:c r="E229" s="25" t="str">
        <x:f>IF(Subsurface_Live_Data!H229&gt;=Subsurface_Inputs!$C$42,Subsurface_Live_Data!N229+Subsurface_Inputs!$C$56*SIN(2*PI()*A229/27),"")</x:f>
      </x:c>
      <x:c r="F229" s="25" t="n">
        <x:f>Subsurface_Live_Data!O229+Subsurface_Inputs!$C$56*SIN(2*PI()*A229/47)</x:f>
        <x:v>174.3131951345992</x:v>
      </x:c>
      <x:c r="G229" s="25" t="n">
        <x:f>-55+3*SIN(2*PI()*A229/19)</x:f>
        <x:v>-57.74731997996518</x:v>
      </x:c>
    </x:row>
    <x:row r="230">
      <x:c r="A230" s="25" t="n">
        <x:f>Subsurface_Live_Data!A230</x:f>
        <x:v>54</x:v>
      </x:c>
      <x:c r="B230" s="25" t="n">
        <x:v>0</x:v>
      </x:c>
      <x:c r="C230" s="25" t="n">
        <x:f>Subsurface_Inputs!$C$57+1.5*SIN(2*PI()*A230/35)</x:f>
        <x:v>11.600944731649989</x:v>
      </x:c>
      <x:c r="D230" s="25" t="n">
        <x:f>Subsurface_Live_Data!M230+Subsurface_Inputs!$C$56*SIN(2*PI()*A230/31)</x:f>
        <x:v>11.400386321786662</x:v>
      </x:c>
      <x:c r="E230" s="25" t="str">
        <x:f>IF(Subsurface_Live_Data!H230&gt;=Subsurface_Inputs!$C$42,Subsurface_Live_Data!N230+Subsurface_Inputs!$C$56*SIN(2*PI()*A230/27),"")</x:f>
      </x:c>
      <x:c r="F230" s="25" t="n">
        <x:f>Subsurface_Live_Data!O230+Subsurface_Inputs!$C$56*SIN(2*PI()*A230/47)</x:f>
        <x:v>174.39566527259512</x:v>
      </x:c>
      <x:c r="G230" s="25" t="n">
        <x:f>-55+3*SIN(2*PI()*A230/19)</x:f>
        <x:v>-57.51149943478759</x:v>
      </x:c>
    </x:row>
    <x:row r="231">
      <x:c r="A231" s="25" t="n">
        <x:f>Subsurface_Live_Data!A231</x:f>
        <x:v>54.5</x:v>
      </x:c>
      <x:c r="B231" s="25" t="n">
        <x:v>0</x:v>
      </x:c>
      <x:c r="C231" s="25" t="n">
        <x:f>Subsurface_Inputs!$C$57+1.5*SIN(2*PI()*A231/35)</x:f>
        <x:v>11.472937763877987</x:v>
      </x:c>
      <x:c r="D231" s="25" t="n">
        <x:f>Subsurface_Live_Data!M231+Subsurface_Inputs!$C$56*SIN(2*PI()*A231/31)</x:f>
        <x:v>11.183035029973272</x:v>
      </x:c>
      <x:c r="E231" s="25" t="str">
        <x:f>IF(Subsurface_Live_Data!H231&gt;=Subsurface_Inputs!$C$42,Subsurface_Live_Data!N231+Subsurface_Inputs!$C$56*SIN(2*PI()*A231/27),"")</x:f>
      </x:c>
      <x:c r="F231" s="25" t="n">
        <x:f>Subsurface_Live_Data!O231+Subsurface_Inputs!$C$56*SIN(2*PI()*A231/47)</x:f>
        <x:v>174.48485170425977</x:v>
      </x:c>
      <x:c r="G231" s="25" t="n">
        <x:f>-55+3*SIN(2*PI()*A231/19)</x:f>
        <x:v>-57.2071717320194</x:v>
      </x:c>
    </x:row>
    <x:row r="232">
      <x:c r="A232" s="25" t="n">
        <x:f>Subsurface_Live_Data!A232</x:f>
        <x:v>55</x:v>
      </x:c>
      <x:c r="B232" s="25" t="n">
        <x:v>0</x:v>
      </x:c>
      <x:c r="C232" s="25" t="n">
        <x:f>Subsurface_Inputs!$C$57+1.5*SIN(2*PI()*A232/35)</x:f>
        <x:v>11.349174391323663</x:v>
      </x:c>
      <x:c r="D232" s="25" t="n">
        <x:f>Subsurface_Live_Data!M232+Subsurface_Inputs!$C$56*SIN(2*PI()*A232/31)</x:f>
        <x:v>11.000406643402389</x:v>
      </x:c>
      <x:c r="E232" s="25" t="str">
        <x:f>IF(Subsurface_Live_Data!H232&gt;=Subsurface_Inputs!$C$42,Subsurface_Live_Data!N232+Subsurface_Inputs!$C$56*SIN(2*PI()*A232/27),"")</x:f>
      </x:c>
      <x:c r="F232" s="25" t="n">
        <x:f>Subsurface_Live_Data!O232+Subsurface_Inputs!$C$56*SIN(2*PI()*A232/47)</x:f>
        <x:v>174.54342616159596</x:v>
      </x:c>
      <x:c r="G232" s="25" t="n">
        <x:f>-55+3*SIN(2*PI()*A232/19)</x:f>
        <x:v>-56.842638138069</x:v>
      </x:c>
    </x:row>
    <x:row r="233">
      <x:c r="A233" s="25" t="n">
        <x:f>Subsurface_Live_Data!A233</x:f>
        <x:v>55.5</x:v>
      </x:c>
      <x:c r="B233" s="25" t="n">
        <x:v>0</x:v>
      </x:c>
      <x:c r="C233" s="25" t="n">
        <x:f>Subsurface_Inputs!$C$57+1.5*SIN(2*PI()*A233/35)</x:f>
        <x:v>11.230651083891141</x:v>
      </x:c>
      <x:c r="D233" s="25" t="n">
        <x:f>Subsurface_Live_Data!M233+Subsurface_Inputs!$C$56*SIN(2*PI()*A233/31)</x:f>
        <x:v>10.837974676482414</x:v>
      </x:c>
      <x:c r="E233" s="25" t="str">
        <x:f>IF(Subsurface_Live_Data!H233&gt;=Subsurface_Inputs!$C$42,Subsurface_Live_Data!N233+Subsurface_Inputs!$C$56*SIN(2*PI()*A233/27),"")</x:f>
      </x:c>
      <x:c r="F233" s="25" t="n">
        <x:f>Subsurface_Live_Data!O233+Subsurface_Inputs!$C$56*SIN(2*PI()*A233/47)</x:f>
        <x:v>174.6280482120383</x:v>
      </x:c>
      <x:c r="G233" s="25" t="n">
        <x:f>-55+3*SIN(2*PI()*A233/19)</x:f>
        <x:v>-56.427842179111224</x:v>
      </x:c>
    </x:row>
    <x:row r="234">
      <x:c r="A234" s="25" t="n">
        <x:f>Subsurface_Live_Data!A234</x:f>
        <x:v>56</x:v>
      </x:c>
      <x:c r="B234" s="25" t="n">
        <x:v>0</x:v>
      </x:c>
      <x:c r="C234" s="25" t="n">
        <x:f>Subsurface_Inputs!$C$57+1.5*SIN(2*PI()*A234/35)</x:f>
        <x:v>11.118322121561292</x:v>
      </x:c>
      <x:c r="D234" s="25" t="n">
        <x:f>Subsurface_Live_Data!M234+Subsurface_Inputs!$C$56*SIN(2*PI()*A234/31)</x:f>
        <x:v>10.710560520404908</x:v>
      </x:c>
      <x:c r="E234" s="25" t="str">
        <x:f>IF(Subsurface_Live_Data!H234&gt;=Subsurface_Inputs!$C$42,Subsurface_Live_Data!N234+Subsurface_Inputs!$C$56*SIN(2*PI()*A234/27),"")</x:f>
      </x:c>
      <x:c r="F234" s="25" t="n">
        <x:f>Subsurface_Live_Data!O234+Subsurface_Inputs!$C$56*SIN(2*PI()*A234/47)</x:f>
        <x:v>174.691406864685</x:v>
      </x:c>
      <x:c r="G234" s="25" t="n">
        <x:f>-55+3*SIN(2*PI()*A234/19)</x:f>
        <x:v>-55.97409840761406</x:v>
      </x:c>
    </x:row>
    <x:row r="235">
      <x:c r="A235" s="25" t="n">
        <x:f>Subsurface_Live_Data!A235</x:f>
        <x:v>56.5</x:v>
      </x:c>
      <x:c r="B235" s="25" t="n">
        <x:v>0</x:v>
      </x:c>
      <x:c r="C235" s="25" t="n">
        <x:f>Subsurface_Inputs!$C$57+1.5*SIN(2*PI()*A235/35)</x:f>
        <x:v>11.01309191109043</x:v>
      </x:c>
      <x:c r="D235" s="25" t="n">
        <x:f>Subsurface_Live_Data!M235+Subsurface_Inputs!$C$56*SIN(2*PI()*A235/31)</x:f>
        <x:v>10.613801250018454</x:v>
      </x:c>
      <x:c r="E235" s="25" t="str">
        <x:f>IF(Subsurface_Live_Data!H235&gt;=Subsurface_Inputs!$C$42,Subsurface_Live_Data!N235+Subsurface_Inputs!$C$56*SIN(2*PI()*A235/27),"")</x:f>
      </x:c>
      <x:c r="F235" s="25" t="n">
        <x:f>Subsurface_Live_Data!O235+Subsurface_Inputs!$C$56*SIN(2*PI()*A235/47)</x:f>
        <x:v>174.75201388608633</x:v>
      </x:c>
      <x:c r="G235" s="25" t="n">
        <x:f>-55+3*SIN(2*PI()*A235/19)</x:f>
        <x:v>-55.493783770842214</x:v>
      </x:c>
    </x:row>
    <x:row r="236">
      <x:c r="A236" s="25" t="n">
        <x:f>Subsurface_Live_Data!A236</x:f>
        <x:v>57</x:v>
      </x:c>
      <x:c r="B236" s="25" t="n">
        <x:v>0</x:v>
      </x:c>
      <x:c r="C236" s="25" t="n">
        <x:f>Subsurface_Inputs!$C$57+1.5*SIN(2*PI()*A236/35)</x:f>
        <x:v>10.915807704258913</x:v>
      </x:c>
      <x:c r="D236" s="25" t="n">
        <x:f>Subsurface_Live_Data!M236+Subsurface_Inputs!$C$56*SIN(2*PI()*A236/31)</x:f>
        <x:v>10.552491350082583</x:v>
      </x:c>
      <x:c r="E236" s="25" t="str">
        <x:f>IF(Subsurface_Live_Data!H236&gt;=Subsurface_Inputs!$C$42,Subsurface_Live_Data!N236+Subsurface_Inputs!$C$56*SIN(2*PI()*A236/27),"")</x:f>
      </x:c>
      <x:c r="F236" s="25" t="n">
        <x:f>Subsurface_Live_Data!O236+Subsurface_Inputs!$C$56*SIN(2*PI()*A236/47)</x:f>
        <x:v>174.79495796039058</x:v>
      </x:c>
      <x:c r="G236" s="25" t="n">
        <x:f>-55+3*SIN(2*PI()*A236/19)</x:f>
        <x:v>-55</x:v>
      </x:c>
    </x:row>
    <x:row r="237">
      <x:c r="A237" s="25" t="n">
        <x:f>Subsurface_Live_Data!A237</x:f>
        <x:v>57.5</x:v>
      </x:c>
      <x:c r="B237" s="25" t="n">
        <x:v>0</x:v>
      </x:c>
      <x:c r="C237" s="25" t="n">
        <x:f>Subsurface_Inputs!$C$57+1.5*SIN(2*PI()*A237/35)</x:f>
        <x:v>10.827252776297955</x:v>
      </x:c>
      <x:c r="D237" s="25" t="n">
        <x:f>Subsurface_Live_Data!M237+Subsurface_Inputs!$C$56*SIN(2*PI()*A237/31)</x:f>
        <x:v>10.507693418828676</x:v>
      </x:c>
      <x:c r="E237" s="25" t="str">
        <x:f>IF(Subsurface_Live_Data!H237&gt;=Subsurface_Inputs!$C$42,Subsurface_Live_Data!N237+Subsurface_Inputs!$C$56*SIN(2*PI()*A237/27),"")</x:f>
      </x:c>
      <x:c r="F237" s="25" t="n">
        <x:f>Subsurface_Live_Data!O237+Subsurface_Inputs!$C$56*SIN(2*PI()*A237/47)</x:f>
        <x:v>174.8869879041961</x:v>
      </x:c>
      <x:c r="G237" s="25" t="n">
        <x:f>-55+3*SIN(2*PI()*A237/19)</x:f>
        <x:v>-54.50621622915779</x:v>
      </x:c>
    </x:row>
    <x:row r="238">
      <x:c r="A238" s="25" t="n">
        <x:f>Subsurface_Live_Data!A238</x:f>
        <x:v>58</x:v>
      </x:c>
      <x:c r="B238" s="25" t="n">
        <x:v>0</x:v>
      </x:c>
      <x:c r="C238" s="25" t="n">
        <x:f>Subsurface_Inputs!$C$57+1.5*SIN(2*PI()*A238/35)</x:f>
        <x:v>10.748140119418046</x:v>
      </x:c>
      <x:c r="D238" s="25" t="n">
        <x:f>Subsurface_Live_Data!M238+Subsurface_Inputs!$C$56*SIN(2*PI()*A238/31)</x:f>
        <x:v>10.513326240619643</x:v>
      </x:c>
      <x:c r="E238" s="25" t="str">
        <x:f>IF(Subsurface_Live_Data!H238&gt;=Subsurface_Inputs!$C$42,Subsurface_Live_Data!N238+Subsurface_Inputs!$C$56*SIN(2*PI()*A238/27),"")</x:f>
      </x:c>
      <x:c r="F238" s="25" t="n">
        <x:f>Subsurface_Live_Data!O238+Subsurface_Inputs!$C$56*SIN(2*PI()*A238/47)</x:f>
        <x:v>174.9084461456891</x:v>
      </x:c>
      <x:c r="G238" s="25" t="n">
        <x:f>-55+3*SIN(2*PI()*A238/19)</x:f>
        <x:v>-54.02590159238595</x:v>
      </x:c>
    </x:row>
    <x:row r="239">
      <x:c r="A239" s="25" t="n">
        <x:f>Subsurface_Live_Data!A239</x:f>
        <x:v>58.5</x:v>
      </x:c>
      <x:c r="B239" s="25" t="n">
        <x:v>0</x:v>
      </x:c>
      <x:c r="C239" s="25" t="n">
        <x:f>Subsurface_Inputs!$C$57+1.5*SIN(2*PI()*A239/35)</x:f>
        <x:v>10.679106702214893</x:v>
      </x:c>
      <x:c r="D239" s="25" t="n">
        <x:f>Subsurface_Live_Data!M239+Subsurface_Inputs!$C$56*SIN(2*PI()*A239/31)</x:f>
        <x:v>10.539829452026897</x:v>
      </x:c>
      <x:c r="E239" s="25" t="str">
        <x:f>IF(Subsurface_Live_Data!H239&gt;=Subsurface_Inputs!$C$42,Subsurface_Live_Data!N239+Subsurface_Inputs!$C$56*SIN(2*PI()*A239/27),"")</x:f>
      </x:c>
      <x:c r="F239" s="25" t="n">
        <x:f>Subsurface_Live_Data!O239+Subsurface_Inputs!$C$56*SIN(2*PI()*A239/47)</x:f>
        <x:v>174.96045541975292</x:v>
      </x:c>
      <x:c r="G239" s="25" t="n">
        <x:f>-55+3*SIN(2*PI()*A239/19)</x:f>
        <x:v>-53.57215782088878</x:v>
      </x:c>
    </x:row>
    <x:row r="240">
      <x:c r="A240" s="25" t="n">
        <x:f>Subsurface_Live_Data!A240</x:f>
        <x:v>59</x:v>
      </x:c>
      <x:c r="B240" s="25" t="n">
        <x:v>0</x:v>
      </x:c>
      <x:c r="C240" s="25" t="n">
        <x:f>Subsurface_Inputs!$C$57+1.5*SIN(2*PI()*A240/35)</x:f>
        <x:v>10.620708341172824</x:v>
      </x:c>
      <x:c r="D240" s="25" t="n">
        <x:f>Subsurface_Live_Data!M240+Subsurface_Inputs!$C$56*SIN(2*PI()*A240/31)</x:f>
        <x:v>10.602439699080323</x:v>
      </x:c>
      <x:c r="E240" s="25" t="str">
        <x:f>IF(Subsurface_Live_Data!H240&gt;=Subsurface_Inputs!$C$42,Subsurface_Live_Data!N240+Subsurface_Inputs!$C$56*SIN(2*PI()*A240/27),"")</x:f>
      </x:c>
      <x:c r="F240" s="25" t="n">
        <x:f>Subsurface_Live_Data!O240+Subsurface_Inputs!$C$56*SIN(2*PI()*A240/47)</x:f>
        <x:v>174.98598642378494</x:v>
      </x:c>
      <x:c r="G240" s="25" t="n">
        <x:f>-55+3*SIN(2*PI()*A240/19)</x:f>
        <x:v>-53.157361861931</x:v>
      </x:c>
    </x:row>
    <x:row r="241">
      <x:c r="A241" s="25" t="n">
        <x:f>Subsurface_Live_Data!A241</x:f>
        <x:v>59.5</x:v>
      </x:c>
      <x:c r="B241" s="25" t="n">
        <x:v>0</x:v>
      </x:c>
      <x:c r="C241" s="25" t="n">
        <x:f>Subsurface_Inputs!$C$57+1.5*SIN(2*PI()*A241/35)</x:f>
        <x:v>10.57341522555727</x:v>
      </x:c>
      <x:c r="D241" s="25" t="n">
        <x:f>Subsurface_Live_Data!M241+Subsurface_Inputs!$C$56*SIN(2*PI()*A241/31)</x:f>
        <x:v>10.679993172462208</x:v>
      </x:c>
      <x:c r="E241" s="25" t="str">
        <x:f>IF(Subsurface_Live_Data!H241&gt;=Subsurface_Inputs!$C$42,Subsurface_Live_Data!N241+Subsurface_Inputs!$C$56*SIN(2*PI()*A241/27),"")</x:f>
      </x:c>
      <x:c r="F241" s="25" t="n">
        <x:f>Subsurface_Live_Data!O241+Subsurface_Inputs!$C$56*SIN(2*PI()*A241/47)</x:f>
        <x:v>175.05410386767994</x:v>
      </x:c>
      <x:c r="G241" s="25" t="n">
        <x:f>-55+3*SIN(2*PI()*A241/19)</x:f>
        <x:v>-52.7928282679806</x:v>
      </x:c>
    </x:row>
    <x:row r="242">
      <x:c r="A242" s="25" t="n">
        <x:f>Subsurface_Live_Data!A242</x:f>
        <x:v>60</x:v>
      </x:c>
      <x:c r="B242" s="25" t="n">
        <x:v>0</x:v>
      </x:c>
      <x:c r="C242" s="25" t="n">
        <x:f>Subsurface_Inputs!$C$57+1.5*SIN(2*PI()*A242/35)</x:f>
        <x:v>10.537608131727264</x:v>
      </x:c>
      <x:c r="D242" s="25" t="n">
        <x:f>Subsurface_Live_Data!M242+Subsurface_Inputs!$C$56*SIN(2*PI()*A242/31)</x:f>
        <x:v>10.801823161458325</x:v>
      </x:c>
      <x:c r="E242" s="25" t="str">
        <x:f>IF(Subsurface_Live_Data!H242&gt;=Subsurface_Inputs!$C$42,Subsurface_Live_Data!N242+Subsurface_Inputs!$C$56*SIN(2*PI()*A242/27),"")</x:f>
      </x:c>
      <x:c r="F242" s="25" t="n">
        <x:f>Subsurface_Live_Data!O242+Subsurface_Inputs!$C$56*SIN(2*PI()*A242/47)</x:f>
        <x:v>175.05589986884888</x:v>
      </x:c>
      <x:c r="G242" s="25" t="n">
        <x:f>-55+3*SIN(2*PI()*A242/19)</x:f>
        <x:v>-52.48850056521242</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3.800000190734863"/>
  <x:cols>
    <x:col min="1" max="9" width="24" style="73" customWidth="1"/>
  </x:cols>
  <x:sheetData>
    <x:row r="1" s="73" customFormat="1" ht="15.600000381469727" customHeight="1">
      <x:c r="A1" s="32" t="inlineStr">
        <x:is>
          <x:t xml:space="preserve">Subsurface Truth Model: Icy Layers</x:t>
        </x:is>
      </x:c>
    </x:row>
    <x:row r="2">
      <x:c r="A2" s="33" t="inlineStr">
        <x:is>
          <x:t xml:space="preserve">Icy top surface x</x:t>
        </x:is>
      </x:c>
      <x:c r="B2" s="33" t="inlineStr">
        <x:is>
          <x:t xml:space="preserve">Icy top surface</x:t>
        </x:is>
      </x:c>
      <x:c r="C2" s="33" t="inlineStr">
        <x:is>
          <x:t xml:space="preserve">Shallow ice layer x</x:t>
        </x:is>
      </x:c>
      <x:c r="D2" s="33" t="inlineStr">
        <x:is>
          <x:t xml:space="preserve">Shallow ice layer</x:t>
        </x:is>
      </x:c>
      <x:c r="E2" s="33" t="inlineStr">
        <x:is>
          <x:t xml:space="preserve">Warm/briny lens x</x:t>
        </x:is>
      </x:c>
      <x:c r="F2" s="33" t="inlineStr">
        <x:is>
          <x:t xml:space="preserve">Warm/briny lens</x:t>
        </x:is>
      </x:c>
      <x:c r="G2" s="33" t="inlineStr">
        <x:is>
          <x:t xml:space="preserve">Ice-ocean boundary x</x:t>
        </x:is>
      </x:c>
      <x:c r="H2" s="33" t="inlineStr">
        <x:is>
          <x:t xml:space="preserve">Ice-ocean boundary</x:t>
        </x:is>
      </x:c>
    </x:row>
    <x:row r="3">
      <x:c r="A3" s="34" t="n">
        <x:f>Subsurface_Live_Data!A2</x:f>
        <x:v>-60</x:v>
      </x:c>
      <x:c r="B3" s="34" t="n">
        <x:f>Subsurface_Live_Data!B2</x:f>
        <x:v>119.42638570504096</x:v>
      </x:c>
      <x:c r="C3" s="34" t="n">
        <x:f>Subsurface_Live_Data!A2</x:f>
        <x:v>-60</x:v>
      </x:c>
      <x:c r="D3" s="34" t="n">
        <x:f>Subsurface_Live_Data!G2</x:f>
        <x:v>-827.2511098145718</x:v>
      </x:c>
      <x:c r="E3" s="34" t="n">
        <x:f>Subsurface_Live_Data!A2</x:f>
        <x:v>-60</x:v>
      </x:c>
      <x:c r="F3" s="34" t="n">
        <x:f>Subsurface_Live_Data!J2</x:f>
        <x:v>-5469.616730409445</x:v>
      </x:c>
      <x:c r="G3" s="34" t="n">
        <x:f>Subsurface_Live_Data!A2</x:f>
        <x:v>-60</x:v>
      </x:c>
      <x:c r="H3" s="34" t="n">
        <x:f>Subsurface_Live_Data!L2</x:f>
        <x:v>-14418.917091203173</x:v>
      </x:c>
    </x:row>
    <x:row r="4">
      <x:c r="A4" s="34" t="n">
        <x:f>Subsurface_Live_Data!A3</x:f>
        <x:v>-59.5</x:v>
      </x:c>
      <x:c r="B4" s="34" t="n">
        <x:f>Subsurface_Live_Data!B3</x:f>
        <x:v>110.69606493723512</x:v>
      </x:c>
      <x:c r="C4" s="34" t="n">
        <x:f>Subsurface_Live_Data!A3</x:f>
        <x:v>-59.5</x:v>
      </x:c>
      <x:c r="D4" s="34" t="n">
        <x:f>Subsurface_Live_Data!G3</x:f>
        <x:v>-835.6945118398269</x:v>
      </x:c>
      <x:c r="E4" s="34" t="n">
        <x:f>Subsurface_Live_Data!A3</x:f>
        <x:v>-59.5</x:v>
      </x:c>
      <x:c r="F4" s="34" t="n">
        <x:f>Subsurface_Live_Data!J3</x:f>
        <x:v>-5484.651904462073</x:v>
      </x:c>
      <x:c r="G4" s="34" t="n">
        <x:f>Subsurface_Live_Data!A3</x:f>
        <x:v>-59.5</x:v>
      </x:c>
      <x:c r="H4" s="34" t="n">
        <x:f>Subsurface_Live_Data!L3</x:f>
        <x:v>-14438.070326253337</x:v>
      </x:c>
    </x:row>
    <x:row r="5">
      <x:c r="A5" s="34" t="n">
        <x:f>Subsurface_Live_Data!A4</x:f>
        <x:v>-59</x:v>
      </x:c>
      <x:c r="B5" s="34" t="n">
        <x:f>Subsurface_Live_Data!B4</x:f>
        <x:v>112.99219424849355</x:v>
      </x:c>
      <x:c r="C5" s="34" t="n">
        <x:f>Subsurface_Live_Data!A4</x:f>
        <x:v>-59</x:v>
      </x:c>
      <x:c r="D5" s="34" t="n">
        <x:f>Subsurface_Live_Data!G4</x:f>
        <x:v>-835.313668142358</x:v>
      </x:c>
      <x:c r="E5" s="34" t="n">
        <x:f>Subsurface_Live_Data!A4</x:f>
        <x:v>-59</x:v>
      </x:c>
      <x:c r="F5" s="34" t="n">
        <x:f>Subsurface_Live_Data!J4</x:f>
        <x:v>-5487.920875412194</x:v>
      </x:c>
      <x:c r="G5" s="34" t="n">
        <x:f>Subsurface_Live_Data!A4</x:f>
        <x:v>-59</x:v>
      </x:c>
      <x:c r="H5" s="34" t="n">
        <x:f>Subsurface_Live_Data!L4</x:f>
        <x:v>-14444.346042741296</x:v>
      </x:c>
    </x:row>
    <x:row r="6">
      <x:c r="A6" s="34" t="n">
        <x:f>Subsurface_Live_Data!A5</x:f>
        <x:v>-58.5</x:v>
      </x:c>
      <x:c r="B6" s="34" t="n">
        <x:f>Subsurface_Live_Data!B5</x:f>
        <x:v>134.3858310571132</x:v>
      </x:c>
      <x:c r="C6" s="34" t="n">
        <x:f>Subsurface_Live_Data!A5</x:f>
        <x:v>-58.5</x:v>
      </x:c>
      <x:c r="D6" s="34" t="n">
        <x:f>Subsurface_Live_Data!G5</x:f>
        <x:v>-818.3992783704934</x:v>
      </x:c>
      <x:c r="E6" s="34" t="n">
        <x:f>Subsurface_Live_Data!A5</x:f>
        <x:v>-58.5</x:v>
      </x:c>
      <x:c r="F6" s="34" t="n">
        <x:f>Subsurface_Live_Data!J5</x:f>
        <x:v>-5471.342399921711</x:v>
      </x:c>
      <x:c r="G6" s="34" t="n">
        <x:f>Subsurface_Live_Data!A5</x:f>
        <x:v>-58.5</x:v>
      </x:c>
      <x:c r="H6" s="34" t="n">
        <x:f>Subsurface_Live_Data!L5</x:f>
        <x:v>-14428.52123975845</x:v>
      </x:c>
    </x:row>
    <x:row r="7">
      <x:c r="A7" s="34" t="n">
        <x:f>Subsurface_Live_Data!A6</x:f>
        <x:v>-58</x:v>
      </x:c>
      <x:c r="B7" s="34" t="n">
        <x:f>Subsurface_Live_Data!B6</x:f>
        <x:v>120.06952906780961</x:v>
      </x:c>
      <x:c r="C7" s="34" t="n">
        <x:f>Subsurface_Live_Data!A6</x:f>
        <x:v>-58</x:v>
      </x:c>
      <x:c r="D7" s="34" t="n">
        <x:f>Subsurface_Live_Data!G6</x:f>
        <x:v>-837.5819754545871</x:v>
      </x:c>
      <x:c r="E7" s="34" t="n">
        <x:f>Subsurface_Live_Data!A6</x:f>
        <x:v>-58</x:v>
      </x:c>
      <x:c r="F7" s="34" t="n">
        <x:f>Subsurface_Live_Data!J6</x:f>
        <x:v>-5489.714570217478</x:v>
      </x:c>
      <x:c r="G7" s="34" t="n">
        <x:f>Subsurface_Live_Data!A6</x:f>
        <x:v>-58</x:v>
      </x:c>
      <x:c r="H7" s="34" t="n">
        <x:f>Subsurface_Live_Data!L6</x:f>
        <x:v>-14453.056089174926</x:v>
      </x:c>
    </x:row>
    <x:row r="8">
      <x:c r="A8" s="34" t="n">
        <x:f>Subsurface_Live_Data!A7</x:f>
        <x:v>-57.5</x:v>
      </x:c>
      <x:c r="B8" s="34" t="n">
        <x:f>Subsurface_Live_Data!B7</x:f>
        <x:v>138.90151425445745</x:v>
      </x:c>
      <x:c r="C8" s="34" t="n">
        <x:f>Subsurface_Live_Data!A7</x:f>
        <x:v>-57.5</x:v>
      </x:c>
      <x:c r="D8" s="34" t="n">
        <x:f>Subsurface_Live_Data!G7</x:f>
        <x:v>-826.7491641396977</x:v>
      </x:c>
      <x:c r="E8" s="34" t="n">
        <x:f>Subsurface_Live_Data!A7</x:f>
        <x:v>-57.5</x:v>
      </x:c>
      <x:c r="F8" s="34" t="n">
        <x:f>Subsurface_Live_Data!J7</x:f>
        <x:v>-5474.170625050671</x:v>
      </x:c>
      <x:c r="G8" s="34" t="n">
        <x:f>Subsurface_Live_Data!A7</x:f>
        <x:v>-57.5</x:v>
      </x:c>
      <x:c r="H8" s="34" t="n">
        <x:f>Subsurface_Live_Data!L7</x:f>
        <x:v>-14439.433626269945</x:v>
      </x:c>
    </x:row>
    <x:row r="9">
      <x:c r="A9" s="34" t="n">
        <x:f>Subsurface_Live_Data!A8</x:f>
        <x:v>-57</x:v>
      </x:c>
      <x:c r="B9" s="34" t="n">
        <x:f>Subsurface_Live_Data!B8</x:f>
        <x:v>137.46604725484156</x:v>
      </x:c>
      <x:c r="C9" s="34" t="n">
        <x:f>Subsurface_Live_Data!A8</x:f>
        <x:v>-57</x:v>
      </x:c>
      <x:c r="D9" s="34" t="n">
        <x:f>Subsurface_Live_Data!G8</x:f>
        <x:v>-837.1467171465741</x:v>
      </x:c>
      <x:c r="E9" s="34" t="n">
        <x:f>Subsurface_Live_Data!A8</x:f>
        <x:v>-57</x:v>
      </x:c>
      <x:c r="F9" s="34" t="n">
        <x:f>Subsurface_Live_Data!J8</x:f>
        <x:v>-5478.11857189845</x:v>
      </x:c>
      <x:c r="G9" s="34" t="n">
        <x:f>Subsurface_Live_Data!A8</x:f>
        <x:v>-57</x:v>
      </x:c>
      <x:c r="H9" s="34" t="n">
        <x:f>Subsurface_Live_Data!L8</x:f>
        <x:v>-14448.530982961516</x:v>
      </x:c>
    </x:row>
    <x:row r="10">
      <x:c r="A10" s="34" t="n">
        <x:f>Subsurface_Live_Data!A9</x:f>
        <x:v>-56.5</x:v>
      </x:c>
      <x:c r="B10" s="34" t="n">
        <x:f>Subsurface_Live_Data!B9</x:f>
        <x:v>141.4558244940569</x:v>
      </x:c>
      <x:c r="C10" s="34" t="n">
        <x:f>Subsurface_Live_Data!A9</x:f>
        <x:v>-56.5</x:v>
      </x:c>
      <x:c r="D10" s="34" t="n">
        <x:f>Subsurface_Live_Data!G9</x:f>
        <x:v>-844.0519202641892</x:v>
      </x:c>
      <x:c r="E10" s="34" t="n">
        <x:f>Subsurface_Live_Data!A9</x:f>
        <x:v>-56.5</x:v>
      </x:c>
      <x:c r="F10" s="34" t="n">
        <x:f>Subsurface_Live_Data!J9</x:f>
        <x:v>-5475.858768336817</x:v>
      </x:c>
      <x:c r="G10" s="34" t="n">
        <x:f>Subsurface_Live_Data!A9</x:f>
        <x:v>-56.5</x:v>
      </x:c>
      <x:c r="H10" s="34" t="n">
        <x:f>Subsurface_Live_Data!L9</x:f>
        <x:v>-14451.043491876197</x:v>
      </x:c>
    </x:row>
    <x:row r="11">
      <x:c r="A11" s="34" t="n">
        <x:f>Subsurface_Live_Data!A10</x:f>
        <x:v>-56</x:v>
      </x:c>
      <x:c r="B11" s="34" t="n">
        <x:f>Subsurface_Live_Data!B10</x:f>
        <x:v>167.1152389347629</x:v>
      </x:c>
      <x:c r="C11" s="34" t="n">
        <x:f>Subsurface_Live_Data!A10</x:f>
        <x:v>-56</x:v>
      </x:c>
      <x:c r="D11" s="34" t="n">
        <x:f>Subsurface_Live_Data!G10</x:f>
        <x:v>-831.7884005588701</x:v>
      </x:c>
      <x:c r="E11" s="34" t="n">
        <x:f>Subsurface_Live_Data!A10</x:f>
        <x:v>-56</x:v>
      </x:c>
      <x:c r="F11" s="34" t="n">
        <x:f>Subsurface_Live_Data!J10</x:f>
        <x:v>-5451.140641991597</x:v>
      </x:c>
      <x:c r="G11" s="34" t="n">
        <x:f>Subsurface_Live_Data!A10</x:f>
        <x:v>-56</x:v>
      </x:c>
      <x:c r="H11" s="34" t="n">
        <x:f>Subsurface_Live_Data!L10</x:f>
        <x:v>-14428.439405329793</x:v>
      </x:c>
    </x:row>
    <x:row r="12">
      <x:c r="A12" s="34" t="n">
        <x:f>Subsurface_Live_Data!A11</x:f>
        <x:v>-55.5</x:v>
      </x:c>
      <x:c r="B12" s="34" t="n">
        <x:f>Subsurface_Live_Data!B11</x:f>
        <x:v>160.57943103446084</x:v>
      </x:c>
      <x:c r="C12" s="34" t="n">
        <x:f>Subsurface_Live_Data!A11</x:f>
        <x:v>-55.5</x:v>
      </x:c>
      <x:c r="D12" s="34" t="n">
        <x:f>Subsurface_Live_Data!G11</x:f>
        <x:v>-851.9614992508773</x:v>
      </x:c>
      <x:c r="E12" s="34" t="n">
        <x:f>Subsurface_Live_Data!A11</x:f>
        <x:v>-55.5</x:v>
      </x:c>
      <x:c r="F12" s="34" t="n">
        <x:f>Subsurface_Live_Data!J11</x:f>
        <x:v>-5457.823618855485</x:v>
      </x:c>
      <x:c r="G12" s="34" t="n">
        <x:f>Subsurface_Live_Data!A11</x:f>
        <x:v>-55.5</x:v>
      </x:c>
      <x:c r="H12" s="34" t="n">
        <x:f>Subsurface_Live_Data!L11</x:f>
        <x:v>-14442.113408265826</x:v>
      </x:c>
    </x:row>
    <x:row r="13">
      <x:c r="A13" s="34" t="n">
        <x:f>Subsurface_Live_Data!A12</x:f>
        <x:v>-55</x:v>
      </x:c>
      <x:c r="B13" s="34" t="n">
        <x:f>Subsurface_Live_Data!B12</x:f>
        <x:v>176.10976359434375</x:v>
      </x:c>
      <x:c r="C13" s="34" t="n">
        <x:f>Subsurface_Live_Data!A12</x:f>
        <x:v>-55</x:v>
      </x:c>
      <x:c r="D13" s="34" t="n">
        <x:f>Subsurface_Live_Data!G12</x:f>
        <x:v>-852.3534685651048</x:v>
      </x:c>
      <x:c r="E13" s="34" t="n">
        <x:f>Subsurface_Live_Data!A12</x:f>
        <x:v>-55</x:v>
      </x:c>
      <x:c r="F13" s="34" t="n">
        <x:f>Subsurface_Live_Data!J12</x:f>
        <x:v>-5441.641626720801</x:v>
      </x:c>
      <x:c r="G13" s="34" t="n">
        <x:f>Subsurface_Live_Data!A12</x:f>
        <x:v>-55</x:v>
      </x:c>
      <x:c r="H13" s="34" t="n">
        <x:f>Subsurface_Live_Data!L12</x:f>
        <x:v>-14430.198202673148</x:v>
      </x:c>
    </x:row>
    <x:row r="14">
      <x:c r="A14" s="34" t="n">
        <x:f>Subsurface_Live_Data!A13</x:f>
        <x:v>-54.5</x:v>
      </x:c>
      <x:c r="B14" s="34" t="n">
        <x:f>Subsurface_Live_Data!B13</x:f>
        <x:v>194.40953580817023</x:v>
      </x:c>
      <x:c r="C14" s="34" t="n">
        <x:f>Subsurface_Live_Data!A13</x:f>
        <x:v>-54.5</x:v>
      </x:c>
      <x:c r="D14" s="34" t="n">
        <x:f>Subsurface_Live_Data!G13</x:f>
        <x:v>-851.3420104491631</x:v>
      </x:c>
      <x:c r="E14" s="34" t="n">
        <x:f>Subsurface_Live_Data!A13</x:f>
        <x:v>-54.5</x:v>
      </x:c>
      <x:c r="F14" s="34" t="n">
        <x:f>Subsurface_Live_Data!J13</x:f>
        <x:v>-5421.88735892131</x:v>
      </x:c>
      <x:c r="G14" s="34" t="n">
        <x:f>Subsurface_Live_Data!A13</x:f>
        <x:v>-54.5</x:v>
      </x:c>
      <x:c r="H14" s="34" t="n">
        <x:f>Subsurface_Live_Data!L13</x:f>
        <x:v>-14414.684613966756</x:v>
      </x:c>
    </x:row>
    <x:row r="15">
      <x:c r="A15" s="34" t="n">
        <x:f>Subsurface_Live_Data!A14</x:f>
        <x:v>-54</x:v>
      </x:c>
      <x:c r="B15" s="34" t="n">
        <x:f>Subsurface_Live_Data!B14</x:f>
        <x:v>196.39629745562698</x:v>
      </x:c>
      <x:c r="C15" s="34" t="n">
        <x:f>Subsurface_Live_Data!A14</x:f>
        <x:v>-54</x:v>
      </x:c>
      <x:c r="D15" s="34" t="n">
        <x:f>Subsurface_Live_Data!G14</x:f>
        <x:v>-867.0808245267107</x:v>
      </x:c>
      <x:c r="E15" s="34" t="n">
        <x:f>Subsurface_Live_Data!A14</x:f>
        <x:v>-54</x:v>
      </x:c>
      <x:c r="F15" s="34" t="n">
        <x:f>Subsurface_Live_Data!J14</x:f>
        <x:v>-5417.639938008685</x:v>
      </x:c>
      <x:c r="G15" s="34" t="n">
        <x:f>Subsurface_Live_Data!A14</x:f>
        <x:v>-54</x:v>
      </x:c>
      <x:c r="H15" s="34" t="n">
        <x:f>Subsurface_Live_Data!L14</x:f>
        <x:v>-14417.32116780461</x:v>
      </x:c>
    </x:row>
    <x:row r="16">
      <x:c r="A16" s="34" t="n">
        <x:f>Subsurface_Live_Data!A15</x:f>
        <x:v>-53.5</x:v>
      </x:c>
      <x:c r="B16" s="34" t="n">
        <x:f>Subsurface_Live_Data!B15</x:f>
        <x:v>215.04504497494062</x:v>
      </x:c>
      <x:c r="C16" s="34" t="n">
        <x:f>Subsurface_Live_Data!A15</x:f>
        <x:v>-53.5</x:v>
      </x:c>
      <x:c r="D16" s="34" t="n">
        <x:f>Subsurface_Live_Data!G15</x:f>
        <x:v>-867.7324224439268</x:v>
      </x:c>
      <x:c r="E16" s="34" t="n">
        <x:f>Subsurface_Live_Data!A15</x:f>
        <x:v>-53.5</x:v>
      </x:c>
      <x:c r="F16" s="34" t="n">
        <x:f>Subsurface_Live_Data!J15</x:f>
        <x:v>-5395.921698266008</x:v>
      </x:c>
      <x:c r="G16" s="34" t="n">
        <x:f>Subsurface_Live_Data!A15</x:f>
        <x:v>-53.5</x:v>
      </x:c>
      <x:c r="H16" s="34" t="n">
        <x:f>Subsurface_Live_Data!L15</x:f>
        <x:v>-14400.512856126623</x:v>
      </x:c>
    </x:row>
    <x:row r="17">
      <x:c r="A17" s="34" t="n">
        <x:f>Subsurface_Live_Data!A16</x:f>
        <x:v>-53</x:v>
      </x:c>
      <x:c r="B17" s="34" t="n">
        <x:f>Subsurface_Live_Data!B16</x:f>
        <x:v>220.27863667842527</x:v>
      </x:c>
      <x:c r="C17" s="34" t="n">
        <x:f>Subsurface_Live_Data!A16</x:f>
        <x:v>-53</x:v>
      </x:c>
      <x:c r="D17" s="34" t="n">
        <x:f>Subsurface_Live_Data!G16</x:f>
        <x:v>-881.9758867870137</x:v>
      </x:c>
      <x:c r="E17" s="34" t="n">
        <x:f>Subsurface_Live_Data!A16</x:f>
        <x:v>-53</x:v>
      </x:c>
      <x:c r="F17" s="34" t="n">
        <x:f>Subsurface_Live_Data!J16</x:f>
        <x:v>-5386.807750496192</x:v>
      </x:c>
      <x:c r="G17" s="34" t="n">
        <x:f>Subsurface_Live_Data!A16</x:f>
        <x:v>-53</x:v>
      </x:c>
      <x:c r="H17" s="34" t="n">
        <x:f>Subsurface_Live_Data!L16</x:f>
        <x:v>-14398.546067912983</x:v>
      </x:c>
    </x:row>
    <x:row r="18">
      <x:c r="A18" s="34" t="n">
        <x:f>Subsurface_Live_Data!A17</x:f>
        <x:v>-52.5</x:v>
      </x:c>
      <x:c r="B18" s="34" t="n">
        <x:f>Subsurface_Live_Data!B17</x:f>
        <x:v>228.48571186718385</x:v>
      </x:c>
      <x:c r="C18" s="34" t="n">
        <x:f>Subsurface_Live_Data!A17</x:f>
        <x:v>-52.5</x:v>
      </x:c>
      <x:c r="D18" s="34" t="n">
        <x:f>Subsurface_Live_Data!G17</x:f>
        <x:v>-893.8724581672666</x:v>
      </x:c>
      <x:c r="E18" s="34" t="n">
        <x:f>Subsurface_Live_Data!A17</x:f>
        <x:v>-52.5</x:v>
      </x:c>
      <x:c r="F18" s="34" t="n">
        <x:f>Subsurface_Live_Data!J17</x:f>
        <x:v>-5373.908045090209</x:v>
      </x:c>
      <x:c r="G18" s="34" t="n">
        <x:f>Subsurface_Live_Data!A17</x:f>
        <x:v>-52.5</x:v>
      </x:c>
      <x:c r="H18" s="34" t="n">
        <x:f>Subsurface_Live_Data!L17</x:f>
        <x:v>-14392.738160031942</x:v>
      </x:c>
    </x:row>
    <x:row r="19">
      <x:c r="A19" s="34" t="n">
        <x:f>Subsurface_Live_Data!A18</x:f>
        <x:v>-52</x:v>
      </x:c>
      <x:c r="B19" s="34" t="n">
        <x:f>Subsurface_Live_Data!B18</x:f>
        <x:v>241.24392327938918</x:v>
      </x:c>
      <x:c r="C19" s="34" t="n">
        <x:f>Subsurface_Live_Data!A18</x:f>
        <x:v>-52</x:v>
      </x:c>
      <x:c r="D19" s="34" t="n">
        <x:f>Subsurface_Live_Data!G18</x:f>
        <x:v>-901.6942061666551</x:v>
      </x:c>
      <x:c r="E19" s="34" t="n">
        <x:f>Subsurface_Live_Data!A18</x:f>
        <x:v>-52</x:v>
      </x:c>
      <x:c r="F19" s="34" t="n">
        <x:f>Subsurface_Live_Data!J18</x:f>
        <x:v>-5355.644124754527</x:v>
      </x:c>
      <x:c r="G19" s="34" t="n">
        <x:f>Subsurface_Live_Data!A18</x:f>
        <x:v>-52</x:v>
      </x:c>
      <x:c r="H19" s="34" t="n">
        <x:f>Subsurface_Live_Data!L18</x:f>
        <x:v>-14381.292965428154</x:v>
      </x:c>
    </x:row>
    <x:row r="20">
      <x:c r="A20" s="34" t="n">
        <x:f>Subsurface_Live_Data!A19</x:f>
        <x:v>-51.5</x:v>
      </x:c>
      <x:c r="B20" s="34" t="n">
        <x:f>Subsurface_Live_Data!B19</x:f>
        <x:v>261.3961473371179</x:v>
      </x:c>
      <x:c r="C20" s="34" t="n">
        <x:f>Subsurface_Live_Data!A19</x:f>
        <x:v>-51.5</x:v>
      </x:c>
      <x:c r="D20" s="34" t="n">
        <x:f>Subsurface_Live_Data!G19</x:f>
        <x:v>-902.4939756488242</x:v>
      </x:c>
      <x:c r="E20" s="34" t="n">
        <x:f>Subsurface_Live_Data!A19</x:f>
        <x:v>-51.5</x:v>
      </x:c>
      <x:c r="F20" s="34" t="n">
        <x:f>Subsurface_Live_Data!J19</x:f>
        <x:v>-5329.172903289982</x:v>
      </x:c>
      <x:c r="G20" s="34" t="n">
        <x:f>Subsurface_Live_Data!A19</x:f>
        <x:v>-51.5</x:v>
      </x:c>
      <x:c r="H20" s="34" t="n">
        <x:f>Subsurface_Live_Data!L19</x:f>
        <x:v>-14360.973901182151</x:v>
      </x:c>
    </x:row>
    <x:row r="21">
      <x:c r="A21" s="34" t="n">
        <x:f>Subsurface_Live_Data!A20</x:f>
        <x:v>-51</x:v>
      </x:c>
      <x:c r="B21" s="34" t="n">
        <x:f>Subsurface_Live_Data!B20</x:f>
        <x:v>251.96732827517536</x:v>
      </x:c>
      <x:c r="C21" s="34" t="n">
        <x:f>Subsurface_Live_Data!A20</x:f>
        <x:v>-51</x:v>
      </x:c>
      <x:c r="D21" s="34" t="n">
        <x:f>Subsurface_Live_Data!G20</x:f>
        <x:v>-931.548405543927</x:v>
      </x:c>
      <x:c r="E21" s="34" t="n">
        <x:f>Subsurface_Live_Data!A20</x:f>
        <x:v>-51</x:v>
      </x:c>
      <x:c r="F21" s="34" t="n">
        <x:f>Subsurface_Live_Data!J20</x:f>
        <x:v>-5331.469815227503</x:v>
      </x:c>
      <x:c r="G21" s="34" t="n">
        <x:f>Subsurface_Live_Data!A20</x:f>
        <x:v>-51</x:v>
      </x:c>
      <x:c r="H21" s="34" t="n">
        <x:f>Subsurface_Live_Data!L20</x:f>
        <x:v>-14373.938748540686</x:v>
      </x:c>
    </x:row>
    <x:row r="22">
      <x:c r="A22" s="34" t="n">
        <x:f>Subsurface_Live_Data!A21</x:f>
        <x:v>-50.5</x:v>
      </x:c>
      <x:c r="B22" s="34" t="n">
        <x:f>Subsurface_Live_Data!B21</x:f>
        <x:v>249.7278681272967</x:v>
      </x:c>
      <x:c r="C22" s="34" t="n">
        <x:f>Subsurface_Live_Data!A21</x:f>
        <x:v>-50.5</x:v>
      </x:c>
      <x:c r="D22" s="34" t="n">
        <x:f>Subsurface_Live_Data!G21</x:f>
        <x:v>-953.3402900778137</x:v>
      </x:c>
      <x:c r="E22" s="34" t="n">
        <x:f>Subsurface_Live_Data!A21</x:f>
        <x:v>-50.5</x:v>
      </x:c>
      <x:c r="F22" s="34" t="n">
        <x:f>Subsurface_Live_Data!J21</x:f>
        <x:v>-5325.765425251619</x:v>
      </x:c>
      <x:c r="G22" s="34" t="n">
        <x:f>Subsurface_Live_Data!A21</x:f>
        <x:v>-50.5</x:v>
      </x:c>
      <x:c r="H22" s="34" t="n">
        <x:f>Subsurface_Live_Data!L21</x:f>
        <x:v>-14378.277365314889</x:v>
      </x:c>
    </x:row>
    <x:row r="23">
      <x:c r="A23" s="34" t="n">
        <x:f>Subsurface_Live_Data!A22</x:f>
        <x:v>-50</x:v>
      </x:c>
      <x:c r="B23" s="34" t="n">
        <x:f>Subsurface_Live_Data!B22</x:f>
        <x:v>273.71504099052385</x:v>
      </x:c>
      <x:c r="C23" s="34" t="n">
        <x:f>Subsurface_Live_Data!A22</x:f>
        <x:v>-50</x:v>
      </x:c>
      <x:c r="D23" s="34" t="n">
        <x:f>Subsurface_Live_Data!G22</x:f>
        <x:v>-949.3812081354599</x:v>
      </x:c>
      <x:c r="E23" s="34" t="n">
        <x:f>Subsurface_Live_Data!A22</x:f>
        <x:v>-50</x:v>
      </x:c>
      <x:c r="F23" s="34" t="n">
        <x:f>Subsurface_Live_Data!J22</x:f>
        <x:v>-5293.024019897794</x:v>
      </x:c>
      <x:c r="G23" s="34" t="n">
        <x:f>Subsurface_Live_Data!A22</x:f>
        <x:v>-50</x:v>
      </x:c>
      <x:c r="H23" s="34" t="n">
        <x:f>Subsurface_Live_Data!L22</x:f>
        <x:v>-14352.29724530949</x:v>
      </x:c>
    </x:row>
    <x:row r="24">
      <x:c r="A24" s="34" t="n">
        <x:f>Subsurface_Live_Data!A23</x:f>
        <x:v>-49.5</x:v>
      </x:c>
      <x:c r="B24" s="34" t="n">
        <x:f>Subsurface_Live_Data!B23</x:f>
        <x:v>258.91748425644914</x:v>
      </x:c>
      <x:c r="C24" s="34" t="n">
        <x:f>Subsurface_Live_Data!A23</x:f>
        <x:v>-49.5</x:v>
      </x:c>
      <x:c r="D24" s="34" t="n">
        <x:f>Subsurface_Live_Data!G23</x:f>
        <x:v>-981.8775156560732</x:v>
      </x:c>
      <x:c r="E24" s="34" t="n">
        <x:f>Subsurface_Live_Data!A23</x:f>
        <x:v>-49.5</x:v>
      </x:c>
      <x:c r="F24" s="34" t="n">
        <x:f>Subsurface_Live_Data!J23</x:f>
        <x:v>-5298.259129723121</x:v>
      </x:c>
      <x:c r="G24" s="34" t="n">
        <x:f>Subsurface_Live_Data!A23</x:f>
        <x:v>-49.5</x:v>
      </x:c>
      <x:c r="H24" s="34" t="n">
        <x:f>Subsurface_Live_Data!L23</x:f>
        <x:v>-14370.123164794688</x:v>
      </x:c>
    </x:row>
    <x:row r="25">
      <x:c r="A25" s="34" t="n">
        <x:f>Subsurface_Live_Data!A24</x:f>
        <x:v>-49</x:v>
      </x:c>
      <x:c r="B25" s="34" t="n">
        <x:f>Subsurface_Live_Data!B24</x:f>
        <x:v>268.7927966209557</x:v>
      </x:c>
      <x:c r="C25" s="34" t="n">
        <x:f>Subsurface_Live_Data!A24</x:f>
        <x:v>-49</x:v>
      </x:c>
      <x:c r="D25" s="34" t="n">
        <x:f>Subsurface_Live_Data!G24</x:f>
        <x:v>-989.7164194125605</x:v>
      </x:c>
      <x:c r="E25" s="34" t="n">
        <x:f>Subsurface_Live_Data!A24</x:f>
        <x:v>-49</x:v>
      </x:c>
      <x:c r="F25" s="34" t="n">
        <x:f>Subsurface_Live_Data!J24</x:f>
        <x:v>-5278.015952986598</x:v>
      </x:c>
      <x:c r="G25" s="34" t="n">
        <x:f>Subsurface_Live_Data!A24</x:f>
        <x:v>-49</x:v>
      </x:c>
      <x:c r="H25" s="34" t="n">
        <x:f>Subsurface_Live_Data!L24</x:f>
        <x:v>-14359.427082125718</x:v>
      </x:c>
    </x:row>
    <x:row r="26">
      <x:c r="A26" s="34" t="n">
        <x:f>Subsurface_Live_Data!A25</x:f>
        <x:v>-48.5</x:v>
      </x:c>
      <x:c r="B26" s="34" t="n">
        <x:f>Subsurface_Live_Data!B25</x:f>
        <x:v>265.4824606971943</x:v>
      </x:c>
      <x:c r="C26" s="34" t="n">
        <x:f>Subsurface_Live_Data!A25</x:f>
        <x:v>-48.5</x:v>
      </x:c>
      <x:c r="D26" s="34" t="n">
        <x:f>Subsurface_Live_Data!G25</x:f>
        <x:v>-1009.0624324897076</x:v>
      </x:c>
      <x:c r="E26" s="34" t="n">
        <x:f>Subsurface_Live_Data!A25</x:f>
        <x:v>-48.5</x:v>
      </x:c>
      <x:c r="F26" s="34" t="n">
        <x:f>Subsurface_Live_Data!J25</x:f>
        <x:v>-5270.156463798134</x:v>
      </x:c>
      <x:c r="G26" s="34" t="n">
        <x:f>Subsurface_Live_Data!A25</x:f>
        <x:v>-48.5</x:v>
      </x:c>
      <x:c r="H26" s="34" t="n">
        <x:f>Subsurface_Live_Data!L25</x:f>
        <x:v>-14363.38308229367</x:v>
      </x:c>
    </x:row>
    <x:row r="27">
      <x:c r="A27" s="34" t="n">
        <x:f>Subsurface_Live_Data!A26</x:f>
        <x:v>-48</x:v>
      </x:c>
      <x:c r="B27" s="34" t="n">
        <x:f>Subsurface_Live_Data!B26</x:f>
        <x:v>253.6370227527636</x:v>
      </x:c>
      <x:c r="C27" s="34" t="n">
        <x:f>Subsurface_Live_Data!A26</x:f>
        <x:v>-48</x:v>
      </x:c>
      <x:c r="D27" s="34" t="n">
        <x:f>Subsurface_Live_Data!G26</x:f>
        <x:v>-1035.287749037065</x:v>
      </x:c>
      <x:c r="E27" s="34" t="n">
        <x:f>Subsurface_Live_Data!A26</x:f>
        <x:v>-48</x:v>
      </x:c>
      <x:c r="F27" s="34" t="n">
        <x:f>Subsurface_Live_Data!J26</x:f>
        <x:v>-5270.034272909668</x:v>
      </x:c>
      <x:c r="G27" s="34" t="n">
        <x:f>Subsurface_Live_Data!A26</x:f>
        <x:v>-48</x:v>
      </x:c>
      <x:c r="H27" s="34" t="n">
        <x:f>Subsurface_Live_Data!L26</x:f>
        <x:v>-14376.706623450427</x:v>
      </x:c>
    </x:row>
    <x:row r="28">
      <x:c r="A28" s="34" t="n">
        <x:f>Subsurface_Live_Data!A27</x:f>
        <x:v>-47.5</x:v>
      </x:c>
      <x:c r="B28" s="34" t="n">
        <x:f>Subsurface_Live_Data!B27</x:f>
        <x:v>262.7548434853875</x:v>
      </x:c>
      <x:c r="C28" s="34" t="n">
        <x:f>Subsurface_Live_Data!A27</x:f>
        <x:v>-47.5</x:v>
      </x:c>
      <x:c r="D28" s="34" t="n">
        <x:f>Subsurface_Live_Data!G27</x:f>
        <x:v>-1039.9293139585016</x:v>
      </x:c>
      <x:c r="E28" s="34" t="n">
        <x:f>Subsurface_Live_Data!A27</x:f>
        <x:v>-47.5</x:v>
      </x:c>
      <x:c r="F28" s="34" t="n">
        <x:f>Subsurface_Live_Data!J27</x:f>
        <x:v>-5248.15592781214</x:v>
      </x:c>
      <x:c r="G28" s="34" t="n">
        <x:f>Subsurface_Live_Data!A27</x:f>
        <x:v>-47.5</x:v>
      </x:c>
      <x:c r="H28" s="34" t="n">
        <x:f>Subsurface_Live_Data!L27</x:f>
        <x:v>-14365.788307675082</x:v>
      </x:c>
    </x:row>
    <x:row r="29">
      <x:c r="A29" s="34" t="n">
        <x:f>Subsurface_Live_Data!A28</x:f>
        <x:v>-47</x:v>
      </x:c>
      <x:c r="B29" s="34" t="n">
        <x:f>Subsurface_Live_Data!B28</x:f>
        <x:v>253.91481019774176</x:v>
      </x:c>
      <x:c r="C29" s="34" t="n">
        <x:f>Subsurface_Live_Data!A28</x:f>
        <x:v>-47</x:v>
      </x:c>
      <x:c r="D29" s="34" t="n">
        <x:f>Subsurface_Live_Data!G28</x:f>
        <x:v>-1060.227374811132</x:v>
      </x:c>
      <x:c r="E29" s="34" t="n">
        <x:f>Subsurface_Live_Data!A28</x:f>
        <x:v>-47</x:v>
      </x:c>
      <x:c r="F29" s="34" t="n">
        <x:f>Subsurface_Live_Data!J28</x:f>
        <x:v>-5243.448262211803</x:v>
      </x:c>
      <x:c r="G29" s="34" t="n">
        <x:f>Subsurface_Live_Data!A28</x:f>
        <x:v>-47</x:v>
      </x:c>
      <x:c r="H29" s="34" t="n">
        <x:f>Subsurface_Live_Data!L28</x:f>
        <x:v>-14375.01853111274</x:v>
      </x:c>
    </x:row>
    <x:row r="30">
      <x:c r="A30" s="34" t="n">
        <x:f>Subsurface_Live_Data!A29</x:f>
        <x:v>-46.5</x:v>
      </x:c>
      <x:c r="B30" s="34" t="n">
        <x:f>Subsurface_Live_Data!B29</x:f>
        <x:v>253.748238320312</x:v>
      </x:c>
      <x:c r="C30" s="34" t="n">
        <x:f>Subsurface_Live_Data!A29</x:f>
        <x:v>-46.5</x:v>
      </x:c>
      <x:c r="D30" s="34" t="n">
        <x:f>Subsurface_Live_Data!G29</x:f>
        <x:v>-1070.5140647842018</x:v>
      </x:c>
      <x:c r="E30" s="34" t="n">
        <x:f>Subsurface_Live_Data!A29</x:f>
        <x:v>-46.5</x:v>
      </x:c>
      <x:c r="F30" s="34" t="n">
        <x:f>Subsurface_Live_Data!J29</x:f>
        <x:v>-5229.286567199342</x:v>
      </x:c>
      <x:c r="G30" s="34" t="n">
        <x:f>Subsurface_Live_Data!A29</x:f>
        <x:v>-46.5</x:v>
      </x:c>
      <x:c r="H30" s="34" t="n">
        <x:f>Subsurface_Live_Data!L29</x:f>
        <x:v>-14374.059453778262</x:v>
      </x:c>
    </x:row>
    <x:row r="31">
      <x:c r="A31" s="34" t="n">
        <x:f>Subsurface_Live_Data!A30</x:f>
        <x:v>-46</x:v>
      </x:c>
      <x:c r="B31" s="34" t="n">
        <x:f>Subsurface_Live_Data!B30</x:f>
        <x:v>237.40469511010875</x:v>
      </x:c>
      <x:c r="C31" s="34" t="n">
        <x:f>Subsurface_Live_Data!A30</x:f>
        <x:v>-46</x:v>
      </x:c>
      <x:c r="D31" s="34" t="n">
        <x:f>Subsurface_Live_Data!G30</x:f>
        <x:v>-1094.5674472059293</x:v>
      </x:c>
      <x:c r="E31" s="34" t="n">
        <x:f>Subsurface_Live_Data!A30</x:f>
        <x:v>-46</x:v>
      </x:c>
      <x:c r="F31" s="34" t="n">
        <x:f>Subsurface_Live_Data!J30</x:f>
        <x:v>-5230.5288513473715</x:v>
      </x:c>
      <x:c r="G31" s="34" t="n">
        <x:f>Subsurface_Live_Data!A30</x:f>
        <x:v>-46</x:v>
      </x:c>
      <x:c r="H31" s="34" t="n">
        <x:f>Subsurface_Live_Data!L30</x:f>
        <x:v>-14391.263893766996</x:v>
      </x:c>
    </x:row>
    <x:row r="32">
      <x:c r="A32" s="34" t="n">
        <x:f>Subsurface_Live_Data!A31</x:f>
        <x:v>-45.5</x:v>
      </x:c>
      <x:c r="B32" s="34" t="n">
        <x:f>Subsurface_Live_Data!B31</x:f>
        <x:v>230.03534200748854</x:v>
      </x:c>
      <x:c r="C32" s="34" t="n">
        <x:f>Subsurface_Live_Data!A31</x:f>
        <x:v>-45.5</x:v>
      </x:c>
      <x:c r="D32" s="34" t="n">
        <x:f>Subsurface_Live_Data!G31</x:f>
        <x:v>-1108.188349642299</x:v>
      </x:c>
      <x:c r="E32" s="34" t="n">
        <x:f>Subsurface_Live_Data!A31</x:f>
        <x:v>-45.5</x:v>
      </x:c>
      <x:c r="F32" s="34" t="n">
        <x:f>Subsurface_Live_Data!J31</x:f>
        <x:v>-5222.032593092469</x:v>
      </x:c>
      <x:c r="G32" s="34" t="n">
        <x:f>Subsurface_Live_Data!A31</x:f>
        <x:v>-45.5</x:v>
      </x:c>
      <x:c r="H32" s="34" t="n">
        <x:f>Subsurface_Live_Data!L31</x:f>
        <x:v>-14397.984246060067</x:v>
      </x:c>
    </x:row>
    <x:row r="33">
      <x:c r="A33" s="34" t="n">
        <x:f>Subsurface_Live_Data!A32</x:f>
        <x:v>-45</x:v>
      </x:c>
      <x:c r="B33" s="34" t="n">
        <x:f>Subsurface_Live_Data!B32</x:f>
        <x:v>208.8220272535724</x:v>
      </x:c>
      <x:c r="C33" s="34" t="n">
        <x:f>Subsurface_Live_Data!A32</x:f>
        <x:v>-45</x:v>
      </x:c>
      <x:c r="D33" s="34" t="n">
        <x:f>Subsurface_Live_Data!G32</x:f>
        <x:v>-1133.252872999698</x:v>
      </x:c>
      <x:c r="E33" s="34" t="n">
        <x:f>Subsurface_Live_Data!A32</x:f>
        <x:v>-45</x:v>
      </x:c>
      <x:c r="F33" s="34" t="n">
        <x:f>Subsurface_Live_Data!J32</x:f>
        <x:v>-5226.62575338897</x:v>
      </x:c>
      <x:c r="G33" s="34" t="n">
        <x:f>Subsurface_Live_Data!A32</x:f>
        <x:v>-45</x:v>
      </x:c>
      <x:c r="H33" s="34" t="n">
        <x:f>Subsurface_Live_Data!L32</x:f>
        <x:v>-14420.259242085222</x:v>
      </x:c>
    </x:row>
    <x:row r="34">
      <x:c r="A34" s="34" t="n">
        <x:f>Subsurface_Live_Data!A33</x:f>
        <x:v>-44.5</x:v>
      </x:c>
      <x:c r="B34" s="34" t="n">
        <x:f>Subsurface_Live_Data!B33</x:f>
        <x:v>201.66422960156285</x:v>
      </x:c>
      <x:c r="C34" s="34" t="n">
        <x:f>Subsurface_Live_Data!A33</x:f>
        <x:v>-44.5</x:v>
      </x:c>
      <x:c r="D34" s="34" t="n">
        <x:f>Subsurface_Live_Data!G33</x:f>
        <x:v>-1142.9729538539632</x:v>
      </x:c>
      <x:c r="E34" s="34" t="n">
        <x:f>Subsurface_Live_Data!A33</x:f>
        <x:v>-44.5</x:v>
      </x:c>
      <x:c r="F34" s="34" t="n">
        <x:f>Subsurface_Live_Data!J33</x:f>
        <x:v>-5216.419947121439</x:v>
      </x:c>
      <x:c r="G34" s="34" t="n">
        <x:f>Subsurface_Live_Data!A33</x:f>
        <x:v>-44.5</x:v>
      </x:c>
      <x:c r="H34" s="34" t="n">
        <x:f>Subsurface_Live_Data!L33</x:f>
        <x:v>-14426.310755281736</x:v>
      </x:c>
    </x:row>
    <x:row r="35">
      <x:c r="A35" s="34" t="n">
        <x:f>Subsurface_Live_Data!A34</x:f>
        <x:v>-44</x:v>
      </x:c>
      <x:c r="B35" s="34" t="n">
        <x:f>Subsurface_Live_Data!B34</x:f>
        <x:v>200.11672258234324</x:v>
      </x:c>
      <x:c r="C35" s="34" t="n">
        <x:f>Subsurface_Live_Data!A34</x:f>
        <x:v>-44</x:v>
      </x:c>
      <x:c r="D35" s="34" t="n">
        <x:f>Subsurface_Live_Data!G34</x:f>
        <x:v>-1145.4758276935613</x:v>
      </x:c>
      <x:c r="E35" s="34" t="n">
        <x:f>Subsurface_Live_Data!A34</x:f>
        <x:v>-44</x:v>
      </x:c>
      <x:c r="F35" s="34" t="n">
        <x:f>Subsurface_Live_Data!J34</x:f>
        <x:v>-5199.872902849521</x:v>
      </x:c>
      <x:c r="G35" s="34" t="n">
        <x:f>Subsurface_Live_Data!A34</x:f>
        <x:v>-44</x:v>
      </x:c>
      <x:c r="H35" s="34" t="n">
        <x:f>Subsurface_Live_Data!L34</x:f>
        <x:v>-14425.794781692586</x:v>
      </x:c>
    </x:row>
    <x:row r="36">
      <x:c r="A36" s="34" t="n">
        <x:f>Subsurface_Live_Data!A35</x:f>
        <x:v>-43.5</x:v>
      </x:c>
      <x:c r="B36" s="34" t="n">
        <x:f>Subsurface_Live_Data!B35</x:f>
        <x:v>210.8483953416035</x:v>
      </x:c>
      <x:c r="C36" s="34" t="n">
        <x:f>Subsurface_Live_Data!A35</x:f>
        <x:v>-43.5</x:v>
      </x:c>
      <x:c r="D36" s="34" t="n">
        <x:f>Subsurface_Live_Data!G35</x:f>
        <x:v>-1134.4027841568573</x:v>
      </x:c>
      <x:c r="E36" s="34" t="n">
        <x:f>Subsurface_Live_Data!A35</x:f>
        <x:v>-43.5</x:v>
      </x:c>
      <x:c r="F36" s="34" t="n">
        <x:f>Subsurface_Live_Data!J35</x:f>
        <x:v>-5170.329773603953</x:v>
      </x:c>
      <x:c r="G36" s="34" t="n">
        <x:f>Subsurface_Live_Data!A35</x:f>
        <x:v>-43.5</x:v>
      </x:c>
      <x:c r="H36" s="34" t="n">
        <x:f>Subsurface_Live_Data!L35</x:f>
        <x:v>-14411.138298741691</x:v>
      </x:c>
    </x:row>
    <x:row r="37">
      <x:c r="A37" s="34" t="n">
        <x:f>Subsurface_Live_Data!A36</x:f>
        <x:v>-43</x:v>
      </x:c>
      <x:c r="B37" s="34" t="n">
        <x:f>Subsurface_Live_Data!B36</x:f>
        <x:v>180.5581841932563</x:v>
      </x:c>
      <x:c r="C37" s="34" t="n">
        <x:f>Subsurface_Live_Data!A36</x:f>
        <x:v>-43</x:v>
      </x:c>
      <x:c r="D37" s="34" t="n">
        <x:f>Subsurface_Live_Data!G36</x:f>
        <x:v>-1160.988715033434</x:v>
      </x:c>
      <x:c r="E37" s="34" t="n">
        <x:f>Subsurface_Live_Data!A36</x:f>
        <x:v>-43</x:v>
      </x:c>
      <x:c r="F37" s="34" t="n">
        <x:f>Subsurface_Live_Data!J36</x:f>
        <x:v>-5181.107343020835</x:v>
      </x:c>
      <x:c r="G37" s="34" t="n">
        <x:f>Subsurface_Live_Data!A36</x:f>
        <x:v>-43</x:v>
      </x:c>
      <x:c r="H37" s="34" t="n">
        <x:f>Subsurface_Live_Data!L36</x:f>
        <x:v>-14443.13501469738</x:v>
      </x:c>
    </x:row>
    <x:row r="38">
      <x:c r="A38" s="34" t="n">
        <x:f>Subsurface_Live_Data!A37</x:f>
        <x:v>-42.5</x:v>
      </x:c>
      <x:c r="B38" s="34" t="n">
        <x:f>Subsurface_Live_Data!B37</x:f>
        <x:v>181.7291755177202</x:v>
      </x:c>
      <x:c r="C38" s="34" t="n">
        <x:f>Subsurface_Live_Data!A37</x:f>
        <x:v>-42.5</x:v>
      </x:c>
      <x:c r="D38" s="34" t="n">
        <x:f>Subsurface_Live_Data!G37</x:f>
        <x:v>-1155.73666034265</x:v>
      </x:c>
      <x:c r="E38" s="34" t="n">
        <x:f>Subsurface_Live_Data!A37</x:f>
        <x:v>-42.5</x:v>
      </x:c>
      <x:c r="F38" s="34" t="n">
        <x:f>Subsurface_Live_Data!J37</x:f>
        <x:v>-5159.740064313806</x:v>
      </x:c>
      <x:c r="G38" s="34" t="n">
        <x:f>Subsurface_Live_Data!A37</x:f>
        <x:v>-42.5</x:v>
      </x:c>
      <x:c r="H38" s="34" t="n">
        <x:f>Subsurface_Live_Data!L37</x:f>
        <x:v>-14439.185599939736</x:v>
      </x:c>
    </x:row>
    <x:row r="39">
      <x:c r="A39" s="34" t="n">
        <x:f>Subsurface_Live_Data!A38</x:f>
        <x:v>-42</x:v>
      </x:c>
      <x:c r="B39" s="34" t="n">
        <x:f>Subsurface_Live_Data!B38</x:f>
        <x:v>170.62817299697477</x:v>
      </x:c>
      <x:c r="C39" s="34" t="n">
        <x:f>Subsurface_Live_Data!A38</x:f>
        <x:v>-42</x:v>
      </x:c>
      <x:c r="D39" s="34" t="n">
        <x:f>Subsurface_Live_Data!G38</x:f>
        <x:v>-1160.736381052511</x:v>
      </x:c>
      <x:c r="E39" s="34" t="n">
        <x:f>Subsurface_Live_Data!A38</x:f>
        <x:v>-42</x:v>
      </x:c>
      <x:c r="F39" s="34" t="n">
        <x:f>Subsurface_Live_Data!J38</x:f>
        <x:v>-5149.980636924458</x:v>
      </x:c>
      <x:c r="G39" s="34" t="n">
        <x:f>Subsurface_Live_Data!A38</x:f>
        <x:v>-42</x:v>
      </x:c>
      <x:c r="H39" s="34" t="n">
        <x:f>Subsurface_Live_Data!L38</x:f>
        <x:v>-14449.17808626286</x:v>
      </x:c>
    </x:row>
    <x:row r="40">
      <x:c r="A40" s="34" t="n">
        <x:f>Subsurface_Live_Data!A39</x:f>
        <x:v>-41.5</x:v>
      </x:c>
      <x:c r="B40" s="34" t="n">
        <x:f>Subsurface_Live_Data!B39</x:f>
        <x:v>171.38557913735212</x:v>
      </x:c>
      <x:c r="C40" s="34" t="n">
        <x:f>Subsurface_Live_Data!A39</x:f>
        <x:v>-41.5</x:v>
      </x:c>
      <x:c r="D40" s="34" t="n">
        <x:f>Subsurface_Live_Data!G39</x:f>
        <x:v>-1152.9455380751501</x:v>
      </x:c>
      <x:c r="E40" s="34" t="n">
        <x:f>Subsurface_Live_Data!A39</x:f>
        <x:v>-41.5</x:v>
      </x:c>
      <x:c r="F40" s="34" t="n">
        <x:f>Subsurface_Live_Data!J39</x:f>
        <x:v>-5127.720268451811</x:v>
      </x:c>
      <x:c r="G40" s="34" t="n">
        <x:f>Subsurface_Live_Data!A39</x:f>
        <x:v>-41.5</x:v>
      </x:c>
      <x:c r="H40" s="34" t="n">
        <x:f>Subsurface_Live_Data!L39</x:f>
        <x:v>-14445.636705516761</x:v>
      </x:c>
    </x:row>
    <x:row r="41">
      <x:c r="A41" s="34" t="n">
        <x:f>Subsurface_Live_Data!A40</x:f>
        <x:v>-41</x:v>
      </x:c>
      <x:c r="B41" s="34" t="n">
        <x:f>Subsurface_Live_Data!B40</x:f>
        <x:v>176.66624192778235</x:v>
      </x:c>
      <x:c r="C41" s="34" t="n">
        <x:f>Subsurface_Live_Data!A40</x:f>
        <x:v>-41</x:v>
      </x:c>
      <x:c r="D41" s="34" t="n">
        <x:f>Subsurface_Live_Data!G40</x:f>
        <x:v>-1139.543293398225</x:v>
      </x:c>
      <x:c r="E41" s="34" t="n">
        <x:f>Subsurface_Live_Data!A40</x:f>
        <x:v>-41</x:v>
      </x:c>
      <x:c r="F41" s="34" t="n">
        <x:f>Subsurface_Live_Data!J40</x:f>
        <x:v>-5100.3179683083</x:v>
      </x:c>
      <x:c r="G41" s="34" t="n">
        <x:f>Subsurface_Live_Data!A40</x:f>
        <x:v>-41</x:v>
      </x:c>
      <x:c r="H41" s="34" t="n">
        <x:f>Subsurface_Live_Data!L40</x:f>
        <x:v>-14436.957025877315</x:v>
      </x:c>
    </x:row>
    <x:row r="42">
      <x:c r="A42" s="34" t="n">
        <x:f>Subsurface_Live_Data!A41</x:f>
        <x:v>-40.5</x:v>
      </x:c>
      <x:c r="B42" s="34" t="n">
        <x:f>Subsurface_Live_Data!B41</x:f>
        <x:v>191.24651788731785</x:v>
      </x:c>
      <x:c r="C42" s="34" t="n">
        <x:f>Subsurface_Live_Data!A41</x:f>
        <x:v>-40.5</x:v>
      </x:c>
      <x:c r="D42" s="34" t="n">
        <x:f>Subsurface_Live_Data!G41</x:f>
        <x:v>-1116.0937371428247</x:v>
      </x:c>
      <x:c r="E42" s="34" t="n">
        <x:f>Subsurface_Live_Data!A41</x:f>
        <x:v>-40.5</x:v>
      </x:c>
      <x:c r="F42" s="34" t="n">
        <x:f>Subsurface_Live_Data!J41</x:f>
        <x:v>-5063.023618919142</x:v>
      </x:c>
      <x:c r="G42" s="34" t="n">
        <x:f>Subsurface_Live_Data!A41</x:f>
        <x:v>-40.5</x:v>
      </x:c>
      <x:c r="H42" s="34" t="n">
        <x:f>Subsurface_Live_Data!L41</x:f>
        <x:v>-14417.727999575683</x:v>
      </x:c>
    </x:row>
    <x:row r="43">
      <x:c r="A43" s="34" t="n">
        <x:f>Subsurface_Live_Data!A42</x:f>
        <x:v>-40</x:v>
      </x:c>
      <x:c r="B43" s="34" t="n">
        <x:f>Subsurface_Live_Data!B42</x:f>
        <x:v>197.66557297497732</x:v>
      </x:c>
      <x:c r="C43" s="34" t="n">
        <x:f>Subsurface_Live_Data!A42</x:f>
        <x:v>-40</x:v>
      </x:c>
      <x:c r="D43" s="34" t="n">
        <x:f>Subsurface_Live_Data!G42</x:f>
        <x:v>-1099.5178884079824</x:v>
      </x:c>
      <x:c r="E43" s="34" t="n">
        <x:f>Subsurface_Live_Data!A42</x:f>
        <x:v>-40</x:v>
      </x:c>
      <x:c r="F43" s="34" t="n">
        <x:f>Subsurface_Live_Data!J42</x:f>
        <x:v>-5033.326799878894</x:v>
      </x:c>
      <x:c r="G43" s="34" t="n">
        <x:f>Subsurface_Live_Data!A42</x:f>
        <x:v>-40</x:v>
      </x:c>
      <x:c r="H43" s="34" t="n">
        <x:f>Subsurface_Live_Data!L42</x:f>
        <x:v>-14407.889377873315</x:v>
      </x:c>
    </x:row>
    <x:row r="44">
      <x:c r="A44" s="34" t="n">
        <x:f>Subsurface_Live_Data!A43</x:f>
        <x:v>-39.5</x:v>
      </x:c>
      <x:c r="B44" s="34" t="n">
        <x:f>Subsurface_Live_Data!B43</x:f>
        <x:v>200.98178735327417</x:v>
      </x:c>
      <x:c r="C44" s="34" t="n">
        <x:f>Subsurface_Live_Data!A43</x:f>
        <x:v>-39.5</x:v>
      </x:c>
      <x:c r="D44" s="34" t="n">
        <x:f>Subsurface_Live_Data!G43</x:f>
        <x:v>-1085.1246896002303</x:v>
      </x:c>
      <x:c r="E44" s="34" t="n">
        <x:f>Subsurface_Live_Data!A43</x:f>
        <x:v>-39.5</x:v>
      </x:c>
      <x:c r="F44" s="34" t="n">
        <x:f>Subsurface_Live_Data!J43</x:f>
        <x:v>-5006.200495825688</x:v>
      </x:c>
      <x:c r="G44" s="34" t="n">
        <x:f>Subsurface_Live_Data!A43</x:f>
        <x:v>-39.5</x:v>
      </x:c>
      <x:c r="H44" s="34" t="n">
        <x:f>Subsurface_Live_Data!L43</x:f>
        <x:v>-14401.70930632222</x:v>
      </x:c>
    </x:row>
    <x:row r="45">
      <x:c r="A45" s="34" t="n">
        <x:f>Subsurface_Live_Data!A44</x:f>
        <x:v>-39</x:v>
      </x:c>
      <x:c r="B45" s="34" t="n">
        <x:f>Subsurface_Live_Data!B44</x:f>
        <x:v>184.54420924136062</x:v>
      </x:c>
      <x:c r="C45" s="34" t="n">
        <x:f>Subsurface_Live_Data!A44</x:f>
        <x:v>-39</x:v>
      </x:c>
      <x:c r="D45" s="34" t="n">
        <x:f>Subsurface_Live_Data!G44</x:f>
        <x:v>-1089.0674994978563</x:v>
      </x:c>
      <x:c r="E45" s="34" t="n">
        <x:f>Subsurface_Live_Data!A44</x:f>
        <x:v>-39</x:v>
      </x:c>
      <x:c r="F45" s="34" t="n">
        <x:f>Subsurface_Live_Data!J44</x:f>
        <x:v>-4998.329739470436</x:v>
      </x:c>
      <x:c r="G45" s="34" t="n">
        <x:f>Subsurface_Live_Data!A44</x:f>
        <x:v>-39</x:v>
      </x:c>
      <x:c r="H45" s="34" t="n">
        <x:f>Subsurface_Live_Data!L44</x:f>
        <x:v>-14418.204763014835</x:v>
      </x:c>
    </x:row>
    <x:row r="46">
      <x:c r="A46" s="34" t="n">
        <x:f>Subsurface_Live_Data!A45</x:f>
        <x:v>-38.5</x:v>
      </x:c>
      <x:c r="B46" s="34" t="n">
        <x:f>Subsurface_Live_Data!B45</x:f>
        <x:v>211.63430992610967</x:v>
      </x:c>
      <x:c r="C46" s="34" t="n">
        <x:f>Subsurface_Live_Data!A45</x:f>
        <x:v>-38.5</x:v>
      </x:c>
      <x:c r="D46" s="34" t="n">
        <x:f>Subsurface_Live_Data!G45</x:f>
        <x:v>-1050.7650963882018</x:v>
      </x:c>
      <x:c r="E46" s="34" t="n">
        <x:f>Subsurface_Live_Data!A45</x:f>
        <x:v>-38.5</x:v>
      </x:c>
      <x:c r="F46" s="34" t="n">
        <x:f>Subsurface_Live_Data!J45</x:f>
        <x:v>-4946.46993437061</x:v>
      </x:c>
      <x:c r="G46" s="34" t="n">
        <x:f>Subsurface_Live_Data!A45</x:f>
        <x:v>-38.5</x:v>
      </x:c>
      <x:c r="H46" s="34" t="n">
        <x:f>Subsurface_Live_Data!L45</x:f>
        <x:v>-14385.2698527418</x:v>
      </x:c>
    </x:row>
    <x:row r="47">
      <x:c r="A47" s="34" t="n">
        <x:f>Subsurface_Live_Data!A46</x:f>
        <x:v>-38</x:v>
      </x:c>
      <x:c r="B47" s="34" t="n">
        <x:f>Subsurface_Live_Data!B46</x:f>
        <x:v>202.93658014849487</x:v>
      </x:c>
      <x:c r="C47" s="34" t="n">
        <x:f>Subsurface_Live_Data!A46</x:f>
        <x:v>-38</x:v>
      </x:c>
      <x:c r="D47" s="34" t="n">
        <x:f>Subsurface_Live_Data!G46</x:f>
        <x:v>-1046.527045652812</x:v>
      </x:c>
      <x:c r="E47" s="34" t="n">
        <x:f>Subsurface_Live_Data!A46</x:f>
        <x:v>-38</x:v>
      </x:c>
      <x:c r="F47" s="34" t="n">
        <x:f>Subsurface_Live_Data!J46</x:f>
        <x:v>-4929.976313943018</x:v>
      </x:c>
      <x:c r="G47" s="34" t="n">
        <x:f>Subsurface_Live_Data!A46</x:f>
        <x:v>-38</x:v>
      </x:c>
      <x:c r="H47" s="34" t="n">
        <x:f>Subsurface_Live_Data!L46</x:f>
        <x:v>-14393.359221488083</x:v>
      </x:c>
    </x:row>
    <x:row r="48">
      <x:c r="A48" s="34" t="n">
        <x:f>Subsurface_Live_Data!A47</x:f>
        <x:v>-37.5</x:v>
      </x:c>
      <x:c r="B48" s="34" t="n">
        <x:f>Subsurface_Live_Data!B47</x:f>
        <x:v>239.1871485288169</x:v>
      </x:c>
      <x:c r="C48" s="34" t="n">
        <x:f>Subsurface_Live_Data!A47</x:f>
        <x:v>-37.5</x:v>
      </x:c>
      <x:c r="D48" s="34" t="n">
        <x:f>Subsurface_Live_Data!G47</x:f>
        <x:v>-999.0082700265249</x:v>
      </x:c>
      <x:c r="E48" s="34" t="n">
        <x:f>Subsurface_Live_Data!A47</x:f>
        <x:v>-37.5</x:v>
      </x:c>
      <x:c r="F48" s="34" t="n">
        <x:f>Subsurface_Live_Data!J47</x:f>
        <x:v>-4868.15535289123</x:v>
      </x:c>
      <x:c r="G48" s="34" t="n">
        <x:f>Subsurface_Live_Data!A47</x:f>
        <x:v>-37.5</x:v>
      </x:c>
      <x:c r="H48" s="34" t="n">
        <x:f>Subsurface_Live_Data!L47</x:f>
        <x:v>-14350.468525590759</x:v>
      </x:c>
    </x:row>
    <x:row r="49">
      <x:c r="A49" s="34" t="n">
        <x:f>Subsurface_Live_Data!A48</x:f>
        <x:v>-37</x:v>
      </x:c>
      <x:c r="B49" s="34" t="n">
        <x:f>Subsurface_Live_Data!B48</x:f>
        <x:v>236.18872035541293</x:v>
      </x:c>
      <x:c r="C49" s="34" t="n">
        <x:f>Subsurface_Live_Data!A48</x:f>
        <x:v>-37</x:v>
      </x:c>
      <x:c r="D49" s="34" t="n">
        <x:f>Subsurface_Live_Data!G48</x:f>
        <x:v>-989.1921055281723</x:v>
      </x:c>
      <x:c r="E49" s="34" t="n">
        <x:f>Subsurface_Live_Data!A48</x:f>
        <x:v>-37</x:v>
      </x:c>
      <x:c r="F49" s="34" t="n">
        <x:f>Subsurface_Live_Data!J48</x:f>
        <x:v>-4845.249829766353</x:v>
      </x:c>
      <x:c r="G49" s="34" t="n">
        <x:f>Subsurface_Live_Data!A48</x:f>
        <x:v>-37</x:v>
      </x:c>
      <x:c r="H49" s="34" t="n">
        <x:f>Subsurface_Live_Data!L48</x:f>
        <x:v>-14352.617295748752</x:v>
      </x:c>
    </x:row>
    <x:row r="50">
      <x:c r="A50" s="34" t="n">
        <x:f>Subsurface_Live_Data!A49</x:f>
        <x:v>-36.5</x:v>
      </x:c>
      <x:c r="B50" s="34" t="n">
        <x:f>Subsurface_Live_Data!B49</x:f>
        <x:v>264.8535608975177</x:v>
      </x:c>
      <x:c r="C50" s="34" t="n">
        <x:f>Subsurface_Live_Data!A49</x:f>
        <x:v>-36.5</x:v>
      </x:c>
      <x:c r="D50" s="34" t="n">
        <x:f>Subsurface_Live_Data!G49</x:f>
        <x:v>-949.1466340751148</x:v>
      </x:c>
      <x:c r="E50" s="34" t="n">
        <x:f>Subsurface_Live_Data!A49</x:f>
        <x:v>-36.5</x:v>
      </x:c>
      <x:c r="F50" s="34" t="n">
        <x:f>Subsurface_Live_Data!J49</x:f>
        <x:v>-4790.395813825722</x:v>
      </x:c>
      <x:c r="G50" s="34" t="n">
        <x:f>Subsurface_Live_Data!A49</x:f>
        <x:v>-36.5</x:v>
      </x:c>
      <x:c r="H50" s="34" t="n">
        <x:f>Subsurface_Live_Data!L49</x:f>
        <x:v>-14318.999830621673</x:v>
      </x:c>
    </x:row>
    <x:row r="51">
      <x:c r="A51" s="34" t="n">
        <x:f>Subsurface_Live_Data!A50</x:f>
        <x:v>-36</x:v>
      </x:c>
      <x:c r="B51" s="34" t="n">
        <x:f>Subsurface_Live_Data!B50</x:f>
        <x:v>273.24610443212225</x:v>
      </x:c>
      <x:c r="C51" s="34" t="n">
        <x:f>Subsurface_Live_Data!A50</x:f>
        <x:v>-36</x:v>
      </x:c>
      <x:c r="D51" s="34" t="n">
        <x:f>Subsurface_Live_Data!G50</x:f>
        <x:v>-928.8616170149318</x:v>
      </x:c>
      <x:c r="E51" s="34" t="n">
        <x:f>Subsurface_Live_Data!A50</x:f>
        <x:v>-36</x:v>
      </x:c>
      <x:c r="F51" s="34" t="n">
        <x:f>Subsurface_Live_Data!J50</x:f>
        <x:v>-4755.579992683982</x:v>
      </x:c>
      <x:c r="G51" s="34" t="n">
        <x:f>Subsurface_Live_Data!A50</x:f>
        <x:v>-36</x:v>
      </x:c>
      <x:c r="H51" s="34" t="n">
        <x:f>Subsurface_Live_Data!L50</x:f>
        <x:v>-14308.85651774103</x:v>
      </x:c>
    </x:row>
    <x:row r="52">
      <x:c r="A52" s="34" t="n">
        <x:f>Subsurface_Live_Data!A51</x:f>
        <x:v>-35.5</x:v>
      </x:c>
      <x:c r="B52" s="34" t="n">
        <x:f>Subsurface_Live_Data!B51</x:f>
        <x:v>284.9525044867838</x:v>
      </x:c>
      <x:c r="C52" s="34" t="n">
        <x:f>Subsurface_Live_Data!A51</x:f>
        <x:v>-35.5</x:v>
      </x:c>
      <x:c r="D52" s="34" t="n">
        <x:f>Subsurface_Live_Data!G51</x:f>
        <x:v>-905.8118440659658</x:v>
      </x:c>
      <x:c r="E52" s="34" t="n">
        <x:f>Subsurface_Live_Data!A51</x:f>
        <x:v>-35.5</x:v>
      </x:c>
      <x:c r="F52" s="34" t="n">
        <x:f>Subsurface_Live_Data!J51</x:f>
        <x:v>-4717.270023372461</x:v>
      </x:c>
      <x:c r="G52" s="34" t="n">
        <x:f>Subsurface_Live_Data!A51</x:f>
        <x:v>-35.5</x:v>
      </x:c>
      <x:c r="H52" s="34" t="n">
        <x:f>Subsurface_Live_Data!L51</x:f>
        <x:v>-14295.332442339579</x:v>
      </x:c>
    </x:row>
    <x:row r="53">
      <x:c r="A53" s="34" t="n">
        <x:f>Subsurface_Live_Data!A52</x:f>
        <x:v>-35</x:v>
      </x:c>
      <x:c r="B53" s="34" t="n">
        <x:f>Subsurface_Live_Data!B52</x:f>
        <x:v>280.71344003946786</x:v>
      </x:c>
      <x:c r="C53" s="34" t="n">
        <x:f>Subsurface_Live_Data!A52</x:f>
        <x:v>-35</x:v>
      </x:c>
      <x:c r="D53" s="34" t="n">
        <x:f>Subsurface_Live_Data!G52</x:f>
        <x:v>-898.5880674068595</x:v>
      </x:c>
      <x:c r="E53" s="34" t="n">
        <x:f>Subsurface_Live_Data!A52</x:f>
        <x:v>-35</x:v>
      </x:c>
      <x:c r="F53" s="34" t="n">
        <x:f>Subsurface_Live_Data!J52</x:f>
        <x:v>-4694.781590686677</x:v>
      </x:c>
      <x:c r="G53" s="34" t="n">
        <x:f>Subsurface_Live_Data!A52</x:f>
        <x:v>-35</x:v>
      </x:c>
      <x:c r="H53" s="34" t="n">
        <x:f>Subsurface_Live_Data!L52</x:f>
        <x:v>-14300.415885569986</x:v>
      </x:c>
    </x:row>
    <x:row r="54">
      <x:c r="A54" s="34" t="n">
        <x:f>Subsurface_Live_Data!A53</x:f>
        <x:v>-34.5</x:v>
      </x:c>
      <x:c r="B54" s="34" t="n">
        <x:f>Subsurface_Live_Data!B53</x:f>
        <x:v>316.314878049505</x:v>
      </x:c>
      <x:c r="C54" s="34" t="n">
        <x:f>Subsurface_Live_Data!A53</x:f>
        <x:v>-34.5</x:v>
      </x:c>
      <x:c r="D54" s="34" t="n">
        <x:f>Subsurface_Live_Data!G53</x:f>
        <x:v>-853.7206343892242</x:v>
      </x:c>
      <x:c r="E54" s="34" t="n">
        <x:f>Subsurface_Live_Data!A53</x:f>
        <x:v>-34.5</x:v>
      </x:c>
      <x:c r="F54" s="34" t="n">
        <x:f>Subsurface_Live_Data!J53</x:f>
        <x:v>-4632.387471634505</x:v>
      </x:c>
      <x:c r="G54" s="34" t="n">
        <x:f>Subsurface_Live_Data!A53</x:f>
        <x:v>-34.5</x:v>
      </x:c>
      <x:c r="H54" s="34" t="n">
        <x:f>Subsurface_Live_Data!L53</x:f>
        <x:v>-14260.542753959286</x:v>
      </x:c>
    </x:row>
    <x:row r="55">
      <x:c r="A55" s="34" t="n">
        <x:f>Subsurface_Live_Data!A54</x:f>
        <x:v>-34</x:v>
      </x:c>
      <x:c r="B55" s="34" t="n">
        <x:f>Subsurface_Live_Data!B54</x:f>
        <x:v>319.4152549266823</x:v>
      </x:c>
      <x:c r="C55" s="34" t="n">
        <x:f>Subsurface_Live_Data!A54</x:f>
        <x:v>-34</x:v>
      </x:c>
      <x:c r="D55" s="34" t="n">
        <x:f>Subsurface_Live_Data!G54</x:f>
        <x:v>-840.7245140837633</x:v>
      </x:c>
      <x:c r="E55" s="34" t="n">
        <x:f>Subsurface_Live_Data!A54</x:f>
        <x:v>-34</x:v>
      </x:c>
      <x:c r="F55" s="34" t="n">
        <x:f>Subsurface_Live_Data!J54</x:f>
        <x:v>-4602.490143183858</x:v>
      </x:c>
      <x:c r="G55" s="34" t="n">
        <x:f>Subsurface_Live_Data!A54</x:f>
        <x:v>-34</x:v>
      </x:c>
      <x:c r="H55" s="34" t="n">
        <x:f>Subsurface_Live_Data!L54</x:f>
        <x:v>-14258.213492996547</x:v>
      </x:c>
    </x:row>
    <x:row r="56">
      <x:c r="A56" s="34" t="n">
        <x:f>Subsurface_Live_Data!A55</x:f>
        <x:v>-33.5</x:v>
      </x:c>
      <x:c r="B56" s="34" t="n">
        <x:f>Subsurface_Live_Data!B55</x:f>
        <x:v>328.4448057508986</x:v>
      </x:c>
      <x:c r="C56" s="34" t="n">
        <x:f>Subsurface_Live_Data!A55</x:f>
        <x:v>-33.5</x:v>
      </x:c>
      <x:c r="D56" s="34" t="n">
        <x:f>Subsurface_Live_Data!G55</x:f>
        <x:v>-822.7554304536417</x:v>
      </x:c>
      <x:c r="E56" s="34" t="n">
        <x:f>Subsurface_Live_Data!A55</x:f>
        <x:v>-33.5</x:v>
      </x:c>
      <x:c r="F56" s="34" t="n">
        <x:f>Subsurface_Live_Data!J55</x:f>
        <x:v>-4566.722204965172</x:v>
      </x:c>
      <x:c r="G56" s="34" t="n">
        <x:f>Subsurface_Live_Data!A55</x:f>
        <x:v>-33.5</x:v>
      </x:c>
      <x:c r="H56" s="34" t="n">
        <x:f>Subsurface_Live_Data!L55</x:f>
        <x:v>-14249.64775427259</x:v>
      </x:c>
    </x:row>
    <x:row r="57">
      <x:c r="A57" s="34" t="n">
        <x:f>Subsurface_Live_Data!A56</x:f>
        <x:v>-33</x:v>
      </x:c>
      <x:c r="B57" s="34" t="n">
        <x:f>Subsurface_Live_Data!B56</x:f>
        <x:v>342.0571204684842</x:v>
      </x:c>
      <x:c r="C57" s="34" t="n">
        <x:f>Subsurface_Live_Data!A56</x:f>
        <x:v>-33</x:v>
      </x:c>
      <x:c r="D57" s="34" t="n">
        <x:f>Subsurface_Live_Data!G56</x:f>
        <x:v>-801.1362314824215</x:v>
      </x:c>
      <x:c r="E57" s="34" t="n">
        <x:f>Subsurface_Live_Data!A56</x:f>
        <x:v>-33</x:v>
      </x:c>
      <x:c r="F57" s="34" t="n">
        <x:f>Subsurface_Live_Data!J56</x:f>
        <x:v>-4526.4945388619635</x:v>
      </x:c>
      <x:c r="G57" s="34" t="n">
        <x:f>Subsurface_Live_Data!A56</x:f>
        <x:v>-33</x:v>
      </x:c>
      <x:c r="H57" s="34" t="n">
        <x:f>Subsurface_Live_Data!L56</x:f>
        <x:v>-14236.40952611411</x:v>
      </x:c>
    </x:row>
    <x:row r="58">
      <x:c r="A58" s="34" t="n">
        <x:f>Subsurface_Live_Data!A57</x:f>
        <x:v>-32.5</x:v>
      </x:c>
      <x:c r="B58" s="34" t="n">
        <x:f>Subsurface_Live_Data!B57</x:f>
        <x:v>350.9183412247295</x:v>
      </x:c>
      <x:c r="C58" s="34" t="n">
        <x:f>Subsurface_Live_Data!A57</x:f>
        <x:v>-32.5</x:v>
      </x:c>
      <x:c r="D58" s="34" t="n">
        <x:f>Subsurface_Live_Data!G57</x:f>
        <x:v>-784.8394949012296</x:v>
      </x:c>
      <x:c r="E58" s="34" t="n">
        <x:f>Subsurface_Live_Data!A57</x:f>
        <x:v>-32.5</x:v>
      </x:c>
      <x:c r="F58" s="34" t="n">
        <x:f>Subsurface_Live_Data!J57</x:f>
        <x:v>-4491.206793196538</x:v>
      </x:c>
      <x:c r="G58" s="34" t="n">
        <x:f>Subsurface_Live_Data!A57</x:f>
        <x:v>-32.5</x:v>
      </x:c>
      <x:c r="H58" s="34" t="n">
        <x:f>Subsurface_Live_Data!L57</x:f>
        <x:v>-14229.16735582466</x:v>
      </x:c>
    </x:row>
    <x:row r="59">
      <x:c r="A59" s="34" t="n">
        <x:f>Subsurface_Live_Data!A58</x:f>
        <x:v>-32</x:v>
      </x:c>
      <x:c r="B59" s="34" t="n">
        <x:f>Subsurface_Live_Data!B58</x:f>
        <x:v>340.91681406553505</x:v>
      </x:c>
      <x:c r="C59" s="34" t="n">
        <x:f>Subsurface_Live_Data!A58</x:f>
        <x:v>-32</x:v>
      </x:c>
      <x:c r="D59" s="34" t="n">
        <x:f>Subsurface_Live_Data!G58</x:f>
        <x:v>-787.4068609597581</x:v>
      </x:c>
      <x:c r="E59" s="34" t="n">
        <x:f>Subsurface_Live_Data!A58</x:f>
        <x:v>-32</x:v>
      </x:c>
      <x:c r="F59" s="34" t="n">
        <x:f>Subsurface_Live_Data!J58</x:f>
        <x:v>-4475.037380852017</x:v>
      </x:c>
      <x:c r="G59" s="34" t="n">
        <x:f>Subsurface_Live_Data!A58</x:f>
        <x:v>-32</x:v>
      </x:c>
      <x:c r="H59" s="34" t="n">
        <x:f>Subsurface_Live_Data!L58</x:f>
        <x:v>-14244.035256695022</x:v>
      </x:c>
    </x:row>
    <x:row r="60">
      <x:c r="A60" s="34" t="n">
        <x:f>Subsurface_Live_Data!A59</x:f>
        <x:v>-31.5</x:v>
      </x:c>
      <x:c r="B60" s="34" t="n">
        <x:f>Subsurface_Live_Data!B59</x:f>
        <x:v>355.15219987006986</x:v>
      </x:c>
      <x:c r="C60" s="34" t="n">
        <x:f>Subsurface_Live_Data!A59</x:f>
        <x:v>-31.5</x:v>
      </x:c>
      <x:c r="D60" s="34" t="n">
        <x:f>Subsurface_Live_Data!G59</x:f>
        <x:v>-767.4404318221907</x:v>
      </x:c>
      <x:c r="E60" s="34" t="n">
        <x:f>Subsurface_Live_Data!A59</x:f>
        <x:v>-31.5</x:v>
      </x:c>
      <x:c r="F60" s="34" t="n">
        <x:f>Subsurface_Live_Data!J59</x:f>
        <x:v>-4434.953989734147</x:v>
      </x:c>
      <x:c r="G60" s="34" t="n">
        <x:f>Subsurface_Live_Data!A59</x:f>
        <x:v>-31.5</x:v>
      </x:c>
      <x:c r="H60" s="34" t="n">
        <x:f>Subsurface_Live_Data!L59</x:f>
        <x:v>-14231.905034481515</x:v>
      </x:c>
    </x:row>
    <x:row r="61">
      <x:c r="A61" s="34" t="n">
        <x:f>Subsurface_Live_Data!A60</x:f>
        <x:v>-31</x:v>
      </x:c>
      <x:c r="B61" s="34" t="n">
        <x:f>Subsurface_Live_Data!B60</x:f>
        <x:v>353.2610093246909</x:v>
      </x:c>
      <x:c r="C61" s="34" t="n">
        <x:f>Subsurface_Live_Data!A60</x:f>
        <x:v>-31</x:v>
      </x:c>
      <x:c r="D61" s="34" t="n">
        <x:f>Subsurface_Live_Data!G60</x:f>
        <x:v>-763.6515290381539</x:v>
      </x:c>
      <x:c r="E61" s="34" t="n">
        <x:f>Subsurface_Live_Data!A60</x:f>
        <x:v>-31</x:v>
      </x:c>
      <x:c r="F61" s="34" t="n">
        <x:f>Subsurface_Live_Data!J60</x:f>
        <x:v>-4411.387644686623</x:v>
      </x:c>
      <x:c r="G61" s="34" t="n">
        <x:f>Subsurface_Live_Data!A60</x:f>
        <x:v>-31</x:v>
      </x:c>
      <x:c r="H61" s="34" t="n">
        <x:f>Subsurface_Live_Data!L60</x:f>
        <x:v>-14238.815093702</x:v>
      </x:c>
    </x:row>
    <x:row r="62">
      <x:c r="A62" s="34" t="n">
        <x:f>Subsurface_Live_Data!A61</x:f>
        <x:v>-30.5</x:v>
      </x:c>
      <x:c r="B62" s="34" t="n">
        <x:f>Subsurface_Live_Data!B61</x:f>
        <x:v>338.6571544092517</x:v>
      </x:c>
      <x:c r="C62" s="34" t="n">
        <x:f>Subsurface_Live_Data!A61</x:f>
        <x:v>-30.5</x:v>
      </x:c>
      <x:c r="D62" s="34" t="n">
        <x:f>Subsurface_Live_Data!G61</x:f>
        <x:v>-772.7113318461704</x:v>
      </x:c>
      <x:c r="E62" s="34" t="n">
        <x:f>Subsurface_Live_Data!A61</x:f>
        <x:v>-30.5</x:v>
      </x:c>
      <x:c r="F62" s="34" t="n">
        <x:f>Subsurface_Live_Data!J61</x:f>
        <x:v>-4400.991732921984</x:v>
      </x:c>
      <x:c r="G62" s="34" t="n">
        <x:f>Subsurface_Live_Data!A61</x:f>
        <x:v>-30.5</x:v>
      </x:c>
      <x:c r="H62" s="34" t="n">
        <x:f>Subsurface_Live_Data!L61</x:f>
        <x:v>-14260.896128557726</x:v>
      </x:c>
    </x:row>
    <x:row r="63">
      <x:c r="A63" s="34" t="n">
        <x:f>Subsurface_Live_Data!A62</x:f>
        <x:v>-30</x:v>
      </x:c>
      <x:c r="B63" s="34" t="n">
        <x:f>Subsurface_Live_Data!B62</x:f>
        <x:v>336.97644838088075</x:v>
      </x:c>
      <x:c r="C63" s="34" t="n">
        <x:f>Subsurface_Live_Data!A62</x:f>
        <x:v>-30</x:v>
      </x:c>
      <x:c r="D63" s="34" t="n">
        <x:f>Subsurface_Live_Data!G62</x:f>
        <x:v>-769.9459875526563</x:v>
      </x:c>
      <x:c r="E63" s="34" t="n">
        <x:f>Subsurface_Live_Data!A62</x:f>
        <x:v>-30</x:v>
      </x:c>
      <x:c r="F63" s="34" t="n">
        <x:f>Subsurface_Live_Data!J62</x:f>
        <x:v>-4378.197066060047</x:v>
      </x:c>
      <x:c r="G63" s="34" t="n">
        <x:f>Subsurface_Live_Data!A62</x:f>
        <x:v>-30</x:v>
      </x:c>
      <x:c r="H63" s="34" t="n">
        <x:f>Subsurface_Live_Data!L62</x:f>
        <x:v>-14268.944316234569</x:v>
      </x:c>
    </x:row>
    <x:row r="64">
      <x:c r="A64" s="34" t="n">
        <x:f>Subsurface_Live_Data!A63</x:f>
        <x:v>-29.5</x:v>
      </x:c>
      <x:c r="B64" s="34" t="n">
        <x:f>Subsurface_Live_Data!B63</x:f>
        <x:v>326.24732503276135</x:v>
      </x:c>
      <x:c r="C64" s="34" t="n">
        <x:f>Subsurface_Live_Data!A63</x:f>
        <x:v>-29.5</x:v>
      </x:c>
      <x:c r="D64" s="34" t="n">
        <x:f>Subsurface_Live_Data!G63</x:f>
        <x:v>-776.3747750691296</x:v>
      </x:c>
      <x:c r="E64" s="34" t="n">
        <x:f>Subsurface_Live_Data!A63</x:f>
        <x:v>-29.5</x:v>
      </x:c>
      <x:c r="F64" s="34" t="n">
        <x:f>Subsurface_Live_Data!J63</x:f>
        <x:v>-4365.0407135365995</x:v>
      </x:c>
      <x:c r="G64" s="34" t="n">
        <x:f>Subsurface_Live_Data!A63</x:f>
        <x:v>-29.5</x:v>
      </x:c>
      <x:c r="H64" s="34" t="n">
        <x:f>Subsurface_Live_Data!L63</x:f>
        <x:v>-14288.026624104357</x:v>
      </x:c>
    </x:row>
    <x:row r="65">
      <x:c r="A65" s="34" t="n">
        <x:f>Subsurface_Live_Data!A64</x:f>
        <x:v>-29</x:v>
      </x:c>
      <x:c r="B65" s="34" t="n">
        <x:f>Subsurface_Live_Data!B64</x:f>
        <x:v>331.8773601232655</x:v>
      </x:c>
      <x:c r="C65" s="34" t="n">
        <x:f>Subsurface_Live_Data!A64</x:f>
        <x:v>-29</x:v>
      </x:c>
      <x:c r="D65" s="34" t="n">
        <x:f>Subsurface_Live_Data!G64</x:f>
        <x:v>-767.5252788907893</x:v>
      </x:c>
      <x:c r="E65" s="34" t="n">
        <x:f>Subsurface_Live_Data!A64</x:f>
        <x:v>-29</x:v>
      </x:c>
      <x:c r="F65" s="34" t="n">
        <x:f>Subsurface_Live_Data!J64</x:f>
        <x:v>-4336.179030396368</x:v>
      </x:c>
      <x:c r="G65" s="34" t="n">
        <x:f>Subsurface_Live_Data!A64</x:f>
        <x:v>-29</x:v>
      </x:c>
      <x:c r="H65" s="34" t="n">
        <x:f>Subsurface_Live_Data!L64</x:f>
        <x:v>-14289.196106522806</x:v>
      </x:c>
    </x:row>
    <x:row r="66">
      <x:c r="A66" s="34" t="n">
        <x:f>Subsurface_Live_Data!A65</x:f>
        <x:v>-28.5</x:v>
      </x:c>
      <x:c r="B66" s="34" t="n">
        <x:f>Subsurface_Live_Data!B65</x:f>
        <x:v>310.24247262167495</x:v>
      </x:c>
      <x:c r="C66" s="34" t="n">
        <x:f>Subsurface_Live_Data!A65</x:f>
        <x:v>-28.5</x:v>
      </x:c>
      <x:c r="D66" s="34" t="n">
        <x:f>Subsurface_Live_Data!G65</x:f>
        <x:v>-785.1901245031984</x:v>
      </x:c>
      <x:c r="E66" s="34" t="n">
        <x:f>Subsurface_Live_Data!A65</x:f>
        <x:v>-28.5</x:v>
      </x:c>
      <x:c r="F66" s="34" t="n">
        <x:f>Subsurface_Live_Data!J65</x:f>
        <x:v>-4335.298007996449</x:v>
      </x:c>
      <x:c r="G66" s="34" t="n">
        <x:f>Subsurface_Live_Data!A65</x:f>
        <x:v>-28.5</x:v>
      </x:c>
      <x:c r="H66" s="34" t="n">
        <x:f>Subsurface_Live_Data!L65</x:f>
        <x:v>-14322.200150894227</x:v>
      </x:c>
    </x:row>
    <x:row r="67">
      <x:c r="A67" s="34" t="n">
        <x:f>Subsurface_Live_Data!A66</x:f>
        <x:v>-28</x:v>
      </x:c>
      <x:c r="B67" s="34" t="n">
        <x:f>Subsurface_Live_Data!B66</x:f>
        <x:v>313.2831784265769</x:v>
      </x:c>
      <x:c r="C67" s="34" t="n">
        <x:f>Subsurface_Live_Data!A66</x:f>
        <x:v>-28</x:v>
      </x:c>
      <x:c r="D67" s="34" t="n">
        <x:f>Subsurface_Live_Data!G66</x:f>
        <x:v>-779.4170285515839</x:v>
      </x:c>
      <x:c r="E67" s="34" t="n">
        <x:f>Subsurface_Live_Data!A66</x:f>
        <x:v>-28</x:v>
      </x:c>
      <x:c r="F67" s="34" t="n">
        <x:f>Subsurface_Live_Data!J66</x:f>
        <x:v>-4310.516581284124</x:v>
      </x:c>
      <x:c r="G67" s="34" t="n">
        <x:f>Subsurface_Live_Data!A66</x:f>
        <x:v>-28</x:v>
      </x:c>
      <x:c r="H67" s="34" t="n">
        <x:f>Subsurface_Live_Data!L66</x:f>
        <x:v>-14327.84068835103</x:v>
      </x:c>
    </x:row>
    <x:row r="68">
      <x:c r="A68" s="34" t="n">
        <x:f>Subsurface_Live_Data!A67</x:f>
        <x:v>-27.5</x:v>
      </x:c>
      <x:c r="B68" s="34" t="n">
        <x:f>Subsurface_Live_Data!B67</x:f>
        <x:v>296.8437612590685</x:v>
      </x:c>
      <x:c r="C68" s="34" t="n">
        <x:f>Subsurface_Live_Data!A67</x:f>
        <x:v>-27.5</x:v>
      </x:c>
      <x:c r="D68" s="34" t="n">
        <x:f>Subsurface_Live_Data!G67</x:f>
        <x:v>-792.5056832383025</x:v>
      </x:c>
      <x:c r="E68" s="34" t="n">
        <x:f>Subsurface_Live_Data!A67</x:f>
        <x:v>-27.5</x:v>
      </x:c>
      <x:c r="F68" s="34" t="n">
        <x:f>Subsurface_Live_Data!J67</x:f>
        <x:v>-4306.047034292209</x:v>
      </x:c>
      <x:c r="G68" s="34" t="n">
        <x:f>Subsurface_Live_Data!A67</x:f>
        <x:v>-27.5</x:v>
      </x:c>
      <x:c r="H68" s="34" t="n">
        <x:f>Subsurface_Live_Data!L67</x:f>
        <x:v>-14356.467483452161</x:v>
      </x:c>
    </x:row>
    <x:row r="69">
      <x:c r="A69" s="34" t="n">
        <x:f>Subsurface_Live_Data!A68</x:f>
        <x:v>-27</x:v>
      </x:c>
      <x:c r="B69" s="34" t="n">
        <x:f>Subsurface_Live_Data!B68</x:f>
        <x:v>289.34226854097847</x:v>
      </x:c>
      <x:c r="C69" s="34" t="n">
        <x:f>Subsurface_Live_Data!A68</x:f>
        <x:v>-27</x:v>
      </x:c>
      <x:c r="D69" s="34" t="n">
        <x:f>Subsurface_Live_Data!G68</x:f>
        <x:v>-797.0870324910995</x:v>
      </x:c>
      <x:c r="E69" s="34" t="n">
        <x:f>Subsurface_Live_Data!A68</x:f>
        <x:v>-27</x:v>
      </x:c>
      <x:c r="F69" s="34" t="n">
        <x:f>Subsurface_Live_Data!J68</x:f>
        <x:v>-4293.524602285801</x:v>
      </x:c>
      <x:c r="G69" s="34" t="n">
        <x:f>Subsurface_Live_Data!A68</x:f>
        <x:v>-27</x:v>
      </x:c>
      <x:c r="H69" s="34" t="n">
        <x:f>Subsurface_Live_Data!L68</x:f>
        <x:v>-14375.694288149698</x:v>
      </x:c>
    </x:row>
    <x:row r="70">
      <x:c r="A70" s="34" t="n">
        <x:f>Subsurface_Live_Data!A69</x:f>
        <x:v>-26.5</x:v>
      </x:c>
      <x:c r="B70" s="34" t="n">
        <x:f>Subsurface_Live_Data!B69</x:f>
        <x:v>290.55977847508683</x:v>
      </x:c>
      <x:c r="C70" s="34" t="n">
        <x:f>Subsurface_Live_Data!A69</x:f>
        <x:v>-26.5</x:v>
      </x:c>
      <x:c r="D70" s="34" t="n">
        <x:f>Subsurface_Live_Data!G69</x:f>
        <x:v>-793.2879810101604</x:v>
      </x:c>
      <x:c r="E70" s="34" t="n">
        <x:f>Subsurface_Live_Data!A69</x:f>
        <x:v>-26.5</x:v>
      </x:c>
      <x:c r="F70" s="34" t="n">
        <x:f>Subsurface_Live_Data!J69</x:f>
        <x:v>-4273.217830359175</x:v>
      </x:c>
      <x:c r="G70" s="34" t="n">
        <x:f>Subsurface_Live_Data!A69</x:f>
        <x:v>-26.5</x:v>
      </x:c>
      <x:c r="H70" s="34" t="n">
        <x:f>Subsurface_Live_Data!L69</x:f>
        <x:v>-14385.77903147696</x:v>
      </x:c>
    </x:row>
    <x:row r="71">
      <x:c r="A71" s="34" t="n">
        <x:f>Subsurface_Live_Data!A70</x:f>
        <x:v>-26</x:v>
      </x:c>
      <x:c r="B71" s="34" t="n">
        <x:f>Subsurface_Live_Data!B70</x:f>
        <x:v>271.74352983421755</x:v>
      </x:c>
      <x:c r="C71" s="34" t="n">
        <x:f>Subsurface_Live_Data!A70</x:f>
        <x:v>-26</x:v>
      </x:c>
      <x:c r="D71" s="34" t="n">
        <x:f>Subsurface_Live_Data!G70</x:f>
        <x:v>-808.6346792256722</x:v>
      </x:c>
      <x:c r="E71" s="34" t="n">
        <x:f>Subsurface_Live_Data!A70</x:f>
        <x:v>-26</x:v>
      </x:c>
      <x:c r="F71" s="34" t="n">
        <x:f>Subsurface_Live_Data!J70</x:f>
        <x:v>-4273.9251026381835</x:v>
      </x:c>
      <x:c r="G71" s="34" t="n">
        <x:f>Subsurface_Live_Data!A70</x:f>
        <x:v>-26</x:v>
      </x:c>
      <x:c r="H71" s="34" t="n">
        <x:f>Subsurface_Live_Data!L70</x:f>
        <x:v>-14419.506210768355</x:v>
      </x:c>
    </x:row>
    <x:row r="72">
      <x:c r="A72" s="34" t="n">
        <x:f>Subsurface_Live_Data!A71</x:f>
        <x:v>-25.5</x:v>
      </x:c>
      <x:c r="B72" s="34" t="n">
        <x:f>Subsurface_Live_Data!B71</x:f>
        <x:v>271.72277085410076</x:v>
      </x:c>
      <x:c r="C72" s="34" t="n">
        <x:f>Subsurface_Live_Data!A71</x:f>
        <x:v>-25.5</x:v>
      </x:c>
      <x:c r="D72" s="34" t="n">
        <x:f>Subsurface_Live_Data!G71</x:f>
        <x:v>-805.7834352463052</x:v>
      </x:c>
      <x:c r="E72" s="34" t="n">
        <x:f>Subsurface_Live_Data!A71</x:f>
        <x:v>-25.5</x:v>
      </x:c>
      <x:c r="F72" s="34" t="n">
        <x:f>Subsurface_Live_Data!J71</x:f>
        <x:v>-4256.858490882498</x:v>
      </x:c>
      <x:c r="G72" s="34" t="n">
        <x:f>Subsurface_Live_Data!A71</x:f>
        <x:v>-25.5</x:v>
      </x:c>
      <x:c r="H72" s="34" t="n">
        <x:f>Subsurface_Live_Data!L71</x:f>
        <x:v>-14432.614788236138</x:v>
      </x:c>
    </x:row>
    <x:row r="73">
      <x:c r="A73" s="34" t="n">
        <x:f>Subsurface_Live_Data!A72</x:f>
        <x:v>-25</x:v>
      </x:c>
      <x:c r="B73" s="34" t="n">
        <x:f>Subsurface_Live_Data!B72</x:f>
        <x:v>260.2713841318971</x:v>
      </x:c>
      <x:c r="C73" s="34" t="n">
        <x:f>Subsurface_Live_Data!A72</x:f>
        <x:v>-25</x:v>
      </x:c>
      <x:c r="D73" s="34" t="n">
        <x:f>Subsurface_Live_Data!G72</x:f>
        <x:v>-813.6945156280321</x:v>
      </x:c>
      <x:c r="E73" s="34" t="n">
        <x:f>Subsurface_Live_Data!A72</x:f>
        <x:v>-25</x:v>
      </x:c>
      <x:c r="F73" s="34" t="n">
        <x:f>Subsurface_Live_Data!J72</x:f>
        <x:v>-4252.28087019105</x:v>
      </x:c>
      <x:c r="G73" s="34" t="n">
        <x:f>Subsurface_Live_Data!A72</x:f>
        <x:v>-25</x:v>
      </x:c>
      <x:c r="H73" s="34" t="n">
        <x:f>Subsurface_Live_Data!L72</x:f>
        <x:v>-14459.564768137981</x:v>
      </x:c>
    </x:row>
    <x:row r="74">
      <x:c r="A74" s="34" t="n">
        <x:f>Subsurface_Live_Data!A73</x:f>
        <x:v>-24.5</x:v>
      </x:c>
      <x:c r="B74" s="34" t="n">
        <x:f>Subsurface_Live_Data!B73</x:f>
        <x:v>276.49363528949897</x:v>
      </x:c>
      <x:c r="C74" s="34" t="n">
        <x:f>Subsurface_Live_Data!A73</x:f>
        <x:v>-24.5</x:v>
      </x:c>
      <x:c r="D74" s="34" t="n">
        <x:f>Subsurface_Live_Data!G73</x:f>
        <x:v>-794.783501638598</x:v>
      </x:c>
      <x:c r="E74" s="34" t="n">
        <x:f>Subsurface_Live_Data!A73</x:f>
        <x:v>-24.5</x:v>
      </x:c>
      <x:c r="F74" s="34" t="n">
        <x:f>Subsurface_Live_Data!J73</x:f>
        <x:v>-4221.119957973243</x:v>
      </x:c>
      <x:c r="G74" s="34" t="n">
        <x:f>Subsurface_Live_Data!A73</x:f>
        <x:v>-24.5</x:v>
      </x:c>
      <x:c r="H74" s="34" t="n">
        <x:f>Subsurface_Live_Data!L73</x:f>
        <x:v>-14455.777418178608</x:v>
      </x:c>
    </x:row>
    <x:row r="75">
      <x:c r="A75" s="34" t="n">
        <x:f>Subsurface_Live_Data!A74</x:f>
        <x:v>-24</x:v>
      </x:c>
      <x:c r="B75" s="34" t="n">
        <x:f>Subsurface_Live_Data!B74</x:f>
        <x:v>268.5791759815676</x:v>
      </x:c>
      <x:c r="C75" s="34" t="n">
        <x:f>Subsurface_Live_Data!A74</x:f>
        <x:v>-24</x:v>
      </x:c>
      <x:c r="D75" s="34" t="n">
        <x:f>Subsurface_Live_Data!G74</x:f>
        <x:v>-798.757881009802</x:v>
      </x:c>
      <x:c r="E75" s="34" t="n">
        <x:f>Subsurface_Live_Data!A74</x:f>
        <x:v>-24</x:v>
      </x:c>
      <x:c r="F75" s="34" t="n">
        <x:f>Subsurface_Live_Data!J74</x:f>
        <x:v>-4215.213148758756</x:v>
      </x:c>
      <x:c r="G75" s="34" t="n">
        <x:f>Subsurface_Live_Data!A74</x:f>
        <x:v>-24</x:v>
      </x:c>
      <x:c r="H75" s="34" t="n">
        <x:f>Subsurface_Live_Data!L74</x:f>
        <x:v>-14480.314546359405</x:v>
      </x:c>
    </x:row>
    <x:row r="76">
      <x:c r="A76" s="34" t="n">
        <x:f>Subsurface_Live_Data!A75</x:f>
        <x:v>-23.5</x:v>
      </x:c>
      <x:c r="B76" s="34" t="n">
        <x:f>Subsurface_Live_Data!B75</x:f>
        <x:v>273.93459884711217</x:v>
      </x:c>
      <x:c r="C76" s="34" t="n">
        <x:f>Subsurface_Live_Data!A75</x:f>
        <x:v>-23.5</x:v>
      </x:c>
      <x:c r="D76" s="34" t="n">
        <x:f>Subsurface_Live_Data!G75</x:f>
        <x:v>-789.6918403213141</x:v>
      </x:c>
      <x:c r="E76" s="34" t="n">
        <x:f>Subsurface_Live_Data!A75</x:f>
        <x:v>-23.5</x:v>
      </x:c>
      <x:c r="F76" s="34" t="n">
        <x:f>Subsurface_Live_Data!J75</x:f>
        <x:v>-4197.175849562021</x:v>
      </x:c>
      <x:c r="G76" s="34" t="n">
        <x:f>Subsurface_Live_Data!A75</x:f>
        <x:v>-23.5</x:v>
      </x:c>
      <x:c r="H76" s="34" t="n">
        <x:f>Subsurface_Live_Data!L75</x:f>
        <x:v>-14490.528514074398</x:v>
      </x:c>
    </x:row>
    <x:row r="77">
      <x:c r="A77" s="34" t="n">
        <x:f>Subsurface_Live_Data!A76</x:f>
        <x:v>-23</x:v>
      </x:c>
      <x:c r="B77" s="34" t="n">
        <x:f>Subsurface_Live_Data!B76</x:f>
        <x:v>279.55588840773</x:v>
      </x:c>
      <x:c r="C77" s="34" t="n">
        <x:f>Subsurface_Live_Data!A76</x:f>
        <x:v>-23</x:v>
      </x:c>
      <x:c r="D77" s="34" t="n">
        <x:f>Subsurface_Live_Data!G76</x:f>
        <x:v>-780.0694646622555</x:v>
      </x:c>
      <x:c r="E77" s="34" t="n">
        <x:f>Subsurface_Live_Data!A76</x:f>
        <x:v>-23</x:v>
      </x:c>
      <x:c r="F77" s="34" t="n">
        <x:f>Subsurface_Live_Data!J76</x:f>
        <x:v>-4180.028973224659</x:v>
      </x:c>
      <x:c r="G77" s="34" t="n">
        <x:f>Subsurface_Live_Data!A76</x:f>
        <x:v>-23</x:v>
      </x:c>
      <x:c r="H77" s="34" t="n">
        <x:f>Subsurface_Live_Data!L76</x:f>
        <x:v>-14501.237633336215</x:v>
      </x:c>
    </x:row>
    <x:row r="78">
      <x:c r="A78" s="34" t="n">
        <x:f>Subsurface_Live_Data!A77</x:f>
        <x:v>-22.5</x:v>
      </x:c>
      <x:c r="B78" s="34" t="n">
        <x:f>Subsurface_Live_Data!B77</x:f>
        <x:v>286.69936407981004</x:v>
      </x:c>
      <x:c r="C78" s="34" t="n">
        <x:f>Subsurface_Live_Data!A77</x:f>
        <x:v>-22.5</x:v>
      </x:c>
      <x:c r="D78" s="34" t="n">
        <x:f>Subsurface_Live_Data!G77</x:f>
        <x:v>-768.7010356365288</x:v>
      </x:c>
      <x:c r="E78" s="34" t="n">
        <x:f>Subsurface_Live_Data!A77</x:f>
        <x:v>-22.5</x:v>
      </x:c>
      <x:c r="F78" s="34" t="n">
        <x:f>Subsurface_Live_Data!J77</x:f>
        <x:v>-4162.527994075395</x:v>
      </x:c>
      <x:c r="G78" s="34" t="n">
        <x:f>Subsurface_Live_Data!A77</x:f>
        <x:v>-22.5</x:v>
      </x:c>
      <x:c r="H78" s="34" t="n">
        <x:f>Subsurface_Live_Data!L77</x:f>
        <x:v>-14511.001288534178</x:v>
      </x:c>
    </x:row>
    <x:row r="79">
      <x:c r="A79" s="34" t="n">
        <x:f>Subsurface_Live_Data!A78</x:f>
        <x:v>-22</x:v>
      </x:c>
      <x:c r="B79" s="34" t="n">
        <x:f>Subsurface_Live_Data!B78</x:f>
        <x:v>316.60820817766927</x:v>
      </x:c>
      <x:c r="C79" s="34" t="n">
        <x:f>Subsurface_Live_Data!A78</x:f>
        <x:v>-22</x:v>
      </x:c>
      <x:c r="D79" s="34" t="n">
        <x:f>Subsurface_Live_Data!G78</x:f>
        <x:v>-735.2256087579628</x:v>
      </x:c>
      <x:c r="E79" s="34" t="n">
        <x:f>Subsurface_Live_Data!A78</x:f>
        <x:v>-22</x:v>
      </x:c>
      <x:c r="F79" s="34" t="n">
        <x:f>Subsurface_Live_Data!J78</x:f>
        <x:v>-4123.436472607357</x:v>
      </x:c>
      <x:c r="G79" s="34" t="n">
        <x:f>Subsurface_Live_Data!A78</x:f>
        <x:v>-22</x:v>
      </x:c>
      <x:c r="H79" s="34" t="n">
        <x:f>Subsurface_Live_Data!L78</x:f>
        <x:v>-14495.591696863494</x:v>
      </x:c>
    </x:row>
    <x:row r="80">
      <x:c r="A80" s="34" t="n">
        <x:f>Subsurface_Live_Data!A79</x:f>
        <x:v>-21.5</x:v>
      </x:c>
      <x:c r="B80" s="34" t="n">
        <x:f>Subsurface_Live_Data!B79</x:f>
        <x:v>332.44947759769417</x:v>
      </x:c>
      <x:c r="C80" s="34" t="n">
        <x:f>Subsurface_Live_Data!A79</x:f>
        <x:v>-21.5</x:v>
      </x:c>
      <x:c r="D80" s="34" t="n">
        <x:f>Subsurface_Live_Data!G79</x:f>
        <x:v>-715.0511647172693</x:v>
      </x:c>
      <x:c r="E80" s="34" t="n">
        <x:f>Subsurface_Live_Data!A79</x:f>
        <x:v>-21.5</x:v>
      </x:c>
      <x:c r="F80" s="34" t="n">
        <x:f>Subsurface_Live_Data!J79</x:f>
        <x:v>-4099.589149139923</x:v>
      </x:c>
      <x:c r="G80" s="34" t="n">
        <x:f>Subsurface_Live_Data!A79</x:f>
        <x:v>-21.5</x:v>
      </x:c>
      <x:c r="H80" s="34" t="n">
        <x:f>Subsurface_Live_Data!L79</x:f>
        <x:v>-14496.985722923226</x:v>
      </x:c>
    </x:row>
    <x:row r="81">
      <x:c r="A81" s="34" t="n">
        <x:f>Subsurface_Live_Data!A80</x:f>
        <x:v>-21</x:v>
      </x:c>
      <x:c r="B81" s="34" t="n">
        <x:f>Subsurface_Live_Data!B80</x:f>
        <x:v>317.91812880175183</x:v>
      </x:c>
      <x:c r="C81" s="34" t="n">
        <x:f>Subsurface_Live_Data!A80</x:f>
        <x:v>-21</x:v>
      </x:c>
      <x:c r="D81" s="34" t="n">
        <x:f>Subsurface_Live_Data!G80</x:f>
        <x:v>-723.8940703908677</x:v>
      </x:c>
      <x:c r="E81" s="34" t="n">
        <x:f>Subsurface_Live_Data!A80</x:f>
        <x:v>-21</x:v>
      </x:c>
      <x:c r="F81" s="34" t="n">
        <x:f>Subsurface_Live_Data!J80</x:f>
        <x:v>-4107.288074615244</x:v>
      </x:c>
      <x:c r="G81" s="34" t="n">
        <x:f>Subsurface_Live_Data!A80</x:f>
        <x:v>-21</x:v>
      </x:c>
      <x:c r="H81" s="34" t="n">
        <x:f>Subsurface_Live_Data!L80</x:f>
        <x:v>-14533.756303708313</x:v>
      </x:c>
    </x:row>
    <x:row r="82">
      <x:c r="A82" s="34" t="n">
        <x:f>Subsurface_Live_Data!A81</x:f>
        <x:v>-20.5</x:v>
      </x:c>
      <x:c r="B82" s="34" t="n">
        <x:f>Subsurface_Live_Data!B81</x:f>
        <x:v>343.37986587370784</x:v>
      </x:c>
      <x:c r="C82" s="34" t="n">
        <x:f>Subsurface_Live_Data!A81</x:f>
        <x:v>-20.5</x:v>
      </x:c>
      <x:c r="D82" s="34" t="n">
        <x:f>Subsurface_Live_Data!G81</x:f>
        <x:v>-694.2809235202546</x:v>
      </x:c>
      <x:c r="E82" s="34" t="n">
        <x:f>Subsurface_Live_Data!A81</x:f>
        <x:v>-20.5</x:v>
      </x:c>
      <x:c r="F82" s="34" t="n">
        <x:f>Subsurface_Live_Data!J81</x:f>
        <x:v>-4076.1599656857925</x:v>
      </x:c>
      <x:c r="G82" s="34" t="n">
        <x:f>Subsurface_Live_Data!A81</x:f>
        <x:v>-20.5</x:v>
      </x:c>
      <x:c r="H82" s="34" t="n">
        <x:f>Subsurface_Live_Data!L81</x:f>
        <x:v>-14525.669620829152</x:v>
      </x:c>
    </x:row>
    <x:row r="83">
      <x:c r="A83" s="34" t="n">
        <x:f>Subsurface_Live_Data!A82</x:f>
        <x:v>-20</x:v>
      </x:c>
      <x:c r="B83" s="34" t="n">
        <x:f>Subsurface_Live_Data!B82</x:f>
        <x:v>338.15830709992554</x:v>
      </x:c>
      <x:c r="C83" s="34" t="n">
        <x:f>Subsurface_Live_Data!A82</x:f>
        <x:v>-20</x:v>
      </x:c>
      <x:c r="D83" s="34" t="n">
        <x:f>Subsurface_Live_Data!G82</x:f>
        <x:v>-694.1515235449509</x:v>
      </x:c>
      <x:c r="E83" s="34" t="n">
        <x:f>Subsurface_Live_Data!A82</x:f>
        <x:v>-20</x:v>
      </x:c>
      <x:c r="F83" s="34" t="n">
        <x:f>Subsurface_Live_Data!J82</x:f>
        <x:v>-4076.869284802771</x:v>
      </x:c>
      <x:c r="G83" s="34" t="n">
        <x:f>Subsurface_Live_Data!A82</x:f>
        <x:v>-20</x:v>
      </x:c>
      <x:c r="H83" s="34" t="n">
        <x:f>Subsurface_Live_Data!L82</x:f>
        <x:v>-14553.277755106366</x:v>
      </x:c>
    </x:row>
    <x:row r="84">
      <x:c r="A84" s="34" t="n">
        <x:f>Subsurface_Live_Data!A83</x:f>
        <x:v>-19.5</x:v>
      </x:c>
      <x:c r="B84" s="34" t="n">
        <x:f>Subsurface_Live_Data!B83</x:f>
        <x:v>363.81454233496186</x:v>
      </x:c>
      <x:c r="C84" s="34" t="n">
        <x:f>Subsurface_Live_Data!A83</x:f>
        <x:v>-19.5</x:v>
      </x:c>
      <x:c r="D84" s="34" t="n">
        <x:f>Subsurface_Live_Data!G83</x:f>
        <x:v>-664.5088438060571</x:v>
      </x:c>
      <x:c r="E84" s="34" t="n">
        <x:f>Subsurface_Live_Data!A83</x:f>
        <x:v>-19.5</x:v>
      </x:c>
      <x:c r="F84" s="34" t="n">
        <x:f>Subsurface_Live_Data!J83</x:f>
        <x:v>-4047.838968520666</x:v>
      </x:c>
      <x:c r="G84" s="34" t="n">
        <x:f>Subsurface_Live_Data!A83</x:f>
        <x:v>-19.5</x:v>
      </x:c>
      <x:c r="H84" s="34" t="n">
        <x:f>Subsurface_Live_Data!L83</x:f>
        <x:v>-14546.380021110232</x:v>
      </x:c>
    </x:row>
    <x:row r="85">
      <x:c r="A85" s="34" t="n">
        <x:f>Subsurface_Live_Data!A84</x:f>
        <x:v>-19</x:v>
      </x:c>
      <x:c r="B85" s="34" t="n">
        <x:f>Subsurface_Live_Data!B84</x:f>
        <x:v>371.18641988344854</x:v>
      </x:c>
      <x:c r="C85" s="34" t="n">
        <x:f>Subsurface_Live_Data!A84</x:f>
        <x:v>-19</x:v>
      </x:c>
      <x:c r="D85" s="34" t="n">
        <x:f>Subsurface_Live_Data!G84</x:f>
        <x:v>-652.6593905434158</x:v>
      </x:c>
      <x:c r="E85" s="34" t="n">
        <x:f>Subsurface_Live_Data!A84</x:f>
        <x:v>-19</x:v>
      </x:c>
      <x:c r="F85" s="34" t="n">
        <x:f>Subsurface_Live_Data!J84</x:f>
        <x:v>-4038.211460178683</x:v>
      </x:c>
      <x:c r="G85" s="34" t="n">
        <x:f>Subsurface_Live_Data!A84</x:f>
        <x:v>-19</x:v>
      </x:c>
      <x:c r="H85" s="34" t="n">
        <x:f>Subsurface_Live_Data!L84</x:f>
        <x:v>-14560.99821542487</x:v>
      </x:c>
    </x:row>
    <x:row r="86">
      <x:c r="A86" s="34" t="n">
        <x:f>Subsurface_Live_Data!A85</x:f>
        <x:v>-18.5</x:v>
      </x:c>
      <x:c r="B86" s="34" t="n">
        <x:f>Subsurface_Live_Data!B85</x:f>
        <x:v>365.6884368087795</x:v>
      </x:c>
      <x:c r="C86" s="34" t="n">
        <x:f>Subsurface_Live_Data!A85</x:f>
        <x:v>-18.5</x:v>
      </x:c>
      <x:c r="D86" s="34" t="n">
        <x:f>Subsurface_Live_Data!G85</x:f>
        <x:v>-653.5231457847974</x:v>
      </x:c>
      <x:c r="E86" s="34" t="n">
        <x:f>Subsurface_Live_Data!A85</x:f>
        <x:v>-18.5</x:v>
      </x:c>
      <x:c r="F86" s="34" t="n">
        <x:f>Subsurface_Live_Data!J85</x:f>
        <x:v>-4042.5491674661844</x:v>
      </x:c>
      <x:c r="G86" s="34" t="n">
        <x:f>Subsurface_Live_Data!A85</x:f>
        <x:v>-18.5</x:v>
      </x:c>
      <x:c r="H86" s="34" t="n">
        <x:f>Subsurface_Live_Data!L85</x:f>
        <x:v>-14590.934782298533</x:v>
      </x:c>
    </x:row>
    <x:row r="87">
      <x:c r="A87" s="34" t="n">
        <x:f>Subsurface_Live_Data!A86</x:f>
        <x:v>-18</x:v>
      </x:c>
      <x:c r="B87" s="34" t="n">
        <x:f>Subsurface_Live_Data!B86</x:f>
        <x:v>392.0220541536099</x:v>
      </x:c>
      <x:c r="C87" s="34" t="n">
        <x:f>Subsurface_Live_Data!A86</x:f>
        <x:v>-18</x:v>
      </x:c>
      <x:c r="D87" s="34" t="n">
        <x:f>Subsurface_Live_Data!G86</x:f>
        <x:v>-624.3093063293691</x:v>
      </x:c>
      <x:c r="E87" s="34" t="n">
        <x:f>Subsurface_Live_Data!A86</x:f>
        <x:v>-18</x:v>
      </x:c>
      <x:c r="F87" s="34" t="n">
        <x:f>Subsurface_Live_Data!J86</x:f>
        <x:v>-4016.12451745035</x:v>
      </x:c>
      <x:c r="G87" s="34" t="n">
        <x:f>Subsurface_Live_Data!A86</x:f>
        <x:v>-18</x:v>
      </x:c>
      <x:c r="H87" s="34" t="n">
        <x:f>Subsurface_Live_Data!L86</x:f>
        <x:v>-14585.203100092946</x:v>
      </x:c>
    </x:row>
    <x:row r="88">
      <x:c r="A88" s="34" t="n">
        <x:f>Subsurface_Live_Data!A87</x:f>
        <x:v>-17.5</x:v>
      </x:c>
      <x:c r="B88" s="34" t="n">
        <x:f>Subsurface_Live_Data!B87</x:f>
        <x:v>397.07097057156574</x:v>
      </x:c>
      <x:c r="C88" s="34" t="n">
        <x:f>Subsurface_Live_Data!A87</x:f>
        <x:v>-17.5</x:v>
      </x:c>
      <x:c r="D88" s="34" t="n">
        <x:f>Subsurface_Live_Data!G87</x:f>
        <x:v>-616.134311505539</x:v>
      </x:c>
      <x:c r="E88" s="34" t="n">
        <x:f>Subsurface_Live_Data!A87</x:f>
        <x:v>-17.5</x:v>
      </x:c>
      <x:c r="F88" s="34" t="n">
        <x:f>Subsurface_Live_Data!J87</x:f>
        <x:v>-4012.02506940018</x:v>
      </x:c>
      <x:c r="G88" s="34" t="n">
        <x:f>Subsurface_Live_Data!A87</x:f>
        <x:v>-17.5</x:v>
      </x:c>
      <x:c r="H88" s="34" t="n">
        <x:f>Subsurface_Live_Data!L87</x:f>
        <x:v>-14604.326920234787</x:v>
      </x:c>
    </x:row>
    <x:row r="89">
      <x:c r="A89" s="34" t="n">
        <x:f>Subsurface_Live_Data!A88</x:f>
        <x:v>-17</x:v>
      </x:c>
      <x:c r="B89" s="34" t="n">
        <x:f>Subsurface_Live_Data!B88</x:f>
        <x:v>381.37310246850825</x:v>
      </x:c>
      <x:c r="C89" s="34" t="n">
        <x:f>Subsurface_Live_Data!A88</x:f>
        <x:v>-17</x:v>
      </x:c>
      <x:c r="D89" s="34" t="n">
        <x:f>Subsurface_Live_Data!G88</x:f>
        <x:v>-628.6061295395907</x:v>
      </x:c>
      <x:c r="E89" s="34" t="n">
        <x:f>Subsurface_Live_Data!A88</x:f>
        <x:v>-17</x:v>
      </x:c>
      <x:c r="F89" s="34" t="n">
        <x:f>Subsurface_Live_Data!J88</x:f>
        <x:v>-4029.6819310394994</x:v>
      </x:c>
      <x:c r="G89" s="34" t="n">
        <x:f>Subsurface_Live_Data!A88</x:f>
        <x:v>-17</x:v>
      </x:c>
      <x:c r="H89" s="34" t="n">
        <x:f>Subsurface_Live_Data!L88</x:f>
        <x:v>-14647.662365716487</x:v>
      </x:c>
    </x:row>
    <x:row r="90">
      <x:c r="A90" s="34" t="n">
        <x:f>Subsurface_Live_Data!A89</x:f>
        <x:v>-16.5</x:v>
      </x:c>
      <x:c r="B90" s="34" t="n">
        <x:f>Subsurface_Live_Data!B89</x:f>
        <x:v>387.1431058674635</x:v>
      </x:c>
      <x:c r="C90" s="34" t="n">
        <x:f>Subsurface_Live_Data!A89</x:f>
        <x:v>-16.5</x:v>
      </x:c>
      <x:c r="D90" s="34" t="n">
        <x:f>Subsurface_Live_Data!G89</x:f>
        <x:v>-621.319971010267</x:v>
      </x:c>
      <x:c r="E90" s="34" t="n">
        <x:f>Subsurface_Live_Data!A89</x:f>
        <x:v>-16.5</x:v>
      </x:c>
      <x:c r="F90" s="34" t="n">
        <x:f>Subsurface_Live_Data!J89</x:f>
        <x:v>-4026.847636769431</x:v>
      </x:c>
      <x:c r="G90" s="34" t="n">
        <x:f>Subsurface_Live_Data!A89</x:f>
        <x:v>-16.5</x:v>
      </x:c>
      <x:c r="H90" s="34" t="n">
        <x:f>Subsurface_Live_Data!L89</x:f>
        <x:v>-14667.052316868685</x:v>
      </x:c>
    </x:row>
    <x:row r="91">
      <x:c r="A91" s="34" t="n">
        <x:f>Subsurface_Live_Data!A90</x:f>
        <x:v>-16</x:v>
      </x:c>
      <x:c r="B91" s="34" t="n">
        <x:f>Subsurface_Live_Data!B90</x:f>
        <x:v>413.2956148642764</x:v>
      </x:c>
      <x:c r="C91" s="34" t="n">
        <x:f>Subsurface_Live_Data!A90</x:f>
        <x:v>-16</x:v>
      </x:c>
      <x:c r="D91" s="34" t="n">
        <x:f>Subsurface_Live_Data!G90</x:f>
        <x:v>-595.4333131218998</x:v>
      </x:c>
      <x:c r="E91" s="34" t="n">
        <x:f>Subsurface_Live_Data!A90</x:f>
        <x:v>-16</x:v>
      </x:c>
      <x:c r="F91" s="34" t="n">
        <x:f>Subsurface_Live_Data!J90</x:f>
        <x:v>-4004.57330689368</x:v>
      </x:c>
      <x:c r="G91" s="34" t="n">
        <x:f>Subsurface_Live_Data!A90</x:f>
        <x:v>-16</x:v>
      </x:c>
      <x:c r="H91" s="34" t="n">
        <x:f>Subsurface_Live_Data!L90</x:f>
        <x:v>-14663.699984909834</x:v>
      </x:c>
    </x:row>
    <x:row r="92">
      <x:c r="A92" s="34" t="n">
        <x:f>Subsurface_Live_Data!A91</x:f>
        <x:v>-15.5</x:v>
      </x:c>
      <x:c r="B92" s="34" t="n">
        <x:f>Subsurface_Live_Data!B91</x:f>
        <x:v>405.1793484681727</x:v>
      </x:c>
      <x:c r="C92" s="34" t="n">
        <x:f>Subsurface_Live_Data!A91</x:f>
        <x:v>-15.5</x:v>
      </x:c>
      <x:c r="D92" s="34" t="n">
        <x:f>Subsurface_Live_Data!G91</x:f>
        <x:v>-603.5185410306619</x:v>
      </x:c>
      <x:c r="E92" s="34" t="n">
        <x:f>Subsurface_Live_Data!A91</x:f>
        <x:v>-15.5</x:v>
      </x:c>
      <x:c r="F92" s="34" t="n">
        <x:f>Subsurface_Live_Data!J91</x:f>
        <x:v>-4017.4749302138794</x:v>
      </x:c>
      <x:c r="G92" s="34" t="n">
        <x:f>Subsurface_Live_Data!A91</x:f>
        <x:v>-15.5</x:v>
      </x:c>
      <x:c r="H92" s="34" t="n">
        <x:f>Subsurface_Live_Data!L91</x:f>
        <x:v>-14699.87210006933</x:v>
      </x:c>
    </x:row>
    <x:row r="93">
      <x:c r="A93" s="34" t="n">
        <x:f>Subsurface_Live_Data!A92</x:f>
        <x:v>-15</x:v>
      </x:c>
      <x:c r="B93" s="34" t="n">
        <x:f>Subsurface_Live_Data!B92</x:f>
        <x:v>416.63024006091615</x:v>
      </x:c>
      <x:c r="C93" s="34" t="n">
        <x:f>Subsurface_Live_Data!A92</x:f>
        <x:v>-15</x:v>
      </x:c>
      <x:c r="D93" s="34" t="n">
        <x:f>Subsurface_Live_Data!G92</x:f>
        <x:v>-593.9894294880303</x:v>
      </x:c>
      <x:c r="E93" s="34" t="n">
        <x:f>Subsurface_Live_Data!A92</x:f>
        <x:v>-15</x:v>
      </x:c>
      <x:c r="F93" s="34" t="n">
        <x:f>Subsurface_Live_Data!J92</x:f>
        <x:v>-4011.6806102895202</x:v>
      </x:c>
      <x:c r="G93" s="34" t="n">
        <x:f>Subsurface_Live_Data!A92</x:f>
        <x:v>-15</x:v>
      </x:c>
      <x:c r="H93" s="34" t="n">
        <x:f>Subsurface_Live_Data!L92</x:f>
        <x:v>-14714.158418287903</x:v>
      </x:c>
    </x:row>
    <x:row r="94">
      <x:c r="A94" s="34" t="n">
        <x:f>Subsurface_Live_Data!A93</x:f>
        <x:v>-14.5</x:v>
      </x:c>
      <x:c r="B94" s="34" t="n">
        <x:f>Subsurface_Live_Data!B93</x:f>
        <x:v>425.31373753688456</x:v>
      </x:c>
      <x:c r="C94" s="34" t="n">
        <x:f>Subsurface_Live_Data!A93</x:f>
        <x:v>-14.5</x:v>
      </x:c>
      <x:c r="D94" s="34" t="n">
        <x:f>Subsurface_Live_Data!G93</x:f>
        <x:v>-588.3701723908234</x:v>
      </x:c>
      <x:c r="E94" s="34" t="n">
        <x:f>Subsurface_Live_Data!A93</x:f>
        <x:v>-14.5</x:v>
      </x:c>
      <x:c r="F94" s="34" t="n">
        <x:f>Subsurface_Live_Data!J93</x:f>
        <x:v>-4009.488622289074</x:v>
      </x:c>
      <x:c r="G94" s="34" t="n">
        <x:f>Subsurface_Live_Data!A93</x:f>
        <x:v>-14.5</x:v>
      </x:c>
      <x:c r="H94" s="34" t="n">
        <x:f>Subsurface_Live_Data!L93</x:f>
        <x:v>-14731.98157752291</x:v>
      </x:c>
    </x:row>
    <x:row r="95">
      <x:c r="A95" s="34" t="n">
        <x:f>Subsurface_Live_Data!A94</x:f>
        <x:v>-14</x:v>
      </x:c>
      <x:c r="B95" s="34" t="n">
        <x:f>Subsurface_Live_Data!B94</x:f>
        <x:v>420.9575928892744</x:v>
      </x:c>
      <x:c r="C95" s="34" t="n">
        <x:f>Subsurface_Live_Data!A94</x:f>
        <x:v>-14</x:v>
      </x:c>
      <x:c r="D95" s="34" t="n">
        <x:f>Subsurface_Live_Data!G94</x:f>
        <x:v>-596.5897414106012</x:v>
      </x:c>
      <x:c r="E95" s="34" t="n">
        <x:f>Subsurface_Live_Data!A94</x:f>
        <x:v>-14</x:v>
      </x:c>
      <x:c r="F95" s="34" t="n">
        <x:f>Subsurface_Live_Data!J94</x:f>
        <x:v>-4021.134957196905</x:v>
      </x:c>
      <x:c r="G95" s="34" t="n">
        <x:f>Subsurface_Live_Data!A94</x:f>
        <x:v>-14</x:v>
      </x:c>
      <x:c r="H95" s="34" t="n">
        <x:f>Subsurface_Live_Data!L94</x:f>
        <x:v>-14765.011800074113</x:v>
      </x:c>
    </x:row>
    <x:row r="96">
      <x:c r="A96" s="34" t="n">
        <x:f>Subsurface_Live_Data!A95</x:f>
        <x:v>-13.5</x:v>
      </x:c>
      <x:c r="B96" s="34" t="n">
        <x:f>Subsurface_Live_Data!B95</x:f>
        <x:v>418.7700178970381</x:v>
      </x:c>
      <x:c r="C96" s="34" t="n">
        <x:f>Subsurface_Live_Data!A95</x:f>
        <x:v>-13.5</x:v>
      </x:c>
      <x:c r="D96" s="34" t="n">
        <x:f>Subsurface_Live_Data!G95</x:f>
        <x:v>-604.0985358628031</x:v>
      </x:c>
      <x:c r="E96" s="34" t="n">
        <x:f>Subsurface_Live_Data!A95</x:f>
        <x:v>-13.5</x:v>
      </x:c>
      <x:c r="F96" s="34" t="n">
        <x:f>Subsurface_Live_Data!J95</x:f>
        <x:v>-4031.3754728571757</x:v>
      </x:c>
      <x:c r="G96" s="34" t="n">
        <x:f>Subsurface_Live_Data!A95</x:f>
        <x:v>-13.5</x:v>
      </x:c>
      <x:c r="H96" s="34" t="n">
        <x:f>Subsurface_Live_Data!L95</x:f>
        <x:v>-14795.870281341286</x:v>
      </x:c>
    </x:row>
    <x:row r="97">
      <x:c r="A97" s="34" t="n">
        <x:f>Subsurface_Live_Data!A96</x:f>
        <x:v>-13</x:v>
      </x:c>
      <x:c r="B97" s="34" t="n">
        <x:f>Subsurface_Live_Data!B96</x:f>
        <x:v>432.8844458249992</x:v>
      </x:c>
      <x:c r="C97" s="34" t="n">
        <x:f>Subsurface_Live_Data!A96</x:f>
        <x:v>-13</x:v>
      </x:c>
      <x:c r="D97" s="34" t="n">
        <x:f>Subsurface_Live_Data!G96</x:f>
        <x:v>-597.3597729756134</x:v>
      </x:c>
      <x:c r="E97" s="34" t="n">
        <x:f>Subsurface_Live_Data!A96</x:f>
        <x:v>-13</x:v>
      </x:c>
      <x:c r="F97" s="34" t="n">
        <x:f>Subsurface_Live_Data!J96</x:f>
        <x:v>-4026.0414087329705</x:v>
      </x:c>
      <x:c r="G97" s="34" t="n">
        <x:f>Subsurface_Live_Data!A96</x:f>
        <x:v>-13</x:v>
      </x:c>
      <x:c r="H97" s="34" t="n">
        <x:f>Subsurface_Live_Data!L96</x:f>
        <x:v>-14808.40225130115</x:v>
      </x:c>
    </x:row>
    <x:row r="98">
      <x:c r="A98" s="34" t="n">
        <x:f>Subsurface_Live_Data!A97</x:f>
        <x:v>-12.5</x:v>
      </x:c>
      <x:c r="B98" s="34" t="n">
        <x:f>Subsurface_Live_Data!B97</x:f>
        <x:v>448.8683161255995</x:v>
      </x:c>
      <x:c r="C98" s="34" t="n">
        <x:f>Subsurface_Live_Data!A97</x:f>
        <x:v>-12.5</x:v>
      </x:c>
      <x:c r="D98" s="34" t="n">
        <x:f>Subsurface_Live_Data!G97</x:f>
        <x:v>-590.2397326966823</x:v>
      </x:c>
      <x:c r="E98" s="34" t="n">
        <x:f>Subsurface_Live_Data!A97</x:f>
        <x:v>-12.5</x:v>
      </x:c>
      <x:c r="F98" s="34" t="n">
        <x:f>Subsurface_Live_Data!J97</x:f>
        <x:v>-4019.5308448699598</x:v>
      </x:c>
      <x:c r="G98" s="34" t="n">
        <x:f>Subsurface_Live_Data!A97</x:f>
        <x:v>-12.5</x:v>
      </x:c>
      <x:c r="H98" s="34" t="n">
        <x:f>Subsurface_Live_Data!L97</x:f>
        <x:v>-14819.017053115218</x:v>
      </x:c>
    </x:row>
    <x:row r="99">
      <x:c r="A99" s="34" t="n">
        <x:f>Subsurface_Live_Data!A98</x:f>
        <x:v>-12</x:v>
      </x:c>
      <x:c r="B99" s="34" t="n">
        <x:f>Subsurface_Live_Data!B98</x:f>
        <x:v>437.9918993099811</x:v>
      </x:c>
      <x:c r="C99" s="34" t="n">
        <x:f>Subsurface_Live_Data!A98</x:f>
        <x:v>-12</x:v>
      </x:c>
      <x:c r="D99" s="34" t="n">
        <x:f>Subsurface_Live_Data!G98</x:f>
        <x:v>-610.3087093112426</x:v>
      </x:c>
      <x:c r="E99" s="34" t="n">
        <x:f>Subsurface_Live_Data!A98</x:f>
        <x:v>-12</x:v>
      </x:c>
      <x:c r="F99" s="34" t="n">
        <x:f>Subsurface_Live_Data!J98</x:f>
        <x:v>-4040.5400860772734</x:v>
      </x:c>
      <x:c r="G99" s="34" t="n">
        <x:f>Subsurface_Live_Data!A98</x:f>
        <x:v>-12</x:v>
      </x:c>
      <x:c r="H99" s="34" t="n">
        <x:f>Subsurface_Live_Data!L98</x:f>
        <x:v>-14860.42177906708</x:v>
      </x:c>
    </x:row>
    <x:row r="100">
      <x:c r="A100" s="34" t="n">
        <x:f>Subsurface_Live_Data!A99</x:f>
        <x:v>-11.5</x:v>
      </x:c>
      <x:c r="B100" s="34" t="n">
        <x:f>Subsurface_Live_Data!B99</x:f>
        <x:v>458.910891472728</x:v>
      </x:c>
      <x:c r="C100" s="34" t="n">
        <x:f>Subsurface_Live_Data!A99</x:f>
        <x:v>-11.5</x:v>
      </x:c>
      <x:c r="D100" s="34" t="n">
        <x:f>Subsurface_Live_Data!G99</x:f>
        <x:v>-601.2251120699198</x:v>
      </x:c>
      <x:c r="E100" s="34" t="n">
        <x:f>Subsurface_Live_Data!A99</x:f>
        <x:v>-11.5</x:v>
      </x:c>
      <x:c r="F100" s="34" t="n">
        <x:f>Subsurface_Live_Data!J99</x:f>
        <x:v>-4030.381240723405</x:v>
      </x:c>
      <x:c r="G100" s="34" t="n">
        <x:f>Subsurface_Live_Data!A99</x:f>
        <x:v>-11.5</x:v>
      </x:c>
      <x:c r="H100" s="34" t="n">
        <x:f>Subsurface_Live_Data!L99</x:f>
        <x:v>-14865.703211978484</x:v>
      </x:c>
    </x:row>
    <x:row r="101">
      <x:c r="A101" s="34" t="n">
        <x:f>Subsurface_Live_Data!A100</x:f>
        <x:v>-11</x:v>
      </x:c>
      <x:c r="B101" s="34" t="n">
        <x:f>Subsurface_Live_Data!B100</x:f>
        <x:v>462.5412492822977</x:v>
      </x:c>
      <x:c r="C101" s="34" t="n">
        <x:f>Subsurface_Live_Data!A100</x:f>
        <x:v>-11</x:v>
      </x:c>
      <x:c r="D101" s="34" t="n">
        <x:f>Subsurface_Live_Data!G100</x:f>
        <x:v>-610.0553986553755</x:v>
      </x:c>
      <x:c r="E101" s="34" t="n">
        <x:f>Subsurface_Live_Data!A100</x:f>
        <x:v>-11</x:v>
      </x:c>
      <x:c r="F101" s="34" t="n">
        <x:f>Subsurface_Live_Data!J100</x:f>
        <x:v>-4038.1075229026465</x:v>
      </x:c>
      <x:c r="G101" s="34" t="n">
        <x:f>Subsurface_Live_Data!A100</x:f>
        <x:v>-11</x:v>
      </x:c>
      <x:c r="H101" s="34" t="n">
        <x:f>Subsurface_Live_Data!L100</x:f>
        <x:v>-14890.770615132538</x:v>
      </x:c>
    </x:row>
    <x:row r="102">
      <x:c r="A102" s="34" t="n">
        <x:f>Subsurface_Live_Data!A101</x:f>
        <x:v>-10.5</x:v>
      </x:c>
      <x:c r="B102" s="34" t="n">
        <x:f>Subsurface_Live_Data!B101</x:f>
        <x:v>470.10163194835394</x:v>
      </x:c>
      <x:c r="C102" s="34" t="n">
        <x:f>Subsurface_Live_Data!A101</x:f>
        <x:v>-10.5</x:v>
      </x:c>
      <x:c r="D102" s="34" t="n">
        <x:f>Subsurface_Live_Data!G101</x:f>
        <x:v>-616.3534984316334</x:v>
      </x:c>
      <x:c r="E102" s="34" t="n">
        <x:f>Subsurface_Live_Data!A101</x:f>
        <x:v>-10.5</x:v>
      </x:c>
      <x:c r="F102" s="34" t="n">
        <x:f>Subsurface_Live_Data!J101</x:f>
        <x:v>-4042.4709116829986</x:v>
      </x:c>
      <x:c r="G102" s="34" t="n">
        <x:f>Subsurface_Live_Data!A101</x:f>
        <x:v>-10.5</x:v>
      </x:c>
      <x:c r="H102" s="34" t="n">
        <x:f>Subsurface_Live_Data!L101</x:f>
        <x:v>-14911.387452628293</x:v>
      </x:c>
    </x:row>
    <x:row r="103">
      <x:c r="A103" s="34" t="n">
        <x:f>Subsurface_Live_Data!A102</x:f>
        <x:v>-10</x:v>
      </x:c>
      <x:c r="B103" s="34" t="n">
        <x:f>Subsurface_Live_Data!B102</x:f>
        <x:v>471.5144848829251</x:v>
      </x:c>
      <x:c r="C103" s="34" t="n">
        <x:f>Subsurface_Live_Data!A102</x:f>
        <x:v>-10</x:v>
      </x:c>
      <x:c r="D103" s="34" t="n">
        <x:f>Subsurface_Live_Data!G102</x:f>
        <x:v>-629.6963337388137</x:v>
      </x:c>
      <x:c r="E103" s="34" t="n">
        <x:f>Subsurface_Live_Data!A102</x:f>
        <x:v>-10</x:v>
      </x:c>
      <x:c r="F103" s="34" t="n">
        <x:f>Subsurface_Live_Data!J102</x:f>
        <x:v>-4053.5211335518507</x:v>
      </x:c>
      <x:c r="G103" s="34" t="n">
        <x:f>Subsurface_Live_Data!A102</x:f>
        <x:v>-10</x:v>
      </x:c>
      <x:c r="H103" s="34" t="n">
        <x:f>Subsurface_Live_Data!L102</x:f>
        <x:v>-14938.994260330222</x:v>
      </x:c>
    </x:row>
    <x:row r="104">
      <x:c r="A104" s="34" t="n">
        <x:f>Subsurface_Live_Data!A103</x:f>
        <x:v>-9.5</x:v>
      </x:c>
      <x:c r="B104" s="34" t="n">
        <x:f>Subsurface_Live_Data!B103</x:f>
        <x:v>470.5815738170562</x:v>
      </x:c>
      <x:c r="C104" s="34" t="n">
        <x:f>Subsurface_Live_Data!A103</x:f>
        <x:v>-9.5</x:v>
      </x:c>
      <x:c r="D104" s="34" t="n">
        <x:f>Subsurface_Live_Data!G103</x:f>
        <x:v>-646.3162571534139</x:v>
      </x:c>
      <x:c r="E104" s="34" t="n">
        <x:f>Subsurface_Live_Data!A103</x:f>
        <x:v>-9.5</x:v>
      </x:c>
      <x:c r="F104" s="34" t="n">
        <x:f>Subsurface_Live_Data!J103</x:f>
        <x:v>-4067.43016068726</x:v>
      </x:c>
      <x:c r="G104" s="34" t="n">
        <x:f>Subsurface_Live_Data!A103</x:f>
        <x:v>-9.5</x:v>
      </x:c>
      <x:c r="H104" s="34" t="n">
        <x:f>Subsurface_Live_Data!L103</x:f>
        <x:v>-14969.208645159513</x:v>
      </x:c>
    </x:row>
    <x:row r="105">
      <x:c r="A105" s="34" t="n">
        <x:f>Subsurface_Live_Data!A104</x:f>
        <x:v>-9</x:v>
      </x:c>
      <x:c r="B105" s="34" t="n">
        <x:f>Subsurface_Live_Data!B104</x:f>
        <x:v>480.618285675218</x:v>
      </x:c>
      <x:c r="C105" s="34" t="n">
        <x:f>Subsurface_Live_Data!A104</x:f>
        <x:v>-9</x:v>
      </x:c>
      <x:c r="D105" s="34" t="n">
        <x:f>Subsurface_Live_Data!G104</x:f>
        <x:v>-653.2934482144626</x:v>
      </x:c>
      <x:c r="E105" s="34" t="n">
        <x:f>Subsurface_Live_Data!A104</x:f>
        <x:v>-9</x:v>
      </x:c>
      <x:c r="F105" s="34" t="n">
        <x:f>Subsurface_Live_Data!J104</x:f>
        <x:v>-4070.857910634501</x:v>
      </x:c>
      <x:c r="G105" s="34" t="n">
        <x:f>Subsurface_Live_Data!A104</x:f>
        <x:v>-9</x:v>
      </x:c>
      <x:c r="H105" s="34" t="n">
        <x:f>Subsurface_Live_Data!L104</x:f>
        <x:v>-14986.802291872824</x:v>
      </x:c>
    </x:row>
    <x:row r="106">
      <x:c r="A106" s="34" t="n">
        <x:f>Subsurface_Live_Data!A105</x:f>
        <x:v>-8.5</x:v>
      </x:c>
      <x:c r="B106" s="34" t="n">
        <x:f>Subsurface_Live_Data!B105</x:f>
        <x:v>460.6206107904381</x:v>
      </x:c>
      <x:c r="C106" s="34" t="n">
        <x:f>Subsurface_Live_Data!A105</x:f>
        <x:v>-8.5</x:v>
      </x:c>
      <x:c r="D106" s="34" t="n">
        <x:f>Subsurface_Live_Data!G105</x:f>
        <x:v>-689.8372917978197</x:v>
      </x:c>
      <x:c r="E106" s="34" t="n">
        <x:f>Subsurface_Live_Data!A105</x:f>
        <x:v>-8.5</x:v>
      </x:c>
      <x:c r="F106" s="34" t="n">
        <x:f>Subsurface_Live_Data!J105</x:f>
        <x:v>-4104.785235108246</x:v>
      </x:c>
      <x:c r="G106" s="34" t="n">
        <x:f>Subsurface_Live_Data!A105</x:f>
        <x:v>-8.5</x:v>
      </x:c>
      <x:c r="H106" s="34" t="n">
        <x:f>Subsurface_Live_Data!L105</x:f>
        <x:v>-15038.470714429943</x:v>
      </x:c>
    </x:row>
    <x:row r="107">
      <x:c r="A107" s="34" t="n">
        <x:f>Subsurface_Live_Data!A106</x:f>
        <x:v>-8</x:v>
      </x:c>
      <x:c r="B107" s="34" t="n">
        <x:f>Subsurface_Live_Data!B106</x:f>
        <x:v>475.6659223963138</x:v>
      </x:c>
      <x:c r="C107" s="34" t="n">
        <x:f>Subsurface_Live_Data!A106</x:f>
        <x:v>-8</x:v>
      </x:c>
      <x:c r="D107" s="34" t="n">
        <x:f>Subsurface_Live_Data!G106</x:f>
        <x:v>-693.3036403951405</x:v>
      </x:c>
      <x:c r="E107" s="34" t="n">
        <x:f>Subsurface_Live_Data!A106</x:f>
        <x:v>-8</x:v>
      </x:c>
      <x:c r="F107" s="34" t="n">
        <x:f>Subsurface_Live_Data!J106</x:f>
        <x:v>-4104.113084632998</x:v>
      </x:c>
      <x:c r="G107" s="34" t="n">
        <x:f>Subsurface_Live_Data!A106</x:f>
        <x:v>-8</x:v>
      </x:c>
      <x:c r="H107" s="34" t="n">
        <x:f>Subsurface_Live_Data!L106</x:f>
        <x:v>-15049.976479505625</x:v>
      </x:c>
    </x:row>
    <x:row r="108">
      <x:c r="A108" s="34" t="n">
        <x:f>Subsurface_Live_Data!A107</x:f>
        <x:v>-7.5</x:v>
      </x:c>
      <x:c r="B108" s="34" t="n">
        <x:f>Subsurface_Live_Data!B107</x:f>
        <x:v>470.2640951439132</x:v>
      </x:c>
      <x:c r="C108" s="34" t="n">
        <x:f>Subsurface_Live_Data!A107</x:f>
        <x:v>-7.5</x:v>
      </x:c>
      <x:c r="D108" s="34" t="n">
        <x:f>Subsurface_Live_Data!G107</x:f>
        <x:v>-716.7800476133466</x:v>
      </x:c>
      <x:c r="E108" s="34" t="n">
        <x:f>Subsurface_Live_Data!A107</x:f>
        <x:v>-7.5</x:v>
      </x:c>
      <x:c r="F108" s="34" t="n">
        <x:f>Subsurface_Live_Data!J107</x:f>
        <x:v>-4124.311310189217</x:v>
      </x:c>
      <x:c r="G108" s="34" t="n">
        <x:f>Subsurface_Live_Data!A107</x:f>
        <x:v>-7.5</x:v>
      </x:c>
      <x:c r="H108" s="34" t="n">
        <x:f>Subsurface_Live_Data!L107</x:f>
        <x:v>-15084.529044272456</x:v>
      </x:c>
    </x:row>
    <x:row r="109">
      <x:c r="A109" s="34" t="n">
        <x:f>Subsurface_Live_Data!A108</x:f>
        <x:v>-7</x:v>
      </x:c>
      <x:c r="B109" s="34" t="n">
        <x:f>Subsurface_Live_Data!B108</x:f>
        <x:v>442.95708145426426</x:v>
      </x:c>
      <x:c r="C109" s="34" t="n">
        <x:f>Subsurface_Live_Data!A108</x:f>
        <x:v>-7</x:v>
      </x:c>
      <x:c r="D109" s="34" t="n">
        <x:f>Subsurface_Live_Data!G108</x:f>
        <x:v>-761.4727406492057</x:v>
      </x:c>
      <x:c r="E109" s="34" t="n">
        <x:f>Subsurface_Live_Data!A108</x:f>
        <x:v>-7</x:v>
      </x:c>
      <x:c r="F109" s="34" t="n">
        <x:f>Subsurface_Live_Data!J108</x:f>
        <x:v>-4166.818986157001</x:v>
      </x:c>
      <x:c r="G109" s="34" t="n">
        <x:f>Subsurface_Live_Data!A108</x:f>
        <x:v>-7</x:v>
      </x:c>
      <x:c r="H109" s="34" t="n">
        <x:f>Subsurface_Live_Data!L108</x:f>
        <x:v>-15143.741352728106</x:v>
      </x:c>
    </x:row>
    <x:row r="110">
      <x:c r="A110" s="34" t="n">
        <x:f>Subsurface_Live_Data!A109</x:f>
        <x:v>-6.5</x:v>
      </x:c>
      <x:c r="B110" s="34" t="n">
        <x:f>Subsurface_Live_Data!B109</x:f>
        <x:v>455.8100478474453</x:v>
      </x:c>
      <x:c r="C110" s="34" t="n">
        <x:f>Subsurface_Live_Data!A109</x:f>
        <x:v>-6.5</x:v>
      </x:c>
      <x:c r="D110" s="34" t="n">
        <x:f>Subsurface_Live_Data!G109</x:f>
        <x:v>-767.5979106000436</x:v>
      </x:c>
      <x:c r="E110" s="34" t="n">
        <x:f>Subsurface_Live_Data!A109</x:f>
        <x:v>-6.5</x:v>
      </x:c>
      <x:c r="F110" s="34" t="n">
        <x:f>Subsurface_Live_Data!J109</x:f>
        <x:v>-4169.553155627718</x:v>
      </x:c>
      <x:c r="G110" s="34" t="n">
        <x:f>Subsurface_Live_Data!A109</x:f>
        <x:v>-6.5</x:v>
      </x:c>
      <x:c r="H110" s="34" t="n">
        <x:f>Subsurface_Live_Data!L109</x:f>
        <x:v>-15156.810053842251</x:v>
      </x:c>
    </x:row>
    <x:row r="111">
      <x:c r="A111" s="34" t="n">
        <x:f>Subsurface_Live_Data!A110</x:f>
        <x:v>-6</x:v>
      </x:c>
      <x:c r="B111" s="34" t="n">
        <x:f>Subsurface_Live_Data!B110</x:f>
        <x:v>447.7534427220802</x:v>
      </x:c>
      <x:c r="C111" s="34" t="n">
        <x:f>Subsurface_Live_Data!A110</x:f>
        <x:v>-6</x:v>
      </x:c>
      <x:c r="D111" s="34" t="n">
        <x:f>Subsurface_Live_Data!G110</x:f>
        <x:v>-793.5762767918512</x:v>
      </x:c>
      <x:c r="E111" s="34" t="n">
        <x:f>Subsurface_Live_Data!A110</x:f>
        <x:v>-6</x:v>
      </x:c>
      <x:c r="F111" s="34" t="n">
        <x:f>Subsurface_Live_Data!J110</x:f>
        <x:v>-4193.566629854712</x:v>
      </x:c>
      <x:c r="G111" s="34" t="n">
        <x:f>Subsurface_Live_Data!A110</x:f>
        <x:v>-6</x:v>
      </x:c>
      <x:c r="H111" s="34" t="n">
        <x:f>Subsurface_Live_Data!L110</x:f>
        <x:v>-15193.30565775855</x:v>
      </x:c>
    </x:row>
    <x:row r="112">
      <x:c r="A112" s="34" t="n">
        <x:f>Subsurface_Live_Data!A111</x:f>
        <x:v>-5.5</x:v>
      </x:c>
      <x:c r="B112" s="34" t="n">
        <x:f>Subsurface_Live_Data!B111</x:f>
        <x:v>437.23203216912464</x:v>
      </x:c>
      <x:c r="C112" s="34" t="n">
        <x:f>Subsurface_Live_Data!A111</x:f>
        <x:v>-5.5</x:v>
      </x:c>
      <x:c r="D112" s="34" t="n">
        <x:f>Subsurface_Live_Data!G111</x:f>
        <x:v>-821.4930795336671</x:v>
      </x:c>
      <x:c r="E112" s="34" t="n">
        <x:f>Subsurface_Live_Data!A111</x:f>
        <x:v>-5.5</x:v>
      </x:c>
      <x:c r="F112" s="34" t="n">
        <x:f>Subsurface_Live_Data!J111</x:f>
        <x:v>-4220.398808467127</x:v>
      </x:c>
      <x:c r="G112" s="34" t="n">
        <x:f>Subsurface_Live_Data!A111</x:f>
        <x:v>-5.5</x:v>
      </x:c>
      <x:c r="H112" s="34" t="n">
        <x:f>Subsurface_Live_Data!L111</x:f>
        <x:v>-15232.152748061406</x:v>
      </x:c>
    </x:row>
    <x:row r="113">
      <x:c r="A113" s="34" t="n">
        <x:f>Subsurface_Live_Data!A112</x:f>
        <x:v>-5</x:v>
      </x:c>
      <x:c r="B113" s="34" t="n">
        <x:f>Subsurface_Live_Data!B112</x:f>
        <x:v>426.4950993655156</x:v>
      </x:c>
      <x:c r="C113" s="34" t="n">
        <x:f>Subsurface_Live_Data!A112</x:f>
        <x:v>-5</x:v>
      </x:c>
      <x:c r="D113" s="34" t="n">
        <x:f>Subsurface_Live_Data!G112</x:f>
        <x:v>-848.9826207523593</x:v>
      </x:c>
      <x:c r="E113" s="34" t="n">
        <x:f>Subsurface_Live_Data!A112</x:f>
        <x:v>-5</x:v>
      </x:c>
      <x:c r="F113" s="34" t="n">
        <x:f>Subsurface_Live_Data!J112</x:f>
        <x:v>-4247.785328007703</x:v>
      </x:c>
      <x:c r="G113" s="34" t="n">
        <x:f>Subsurface_Live_Data!A112</x:f>
        <x:v>-5</x:v>
      </x:c>
      <x:c r="H113" s="34" t="n">
        <x:f>Subsurface_Live_Data!L112</x:f>
        <x:v>-15270.739266901901</x:v>
      </x:c>
    </x:row>
    <x:row r="114">
      <x:c r="A114" s="34" t="n">
        <x:f>Subsurface_Live_Data!A113</x:f>
        <x:v>-4.5</x:v>
      </x:c>
      <x:c r="B114" s="34" t="n">
        <x:f>Subsurface_Live_Data!B113</x:f>
        <x:v>423.30568039510905</x:v>
      </x:c>
      <x:c r="C114" s="34" t="n">
        <x:f>Subsurface_Live_Data!A113</x:f>
        <x:v>-4.5</x:v>
      </x:c>
      <x:c r="D114" s="34" t="n">
        <x:f>Subsurface_Live_Data!G113</x:f>
        <x:v>-868.3905403604758</x:v>
      </x:c>
      <x:c r="E114" s="34" t="n">
        <x:f>Subsurface_Live_Data!A113</x:f>
        <x:v>-4.5</x:v>
      </x:c>
      <x:c r="F114" s="34" t="n">
        <x:f>Subsurface_Live_Data!J113</x:f>
        <x:v>-4267.948668894801</x:v>
      </x:c>
      <x:c r="G114" s="34" t="n">
        <x:f>Subsurface_Live_Data!A113</x:f>
        <x:v>-4.5</x:v>
      </x:c>
      <x:c r="H114" s="34" t="n">
        <x:f>Subsurface_Live_Data!L113</x:f>
        <x:v>-15300.168097654558</x:v>
      </x:c>
    </x:row>
    <x:row r="115">
      <x:c r="A115" s="34" t="n">
        <x:f>Subsurface_Live_Data!A114</x:f>
        <x:v>-4</x:v>
      </x:c>
      <x:c r="B115" s="34" t="n">
        <x:f>Subsurface_Live_Data!B114</x:f>
        <x:v>426.0147467563934</x:v>
      </x:c>
      <x:c r="C115" s="34" t="n">
        <x:f>Subsurface_Live_Data!A114</x:f>
        <x:v>-4</x:v>
      </x:c>
      <x:c r="D115" s="34" t="n">
        <x:f>Subsurface_Live_Data!G114</x:f>
        <x:v>-881.1056998893653</x:v>
      </x:c>
      <x:c r="E115" s="34" t="n">
        <x:f>Subsurface_Live_Data!A114</x:f>
        <x:v>-4</x:v>
      </x:c>
      <x:c r="F115" s="34" t="n">
        <x:f>Subsurface_Live_Data!J114</x:f>
        <x:v>-4282.523813289252</x:v>
      </x:c>
      <x:c r="G115" s="34" t="n">
        <x:f>Subsurface_Live_Data!A114</x:f>
        <x:v>-4</x:v>
      </x:c>
      <x:c r="H115" s="34" t="n">
        <x:f>Subsurface_Live_Data!L114</x:f>
        <x:v>-15322.272607129082</x:v>
      </x:c>
    </x:row>
    <x:row r="116">
      <x:c r="A116" s="34" t="n">
        <x:f>Subsurface_Live_Data!A115</x:f>
        <x:v>-3.5</x:v>
      </x:c>
      <x:c r="B116" s="34" t="n">
        <x:f>Subsurface_Live_Data!B115</x:f>
        <x:v>404.9650488225026</x:v>
      </x:c>
      <x:c r="C116" s="34" t="n">
        <x:f>Subsurface_Live_Data!A115</x:f>
        <x:v>-3.5</x:v>
      </x:c>
      <x:c r="D116" s="34" t="n">
        <x:f>Subsurface_Live_Data!G115</x:f>
        <x:v>-915.4154936645976</x:v>
      </x:c>
      <x:c r="E116" s="34" t="n">
        <x:f>Subsurface_Live_Data!A115</x:f>
        <x:v>-3.5</x:v>
      </x:c>
      <x:c r="F116" s="34" t="n">
        <x:f>Subsurface_Live_Data!J115</x:f>
        <x:v>-4321.154242092889</x:v>
      </x:c>
      <x:c r="G116" s="34" t="n">
        <x:f>Subsurface_Live_Data!A115</x:f>
        <x:v>-3.5</x:v>
      </x:c>
      <x:c r="H116" s="34" t="n">
        <x:f>Subsurface_Live_Data!L115</x:f>
        <x:v>-15370.816372797293</x:v>
      </x:c>
    </x:row>
    <x:row r="117">
      <x:c r="A117" s="34" t="n">
        <x:f>Subsurface_Live_Data!A116</x:f>
        <x:v>-3</x:v>
      </x:c>
      <x:c r="B117" s="34" t="n">
        <x:f>Subsurface_Live_Data!B116</x:f>
        <x:v>420.14741895617453</x:v>
      </x:c>
      <x:c r="C117" s="34" t="n">
        <x:f>Subsurface_Live_Data!A116</x:f>
        <x:v>-3</x:v>
      </x:c>
      <x:c r="D117" s="34" t="n">
        <x:f>Subsurface_Live_Data!G116</x:f>
        <x:v>-913.5586483174509</x:v>
      </x:c>
      <x:c r="E117" s="34" t="n">
        <x:f>Subsurface_Live_Data!A116</x:f>
        <x:v>-3</x:v>
      </x:c>
      <x:c r="F117" s="34" t="n">
        <x:f>Subsurface_Live_Data!J116</x:f>
        <x:v>-4323.835474590371</x:v>
      </x:c>
      <x:c r="G117" s="34" t="n">
        <x:f>Subsurface_Live_Data!A116</x:f>
        <x:v>-3</x:v>
      </x:c>
      <x:c r="H117" s="34" t="n">
        <x:f>Subsurface_Live_Data!L116</x:f>
        <x:v>-15377.365104240842</x:v>
      </x:c>
    </x:row>
    <x:row r="118">
      <x:c r="A118" s="34" t="n">
        <x:f>Subsurface_Live_Data!A117</x:f>
        <x:v>-2.5</x:v>
      </x:c>
      <x:c r="B118" s="34" t="n">
        <x:f>Subsurface_Live_Data!B117</x:f>
        <x:v>420.97624209793275</x:v>
      </x:c>
      <x:c r="C118" s="34" t="n">
        <x:f>Subsurface_Live_Data!A117</x:f>
        <x:v>-2.5</x:v>
      </x:c>
      <x:c r="D118" s="34" t="n">
        <x:f>Subsurface_Live_Data!G117</x:f>
        <x:v>-923.9434212093859</x:v>
      </x:c>
      <x:c r="E118" s="34" t="n">
        <x:f>Subsurface_Live_Data!A117</x:f>
        <x:v>-2.5</x:v>
      </x:c>
      <x:c r="F118" s="34" t="n">
        <x:f>Subsurface_Live_Data!J117</x:f>
        <x:v>-4341.13944483114</x:v>
      </x:c>
      <x:c r="G118" s="34" t="n">
        <x:f>Subsurface_Live_Data!A117</x:f>
        <x:v>-2.5</x:v>
      </x:c>
      <x:c r="H118" s="34" t="n">
        <x:f>Subsurface_Live_Data!L117</x:f>
        <x:v>-15399.542711637674</x:v>
      </x:c>
    </x:row>
    <x:row r="119">
      <x:c r="A119" s="34" t="n">
        <x:f>Subsurface_Live_Data!A118</x:f>
        <x:v>-2</x:v>
      </x:c>
      <x:c r="B119" s="34" t="n">
        <x:f>Subsurface_Live_Data!B118</x:f>
        <x:v>435.98300826713626</x:v>
      </x:c>
      <x:c r="C119" s="34" t="n">
        <x:f>Subsurface_Live_Data!A118</x:f>
        <x:v>-2</x:v>
      </x:c>
      <x:c r="D119" s="34" t="n">
        <x:f>Subsurface_Live_Data!G118</x:f>
        <x:v>-919.0441934361602</x:v>
      </x:c>
      <x:c r="E119" s="34" t="n">
        <x:f>Subsurface_Live_Data!A118</x:f>
        <x:v>-2</x:v>
      </x:c>
      <x:c r="F119" s="34" t="n">
        <x:f>Subsurface_Live_Data!J118</x:f>
        <x:v>-4344.520801916954</x:v>
      </x:c>
      <x:c r="G119" s="34" t="n">
        <x:f>Subsurface_Live_Data!A118</x:f>
        <x:v>-2</x:v>
      </x:c>
      <x:c r="H119" s="34" t="n">
        <x:f>Subsurface_Live_Data!L118</x:f>
        <x:v>-15404.780758562109</x:v>
      </x:c>
    </x:row>
    <x:row r="120">
      <x:c r="A120" s="34" t="n">
        <x:f>Subsurface_Live_Data!A119</x:f>
        <x:v>-1.5</x:v>
      </x:c>
      <x:c r="B120" s="34" t="n">
        <x:f>Subsurface_Live_Data!B119</x:f>
        <x:v>431.10580672292525</x:v>
      </x:c>
      <x:c r="C120" s="34" t="n">
        <x:f>Subsurface_Live_Data!A119</x:f>
        <x:v>-1.5</x:v>
      </x:c>
      <x:c r="D120" s="34" t="n">
        <x:f>Subsurface_Live_Data!G119</x:f>
        <x:v>-931.4456698788506</x:v>
      </x:c>
      <x:c r="E120" s="34" t="n">
        <x:f>Subsurface_Live_Data!A119</x:f>
        <x:v>-1.5</x:v>
      </x:c>
      <x:c r="F120" s="34" t="n">
        <x:f>Subsurface_Live_Data!J119</x:f>
        <x:v>-4368.027275741328</x:v>
      </x:c>
      <x:c r="G120" s="34" t="n">
        <x:f>Subsurface_Live_Data!A119</x:f>
        <x:v>-1.5</x:v>
      </x:c>
      <x:c r="H120" s="34" t="n">
        <x:f>Subsurface_Live_Data!L119</x:f>
        <x:v>-15431.868538728431</x:v>
      </x:c>
    </x:row>
    <x:row r="121">
      <x:c r="A121" s="34" t="n">
        <x:f>Subsurface_Live_Data!A120</x:f>
        <x:v>-1</x:v>
      </x:c>
      <x:c r="B121" s="34" t="n">
        <x:f>Subsurface_Live_Data!B120</x:f>
        <x:v>440.9944102420088</x:v>
      </x:c>
      <x:c r="C121" s="34" t="n">
        <x:f>Subsurface_Live_Data!A120</x:f>
        <x:v>-1</x:v>
      </x:c>
      <x:c r="D121" s="34" t="n">
        <x:f>Subsurface_Live_Data!G120</x:f>
        <x:v>-927.7917866743803</x:v>
      </x:c>
      <x:c r="E121" s="34" t="n">
        <x:f>Subsurface_Live_Data!A120</x:f>
        <x:v>-1</x:v>
      </x:c>
      <x:c r="F121" s="34" t="n">
        <x:f>Subsurface_Live_Data!J120</x:f>
        <x:v>-4376.99446071364</x:v>
      </x:c>
      <x:c r="G121" s="34" t="n">
        <x:f>Subsurface_Live_Data!A120</x:f>
        <x:v>-1</x:v>
      </x:c>
      <x:c r="H121" s="34" t="n">
        <x:f>Subsurface_Live_Data!L120</x:f>
        <x:v>-15441.265377185224</x:v>
      </x:c>
    </x:row>
    <x:row r="122">
      <x:c r="A122" s="34" t="n">
        <x:f>Subsurface_Live_Data!A121</x:f>
        <x:v>-0.5</x:v>
      </x:c>
      <x:c r="B122" s="34" t="n">
        <x:f>Subsurface_Live_Data!B121</x:f>
        <x:v>474.23278667183286</x:v>
      </x:c>
      <x:c r="C122" s="34" t="n">
        <x:f>Subsurface_Live_Data!A121</x:f>
        <x:v>-0.5</x:v>
      </x:c>
      <x:c r="D122" s="34" t="n">
        <x:f>Subsurface_Live_Data!G121</x:f>
        <x:v>-899.77353106999</x:v>
      </x:c>
      <x:c r="E122" s="34" t="n">
        <x:f>Subsurface_Live_Data!A121</x:f>
        <x:v>-0.5</x:v>
      </x:c>
      <x:c r="F122" s="34" t="n">
        <x:f>Subsurface_Live_Data!J121</x:f>
        <x:v>-4362.823181011854</x:v>
      </x:c>
      <x:c r="G122" s="34" t="n">
        <x:f>Subsurface_Live_Data!A121</x:f>
        <x:v>-0.5</x:v>
      </x:c>
      <x:c r="H122" s="34" t="n">
        <x:f>Subsurface_Live_Data!L121</x:f>
        <x:v>-15423.14706135458</x:v>
      </x:c>
    </x:row>
    <x:row r="123">
      <x:c r="A123" s="34" t="n">
        <x:f>Subsurface_Live_Data!A122</x:f>
        <x:v>0</x:v>
      </x:c>
      <x:c r="B123" s="34" t="n">
        <x:f>Subsurface_Live_Data!B122</x:f>
        <x:v>480.44802858922253</x:v>
      </x:c>
      <x:c r="C123" s="34" t="n">
        <x:f>Subsurface_Live_Data!A122</x:f>
        <x:v>0</x:v>
      </x:c>
      <x:c r="D123" s="34" t="n">
        <x:f>Subsurface_Live_Data!G122</x:f>
        <x:v>-895.7054174200841</x:v>
      </x:c>
      <x:c r="E123" s="34" t="n">
        <x:f>Subsurface_Live_Data!A122</x:f>
        <x:v>0</x:v>
      </x:c>
      <x:c r="F123" s="34" t="n">
        <x:f>Subsurface_Live_Data!J122</x:f>
        <x:v>-4375.870446974211</x:v>
      </x:c>
      <x:c r="G123" s="34" t="n">
        <x:f>Subsurface_Live_Data!A122</x:f>
        <x:v>0</x:v>
      </x:c>
      <x:c r="H123" s="34" t="n">
        <x:f>Subsurface_Live_Data!L122</x:f>
        <x:v>-15434.901752132684</x:v>
      </x:c>
    </x:row>
    <x:row r="124">
      <x:c r="A124" s="34" t="n">
        <x:f>Subsurface_Live_Data!A123</x:f>
        <x:v>0.5</x:v>
      </x:c>
      <x:c r="B124" s="34" t="n">
        <x:f>Subsurface_Live_Data!B123</x:f>
        <x:v>482.7451811280071</x:v>
      </x:c>
      <x:c r="C124" s="34" t="n">
        <x:f>Subsurface_Live_Data!A123</x:f>
        <x:v>0.5</x:v>
      </x:c>
      <x:c r="D124" s="34" t="n">
        <x:f>Subsurface_Live_Data!G123</x:f>
        <x:v>-893.388700196042</x:v>
      </x:c>
      <x:c r="E124" s="34" t="n">
        <x:f>Subsurface_Live_Data!A123</x:f>
        <x:v>0.5</x:v>
      </x:c>
      <x:c r="F124" s="34" t="n">
        <x:f>Subsurface_Live_Data!J123</x:f>
        <x:v>-4393.014522777029</x:v>
      </x:c>
      <x:c r="G124" s="34" t="n">
        <x:f>Subsurface_Live_Data!A123</x:f>
        <x:v>0.5</x:v>
      </x:c>
      <x:c r="H124" s="34" t="n">
        <x:f>Subsurface_Live_Data!L123</x:f>
        <x:v>-15450.154367550183</x:v>
      </x:c>
    </x:row>
    <x:row r="125">
      <x:c r="A125" s="34" t="n">
        <x:f>Subsurface_Live_Data!A124</x:f>
        <x:v>1</x:v>
      </x:c>
      <x:c r="B125" s="34" t="n">
        <x:f>Subsurface_Live_Data!B124</x:f>
        <x:v>497.58165314697214</x:v>
      </x:c>
      <x:c r="C125" s="34" t="n">
        <x:f>Subsurface_Live_Data!A124</x:f>
        <x:v>1</x:v>
      </x:c>
      <x:c r="D125" s="34" t="n">
        <x:f>Subsurface_Live_Data!G124</x:f>
        <x:v>-877.0321750855127</x:v>
      </x:c>
      <x:c r="E125" s="34" t="n">
        <x:f>Subsurface_Live_Data!A124</x:f>
        <x:v>1</x:v>
      </x:c>
      <x:c r="F125" s="34" t="n">
        <x:f>Subsurface_Live_Data!J124</x:f>
        <x:v>-4397.780420247319</x:v>
      </x:c>
      <x:c r="G125" s="34" t="n">
        <x:f>Subsurface_Live_Data!A124</x:f>
        <x:v>1</x:v>
      </x:c>
      <x:c r="H125" s="34" t="n">
        <x:f>Subsurface_Live_Data!L124</x:f>
        <x:v>-15450.109837676768</x:v>
      </x:c>
    </x:row>
    <x:row r="126">
      <x:c r="A126" s="34" t="n">
        <x:f>Subsurface_Live_Data!A125</x:f>
        <x:v>1.5</x:v>
      </x:c>
      <x:c r="B126" s="34" t="n">
        <x:f>Subsurface_Live_Data!B125</x:f>
        <x:v>516.864115303311</x:v>
      </x:c>
      <x:c r="C126" s="34" t="n">
        <x:f>Subsurface_Live_Data!A125</x:f>
        <x:v>1.5</x:v>
      </x:c>
      <x:c r="D126" s="34" t="n">
        <x:f>Subsurface_Live_Data!G125</x:f>
        <x:v>-854.4389769119183</x:v>
      </x:c>
      <x:c r="E126" s="34" t="n">
        <x:f>Subsurface_Live_Data!A125</x:f>
        <x:v>1.5</x:v>
      </x:c>
      <x:c r="F126" s="34" t="n">
        <x:f>Subsurface_Live_Data!J125</x:f>
        <x:v>-4398.242915119187</x:v>
      </x:c>
      <x:c r="G126" s="34" t="n">
        <x:f>Subsurface_Live_Data!A125</x:f>
        <x:v>1.5</x:v>
      </x:c>
      <x:c r="H126" s="34" t="n">
        <x:f>Subsurface_Live_Data!L125</x:f>
        <x:v>-15443.962720494816</x:v>
      </x:c>
    </x:row>
    <x:row r="127">
      <x:c r="A127" s="34" t="n">
        <x:f>Subsurface_Live_Data!A126</x:f>
        <x:v>2</x:v>
      </x:c>
      <x:c r="B127" s="34" t="n">
        <x:f>Subsurface_Live_Data!B126</x:f>
        <x:v>534.5064840723982</x:v>
      </x:c>
      <x:c r="C127" s="34" t="n">
        <x:f>Subsurface_Live_Data!A126</x:f>
        <x:v>2</x:v>
      </x:c>
      <x:c r="D127" s="34" t="n">
        <x:f>Subsurface_Live_Data!G126</x:f>
        <x:v>-831.5103228291279</x:v>
      </x:c>
      <x:c r="E127" s="34" t="n">
        <x:f>Subsurface_Live_Data!A126</x:f>
        <x:v>2</x:v>
      </x:c>
      <x:c r="F127" s="34" t="n">
        <x:f>Subsurface_Live_Data!J126</x:f>
        <x:v>-4400.468486470758</x:v>
      </x:c>
      <x:c r="G127" s="34" t="n">
        <x:f>Subsurface_Live_Data!A126</x:f>
        <x:v>2</x:v>
      </x:c>
      <x:c r="H127" s="34" t="n">
        <x:f>Subsurface_Live_Data!L126</x:f>
        <x:v>-15438.621175634598</x:v>
      </x:c>
    </x:row>
    <x:row r="128">
      <x:c r="A128" s="34" t="n">
        <x:f>Subsurface_Live_Data!A127</x:f>
        <x:v>2.5</x:v>
      </x:c>
      <x:c r="B128" s="34" t="n">
        <x:f>Subsurface_Live_Data!B127</x:f>
        <x:v>549.7308148691991</x:v>
      </x:c>
      <x:c r="C128" s="34" t="n">
        <x:f>Subsurface_Live_Data!A127</x:f>
        <x:v>2.5</x:v>
      </x:c>
      <x:c r="D128" s="34" t="n">
        <x:f>Subsurface_Live_Data!G127</x:f>
        <x:v>-809.0756614103657</x:v>
      </x:c>
      <x:c r="E128" s="34" t="n">
        <x:f>Subsurface_Live_Data!A127</x:f>
        <x:v>2.5</x:v>
      </x:c>
      <x:c r="F128" s="34" t="n">
        <x:f>Subsurface_Live_Data!J127</x:f>
        <x:v>-4405.214355919837</x:v>
      </x:c>
      <x:c r="G128" s="34" t="n">
        <x:f>Subsurface_Live_Data!A127</x:f>
        <x:v>2.5</x:v>
      </x:c>
      <x:c r="H128" s="34" t="n">
        <x:f>Subsurface_Live_Data!L127</x:f>
        <x:v>-15434.944017383516</x:v>
      </x:c>
    </x:row>
    <x:row r="129">
      <x:c r="A129" s="34" t="n">
        <x:f>Subsurface_Live_Data!A128</x:f>
        <x:v>3</x:v>
      </x:c>
      <x:c r="B129" s="34" t="n">
        <x:f>Subsurface_Live_Data!B128</x:f>
        <x:v>536.8431041026216</x:v>
      </x:c>
      <x:c r="C129" s="34" t="n">
        <x:f>Subsurface_Live_Data!A128</x:f>
        <x:v>3</x:v>
      </x:c>
      <x:c r="D129" s="34" t="n">
        <x:f>Subsurface_Live_Data!G128</x:f>
        <x:v>-811.9065257544243</x:v>
      </x:c>
      <x:c r="E129" s="34" t="n">
        <x:f>Subsurface_Live_Data!A128</x:f>
        <x:v>3</x:v>
      </x:c>
      <x:c r="F129" s="34" t="n">
        <x:f>Subsurface_Live_Data!J128</x:f>
        <x:v>-4438.152626491081</x:v>
      </x:c>
      <x:c r="G129" s="34" t="n">
        <x:f>Subsurface_Live_Data!A128</x:f>
        <x:v>3</x:v>
      </x:c>
      <x:c r="H129" s="34" t="n">
        <x:f>Subsurface_Live_Data!L128</x:f>
        <x:v>-15462.196366982105</x:v>
      </x:c>
    </x:row>
    <x:row r="130">
      <x:c r="A130" s="34" t="n">
        <x:f>Subsurface_Live_Data!A129</x:f>
        <x:v>3.5</x:v>
      </x:c>
      <x:c r="B130" s="34" t="n">
        <x:f>Subsurface_Live_Data!B129</x:f>
        <x:v>562.919019674553</x:v>
      </x:c>
      <x:c r="C130" s="34" t="n">
        <x:f>Subsurface_Live_Data!A129</x:f>
        <x:v>3.5</x:v>
      </x:c>
      <x:c r="D130" s="34" t="n">
        <x:f>Subsurface_Live_Data!G129</x:f>
        <x:v>-775.7364966204573</x:v>
      </x:c>
      <x:c r="E130" s="34" t="n">
        <x:f>Subsurface_Live_Data!A129</x:f>
        <x:v>3.5</x:v>
      </x:c>
      <x:c r="F130" s="34" t="n">
        <x:f>Subsurface_Live_Data!J129</x:f>
        <x:v>-4432.184501452513</x:v>
      </x:c>
      <x:c r="G130" s="34" t="n">
        <x:f>Subsurface_Live_Data!A129</x:f>
        <x:v>3.5</x:v>
      </x:c>
      <x:c r="H130" s="34" t="n">
        <x:f>Subsurface_Live_Data!L129</x:f>
        <x:v>-15443.887981795277</x:v>
      </x:c>
    </x:row>
    <x:row r="131">
      <x:c r="A131" s="34" t="n">
        <x:f>Subsurface_Live_Data!A130</x:f>
        <x:v>4</x:v>
      </x:c>
      <x:c r="B131" s="34" t="n">
        <x:f>Subsurface_Live_Data!B130</x:f>
        <x:v>561.6697690573507</x:v>
      </x:c>
      <x:c r="C131" s="34" t="n">
        <x:f>Subsurface_Live_Data!A130</x:f>
        <x:v>4</x:v>
      </x:c>
      <x:c r="D131" s="34" t="n">
        <x:f>Subsurface_Live_Data!G130</x:f>
        <x:v>-764.3479058910715</x:v>
      </x:c>
      <x:c r="E131" s="34" t="n">
        <x:f>Subsurface_Live_Data!A130</x:f>
        <x:v>4</x:v>
      </x:c>
      <x:c r="F131" s="34" t="n">
        <x:f>Subsurface_Live_Data!J130</x:f>
        <x:v>-4453.574373916307</x:v>
      </x:c>
      <x:c r="G131" s="34" t="n">
        <x:f>Subsurface_Live_Data!A130</x:f>
        <x:v>4</x:v>
      </x:c>
      <x:c r="H131" s="34" t="n">
        <x:f>Subsurface_Live_Data!L130</x:f>
        <x:v>-15455.566222789954</x:v>
      </x:c>
    </x:row>
    <x:row r="132">
      <x:c r="A132" s="34" t="n">
        <x:f>Subsurface_Live_Data!A131</x:f>
        <x:v>4.5</x:v>
      </x:c>
      <x:c r="B132" s="34" t="n">
        <x:f>Subsurface_Live_Data!B131</x:f>
        <x:v>568.6436382247327</x:v>
      </x:c>
      <x:c r="C132" s="34" t="n">
        <x:f>Subsurface_Live_Data!A131</x:f>
        <x:v>4.5</x:v>
      </x:c>
      <x:c r="D132" s="34" t="n">
        <x:f>Subsurface_Live_Data!G131</x:f>
        <x:v>-743.7760052418239</x:v>
      </x:c>
      <x:c r="E132" s="34" t="n">
        <x:f>Subsurface_Live_Data!A131</x:f>
        <x:v>4.5</x:v>
      </x:c>
      <x:c r="F132" s="34" t="n">
        <x:f>Subsurface_Live_Data!J131</x:f>
        <x:v>-4466.748254027484</x:v>
      </x:c>
      <x:c r="G132" s="34" t="n">
        <x:f>Subsurface_Live_Data!A131</x:f>
        <x:v>4.5</x:v>
      </x:c>
      <x:c r="H132" s="34" t="n">
        <x:f>Subsurface_Live_Data!L131</x:f>
        <x:v>-15456.686352241524</x:v>
      </x:c>
    </x:row>
    <x:row r="133">
      <x:c r="A133" s="34" t="n">
        <x:f>Subsurface_Live_Data!A132</x:f>
        <x:v>5</x:v>
      </x:c>
      <x:c r="B133" s="34" t="n">
        <x:f>Subsurface_Live_Data!B132</x:f>
        <x:v>548.8146920903409</x:v>
      </x:c>
      <x:c r="C133" s="34" t="n">
        <x:f>Subsurface_Live_Data!A132</x:f>
        <x:v>5</x:v>
      </x:c>
      <x:c r="D133" s="34" t="n">
        <x:f>Subsurface_Live_Data!G132</x:f>
        <x:v>-747.8212108880646</x:v>
      </x:c>
      <x:c r="E133" s="34" t="n">
        <x:f>Subsurface_Live_Data!A132</x:f>
        <x:v>5</x:v>
      </x:c>
      <x:c r="F133" s="34" t="n">
        <x:f>Subsurface_Live_Data!J132</x:f>
        <x:v>-4506.705043400298</x:v>
      </x:c>
      <x:c r="G133" s="34" t="n">
        <x:f>Subsurface_Live_Data!A132</x:f>
        <x:v>5</x:v>
      </x:c>
      <x:c r="H133" s="34" t="n">
        <x:f>Subsurface_Live_Data!L132</x:f>
        <x:v>-15487.160462191765</x:v>
      </x:c>
    </x:row>
    <x:row r="134">
      <x:c r="A134" s="34" t="n">
        <x:f>Subsurface_Live_Data!A133</x:f>
        <x:v>5.5</x:v>
      </x:c>
      <x:c r="B134" s="34" t="n">
        <x:f>Subsurface_Live_Data!B133</x:f>
        <x:v>539.5212853164131</x:v>
      </x:c>
      <x:c r="C134" s="34" t="n">
        <x:f>Subsurface_Live_Data!A133</x:f>
        <x:v>5.5</x:v>
      </x:c>
      <x:c r="D134" s="34" t="n">
        <x:f>Subsurface_Live_Data!G133</x:f>
        <x:v>-740.825327707645</x:v>
      </x:c>
      <x:c r="E134" s="34" t="n">
        <x:f>Subsurface_Live_Data!A133</x:f>
        <x:v>5.5</x:v>
      </x:c>
      <x:c r="F134" s="34" t="n">
        <x:f>Subsurface_Live_Data!J133</x:f>
        <x:v>-4536.078008508066</x:v>
      </x:c>
      <x:c r="G134" s="34" t="n">
        <x:f>Subsurface_Live_Data!A133</x:f>
        <x:v>5.5</x:v>
      </x:c>
      <x:c r="H134" s="34" t="n">
        <x:f>Subsurface_Live_Data!L133</x:f>
        <x:v>-15504.4076138364</x:v>
      </x:c>
    </x:row>
    <x:row r="135">
      <x:c r="A135" s="34" t="n">
        <x:f>Subsurface_Live_Data!A134</x:f>
        <x:v>6</x:v>
      </x:c>
      <x:c r="B135" s="34" t="n">
        <x:f>Subsurface_Live_Data!B134</x:f>
        <x:v>533.6920620973987</x:v>
      </x:c>
      <x:c r="C135" s="34" t="n">
        <x:f>Subsurface_Live_Data!A134</x:f>
        <x:v>6</x:v>
      </x:c>
      <x:c r="D135" s="34" t="n">
        <x:f>Subsurface_Live_Data!G134</x:f>
        <x:v>-729.7716309447134</x:v>
      </x:c>
      <x:c r="E135" s="34" t="n">
        <x:f>Subsurface_Live_Data!A134</x:f>
        <x:v>6</x:v>
      </x:c>
      <x:c r="F135" s="34" t="n">
        <x:f>Subsurface_Live_Data!J134</x:f>
        <x:v>-4561.908775273458</x:v>
      </x:c>
      <x:c r="G135" s="34" t="n">
        <x:f>Subsurface_Live_Data!A134</x:f>
        <x:v>6</x:v>
      </x:c>
      <x:c r="H135" s="34" t="n">
        <x:f>Subsurface_Live_Data!L134</x:f>
        <x:v>-15516.476234127493</x:v>
      </x:c>
    </x:row>
    <x:row r="136">
      <x:c r="A136" s="34" t="n">
        <x:f>Subsurface_Live_Data!A135</x:f>
        <x:v>6.5</x:v>
      </x:c>
      <x:c r="B136" s="34" t="n">
        <x:f>Subsurface_Live_Data!B135</x:f>
        <x:v>524.4263848132822</x:v>
      </x:c>
      <x:c r="C136" s="34" t="n">
        <x:f>Subsurface_Live_Data!A135</x:f>
        <x:v>6.5</x:v>
      </x:c>
      <x:c r="D136" s="34" t="n">
        <x:f>Subsurface_Live_Data!G135</x:f>
        <x:v>-721.4845954102374</x:v>
      </x:c>
      <x:c r="E136" s="34" t="n">
        <x:f>Subsurface_Live_Data!A135</x:f>
        <x:v>6.5</x:v>
      </x:c>
      <x:c r="F136" s="34" t="n">
        <x:f>Subsurface_Live_Data!J135</x:f>
        <x:v>-4591.066906118212</x:v>
      </x:c>
      <x:c r="G136" s="34" t="n">
        <x:f>Subsurface_Live_Data!A135</x:f>
        <x:v>6.5</x:v>
      </x:c>
      <x:c r="H136" s="34" t="n">
        <x:f>Subsurface_Live_Data!L135</x:f>
        <x:v>-15531.222458018678</x:v>
      </x:c>
    </x:row>
    <x:row r="137">
      <x:c r="A137" s="34" t="n">
        <x:f>Subsurface_Live_Data!A136</x:f>
        <x:v>7</x:v>
      </x:c>
      <x:c r="B137" s="34" t="n">
        <x:f>Subsurface_Live_Data!B136</x:f>
        <x:v>534.4078318791427</x:v>
      </x:c>
      <x:c r="C137" s="34" t="n">
        <x:f>Subsurface_Live_Data!A136</x:f>
        <x:v>7</x:v>
      </x:c>
      <x:c r="D137" s="34" t="n">
        <x:f>Subsurface_Live_Data!G136</x:f>
        <x:v>-694.3898312726923</x:v>
      </x:c>
      <x:c r="E137" s="34" t="n">
        <x:f>Subsurface_Live_Data!A136</x:f>
        <x:v>7</x:v>
      </x:c>
      <x:c r="F137" s="34" t="n">
        <x:f>Subsurface_Live_Data!J136</x:f>
        <x:v>-4600.836420606299</x:v>
      </x:c>
      <x:c r="G137" s="34" t="n">
        <x:f>Subsurface_Live_Data!A136</x:f>
        <x:v>7</x:v>
      </x:c>
      <x:c r="H137" s="34" t="n">
        <x:f>Subsurface_Live_Data!L136</x:f>
        <x:v>-15522.778766302992</x:v>
      </x:c>
    </x:row>
    <x:row r="138">
      <x:c r="A138" s="34" t="n">
        <x:f>Subsurface_Live_Data!A137</x:f>
        <x:v>7.5</x:v>
      </x:c>
      <x:c r="B138" s="34" t="n">
        <x:f>Subsurface_Live_Data!B137</x:f>
        <x:v>503.48380224840304</x:v>
      </x:c>
      <x:c r="C138" s="34" t="n">
        <x:f>Subsurface_Live_Data!A137</x:f>
        <x:v>7.5</x:v>
      </x:c>
      <x:c r="D138" s="34" t="n">
        <x:f>Subsurface_Live_Data!G137</x:f>
        <x:v>-706.4345648944131</x:v>
      </x:c>
      <x:c r="E138" s="34" t="n">
        <x:f>Subsurface_Live_Data!A137</x:f>
        <x:v>7.5</x:v>
      </x:c>
      <x:c r="F138" s="34" t="n">
        <x:f>Subsurface_Live_Data!J137</x:f>
        <x:v>-4651.336223980074</x:v>
      </x:c>
      <x:c r="G138" s="34" t="n">
        <x:f>Subsurface_Live_Data!A137</x:f>
        <x:v>7.5</x:v>
      </x:c>
      <x:c r="H138" s="34" t="n">
        <x:f>Subsurface_Live_Data!L137</x:f>
        <x:v>-15559.713256277504</x:v>
      </x:c>
    </x:row>
    <x:row r="139">
      <x:c r="A139" s="34" t="n">
        <x:f>Subsurface_Live_Data!A138</x:f>
        <x:v>8</x:v>
      </x:c>
      <x:c r="B139" s="34" t="n">
        <x:f>Subsurface_Live_Data!B138</x:f>
        <x:v>497.2264534493298</x:v>
      </x:c>
      <x:c r="C139" s="34" t="n">
        <x:f>Subsurface_Live_Data!A138</x:f>
        <x:v>8</x:v>
      </x:c>
      <x:c r="D139" s="34" t="n">
        <x:f>Subsurface_Live_Data!G138</x:f>
        <x:v>-694.8661009373099</x:v>
      </x:c>
      <x:c r="E139" s="34" t="n">
        <x:f>Subsurface_Live_Data!A138</x:f>
        <x:v>8</x:v>
      </x:c>
      <x:c r="F139" s="34" t="n">
        <x:f>Subsurface_Live_Data!J138</x:f>
        <x:v>-4676.959218735977</x:v>
      </x:c>
      <x:c r="G139" s="34" t="n">
        <x:f>Subsurface_Live_Data!A138</x:f>
        <x:v>8</x:v>
      </x:c>
      <x:c r="H139" s="34" t="n">
        <x:f>Subsurface_Live_Data!L138</x:f>
        <x:v>-15567.270186542002</x:v>
      </x:c>
    </x:row>
    <x:row r="140">
      <x:c r="A140" s="34" t="n">
        <x:f>Subsurface_Live_Data!A139</x:f>
        <x:v>8.5</x:v>
      </x:c>
      <x:c r="B140" s="34" t="n">
        <x:f>Subsurface_Live_Data!B139</x:f>
        <x:v>479.6019721372586</x:v>
      </x:c>
      <x:c r="C140" s="34" t="n">
        <x:f>Subsurface_Live_Data!A139</x:f>
        <x:v>8.5</x:v>
      </x:c>
      <x:c r="D140" s="34" t="n">
        <x:f>Subsurface_Live_Data!G139</x:f>
        <x:v>-694.4663993704846</x:v>
      </x:c>
      <x:c r="E140" s="34" t="n">
        <x:f>Subsurface_Live_Data!A139</x:f>
        <x:v>8.5</x:v>
      </x:c>
      <x:c r="F140" s="34" t="n">
        <x:f>Subsurface_Live_Data!J139</x:f>
        <x:v>-4713.703102507014</x:v>
      </x:c>
      <x:c r="G140" s="34" t="n">
        <x:f>Subsurface_Live_Data!A139</x:f>
        <x:v>8.5</x:v>
      </x:c>
      <x:c r="H140" s="34" t="n">
        <x:f>Subsurface_Live_Data!L139</x:f>
        <x:v>-15586.527017055865</x:v>
      </x:c>
    </x:row>
    <x:row r="141">
      <x:c r="A141" s="34" t="n">
        <x:f>Subsurface_Live_Data!A140</x:f>
        <x:v>9</x:v>
      </x:c>
      <x:c r="B141" s="34" t="n">
        <x:f>Subsurface_Live_Data!B140</x:f>
        <x:v>481.22587957439987</x:v>
      </x:c>
      <x:c r="C141" s="34" t="n">
        <x:f>Subsurface_Live_Data!A140</x:f>
        <x:v>9</x:v>
      </x:c>
      <x:c r="D141" s="34" t="n">
        <x:f>Subsurface_Live_Data!G140</x:f>
        <x:v>-676.0242233888048</x:v>
      </x:c>
      <x:c r="E141" s="34" t="n">
        <x:f>Subsurface_Live_Data!A140</x:f>
        <x:v>9</x:v>
      </x:c>
      <x:c r="F141" s="34" t="n">
        <x:f>Subsurface_Live_Data!J140</x:f>
        <x:v>-4730.915152248648</x:v>
      </x:c>
      <x:c r="G141" s="34" t="n">
        <x:f>Subsurface_Live_Data!A140</x:f>
        <x:v>9</x:v>
      </x:c>
      <x:c r="H141" s="34" t="n">
        <x:f>Subsurface_Live_Data!L140</x:f>
        <x:v>-15582.583363682052</x:v>
      </x:c>
    </x:row>
    <x:row r="142">
      <x:c r="A142" s="34" t="n">
        <x:f>Subsurface_Live_Data!A141</x:f>
        <x:v>9.5</x:v>
      </x:c>
      <x:c r="B142" s="34" t="n">
        <x:f>Subsurface_Live_Data!B141</x:f>
        <x:v>478.27937371872196</x:v>
      </x:c>
      <x:c r="C142" s="34" t="n">
        <x:f>Subsurface_Live_Data!A141</x:f>
        <x:v>9.5</x:v>
      </x:c>
      <x:c r="D142" s="34" t="n">
        <x:f>Subsurface_Live_Data!G141</x:f>
        <x:v>-662.5729037069973</x:v>
      </x:c>
      <x:c r="E142" s="34" t="n">
        <x:f>Subsurface_Live_Data!A141</x:f>
        <x:v>9.5</x:v>
      </x:c>
      <x:c r="F142" s="34" t="n">
        <x:f>Subsurface_Live_Data!J141</x:f>
        <x:v>-4752.375995530008</x:v>
      </x:c>
      <x:c r="G142" s="34" t="n">
        <x:f>Subsurface_Live_Data!A141</x:f>
        <x:v>9.5</x:v>
      </x:c>
      <x:c r="H142" s="34" t="n">
        <x:f>Subsurface_Live_Data!L141</x:f>
        <x:v>-15582.596365294137</x:v>
      </x:c>
    </x:row>
    <x:row r="143">
      <x:c r="A143" s="34" t="n">
        <x:f>Subsurface_Live_Data!A142</x:f>
        <x:v>10</x:v>
      </x:c>
      <x:c r="B143" s="34" t="n">
        <x:f>Subsurface_Live_Data!B142</x:f>
        <x:v>454.2022007690729</x:v>
      </x:c>
      <x:c r="C143" s="34" t="n">
        <x:f>Subsurface_Live_Data!A142</x:f>
        <x:v>10</x:v>
      </x:c>
      <x:c r="D143" s="34" t="n">
        <x:f>Subsurface_Live_Data!G142</x:f>
        <x:v>-670.1628890762998</x:v>
      </x:c>
      <x:c r="E143" s="34" t="n">
        <x:f>Subsurface_Live_Data!A142</x:f>
        <x:v>10</x:v>
      </x:c>
      <x:c r="F143" s="34" t="n">
        <x:f>Subsurface_Live_Data!J142</x:f>
        <x:v>-4794.606878538617</x:v>
      </x:c>
      <x:c r="G143" s="34" t="n">
        <x:f>Subsurface_Live_Data!A142</x:f>
        <x:v>10</x:v>
      </x:c>
      <x:c r="H143" s="34" t="n">
        <x:f>Subsurface_Live_Data!L142</x:f>
        <x:v>-15605.450801607847</x:v>
      </x:c>
    </x:row>
    <x:row r="144">
      <x:c r="A144" s="34" t="n">
        <x:f>Subsurface_Live_Data!A143</x:f>
        <x:v>10.5</x:v>
      </x:c>
      <x:c r="B144" s="34" t="n">
        <x:f>Subsurface_Live_Data!B143</x:f>
        <x:v>437.9381023255588</x:v>
      </x:c>
      <x:c r="C144" s="34" t="n">
        <x:f>Subsurface_Live_Data!A143</x:f>
        <x:v>10.5</x:v>
      </x:c>
      <x:c r="D144" s="34" t="n">
        <x:f>Subsurface_Live_Data!G143</x:f>
        <x:v>-671.1441168171726</x:v>
      </x:c>
      <x:c r="E144" s="34" t="n">
        <x:f>Subsurface_Live_Data!A143</x:f>
        <x:v>10.5</x:v>
      </x:c>
      <x:c r="F144" s="34" t="n">
        <x:f>Subsurface_Live_Data!J143</x:f>
        <x:v>-4828.62438694697</x:v>
      </x:c>
      <x:c r="G144" s="34" t="n">
        <x:f>Subsurface_Live_Data!A143</x:f>
        <x:v>10.5</x:v>
      </x:c>
      <x:c r="H144" s="34" t="n">
        <x:f>Subsurface_Live_Data!L143</x:f>
        <x:v>-15618.159269137446</x:v>
      </x:c>
    </x:row>
    <x:row r="145">
      <x:c r="A145" s="34" t="n">
        <x:f>Subsurface_Live_Data!A144</x:f>
        <x:v>11</x:v>
      </x:c>
      <x:c r="B145" s="34" t="n">
        <x:f>Subsurface_Live_Data!B144</x:f>
        <x:v>444.9386077034983</x:v>
      </x:c>
      <x:c r="C145" s="34" t="n">
        <x:f>Subsurface_Live_Data!A144</x:f>
        <x:v>11</x:v>
      </x:c>
      <x:c r="D145" s="34" t="n">
        <x:f>Subsurface_Live_Data!G144</x:f>
        <x:v>-650.8006971592108</x:v>
      </x:c>
      <x:c r="E145" s="34" t="n">
        <x:f>Subsurface_Live_Data!A144</x:f>
        <x:v>11</x:v>
      </x:c>
      <x:c r="F145" s="34" t="n">
        <x:f>Subsurface_Live_Data!J144</x:f>
        <x:v>-4838.936852126742</x:v>
      </x:c>
      <x:c r="G145" s="34" t="n">
        <x:f>Subsurface_Live_Data!A144</x:f>
        <x:v>11</x:v>
      </x:c>
      <x:c r="H145" s="34" t="n">
        <x:f>Subsurface_Live_Data!L144</x:f>
        <x:v>-15603.117838039212</x:v>
      </x:c>
    </x:row>
    <x:row r="146">
      <x:c r="A146" s="34" t="n">
        <x:f>Subsurface_Live_Data!A145</x:f>
        <x:v>11.5</x:v>
      </x:c>
      <x:c r="B146" s="34" t="n">
        <x:f>Subsurface_Live_Data!B145</x:f>
        <x:v>434.44467895572086</x:v>
      </x:c>
      <x:c r="C146" s="34" t="n">
        <x:f>Subsurface_Live_Data!A145</x:f>
        <x:v>11.5</x:v>
      </x:c>
      <x:c r="D146" s="34" t="n">
        <x:f>Subsurface_Live_Data!G145</x:f>
        <x:v>-648.3592105454292</x:v>
      </x:c>
      <x:c r="E146" s="34" t="n">
        <x:f>Subsurface_Live_Data!A145</x:f>
        <x:v>11.5</x:v>
      </x:c>
      <x:c r="F146" s="34" t="n">
        <x:f>Subsurface_Live_Data!J145</x:f>
        <x:v>-4866.262936750023</x:v>
      </x:c>
      <x:c r="G146" s="34" t="n">
        <x:f>Subsurface_Live_Data!A145</x:f>
        <x:v>11.5</x:v>
      </x:c>
      <x:c r="H146" s="34" t="n">
        <x:f>Subsurface_Live_Data!L145</x:f>
        <x:v>-15606.804951279672</x:v>
      </x:c>
    </x:row>
    <x:row r="147">
      <x:c r="A147" s="34" t="n">
        <x:f>Subsurface_Live_Data!A146</x:f>
        <x:v>12</x:v>
      </x:c>
      <x:c r="B147" s="34" t="n">
        <x:f>Subsurface_Live_Data!B146</x:f>
        <x:v>422.8387186345762</x:v>
      </x:c>
      <x:c r="C147" s="34" t="n">
        <x:f>Subsurface_Live_Data!A146</x:f>
        <x:v>12</x:v>
      </x:c>
      <x:c r="D147" s="34" t="n">
        <x:f>Subsurface_Live_Data!G146</x:f>
        <x:v>-648.1698280771882</x:v>
      </x:c>
      <x:c r="E147" s="34" t="n">
        <x:f>Subsurface_Live_Data!A146</x:f>
        <x:v>12</x:v>
      </x:c>
      <x:c r="F147" s="34" t="n">
        <x:f>Subsurface_Live_Data!J146</x:f>
        <x:v>-4894.1798907566945</x:v>
      </x:c>
      <x:c r="G147" s="34" t="n">
        <x:f>Subsurface_Live_Data!A146</x:f>
        <x:v>12</x:v>
      </x:c>
      <x:c r="H147" s="34" t="n">
        <x:f>Subsurface_Live_Data!L146</x:f>
        <x:v>-15610.560104757182</x:v>
      </x:c>
    </x:row>
    <x:row r="148">
      <x:c r="A148" s="34" t="n">
        <x:f>Subsurface_Live_Data!A147</x:f>
        <x:v>12.5</x:v>
      </x:c>
      <x:c r="B148" s="34" t="n">
        <x:f>Subsurface_Live_Data!B147</x:f>
        <x:v>434.12423495839124</x:v>
      </x:c>
      <x:c r="C148" s="34" t="n">
        <x:f>Subsurface_Live_Data!A147</x:f>
        <x:v>12.5</x:v>
      </x:c>
      <x:c r="D148" s="34" t="n">
        <x:f>Subsurface_Live_Data!G147</x:f>
        <x:v>-627.2452650828152</x:v>
      </x:c>
      <x:c r="E148" s="34" t="n">
        <x:f>Subsurface_Live_Data!A147</x:f>
        <x:v>12.5</x:v>
      </x:c>
      <x:c r="F148" s="34" t="n">
        <x:f>Subsurface_Live_Data!J147</x:f>
        <x:v>-4898.644183294328</x:v>
      </x:c>
      <x:c r="G148" s="34" t="n">
        <x:f>Subsurface_Live_Data!A147</x:f>
        <x:v>12.5</x:v>
      </x:c>
      <x:c r="H148" s="34" t="n">
        <x:f>Subsurface_Live_Data!L147</x:f>
        <x:v>-15587.03699253716</x:v>
      </x:c>
    </x:row>
    <x:row r="149">
      <x:c r="A149" s="34" t="n">
        <x:f>Subsurface_Live_Data!A148</x:f>
        <x:v>13</x:v>
      </x:c>
      <x:c r="B149" s="34" t="n">
        <x:f>Subsurface_Live_Data!B148</x:f>
        <x:v>428.8351991704085</x:v>
      </x:c>
      <x:c r="C149" s="34" t="n">
        <x:f>Subsurface_Live_Data!A148</x:f>
        <x:v>13</x:v>
      </x:c>
      <x:c r="D149" s="34" t="n">
        <x:f>Subsurface_Live_Data!G148</x:f>
        <x:v>-623.5076201170853</x:v>
      </x:c>
      <x:c r="E149" s="34" t="n">
        <x:f>Subsurface_Live_Data!A148</x:f>
        <x:v>13</x:v>
      </x:c>
      <x:c r="F149" s="34" t="n">
        <x:f>Subsurface_Live_Data!J148</x:f>
        <x:v>-4919.082475223577</x:v>
      </x:c>
      <x:c r="G149" s="34" t="n">
        <x:f>Subsurface_Live_Data!A148</x:f>
        <x:v>13</x:v>
      </x:c>
      <x:c r="H149" s="34" t="n">
        <x:f>Subsurface_Live_Data!L148</x:f>
        <x:v>-15581.246797634583</x:v>
      </x:c>
    </x:row>
    <x:row r="150">
      <x:c r="A150" s="34" t="n">
        <x:f>Subsurface_Live_Data!A149</x:f>
        <x:v>13.5</x:v>
      </x:c>
      <x:c r="B150" s="34" t="n">
        <x:f>Subsurface_Live_Data!B149</x:f>
        <x:v>408.84619240872695</x:v>
      </x:c>
      <x:c r="C150" s="34" t="n">
        <x:f>Subsurface_Live_Data!A149</x:f>
        <x:v>13.5</x:v>
      </x:c>
      <x:c r="D150" s="34" t="n">
        <x:f>Subsurface_Live_Data!G149</x:f>
        <x:v>-635.1708444329586</x:v>
      </x:c>
      <x:c r="E150" s="34" t="n">
        <x:f>Subsurface_Live_Data!A149</x:f>
        <x:v>13.5</x:v>
      </x:c>
      <x:c r="F150" s="34" t="n">
        <x:f>Subsurface_Live_Data!J149</x:f>
        <x:v>-4953.5818332222825</x:v>
      </x:c>
      <x:c r="G150" s="34" t="n">
        <x:f>Subsurface_Live_Data!A149</x:f>
        <x:v>13.5</x:v>
      </x:c>
      <x:c r="H150" s="34" t="n">
        <x:f>Subsurface_Live_Data!L149</x:f>
        <x:v>-15591.07457750605</x:v>
      </x:c>
    </x:row>
    <x:row r="151">
      <x:c r="A151" s="34" t="n">
        <x:f>Subsurface_Live_Data!A150</x:f>
        <x:v>14</x:v>
      </x:c>
      <x:c r="B151" s="34" t="n">
        <x:f>Subsurface_Live_Data!B150</x:f>
        <x:v>412.55100068044544</x:v>
      </x:c>
      <x:c r="C151" s="34" t="n">
        <x:f>Subsurface_Live_Data!A150</x:f>
        <x:v>14</x:v>
      </x:c>
      <x:c r="D151" s="34" t="n">
        <x:f>Subsurface_Live_Data!G150</x:f>
        <x:v>-625.369880962447</x:v>
      </x:c>
      <x:c r="E151" s="34" t="n">
        <x:f>Subsurface_Live_Data!A150</x:f>
        <x:v>14</x:v>
      </x:c>
      <x:c r="F151" s="34" t="n">
        <x:f>Subsurface_Live_Data!J150</x:f>
        <x:v>-4963.711524097982</x:v>
      </x:c>
      <x:c r="G151" s="34" t="n">
        <x:f>Subsurface_Live_Data!A150</x:f>
        <x:v>14</x:v>
      </x:c>
      <x:c r="H151" s="34" t="n">
        <x:f>Subsurface_Live_Data!L150</x:f>
        <x:v>-15572.775613573844</x:v>
      </x:c>
    </x:row>
    <x:row r="152">
      <x:c r="A152" s="34" t="n">
        <x:f>Subsurface_Live_Data!A151</x:f>
        <x:v>14.5</x:v>
      </x:c>
      <x:c r="B152" s="34" t="n">
        <x:f>Subsurface_Live_Data!B151</x:f>
        <x:v>415.5675277705944</x:v>
      </x:c>
      <x:c r="C152" s="34" t="n">
        <x:f>Subsurface_Live_Data!A151</x:f>
        <x:v>14.5</x:v>
      </x:c>
      <x:c r="D152" s="34" t="n">
        <x:f>Subsurface_Live_Data!G151</x:f>
        <x:v>-617.4849020638594</x:v>
      </x:c>
      <x:c r="E152" s="34" t="n">
        <x:f>Subsurface_Live_Data!A151</x:f>
        <x:v>14.5</x:v>
      </x:c>
      <x:c r="F152" s="34" t="n">
        <x:f>Subsurface_Live_Data!J151</x:f>
        <x:v>-4973.818515439892</x:v>
      </x:c>
      <x:c r="G152" s="34" t="n">
        <x:f>Subsurface_Live_Data!A151</x:f>
        <x:v>14.5</x:v>
      </x:c>
      <x:c r="H152" s="34" t="n">
        <x:f>Subsurface_Live_Data!L151</x:f>
        <x:v>-15554.171753306657</x:v>
      </x:c>
    </x:row>
    <x:row r="153">
      <x:c r="A153" s="34" t="n">
        <x:f>Subsurface_Live_Data!A152</x:f>
        <x:v>15</x:v>
      </x:c>
      <x:c r="B153" s="34" t="n">
        <x:f>Subsurface_Live_Data!B152</x:f>
        <x:v>399.34593170493116</x:v>
      </x:c>
      <x:c r="C153" s="34" t="n">
        <x:f>Subsurface_Live_Data!A152</x:f>
        <x:v>15</x:v>
      </x:c>
      <x:c r="D153" s="34" t="n">
        <x:f>Subsurface_Live_Data!G152</x:f>
        <x:v>-629.2787942629436</x:v>
      </x:c>
      <x:c r="E153" s="34" t="n">
        <x:f>Subsurface_Live_Data!A152</x:f>
        <x:v>15</x:v>
      </x:c>
      <x:c r="F153" s="34" t="n">
        <x:f>Subsurface_Live_Data!J152</x:f>
        <x:v>-5002.419771654627</x:v>
      </x:c>
      <x:c r="G153" s="34" t="n">
        <x:f>Subsurface_Live_Data!A152</x:f>
        <x:v>15</x:v>
      </x:c>
      <x:c r="H153" s="34" t="n">
        <x:f>Subsurface_Live_Data!L152</x:f>
        <x:v>-15556.438072595502</x:v>
      </x:c>
    </x:row>
    <x:row r="154">
      <x:c r="A154" s="34" t="n">
        <x:f>Subsurface_Live_Data!A153</x:f>
        <x:v>15.5</x:v>
      </x:c>
      <x:c r="B154" s="34" t="n">
        <x:f>Subsurface_Live_Data!B153</x:f>
        <x:v>395.616361037493</x:v>
      </x:c>
      <x:c r="C154" s="34" t="n">
        <x:f>Subsurface_Live_Data!A153</x:f>
        <x:v>15.5</x:v>
      </x:c>
      <x:c r="D154" s="34" t="n">
        <x:f>Subsurface_Live_Data!G153</x:f>
        <x:v>-630.2289401594893</x:v>
      </x:c>
      <x:c r="E154" s="34" t="n">
        <x:f>Subsurface_Live_Data!A153</x:f>
        <x:v>15.5</x:v>
      </x:c>
      <x:c r="F154" s="34" t="n">
        <x:f>Subsurface_Live_Data!J153</x:f>
        <x:v>-5017.754962464925</x:v>
      </x:c>
      <x:c r="G154" s="34" t="n">
        <x:f>Subsurface_Live_Data!A153</x:f>
        <x:v>15.5</x:v>
      </x:c>
      <x:c r="H154" s="34" t="n">
        <x:f>Subsurface_Live_Data!L153</x:f>
        <x:v>-15543.43238963229</x:v>
      </x:c>
    </x:row>
    <x:row r="155">
      <x:c r="A155" s="34" t="n">
        <x:f>Subsurface_Live_Data!A154</x:f>
        <x:v>16</x:v>
      </x:c>
      <x:c r="B155" s="34" t="n">
        <x:f>Subsurface_Live_Data!B154</x:f>
        <x:v>400.30891755789503</x:v>
      </x:c>
      <x:c r="C155" s="34" t="n">
        <x:f>Subsurface_Live_Data!A154</x:f>
        <x:v>16</x:v>
      </x:c>
      <x:c r="D155" s="34" t="n">
        <x:f>Subsurface_Live_Data!G154</x:f>
        <x:v>-624.1659416875634</x:v>
      </x:c>
      <x:c r="E155" s="34" t="n">
        <x:f>Subsurface_Live_Data!A154</x:f>
        <x:v>16</x:v>
      </x:c>
      <x:c r="F155" s="34" t="n">
        <x:f>Subsurface_Live_Data!J154</x:f>
        <x:v>-5023.866949347487</x:v>
      </x:c>
      <x:c r="G155" s="34" t="n">
        <x:f>Subsurface_Live_Data!A154</x:f>
        <x:v>16</x:v>
      </x:c>
      <x:c r="H155" s="34" t="n">
        <x:f>Subsurface_Live_Data!L154</x:f>
        <x:v>-15519.826436141113</x:v>
      </x:c>
    </x:row>
    <x:row r="156">
      <x:c r="A156" s="34" t="n">
        <x:f>Subsurface_Live_Data!A155</x:f>
        <x:v>16.5</x:v>
      </x:c>
      <x:c r="B156" s="34" t="n">
        <x:f>Subsurface_Live_Data!B155</x:f>
        <x:v>406.20178346502695</x:v>
      </x:c>
      <x:c r="C156" s="34" t="n">
        <x:f>Subsurface_Live_Data!A155</x:f>
        <x:v>16.5</x:v>
      </x:c>
      <x:c r="D156" s="34" t="n">
        <x:f>Subsurface_Live_Data!G155</x:f>
        <x:v>-617.933544914393</x:v>
      </x:c>
      <x:c r="E156" s="34" t="n">
        <x:f>Subsurface_Live_Data!A155</x:f>
        <x:v>16.5</x:v>
      </x:c>
      <x:c r="F156" s="34" t="n">
        <x:f>Subsurface_Live_Data!J155</x:f>
        <x:v>-5027.954102743057</x:v>
      </x:c>
      <x:c r="G156" s="34" t="n">
        <x:f>Subsurface_Live_Data!A155</x:f>
        <x:v>16.5</x:v>
      </x:c>
      <x:c r="H156" s="34" t="n">
        <x:f>Subsurface_Live_Data!L155</x:f>
        <x:v>-15493.88691676859</x:v>
      </x:c>
    </x:row>
    <x:row r="157">
      <x:c r="A157" s="34" t="n">
        <x:f>Subsurface_Live_Data!A156</x:f>
        <x:v>17</x:v>
      </x:c>
      <x:c r="B157" s="34" t="n">
        <x:f>Subsurface_Live_Data!B156</x:f>
        <x:v>402.8973585501548</x:v>
      </x:c>
      <x:c r="C157" s="34" t="n">
        <x:f>Subsurface_Live_Data!A156</x:f>
        <x:v>17</x:v>
      </x:c>
      <x:c r="D157" s="34" t="n">
        <x:f>Subsurface_Live_Data!G156</x:f>
        <x:v>-621.4138711118353</x:v>
      </x:c>
      <x:c r="E157" s="34" t="n">
        <x:f>Subsurface_Live_Data!A156</x:f>
        <x:v>17</x:v>
      </x:c>
      <x:c r="F157" s="34" t="n">
        <x:f>Subsurface_Live_Data!J156</x:f>
        <x:v>-5040.394594329073</x:v>
      </x:c>
      <x:c r="G157" s="34" t="n">
        <x:f>Subsurface_Live_Data!A156</x:f>
        <x:v>17</x:v>
      </x:c>
      <x:c r="H157" s="34" t="n">
        <x:f>Subsurface_Live_Data!L156</x:f>
        <x:v>-15477.502632904838</x:v>
      </x:c>
    </x:row>
    <x:row r="158">
      <x:c r="A158" s="34" t="n">
        <x:f>Subsurface_Live_Data!A157</x:f>
        <x:v>17.5</x:v>
      </x:c>
      <x:c r="B158" s="34" t="n">
        <x:f>Subsurface_Live_Data!B157</x:f>
        <x:v>412.59673853506814</x:v>
      </x:c>
      <x:c r="C158" s="34" t="n">
        <x:f>Subsurface_Live_Data!A157</x:f>
        <x:v>17.5</x:v>
      </x:c>
      <x:c r="D158" s="34" t="n">
        <x:f>Subsurface_Live_Data!G157</x:f>
        <x:v>-613.1863892344047</x:v>
      </x:c>
      <x:c r="E158" s="34" t="n">
        <x:f>Subsurface_Live_Data!A157</x:f>
        <x:v>17.5</x:v>
      </x:c>
      <x:c r="F158" s="34" t="n">
        <x:f>Subsurface_Live_Data!J157</x:f>
        <x:v>-5038.972322199073</x:v>
      </x:c>
      <x:c r="G158" s="34" t="n">
        <x:f>Subsurface_Live_Data!A157</x:f>
        <x:v>17.5</x:v>
      </x:c>
      <x:c r="H158" s="34" t="n">
        <x:f>Subsurface_Live_Data!L157</x:f>
        <x:v>-15445.401493630048</x:v>
      </x:c>
    </x:row>
    <x:row r="159">
      <x:c r="A159" s="34" t="n">
        <x:f>Subsurface_Live_Data!A158</x:f>
        <x:v>18</x:v>
      </x:c>
      <x:c r="B159" s="34" t="n">
        <x:f>Subsurface_Live_Data!B158</x:f>
        <x:v>417.3671248555401</x:v>
      </x:c>
      <x:c r="C159" s="34" t="n">
        <x:f>Subsurface_Live_Data!A158</x:f>
        <x:v>18</x:v>
      </x:c>
      <x:c r="D159" s="34" t="n">
        <x:f>Subsurface_Live_Data!G158</x:f>
        <x:v>-610.3537736330784</x:v>
      </x:c>
      <x:c r="E159" s="34" t="n">
        <x:f>Subsurface_Live_Data!A158</x:f>
        <x:v>18</x:v>
      </x:c>
      <x:c r="F159" s="34" t="n">
        <x:f>Subsurface_Live_Data!J158</x:f>
        <x:v>-5041.609867064306</x:v>
      </x:c>
      <x:c r="G159" s="34" t="n">
        <x:f>Subsurface_Live_Data!A158</x:f>
        <x:v>18</x:v>
      </x:c>
      <x:c r="H159" s="34" t="n">
        <x:f>Subsurface_Live_Data!L158</x:f>
        <x:v>-15418.065581066645</x:v>
      </x:c>
    </x:row>
    <x:row r="160">
      <x:c r="A160" s="34" t="n">
        <x:f>Subsurface_Live_Data!A159</x:f>
        <x:v>18.5</x:v>
      </x:c>
      <x:c r="B160" s="34" t="n">
        <x:f>Subsurface_Live_Data!B159</x:f>
        <x:v>414.03078360208366</x:v>
      </x:c>
      <x:c r="C160" s="34" t="n">
        <x:f>Subsurface_Live_Data!A159</x:f>
        <x:v>18.5</x:v>
      </x:c>
      <x:c r="D160" s="34" t="n">
        <x:f>Subsurface_Live_Data!G159</x:f>
        <x:v>-615.8511229246208</x:v>
      </x:c>
      <x:c r="E160" s="34" t="n">
        <x:f>Subsurface_Live_Data!A159</x:f>
        <x:v>18.5</x:v>
      </x:c>
      <x:c r="F160" s="34" t="n">
        <x:f>Subsurface_Live_Data!J159</x:f>
        <x:v>-5051.479849899273</x:v>
      </x:c>
      <x:c r="G160" s="34" t="n">
        <x:f>Subsurface_Live_Data!A159</x:f>
        <x:v>18.5</x:v>
      </x:c>
      <x:c r="H160" s="34" t="n">
        <x:f>Subsurface_Live_Data!L159</x:f>
        <x:v>-15399.157646165742</x:v>
      </x:c>
    </x:row>
    <x:row r="161">
      <x:c r="A161" s="34" t="n">
        <x:f>Subsurface_Live_Data!A160</x:f>
        <x:v>19</x:v>
      </x:c>
      <x:c r="B161" s="34" t="n">
        <x:f>Subsurface_Live_Data!B160</x:f>
        <x:v>429.33926339108206</x:v>
      </x:c>
      <x:c r="C161" s="34" t="n">
        <x:f>Subsurface_Live_Data!A160</x:f>
        <x:v>19</x:v>
      </x:c>
      <x:c r="D161" s="34" t="n">
        <x:f>Subsurface_Live_Data!G160</x:f>
        <x:v>-603.8813269421066</x:v>
      </x:c>
      <x:c r="E161" s="34" t="n">
        <x:f>Subsurface_Live_Data!A160</x:f>
        <x:v>19</x:v>
      </x:c>
      <x:c r="F161" s="34" t="n">
        <x:f>Subsurface_Live_Data!J160</x:f>
        <x:v>-5041.830969477127</x:v>
      </x:c>
      <x:c r="G161" s="34" t="n">
        <x:f>Subsurface_Live_Data!A160</x:f>
        <x:v>19</x:v>
      </x:c>
      <x:c r="H161" s="34" t="n">
        <x:f>Subsurface_Live_Data!L160</x:f>
        <x:v>-15358.222406015735</x:v>
      </x:c>
    </x:row>
    <x:row r="162">
      <x:c r="A162" s="34" t="n">
        <x:f>Subsurface_Live_Data!A161</x:f>
        <x:v>19.5</x:v>
      </x:c>
      <x:c r="B162" s="34" t="n">
        <x:f>Subsurface_Live_Data!B161</x:f>
        <x:v>436.66425250955575</x:v>
      </x:c>
      <x:c r="C162" s="34" t="n">
        <x:f>Subsurface_Live_Data!A161</x:f>
        <x:v>19.5</x:v>
      </x:c>
      <x:c r="D162" s="34" t="n">
        <x:f>Subsurface_Live_Data!G161</x:f>
        <x:v>-599.894405308685</x:v>
      </x:c>
      <x:c r="E162" s="34" t="n">
        <x:f>Subsurface_Live_Data!A161</x:f>
        <x:v>19.5</x:v>
      </x:c>
      <x:c r="F162" s="34" t="n">
        <x:f>Subsurface_Live_Data!J161</x:f>
        <x:v>-5039.297328149049</x:v>
      </x:c>
      <x:c r="G162" s="34" t="n">
        <x:f>Subsurface_Live_Data!A161</x:f>
        <x:v>19.5</x:v>
      </x:c>
      <x:c r="H162" s="34" t="n">
        <x:f>Subsurface_Live_Data!L161</x:f>
        <x:v>-15325.65886931908</x:v>
      </x:c>
    </x:row>
    <x:row r="163">
      <x:c r="A163" s="34" t="n">
        <x:f>Subsurface_Live_Data!A162</x:f>
        <x:v>20</x:v>
      </x:c>
      <x:c r="B163" s="34" t="n">
        <x:f>Subsurface_Live_Data!B162</x:f>
        <x:v>439.0113020882822</x:v>
      </x:c>
      <x:c r="C163" s="34" t="n">
        <x:f>Subsurface_Live_Data!A162</x:f>
        <x:v>20</x:v>
      </x:c>
      <x:c r="D163" s="34" t="n">
        <x:f>Subsurface_Live_Data!G162</x:f>
        <x:v>-600.8967899560255</x:v>
      </x:c>
      <x:c r="E163" s="34" t="n">
        <x:f>Subsurface_Live_Data!A162</x:f>
        <x:v>20</x:v>
      </x:c>
      <x:c r="F163" s="34" t="n">
        <x:f>Subsurface_Live_Data!J162</x:f>
        <x:v>-5040.884808704916</x:v>
      </x:c>
      <x:c r="G163" s="34" t="n">
        <x:f>Subsurface_Live_Data!A162</x:f>
        <x:v>20</x:v>
      </x:c>
      <x:c r="H163" s="34" t="n">
        <x:f>Subsurface_Live_Data!L162</x:f>
        <x:v>-15298.084591781922</x:v>
      </x:c>
    </x:row>
    <x:row r="164">
      <x:c r="A164" s="34" t="n">
        <x:f>Subsurface_Live_Data!A163</x:f>
        <x:v>20.5</x:v>
      </x:c>
      <x:c r="B164" s="34" t="n">
        <x:f>Subsurface_Live_Data!B163</x:f>
        <x:v>441.7637232897853</x:v>
      </x:c>
      <x:c r="C164" s="34" t="n">
        <x:f>Subsurface_Live_Data!A163</x:f>
        <x:v>20.5</x:v>
      </x:c>
      <x:c r="D164" s="34" t="n">
        <x:f>Subsurface_Live_Data!G163</x:f>
        <x:v>-601.6194882047998</x:v>
      </x:c>
      <x:c r="E164" s="34" t="n">
        <x:f>Subsurface_Live_Data!A163</x:f>
        <x:v>20.5</x:v>
      </x:c>
      <x:c r="F164" s="34" t="n">
        <x:f>Subsurface_Live_Data!J163</x:f>
        <x:v>-5041.227185239991</x:v>
      </x:c>
      <x:c r="G164" s="34" t="n">
        <x:f>Subsurface_Live_Data!A163</x:f>
        <x:v>20.5</x:v>
      </x:c>
      <x:c r="H164" s="34" t="n">
        <x:f>Subsurface_Live_Data!L163</x:f>
        <x:v>-15269.407530564064</x:v>
      </x:c>
    </x:row>
    <x:row r="165">
      <x:c r="A165" s="34" t="n">
        <x:f>Subsurface_Live_Data!A164</x:f>
        <x:v>21</x:v>
      </x:c>
      <x:c r="B165" s="34" t="n">
        <x:f>Subsurface_Live_Data!B164</x:f>
        <x:v>441.2537143317768</x:v>
      </x:c>
      <x:c r="C165" s="34" t="n">
        <x:f>Subsurface_Live_Data!A164</x:f>
        <x:v>21</x:v>
      </x:c>
      <x:c r="D165" s="34" t="n">
        <x:f>Subsurface_Live_Data!G164</x:f>
        <x:v>-605.4919082820438</x:v>
      </x:c>
      <x:c r="E165" s="34" t="n">
        <x:f>Subsurface_Live_Data!A164</x:f>
        <x:v>21</x:v>
      </x:c>
      <x:c r="F165" s="34" t="n">
        <x:f>Subsurface_Live_Data!J164</x:f>
        <x:v>-5044.014904854286</x:v>
      </x:c>
      <x:c r="G165" s="34" t="n">
        <x:f>Subsurface_Live_Data!A164</x:f>
        <x:v>21</x:v>
      </x:c>
      <x:c r="H165" s="34" t="n">
        <x:f>Subsurface_Live_Data!L164</x:f>
        <x:v>-15243.854854412102</x:v>
      </x:c>
    </x:row>
    <x:row r="166">
      <x:c r="A166" s="34" t="n">
        <x:f>Subsurface_Live_Data!A165</x:f>
        <x:v>21.5</x:v>
      </x:c>
      <x:c r="B166" s="34" t="n">
        <x:f>Subsurface_Live_Data!B165</x:f>
        <x:v>444.1394266764314</x:v>
      </x:c>
      <x:c r="C166" s="34" t="n">
        <x:f>Subsurface_Live_Data!A165</x:f>
        <x:v>21.5</x:v>
      </x:c>
      <x:c r="D166" s="34" t="n">
        <x:f>Subsurface_Live_Data!G165</x:f>
        <x:v>-606.0417457977021</x:v>
      </x:c>
      <x:c r="E166" s="34" t="n">
        <x:f>Subsurface_Live_Data!A165</x:f>
        <x:v>21.5</x:v>
      </x:c>
      <x:c r="F166" s="34" t="n">
        <x:f>Subsurface_Live_Data!J165</x:f>
        <x:v>-5042.6178256281</x:v>
      </x:c>
      <x:c r="G166" s="34" t="n">
        <x:f>Subsurface_Live_Data!A165</x:f>
        <x:v>21.5</x:v>
      </x:c>
      <x:c r="H166" s="34" t="n">
        <x:f>Subsurface_Live_Data!L165</x:f>
        <x:v>-15213.88298110334</x:v>
      </x:c>
    </x:row>
    <x:row r="167">
      <x:c r="A167" s="34" t="n">
        <x:f>Subsurface_Live_Data!A166</x:f>
        <x:v>22</x:v>
      </x:c>
      <x:c r="B167" s="34" t="n">
        <x:f>Subsurface_Live_Data!B166</x:f>
        <x:v>447.7794532624074</x:v>
      </x:c>
      <x:c r="C167" s="34" t="n">
        <x:f>Subsurface_Live_Data!A166</x:f>
        <x:v>22</x:v>
      </x:c>
      <x:c r="D167" s="34" t="n">
        <x:f>Subsurface_Live_Data!G166</x:f>
        <x:v>-605.7370718767171</x:v>
      </x:c>
      <x:c r="E167" s="34" t="n">
        <x:f>Subsurface_Live_Data!A166</x:f>
        <x:v>22</x:v>
      </x:c>
      <x:c r="F167" s="34" t="n">
        <x:f>Subsurface_Live_Data!J166</x:f>
        <x:v>-5039.710425244236</x:v>
      </x:c>
      <x:c r="G167" s="34" t="n">
        <x:f>Subsurface_Live_Data!A166</x:f>
        <x:v>22</x:v>
      </x:c>
      <x:c r="H167" s="34" t="n">
        <x:f>Subsurface_Live_Data!L166</x:f>
        <x:v>-15182.550551989852</x:v>
      </x:c>
    </x:row>
    <x:row r="168">
      <x:c r="A168" s="34" t="n">
        <x:f>Subsurface_Live_Data!A167</x:f>
        <x:v>22.5</x:v>
      </x:c>
      <x:c r="B168" s="34" t="n">
        <x:f>Subsurface_Live_Data!B167</x:f>
        <x:v>442.50927153418206</x:v>
      </x:c>
      <x:c r="C168" s="34" t="n">
        <x:f>Subsurface_Live_Data!A167</x:f>
        <x:v>22.5</x:v>
      </x:c>
      <x:c r="D168" s="34" t="n">
        <x:f>Subsurface_Live_Data!G167</x:f>
        <x:v>-613.8022412100936</x:v>
      </x:c>
      <x:c r="E168" s="34" t="n">
        <x:f>Subsurface_Live_Data!A167</x:f>
        <x:v>22.5</x:v>
      </x:c>
      <x:c r="F168" s="34" t="n">
        <x:f>Subsurface_Live_Data!J167</x:f>
        <x:v>-5044.994947508472</x:v>
      </x:c>
      <x:c r="G168" s="34" t="n">
        <x:f>Subsurface_Live_Data!A167</x:f>
        <x:v>22.5</x:v>
      </x:c>
      <x:c r="H168" s="34" t="n">
        <x:f>Subsurface_Live_Data!L167</x:f>
        <x:v>-15160.923176576076</x:v>
      </x:c>
    </x:row>
    <x:row r="169">
      <x:c r="A169" s="34" t="n">
        <x:f>Subsurface_Live_Data!A168</x:f>
        <x:v>23</x:v>
      </x:c>
      <x:c r="B169" s="34" t="n">
        <x:f>Subsurface_Live_Data!B168</x:f>
        <x:v>438.1289491107309</x:v>
      </x:c>
      <x:c r="C169" s="34" t="n">
        <x:f>Subsurface_Live_Data!A168</x:f>
        <x:v>23</x:v>
      </x:c>
      <x:c r="D169" s="34" t="n">
        <x:f>Subsurface_Live_Data!G168</x:f>
        <x:v>-620.7906602213557</x:v>
      </x:c>
      <x:c r="E169" s="34" t="n">
        <x:f>Subsurface_Live_Data!A168</x:f>
        <x:v>23</x:v>
      </x:c>
      <x:c r="F169" s="34" t="n">
        <x:f>Subsurface_Live_Data!J168</x:f>
        <x:v>-5048.713181898195</x:v>
      </x:c>
      <x:c r="G169" s="34" t="n">
        <x:f>Subsurface_Live_Data!A168</x:f>
        <x:v>23</x:v>
      </x:c>
      <x:c r="H169" s="34" t="n">
        <x:f>Subsurface_Live_Data!L168</x:f>
        <x:v>-15137.877336467061</x:v>
      </x:c>
    </x:row>
    <x:row r="170">
      <x:c r="A170" s="34" t="n">
        <x:f>Subsurface_Live_Data!A169</x:f>
        <x:v>23.5</x:v>
      </x:c>
      <x:c r="B170" s="34" t="n">
        <x:f>Subsurface_Live_Data!B169</x:f>
        <x:v>431.2131008039683</x:v>
      </x:c>
      <x:c r="C170" s="34" t="n">
        <x:f>Subsurface_Live_Data!A169</x:f>
        <x:v>23.5</x:v>
      </x:c>
      <x:c r="D170" s="34" t="n">
        <x:f>Subsurface_Live_Data!G169</x:f>
        <x:v>-629.967848381337</x:v>
      </x:c>
      <x:c r="E170" s="34" t="n">
        <x:f>Subsurface_Live_Data!A169</x:f>
        <x:v>23.5</x:v>
      </x:c>
      <x:c r="F170" s="34" t="n">
        <x:f>Subsurface_Live_Data!J169</x:f>
        <x:v>-5054.335893481355</x:v>
      </x:c>
      <x:c r="G170" s="34" t="n">
        <x:f>Subsurface_Live_Data!A169</x:f>
        <x:v>23.5</x:v>
      </x:c>
      <x:c r="H170" s="34" t="n">
        <x:f>Subsurface_Live_Data!L169</x:f>
        <x:v>-15117.366921837673</x:v>
      </x:c>
    </x:row>
    <x:row r="171">
      <x:c r="A171" s="34" t="n">
        <x:f>Subsurface_Live_Data!A170</x:f>
        <x:v>24</x:v>
      </x:c>
      <x:c r="B171" s="34" t="n">
        <x:f>Subsurface_Live_Data!B170</x:f>
        <x:v>441.2625072507224</x:v>
      </x:c>
      <x:c r="C171" s="34" t="n">
        <x:f>Subsurface_Live_Data!A170</x:f>
        <x:v>24</x:v>
      </x:c>
      <x:c r="D171" s="34" t="n">
        <x:f>Subsurface_Live_Data!G170</x:f>
        <x:v>-622.6061478138508</x:v>
      </x:c>
      <x:c r="E171" s="34" t="n">
        <x:f>Subsurface_Live_Data!A170</x:f>
        <x:v>24</x:v>
      </x:c>
      <x:c r="F171" s="34" t="n">
        <x:f>Subsurface_Live_Data!J170</x:f>
        <x:v>-5042.410502086507</x:v>
      </x:c>
      <x:c r="G171" s="34" t="n">
        <x:f>Subsurface_Live_Data!A170</x:f>
        <x:v>24</x:v>
      </x:c>
      <x:c r="H171" s="34" t="n">
        <x:f>Subsurface_Live_Data!L170</x:f>
        <x:v>-15077.210273004299</x:v>
      </x:c>
    </x:row>
    <x:row r="172">
      <x:c r="A172" s="34" t="n">
        <x:f>Subsurface_Live_Data!A171</x:f>
        <x:v>24.5</x:v>
      </x:c>
      <x:c r="B172" s="34" t="n">
        <x:f>Subsurface_Live_Data!B171</x:f>
        <x:v>415.4369773442437</x:v>
      </x:c>
      <x:c r="C172" s="34" t="n">
        <x:f>Subsurface_Live_Data!A171</x:f>
        <x:v>24.5</x:v>
      </x:c>
      <x:c r="D172" s="34" t="n">
        <x:f>Subsurface_Live_Data!G171</x:f>
        <x:v>-649.4410782922151</x:v>
      </x:c>
      <x:c r="E172" s="34" t="n">
        <x:f>Subsurface_Live_Data!A171</x:f>
        <x:v>24.5</x:v>
      </x:c>
      <x:c r="F172" s="34" t="n">
        <x:f>Subsurface_Live_Data!J171</x:f>
        <x:v>-5065.82744067518</x:v>
      </x:c>
      <x:c r="G172" s="34" t="n">
        <x:f>Subsurface_Live_Data!A171</x:f>
        <x:v>24.5</x:v>
      </x:c>
      <x:c r="H172" s="34" t="n">
        <x:f>Subsurface_Live_Data!L171</x:f>
        <x:v>-15077.694603690792</x:v>
      </x:c>
    </x:row>
    <x:row r="173">
      <x:c r="A173" s="34" t="n">
        <x:f>Subsurface_Live_Data!A172</x:f>
        <x:v>25</x:v>
      </x:c>
      <x:c r="B173" s="34" t="n">
        <x:f>Subsurface_Live_Data!B172</x:f>
        <x:v>418.8320748478676</x:v>
      </x:c>
      <x:c r="C173" s="34" t="n">
        <x:f>Subsurface_Live_Data!A172</x:f>
        <x:v>25</x:v>
      </x:c>
      <x:c r="D173" s="34" t="n">
        <x:f>Subsurface_Live_Data!G172</x:f>
        <x:v>-648.0052251300752</x:v>
      </x:c>
      <x:c r="E173" s="34" t="n">
        <x:f>Subsurface_Live_Data!A172</x:f>
        <x:v>25</x:v>
      </x:c>
      <x:c r="F173" s="34" t="n">
        <x:f>Subsurface_Live_Data!J172</x:f>
        <x:v>-5059.542587450692</x:v>
      </x:c>
      <x:c r="G173" s="34" t="n">
        <x:f>Subsurface_Live_Data!A172</x:f>
        <x:v>25</x:v>
      </x:c>
      <x:c r="H173" s="34" t="n">
        <x:f>Subsurface_Live_Data!L172</x:f>
        <x:v>-15044.660419037136</x:v>
      </x:c>
    </x:row>
    <x:row r="174">
      <x:c r="A174" s="34" t="n">
        <x:f>Subsurface_Live_Data!A173</x:f>
        <x:v>25.5</x:v>
      </x:c>
      <x:c r="B174" s="34" t="n">
        <x:f>Subsurface_Live_Data!B173</x:f>
        <x:v>390.15691093629596</x:v>
      </x:c>
      <x:c r="C174" s="34" t="n">
        <x:f>Subsurface_Live_Data!A173</x:f>
        <x:v>25.5</x:v>
      </x:c>
      <x:c r="D174" s="34" t="n">
        <x:f>Subsurface_Live_Data!G173</x:f>
        <x:v>-677.1767563696109</x:v>
      </x:c>
      <x:c r="E174" s="34" t="n">
        <x:f>Subsurface_Live_Data!A173</x:f>
        <x:v>25.5</x:v>
      </x:c>
      <x:c r="F174" s="34" t="n">
        <x:f>Subsurface_Live_Data!J173</x:f>
        <x:v>-5084.898587329405</x:v>
      </x:c>
      <x:c r="G174" s="34" t="n">
        <x:f>Subsurface_Live_Data!A173</x:f>
        <x:v>25.5</x:v>
      </x:c>
      <x:c r="H174" s="34" t="n">
        <x:f>Subsurface_Live_Data!L173</x:f>
        <x:v>-15048.0287186455</x:v>
      </x:c>
    </x:row>
    <x:row r="175">
      <x:c r="A175" s="34" t="n">
        <x:f>Subsurface_Live_Data!A174</x:f>
        <x:v>26</x:v>
      </x:c>
      <x:c r="B175" s="34" t="n">
        <x:f>Subsurface_Live_Data!B174</x:f>
        <x:v>387.3749410180904</x:v>
      </x:c>
      <x:c r="C175" s="34" t="n">
        <x:f>Subsurface_Live_Data!A174</x:f>
        <x:v>26</x:v>
      </x:c>
      <x:c r="D175" s="34" t="n">
        <x:f>Subsurface_Live_Data!G174</x:f>
        <x:v>-681.3631253376168</x:v>
      </x:c>
      <x:c r="E175" s="34" t="n">
        <x:f>Subsurface_Live_Data!A174</x:f>
        <x:v>26</x:v>
      </x:c>
      <x:c r="F175" s="34" t="n">
        <x:f>Subsurface_Live_Data!J174</x:f>
        <x:v>-5083.983143817195</x:v>
      </x:c>
      <x:c r="G175" s="34" t="n">
        <x:f>Subsurface_Live_Data!A174</x:f>
        <x:v>26</x:v>
      </x:c>
      <x:c r="H175" s="34" t="n">
        <x:f>Subsurface_Live_Data!L174</x:f>
        <x:v>-15021.770375224623</x:v>
      </x:c>
    </x:row>
    <x:row r="176">
      <x:c r="A176" s="34" t="n">
        <x:f>Subsurface_Live_Data!A175</x:f>
        <x:v>26.5</x:v>
      </x:c>
      <x:c r="B176" s="34" t="n">
        <x:f>Subsurface_Live_Data!B175</x:f>
        <x:v>383.48713922986474</x:v>
      </x:c>
      <x:c r="C176" s="34" t="n">
        <x:f>Subsurface_Live_Data!A175</x:f>
        <x:v>26.5</x:v>
      </x:c>
      <x:c r="D176" s="34" t="n">
        <x:f>Subsurface_Live_Data!G175</x:f>
        <x:v>-686.5477834901986</x:v>
      </x:c>
      <x:c r="E176" s="34" t="n">
        <x:f>Subsurface_Live_Data!A175</x:f>
        <x:v>26.5</x:v>
      </x:c>
      <x:c r="F176" s="34" t="n">
        <x:f>Subsurface_Live_Data!J175</x:f>
        <x:v>-5083.844928799067</x:v>
      </x:c>
      <x:c r="G176" s="34" t="n">
        <x:f>Subsurface_Live_Data!A175</x:f>
        <x:v>26.5</x:v>
      </x:c>
      <x:c r="H176" s="34" t="n">
        <x:f>Subsurface_Live_Data!L175</x:f>
        <x:v>-14996.713203449894</x:v>
      </x:c>
    </x:row>
    <x:row r="177">
      <x:c r="A177" s="34" t="n">
        <x:f>Subsurface_Live_Data!A176</x:f>
        <x:v>27</x:v>
      </x:c>
      <x:c r="B177" s="34" t="n">
        <x:f>Subsurface_Live_Data!B176</x:f>
        <x:v>346.2287328646241</x:v>
      </x:c>
      <x:c r="C177" s="34" t="n">
        <x:f>Subsurface_Live_Data!A176</x:f>
        <x:v>27</x:v>
      </x:c>
      <x:c r="D177" s="34" t="n">
        <x:f>Subsurface_Live_Data!G176</x:f>
        <x:v>-723.7795979872319</x:v>
      </x:c>
      <x:c r="E177" s="34" t="n">
        <x:f>Subsurface_Live_Data!A176</x:f>
        <x:v>27</x:v>
      </x:c>
      <x:c r="F177" s="34" t="n">
        <x:f>Subsurface_Live_Data!J176</x:f>
        <x:v>-5116.795949780635</x:v>
      </x:c>
      <x:c r="G177" s="34" t="n">
        <x:f>Subsurface_Live_Data!A176</x:f>
        <x:v>27</x:v>
      </x:c>
      <x:c r="H177" s="34" t="n">
        <x:f>Subsurface_Live_Data!L176</x:f>
        <x:v>-15009.687571540328</x:v>
      </x:c>
    </x:row>
    <x:row r="178">
      <x:c r="A178" s="34" t="n">
        <x:f>Subsurface_Live_Data!A177</x:f>
        <x:v>27.5</x:v>
      </x:c>
      <x:c r="B178" s="34" t="n">
        <x:f>Subsurface_Live_Data!B177</x:f>
        <x:v>337.0351401860322</x:v>
      </x:c>
      <x:c r="C178" s="34" t="n">
        <x:f>Subsurface_Live_Data!A177</x:f>
        <x:v>27.5</x:v>
      </x:c>
      <x:c r="D178" s="34" t="n">
        <x:f>Subsurface_Live_Data!G177</x:f>
        <x:v>-734.1635911710201</x:v>
      </x:c>
      <x:c r="E178" s="34" t="n">
        <x:f>Subsurface_Live_Data!A177</x:f>
        <x:v>27.5</x:v>
      </x:c>
      <x:c r="F178" s="34" t="n">
        <x:f>Subsurface_Live_Data!J177</x:f>
        <x:v>-5121.444753178148</x:v>
      </x:c>
      <x:c r="G178" s="34" t="n">
        <x:f>Subsurface_Live_Data!A177</x:f>
        <x:v>27.5</x:v>
      </x:c>
      <x:c r="H178" s="34" t="n">
        <x:f>Subsurface_Live_Data!L177</x:f>
        <x:v>-14990.705122295005</x:v>
      </x:c>
    </x:row>
    <x:row r="179">
      <x:c r="A179" s="34" t="n">
        <x:f>Subsurface_Live_Data!A178</x:f>
        <x:v>28</x:v>
      </x:c>
      <x:c r="B179" s="34" t="n">
        <x:f>Subsurface_Live_Data!B178</x:f>
        <x:v>312.18369818898617</x:v>
      </x:c>
      <x:c r="C179" s="34" t="n">
        <x:f>Subsurface_Live_Data!A178</x:f>
        <x:v>28</x:v>
      </x:c>
      <x:c r="D179" s="34" t="n">
        <x:f>Subsurface_Live_Data!G178</x:f>
        <x:v>-759.7627185483007</x:v>
      </x:c>
      <x:c r="E179" s="34" t="n">
        <x:f>Subsurface_Live_Data!A178</x:f>
        <x:v>28</x:v>
      </x:c>
      <x:c r="F179" s="34" t="n">
        <x:f>Subsurface_Live_Data!J178</x:f>
        <x:v>-5141.553898704819</x:v>
      </x:c>
      <x:c r="G179" s="34" t="n">
        <x:f>Subsurface_Live_Data!A178</x:f>
        <x:v>28</x:v>
      </x:c>
      <x:c r="H179" s="34" t="n">
        <x:f>Subsurface_Live_Data!L178</x:f>
        <x:v>-14989.657095184195</x:v>
      </x:c>
    </x:row>
    <x:row r="180">
      <x:c r="A180" s="34" t="n">
        <x:f>Subsurface_Live_Data!A179</x:f>
        <x:v>28.5</x:v>
      </x:c>
      <x:c r="B180" s="34" t="n">
        <x:f>Subsurface_Live_Data!B179</x:f>
        <x:v>310.4659866511931</x:v>
      </x:c>
      <x:c r="C180" s="34" t="n">
        <x:f>Subsurface_Live_Data!A179</x:f>
        <x:v>28.5</x:v>
      </x:c>
      <x:c r="D180" s="34" t="n">
        <x:f>Subsurface_Live_Data!G179</x:f>
        <x:v>-763.430114933484</x:v>
      </x:c>
      <x:c r="E180" s="34" t="n">
        <x:f>Subsurface_Live_Data!A179</x:f>
        <x:v>28.5</x:v>
      </x:c>
      <x:c r="F180" s="34" t="n">
        <x:f>Subsurface_Live_Data!J179</x:f>
        <x:v>-5138.366918982902</x:v>
      </x:c>
      <x:c r="G180" s="34" t="n">
        <x:f>Subsurface_Live_Data!A179</x:f>
        <x:v>28.5</x:v>
      </x:c>
      <x:c r="H180" s="34" t="n">
        <x:f>Subsurface_Live_Data!L179</x:f>
        <x:v>-14962.367770531928</x:v>
      </x:c>
    </x:row>
    <x:row r="181">
      <x:c r="A181" s="34" t="n">
        <x:f>Subsurface_Live_Data!A180</x:f>
        <x:v>29</x:v>
      </x:c>
      <x:c r="B181" s="34" t="n">
        <x:f>Subsurface_Live_Data!B180</x:f>
        <x:v>283.98171018669603</x:v>
      </x:c>
      <x:c r="C181" s="34" t="n">
        <x:f>Subsurface_Live_Data!A180</x:f>
        <x:v>29</x:v>
      </x:c>
      <x:c r="D181" s="34" t="n">
        <x:f>Subsurface_Live_Data!G180</x:f>
        <x:v>-791.2445324768312</x:v>
      </x:c>
      <x:c r="E181" s="34" t="n">
        <x:f>Subsurface_Live_Data!A180</x:f>
        <x:v>29</x:v>
      </x:c>
      <x:c r="F181" s="34" t="n">
        <x:f>Subsurface_Live_Data!J180</x:f>
        <x:v>-5159.813821337773</x:v>
      </x:c>
      <x:c r="G181" s="34" t="n">
        <x:f>Subsurface_Live_Data!A180</x:f>
        <x:v>29</x:v>
      </x:c>
      <x:c r="H181" s="34" t="n">
        <x:f>Subsurface_Live_Data!L180</x:f>
        <x:v>-14963.48933970446</x:v>
      </x:c>
    </x:row>
    <x:row r="182">
      <x:c r="A182" s="34" t="n">
        <x:f>Subsurface_Live_Data!A181</x:f>
        <x:v>29.5</x:v>
      </x:c>
      <x:c r="B182" s="34" t="n">
        <x:f>Subsurface_Live_Data!B181</x:f>
        <x:v>263.5246591496981</x:v>
      </x:c>
      <x:c r="C182" s="34" t="n">
        <x:f>Subsurface_Live_Data!A181</x:f>
        <x:v>29.5</x:v>
      </x:c>
      <x:c r="D182" s="34" t="n">
        <x:f>Subsurface_Live_Data!G181</x:f>
        <x:v>-813.7373198512577</x:v>
      </x:c>
      <x:c r="E182" s="34" t="n">
        <x:f>Subsurface_Live_Data!A181</x:f>
        <x:v>29.5</x:v>
      </x:c>
      <x:c r="F182" s="34" t="n">
        <x:f>Subsurface_Live_Data!J181</x:f>
        <x:v>-5175.124627161256</x:v>
      </x:c>
      <x:c r="G182" s="34" t="n">
        <x:f>Subsurface_Live_Data!A181</x:f>
        <x:v>29.5</x:v>
      </x:c>
      <x:c r="H182" s="34" t="n">
        <x:f>Subsurface_Live_Data!L181</x:f>
        <x:v>-14957.961807796677</x:v>
      </x:c>
    </x:row>
    <x:row r="183">
      <x:c r="A183" s="34" t="n">
        <x:f>Subsurface_Live_Data!A182</x:f>
        <x:v>30</x:v>
      </x:c>
      <x:c r="B183" s="34" t="n">
        <x:f>Subsurface_Live_Data!B182</x:f>
        <x:v>258.3810354027646</x:v>
      </x:c>
      <x:c r="C183" s="34" t="n">
        <x:f>Subsurface_Live_Data!A182</x:f>
        <x:v>30</x:v>
      </x:c>
      <x:c r="D183" s="34" t="n">
        <x:f>Subsurface_Live_Data!G182</x:f>
        <x:v>-822.083518694091</x:v>
      </x:c>
      <x:c r="E183" s="34" t="n">
        <x:f>Subsurface_Live_Data!A182</x:f>
        <x:v>30</x:v>
      </x:c>
      <x:c r="F183" s="34" t="n">
        <x:f>Subsurface_Live_Data!J182</x:f>
        <x:v>-5175.030676082551</x:v>
      </x:c>
      <x:c r="G183" s="34" t="n">
        <x:f>Subsurface_Live_Data!A182</x:f>
        <x:v>30</x:v>
      </x:c>
      <x:c r="H183" s="34" t="n">
        <x:f>Subsurface_Live_Data!L182</x:f>
        <x:v>-14935.242803013412</x:v>
      </x:c>
    </x:row>
    <x:row r="184">
      <x:c r="A184" s="34" t="n">
        <x:f>Subsurface_Live_Data!A183</x:f>
        <x:v>30.5</x:v>
      </x:c>
      <x:c r="B184" s="34" t="n">
        <x:f>Subsurface_Live_Data!B183</x:f>
        <x:v>239.98613946224492</x:v>
      </x:c>
      <x:c r="C184" s="34" t="n">
        <x:f>Subsurface_Live_Data!A183</x:f>
        <x:v>30.5</x:v>
      </x:c>
      <x:c r="D184" s="34" t="n">
        <x:f>Subsurface_Live_Data!G183</x:f>
        <x:v>-843.7889717361145</x:v>
      </x:c>
      <x:c r="E184" s="34" t="n">
        <x:f>Subsurface_Live_Data!A183</x:f>
        <x:v>30.5</x:v>
      </x:c>
      <x:c r="F184" s="34" t="n">
        <x:f>Subsurface_Live_Data!J183</x:f>
        <x:v>-5188.107708248515</x:v>
      </x:c>
      <x:c r="G184" s="34" t="n">
        <x:f>Subsurface_Live_Data!A183</x:f>
        <x:v>30.5</x:v>
      </x:c>
      <x:c r="H184" s="34" t="n">
        <x:f>Subsurface_Live_Data!L183</x:f>
        <x:v>-14927.93885696703</x:v>
      </x:c>
    </x:row>
    <x:row r="185">
      <x:c r="A185" s="34" t="n">
        <x:f>Subsurface_Live_Data!A184</x:f>
        <x:v>31</x:v>
      </x:c>
      <x:c r="B185" s="34" t="n">
        <x:f>Subsurface_Live_Data!B184</x:f>
        <x:v>239.58052305996605</x:v>
      </x:c>
      <x:c r="C185" s="34" t="n">
        <x:f>Subsurface_Live_Data!A184</x:f>
        <x:v>31</x:v>
      </x:c>
      <x:c r="D185" s="34" t="n">
        <x:f>Subsurface_Live_Data!G184</x:f>
        <x:v>-848.9380332641017</x:v>
      </x:c>
      <x:c r="E185" s="34" t="n">
        <x:f>Subsurface_Live_Data!A184</x:f>
        <x:v>31</x:v>
      </x:c>
      <x:c r="F185" s="34" t="n">
        <x:f>Subsurface_Live_Data!J184</x:f>
        <x:v>-5183.119626711295</x:v>
      </x:c>
      <x:c r="G185" s="34" t="n">
        <x:f>Subsurface_Live_Data!A184</x:f>
        <x:v>31</x:v>
      </x:c>
      <x:c r="H185" s="34" t="n">
        <x:f>Subsurface_Live_Data!L184</x:f>
        <x:v>-14900.47729752532</x:v>
      </x:c>
    </x:row>
    <x:row r="186">
      <x:c r="A186" s="34" t="n">
        <x:f>Subsurface_Live_Data!A185</x:f>
        <x:v>31.5</x:v>
      </x:c>
      <x:c r="B186" s="34" t="n">
        <x:f>Subsurface_Live_Data!B185</x:f>
        <x:v>216.56157473369862</x:v>
      </x:c>
      <x:c r="C186" s="34" t="n">
        <x:f>Subsurface_Live_Data!A185</x:f>
        <x:v>31.5</x:v>
      </x:c>
      <x:c r="D186" s="34" t="n">
        <x:f>Subsurface_Live_Data!G185</x:f>
        <x:v>-876.5738020054513</x:v>
      </x:c>
      <x:c r="E186" s="34" t="n">
        <x:f>Subsurface_Live_Data!A185</x:f>
        <x:v>31.5</x:v>
      </x:c>
      <x:c r="F186" s="34" t="n">
        <x:f>Subsurface_Live_Data!J185</x:f>
        <x:v>-5200.666974360906</x:v>
      </x:c>
      <x:c r="G186" s="34" t="n">
        <x:f>Subsurface_Live_Data!A185</x:f>
        <x:v>31.5</x:v>
      </x:c>
      <x:c r="H186" s="34" t="n">
        <x:f>Subsurface_Live_Data!L185</x:f>
        <x:v>-14899.185351361704</x:v>
      </x:c>
    </x:row>
    <x:row r="187">
      <x:c r="A187" s="34" t="n">
        <x:f>Subsurface_Live_Data!A186</x:f>
        <x:v>32</x:v>
      </x:c>
      <x:c r="B187" s="34" t="n">
        <x:f>Subsurface_Live_Data!B186</x:f>
        <x:v>222.43770342182788</x:v>
      </x:c>
      <x:c r="C187" s="34" t="n">
        <x:f>Subsurface_Live_Data!A186</x:f>
        <x:v>32</x:v>
      </x:c>
      <x:c r="D187" s="34" t="n">
        <x:f>Subsurface_Live_Data!G186</x:f>
        <x:v>-877.3000445895292</x:v>
      </x:c>
      <x:c r="E187" s="34" t="n">
        <x:f>Subsurface_Live_Data!A186</x:f>
        <x:v>32</x:v>
      </x:c>
      <x:c r="F187" s="34" t="n">
        <x:f>Subsurface_Live_Data!J186</x:f>
        <x:v>-5189.232958419581</x:v>
      </x:c>
      <x:c r="G187" s="34" t="n">
        <x:f>Subsurface_Live_Data!A186</x:f>
        <x:v>32</x:v>
      </x:c>
      <x:c r="H187" s="34" t="n">
        <x:f>Subsurface_Live_Data!L186</x:f>
        <x:v>-14865.38228835753</x:v>
      </x:c>
    </x:row>
    <x:row r="188">
      <x:c r="A188" s="34" t="n">
        <x:f>Subsurface_Live_Data!A187</x:f>
        <x:v>32.5</x:v>
      </x:c>
      <x:c r="B188" s="34" t="n">
        <x:f>Subsurface_Live_Data!B187</x:f>
        <x:v>227.97180197677312</x:v>
      </x:c>
      <x:c r="C188" s="34" t="n">
        <x:f>Subsurface_Live_Data!A187</x:f>
        <x:v>32.5</x:v>
      </x:c>
      <x:c r="D188" s="34" t="n">
        <x:f>Subsurface_Live_Data!G187</x:f>
        <x:v>-879.2216381200856</x:v>
      </x:c>
      <x:c r="E188" s="34" t="n">
        <x:f>Subsurface_Live_Data!A187</x:f>
        <x:v>32.5</x:v>
      </x:c>
      <x:c r="F188" s="34" t="n">
        <x:f>Subsurface_Live_Data!J187</x:f>
        <x:v>-5178.0403345888035</x:v>
      </x:c>
      <x:c r="G188" s="34" t="n">
        <x:f>Subsurface_Live_Data!A187</x:f>
        <x:v>32.5</x:v>
      </x:c>
      <x:c r="H188" s="34" t="n">
        <x:f>Subsurface_Live_Data!L187</x:f>
        <x:v>-14832.435790686024</x:v>
      </x:c>
    </x:row>
    <x:row r="189">
      <x:c r="A189" s="34" t="n">
        <x:f>Subsurface_Live_Data!A188</x:f>
        <x:v>33</x:v>
      </x:c>
      <x:c r="B189" s="34" t="n">
        <x:f>Subsurface_Live_Data!B188</x:f>
        <x:v>226.0841822180117</x:v>
      </x:c>
      <x:c r="C189" s="34" t="n">
        <x:f>Subsurface_Live_Data!A188</x:f>
        <x:v>33</x:v>
      </x:c>
      <x:c r="D189" s="34" t="n">
        <x:f>Subsurface_Live_Data!G188</x:f>
        <x:v>-889.1561868853186</x:v>
      </x:c>
      <x:c r="E189" s="34" t="n">
        <x:f>Subsurface_Live_Data!A188</x:f>
        <x:v>33</x:v>
      </x:c>
      <x:c r="F189" s="34" t="n">
        <x:f>Subsurface_Live_Data!J188</x:f>
        <x:v>-5174.148949456629</x:v>
      </x:c>
      <x:c r="G189" s="34" t="n">
        <x:f>Subsurface_Live_Data!A188</x:f>
        <x:v>33</x:v>
      </x:c>
      <x:c r="H189" s="34" t="n">
        <x:f>Subsurface_Live_Data!L188</x:f>
        <x:v>-14808.452528332706</x:v>
      </x:c>
    </x:row>
    <x:row r="190">
      <x:c r="A190" s="34" t="n">
        <x:f>Subsurface_Live_Data!A189</x:f>
        <x:v>33.5</x:v>
      </x:c>
      <x:c r="B190" s="34" t="n">
        <x:f>Subsurface_Live_Data!B189</x:f>
        <x:v>226.23942491253771</x:v>
      </x:c>
      <x:c r="C190" s="34" t="n">
        <x:f>Subsurface_Live_Data!A189</x:f>
        <x:v>33.5</x:v>
      </x:c>
      <x:c r="D190" s="34" t="n">
        <x:f>Subsurface_Live_Data!G189</x:f>
        <x:v>-898.021381592855</x:v>
      </x:c>
      <x:c r="E190" s="34" t="n">
        <x:f>Subsurface_Live_Data!A189</x:f>
        <x:v>33.5</x:v>
      </x:c>
      <x:c r="F190" s="34" t="n">
        <x:f>Subsurface_Live_Data!J189</x:f>
        <x:v>-5168.069484568576</x:v>
      </x:c>
      <x:c r="G190" s="34" t="n">
        <x:f>Subsurface_Live_Data!A189</x:f>
        <x:v>33.5</x:v>
      </x:c>
      <x:c r="H190" s="34" t="n">
        <x:f>Subsurface_Live_Data!L189</x:f>
        <x:v>-14782.677075782214</x:v>
      </x:c>
    </x:row>
    <x:row r="191">
      <x:c r="A191" s="34" t="n">
        <x:f>Subsurface_Live_Data!A190</x:f>
        <x:v>34</x:v>
      </x:c>
      <x:c r="B191" s="34" t="n">
        <x:f>Subsurface_Live_Data!B190</x:f>
        <x:v>243.2704274883201</x:v>
      </x:c>
      <x:c r="C191" s="34" t="n">
        <x:f>Subsurface_Live_Data!A190</x:f>
        <x:v>34</x:v>
      </x:c>
      <x:c r="D191" s="34" t="n">
        <x:f>Subsurface_Live_Data!G190</x:f>
        <x:v>-891.5629780715265</x:v>
      </x:c>
      <x:c r="E191" s="34" t="n">
        <x:f>Subsurface_Live_Data!A190</x:f>
        <x:v>34</x:v>
      </x:c>
      <x:c r="F191" s="34" t="n">
        <x:f>Subsurface_Live_Data!J190</x:f>
        <x:v>-5144.940103165478</x:v>
      </x:c>
      <x:c r="G191" s="34" t="n">
        <x:f>Subsurface_Live_Data!A190</x:f>
        <x:v>34</x:v>
      </x:c>
      <x:c r="H191" s="34" t="n">
        <x:f>Subsurface_Live_Data!L190</x:f>
        <x:v>-14738.23242765449</x:v>
      </x:c>
    </x:row>
    <x:row r="192">
      <x:c r="A192" s="34" t="n">
        <x:f>Subsurface_Live_Data!A191</x:f>
        <x:v>34.5</x:v>
      </x:c>
      <x:c r="B192" s="34" t="n">
        <x:f>Subsurface_Live_Data!B191</x:f>
        <x:v>248.8414359782273</x:v>
      </x:c>
      <x:c r="C192" s="34" t="n">
        <x:f>Subsurface_Live_Data!A191</x:f>
        <x:v>34.5</x:v>
      </x:c>
      <x:c r="D192" s="34" t="n">
        <x:f>Subsurface_Live_Data!G191</x:f>
        <x:v>-896.9497026762742</x:v>
      </x:c>
      <x:c r="E192" s="34" t="n">
        <x:f>Subsurface_Live_Data!A191</x:f>
        <x:v>34.5</x:v>
      </x:c>
      <x:c r="F192" s="34" t="n">
        <x:f>Subsurface_Live_Data!J191</x:f>
        <x:v>-5133.064194469213</x:v>
      </x:c>
      <x:c r="G192" s="34" t="n">
        <x:f>Subsurface_Live_Data!A191</x:f>
        <x:v>34.5</x:v>
      </x:c>
      <x:c r="H192" s="34" t="n">
        <x:f>Subsurface_Live_Data!L191</x:f>
        <x:v>-14707.452076853153</x:v>
      </x:c>
    </x:row>
    <x:row r="193">
      <x:c r="A193" s="34" t="n">
        <x:f>Subsurface_Live_Data!A192</x:f>
        <x:v>35</x:v>
      </x:c>
      <x:c r="B193" s="34" t="n">
        <x:f>Subsurface_Live_Data!B192</x:f>
        <x:v>242.00890812042311</x:v>
      </x:c>
      <x:c r="C193" s="34" t="n">
        <x:f>Subsurface_Live_Data!A192</x:f>
        <x:v>35</x:v>
      </x:c>
      <x:c r="D193" s="34" t="n">
        <x:f>Subsurface_Live_Data!G192</x:f>
        <x:v>-915.0346070177721</x:v>
      </x:c>
      <x:c r="E193" s="34" t="n">
        <x:f>Subsurface_Live_Data!A192</x:f>
        <x:v>35</x:v>
      </x:c>
      <x:c r="F193" s="34" t="n">
        <x:f>Subsurface_Live_Data!J192</x:f>
        <x:v>-5133.350348163151</x:v>
      </x:c>
      <x:c r="G193" s="34" t="n">
        <x:f>Subsurface_Live_Data!A192</x:f>
        <x:v>35</x:v>
      </x:c>
      <x:c r="H193" s="34" t="n">
        <x:f>Subsurface_Live_Data!L192</x:f>
        <x:v>-14691.440569888666</x:v>
      </x:c>
    </x:row>
    <x:row r="194">
      <x:c r="A194" s="34" t="n">
        <x:f>Subsurface_Live_Data!A193</x:f>
        <x:v>35.5</x:v>
      </x:c>
      <x:c r="B194" s="34" t="n">
        <x:f>Subsurface_Live_Data!B193</x:f>
        <x:v>242.63788270086079</x:v>
      </x:c>
      <x:c r="C194" s="34" t="n">
        <x:f>Subsurface_Live_Data!A193</x:f>
        <x:v>35.5</x:v>
      </x:c>
      <x:c r="D194" s="34" t="n">
        <x:f>Subsurface_Live_Data!G193</x:f>
        <x:v>-926.6755126830548</x:v>
      </x:c>
      <x:c r="E194" s="34" t="n">
        <x:f>Subsurface_Live_Data!A193</x:f>
        <x:v>35.5</x:v>
      </x:c>
      <x:c r="F194" s="34" t="n">
        <x:f>Subsurface_Live_Data!J193</x:f>
        <x:v>-5125.896862422095</x:v>
      </x:c>
      <x:c r="G194" s="34" t="n">
        <x:f>Subsurface_Live_Data!A193</x:f>
        <x:v>35.5</x:v>
      </x:c>
      <x:c r="H194" s="34" t="n">
        <x:f>Subsurface_Live_Data!L193</x:f>
        <x:v>-14667.57878992478</x:v>
      </x:c>
    </x:row>
    <x:row r="195">
      <x:c r="A195" s="34" t="n">
        <x:f>Subsurface_Live_Data!A194</x:f>
        <x:v>36</x:v>
      </x:c>
      <x:c r="B195" s="34" t="n">
        <x:f>Subsurface_Live_Data!B194</x:f>
        <x:v>251.8480330414438</x:v>
      </x:c>
      <x:c r="C195" s="34" t="n">
        <x:f>Subsurface_Live_Data!A194</x:f>
        <x:v>36</x:v>
      </x:c>
      <x:c r="D195" s="34" t="n">
        <x:f>Subsurface_Live_Data!G194</x:f>
        <x:v>-930.7073367968153</x:v>
      </x:c>
      <x:c r="E195" s="34" t="n">
        <x:f>Subsurface_Live_Data!A194</x:f>
        <x:v>36</x:v>
      </x:c>
      <x:c r="F195" s="34" t="n">
        <x:f>Subsurface_Live_Data!J194</x:f>
        <x:v>-5109.546585590188</x:v>
      </x:c>
      <x:c r="G195" s="34" t="n">
        <x:f>Subsurface_Live_Data!A194</x:f>
        <x:v>36</x:v>
      </x:c>
      <x:c r="H195" s="34" t="n">
        <x:f>Subsurface_Live_Data!L194</x:f>
        <x:v>-14634.615404871765</x:v>
      </x:c>
    </x:row>
    <x:row r="196">
      <x:c r="A196" s="34" t="n">
        <x:f>Subsurface_Live_Data!A195</x:f>
        <x:v>36.5</x:v>
      </x:c>
      <x:c r="B196" s="34" t="n">
        <x:f>Subsurface_Live_Data!B195</x:f>
        <x:v>274.3131350022337</x:v>
      </x:c>
      <x:c r="C196" s="34" t="n">
        <x:f>Subsurface_Live_Data!A195</x:f>
        <x:v>36.5</x:v>
      </x:c>
      <x:c r="D196" s="34" t="n">
        <x:f>Subsurface_Live_Data!G195</x:f>
        <x:v>-922.5355117392124</x:v>
      </x:c>
      <x:c r="E196" s="34" t="n">
        <x:f>Subsurface_Live_Data!A195</x:f>
        <x:v>36.5</x:v>
      </x:c>
      <x:c r="F196" s="34" t="n">
        <x:f>Subsurface_Live_Data!J195</x:f>
        <x:v>-5079.588339389804</x:v>
      </x:c>
      <x:c r="G196" s="34" t="n">
        <x:f>Subsurface_Live_Data!A195</x:f>
        <x:v>36.5</x:v>
      </x:c>
      <x:c r="H196" s="34" t="n">
        <x:f>Subsurface_Live_Data!L195</x:f>
        <x:v>-14587.24542802724</x:v>
      </x:c>
    </x:row>
    <x:row r="197">
      <x:c r="A197" s="34" t="n">
        <x:f>Subsurface_Live_Data!A196</x:f>
        <x:v>37</x:v>
      </x:c>
      <x:c r="B197" s="34" t="n">
        <x:f>Subsurface_Live_Data!B196</x:f>
        <x:v>277.26991348245565</x:v>
      </x:c>
      <x:c r="C197" s="34" t="n">
        <x:f>Subsurface_Live_Data!A196</x:f>
        <x:v>37</x:v>
      </x:c>
      <x:c r="D197" s="34" t="n">
        <x:f>Subsurface_Live_Data!G196</x:f>
        <x:v>-933.4887609746736</x:v>
      </x:c>
      <x:c r="E197" s="34" t="n">
        <x:f>Subsurface_Live_Data!A196</x:f>
        <x:v>37</x:v>
      </x:c>
      <x:c r="F197" s="34" t="n">
        <x:f>Subsurface_Live_Data!J196</x:f>
        <x:v>-5068.748938833323</x:v>
      </x:c>
      <x:c r="G197" s="34" t="n">
        <x:f>Subsurface_Live_Data!A196</x:f>
        <x:v>37</x:v>
      </x:c>
      <x:c r="H197" s="34" t="n">
        <x:f>Subsurface_Live_Data!L196</x:f>
        <x:v>-14562.840092429551</x:v>
      </x:c>
    </x:row>
    <x:row r="198">
      <x:c r="A198" s="34" t="n">
        <x:f>Subsurface_Live_Data!A197</x:f>
        <x:v>37.5</x:v>
      </x:c>
      <x:c r="B198" s="34" t="n">
        <x:f>Subsurface_Live_Data!B197</x:f>
        <x:v>280.6842863692354</x:v>
      </x:c>
      <x:c r="C198" s="34" t="n">
        <x:f>Subsurface_Live_Data!A197</x:f>
        <x:v>37.5</x:v>
      </x:c>
      <x:c r="D198" s="34" t="n">
        <x:f>Subsurface_Live_Data!G197</x:f>
        <x:v>-944.2611133019361</x:v>
      </x:c>
      <x:c r="E198" s="34" t="n">
        <x:f>Subsurface_Live_Data!A197</x:f>
        <x:v>37.5</x:v>
      </x:c>
      <x:c r="F198" s="34" t="n">
        <x:f>Subsurface_Live_Data!J197</x:f>
        <x:v>-5057.027770550233</x:v>
      </x:c>
      <x:c r="G198" s="34" t="n">
        <x:f>Subsurface_Live_Data!A197</x:f>
        <x:v>37.5</x:v>
      </x:c>
      <x:c r="H198" s="34" t="n">
        <x:f>Subsurface_Live_Data!L197</x:f>
        <x:v>-14538.657297416157</x:v>
      </x:c>
    </x:row>
    <x:row r="199">
      <x:c r="A199" s="34" t="n">
        <x:f>Subsurface_Live_Data!A198</x:f>
        <x:v>38</x:v>
      </x:c>
      <x:c r="B199" s="34" t="n">
        <x:f>Subsurface_Live_Data!B198</x:f>
        <x:v>282.3717678695042</x:v>
      </x:c>
      <x:c r="C199" s="34" t="n">
        <x:f>Subsurface_Live_Data!A198</x:f>
        <x:v>38</x:v>
      </x:c>
      <x:c r="D199" s="34" t="n">
        <x:f>Subsurface_Live_Data!G198</x:f>
        <x:v>-956.7982380300176</x:v>
      </x:c>
      <x:c r="E199" s="34" t="n">
        <x:f>Subsurface_Live_Data!A198</x:f>
        <x:v>38</x:v>
      </x:c>
      <x:c r="F199" s="34" t="n">
        <x:f>Subsurface_Live_Data!J198</x:f>
        <x:v>-5046.577150283418</x:v>
      </x:c>
      <x:c r="G199" s="34" t="n">
        <x:f>Subsurface_Live_Data!A198</x:f>
        <x:v>38</x:v>
      </x:c>
      <x:c r="H199" s="34" t="n">
        <x:f>Subsurface_Live_Data!L198</x:f>
        <x:v>-14517.20431886105</x:v>
      </x:c>
    </x:row>
    <x:row r="200">
      <x:c r="A200" s="34" t="n">
        <x:f>Subsurface_Live_Data!A199</x:f>
        <x:v>38.5</x:v>
      </x:c>
      <x:c r="B200" s="34" t="n">
        <x:f>Subsurface_Live_Data!B199</x:f>
        <x:v>311.18191933727104</x:v>
      </x:c>
      <x:c r="C200" s="34" t="n">
        <x:f>Subsurface_Live_Data!A199</x:f>
        <x:v>38.5</x:v>
      </x:c>
      <x:c r="D200" s="34" t="n">
        <x:f>Subsurface_Live_Data!G199</x:f>
        <x:v>-943.2425763796589</x:v>
      </x:c>
      <x:c r="E200" s="34" t="n">
        <x:f>Subsurface_Live_Data!A199</x:f>
        <x:v>38.5</x:v>
      </x:c>
      <x:c r="F200" s="34" t="n">
        <x:f>Subsurface_Live_Data!J199</x:f>
        <x:v>-5008.518556589677</x:v>
      </x:c>
      <x:c r="G200" s="34" t="n">
        <x:f>Subsurface_Live_Data!A199</x:f>
        <x:v>38.5</x:v>
      </x:c>
      <x:c r="H200" s="34" t="n">
        <x:f>Subsurface_Live_Data!L199</x:f>
        <x:v>-14465.607510710091</x:v>
      </x:c>
    </x:row>
    <x:row r="201">
      <x:c r="A201" s="34" t="n">
        <x:f>Subsurface_Live_Data!A200</x:f>
        <x:v>39</x:v>
      </x:c>
      <x:c r="B201" s="34" t="n">
        <x:f>Subsurface_Live_Data!B200</x:f>
        <x:v>302.8435496777789</x:v>
      </x:c>
      <x:c r="C201" s="34" t="n">
        <x:f>Subsurface_Live_Data!A200</x:f>
        <x:v>39</x:v>
      </x:c>
      <x:c r="D201" s="34" t="n">
        <x:f>Subsurface_Live_Data!G200</x:f>
        <x:v>-965.1243975013323</x:v>
      </x:c>
      <x:c r="E201" s="34" t="n">
        <x:f>Subsurface_Live_Data!A200</x:f>
        <x:v>39</x:v>
      </x:c>
      <x:c r="F201" s="34" t="n">
        <x:f>Subsurface_Live_Data!J200</x:f>
        <x:v>-5007.098026593233</x:v>
      </x:c>
      <x:c r="G201" s="34" t="n">
        <x:f>Subsurface_Live_Data!A200</x:f>
        <x:v>39</x:v>
      </x:c>
      <x:c r="H201" s="34" t="n">
        <x:f>Subsurface_Live_Data!L200</x:f>
        <x:v>-14457.148757493886</x:v>
      </x:c>
    </x:row>
    <x:row r="202">
      <x:c r="A202" s="34" t="n">
        <x:f>Subsurface_Live_Data!A201</x:f>
        <x:v>39.5</x:v>
      </x:c>
      <x:c r="B202" s="34" t="n">
        <x:f>Subsurface_Live_Data!B201</x:f>
        <x:v>298.92940490783735</x:v>
      </x:c>
      <x:c r="C202" s="34" t="n">
        <x:f>Subsurface_Live_Data!A201</x:f>
        <x:v>39.5</x:v>
      </x:c>
      <x:c r="D202" s="34" t="n">
        <x:f>Subsurface_Live_Data!G201</x:f>
        <x:v>-982.3583466864543</x:v>
      </x:c>
      <x:c r="E202" s="34" t="n">
        <x:f>Subsurface_Live_Data!A201</x:f>
        <x:v>39.5</x:v>
      </x:c>
      <x:c r="F202" s="34" t="n">
        <x:f>Subsurface_Live_Data!J201</x:f>
        <x:v>-5000.721965139524</x:v>
      </x:c>
      <x:c r="G202" s="34" t="n">
        <x:f>Subsurface_Live_Data!A201</x:f>
        <x:v>39.5</x:v>
      </x:c>
      <x:c r="H202" s="34" t="n">
        <x:f>Subsurface_Live_Data!L201</x:f>
        <x:v>-14444.445714736334</x:v>
      </x:c>
    </x:row>
    <x:row r="203">
      <x:c r="A203" s="34" t="n">
        <x:f>Subsurface_Live_Data!A202</x:f>
        <x:v>40</x:v>
      </x:c>
      <x:c r="B203" s="34" t="n">
        <x:f>Subsurface_Live_Data!B202</x:f>
        <x:v>304.82117281231683</x:v>
      </x:c>
      <x:c r="C203" s="34" t="n">
        <x:f>Subsurface_Live_Data!A202</x:f>
        <x:v>40</x:v>
      </x:c>
      <x:c r="D203" s="34" t="n">
        <x:f>Subsurface_Live_Data!G202</x:f>
        <x:v>-989.5998463981174</x:v>
      </x:c>
      <x:c r="E203" s="34" t="n">
        <x:f>Subsurface_Live_Data!A202</x:f>
        <x:v>40</x:v>
      </x:c>
      <x:c r="F203" s="34" t="n">
        <x:f>Subsurface_Live_Data!J202</x:f>
        <x:v>-4983.992535431757</x:v>
      </x:c>
      <x:c r="G203" s="34" t="n">
        <x:f>Subsurface_Live_Data!A202</x:f>
        <x:v>40</x:v>
      </x:c>
      <x:c r="H203" s="34" t="n">
        <x:f>Subsurface_Live_Data!L202</x:f>
        <x:v>-14421.371695711548</x:v>
      </x:c>
    </x:row>
    <x:row r="204">
      <x:c r="A204" s="34" t="n">
        <x:f>Subsurface_Live_Data!A203</x:f>
        <x:v>40.5</x:v>
      </x:c>
      <x:c r="B204" s="34" t="n">
        <x:f>Subsurface_Live_Data!B203</x:f>
        <x:v>300.6975060152245</x:v>
      </x:c>
      <x:c r="C204" s="34" t="n">
        <x:f>Subsurface_Live_Data!A203</x:f>
        <x:v>40.5</x:v>
      </x:c>
      <x:c r="D204" s="34" t="n">
        <x:f>Subsurface_Live_Data!G203</x:f>
        <x:v>-1005.6995052697962</x:v>
      </x:c>
      <x:c r="E204" s="34" t="n">
        <x:f>Subsurface_Live_Data!A203</x:f>
        <x:v>40.5</x:v>
      </x:c>
      <x:c r="F204" s="34" t="n">
        <x:f>Subsurface_Live_Data!J203</x:f>
        <x:v>-4976.719924938761</x:v>
      </x:c>
      <x:c r="G204" s="34" t="n">
        <x:f>Subsurface_Live_Data!A203</x:f>
        <x:v>40.5</x:v>
      </x:c>
      <x:c r="H204" s="34" t="n">
        <x:f>Subsurface_Live_Data!L203</x:f>
        <x:v>-14410.529322776032</x:v>
      </x:c>
    </x:row>
    <x:row r="205">
      <x:c r="A205" s="34" t="n">
        <x:f>Subsurface_Live_Data!A204</x:f>
        <x:v>41</x:v>
      </x:c>
      <x:c r="B205" s="34" t="n">
        <x:f>Subsurface_Live_Data!B204</x:f>
        <x:v>276.55710773836364</x:v>
      </x:c>
      <x:c r="C205" s="34" t="n">
        <x:f>Subsurface_Live_Data!A204</x:f>
        <x:v>41</x:v>
      </x:c>
      <x:c r="D205" s="34" t="n">
        <x:f>Subsurface_Live_Data!G204</x:f>
        <x:v>-1040.0839206201697</x:v>
      </x:c>
      <x:c r="E205" s="34" t="n">
        <x:f>Subsurface_Live_Data!A204</x:f>
        <x:v>41</x:v>
      </x:c>
      <x:c r="F205" s="34" t="n">
        <x:f>Subsurface_Live_Data!J204</x:f>
        <x:v>-4988.89944237781</x:v>
      </x:c>
      <x:c r="G205" s="34" t="n">
        <x:f>Subsurface_Live_Data!A204</x:f>
        <x:v>41</x:v>
      </x:c>
      <x:c r="H205" s="34" t="n">
        <x:f>Subsurface_Live_Data!L204</x:f>
        <x:v>-14423.324212800604</x:v>
      </x:c>
    </x:row>
    <x:row r="206">
      <x:c r="A206" s="34" t="n">
        <x:f>Subsurface_Live_Data!A205</x:f>
        <x:v>41.5</x:v>
      </x:c>
      <x:c r="B206" s="34" t="n">
        <x:f>Subsurface_Live_Data!B205</x:f>
        <x:v>269.21554101681534</x:v>
      </x:c>
      <x:c r="C206" s="34" t="n">
        <x:f>Subsurface_Live_Data!A205</x:f>
        <x:v>41.5</x:v>
      </x:c>
      <x:c r="D206" s="34" t="n">
        <x:f>Subsurface_Live_Data!G205</x:f>
        <x:v>-1057.241706866886</x:v>
      </x:c>
      <x:c r="E206" s="34" t="n">
        <x:f>Subsurface_Live_Data!A205</x:f>
        <x:v>41.5</x:v>
      </x:c>
      <x:c r="F206" s="34" t="n">
        <x:f>Subsurface_Live_Data!J205</x:f>
        <x:v>-4983.714787842305</x:v>
      </x:c>
      <x:c r="G206" s="34" t="n">
        <x:f>Subsurface_Live_Data!A205</x:f>
        <x:v>41.5</x:v>
      </x:c>
      <x:c r="H206" s="34" t="n">
        <x:f>Subsurface_Live_Data!L205</x:f>
        <x:v>-14417.78862340636</x:v>
      </x:c>
    </x:row>
    <x:row r="207">
      <x:c r="A207" s="34" t="n">
        <x:f>Subsurface_Live_Data!A206</x:f>
        <x:v>42</x:v>
      </x:c>
      <x:c r="B207" s="34" t="n">
        <x:f>Subsurface_Live_Data!B206</x:f>
        <x:v>271.1262021129023</x:v>
      </x:c>
      <x:c r="C207" s="34" t="n">
        <x:f>Subsurface_Live_Data!A206</x:f>
        <x:v>42</x:v>
      </x:c>
      <x:c r="D207" s="34" t="n">
        <x:f>Subsurface_Live_Data!G206</x:f>
        <x:v>-1064.2582731012208</x:v>
      </x:c>
      <x:c r="E207" s="34" t="n">
        <x:f>Subsurface_Live_Data!A206</x:f>
        <x:v>42</x:v>
      </x:c>
      <x:c r="F207" s="34" t="n">
        <x:f>Subsurface_Live_Data!J206</x:f>
        <x:v>-4968.717060648844</x:v>
      </x:c>
      <x:c r="G207" s="34" t="n">
        <x:f>Subsurface_Live_Data!A206</x:f>
        <x:v>42</x:v>
      </x:c>
      <x:c r="H207" s="34" t="n">
        <x:f>Subsurface_Live_Data!L206</x:f>
        <x:v>-14402.52555752637</x:v>
      </x:c>
    </x:row>
    <x:row r="208">
      <x:c r="A208" s="34" t="n">
        <x:f>Subsurface_Live_Data!A207</x:f>
        <x:v>42.5</x:v>
      </x:c>
      <x:c r="B208" s="34" t="n">
        <x:f>Subsurface_Live_Data!B207</x:f>
        <x:v>259.7768551367322</x:v>
      </x:c>
      <x:c r="C208" s="34" t="n">
        <x:f>Subsurface_Live_Data!A207</x:f>
        <x:v>42.5</x:v>
      </x:c>
      <x:c r="D208" s="34" t="n">
        <x:f>Subsurface_Live_Data!G207</x:f>
        <x:v>-1082.597955712378</x:v>
      </x:c>
      <x:c r="E208" s="34" t="n">
        <x:f>Subsurface_Live_Data!A207</x:f>
        <x:v>42.5</x:v>
      </x:c>
      <x:c r="F208" s="34" t="n">
        <x:f>Subsurface_Live_Data!J207</x:f>
        <x:v>-4966.4281153414795</x:v>
      </x:c>
      <x:c r="G208" s="34" t="n">
        <x:f>Subsurface_Live_Data!A207</x:f>
        <x:v>42.5</x:v>
      </x:c>
      <x:c r="H208" s="34" t="n">
        <x:f>Subsurface_Live_Data!L207</x:f>
        <x:v>-14403.196733656681</x:v>
      </x:c>
    </x:row>
    <x:row r="209">
      <x:c r="A209" s="34" t="n">
        <x:f>Subsurface_Live_Data!A208</x:f>
        <x:v>43</x:v>
      </x:c>
      <x:c r="B209" s="34" t="n">
        <x:f>Subsurface_Live_Data!B208</x:f>
        <x:v>247.2629698422237</x:v>
      </x:c>
      <x:c r="C209" s="34" t="n">
        <x:f>Subsurface_Live_Data!A208</x:f>
        <x:v>43</x:v>
      </x:c>
      <x:c r="D209" s="34" t="n">
        <x:f>Subsurface_Live_Data!G208</x:f>
        <x:v>-1100.5162624103223</x:v>
      </x:c>
      <x:c r="E209" s="34" t="n">
        <x:f>Subsurface_Live_Data!A208</x:f>
        <x:v>43</x:v>
      </x:c>
      <x:c r="F209" s="34" t="n">
        <x:f>Subsurface_Live_Data!J208</x:f>
        <x:v>-4964.767033068494</x:v>
      </x:c>
      <x:c r="G209" s="34" t="n">
        <x:f>Subsurface_Live_Data!A208</x:f>
        <x:v>43</x:v>
      </x:c>
      <x:c r="H209" s="34" t="n">
        <x:f>Subsurface_Live_Data!L208</x:f>
        <x:v>-14406.009005891032</x:v>
      </x:c>
    </x:row>
    <x:row r="210">
      <x:c r="A210" s="34" t="n">
        <x:f>Subsurface_Live_Data!A209</x:f>
        <x:v>43.5</x:v>
      </x:c>
      <x:c r="B210" s="34" t="n">
        <x:f>Subsurface_Live_Data!B209</x:f>
        <x:v>225.35528260314678</x:v>
      </x:c>
      <x:c r="C210" s="34" t="n">
        <x:f>Subsurface_Live_Data!A209</x:f>
        <x:v>43.5</x:v>
      </x:c>
      <x:c r="D210" s="34" t="n">
        <x:f>Subsurface_Live_Data!G209</x:f>
        <x:v>-1125.7974556560139</x:v>
      </x:c>
      <x:c r="E210" s="34" t="n">
        <x:f>Subsurface_Live_Data!A209</x:f>
        <x:v>43.5</x:v>
      </x:c>
      <x:c r="F210" s="34" t="n">
        <x:f>Subsurface_Live_Data!J209</x:f>
        <x:v>-4971.982298832261</x:v>
      </x:c>
      <x:c r="G210" s="34" t="n">
        <x:f>Subsurface_Live_Data!A209</x:f>
        <x:v>43.5</x:v>
      </x:c>
      <x:c r="H210" s="34" t="n">
        <x:f>Subsurface_Live_Data!L209</x:f>
        <x:v>-14420.337374859108</x:v>
      </x:c>
    </x:row>
    <x:row r="211">
      <x:c r="A211" s="34" t="n">
        <x:f>Subsurface_Live_Data!A210</x:f>
        <x:v>44</x:v>
      </x:c>
      <x:c r="B211" s="34" t="n">
        <x:f>Subsurface_Live_Data!B210</x:f>
        <x:v>208.84015984832814</x:v>
      </x:c>
      <x:c r="C211" s="34" t="n">
        <x:f>Subsurface_Live_Data!A210</x:f>
        <x:v>44</x:v>
      </x:c>
      <x:c r="D211" s="34" t="n">
        <x:f>Subsurface_Live_Data!G210</x:f>
        <x:v>-1144.149994084235</x:v>
      </x:c>
      <x:c r="E211" s="34" t="n">
        <x:f>Subsurface_Live_Data!A210</x:f>
        <x:v>44</x:v>
      </x:c>
      <x:c r="F211" s="34" t="n">
        <x:f>Subsurface_Live_Data!J210</x:f>
        <x:v>-4973.311116733131</x:v>
      </x:c>
      <x:c r="G211" s="34" t="n">
        <x:f>Subsurface_Live_Data!A210</x:f>
        <x:v>44</x:v>
      </x:c>
      <x:c r="H211" s="34" t="n">
        <x:f>Subsurface_Live_Data!L210</x:f>
        <x:v>-14429.317009101394</x:v>
      </x:c>
    </x:row>
    <x:row r="212">
      <x:c r="A212" s="34" t="n">
        <x:f>Subsurface_Live_Data!A211</x:f>
        <x:v>44.5</x:v>
      </x:c>
      <x:c r="B212" s="34" t="n">
        <x:f>Subsurface_Live_Data!B211</x:f>
        <x:v>178.96296340227542</x:v>
      </x:c>
      <x:c r="C212" s="34" t="n">
        <x:f>Subsurface_Live_Data!A211</x:f>
        <x:v>44.5</x:v>
      </x:c>
      <x:c r="D212" s="34" t="n">
        <x:f>Subsurface_Live_Data!G211</x:f>
        <x:v>-1173.5027994666746</x:v>
      </x:c>
      <x:c r="E212" s="34" t="n">
        <x:f>Subsurface_Live_Data!A211</x:f>
        <x:v>44.5</x:v>
      </x:c>
      <x:c r="F212" s="34" t="n">
        <x:f>Subsurface_Live_Data!J211</x:f>
        <x:v>-4987.535675638616</x:v>
      </x:c>
      <x:c r="G212" s="34" t="n">
        <x:f>Subsurface_Live_Data!A211</x:f>
        <x:v>44.5</x:v>
      </x:c>
      <x:c r="H212" s="34" t="n">
        <x:f>Subsurface_Live_Data!L211</x:f>
        <x:v>-14454.317849409868</x:v>
      </x:c>
    </x:row>
    <x:row r="213">
      <x:c r="A213" s="34" t="n">
        <x:f>Subsurface_Live_Data!A212</x:f>
        <x:v>45</x:v>
      </x:c>
      <x:c r="B213" s="34" t="n">
        <x:f>Subsurface_Live_Data!B212</x:f>
        <x:v>165.26573251393552</x:v>
      </x:c>
      <x:c r="C213" s="34" t="n">
        <x:f>Subsurface_Live_Data!A212</x:f>
        <x:v>45</x:v>
      </x:c>
      <x:c r="D213" s="34" t="n">
        <x:f>Subsurface_Live_Data!G212</x:f>
        <x:v>-1185.4426511273116</x:v>
      </x:c>
      <x:c r="E213" s="34" t="n">
        <x:f>Subsurface_Live_Data!A212</x:f>
        <x:v>45</x:v>
      </x:c>
      <x:c r="F213" s="34" t="n">
        <x:f>Subsurface_Live_Data!J212</x:f>
        <x:v>-4985.145062455269</x:v>
      </x:c>
      <x:c r="G213" s="34" t="n">
        <x:f>Subsurface_Live_Data!A212</x:f>
        <x:v>45</x:v>
      </x:c>
      <x:c r="H213" s="34" t="n">
        <x:f>Subsurface_Live_Data!L212</x:f>
        <x:v>-14461.64969716686</x:v>
      </x:c>
    </x:row>
    <x:row r="214">
      <x:c r="A214" s="34" t="n">
        <x:f>Subsurface_Live_Data!A213</x:f>
        <x:v>45.5</x:v>
      </x:c>
      <x:c r="B214" s="34" t="n">
        <x:f>Subsurface_Live_Data!B213</x:f>
        <x:v>168.78187987738474</x:v>
      </x:c>
      <x:c r="C214" s="34" t="n">
        <x:f>Subsurface_Live_Data!A213</x:f>
        <x:v>45.5</x:v>
      </x:c>
      <x:c r="D214" s="34" t="n">
        <x:f>Subsurface_Live_Data!G213</x:f>
        <x:v>-1178.9484882610268</x:v>
      </x:c>
      <x:c r="E214" s="34" t="n">
        <x:f>Subsurface_Live_Data!A213</x:f>
        <x:v>45.5</x:v>
      </x:c>
      <x:c r="F214" s="34" t="n">
        <x:f>Subsurface_Live_Data!J213</x:f>
        <x:v>-4965.140137382676</x:v>
      </x:c>
      <x:c r="G214" s="34" t="n">
        <x:f>Subsurface_Live_Data!A213</x:f>
        <x:v>45.5</x:v>
      </x:c>
      <x:c r="H214" s="34" t="n">
        <x:f>Subsurface_Live_Data!L213</x:f>
        <x:v>-14450.120311627736</x:v>
      </x:c>
    </x:row>
    <x:row r="215">
      <x:c r="A215" s="34" t="n">
        <x:f>Subsurface_Live_Data!A214</x:f>
        <x:v>46</x:v>
      </x:c>
      <x:c r="B215" s="34" t="n">
        <x:f>Subsurface_Live_Data!B214</x:f>
        <x:v>147.2236511039814</x:v>
      </x:c>
      <x:c r="C215" s="34" t="n">
        <x:f>Subsurface_Live_Data!A214</x:f>
        <x:v>46</x:v>
      </x:c>
      <x:c r="D215" s="34" t="n">
        <x:f>Subsurface_Live_Data!G214</x:f>
        <x:v>-1194.6122768624373</x:v>
      </x:c>
      <x:c r="E215" s="34" t="n">
        <x:f>Subsurface_Live_Data!A214</x:f>
        <x:v>46</x:v>
      </x:c>
      <x:c r="F215" s="34" t="n">
        <x:f>Subsurface_Live_Data!J214</x:f>
        <x:v>-4969.845632782026</x:v>
      </x:c>
      <x:c r="G215" s="34" t="n">
        <x:f>Subsurface_Live_Data!A214</x:f>
        <x:v>46</x:v>
      </x:c>
      <x:c r="H215" s="34" t="n">
        <x:f>Subsurface_Live_Data!L214</x:f>
        <x:v>-14467.921761622722</x:v>
      </x:c>
    </x:row>
    <x:row r="216">
      <x:c r="A216" s="34" t="n">
        <x:f>Subsurface_Live_Data!A215</x:f>
        <x:v>46.5</x:v>
      </x:c>
      <x:c r="B216" s="34" t="n">
        <x:f>Subsurface_Live_Data!B215</x:f>
        <x:v>125.26409736726505</x:v>
      </x:c>
      <x:c r="C216" s="34" t="n">
        <x:f>Subsurface_Live_Data!A215</x:f>
        <x:v>46.5</x:v>
      </x:c>
      <x:c r="D216" s="34" t="n">
        <x:f>Subsurface_Live_Data!G215</x:f>
        <x:v>-1208.7687444969135</x:v>
      </x:c>
      <x:c r="E216" s="34" t="n">
        <x:f>Subsurface_Live_Data!A215</x:f>
        <x:v>46.5</x:v>
      </x:c>
      <x:c r="F216" s="34" t="n">
        <x:f>Subsurface_Live_Data!J215</x:f>
        <x:v>-4974.627736176234</x:v>
      </x:c>
      <x:c r="G216" s="34" t="n">
        <x:f>Subsurface_Live_Data!A215</x:f>
        <x:v>46.5</x:v>
      </x:c>
      <x:c r="H216" s="34" t="n">
        <x:f>Subsurface_Live_Data!L215</x:f>
        <x:v>-14486.909036842833</x:v>
      </x:c>
    </x:row>
    <x:row r="217">
      <x:c r="A217" s="34" t="n">
        <x:f>Subsurface_Live_Data!A216</x:f>
        <x:v>47</x:v>
      </x:c>
      <x:c r="B217" s="34" t="n">
        <x:f>Subsurface_Live_Data!B216</x:f>
        <x:v>119.07484471636309</x:v>
      </x:c>
      <x:c r="C217" s="34" t="n">
        <x:f>Subsurface_Live_Data!A216</x:f>
        <x:v>47</x:v>
      </x:c>
      <x:c r="D217" s="34" t="n">
        <x:f>Subsurface_Live_Data!G216</x:f>
        <x:v>-1205.9391408247934</x:v>
      </x:c>
      <x:c r="E217" s="34" t="n">
        <x:f>Subsurface_Live_Data!A216</x:f>
        <x:v>47</x:v>
      </x:c>
      <x:c r="F217" s="34" t="n">
        <x:f>Subsurface_Live_Data!J216</x:f>
        <x:v>-4963.355883064505</x:v>
      </x:c>
      <x:c r="G217" s="34" t="n">
        <x:f>Subsurface_Live_Data!A216</x:f>
        <x:v>47</x:v>
      </x:c>
      <x:c r="H217" s="34" t="n">
        <x:f>Subsurface_Live_Data!L216</x:f>
        <x:v>-14488.627055360099</x:v>
      </x:c>
    </x:row>
    <x:row r="218">
      <x:c r="A218" s="34" t="n">
        <x:f>Subsurface_Live_Data!A217</x:f>
        <x:v>47.5</x:v>
      </x:c>
      <x:c r="B218" s="34" t="n">
        <x:f>Subsurface_Live_Data!B217</x:f>
        <x:v>107.75271022723112</x:v>
      </x:c>
      <x:c r="C218" s="34" t="n">
        <x:f>Subsurface_Live_Data!A217</x:f>
        <x:v>47.5</x:v>
      </x:c>
      <x:c r="D218" s="34" t="n">
        <x:f>Subsurface_Live_Data!G217</x:f>
        <x:v>-1206.2612930817065</x:v>
      </x:c>
      <x:c r="E218" s="34" t="n">
        <x:f>Subsurface_Live_Data!A217</x:f>
        <x:v>47.5</x:v>
      </x:c>
      <x:c r="F218" s="34" t="n">
        <x:f>Subsurface_Live_Data!J217</x:f>
        <x:v>-4956.975717352328</x:v>
      </x:c>
      <x:c r="G218" s="34" t="n">
        <x:f>Subsurface_Live_Data!A217</x:f>
        <x:v>47.5</x:v>
      </x:c>
      <x:c r="H218" s="34" t="n">
        <x:f>Subsurface_Live_Data!L217</x:f>
        <x:v>-14496.884390013083</x:v>
      </x:c>
    </x:row>
    <x:row r="219">
      <x:c r="A219" s="34" t="n">
        <x:f>Subsurface_Live_Data!A218</x:f>
        <x:v>48</x:v>
      </x:c>
      <x:c r="B219" s="34" t="n">
        <x:f>Subsurface_Live_Data!B218</x:f>
        <x:v>124.99715373468393</x:v>
      </x:c>
      <x:c r="C219" s="34" t="n">
        <x:f>Subsurface_Live_Data!A218</x:f>
        <x:v>48</x:v>
      </x:c>
      <x:c r="D219" s="34" t="n">
        <x:f>Subsurface_Live_Data!G218</x:f>
        <x:v>-1177.4784520475891</x:v>
      </x:c>
      <x:c r="E219" s="34" t="n">
        <x:f>Subsurface_Live_Data!A218</x:f>
        <x:v>48</x:v>
      </x:c>
      <x:c r="F219" s="34" t="n">
        <x:f>Subsurface_Live_Data!J218</x:f>
        <x:v>-4921.831237324414</x:v>
      </x:c>
      <x:c r="G219" s="34" t="n">
        <x:f>Subsurface_Live_Data!A218</x:f>
        <x:v>48</x:v>
      </x:c>
      <x:c r="H219" s="34" t="n">
        <x:f>Subsurface_Live_Data!L218</x:f>
        <x:v>-14473.241046303865</x:v>
      </x:c>
    </x:row>
    <x:row r="220">
      <x:c r="A220" s="34" t="n">
        <x:f>Subsurface_Live_Data!A219</x:f>
        <x:v>48.5</x:v>
      </x:c>
      <x:c r="B220" s="34" t="n">
        <x:f>Subsurface_Live_Data!B219</x:f>
        <x:v>114.2648488799635</x:v>
      </x:c>
      <x:c r="C220" s="34" t="n">
        <x:f>Subsurface_Live_Data!A219</x:f>
        <x:v>48.5</x:v>
      </x:c>
      <x:c r="D220" s="34" t="n">
        <x:f>Subsurface_Live_Data!G219</x:f>
        <x:v>-1173.9897081316467</x:v>
      </x:c>
      <x:c r="E220" s="34" t="n">
        <x:f>Subsurface_Live_Data!A219</x:f>
        <x:v>48.5</x:v>
      </x:c>
      <x:c r="F220" s="34" t="n">
        <x:f>Subsurface_Live_Data!J219</x:f>
        <x:v>-4914.5098487578925</x:v>
      </x:c>
      <x:c r="G220" s="34" t="n">
        <x:f>Subsurface_Live_Data!A219</x:f>
        <x:v>48.5</x:v>
      </x:c>
      <x:c r="H220" s="34" t="n">
        <x:f>Subsurface_Live_Data!L219</x:f>
        <x:v>-14482.13232815164</x:v>
      </x:c>
    </x:row>
    <x:row r="221">
      <x:c r="A221" s="34" t="n">
        <x:f>Subsurface_Live_Data!A220</x:f>
        <x:v>49</x:v>
      </x:c>
      <x:c r="B221" s="34" t="n">
        <x:f>Subsurface_Live_Data!B220</x:f>
        <x:v>109.54402369059221</x:v>
      </x:c>
      <x:c r="C221" s="34" t="n">
        <x:f>Subsurface_Live_Data!A220</x:f>
        <x:v>49</x:v>
      </x:c>
      <x:c r="D221" s="34" t="n">
        <x:f>Subsurface_Live_Data!G220</x:f>
        <x:v>-1163.3050524570797</x:v>
      </x:c>
      <x:c r="E221" s="34" t="n">
        <x:f>Subsurface_Live_Data!A220</x:f>
        <x:v>49</x:v>
      </x:c>
      <x:c r="F221" s="34" t="n">
        <x:f>Subsurface_Live_Data!J220</x:f>
        <x:v>-4901.067678962968</x:v>
      </x:c>
      <x:c r="G221" s="34" t="n">
        <x:f>Subsurface_Live_Data!A220</x:f>
        <x:v>49</x:v>
      </x:c>
      <x:c r="H221" s="34" t="n">
        <x:f>Subsurface_Live_Data!L220</x:f>
        <x:v>-14484.786170048697</x:v>
      </x:c>
    </x:row>
    <x:row r="222">
      <x:c r="A222" s="34" t="n">
        <x:f>Subsurface_Live_Data!A221</x:f>
        <x:v>49.5</x:v>
      </x:c>
      <x:c r="B222" s="34" t="n">
        <x:f>Subsurface_Live_Data!B221</x:f>
        <x:v>115.81874031490976</x:v>
      </x:c>
      <x:c r="C222" s="34" t="n">
        <x:f>Subsurface_Live_Data!A221</x:f>
        <x:v>49.5</x:v>
      </x:c>
      <x:c r="D222" s="34" t="n">
        <x:f>Subsurface_Live_Data!G221</x:f>
        <x:v>-1140.7977459413278</x:v>
      </x:c>
      <x:c r="E222" s="34" t="n">
        <x:f>Subsurface_Live_Data!A221</x:f>
        <x:v>49.5</x:v>
      </x:c>
      <x:c r="F222" s="34" t="n">
        <x:f>Subsurface_Live_Data!J221</x:f>
        <x:v>-4876.564984856768</x:v>
      </x:c>
      <x:c r="G222" s="34" t="n">
        <x:f>Subsurface_Live_Data!A221</x:f>
        <x:v>49.5</x:v>
      </x:c>
      <x:c r="H222" s="34" t="n">
        <x:f>Subsurface_Live_Data!L221</x:f>
        <x:v>-14475.49394203273</x:v>
      </x:c>
    </x:row>
    <x:row r="223">
      <x:c r="A223" s="34" t="n">
        <x:f>Subsurface_Live_Data!A222</x:f>
        <x:v>50</x:v>
      </x:c>
      <x:c r="B223" s="34" t="n">
        <x:f>Subsurface_Live_Data!B222</x:f>
        <x:v>115.23525161719914</x:v>
      </x:c>
      <x:c r="C223" s="34" t="n">
        <x:f>Subsurface_Live_Data!A222</x:f>
        <x:v>50</x:v>
      </x:c>
      <x:c r="D223" s="34" t="n">
        <x:f>Subsurface_Live_Data!G222</x:f>
        <x:v>-1123.7823762869164</x:v>
      </x:c>
      <x:c r="E223" s="34" t="n">
        <x:f>Subsurface_Live_Data!A222</x:f>
        <x:v>50</x:v>
      </x:c>
      <x:c r="F223" s="34" t="n">
        <x:f>Subsurface_Live_Data!J222</x:f>
        <x:v>-4858.899518904143</x:v>
      </x:c>
      <x:c r="G223" s="34" t="n">
        <x:f>Subsurface_Live_Data!A222</x:f>
        <x:v>50</x:v>
      </x:c>
      <x:c r="H223" s="34" t="n">
        <x:f>Subsurface_Live_Data!L222</x:f>
        <x:v>-14474.580890265492</x:v>
      </x:c>
    </x:row>
    <x:row r="224">
      <x:c r="A224" s="34" t="n">
        <x:f>Subsurface_Live_Data!A223</x:f>
        <x:v>50.5</x:v>
      </x:c>
      <x:c r="B224" s="34" t="n">
        <x:f>Subsurface_Live_Data!B223</x:f>
        <x:v>136.98620076238512</x:v>
      </x:c>
      <x:c r="C224" s="34" t="n">
        <x:f>Subsurface_Live_Data!A223</x:f>
        <x:v>50.5</x:v>
      </x:c>
      <x:c r="D224" s="34" t="n">
        <x:f>Subsurface_Live_Data!G223</x:f>
        <x:v>-1084.4235052137415</x:v>
      </x:c>
      <x:c r="E224" s="34" t="n">
        <x:f>Subsurface_Live_Data!A223</x:f>
        <x:v>50.5</x:v>
      </x:c>
      <x:c r="F224" s="34" t="n">
        <x:f>Subsurface_Live_Data!J223</x:f>
        <x:v>-4818.922087262267</x:v>
      </x:c>
      <x:c r="G224" s="34" t="n">
        <x:f>Subsurface_Live_Data!A223</x:f>
        <x:v>50.5</x:v>
      </x:c>
      <x:c r="H224" s="34" t="n">
        <x:f>Subsurface_Live_Data!L223</x:f>
        <x:v>-14448.738239597256</x:v>
      </x:c>
    </x:row>
    <x:row r="225">
      <x:c r="A225" s="34" t="n">
        <x:f>Subsurface_Live_Data!A224</x:f>
        <x:v>51</x:v>
      </x:c>
      <x:c r="B225" s="34" t="n">
        <x:f>Subsurface_Live_Data!B224</x:f>
        <x:v>137.08289632779307</x:v>
      </x:c>
      <x:c r="C225" s="34" t="n">
        <x:f>Subsurface_Live_Data!A224</x:f>
        <x:v>51</x:v>
      </x:c>
      <x:c r="D225" s="34" t="n">
        <x:f>Subsurface_Live_Data!G224</x:f>
        <x:v>-1065.1515255309703</x:v>
      </x:c>
      <x:c r="E225" s="34" t="n">
        <x:f>Subsurface_Live_Data!A224</x:f>
        <x:v>51</x:v>
      </x:c>
      <x:c r="F225" s="34" t="n">
        <x:f>Subsurface_Live_Data!J224</x:f>
        <x:v>-4800.664067117726</x:v>
      </x:c>
      <x:c r="G225" s="34" t="n">
        <x:f>Subsurface_Live_Data!A224</x:f>
        <x:v>51</x:v>
      </x:c>
      <x:c r="H225" s="34" t="n">
        <x:f>Subsurface_Live_Data!L224</x:f>
        <x:v>-14448.082892783246</x:v>
      </x:c>
    </x:row>
    <x:row r="226">
      <x:c r="A226" s="34" t="n">
        <x:f>Subsurface_Live_Data!A225</x:f>
        <x:v>51.5</x:v>
      </x:c>
      <x:c r="B226" s="34" t="n">
        <x:f>Subsurface_Live_Data!B225</x:f>
        <x:v>159.61831316527434</x:v>
      </x:c>
      <x:c r="C226" s="34" t="n">
        <x:f>Subsurface_Live_Data!A225</x:f>
        <x:v>51.5</x:v>
      </x:c>
      <x:c r="D226" s="34" t="n">
        <x:f>Subsurface_Live_Data!G225</x:f>
        <x:v>-1023.8472309129764</x:v>
      </x:c>
      <x:c r="E226" s="34" t="n">
        <x:f>Subsurface_Live_Data!A225</x:f>
        <x:v>51.5</x:v>
      </x:c>
      <x:c r="F226" s="34" t="n">
        <x:f>Subsurface_Live_Data!J225</x:f>
        <x:v>-4760.074231725524</x:v>
      </x:c>
      <x:c r="G226" s="34" t="n">
        <x:f>Subsurface_Live_Data!A225</x:f>
        <x:v>51.5</x:v>
      </x:c>
      <x:c r="H226" s="34" t="n">
        <x:f>Subsurface_Live_Data!L225</x:f>
        <x:v>-14422.317704849405</x:v>
      </x:c>
    </x:row>
    <x:row r="227">
      <x:c r="A227" s="34" t="n">
        <x:f>Subsurface_Live_Data!A226</x:f>
        <x:v>52</x:v>
      </x:c>
      <x:c r="B227" s="34" t="n">
        <x:f>Subsurface_Live_Data!B226</x:f>
        <x:v>166.9931224443313</x:v>
      </x:c>
      <x:c r="C227" s="34" t="n">
        <x:f>Subsurface_Live_Data!A226</x:f>
        <x:v>52</x:v>
      </x:c>
      <x:c r="D227" s="34" t="n">
        <x:f>Subsurface_Live_Data!G226</x:f>
        <x:v>-996.8217375564988</x:v>
      </x:c>
      <x:c r="E227" s="34" t="n">
        <x:f>Subsurface_Live_Data!A226</x:f>
        <x:v>52</x:v>
      </x:c>
      <x:c r="F227" s="34" t="n">
        <x:f>Subsurface_Live_Data!J226</x:f>
        <x:v>-4734.792577809956</x:v>
      </x:c>
      <x:c r="G227" s="34" t="n">
        <x:f>Subsurface_Live_Data!A226</x:f>
        <x:v>52</x:v>
      </x:c>
      <x:c r="H227" s="34" t="n">
        <x:f>Subsurface_Live_Data!L226</x:f>
        <x:v>-14414.273906442184</x:v>
      </x:c>
    </x:row>
    <x:row r="228">
      <x:c r="A228" s="34" t="n">
        <x:f>Subsurface_Live_Data!A227</x:f>
        <x:v>52.5</x:v>
      </x:c>
      <x:c r="B228" s="34" t="n">
        <x:f>Subsurface_Live_Data!B227</x:f>
        <x:v>164.06842387185546</x:v>
      </x:c>
      <x:c r="C228" s="34" t="n">
        <x:f>Subsurface_Live_Data!A227</x:f>
        <x:v>52.5</x:v>
      </x:c>
      <x:c r="D228" s="34" t="n">
        <x:f>Subsurface_Live_Data!G227</x:f>
        <x:v>-979.6266845904379</x:v>
      </x:c>
      <x:c r="E228" s="34" t="n">
        <x:f>Subsurface_Live_Data!A227</x:f>
        <x:v>52.5</x:v>
      </x:c>
      <x:c r="F228" s="34" t="n">
        <x:f>Subsurface_Live_Data!J227</x:f>
        <x:v>-4719.997479930365</x:v>
      </x:c>
      <x:c r="G228" s="34" t="n">
        <x:f>Subsurface_Live_Data!A227</x:f>
        <x:v>52.5</x:v>
      </x:c>
      <x:c r="H228" s="34" t="n">
        <x:f>Subsurface_Live_Data!L227</x:f>
        <x:v>-14418.37708868726</x:v>
      </x:c>
    </x:row>
    <x:row r="229">
      <x:c r="A229" s="34" t="n">
        <x:f>Subsurface_Live_Data!A228</x:f>
        <x:v>53</x:v>
      </x:c>
      <x:c r="B229" s="34" t="n">
        <x:f>Subsurface_Live_Data!B228</x:f>
        <x:v>183.5232809151917</x:v>
      </x:c>
      <x:c r="C229" s="34" t="n">
        <x:f>Subsurface_Live_Data!A228</x:f>
        <x:v>53</x:v>
      </x:c>
      <x:c r="D229" s="34" t="n">
        <x:f>Subsurface_Live_Data!G228</x:f>
        <x:v>-941.1077909079058</x:v>
      </x:c>
      <x:c r="E229" s="34" t="n">
        <x:f>Subsurface_Live_Data!A228</x:f>
        <x:v>53</x:v>
      </x:c>
      <x:c r="F229" s="34" t="n">
        <x:f>Subsurface_Live_Data!J228</x:f>
        <x:v>-4683.048068235699</x:v>
      </x:c>
      <x:c r="G229" s="34" t="n">
        <x:f>Subsurface_Live_Data!A228</x:f>
        <x:v>53</x:v>
      </x:c>
      <x:c r="H229" s="34" t="n">
        <x:f>Subsurface_Live_Data!L228</x:f>
        <x:v>-14397.339714349637</x:v>
      </x:c>
    </x:row>
    <x:row r="230">
      <x:c r="A230" s="34" t="n">
        <x:f>Subsurface_Live_Data!A229</x:f>
        <x:v>53.5</x:v>
      </x:c>
      <x:c r="B230" s="34" t="n">
        <x:f>Subsurface_Live_Data!B229</x:f>
        <x:v>181.04186719105834</x:v>
      </x:c>
      <x:c r="C230" s="34" t="n">
        <x:f>Subsurface_Live_Data!A229</x:f>
        <x:v>53.5</x:v>
      </x:c>
      <x:c r="D230" s="34" t="n">
        <x:f>Subsurface_Live_Data!G229</x:f>
        <x:v>-924.0220075756363</x:v>
      </x:c>
      <x:c r="E230" s="34" t="n">
        <x:f>Subsurface_Live_Data!A229</x:f>
        <x:v>53.5</x:v>
      </x:c>
      <x:c r="F230" s="34" t="n">
        <x:f>Subsurface_Live_Data!J229</x:f>
        <x:v>-4668.297018481284</x:v>
      </x:c>
      <x:c r="G230" s="34" t="n">
        <x:f>Subsurface_Live_Data!A229</x:f>
        <x:v>53.5</x:v>
      </x:c>
      <x:c r="H230" s="34" t="n">
        <x:f>Subsurface_Live_Data!L229</x:f>
        <x:v>-14401.647873720485</x:v>
      </x:c>
    </x:row>
    <x:row r="231">
      <x:c r="A231" s="34" t="n">
        <x:f>Subsurface_Live_Data!A230</x:f>
        <x:v>54</x:v>
      </x:c>
      <x:c r="B231" s="34" t="n">
        <x:f>Subsurface_Live_Data!B230</x:f>
        <x:v>181.54184215615243</x:v>
      </x:c>
      <x:c r="C231" s="34" t="n">
        <x:f>Subsurface_Live_Data!A230</x:f>
        <x:v>54</x:v>
      </x:c>
      <x:c r="D231" s="34" t="n">
        <x:f>Subsurface_Live_Data!G230</x:f>
        <x:v>-904.655166931763</x:v>
      </x:c>
      <x:c r="E231" s="34" t="n">
        <x:f>Subsurface_Live_Data!A230</x:f>
        <x:v>54</x:v>
      </x:c>
      <x:c r="F231" s="34" t="n">
        <x:f>Subsurface_Live_Data!J230</x:f>
        <x:v>-4650.862133112912</x:v>
      </x:c>
      <x:c r="G231" s="34" t="n">
        <x:f>Subsurface_Live_Data!A230</x:f>
        <x:v>54</x:v>
      </x:c>
      <x:c r="H231" s="34" t="n">
        <x:f>Subsurface_Live_Data!L230</x:f>
        <x:v>-14402.861040282776</x:v>
      </x:c>
    </x:row>
    <x:row r="232">
      <x:c r="A232" s="34" t="n">
        <x:f>Subsurface_Live_Data!A231</x:f>
        <x:v>54.5</x:v>
      </x:c>
      <x:c r="B232" s="34" t="n">
        <x:f>Subsurface_Live_Data!B231</x:f>
        <x:v>176.67952286630316</x:v>
      </x:c>
      <x:c r="C232" s="34" t="n">
        <x:f>Subsurface_Live_Data!A231</x:f>
        <x:v>54.5</x:v>
      </x:c>
      <x:c r="D232" s="34" t="n">
        <x:f>Subsurface_Live_Data!G231</x:f>
        <x:v>-891.2140373389686</x:v>
      </x:c>
      <x:c r="E232" s="34" t="n">
        <x:f>Subsurface_Live_Data!A231</x:f>
        <x:v>54.5</x:v>
      </x:c>
      <x:c r="F232" s="34" t="n">
        <x:f>Subsurface_Live_Data!J231</x:f>
        <x:v>-4639.121143601183</x:v>
      </x:c>
      <x:c r="G232" s="34" t="n">
        <x:f>Subsurface_Live_Data!A231</x:f>
        <x:v>54.5</x:v>
      </x:c>
      <x:c r="H232" s="34" t="n">
        <x:f>Subsurface_Live_Data!L231</x:f>
        <x:v>-14410.456279765625</x:v>
      </x:c>
    </x:row>
    <x:row r="233">
      <x:c r="A233" s="34" t="n">
        <x:f>Subsurface_Live_Data!A232</x:f>
        <x:v>55</x:v>
      </x:c>
      <x:c r="B233" s="34" t="n">
        <x:f>Subsurface_Live_Data!B232</x:f>
        <x:v>188.50605986389118</x:v>
      </x:c>
      <x:c r="C233" s="34" t="n">
        <x:f>Subsurface_Live_Data!A232</x:f>
        <x:v>55</x:v>
      </x:c>
      <x:c r="D233" s="34" t="n">
        <x:f>Subsurface_Live_Data!G232</x:f>
        <x:v>-862.7135944994037</x:v>
      </x:c>
      <x:c r="E233" s="34" t="n">
        <x:f>Subsurface_Live_Data!A232</x:f>
        <x:v>55</x:v>
      </x:c>
      <x:c r="F233" s="34" t="n">
        <x:f>Subsurface_Live_Data!J232</x:f>
        <x:v>-4611.055523011784</x:v>
      </x:c>
      <x:c r="G233" s="34" t="n">
        <x:f>Subsurface_Live_Data!A232</x:f>
        <x:v>55</x:v>
      </x:c>
      <x:c r="H233" s="34" t="n">
        <x:f>Subsurface_Live_Data!L232</x:f>
        <x:v>-14399.260315121039</x:v>
      </x:c>
    </x:row>
    <x:row r="234">
      <x:c r="A234" s="34" t="n">
        <x:f>Subsurface_Live_Data!A233</x:f>
        <x:v>55.5</x:v>
      </x:c>
      <x:c r="B234" s="34" t="n">
        <x:f>Subsurface_Live_Data!B233</x:f>
        <x:v>182.5522692746181</x:v>
      </x:c>
      <x:c r="C234" s="34" t="n">
        <x:f>Subsurface_Live_Data!A233</x:f>
        <x:v>55.5</x:v>
      </x:c>
      <x:c r="D234" s="34" t="n">
        <x:f>Subsurface_Live_Data!G233</x:f>
        <x:v>-852.4130106417033</x:v>
      </x:c>
      <x:c r="E234" s="34" t="n">
        <x:f>Subsurface_Live_Data!A233</x:f>
        <x:v>55.5</x:v>
      </x:c>
      <x:c r="F234" s="34" t="n">
        <x:f>Subsurface_Live_Data!J233</x:f>
        <x:v>-4601.165653941165</x:v>
      </x:c>
      <x:c r="G234" s="34" t="n">
        <x:f>Subsurface_Live_Data!A233</x:f>
        <x:v>55.5</x:v>
      </x:c>
      <x:c r="H234" s="34" t="n">
        <x:f>Subsurface_Live_Data!L233</x:f>
        <x:v>-14408.532923771068</x:v>
      </x:c>
    </x:row>
    <x:row r="235">
      <x:c r="A235" s="34" t="n">
        <x:f>Subsurface_Live_Data!A234</x:f>
        <x:v>56</x:v>
      </x:c>
      <x:c r="B235" s="34" t="n">
        <x:f>Subsurface_Live_Data!B234</x:f>
        <x:v>186.90390563143987</x:v>
      </x:c>
      <x:c r="C235" s="34" t="n">
        <x:f>Subsurface_Live_Data!A234</x:f>
        <x:v>56</x:v>
      </x:c>
      <x:c r="D235" s="34" t="n">
        <x:f>Subsurface_Live_Data!G234</x:f>
        <x:v>-833.5010915614304</x:v>
      </x:c>
      <x:c r="E235" s="34" t="n">
        <x:f>Subsurface_Live_Data!A234</x:f>
        <x:v>56</x:v>
      </x:c>
      <x:c r="F235" s="34" t="n">
        <x:f>Subsurface_Live_Data!J234</x:f>
        <x:v>-4581.395564727936</x:v>
      </x:c>
      <x:c r="G235" s="34" t="n">
        <x:f>Subsurface_Live_Data!A234</x:f>
        <x:v>56</x:v>
      </x:c>
      <x:c r="H235" s="34" t="n">
        <x:f>Subsurface_Live_Data!L234</x:f>
        <x:v>-14406.221232494638</x:v>
      </x:c>
    </x:row>
    <x:row r="236">
      <x:c r="A236" s="34" t="n">
        <x:f>Subsurface_Live_Data!A235</x:f>
        <x:v>56.5</x:v>
      </x:c>
      <x:c r="B236" s="34" t="n">
        <x:f>Subsurface_Live_Data!B235</x:f>
        <x:v>190.07062484954076</x:v>
      </x:c>
      <x:c r="C236" s="34" t="n">
        <x:f>Subsurface_Live_Data!A235</x:f>
        <x:v>56.5</x:v>
      </x:c>
      <x:c r="D236" s="34" t="n">
        <x:f>Subsurface_Live_Data!G235</x:f>
        <x:v>-817.1400802203221</x:v>
      </x:c>
      <x:c r="E236" s="34" t="n">
        <x:f>Subsurface_Live_Data!A235</x:f>
        <x:v>56.5</x:v>
      </x:c>
      <x:c r="F236" s="34" t="n">
        <x:f>Subsurface_Live_Data!J235</x:f>
        <x:v>-4563.263982198521</x:v>
      </x:c>
      <x:c r="G236" s="34" t="n">
        <x:f>Subsurface_Live_Data!A235</x:f>
        <x:v>56.5</x:v>
      </x:c>
      <x:c r="H236" s="34" t="n">
        <x:f>Subsurface_Live_Data!L235</x:f>
        <x:v>-14405.38920533039</x:v>
      </x:c>
    </x:row>
    <x:row r="237">
      <x:c r="A237" s="34" t="n">
        <x:f>Subsurface_Live_Data!A236</x:f>
        <x:v>57</x:v>
      </x:c>
      <x:c r="B237" s="34" t="n">
        <x:f>Subsurface_Live_Data!B236</x:f>
        <x:v>200.68454527158707</x:v>
      </x:c>
      <x:c r="C237" s="34" t="n">
        <x:f>Subsurface_Live_Data!A236</x:f>
        <x:v>57</x:v>
      </x:c>
      <x:c r="D237" s="34" t="n">
        <x:f>Subsurface_Live_Data!G236</x:f>
        <x:v>-795.153387803666</x:v>
      </x:c>
      <x:c r="E237" s="34" t="n">
        <x:f>Subsurface_Live_Data!A236</x:f>
        <x:v>57</x:v>
      </x:c>
      <x:c r="F237" s="34" t="n">
        <x:f>Subsurface_Live_Data!J236</x:f>
        <x:v>-4538.165790986473</x:v>
      </x:c>
      <x:c r="G237" s="34" t="n">
        <x:f>Subsurface_Live_Data!A236</x:f>
        <x:v>57</x:v>
      </x:c>
      <x:c r="H237" s="34" t="n">
        <x:f>Subsurface_Live_Data!L236</x:f>
        <x:v>-14396.1613891879</x:v>
      </x:c>
    </x:row>
    <x:row r="238">
      <x:c r="A238" s="34" t="n">
        <x:f>Subsurface_Live_Data!A237</x:f>
        <x:v>57.5</x:v>
      </x:c>
      <x:c r="B238" s="34" t="n">
        <x:f>Subsurface_Live_Data!B237</x:f>
        <x:v>178.2777126906697</x:v>
      </x:c>
      <x:c r="C238" s="34" t="n">
        <x:f>Subsurface_Live_Data!A237</x:f>
        <x:v>57.5</x:v>
      </x:c>
      <x:c r="D238" s="34" t="n">
        <x:f>Subsurface_Live_Data!G237</x:f>
        <x:v>-806.4779448363089</x:v>
      </x:c>
      <x:c r="E238" s="34" t="n">
        <x:f>Subsurface_Live_Data!A237</x:f>
        <x:v>57.5</x:v>
      </x:c>
      <x:c r="F238" s="34" t="n">
        <x:f>Subsurface_Live_Data!J237</x:f>
        <x:v>-4546.594591762395</x:v>
      </x:c>
      <x:c r="G238" s="34" t="n">
        <x:f>Subsurface_Live_Data!A237</x:f>
        <x:v>57.5</x:v>
      </x:c>
      <x:c r="H238" s="34" t="n">
        <x:f>Subsurface_Live_Data!L237</x:f>
        <x:v>-14424.636708154467</x:v>
      </x:c>
    </x:row>
    <x:row r="239">
      <x:c r="A239" s="34" t="n">
        <x:f>Subsurface_Live_Data!A238</x:f>
        <x:v>58</x:v>
      </x:c>
      <x:c r="B239" s="34" t="n">
        <x:f>Subsurface_Live_Data!B238</x:f>
        <x:v>194.52778179385766</x:v>
      </x:c>
      <x:c r="C239" s="34" t="n">
        <x:f>Subsurface_Live_Data!A238</x:f>
        <x:v>58</x:v>
      </x:c>
      <x:c r="D239" s="34" t="n">
        <x:f>Subsurface_Live_Data!G238</x:f>
        <x:v>-782.3674519891186</x:v>
      </x:c>
      <x:c r="E239" s="34" t="n">
        <x:f>Subsurface_Live_Data!A238</x:f>
        <x:v>58</x:v>
      </x:c>
      <x:c r="F239" s="34" t="n">
        <x:f>Subsurface_Live_Data!J238</x:f>
        <x:v>-4516.897044460066</x:v>
      </x:c>
      <x:c r="G239" s="34" t="n">
        <x:f>Subsurface_Live_Data!A238</x:f>
        <x:v>58</x:v>
      </x:c>
      <x:c r="H239" s="34" t="n">
        <x:f>Subsurface_Live_Data!L238</x:f>
        <x:v>-14409.068490036336</x:v>
      </x:c>
    </x:row>
    <x:row r="240">
      <x:c r="A240" s="34" t="n">
        <x:f>Subsurface_Live_Data!A239</x:f>
        <x:v>58.5</x:v>
      </x:c>
      <x:c r="B240" s="34" t="n">
        <x:f>Subsurface_Live_Data!B239</x:f>
        <x:v>188.33221875951745</x:v>
      </x:c>
      <x:c r="C240" s="34" t="n">
        <x:f>Subsurface_Live_Data!A239</x:f>
        <x:v>58.5</x:v>
      </x:c>
      <x:c r="D240" s="34" t="n">
        <x:f>Subsurface_Live_Data!G239</x:f>
        <x:v>-781.5206505739721</x:v>
      </x:c>
      <x:c r="E240" s="34" t="n">
        <x:f>Subsurface_Live_Data!A239</x:f>
        <x:v>58.5</x:v>
      </x:c>
      <x:c r="F240" s="34" t="n">
        <x:f>Subsurface_Live_Data!J239</x:f>
        <x:v>-4510.198690568171</x:v>
      </x:c>
      <x:c r="G240" s="34" t="n">
        <x:f>Subsurface_Live_Data!A239</x:f>
        <x:v>58.5</x:v>
      </x:c>
      <x:c r="H240" s="34" t="n">
        <x:f>Subsurface_Live_Data!L239</x:f>
        <x:v>-14419.07997746522</x:v>
      </x:c>
    </x:row>
    <x:row r="241">
      <x:c r="A241" s="34" t="n">
        <x:f>Subsurface_Live_Data!A240</x:f>
        <x:v>59</x:v>
      </x:c>
      <x:c r="B241" s="34" t="n">
        <x:f>Subsurface_Live_Data!B240</x:f>
        <x:v>193.74067782731254</x:v>
      </x:c>
      <x:c r="C241" s="34" t="n">
        <x:f>Subsurface_Live_Data!A240</x:f>
        <x:v>59</x:v>
      </x:c>
      <x:c r="D241" s="34" t="n">
        <x:f>Subsurface_Live_Data!G240</x:f>
        <x:v>-771.266151317317</x:v>
      </x:c>
      <x:c r="E241" s="34" t="n">
        <x:f>Subsurface_Live_Data!A240</x:f>
        <x:v>59</x:v>
      </x:c>
      <x:c r="F241" s="34" t="n">
        <x:f>Subsurface_Live_Data!J240</x:f>
        <x:v>-4492.471600728132</x:v>
      </x:c>
      <x:c r="G241" s="34" t="n">
        <x:f>Subsurface_Live_Data!A240</x:f>
        <x:v>59</x:v>
      </x:c>
      <x:c r="H241" s="34" t="n">
        <x:f>Subsurface_Live_Data!L240</x:f>
        <x:v>-14415.821519086743</x:v>
      </x:c>
    </x:row>
    <x:row r="242">
      <x:c r="A242" s="34" t="n">
        <x:f>Subsurface_Live_Data!A241</x:f>
        <x:v>59.5</x:v>
      </x:c>
      <x:c r="B242" s="34" t="n">
        <x:f>Subsurface_Live_Data!B241</x:f>
        <x:v>168.97901642333537</x:v>
      </x:c>
      <x:c r="C242" s="34" t="n">
        <x:f>Subsurface_Live_Data!A241</x:f>
        <x:v>59.5</x:v>
      </x:c>
      <x:c r="D242" s="34" t="n">
        <x:f>Subsurface_Live_Data!G241</x:f>
        <x:v>-791.6996933869987</x:v>
      </x:c>
      <x:c r="E242" s="34" t="n">
        <x:f>Subsurface_Live_Data!A241</x:f>
        <x:v>59.5</x:v>
      </x:c>
      <x:c r="F242" s="34" t="n">
        <x:f>Subsurface_Live_Data!J241</x:f>
        <x:v>-4505.51038235012</x:v>
      </x:c>
      <x:c r="G242" s="34" t="n">
        <x:f>Subsurface_Live_Data!A241</x:f>
        <x:v>59.5</x:v>
      </x:c>
      <x:c r="H242" s="34" t="n">
        <x:f>Subsurface_Live_Data!L241</x:f>
        <x:v>-14446.883290941214</x:v>
      </x:c>
    </x:row>
    <x:row r="243">
      <x:c r="A243" s="34" t="n">
        <x:f>Subsurface_Live_Data!A242</x:f>
        <x:v>60</x:v>
      </x:c>
      <x:c r="B243" s="34" t="n">
        <x:f>Subsurface_Live_Data!B242</x:f>
        <x:v>179.34901119414707</x:v>
      </x:c>
      <x:c r="C243" s="34" t="n">
        <x:f>Subsurface_Live_Data!A242</x:f>
        <x:v>60</x:v>
      </x:c>
      <x:c r="D243" s="34" t="n">
        <x:f>Subsurface_Live_Data!G242</x:f>
        <x:v>-780.1011245225925</x:v>
      </x:c>
      <x:c r="E243" s="34" t="n">
        <x:f>Subsurface_Live_Data!A242</x:f>
        <x:v>60</x:v>
      </x:c>
      <x:c r="F243" s="34" t="n">
        <x:f>Subsurface_Live_Data!J242</x:f>
        <x:v>-4484.032484397673</x:v>
      </x:c>
      <x:c r="G243" s="34" t="n">
        <x:f>Subsurface_Live_Data!A242</x:f>
        <x:v>60</x:v>
      </x:c>
      <x:c r="H243" s="34" t="n">
        <x:f>Subsurface_Live_Data!L242</x:f>
        <x:v>-14437.789716692809</x:v>
      </x:c>
    </x:row>
    <x:row r="246" s="73" customFormat="1" ht="15.600000381469727" customHeight="1">
      <x:c r="A246" s="32" t="inlineStr">
        <x:is>
          <x:t xml:space="preserve">Scenario Comparison: Thin / Medium / Thick Ice</x:t>
        </x:is>
      </x:c>
    </x:row>
    <x:row r="247">
      <x:c r="A247" s="33" t="inlineStr">
        <x:is>
          <x:t xml:space="preserve">Thin shell x</x:t>
        </x:is>
      </x:c>
      <x:c r="B247" s="33" t="inlineStr">
        <x:is>
          <x:t xml:space="preserve">Thin shell</x:t>
        </x:is>
      </x:c>
      <x:c r="C247" s="33" t="inlineStr">
        <x:is>
          <x:t xml:space="preserve">Medium shell x</x:t>
        </x:is>
      </x:c>
      <x:c r="D247" s="33" t="inlineStr">
        <x:is>
          <x:t xml:space="preserve">Medium shell</x:t>
        </x:is>
      </x:c>
      <x:c r="E247" s="33" t="inlineStr">
        <x:is>
          <x:t xml:space="preserve">Thick shell x</x:t>
        </x:is>
      </x:c>
      <x:c r="F247" s="33" t="inlineStr">
        <x:is>
          <x:t xml:space="preserve">Thick shell</x:t>
        </x:is>
      </x:c>
    </x:row>
    <x:row r="248">
      <x:c r="A248" s="34" t="n">
        <x:f>Subsurface_Scenario_Data!A2</x:f>
        <x:v>-60</x:v>
      </x:c>
      <x:c r="B248" s="34" t="n">
        <x:f>Subsurface_Scenario_Data!E2</x:f>
        <x:v>7996.088912299519</x:v>
      </x:c>
      <x:c r="C248" s="34" t="n">
        <x:f>Subsurface_Scenario_Data!A2</x:f>
        <x:v>-60</x:v>
      </x:c>
      <x:c r="D248" s="34" t="n">
        <x:f>Subsurface_Scenario_Data!F2</x:f>
        <x:v>14538.343476908214</x:v>
      </x:c>
      <x:c r="E248" s="34" t="n">
        <x:f>Subsurface_Scenario_Data!A2</x:f>
        <x:v>-60</x:v>
      </x:c>
      <x:c r="F248" s="34" t="n">
        <x:f>Subsurface_Scenario_Data!G2</x:f>
        <x:v>25442.101084589376</x:v>
      </x:c>
    </x:row>
    <x:row r="249">
      <x:c r="A249" s="34" t="n">
        <x:f>Subsurface_Scenario_Data!A3</x:f>
        <x:v>-59.5</x:v>
      </x:c>
      <x:c r="B249" s="34" t="n">
        <x:f>Subsurface_Scenario_Data!E3</x:f>
        <x:v>8001.821515154816</x:v>
      </x:c>
      <x:c r="C249" s="34" t="n">
        <x:f>Subsurface_Scenario_Data!A3</x:f>
        <x:v>-59.5</x:v>
      </x:c>
      <x:c r="D249" s="34" t="n">
        <x:f>Subsurface_Scenario_Data!F3</x:f>
        <x:v>14548.766391190573</x:v>
      </x:c>
      <x:c r="E249" s="34" t="n">
        <x:f>Subsurface_Scenario_Data!A3</x:f>
        <x:v>-59.5</x:v>
      </x:c>
      <x:c r="F249" s="34" t="n">
        <x:f>Subsurface_Scenario_Data!G3</x:f>
        <x:v>25460.341184583503</x:v>
      </x:c>
    </x:row>
    <x:row r="250">
      <x:c r="A250" s="34" t="n">
        <x:f>Subsurface_Scenario_Data!A4</x:f>
        <x:v>-59</x:v>
      </x:c>
      <x:c r="B250" s="34" t="n">
        <x:f>Subsurface_Scenario_Data!E4</x:f>
        <x:v>8006.536030344385</x:v>
      </x:c>
      <x:c r="C250" s="34" t="n">
        <x:f>Subsurface_Scenario_Data!A4</x:f>
        <x:v>-59</x:v>
      </x:c>
      <x:c r="D250" s="34" t="n">
        <x:f>Subsurface_Scenario_Data!F4</x:f>
        <x:v>14557.33823698979</x:v>
      </x:c>
      <x:c r="E250" s="34" t="n">
        <x:f>Subsurface_Scenario_Data!A4</x:f>
        <x:v>-59</x:v>
      </x:c>
      <x:c r="F250" s="34" t="n">
        <x:f>Subsurface_Scenario_Data!G4</x:f>
        <x:v>25475.341914732133</x:v>
      </x:c>
    </x:row>
    <x:row r="251">
      <x:c r="A251" s="34" t="n">
        <x:f>Subsurface_Scenario_Data!A5</x:f>
        <x:v>-58.5</x:v>
      </x:c>
      <x:c r="B251" s="34" t="n">
        <x:f>Subsurface_Scenario_Data!E5</x:f>
        <x:v>8009.598888948561</x:v>
      </x:c>
      <x:c r="C251" s="34" t="n">
        <x:f>Subsurface_Scenario_Data!A5</x:f>
        <x:v>-58.5</x:v>
      </x:c>
      <x:c r="D251" s="34" t="n">
        <x:f>Subsurface_Scenario_Data!F5</x:f>
        <x:v>14562.907070815563</x:v>
      </x:c>
      <x:c r="E251" s="34" t="n">
        <x:f>Subsurface_Scenario_Data!A5</x:f>
        <x:v>-58.5</x:v>
      </x:c>
      <x:c r="F251" s="34" t="n">
        <x:f>Subsurface_Scenario_Data!G5</x:f>
        <x:v>25485.087373927236</x:v>
      </x:c>
    </x:row>
    <x:row r="252">
      <x:c r="A252" s="34" t="n">
        <x:f>Subsurface_Scenario_Data!A6</x:f>
        <x:v>-58</x:v>
      </x:c>
      <x:c r="B252" s="34" t="n">
        <x:f>Subsurface_Scenario_Data!E6</x:f>
        <x:v>8015.219090033506</x:v>
      </x:c>
      <x:c r="C252" s="34" t="n">
        <x:f>Subsurface_Scenario_Data!A6</x:f>
        <x:v>-58</x:v>
      </x:c>
      <x:c r="D252" s="34" t="n">
        <x:f>Subsurface_Scenario_Data!F6</x:f>
        <x:v>14573.125618242737</x:v>
      </x:c>
      <x:c r="E252" s="34" t="n">
        <x:f>Subsurface_Scenario_Data!A6</x:f>
        <x:v>-58</x:v>
      </x:c>
      <x:c r="F252" s="34" t="n">
        <x:f>Subsurface_Scenario_Data!G6</x:f>
        <x:v>25502.96983192479</x:v>
      </x:c>
    </x:row>
    <x:row r="253">
      <x:c r="A253" s="34" t="n">
        <x:f>Subsurface_Scenario_Data!A7</x:f>
        <x:v>-57.5</x:v>
      </x:c>
      <x:c r="B253" s="34" t="n">
        <x:f>Subsurface_Scenario_Data!E7</x:f>
        <x:v>8018.084327288422</x:v>
      </x:c>
      <x:c r="C253" s="34" t="n">
        <x:f>Subsurface_Scenario_Data!A7</x:f>
        <x:v>-57.5</x:v>
      </x:c>
      <x:c r="D253" s="34" t="n">
        <x:f>Subsurface_Scenario_Data!F7</x:f>
        <x:v>14578.335140524403</x:v>
      </x:c>
      <x:c r="E253" s="34" t="n">
        <x:f>Subsurface_Scenario_Data!A7</x:f>
        <x:v>-57.5</x:v>
      </x:c>
      <x:c r="F253" s="34" t="n">
        <x:f>Subsurface_Scenario_Data!G7</x:f>
        <x:v>25512.086495917705</x:v>
      </x:c>
    </x:row>
    <x:row r="254">
      <x:c r="A254" s="34" t="n">
        <x:f>Subsurface_Scenario_Data!A8</x:f>
        <x:v>-57</x:v>
      </x:c>
      <x:c r="B254" s="34" t="n">
        <x:f>Subsurface_Scenario_Data!E8</x:f>
        <x:v>8022.2983666189975</x:v>
      </x:c>
      <x:c r="C254" s="34" t="n">
        <x:f>Subsurface_Scenario_Data!A8</x:f>
        <x:v>-57</x:v>
      </x:c>
      <x:c r="D254" s="34" t="n">
        <x:f>Subsurface_Scenario_Data!F8</x:f>
        <x:v>14585.997030216358</x:v>
      </x:c>
      <x:c r="E254" s="34" t="n">
        <x:f>Subsurface_Scenario_Data!A8</x:f>
        <x:v>-57</x:v>
      </x:c>
      <x:c r="F254" s="34" t="n">
        <x:f>Subsurface_Scenario_Data!G8</x:f>
        <x:v>25525.494802878628</x:v>
      </x:c>
    </x:row>
    <x:row r="255">
      <x:c r="A255" s="34" t="n">
        <x:f>Subsurface_Scenario_Data!A9</x:f>
        <x:v>-56.5</x:v>
      </x:c>
      <x:c r="B255" s="34" t="n">
        <x:f>Subsurface_Scenario_Data!E9</x:f>
        <x:v>8025.87462400364</x:v>
      </x:c>
      <x:c r="C255" s="34" t="n">
        <x:f>Subsurface_Scenario_Data!A9</x:f>
        <x:v>-56.5</x:v>
      </x:c>
      <x:c r="D255" s="34" t="n">
        <x:f>Subsurface_Scenario_Data!F9</x:f>
        <x:v>14592.499316370253</x:v>
      </x:c>
      <x:c r="E255" s="34" t="n">
        <x:f>Subsurface_Scenario_Data!A9</x:f>
        <x:v>-56.5</x:v>
      </x:c>
      <x:c r="F255" s="34" t="n">
        <x:f>Subsurface_Scenario_Data!G9</x:f>
        <x:v>25536.87380364794</x:v>
      </x:c>
    </x:row>
    <x:row r="256">
      <x:c r="A256" s="34" t="n">
        <x:f>Subsurface_Scenario_Data!A10</x:f>
        <x:v>-56</x:v>
      </x:c>
      <x:c r="B256" s="34" t="n">
        <x:f>Subsurface_Scenario_Data!E10</x:f>
        <x:v>8027.5550543455065</x:v>
      </x:c>
      <x:c r="C256" s="34" t="n">
        <x:f>Subsurface_Scenario_Data!A10</x:f>
        <x:v>-56</x:v>
      </x:c>
      <x:c r="D256" s="34" t="n">
        <x:f>Subsurface_Scenario_Data!F10</x:f>
        <x:v>14595.554644264555</x:v>
      </x:c>
      <x:c r="E256" s="34" t="n">
        <x:f>Subsurface_Scenario_Data!A10</x:f>
        <x:v>-56</x:v>
      </x:c>
      <x:c r="F256" s="34" t="n">
        <x:f>Subsurface_Scenario_Data!G10</x:f>
        <x:v>25542.22062746297</x:v>
      </x:c>
    </x:row>
    <x:row r="257">
      <x:c r="A257" s="34" t="n">
        <x:f>Subsurface_Scenario_Data!A11</x:f>
        <x:v>-55.5</x:v>
      </x:c>
      <x:c r="B257" s="34" t="n">
        <x:f>Subsurface_Scenario_Data!E11</x:f>
        <x:v>8031.481061615159</x:v>
      </x:c>
      <x:c r="C257" s="34" t="n">
        <x:f>Subsurface_Scenario_Data!A11</x:f>
        <x:v>-55.5</x:v>
      </x:c>
      <x:c r="D257" s="34" t="n">
        <x:f>Subsurface_Scenario_Data!F11</x:f>
        <x:v>14602.692839300287</x:v>
      </x:c>
      <x:c r="E257" s="34" t="n">
        <x:f>Subsurface_Scenario_Data!A11</x:f>
        <x:v>-55.5</x:v>
      </x:c>
      <x:c r="F257" s="34" t="n">
        <x:f>Subsurface_Scenario_Data!G11</x:f>
        <x:v>25554.712468775502</x:v>
      </x:c>
    </x:row>
    <x:row r="258">
      <x:c r="A258" s="34" t="n">
        <x:f>Subsurface_Scenario_Data!A12</x:f>
        <x:v>-55</x:v>
      </x:c>
      <x:c r="B258" s="34" t="n">
        <x:f>Subsurface_Scenario_Data!E12</x:f>
        <x:v>8033.469381447121</x:v>
      </x:c>
      <x:c r="C258" s="34" t="n">
        <x:f>Subsurface_Scenario_Data!A12</x:f>
        <x:v>-55</x:v>
      </x:c>
      <x:c r="D258" s="34" t="n">
        <x:f>Subsurface_Scenario_Data!F12</x:f>
        <x:v>14606.307966267492</x:v>
      </x:c>
      <x:c r="E258" s="34" t="n">
        <x:f>Subsurface_Scenario_Data!A12</x:f>
        <x:v>-55</x:v>
      </x:c>
      <x:c r="F258" s="34" t="n">
        <x:f>Subsurface_Scenario_Data!G12</x:f>
        <x:v>25561.038940968112</x:v>
      </x:c>
    </x:row>
    <x:row r="259">
      <x:c r="A259" s="34" t="n">
        <x:f>Subsurface_Scenario_Data!A13</x:f>
        <x:v>-54.5</x:v>
      </x:c>
      <x:c r="B259" s="34" t="n">
        <x:f>Subsurface_Scenario_Data!E13</x:f>
        <x:v>8035.00178237621</x:v>
      </x:c>
      <x:c r="C259" s="34" t="n">
        <x:f>Subsurface_Scenario_Data!A13</x:f>
        <x:v>-54.5</x:v>
      </x:c>
      <x:c r="D259" s="34" t="n">
        <x:f>Subsurface_Scenario_Data!F13</x:f>
        <x:v>14609.094149774926</x:v>
      </x:c>
      <x:c r="E259" s="34" t="n">
        <x:f>Subsurface_Scenario_Data!A13</x:f>
        <x:v>-54.5</x:v>
      </x:c>
      <x:c r="F259" s="34" t="n">
        <x:f>Subsurface_Scenario_Data!G13</x:f>
        <x:v>25565.91476210612</x:v>
      </x:c>
    </x:row>
    <x:row r="260">
      <x:c r="A260" s="34" t="n">
        <x:f>Subsurface_Scenario_Data!A14</x:f>
        <x:v>-54</x:v>
      </x:c>
      <x:c r="B260" s="34" t="n">
        <x:f>Subsurface_Scenario_Data!E14</x:f>
        <x:v>8037.544605893131</x:v>
      </x:c>
      <x:c r="C260" s="34" t="n">
        <x:f>Subsurface_Scenario_Data!A14</x:f>
        <x:v>-54</x:v>
      </x:c>
      <x:c r="D260" s="34" t="n">
        <x:f>Subsurface_Scenario_Data!F14</x:f>
        <x:v>14613.717465260237</x:v>
      </x:c>
      <x:c r="E260" s="34" t="n">
        <x:f>Subsurface_Scenario_Data!A14</x:f>
        <x:v>-54</x:v>
      </x:c>
      <x:c r="F260" s="34" t="n">
        <x:f>Subsurface_Scenario_Data!G14</x:f>
        <x:v>25574.005564205414</x:v>
      </x:c>
    </x:row>
    <x:row r="261">
      <x:c r="A261" s="34" t="n">
        <x:f>Subsurface_Scenario_Data!A15</x:f>
        <x:v>-53.5</x:v>
      </x:c>
      <x:c r="B261" s="34" t="n">
        <x:f>Subsurface_Scenario_Data!E15</x:f>
        <x:v>8038.556845605861</x:v>
      </x:c>
      <x:c r="C261" s="34" t="n">
        <x:f>Subsurface_Scenario_Data!A15</x:f>
        <x:v>-53.5</x:v>
      </x:c>
      <x:c r="D261" s="34" t="n">
        <x:f>Subsurface_Scenario_Data!F15</x:f>
        <x:v>14615.557901101563</x:v>
      </x:c>
      <x:c r="E261" s="34" t="n">
        <x:f>Subsurface_Scenario_Data!A15</x:f>
        <x:v>-53.5</x:v>
      </x:c>
      <x:c r="F261" s="34" t="n">
        <x:f>Subsurface_Scenario_Data!G15</x:f>
        <x:v>25577.226326927735</x:v>
      </x:c>
    </x:row>
    <x:row r="262">
      <x:c r="A262" s="34" t="n">
        <x:f>Subsurface_Scenario_Data!A16</x:f>
        <x:v>-53</x:v>
      </x:c>
      <x:c r="B262" s="34" t="n">
        <x:f>Subsurface_Scenario_Data!E16</x:f>
        <x:v>8040.3535875252755</x:v>
      </x:c>
      <x:c r="C262" s="34" t="n">
        <x:f>Subsurface_Scenario_Data!A16</x:f>
        <x:v>-53</x:v>
      </x:c>
      <x:c r="D262" s="34" t="n">
        <x:f>Subsurface_Scenario_Data!F16</x:f>
        <x:v>14618.824704591409</x:v>
      </x:c>
      <x:c r="E262" s="34" t="n">
        <x:f>Subsurface_Scenario_Data!A16</x:f>
        <x:v>-53</x:v>
      </x:c>
      <x:c r="F262" s="34" t="n">
        <x:f>Subsurface_Scenario_Data!G16</x:f>
        <x:v>25582.943233034966</x:v>
      </x:c>
    </x:row>
    <x:row r="263">
      <x:c r="A263" s="34" t="n">
        <x:f>Subsurface_Scenario_Data!A17</x:f>
        <x:v>-52.5</x:v>
      </x:c>
      <x:c r="B263" s="34" t="n">
        <x:f>Subsurface_Scenario_Data!E17</x:f>
        <x:v>8041.673129544521</x:v>
      </x:c>
      <x:c r="C263" s="34" t="n">
        <x:f>Subsurface_Scenario_Data!A17</x:f>
        <x:v>-52.5</x:v>
      </x:c>
      <x:c r="D263" s="34" t="n">
        <x:f>Subsurface_Scenario_Data!F17</x:f>
        <x:v>14621.223871899127</x:v>
      </x:c>
      <x:c r="E263" s="34" t="n">
        <x:f>Subsurface_Scenario_Data!A17</x:f>
        <x:v>-52.5</x:v>
      </x:c>
      <x:c r="F263" s="34" t="n">
        <x:f>Subsurface_Scenario_Data!G17</x:f>
        <x:v>25587.14177582347</x:v>
      </x:c>
    </x:row>
    <x:row r="264">
      <x:c r="A264" s="34" t="n">
        <x:f>Subsurface_Scenario_Data!A18</x:f>
        <x:v>-52</x:v>
      </x:c>
      <x:c r="B264" s="34" t="n">
        <x:f>Subsurface_Scenario_Data!E18</x:f>
        <x:v>8042.39528878915</x:v>
      </x:c>
      <x:c r="C264" s="34" t="n">
        <x:f>Subsurface_Scenario_Data!A18</x:f>
        <x:v>-52</x:v>
      </x:c>
      <x:c r="D264" s="34" t="n">
        <x:f>Subsurface_Scenario_Data!F18</x:f>
        <x:v>14622.536888707544</x:v>
      </x:c>
      <x:c r="E264" s="34" t="n">
        <x:f>Subsurface_Scenario_Data!A18</x:f>
        <x:v>-52</x:v>
      </x:c>
      <x:c r="F264" s="34" t="n">
        <x:f>Subsurface_Scenario_Data!G18</x:f>
        <x:v>25589.4395552382</x:v>
      </x:c>
    </x:row>
    <x:row r="265">
      <x:c r="A265" s="34" t="n">
        <x:f>Subsurface_Scenario_Data!A19</x:f>
        <x:v>-51.5</x:v>
      </x:c>
      <x:c r="B265" s="34" t="n">
        <x:f>Subsurface_Scenario_Data!E19</x:f>
        <x:v>8042.303526685599</x:v>
      </x:c>
      <x:c r="C265" s="34" t="n">
        <x:f>Subsurface_Scenario_Data!A19</x:f>
        <x:v>-51.5</x:v>
      </x:c>
      <x:c r="D265" s="34" t="n">
        <x:f>Subsurface_Scenario_Data!F19</x:f>
        <x:v>14622.37004851927</x:v>
      </x:c>
      <x:c r="E265" s="34" t="n">
        <x:f>Subsurface_Scenario_Data!A19</x:f>
        <x:v>-51.5</x:v>
      </x:c>
      <x:c r="F265" s="34" t="n">
        <x:f>Subsurface_Scenario_Data!G19</x:f>
        <x:v>25589.147584908722</x:v>
      </x:c>
    </x:row>
    <x:row r="266">
      <x:c r="A266" s="34" t="n">
        <x:f>Subsurface_Scenario_Data!A20</x:f>
        <x:v>-51</x:v>
      </x:c>
      <x:c r="B266" s="34" t="n">
        <x:f>Subsurface_Scenario_Data!E20</x:f>
        <x:v>8044.248342248725</x:v>
      </x:c>
      <x:c r="C266" s="34" t="n">
        <x:f>Subsurface_Scenario_Data!A20</x:f>
        <x:v>-51</x:v>
      </x:c>
      <x:c r="D266" s="34" t="n">
        <x:f>Subsurface_Scenario_Data!F20</x:f>
        <x:v>14625.906076815862</x:v>
      </x:c>
      <x:c r="E266" s="34" t="n">
        <x:f>Subsurface_Scenario_Data!A20</x:f>
        <x:v>-51</x:v>
      </x:c>
      <x:c r="F266" s="34" t="n">
        <x:f>Subsurface_Scenario_Data!G20</x:f>
        <x:v>25595.335634427756</x:v>
      </x:c>
    </x:row>
    <x:row r="267">
      <x:c r="A267" s="34" t="n">
        <x:f>Subsurface_Scenario_Data!A21</x:f>
        <x:v>-50.5</x:v>
      </x:c>
      <x:c r="B267" s="34" t="n">
        <x:f>Subsurface_Scenario_Data!E21</x:f>
        <x:v>8045.402878393203</x:v>
      </x:c>
      <x:c r="C267" s="34" t="n">
        <x:f>Subsurface_Scenario_Data!A21</x:f>
        <x:v>-50.5</x:v>
      </x:c>
      <x:c r="D267" s="34" t="n">
        <x:f>Subsurface_Scenario_Data!F21</x:f>
        <x:v>14628.005233442185</x:v>
      </x:c>
      <x:c r="E267" s="34" t="n">
        <x:f>Subsurface_Scenario_Data!A21</x:f>
        <x:v>-50.5</x:v>
      </x:c>
      <x:c r="F267" s="34" t="n">
        <x:f>Subsurface_Scenario_Data!G21</x:f>
        <x:v>25599.009158523826</x:v>
      </x:c>
    </x:row>
    <x:row r="268">
      <x:c r="A268" s="34" t="n">
        <x:f>Subsurface_Scenario_Data!A22</x:f>
        <x:v>-50</x:v>
      </x:c>
      <x:c r="B268" s="34" t="n">
        <x:f>Subsurface_Scenario_Data!E22</x:f>
        <x:v>8044.306757465009</x:v>
      </x:c>
      <x:c r="C268" s="34" t="n">
        <x:f>Subsurface_Scenario_Data!A22</x:f>
        <x:v>-50</x:v>
      </x:c>
      <x:c r="D268" s="34" t="n">
        <x:f>Subsurface_Scenario_Data!F22</x:f>
        <x:v>14626.012286300014</x:v>
      </x:c>
      <x:c r="E268" s="34" t="n">
        <x:f>Subsurface_Scenario_Data!A22</x:f>
        <x:v>-50</x:v>
      </x:c>
      <x:c r="F268" s="34" t="n">
        <x:f>Subsurface_Scenario_Data!G22</x:f>
        <x:v>25595.521501025025</x:v>
      </x:c>
    </x:row>
    <x:row r="269">
      <x:c r="A269" s="34" t="n">
        <x:f>Subsurface_Scenario_Data!A23</x:f>
        <x:v>-49.5</x:v>
      </x:c>
      <x:c r="B269" s="34" t="n">
        <x:f>Subsurface_Scenario_Data!E23</x:f>
        <x:v>8045.972356978126</x:v>
      </x:c>
      <x:c r="C269" s="34" t="n">
        <x:f>Subsurface_Scenario_Data!A23</x:f>
        <x:v>-49.5</x:v>
      </x:c>
      <x:c r="D269" s="34" t="n">
        <x:f>Subsurface_Scenario_Data!F23</x:f>
        <x:v>14629.040649051138</x:v>
      </x:c>
      <x:c r="E269" s="34" t="n">
        <x:f>Subsurface_Scenario_Data!A23</x:f>
        <x:v>-49.5</x:v>
      </x:c>
      <x:c r="F269" s="34" t="n">
        <x:f>Subsurface_Scenario_Data!G23</x:f>
        <x:v>25600.82113583949</x:v>
      </x:c>
    </x:row>
    <x:row r="270">
      <x:c r="A270" s="34" t="n">
        <x:f>Subsurface_Scenario_Data!A24</x:f>
        <x:v>-49</x:v>
      </x:c>
      <x:c r="B270" s="34" t="n">
        <x:f>Subsurface_Scenario_Data!E24</x:f>
        <x:v>8045.520933310671</x:v>
      </x:c>
      <x:c r="C270" s="34" t="n">
        <x:f>Subsurface_Scenario_Data!A24</x:f>
        <x:v>-49</x:v>
      </x:c>
      <x:c r="D270" s="34" t="n">
        <x:f>Subsurface_Scenario_Data!F24</x:f>
        <x:v>14628.219878746673</x:v>
      </x:c>
      <x:c r="E270" s="34" t="n">
        <x:f>Subsurface_Scenario_Data!A24</x:f>
        <x:v>-49</x:v>
      </x:c>
      <x:c r="F270" s="34" t="n">
        <x:f>Subsurface_Scenario_Data!G24</x:f>
        <x:v>25599.384787806677</x:v>
      </x:c>
    </x:row>
    <x:row r="271">
      <x:c r="A271" s="34" t="n">
        <x:f>Subsurface_Scenario_Data!A25</x:f>
        <x:v>-48.5</x:v>
      </x:c>
      <x:c r="B271" s="34" t="n">
        <x:f>Subsurface_Scenario_Data!E25</x:f>
        <x:v>8045.876048644976</x:v>
      </x:c>
      <x:c r="C271" s="34" t="n">
        <x:f>Subsurface_Scenario_Data!A25</x:f>
        <x:v>-48.5</x:v>
      </x:c>
      <x:c r="D271" s="34" t="n">
        <x:f>Subsurface_Scenario_Data!F25</x:f>
        <x:v>14628.865542990865</x:v>
      </x:c>
      <x:c r="E271" s="34" t="n">
        <x:f>Subsurface_Scenario_Data!A25</x:f>
        <x:v>-48.5</x:v>
      </x:c>
      <x:c r="F271" s="34" t="n">
        <x:f>Subsurface_Scenario_Data!G25</x:f>
        <x:v>25600.514700234013</x:v>
      </x:c>
    </x:row>
    <x:row r="272">
      <x:c r="A272" s="34" t="n">
        <x:f>Subsurface_Scenario_Data!A26</x:f>
        <x:v>-48</x:v>
      </x:c>
      <x:c r="B272" s="34" t="n">
        <x:f>Subsurface_Scenario_Data!E26</x:f>
        <x:v>8046.689005411756</x:v>
      </x:c>
      <x:c r="C272" s="34" t="n">
        <x:f>Subsurface_Scenario_Data!A26</x:f>
        <x:v>-48</x:v>
      </x:c>
      <x:c r="D272" s="34" t="n">
        <x:f>Subsurface_Scenario_Data!F26</x:f>
        <x:v>14630.343646203191</x:v>
      </x:c>
      <x:c r="E272" s="34" t="n">
        <x:f>Subsurface_Scenario_Data!A26</x:f>
        <x:v>-48</x:v>
      </x:c>
      <x:c r="F272" s="34" t="n">
        <x:f>Subsurface_Scenario_Data!G26</x:f>
        <x:v>25603.101380855584</x:v>
      </x:c>
    </x:row>
    <x:row r="273">
      <x:c r="A273" s="34" t="n">
        <x:f>Subsurface_Scenario_Data!A27</x:f>
        <x:v>-47.5</x:v>
      </x:c>
      <x:c r="B273" s="34" t="n">
        <x:f>Subsurface_Scenario_Data!E27</x:f>
        <x:v>8045.698733138259</x:v>
      </x:c>
      <x:c r="C273" s="34" t="n">
        <x:f>Subsurface_Scenario_Data!A27</x:f>
        <x:v>-47.5</x:v>
      </x:c>
      <x:c r="D273" s="34" t="n">
        <x:f>Subsurface_Scenario_Data!F27</x:f>
        <x:v>14628.54315116047</x:v>
      </x:c>
      <x:c r="E273" s="34" t="n">
        <x:f>Subsurface_Scenario_Data!A27</x:f>
        <x:v>-47.5</x:v>
      </x:c>
      <x:c r="F273" s="34" t="n">
        <x:f>Subsurface_Scenario_Data!G27</x:f>
        <x:v>25599.95051453082</x:v>
      </x:c>
    </x:row>
    <x:row r="274">
      <x:c r="A274" s="34" t="n">
        <x:f>Subsurface_Scenario_Data!A28</x:f>
        <x:v>-47</x:v>
      </x:c>
      <x:c r="B274" s="34" t="n">
        <x:f>Subsurface_Scenario_Data!E28</x:f>
        <x:v>8045.913337720766</x:v>
      </x:c>
      <x:c r="C274" s="34" t="n">
        <x:f>Subsurface_Scenario_Data!A28</x:f>
        <x:v>-47</x:v>
      </x:c>
      <x:c r="D274" s="34" t="n">
        <x:f>Subsurface_Scenario_Data!F28</x:f>
        <x:v>14628.933341310483</x:v>
      </x:c>
      <x:c r="E274" s="34" t="n">
        <x:f>Subsurface_Scenario_Data!A28</x:f>
        <x:v>-47</x:v>
      </x:c>
      <x:c r="F274" s="34" t="n">
        <x:f>Subsurface_Scenario_Data!G28</x:f>
        <x:v>25600.633347293347</x:v>
      </x:c>
    </x:row>
    <x:row r="275">
      <x:c r="A275" s="34" t="n">
        <x:f>Subsurface_Scenario_Data!A29</x:f>
        <x:v>-46.5</x:v>
      </x:c>
      <x:c r="B275" s="34" t="n">
        <x:f>Subsurface_Scenario_Data!E29</x:f>
        <x:v>8045.294230654216</x:v>
      </x:c>
      <x:c r="C275" s="34" t="n">
        <x:f>Subsurface_Scenario_Data!A29</x:f>
        <x:v>-46.5</x:v>
      </x:c>
      <x:c r="D275" s="34" t="n">
        <x:f>Subsurface_Scenario_Data!F29</x:f>
        <x:v>14627.807692098573</x:v>
      </x:c>
      <x:c r="E275" s="34" t="n">
        <x:f>Subsurface_Scenario_Data!A29</x:f>
        <x:v>-46.5</x:v>
      </x:c>
      <x:c r="F275" s="34" t="n">
        <x:f>Subsurface_Scenario_Data!G29</x:f>
        <x:v>25598.663461172502</x:v>
      </x:c>
    </x:row>
    <x:row r="276">
      <x:c r="A276" s="34" t="n">
        <x:f>Subsurface_Scenario_Data!A30</x:f>
        <x:v>-46</x:v>
      </x:c>
      <x:c r="B276" s="34" t="n">
        <x:f>Subsurface_Scenario_Data!E30</x:f>
        <x:v>8045.767723882408</x:v>
      </x:c>
      <x:c r="C276" s="34" t="n">
        <x:f>Subsurface_Scenario_Data!A30</x:f>
        <x:v>-46</x:v>
      </x:c>
      <x:c r="D276" s="34" t="n">
        <x:f>Subsurface_Scenario_Data!F30</x:f>
        <x:v>14628.668588877104</x:v>
      </x:c>
      <x:c r="E276" s="34" t="n">
        <x:f>Subsurface_Scenario_Data!A30</x:f>
        <x:v>-46</x:v>
      </x:c>
      <x:c r="F276" s="34" t="n">
        <x:f>Subsurface_Scenario_Data!G30</x:f>
        <x:v>25600.170030534933</x:v>
      </x:c>
    </x:row>
    <x:row r="277">
      <x:c r="A277" s="34" t="n">
        <x:f>Subsurface_Scenario_Data!A31</x:f>
        <x:v>-45.5</x:v>
      </x:c>
      <x:c r="B277" s="34" t="n">
        <x:f>Subsurface_Scenario_Data!E31</x:f>
        <x:v>8045.4107734371555</x:v>
      </x:c>
      <x:c r="C277" s="34" t="n">
        <x:f>Subsurface_Scenario_Data!A31</x:f>
        <x:v>-45.5</x:v>
      </x:c>
      <x:c r="D277" s="34" t="n">
        <x:f>Subsurface_Scenario_Data!F31</x:f>
        <x:v>14628.019588067555</x:v>
      </x:c>
      <x:c r="E277" s="34" t="n">
        <x:f>Subsurface_Scenario_Data!A31</x:f>
        <x:v>-45.5</x:v>
      </x:c>
      <x:c r="F277" s="34" t="n">
        <x:f>Subsurface_Scenario_Data!G31</x:f>
        <x:v>25599.03427911822</x:v>
      </x:c>
    </x:row>
    <x:row r="278">
      <x:c r="A278" s="34" t="n">
        <x:f>Subsurface_Scenario_Data!A32</x:f>
        <x:v>-45</x:v>
      </x:c>
      <x:c r="B278" s="34" t="n">
        <x:f>Subsurface_Scenario_Data!E32</x:f>
        <x:v>8045.994698136337</x:v>
      </x:c>
      <x:c r="C278" s="34" t="n">
        <x:f>Subsurface_Scenario_Data!A32</x:f>
        <x:v>-45</x:v>
      </x:c>
      <x:c r="D278" s="34" t="n">
        <x:f>Subsurface_Scenario_Data!F32</x:f>
        <x:v>14629.081269338794</x:v>
      </x:c>
      <x:c r="E278" s="34" t="n">
        <x:f>Subsurface_Scenario_Data!A32</x:f>
        <x:v>-45</x:v>
      </x:c>
      <x:c r="F278" s="34" t="n">
        <x:f>Subsurface_Scenario_Data!G32</x:f>
        <x:v>25600.89222134289</x:v>
      </x:c>
    </x:row>
    <x:row r="279">
      <x:c r="A279" s="34" t="n">
        <x:f>Subsurface_Scenario_Data!A33</x:f>
        <x:v>-44.5</x:v>
      </x:c>
      <x:c r="B279" s="34" t="n">
        <x:f>Subsurface_Scenario_Data!E33</x:f>
        <x:v>8045.386241685816</x:v>
      </x:c>
      <x:c r="C279" s="34" t="n">
        <x:f>Subsurface_Scenario_Data!A33</x:f>
        <x:v>-44.5</x:v>
      </x:c>
      <x:c r="D279" s="34" t="n">
        <x:f>Subsurface_Scenario_Data!F33</x:f>
        <x:v>14627.9749848833</x:v>
      </x:c>
      <x:c r="E279" s="34" t="n">
        <x:f>Subsurface_Scenario_Data!A33</x:f>
        <x:v>-44.5</x:v>
      </x:c>
      <x:c r="F279" s="34" t="n">
        <x:f>Subsurface_Scenario_Data!G33</x:f>
        <x:v>25598.956223545774</x:v>
      </x:c>
    </x:row>
    <x:row r="280">
      <x:c r="A280" s="34" t="n">
        <x:f>Subsurface_Scenario_Data!A34</x:f>
        <x:v>-44</x:v>
      </x:c>
      <x:c r="B280" s="34" t="n">
        <x:f>Subsurface_Scenario_Data!E34</x:f>
        <x:v>8044.251327351211</x:v>
      </x:c>
      <x:c r="C280" s="34" t="n">
        <x:f>Subsurface_Scenario_Data!A34</x:f>
        <x:v>-44</x:v>
      </x:c>
      <x:c r="D280" s="34" t="n">
        <x:f>Subsurface_Scenario_Data!F34</x:f>
        <x:v>14625.911504274929</x:v>
      </x:c>
      <x:c r="E280" s="34" t="n">
        <x:f>Subsurface_Scenario_Data!A34</x:f>
        <x:v>-44</x:v>
      </x:c>
      <x:c r="F280" s="34" t="n">
        <x:f>Subsurface_Scenario_Data!G34</x:f>
        <x:v>25595.345132481125</x:v>
      </x:c>
    </x:row>
    <x:row r="281">
      <x:c r="A281" s="34" t="n">
        <x:f>Subsurface_Scenario_Data!A35</x:f>
        <x:v>-43.5</x:v>
      </x:c>
      <x:c r="B281" s="34" t="n">
        <x:f>Subsurface_Scenario_Data!E35</x:f>
        <x:v>8042.092681745813</x:v>
      </x:c>
      <x:c r="C281" s="34" t="n">
        <x:f>Subsurface_Scenario_Data!A35</x:f>
        <x:v>-43.5</x:v>
      </x:c>
      <x:c r="D281" s="34" t="n">
        <x:f>Subsurface_Scenario_Data!F35</x:f>
        <x:v>14621.986694083294</x:v>
      </x:c>
      <x:c r="E281" s="34" t="n">
        <x:f>Subsurface_Scenario_Data!A35</x:f>
        <x:v>-43.5</x:v>
      </x:c>
      <x:c r="F281" s="34" t="n">
        <x:f>Subsurface_Scenario_Data!G35</x:f>
        <x:v>25588.476714645767</x:v>
      </x:c>
    </x:row>
    <x:row r="282">
      <x:c r="A282" s="34" t="n">
        <x:f>Subsurface_Scenario_Data!A36</x:f>
        <x:v>-43</x:v>
      </x:c>
      <x:c r="B282" s="34" t="n">
        <x:f>Subsurface_Scenario_Data!E36</x:f>
        <x:v>8043.031259389851</x:v>
      </x:c>
      <x:c r="C282" s="34" t="n">
        <x:f>Subsurface_Scenario_Data!A36</x:f>
        <x:v>-43</x:v>
      </x:c>
      <x:c r="D282" s="34" t="n">
        <x:f>Subsurface_Scenario_Data!F36</x:f>
        <x:v>14623.693198890636</x:v>
      </x:c>
      <x:c r="E282" s="34" t="n">
        <x:f>Subsurface_Scenario_Data!A36</x:f>
        <x:v>-43</x:v>
      </x:c>
      <x:c r="F282" s="34" t="n">
        <x:f>Subsurface_Scenario_Data!G36</x:f>
        <x:v>25591.463098058615</x:v>
      </x:c>
    </x:row>
    <x:row r="283">
      <x:c r="A283" s="34" t="n">
        <x:f>Subsurface_Scenario_Data!A37</x:f>
        <x:v>-42.5</x:v>
      </x:c>
      <x:c r="B283" s="34" t="n">
        <x:f>Subsurface_Scenario_Data!E37</x:f>
        <x:v>8041.503126501601</x:v>
      </x:c>
      <x:c r="C283" s="34" t="n">
        <x:f>Subsurface_Scenario_Data!A37</x:f>
        <x:v>-42.5</x:v>
      </x:c>
      <x:c r="D283" s="34" t="n">
        <x:f>Subsurface_Scenario_Data!F37</x:f>
        <x:v>14620.914775457455</x:v>
      </x:c>
      <x:c r="E283" s="34" t="n">
        <x:f>Subsurface_Scenario_Data!A37</x:f>
        <x:v>-42.5</x:v>
      </x:c>
      <x:c r="F283" s="34" t="n">
        <x:f>Subsurface_Scenario_Data!G37</x:f>
        <x:v>25586.600857050547</x:v>
      </x:c>
    </x:row>
    <x:row r="284">
      <x:c r="A284" s="34" t="n">
        <x:f>Subsurface_Scenario_Data!A38</x:f>
        <x:v>-42</x:v>
      </x:c>
      <x:c r="B284" s="34" t="n">
        <x:f>Subsurface_Scenario_Data!E38</x:f>
        <x:v>8040.893442592909</x:v>
      </x:c>
      <x:c r="C284" s="34" t="n">
        <x:f>Subsurface_Scenario_Data!A38</x:f>
        <x:v>-42</x:v>
      </x:c>
      <x:c r="D284" s="34" t="n">
        <x:f>Subsurface_Scenario_Data!F38</x:f>
        <x:v>14619.806259259834</x:v>
      </x:c>
      <x:c r="E284" s="34" t="n">
        <x:f>Subsurface_Scenario_Data!A38</x:f>
        <x:v>-42</x:v>
      </x:c>
      <x:c r="F284" s="34" t="n">
        <x:f>Subsurface_Scenario_Data!G38</x:f>
        <x:v>25584.66095370471</x:v>
      </x:c>
    </x:row>
    <x:row r="285">
      <x:c r="A285" s="34" t="n">
        <x:f>Subsurface_Scenario_Data!A39</x:f>
        <x:v>-41.5</x:v>
      </x:c>
      <x:c r="B285" s="34" t="n">
        <x:f>Subsurface_Scenario_Data!E39</x:f>
        <x:v>8039.3622565597625</x:v>
      </x:c>
      <x:c r="C285" s="34" t="n">
        <x:f>Subsurface_Scenario_Data!A39</x:f>
        <x:v>-41.5</x:v>
      </x:c>
      <x:c r="D285" s="34" t="n">
        <x:f>Subsurface_Scenario_Data!F39</x:f>
        <x:v>14617.022284654113</x:v>
      </x:c>
      <x:c r="E285" s="34" t="n">
        <x:f>Subsurface_Scenario_Data!A39</x:f>
        <x:v>-41.5</x:v>
      </x:c>
      <x:c r="F285" s="34" t="n">
        <x:f>Subsurface_Scenario_Data!G39</x:f>
        <x:v>25579.788998144697</x:v>
      </x:c>
    </x:row>
    <x:row r="286">
      <x:c r="A286" s="34" t="n">
        <x:f>Subsurface_Scenario_Data!A40</x:f>
        <x:v>-41</x:v>
      </x:c>
      <x:c r="B286" s="34" t="n">
        <x:f>Subsurface_Scenario_Data!E40</x:f>
        <x:v>8037.4927972928035</x:v>
      </x:c>
      <x:c r="C286" s="34" t="n">
        <x:f>Subsurface_Scenario_Data!A40</x:f>
        <x:v>-41</x:v>
      </x:c>
      <x:c r="D286" s="34" t="n">
        <x:f>Subsurface_Scenario_Data!F40</x:f>
        <x:v>14613.623267805096</x:v>
      </x:c>
      <x:c r="E286" s="34" t="n">
        <x:f>Subsurface_Scenario_Data!A40</x:f>
        <x:v>-41</x:v>
      </x:c>
      <x:c r="F286" s="34" t="n">
        <x:f>Subsurface_Scenario_Data!G40</x:f>
        <x:v>25573.840718658917</x:v>
      </x:c>
    </x:row>
    <x:row r="287">
      <x:c r="A287" s="34" t="n">
        <x:f>Subsurface_Scenario_Data!A41</x:f>
        <x:v>-40.5</x:v>
      </x:c>
      <x:c r="B287" s="34" t="n">
        <x:f>Subsurface_Scenario_Data!E41</x:f>
        <x:v>8034.935984604651</x:v>
      </x:c>
      <x:c r="C287" s="34" t="n">
        <x:f>Subsurface_Scenario_Data!A41</x:f>
        <x:v>-40.5</x:v>
      </x:c>
      <x:c r="D287" s="34" t="n">
        <x:f>Subsurface_Scenario_Data!F41</x:f>
        <x:v>14608.974517463</x:v>
      </x:c>
      <x:c r="E287" s="34" t="n">
        <x:f>Subsurface_Scenario_Data!A41</x:f>
        <x:v>-40.5</x:v>
      </x:c>
      <x:c r="F287" s="34" t="n">
        <x:f>Subsurface_Scenario_Data!G41</x:f>
        <x:v>25565.70540556025</x:v>
      </x:c>
    </x:row>
    <x:row r="288">
      <x:c r="A288" s="34" t="n">
        <x:f>Subsurface_Scenario_Data!A42</x:f>
        <x:v>-40</x:v>
      </x:c>
      <x:c r="B288" s="34" t="n">
        <x:f>Subsurface_Scenario_Data!E42</x:f>
        <x:v>8033.055222966562</x:v>
      </x:c>
      <x:c r="C288" s="34" t="n">
        <x:f>Subsurface_Scenario_Data!A42</x:f>
        <x:v>-40</x:v>
      </x:c>
      <x:c r="D288" s="34" t="n">
        <x:f>Subsurface_Scenario_Data!F42</x:f>
        <x:v>14605.554950848293</x:v>
      </x:c>
      <x:c r="E288" s="34" t="n">
        <x:f>Subsurface_Scenario_Data!A42</x:f>
        <x:v>-40</x:v>
      </x:c>
      <x:c r="F288" s="34" t="n">
        <x:f>Subsurface_Scenario_Data!G42</x:f>
        <x:v>25559.72116398451</x:v>
      </x:c>
    </x:row>
    <x:row r="289">
      <x:c r="A289" s="34" t="n">
        <x:f>Subsurface_Scenario_Data!A43</x:f>
        <x:v>-39.5</x:v>
      </x:c>
      <x:c r="B289" s="34" t="n">
        <x:f>Subsurface_Scenario_Data!E43</x:f>
        <x:v>8031.480101521523</x:v>
      </x:c>
      <x:c r="C289" s="34" t="n">
        <x:f>Subsurface_Scenario_Data!A43</x:f>
        <x:v>-39.5</x:v>
      </x:c>
      <x:c r="D289" s="34" t="n">
        <x:f>Subsurface_Scenario_Data!F43</x:f>
        <x:v>14602.691093675494</x:v>
      </x:c>
      <x:c r="E289" s="34" t="n">
        <x:f>Subsurface_Scenario_Data!A43</x:f>
        <x:v>-39.5</x:v>
      </x:c>
      <x:c r="F289" s="34" t="n">
        <x:f>Subsurface_Scenario_Data!G43</x:f>
        <x:v>25554.709413932113</x:v>
      </x:c>
    </x:row>
    <x:row r="290">
      <x:c r="A290" s="34" t="n">
        <x:f>Subsurface_Scenario_Data!A44</x:f>
        <x:v>-39</x:v>
      </x:c>
      <x:c r="B290" s="34" t="n">
        <x:f>Subsurface_Scenario_Data!E44</x:f>
        <x:v>8031.511934740909</x:v>
      </x:c>
      <x:c r="C290" s="34" t="n">
        <x:f>Subsurface_Scenario_Data!A44</x:f>
        <x:v>-39</x:v>
      </x:c>
      <x:c r="D290" s="34" t="n">
        <x:f>Subsurface_Scenario_Data!F44</x:f>
        <x:v>14602.748972256197</x:v>
      </x:c>
      <x:c r="E290" s="34" t="n">
        <x:f>Subsurface_Scenario_Data!A44</x:f>
        <x:v>-39</x:v>
      </x:c>
      <x:c r="F290" s="34" t="n">
        <x:f>Subsurface_Scenario_Data!G44</x:f>
        <x:v>25554.810701448343</x:v>
      </x:c>
    </x:row>
    <x:row r="291">
      <x:c r="A291" s="34" t="n">
        <x:f>Subsurface_Scenario_Data!A45</x:f>
        <x:v>-38.5</x:v>
      </x:c>
      <x:c r="B291" s="34" t="n">
        <x:f>Subsurface_Scenario_Data!E45</x:f>
        <x:v>8028.297289467351</x:v>
      </x:c>
      <x:c r="C291" s="34" t="n">
        <x:f>Subsurface_Scenario_Data!A45</x:f>
        <x:v>-38.5</x:v>
      </x:c>
      <x:c r="D291" s="34" t="n">
        <x:f>Subsurface_Scenario_Data!F45</x:f>
        <x:v>14596.90416266791</x:v>
      </x:c>
      <x:c r="E291" s="34" t="n">
        <x:f>Subsurface_Scenario_Data!A45</x:f>
        <x:v>-38.5</x:v>
      </x:c>
      <x:c r="F291" s="34" t="n">
        <x:f>Subsurface_Scenario_Data!G45</x:f>
        <x:v>25544.582284668842</x:v>
      </x:c>
    </x:row>
    <x:row r="292">
      <x:c r="A292" s="34" t="n">
        <x:f>Subsurface_Scenario_Data!A46</x:f>
        <x:v>-38</x:v>
      </x:c>
      <x:c r="B292" s="34" t="n">
        <x:f>Subsurface_Scenario_Data!E46</x:f>
        <x:v>8027.962690900118</x:v>
      </x:c>
      <x:c r="C292" s="34" t="n">
        <x:f>Subsurface_Scenario_Data!A46</x:f>
        <x:v>-38</x:v>
      </x:c>
      <x:c r="D292" s="34" t="n">
        <x:f>Subsurface_Scenario_Data!F46</x:f>
        <x:v>14596.295801636577</x:v>
      </x:c>
      <x:c r="E292" s="34" t="n">
        <x:f>Subsurface_Scenario_Data!A46</x:f>
        <x:v>-38</x:v>
      </x:c>
      <x:c r="F292" s="34" t="n">
        <x:f>Subsurface_Scenario_Data!G46</x:f>
        <x:v>25543.51765286401</x:v>
      </x:c>
    </x:row>
    <x:row r="293">
      <x:c r="A293" s="34" t="n">
        <x:f>Subsurface_Scenario_Data!A47</x:f>
        <x:v>-37.5</x:v>
      </x:c>
      <x:c r="B293" s="34" t="n">
        <x:f>Subsurface_Scenario_Data!E47</x:f>
        <x:v>8024.310620765767</x:v>
      </x:c>
      <x:c r="C293" s="34" t="n">
        <x:f>Subsurface_Scenario_Data!A47</x:f>
        <x:v>-37.5</x:v>
      </x:c>
      <x:c r="D293" s="34" t="n">
        <x:f>Subsurface_Scenario_Data!F47</x:f>
        <x:v>14589.655674119576</x:v>
      </x:c>
      <x:c r="E293" s="34" t="n">
        <x:f>Subsurface_Scenario_Data!A47</x:f>
        <x:v>-37.5</x:v>
      </x:c>
      <x:c r="F293" s="34" t="n">
        <x:f>Subsurface_Scenario_Data!G47</x:f>
        <x:v>25531.897429709257</x:v>
      </x:c>
    </x:row>
    <x:row r="294">
      <x:c r="A294" s="34" t="n">
        <x:f>Subsurface_Scenario_Data!A48</x:f>
        <x:v>-37</x:v>
      </x:c>
      <x:c r="B294" s="34" t="n">
        <x:f>Subsurface_Scenario_Data!E48</x:f>
        <x:v>8023.843308857291</x:v>
      </x:c>
      <x:c r="C294" s="34" t="n">
        <x:f>Subsurface_Scenario_Data!A48</x:f>
        <x:v>-37</x:v>
      </x:c>
      <x:c r="D294" s="34" t="n">
        <x:f>Subsurface_Scenario_Data!F48</x:f>
        <x:v>14588.806016104165</x:v>
      </x:c>
      <x:c r="E294" s="34" t="n">
        <x:f>Subsurface_Scenario_Data!A48</x:f>
        <x:v>-37</x:v>
      </x:c>
      <x:c r="F294" s="34" t="n">
        <x:f>Subsurface_Scenario_Data!G48</x:f>
        <x:v>25530.41052818229</x:v>
      </x:c>
    </x:row>
    <x:row r="295">
      <x:c r="A295" s="34" t="n">
        <x:f>Subsurface_Scenario_Data!A49</x:f>
        <x:v>-36.5</x:v>
      </x:c>
      <x:c r="B295" s="34" t="n">
        <x:f>Subsurface_Scenario_Data!E49</x:f>
        <x:v>8021.119365335556</x:v>
      </x:c>
      <x:c r="C295" s="34" t="n">
        <x:f>Subsurface_Scenario_Data!A49</x:f>
        <x:v>-36.5</x:v>
      </x:c>
      <x:c r="D295" s="34" t="n">
        <x:f>Subsurface_Scenario_Data!F49</x:f>
        <x:v>14583.853391519191</x:v>
      </x:c>
      <x:c r="E295" s="34" t="n">
        <x:f>Subsurface_Scenario_Data!A49</x:f>
        <x:v>-36.5</x:v>
      </x:c>
      <x:c r="F295" s="34" t="n">
        <x:f>Subsurface_Scenario_Data!G49</x:f>
        <x:v>25521.743435158583</x:v>
      </x:c>
    </x:row>
    <x:row r="296">
      <x:c r="A296" s="34" t="n">
        <x:f>Subsurface_Scenario_Data!A50</x:f>
        <x:v>-36</x:v>
      </x:c>
      <x:c r="B296" s="34" t="n">
        <x:f>Subsurface_Scenario_Data!E50</x:f>
        <x:v>8020.156442195234</x:v>
      </x:c>
      <x:c r="C296" s="34" t="n">
        <x:f>Subsurface_Scenario_Data!A50</x:f>
        <x:v>-36</x:v>
      </x:c>
      <x:c r="D296" s="34" t="n">
        <x:f>Subsurface_Scenario_Data!F50</x:f>
        <x:v>14582.102622173152</x:v>
      </x:c>
      <x:c r="E296" s="34" t="n">
        <x:f>Subsurface_Scenario_Data!A50</x:f>
        <x:v>-36</x:v>
      </x:c>
      <x:c r="F296" s="34" t="n">
        <x:f>Subsurface_Scenario_Data!G50</x:f>
        <x:v>25518.679588803017</x:v>
      </x:c>
    </x:row>
    <x:row r="297">
      <x:c r="A297" s="34" t="n">
        <x:f>Subsurface_Scenario_Data!A51</x:f>
        <x:v>-35.5</x:v>
      </x:c>
      <x:c r="B297" s="34" t="n">
        <x:f>Subsurface_Scenario_Data!E51</x:f>
        <x:v>8019.1567207545</x:v>
      </x:c>
      <x:c r="C297" s="34" t="n">
        <x:f>Subsurface_Scenario_Data!A51</x:f>
        <x:v>-35.5</x:v>
      </x:c>
      <x:c r="D297" s="34" t="n">
        <x:f>Subsurface_Scenario_Data!F51</x:f>
        <x:v>14580.284946826363</x:v>
      </x:c>
      <x:c r="E297" s="34" t="n">
        <x:f>Subsurface_Scenario_Data!A51</x:f>
        <x:v>-35.5</x:v>
      </x:c>
      <x:c r="F297" s="34" t="n">
        <x:f>Subsurface_Scenario_Data!G51</x:f>
        <x:v>25515.498656946136</x:v>
      </x:c>
    </x:row>
    <x:row r="298">
      <x:c r="A298" s="34" t="n">
        <x:f>Subsurface_Scenario_Data!A52</x:f>
        <x:v>-35</x:v>
      </x:c>
      <x:c r="B298" s="34" t="n">
        <x:f>Subsurface_Scenario_Data!E52</x:f>
        <x:v>8019.621129085201</x:v>
      </x:c>
      <x:c r="C298" s="34" t="n">
        <x:f>Subsurface_Scenario_Data!A52</x:f>
        <x:v>-35</x:v>
      </x:c>
      <x:c r="D298" s="34" t="n">
        <x:f>Subsurface_Scenario_Data!F52</x:f>
        <x:v>14581.129325609454</x:v>
      </x:c>
      <x:c r="E298" s="34" t="n">
        <x:f>Subsurface_Scenario_Data!A52</x:f>
        <x:v>-35</x:v>
      </x:c>
      <x:c r="F298" s="34" t="n">
        <x:f>Subsurface_Scenario_Data!G52</x:f>
        <x:v>25516.976319816546</x:v>
      </x:c>
    </x:row>
    <x:row r="299">
      <x:c r="A299" s="34" t="n">
        <x:f>Subsurface_Scenario_Data!A53</x:f>
        <x:v>-34.5</x:v>
      </x:c>
      <x:c r="B299" s="34" t="n">
        <x:f>Subsurface_Scenario_Data!E53</x:f>
        <x:v>8017.271697604835</x:v>
      </x:c>
      <x:c r="C299" s="34" t="n">
        <x:f>Subsurface_Scenario_Data!A53</x:f>
        <x:v>-34.5</x:v>
      </x:c>
      <x:c r="D299" s="34" t="n">
        <x:f>Subsurface_Scenario_Data!F53</x:f>
        <x:v>14576.85763200879</x:v>
      </x:c>
      <x:c r="E299" s="34" t="n">
        <x:f>Subsurface_Scenario_Data!A53</x:f>
        <x:v>-34.5</x:v>
      </x:c>
      <x:c r="F299" s="34" t="n">
        <x:f>Subsurface_Scenario_Data!G53</x:f>
        <x:v>25509.500856015384</x:v>
      </x:c>
    </x:row>
    <x:row r="300">
      <x:c r="A300" s="34" t="n">
        <x:f>Subsurface_Scenario_Data!A54</x:f>
        <x:v>-34</x:v>
      </x:c>
      <x:c r="B300" s="34" t="n">
        <x:f>Subsurface_Scenario_Data!E54</x:f>
        <x:v>8017.695811357777</x:v>
      </x:c>
      <x:c r="C300" s="34" t="n">
        <x:f>Subsurface_Scenario_Data!A54</x:f>
        <x:v>-34</x:v>
      </x:c>
      <x:c r="D300" s="34" t="n">
        <x:f>Subsurface_Scenario_Data!F54</x:f>
        <x:v>14577.628747923229</x:v>
      </x:c>
      <x:c r="E300" s="34" t="n">
        <x:f>Subsurface_Scenario_Data!A54</x:f>
        <x:v>-34</x:v>
      </x:c>
      <x:c r="F300" s="34" t="n">
        <x:f>Subsurface_Scenario_Data!G54</x:f>
        <x:v>25510.85030886565</x:v>
      </x:c>
    </x:row>
    <x:row r="301">
      <x:c r="A301" s="34" t="n">
        <x:f>Subsurface_Scenario_Data!A55</x:f>
        <x:v>-33.5</x:v>
      </x:c>
      <x:c r="B301" s="34" t="n">
        <x:f>Subsurface_Scenario_Data!E55</x:f>
        <x:v>8017.950908012919</x:v>
      </x:c>
      <x:c r="C301" s="34" t="n">
        <x:f>Subsurface_Scenario_Data!A55</x:f>
        <x:v>-33.5</x:v>
      </x:c>
      <x:c r="D301" s="34" t="n">
        <x:f>Subsurface_Scenario_Data!F55</x:f>
        <x:v>14578.092560023488</x:v>
      </x:c>
      <x:c r="E301" s="34" t="n">
        <x:f>Subsurface_Scenario_Data!A55</x:f>
        <x:v>-33.5</x:v>
      </x:c>
      <x:c r="F301" s="34" t="n">
        <x:f>Subsurface_Scenario_Data!G55</x:f>
        <x:v>25511.661980041103</x:v>
      </x:c>
    </x:row>
    <x:row r="302">
      <x:c r="A302" s="34" t="n">
        <x:f>Subsurface_Scenario_Data!A56</x:f>
        <x:v>-33</x:v>
      </x:c>
      <x:c r="B302" s="34" t="n">
        <x:f>Subsurface_Scenario_Data!E56</x:f>
        <x:v>8018.156655620427</x:v>
      </x:c>
      <x:c r="C302" s="34" t="n">
        <x:f>Subsurface_Scenario_Data!A56</x:f>
        <x:v>-33</x:v>
      </x:c>
      <x:c r="D302" s="34" t="n">
        <x:f>Subsurface_Scenario_Data!F56</x:f>
        <x:v>14578.466646582594</x:v>
      </x:c>
      <x:c r="E302" s="34" t="n">
        <x:f>Subsurface_Scenario_Data!A56</x:f>
        <x:v>-33</x:v>
      </x:c>
      <x:c r="F302" s="34" t="n">
        <x:f>Subsurface_Scenario_Data!G56</x:f>
        <x:v>25512.31663151954</x:v>
      </x:c>
    </x:row>
    <x:row r="303">
      <x:c r="A303" s="34" t="n">
        <x:f>Subsurface_Scenario_Data!A57</x:f>
        <x:v>-32.5</x:v>
      </x:c>
      <x:c r="B303" s="34" t="n">
        <x:f>Subsurface_Scenario_Data!E57</x:f>
        <x:v>8019.047133377165</x:v>
      </x:c>
      <x:c r="C303" s="34" t="n">
        <x:f>Subsurface_Scenario_Data!A57</x:f>
        <x:v>-32.5</x:v>
      </x:c>
      <x:c r="D303" s="34" t="n">
        <x:f>Subsurface_Scenario_Data!F57</x:f>
        <x:v>14580.08569704939</x:v>
      </x:c>
      <x:c r="E303" s="34" t="n">
        <x:f>Subsurface_Scenario_Data!A57</x:f>
        <x:v>-32.5</x:v>
      </x:c>
      <x:c r="F303" s="34" t="n">
        <x:f>Subsurface_Scenario_Data!G57</x:f>
        <x:v>25515.14996983643</x:v>
      </x:c>
    </x:row>
    <x:row r="304">
      <x:c r="A304" s="34" t="n">
        <x:f>Subsurface_Scenario_Data!A58</x:f>
        <x:v>-32</x:v>
      </x:c>
      <x:c r="B304" s="34" t="n">
        <x:f>Subsurface_Scenario_Data!E58</x:f>
        <x:v>8021.723638918307</x:v>
      </x:c>
      <x:c r="C304" s="34" t="n">
        <x:f>Subsurface_Scenario_Data!A58</x:f>
        <x:v>-32</x:v>
      </x:c>
      <x:c r="D304" s="34" t="n">
        <x:f>Subsurface_Scenario_Data!F58</x:f>
        <x:v>14584.952070760557</x:v>
      </x:c>
      <x:c r="E304" s="34" t="n">
        <x:f>Subsurface_Scenario_Data!A58</x:f>
        <x:v>-32</x:v>
      </x:c>
      <x:c r="F304" s="34" t="n">
        <x:f>Subsurface_Scenario_Data!G58</x:f>
        <x:v>25523.666123830975</x:v>
      </x:c>
    </x:row>
    <x:row r="305">
      <x:c r="A305" s="34" t="n">
        <x:f>Subsurface_Scenario_Data!A59</x:f>
        <x:v>-31.5</x:v>
      </x:c>
      <x:c r="B305" s="34" t="n">
        <x:f>Subsurface_Scenario_Data!E59</x:f>
        <x:v>8022.881478893372</x:v>
      </x:c>
      <x:c r="C305" s="34" t="n">
        <x:f>Subsurface_Scenario_Data!A59</x:f>
        <x:v>-31.5</x:v>
      </x:c>
      <x:c r="D305" s="34" t="n">
        <x:f>Subsurface_Scenario_Data!F59</x:f>
        <x:v>14587.057234351585</x:v>
      </x:c>
      <x:c r="E305" s="34" t="n">
        <x:f>Subsurface_Scenario_Data!A59</x:f>
        <x:v>-31.5</x:v>
      </x:c>
      <x:c r="F305" s="34" t="n">
        <x:f>Subsurface_Scenario_Data!G59</x:f>
        <x:v>25527.350160115275</x:v>
      </x:c>
    </x:row>
    <x:row r="306">
      <x:c r="A306" s="34" t="n">
        <x:f>Subsurface_Scenario_Data!A60</x:f>
        <x:v>-31</x:v>
      </x:c>
      <x:c r="B306" s="34" t="n">
        <x:f>Subsurface_Scenario_Data!E60</x:f>
        <x:v>8025.641856664681</x:v>
      </x:c>
      <x:c r="C306" s="34" t="n">
        <x:f>Subsurface_Scenario_Data!A60</x:f>
        <x:v>-31</x:v>
      </x:c>
      <x:c r="D306" s="34" t="n">
        <x:f>Subsurface_Scenario_Data!F60</x:f>
        <x:v>14592.076103026691</x:v>
      </x:c>
      <x:c r="E306" s="34" t="n">
        <x:f>Subsurface_Scenario_Data!A60</x:f>
        <x:v>-31</x:v>
      </x:c>
      <x:c r="F306" s="34" t="n">
        <x:f>Subsurface_Scenario_Data!G60</x:f>
        <x:v>25536.13318029671</x:v>
      </x:c>
    </x:row>
    <x:row r="307">
      <x:c r="A307" s="34" t="n">
        <x:f>Subsurface_Scenario_Data!A61</x:f>
        <x:v>-30.5</x:v>
      </x:c>
      <x:c r="B307" s="34" t="n">
        <x:f>Subsurface_Scenario_Data!E61</x:f>
        <x:v>8029.754305631838</x:v>
      </x:c>
      <x:c r="C307" s="34" t="n">
        <x:f>Subsurface_Scenario_Data!A61</x:f>
        <x:v>-30.5</x:v>
      </x:c>
      <x:c r="D307" s="34" t="n">
        <x:f>Subsurface_Scenario_Data!F61</x:f>
        <x:v>14599.553282966977</x:v>
      </x:c>
      <x:c r="E307" s="34" t="n">
        <x:f>Subsurface_Scenario_Data!A61</x:f>
        <x:v>-30.5</x:v>
      </x:c>
      <x:c r="F307" s="34" t="n">
        <x:f>Subsurface_Scenario_Data!G61</x:f>
        <x:v>25549.21824519221</x:v>
      </x:c>
    </x:row>
    <x:row r="308">
      <x:c r="A308" s="34" t="n">
        <x:f>Subsurface_Scenario_Data!A62</x:f>
        <x:v>-30</x:v>
      </x:c>
      <x:c r="B308" s="34" t="n">
        <x:f>Subsurface_Scenario_Data!E62</x:f>
        <x:v>8033.256420538498</x:v>
      </x:c>
      <x:c r="C308" s="34" t="n">
        <x:f>Subsurface_Scenario_Data!A62</x:f>
        <x:v>-30</x:v>
      </x:c>
      <x:c r="D308" s="34" t="n">
        <x:f>Subsurface_Scenario_Data!F62</x:f>
        <x:v>14605.92076461545</x:v>
      </x:c>
      <x:c r="E308" s="34" t="n">
        <x:f>Subsurface_Scenario_Data!A62</x:f>
        <x:v>-30</x:v>
      </x:c>
      <x:c r="F308" s="34" t="n">
        <x:f>Subsurface_Scenario_Data!G62</x:f>
        <x:v>25560.361338077037</x:v>
      </x:c>
    </x:row>
    <x:row r="309">
      <x:c r="A309" s="34" t="n">
        <x:f>Subsurface_Scenario_Data!A63</x:f>
        <x:v>-29.5</x:v>
      </x:c>
      <x:c r="B309" s="34" t="n">
        <x:f>Subsurface_Scenario_Data!E63</x:f>
        <x:v>8037.850672025416</x:v>
      </x:c>
      <x:c r="C309" s="34" t="n">
        <x:f>Subsurface_Scenario_Data!A63</x:f>
        <x:v>-29.5</x:v>
      </x:c>
      <x:c r="D309" s="34" t="n">
        <x:f>Subsurface_Scenario_Data!F63</x:f>
        <x:v>14614.27394913712</x:v>
      </x:c>
      <x:c r="E309" s="34" t="n">
        <x:f>Subsurface_Scenario_Data!A63</x:f>
        <x:v>-29.5</x:v>
      </x:c>
      <x:c r="F309" s="34" t="n">
        <x:f>Subsurface_Scenario_Data!G63</x:f>
        <x:v>25574.97941098996</x:v>
      </x:c>
    </x:row>
    <x:row r="310">
      <x:c r="A310" s="34" t="n">
        <x:f>Subsurface_Scenario_Data!A64</x:f>
        <x:v>-29</x:v>
      </x:c>
      <x:c r="B310" s="34" t="n">
        <x:f>Subsurface_Scenario_Data!E64</x:f>
        <x:v>8041.59040665534</x:v>
      </x:c>
      <x:c r="C310" s="34" t="n">
        <x:f>Subsurface_Scenario_Data!A64</x:f>
        <x:v>-29</x:v>
      </x:c>
      <x:c r="D310" s="34" t="n">
        <x:f>Subsurface_Scenario_Data!F64</x:f>
        <x:v>14621.073466646072</x:v>
      </x:c>
      <x:c r="E310" s="34" t="n">
        <x:f>Subsurface_Scenario_Data!A64</x:f>
        <x:v>-29</x:v>
      </x:c>
      <x:c r="F310" s="34" t="n">
        <x:f>Subsurface_Scenario_Data!G64</x:f>
        <x:v>25586.878566630625</x:v>
      </x:c>
    </x:row>
    <x:row r="311">
      <x:c r="A311" s="34" t="n">
        <x:f>Subsurface_Scenario_Data!A65</x:f>
        <x:v>-28.5</x:v>
      </x:c>
      <x:c r="B311" s="34" t="n">
        <x:f>Subsurface_Scenario_Data!E65</x:f>
        <x:v>8047.843442933746</x:v>
      </x:c>
      <x:c r="C311" s="34" t="n">
        <x:f>Subsurface_Scenario_Data!A65</x:f>
        <x:v>-28.5</x:v>
      </x:c>
      <x:c r="D311" s="34" t="n">
        <x:f>Subsurface_Scenario_Data!F65</x:f>
        <x:v>14632.4426235159</x:v>
      </x:c>
      <x:c r="E311" s="34" t="n">
        <x:f>Subsurface_Scenario_Data!A65</x:f>
        <x:v>-28.5</x:v>
      </x:c>
      <x:c r="F311" s="34" t="n">
        <x:f>Subsurface_Scenario_Data!G65</x:f>
        <x:v>25606.774591152825</x:v>
      </x:c>
    </x:row>
    <x:row r="312">
      <x:c r="A312" s="34" t="n">
        <x:f>Subsurface_Scenario_Data!A66</x:f>
        <x:v>-28</x:v>
      </x:c>
      <x:c r="B312" s="34" t="n">
        <x:f>Subsurface_Scenario_Data!E66</x:f>
        <x:v>8052.618126727684</x:v>
      </x:c>
      <x:c r="C312" s="34" t="n">
        <x:f>Subsurface_Scenario_Data!A66</x:f>
        <x:v>-28</x:v>
      </x:c>
      <x:c r="D312" s="34" t="n">
        <x:f>Subsurface_Scenario_Data!F66</x:f>
        <x:v>14641.123866777607</x:v>
      </x:c>
      <x:c r="E312" s="34" t="n">
        <x:f>Subsurface_Scenario_Data!A66</x:f>
        <x:v>-28</x:v>
      </x:c>
      <x:c r="F312" s="34" t="n">
        <x:f>Subsurface_Scenario_Data!G66</x:f>
        <x:v>25621.966766860813</x:v>
      </x:c>
    </x:row>
    <x:row r="313">
      <x:c r="A313" s="34" t="n">
        <x:f>Subsurface_Scenario_Data!A67</x:f>
        <x:v>-27.5</x:v>
      </x:c>
      <x:c r="B313" s="34" t="n">
        <x:f>Subsurface_Scenario_Data!E67</x:f>
        <x:v>8059.3211845911765</x:v>
      </x:c>
      <x:c r="C313" s="34" t="n">
        <x:f>Subsurface_Scenario_Data!A67</x:f>
        <x:v>-27.5</x:v>
      </x:c>
      <x:c r="D313" s="34" t="n">
        <x:f>Subsurface_Scenario_Data!F67</x:f>
        <x:v>14653.311244711229</x:v>
      </x:c>
      <x:c r="E313" s="34" t="n">
        <x:f>Subsurface_Scenario_Data!A67</x:f>
        <x:v>-27.5</x:v>
      </x:c>
      <x:c r="F313" s="34" t="n">
        <x:f>Subsurface_Scenario_Data!G67</x:f>
        <x:v>25643.294678244652</x:v>
      </x:c>
    </x:row>
    <x:row r="314">
      <x:c r="A314" s="34" t="n">
        <x:f>Subsurface_Scenario_Data!A68</x:f>
        <x:v>-27</x:v>
      </x:c>
      <x:c r="B314" s="34" t="n">
        <x:f>Subsurface_Scenario_Data!E68</x:f>
        <x:v>8065.7701061798725</x:v>
      </x:c>
      <x:c r="C314" s="34" t="n">
        <x:f>Subsurface_Scenario_Data!A68</x:f>
        <x:v>-27</x:v>
      </x:c>
      <x:c r="D314" s="34" t="n">
        <x:f>Subsurface_Scenario_Data!F68</x:f>
        <x:v>14665.036556690677</x:v>
      </x:c>
      <x:c r="E314" s="34" t="n">
        <x:f>Subsurface_Scenario_Data!A68</x:f>
        <x:v>-27</x:v>
      </x:c>
      <x:c r="F314" s="34" t="n">
        <x:f>Subsurface_Scenario_Data!G68</x:f>
        <x:v>25663.813974208686</x:v>
      </x:c>
    </x:row>
    <x:row r="315">
      <x:c r="A315" s="34" t="n">
        <x:f>Subsurface_Scenario_Data!A69</x:f>
        <x:v>-26.5</x:v>
      </x:c>
      <x:c r="B315" s="34" t="n">
        <x:f>Subsurface_Scenario_Data!E69</x:f>
        <x:v>8071.986345473627</x:v>
      </x:c>
      <x:c r="C315" s="34" t="n">
        <x:f>Subsurface_Scenario_Data!A69</x:f>
        <x:v>-26.5</x:v>
      </x:c>
      <x:c r="D315" s="34" t="n">
        <x:f>Subsurface_Scenario_Data!F69</x:f>
        <x:v>14676.338809952047</x:v>
      </x:c>
      <x:c r="E315" s="34" t="n">
        <x:f>Subsurface_Scenario_Data!A69</x:f>
        <x:v>-26.5</x:v>
      </x:c>
      <x:c r="F315" s="34" t="n">
        <x:f>Subsurface_Scenario_Data!G69</x:f>
        <x:v>25683.59291741608</x:v>
      </x:c>
    </x:row>
    <x:row r="316">
      <x:c r="A316" s="34" t="n">
        <x:f>Subsurface_Scenario_Data!A70</x:f>
        <x:v>-26</x:v>
      </x:c>
      <x:c r="B316" s="34" t="n">
        <x:f>Subsurface_Scenario_Data!E70</x:f>
        <x:v>8080.187357331415</x:v>
      </x:c>
      <x:c r="C316" s="34" t="n">
        <x:f>Subsurface_Scenario_Data!A70</x:f>
        <x:v>-26</x:v>
      </x:c>
      <x:c r="D316" s="34" t="n">
        <x:f>Subsurface_Scenario_Data!F70</x:f>
        <x:v>14691.249740602572</x:v>
      </x:c>
      <x:c r="E316" s="34" t="n">
        <x:f>Subsurface_Scenario_Data!A70</x:f>
        <x:v>-26</x:v>
      </x:c>
      <x:c r="F316" s="34" t="n">
        <x:f>Subsurface_Scenario_Data!G70</x:f>
        <x:v>25709.687046054503</x:v>
      </x:c>
    </x:row>
    <x:row r="317">
      <x:c r="A317" s="34" t="n">
        <x:f>Subsurface_Scenario_Data!A71</x:f>
        <x:v>-25.5</x:v>
      </x:c>
      <x:c r="B317" s="34" t="n">
        <x:f>Subsurface_Scenario_Data!E71</x:f>
        <x:v>8087.3856574996325</x:v>
      </x:c>
      <x:c r="C317" s="34" t="n">
        <x:f>Subsurface_Scenario_Data!A71</x:f>
        <x:v>-25.5</x:v>
      </x:c>
      <x:c r="D317" s="34" t="n">
        <x:f>Subsurface_Scenario_Data!F71</x:f>
        <x:v>14704.33755909024</x:v>
      </x:c>
      <x:c r="E317" s="34" t="n">
        <x:f>Subsurface_Scenario_Data!A71</x:f>
        <x:v>-25.5</x:v>
      </x:c>
      <x:c r="F317" s="34" t="n">
        <x:f>Subsurface_Scenario_Data!G71</x:f>
        <x:v>25732.59072840792</x:v>
      </x:c>
    </x:row>
    <x:row r="318">
      <x:c r="A318" s="34" t="n">
        <x:f>Subsurface_Scenario_Data!A72</x:f>
        <x:v>-25</x:v>
      </x:c>
      <x:c r="B318" s="34" t="n">
        <x:f>Subsurface_Scenario_Data!E72</x:f>
        <x:v>8095.9098837484335</x:v>
      </x:c>
      <x:c r="C318" s="34" t="n">
        <x:f>Subsurface_Scenario_Data!A72</x:f>
        <x:v>-25</x:v>
      </x:c>
      <x:c r="D318" s="34" t="n">
        <x:f>Subsurface_Scenario_Data!F72</x:f>
        <x:v>14719.836152269878</x:v>
      </x:c>
      <x:c r="E318" s="34" t="n">
        <x:f>Subsurface_Scenario_Data!A72</x:f>
        <x:v>-25</x:v>
      </x:c>
      <x:c r="F318" s="34" t="n">
        <x:f>Subsurface_Scenario_Data!G72</x:f>
        <x:v>25759.713266472285</x:v>
      </x:c>
    </x:row>
    <x:row r="319">
      <x:c r="A319" s="34" t="n">
        <x:f>Subsurface_Scenario_Data!A73</x:f>
        <x:v>-24.5</x:v>
      </x:c>
      <x:c r="B319" s="34" t="n">
        <x:f>Subsurface_Scenario_Data!E73</x:f>
        <x:v>8102.749079407459</x:v>
      </x:c>
      <x:c r="C319" s="34" t="n">
        <x:f>Subsurface_Scenario_Data!A73</x:f>
        <x:v>-24.5</x:v>
      </x:c>
      <x:c r="D319" s="34" t="n">
        <x:f>Subsurface_Scenario_Data!F73</x:f>
        <x:v>14732.271053468106</x:v>
      </x:c>
      <x:c r="E319" s="34" t="n">
        <x:f>Subsurface_Scenario_Data!A73</x:f>
        <x:v>-24.5</x:v>
      </x:c>
      <x:c r="F319" s="34" t="n">
        <x:f>Subsurface_Scenario_Data!G73</x:f>
        <x:v>25781.474343569185</x:v>
      </x:c>
    </x:row>
    <x:row r="320">
      <x:c r="A320" s="34" t="n">
        <x:f>Subsurface_Scenario_Data!A74</x:f>
        <x:v>-24</x:v>
      </x:c>
      <x:c r="B320" s="34" t="n">
        <x:f>Subsurface_Scenario_Data!E74</x:f>
        <x:v>8111.891547287535</x:v>
      </x:c>
      <x:c r="C320" s="34" t="n">
        <x:f>Subsurface_Scenario_Data!A74</x:f>
        <x:v>-24</x:v>
      </x:c>
      <x:c r="D320" s="34" t="n">
        <x:f>Subsurface_Scenario_Data!F74</x:f>
        <x:v>14748.893722340972</x:v>
      </x:c>
      <x:c r="E320" s="34" t="n">
        <x:f>Subsurface_Scenario_Data!A74</x:f>
        <x:v>-24</x:v>
      </x:c>
      <x:c r="F320" s="34" t="n">
        <x:f>Subsurface_Scenario_Data!G74</x:f>
        <x:v>25810.5640140967</x:v>
      </x:c>
    </x:row>
    <x:row r="321">
      <x:c r="A321" s="34" t="n">
        <x:f>Subsurface_Scenario_Data!A75</x:f>
        <x:v>-23.5</x:v>
      </x:c>
      <x:c r="B321" s="34" t="n">
        <x:f>Subsurface_Scenario_Data!E75</x:f>
        <x:v>8120.454712106832</x:v>
      </x:c>
      <x:c r="C321" s="34" t="n">
        <x:f>Subsurface_Scenario_Data!A75</x:f>
        <x:v>-23.5</x:v>
      </x:c>
      <x:c r="D321" s="34" t="n">
        <x:f>Subsurface_Scenario_Data!F75</x:f>
        <x:v>14764.46311292151</x:v>
      </x:c>
      <x:c r="E321" s="34" t="n">
        <x:f>Subsurface_Scenario_Data!A75</x:f>
        <x:v>-23.5</x:v>
      </x:c>
      <x:c r="F321" s="34" t="n">
        <x:f>Subsurface_Scenario_Data!G75</x:f>
        <x:v>25837.810447612643</x:v>
      </x:c>
    </x:row>
    <x:row r="322">
      <x:c r="A322" s="34" t="n">
        <x:f>Subsurface_Scenario_Data!A76</x:f>
        <x:v>-23</x:v>
      </x:c>
      <x:c r="B322" s="34" t="n">
        <x:f>Subsurface_Scenario_Data!E76</x:f>
        <x:v>8129.43643695917</x:v>
      </x:c>
      <x:c r="C322" s="34" t="n">
        <x:f>Subsurface_Scenario_Data!A76</x:f>
        <x:v>-23</x:v>
      </x:c>
      <x:c r="D322" s="34" t="n">
        <x:f>Subsurface_Scenario_Data!F76</x:f>
        <x:v>14780.793521743944</x:v>
      </x:c>
      <x:c r="E322" s="34" t="n">
        <x:f>Subsurface_Scenario_Data!A76</x:f>
        <x:v>-23</x:v>
      </x:c>
      <x:c r="F322" s="34" t="n">
        <x:f>Subsurface_Scenario_Data!G76</x:f>
        <x:v>25866.388663051905</x:v>
      </x:c>
    </x:row>
    <x:row r="323">
      <x:c r="A323" s="34" t="n">
        <x:f>Subsurface_Scenario_Data!A77</x:f>
        <x:v>-22.5</x:v>
      </x:c>
      <x:c r="B323" s="34" t="n">
        <x:f>Subsurface_Scenario_Data!E77</x:f>
        <x:v>8138.735358937694</x:v>
      </x:c>
      <x:c r="C323" s="34" t="n">
        <x:f>Subsurface_Scenario_Data!A77</x:f>
        <x:v>-22.5</x:v>
      </x:c>
      <x:c r="D323" s="34" t="n">
        <x:f>Subsurface_Scenario_Data!F77</x:f>
        <x:v>14797.700652613988</x:v>
      </x:c>
      <x:c r="E323" s="34" t="n">
        <x:f>Subsurface_Scenario_Data!A77</x:f>
        <x:v>-22.5</x:v>
      </x:c>
      <x:c r="F323" s="34" t="n">
        <x:f>Subsurface_Scenario_Data!G77</x:f>
        <x:v>25895.97614207448</x:v>
      </x:c>
    </x:row>
    <x:row r="324">
      <x:c r="A324" s="34" t="n">
        <x:f>Subsurface_Scenario_Data!A78</x:f>
        <x:v>-22</x:v>
      </x:c>
      <x:c r="B324" s="34" t="n">
        <x:f>Subsurface_Scenario_Data!E78</x:f>
        <x:v>8146.709947772641</x:v>
      </x:c>
      <x:c r="C324" s="34" t="n">
        <x:f>Subsurface_Scenario_Data!A78</x:f>
        <x:v>-22</x:v>
      </x:c>
      <x:c r="D324" s="34" t="n">
        <x:f>Subsurface_Scenario_Data!F78</x:f>
        <x:v>14812.199905041163</x:v>
      </x:c>
      <x:c r="E324" s="34" t="n">
        <x:f>Subsurface_Scenario_Data!A78</x:f>
        <x:v>-22</x:v>
      </x:c>
      <x:c r="F324" s="34" t="n">
        <x:f>Subsurface_Scenario_Data!G78</x:f>
        <x:v>25921.349833822034</x:v>
      </x:c>
    </x:row>
    <x:row r="325">
      <x:c r="A325" s="34" t="n">
        <x:f>Subsurface_Scenario_Data!A79</x:f>
        <x:v>-21.5</x:v>
      </x:c>
      <x:c r="B325" s="34" t="n">
        <x:f>Subsurface_Scenario_Data!E79</x:f>
        <x:v>8156.189360286507</x:v>
      </x:c>
      <x:c r="C325" s="34" t="n">
        <x:f>Subsurface_Scenario_Data!A79</x:f>
        <x:v>-21.5</x:v>
      </x:c>
      <x:c r="D325" s="34" t="n">
        <x:f>Subsurface_Scenario_Data!F79</x:f>
        <x:v>14829.43520052092</x:v>
      </x:c>
      <x:c r="E325" s="34" t="n">
        <x:f>Subsurface_Scenario_Data!A79</x:f>
        <x:v>-21.5</x:v>
      </x:c>
      <x:c r="F325" s="34" t="n">
        <x:f>Subsurface_Scenario_Data!G79</x:f>
        <x:v>25951.51160091161</x:v>
      </x:c>
    </x:row>
    <x:row r="326">
      <x:c r="A326" s="34" t="n">
        <x:f>Subsurface_Scenario_Data!A80</x:f>
        <x:v>-21</x:v>
      </x:c>
      <x:c r="B326" s="34" t="n">
        <x:f>Subsurface_Scenario_Data!E80</x:f>
        <x:v>8168.420937880536</x:v>
      </x:c>
      <x:c r="C326" s="34" t="n">
        <x:f>Subsurface_Scenario_Data!A80</x:f>
        <x:v>-21</x:v>
      </x:c>
      <x:c r="D326" s="34" t="n">
        <x:f>Subsurface_Scenario_Data!F80</x:f>
        <x:v>14851.674432510064</x:v>
      </x:c>
      <x:c r="E326" s="34" t="n">
        <x:f>Subsurface_Scenario_Data!A80</x:f>
        <x:v>-21</x:v>
      </x:c>
      <x:c r="F326" s="34" t="n">
        <x:f>Subsurface_Scenario_Data!G80</x:f>
        <x:v>25990.430256892614</x:v>
      </x:c>
    </x:row>
    <x:row r="327">
      <x:c r="A327" s="34" t="n">
        <x:f>Subsurface_Scenario_Data!A81</x:f>
        <x:v>-20.5</x:v>
      </x:c>
      <x:c r="B327" s="34" t="n">
        <x:f>Subsurface_Scenario_Data!E81</x:f>
        <x:v>8177.9772176865745</x:v>
      </x:c>
      <x:c r="C327" s="34" t="n">
        <x:f>Subsurface_Scenario_Data!A81</x:f>
        <x:v>-20.5</x:v>
      </x:c>
      <x:c r="D327" s="34" t="n">
        <x:f>Subsurface_Scenario_Data!F81</x:f>
        <x:v>14869.049486702861</x:v>
      </x:c>
      <x:c r="E327" s="34" t="n">
        <x:f>Subsurface_Scenario_Data!A81</x:f>
        <x:v>-20.5</x:v>
      </x:c>
      <x:c r="F327" s="34" t="n">
        <x:f>Subsurface_Scenario_Data!G81</x:f>
        <x:v>26020.836601730007</x:v>
      </x:c>
    </x:row>
    <x:row r="328">
      <x:c r="A328" s="34" t="n">
        <x:f>Subsurface_Scenario_Data!A82</x:f>
        <x:v>-20</x:v>
      </x:c>
      <x:c r="B328" s="34" t="n">
        <x:f>Subsurface_Scenario_Data!E82</x:f>
        <x:v>8190.289834213461</x:v>
      </x:c>
      <x:c r="C328" s="34" t="n">
        <x:f>Subsurface_Scenario_Data!A82</x:f>
        <x:v>-20</x:v>
      </x:c>
      <x:c r="D328" s="34" t="n">
        <x:f>Subsurface_Scenario_Data!F82</x:f>
        <x:v>14891.436062206292</x:v>
      </x:c>
      <x:c r="E328" s="34" t="n">
        <x:f>Subsurface_Scenario_Data!A82</x:f>
        <x:v>-20</x:v>
      </x:c>
      <x:c r="F328" s="34" t="n">
        <x:f>Subsurface_Scenario_Data!G82</x:f>
        <x:v>26060.01310886101</x:v>
      </x:c>
    </x:row>
    <x:row r="329">
      <x:c r="A329" s="34" t="n">
        <x:f>Subsurface_Scenario_Data!A83</x:f>
        <x:v>-19.5</x:v>
      </x:c>
      <x:c r="B329" s="34" t="n">
        <x:f>Subsurface_Scenario_Data!E83</x:f>
        <x:v>8200.607009894857</x:v>
      </x:c>
      <x:c r="C329" s="34" t="n">
        <x:f>Subsurface_Scenario_Data!A83</x:f>
        <x:v>-19.5</x:v>
      </x:c>
      <x:c r="D329" s="34" t="n">
        <x:f>Subsurface_Scenario_Data!F83</x:f>
        <x:v>14910.194563445193</x:v>
      </x:c>
      <x:c r="E329" s="34" t="n">
        <x:f>Subsurface_Scenario_Data!A83</x:f>
        <x:v>-19.5</x:v>
      </x:c>
      <x:c r="F329" s="34" t="n">
        <x:f>Subsurface_Scenario_Data!G83</x:f>
        <x:v>26092.840486029087</x:v>
      </x:c>
    </x:row>
    <x:row r="330">
      <x:c r="A330" s="34" t="n">
        <x:f>Subsurface_Scenario_Data!A84</x:f>
        <x:v>-19</x:v>
      </x:c>
      <x:c r="B330" s="34" t="n">
        <x:f>Subsurface_Scenario_Data!E84</x:f>
        <x:v>8212.701549419577</x:v>
      </x:c>
      <x:c r="C330" s="34" t="n">
        <x:f>Subsurface_Scenario_Data!A84</x:f>
        <x:v>-19</x:v>
      </x:c>
      <x:c r="D330" s="34" t="n">
        <x:f>Subsurface_Scenario_Data!F84</x:f>
        <x:v>14932.184635308318</x:v>
      </x:c>
      <x:c r="E330" s="34" t="n">
        <x:f>Subsurface_Scenario_Data!A84</x:f>
        <x:v>-19</x:v>
      </x:c>
      <x:c r="F330" s="34" t="n">
        <x:f>Subsurface_Scenario_Data!G84</x:f>
        <x:v>26131.323111789556</x:v>
      </x:c>
    </x:row>
    <x:row r="331">
      <x:c r="A331" s="34" t="n">
        <x:f>Subsurface_Scenario_Data!A85</x:f>
        <x:v>-18.5</x:v>
      </x:c>
      <x:c r="B331" s="34" t="n">
        <x:f>Subsurface_Scenario_Data!E85</x:f>
        <x:v>8226.142770509023</x:v>
      </x:c>
      <x:c r="C331" s="34" t="n">
        <x:f>Subsurface_Scenario_Data!A85</x:f>
        <x:v>-18.5</x:v>
      </x:c>
      <x:c r="D331" s="34" t="n">
        <x:f>Subsurface_Scenario_Data!F85</x:f>
        <x:v>14956.623219107312</x:v>
      </x:c>
      <x:c r="E331" s="34" t="n">
        <x:f>Subsurface_Scenario_Data!A85</x:f>
        <x:v>-18.5</x:v>
      </x:c>
      <x:c r="F331" s="34" t="n">
        <x:f>Subsurface_Scenario_Data!G85</x:f>
        <x:v>26174.090633437798</x:v>
      </x:c>
    </x:row>
    <x:row r="332">
      <x:c r="A332" s="34" t="n">
        <x:f>Subsurface_Scenario_Data!A86</x:f>
        <x:v>-18</x:v>
      </x:c>
      <x:c r="B332" s="34" t="n">
        <x:f>Subsurface_Scenario_Data!E86</x:f>
        <x:v>8237.473834835606</x:v>
      </x:c>
      <x:c r="C332" s="34" t="n">
        <x:f>Subsurface_Scenario_Data!A86</x:f>
        <x:v>-18</x:v>
      </x:c>
      <x:c r="D332" s="34" t="n">
        <x:f>Subsurface_Scenario_Data!F86</x:f>
        <x:v>14977.225154246555</x:v>
      </x:c>
      <x:c r="E332" s="34" t="n">
        <x:f>Subsurface_Scenario_Data!A86</x:f>
        <x:v>-18</x:v>
      </x:c>
      <x:c r="F332" s="34" t="n">
        <x:f>Subsurface_Scenario_Data!G86</x:f>
        <x:v>26210.14401993147</x:v>
      </x:c>
    </x:row>
    <x:row r="333">
      <x:c r="A333" s="34" t="n">
        <x:f>Subsurface_Scenario_Data!A87</x:f>
        <x:v>-17.5</x:v>
      </x:c>
      <x:c r="B333" s="34" t="n">
        <x:f>Subsurface_Scenario_Data!E87</x:f>
        <x:v>8250.768839943496</x:v>
      </x:c>
      <x:c r="C333" s="34" t="n">
        <x:f>Subsurface_Scenario_Data!A87</x:f>
        <x:v>-17.5</x:v>
      </x:c>
      <x:c r="D333" s="34" t="n">
        <x:f>Subsurface_Scenario_Data!F87</x:f>
        <x:v>15001.397890806353</x:v>
      </x:c>
      <x:c r="E333" s="34" t="n">
        <x:f>Subsurface_Scenario_Data!A87</x:f>
        <x:v>-17.5</x:v>
      </x:c>
      <x:c r="F333" s="34" t="n">
        <x:f>Subsurface_Scenario_Data!G87</x:f>
        <x:v>26252.446308911116</x:v>
      </x:c>
    </x:row>
    <x:row r="334">
      <x:c r="A334" s="34" t="n">
        <x:f>Subsurface_Scenario_Data!A88</x:f>
        <x:v>-17</x:v>
      </x:c>
      <x:c r="B334" s="34" t="n">
        <x:f>Subsurface_Scenario_Data!E88</x:f>
        <x:v>8265.969507501748</x:v>
      </x:c>
      <x:c r="C334" s="34" t="n">
        <x:f>Subsurface_Scenario_Data!A88</x:f>
        <x:v>-17</x:v>
      </x:c>
      <x:c r="D334" s="34" t="n">
        <x:f>Subsurface_Scenario_Data!F88</x:f>
        <x:v>15029.035468184995</x:v>
      </x:c>
      <x:c r="E334" s="34" t="n">
        <x:f>Subsurface_Scenario_Data!A88</x:f>
        <x:v>-17</x:v>
      </x:c>
      <x:c r="F334" s="34" t="n">
        <x:f>Subsurface_Scenario_Data!G88</x:f>
        <x:v>26300.81206932374</x:v>
      </x:c>
    </x:row>
    <x:row r="335">
      <x:c r="A335" s="34" t="n">
        <x:f>Subsurface_Scenario_Data!A89</x:f>
        <x:v>-16.5</x:v>
      </x:c>
      <x:c r="B335" s="34" t="n">
        <x:f>Subsurface_Scenario_Data!E89</x:f>
        <x:v>8279.807482504883</x:v>
      </x:c>
      <x:c r="C335" s="34" t="n">
        <x:f>Subsurface_Scenario_Data!A89</x:f>
        <x:v>-16.5</x:v>
      </x:c>
      <x:c r="D335" s="34" t="n">
        <x:f>Subsurface_Scenario_Data!F89</x:f>
        <x:v>15054.19542273615</x:v>
      </x:c>
      <x:c r="E335" s="34" t="n">
        <x:f>Subsurface_Scenario_Data!A89</x:f>
        <x:v>-16.5</x:v>
      </x:c>
      <x:c r="F335" s="34" t="n">
        <x:f>Subsurface_Scenario_Data!G89</x:f>
        <x:v>26344.841989788263</x:v>
      </x:c>
    </x:row>
    <x:row r="336">
      <x:c r="A336" s="34" t="n">
        <x:f>Subsurface_Scenario_Data!A90</x:f>
        <x:v>-16</x:v>
      </x:c>
      <x:c r="B336" s="34" t="n">
        <x:f>Subsurface_Scenario_Data!E90</x:f>
        <x:v>8292.34757987576</x:v>
      </x:c>
      <x:c r="C336" s="34" t="n">
        <x:f>Subsurface_Scenario_Data!A90</x:f>
        <x:v>-16</x:v>
      </x:c>
      <x:c r="D336" s="34" t="n">
        <x:f>Subsurface_Scenario_Data!F90</x:f>
        <x:v>15076.99559977411</x:v>
      </x:c>
      <x:c r="E336" s="34" t="n">
        <x:f>Subsurface_Scenario_Data!A90</x:f>
        <x:v>-16</x:v>
      </x:c>
      <x:c r="F336" s="34" t="n">
        <x:f>Subsurface_Scenario_Data!G90</x:f>
        <x:v>26384.742299604695</x:v>
      </x:c>
    </x:row>
    <x:row r="337">
      <x:c r="A337" s="34" t="n">
        <x:f>Subsurface_Scenario_Data!A91</x:f>
        <x:v>-15.5</x:v>
      </x:c>
      <x:c r="B337" s="34" t="n">
        <x:f>Subsurface_Scenario_Data!E91</x:f>
        <x:v>8307.778296695627</x:v>
      </x:c>
      <x:c r="C337" s="34" t="n">
        <x:f>Subsurface_Scenario_Data!A91</x:f>
        <x:v>-15.5</x:v>
      </x:c>
      <x:c r="D337" s="34" t="n">
        <x:f>Subsurface_Scenario_Data!F91</x:f>
        <x:v>15105.051448537502</x:v>
      </x:c>
      <x:c r="E337" s="34" t="n">
        <x:f>Subsurface_Scenario_Data!A91</x:f>
        <x:v>-15.5</x:v>
      </x:c>
      <x:c r="F337" s="34" t="n">
        <x:f>Subsurface_Scenario_Data!G91</x:f>
        <x:v>26433.84003494063</x:v>
      </x:c>
    </x:row>
    <x:row r="338">
      <x:c r="A338" s="34" t="n">
        <x:f>Subsurface_Scenario_Data!A92</x:f>
        <x:v>-15</x:v>
      </x:c>
      <x:c r="B338" s="34" t="n">
        <x:f>Subsurface_Scenario_Data!E92</x:f>
        <x:v>8321.933762091852</x:v>
      </x:c>
      <x:c r="C338" s="34" t="n">
        <x:f>Subsurface_Scenario_Data!A92</x:f>
        <x:v>-15</x:v>
      </x:c>
      <x:c r="D338" s="34" t="n">
        <x:f>Subsurface_Scenario_Data!F92</x:f>
        <x:v>15130.78865834882</x:v>
      </x:c>
      <x:c r="E338" s="34" t="n">
        <x:f>Subsurface_Scenario_Data!A92</x:f>
        <x:v>-15</x:v>
      </x:c>
      <x:c r="F338" s="34" t="n">
        <x:f>Subsurface_Scenario_Data!G92</x:f>
        <x:v>26478.880152110436</x:v>
      </x:c>
    </x:row>
    <x:row r="339">
      <x:c r="A339" s="34" t="n">
        <x:f>Subsurface_Scenario_Data!A93</x:f>
        <x:v>-14.5</x:v>
      </x:c>
      <x:c r="B339" s="34" t="n">
        <x:f>Subsurface_Scenario_Data!E93</x:f>
        <x:v>8336.512423282888</x:v>
      </x:c>
      <x:c r="C339" s="34" t="n">
        <x:f>Subsurface_Scenario_Data!A93</x:f>
        <x:v>-14.5</x:v>
      </x:c>
      <x:c r="D339" s="34" t="n">
        <x:f>Subsurface_Scenario_Data!F93</x:f>
        <x:v>15157.295315059795</x:v>
      </x:c>
      <x:c r="E339" s="34" t="n">
        <x:f>Subsurface_Scenario_Data!A93</x:f>
        <x:v>-14.5</x:v>
      </x:c>
      <x:c r="F339" s="34" t="n">
        <x:f>Subsurface_Scenario_Data!G93</x:f>
        <x:v>26525.266801354643</x:v>
      </x:c>
    </x:row>
    <x:row r="340">
      <x:c r="A340" s="34" t="n">
        <x:f>Subsurface_Scenario_Data!A94</x:f>
        <x:v>-14</x:v>
      </x:c>
      <x:c r="B340" s="34" t="n">
        <x:f>Subsurface_Scenario_Data!E94</x:f>
        <x:v>8352.283166129864</x:v>
      </x:c>
      <x:c r="C340" s="34" t="n">
        <x:f>Subsurface_Scenario_Data!A94</x:f>
        <x:v>-14</x:v>
      </x:c>
      <x:c r="D340" s="34" t="n">
        <x:f>Subsurface_Scenario_Data!F94</x:f>
        <x:v>15185.969392963387</x:v>
      </x:c>
      <x:c r="E340" s="34" t="n">
        <x:f>Subsurface_Scenario_Data!A94</x:f>
        <x:v>-14</x:v>
      </x:c>
      <x:c r="F340" s="34" t="n">
        <x:f>Subsurface_Scenario_Data!G94</x:f>
        <x:v>26575.446437685925</x:v>
      </x:c>
    </x:row>
    <x:row r="341">
      <x:c r="A341" s="34" t="n">
        <x:f>Subsurface_Scenario_Data!A95</x:f>
        <x:v>-13.5</x:v>
      </x:c>
      <x:c r="B341" s="34" t="n">
        <x:f>Subsurface_Scenario_Data!E95</x:f>
        <x:v>8368.052164581079</x:v>
      </x:c>
      <x:c r="C341" s="34" t="n">
        <x:f>Subsurface_Scenario_Data!A95</x:f>
        <x:v>-13.5</x:v>
      </x:c>
      <x:c r="D341" s="34" t="n">
        <x:f>Subsurface_Scenario_Data!F95</x:f>
        <x:v>15214.640299238325</x:v>
      </x:c>
      <x:c r="E341" s="34" t="n">
        <x:f>Subsurface_Scenario_Data!A95</x:f>
        <x:v>-13.5</x:v>
      </x:c>
      <x:c r="F341" s="34" t="n">
        <x:f>Subsurface_Scenario_Data!G95</x:f>
        <x:v>26625.62052366707</x:v>
      </x:c>
    </x:row>
    <x:row r="342">
      <x:c r="A342" s="34" t="n">
        <x:f>Subsurface_Scenario_Data!A96</x:f>
        <x:v>-13</x:v>
      </x:c>
      <x:c r="B342" s="34" t="n">
        <x:f>Subsurface_Scenario_Data!E96</x:f>
        <x:v>8382.707683419383</x:v>
      </x:c>
      <x:c r="C342" s="34" t="n">
        <x:f>Subsurface_Scenario_Data!A96</x:f>
        <x:v>-13</x:v>
      </x:c>
      <x:c r="D342" s="34" t="n">
        <x:f>Subsurface_Scenario_Data!F96</x:f>
        <x:v>15241.286697126148</x:v>
      </x:c>
      <x:c r="E342" s="34" t="n">
        <x:f>Subsurface_Scenario_Data!A96</x:f>
        <x:v>-13</x:v>
      </x:c>
      <x:c r="F342" s="34" t="n">
        <x:f>Subsurface_Scenario_Data!G96</x:f>
        <x:v>26672.251719970758</x:v>
      </x:c>
    </x:row>
    <x:row r="343">
      <x:c r="A343" s="34" t="n">
        <x:f>Subsurface_Scenario_Data!A97</x:f>
        <x:v>-12.5</x:v>
      </x:c>
      <x:c r="B343" s="34" t="n">
        <x:f>Subsurface_Scenario_Data!E97</x:f>
        <x:v>8397.336953082451</x:v>
      </x:c>
      <x:c r="C343" s="34" t="n">
        <x:f>Subsurface_Scenario_Data!A97</x:f>
        <x:v>-12.5</x:v>
      </x:c>
      <x:c r="D343" s="34" t="n">
        <x:f>Subsurface_Scenario_Data!F97</x:f>
        <x:v>15267.885369240817</x:v>
      </x:c>
      <x:c r="E343" s="34" t="n">
        <x:f>Subsurface_Scenario_Data!A97</x:f>
        <x:v>-12.5</x:v>
      </x:c>
      <x:c r="F343" s="34" t="n">
        <x:f>Subsurface_Scenario_Data!G97</x:f>
        <x:v>26718.79939617143</x:v>
      </x:c>
    </x:row>
    <x:row r="344">
      <x:c r="A344" s="34" t="n">
        <x:f>Subsurface_Scenario_Data!A98</x:f>
        <x:v>-12</x:v>
      </x:c>
      <x:c r="B344" s="34" t="n">
        <x:f>Subsurface_Scenario_Data!E98</x:f>
        <x:v>8414.127523107385</x:v>
      </x:c>
      <x:c r="C344" s="34" t="n">
        <x:f>Subsurface_Scenario_Data!A98</x:f>
        <x:v>-12</x:v>
      </x:c>
      <x:c r="D344" s="34" t="n">
        <x:f>Subsurface_Scenario_Data!F98</x:f>
        <x:v>15298.413678377061</x:v>
      </x:c>
      <x:c r="E344" s="34" t="n">
        <x:f>Subsurface_Scenario_Data!A98</x:f>
        <x:v>-12</x:v>
      </x:c>
      <x:c r="F344" s="34" t="n">
        <x:f>Subsurface_Scenario_Data!G98</x:f>
        <x:v>26772.223937159855</x:v>
      </x:c>
    </x:row>
    <x:row r="345">
      <x:c r="A345" s="34" t="n">
        <x:f>Subsurface_Scenario_Data!A99</x:f>
        <x:v>-11.5</x:v>
      </x:c>
      <x:c r="B345" s="34" t="n">
        <x:f>Subsurface_Scenario_Data!E99</x:f>
        <x:v>8428.537756898168</x:v>
      </x:c>
      <x:c r="C345" s="34" t="n">
        <x:f>Subsurface_Scenario_Data!A99</x:f>
        <x:v>-11.5</x:v>
      </x:c>
      <x:c r="D345" s="34" t="n">
        <x:f>Subsurface_Scenario_Data!F99</x:f>
        <x:v>15324.614103451211</x:v>
      </x:c>
      <x:c r="E345" s="34" t="n">
        <x:f>Subsurface_Scenario_Data!A99</x:f>
        <x:v>-11.5</x:v>
      </x:c>
      <x:c r="F345" s="34" t="n">
        <x:f>Subsurface_Scenario_Data!G99</x:f>
        <x:v>26818.07468103962</x:v>
      </x:c>
    </x:row>
    <x:row r="346">
      <x:c r="A346" s="34" t="n">
        <x:f>Subsurface_Scenario_Data!A100</x:f>
        <x:v>-11</x:v>
      </x:c>
      <x:c r="B346" s="34" t="n">
        <x:f>Subsurface_Scenario_Data!E100</x:f>
        <x:v>8444.32152542816</x:v>
      </x:c>
      <x:c r="C346" s="34" t="n">
        <x:f>Subsurface_Scenario_Data!A100</x:f>
        <x:v>-11</x:v>
      </x:c>
      <x:c r="D346" s="34" t="n">
        <x:f>Subsurface_Scenario_Data!F100</x:f>
        <x:v>15353.311864414836</x:v>
      </x:c>
      <x:c r="E346" s="34" t="n">
        <x:f>Subsurface_Scenario_Data!A100</x:f>
        <x:v>-11</x:v>
      </x:c>
      <x:c r="F346" s="34" t="n">
        <x:f>Subsurface_Scenario_Data!G100</x:f>
        <x:v>26868.295762725964</x:v>
      </x:c>
    </x:row>
    <x:row r="347">
      <x:c r="A347" s="34" t="n">
        <x:f>Subsurface_Scenario_Data!A101</x:f>
        <x:v>-10.5</x:v>
      </x:c>
      <x:c r="B347" s="34" t="n">
        <x:f>Subsurface_Scenario_Data!E101</x:f>
        <x:v>8459.818996517155</x:v>
      </x:c>
      <x:c r="C347" s="34" t="n">
        <x:f>Subsurface_Scenario_Data!A101</x:f>
        <x:v>-10.5</x:v>
      </x:c>
      <x:c r="D347" s="34" t="n">
        <x:f>Subsurface_Scenario_Data!F101</x:f>
        <x:v>15381.489084576646</x:v>
      </x:c>
      <x:c r="E347" s="34" t="n">
        <x:f>Subsurface_Scenario_Data!A101</x:f>
        <x:v>-10.5</x:v>
      </x:c>
      <x:c r="F347" s="34" t="n">
        <x:f>Subsurface_Scenario_Data!G101</x:f>
        <x:v>26917.60589800913</x:v>
      </x:c>
    </x:row>
    <x:row r="348">
      <x:c r="A348" s="34" t="n">
        <x:f>Subsurface_Scenario_Data!A102</x:f>
        <x:v>-10</x:v>
      </x:c>
      <x:c r="B348" s="34" t="n">
        <x:f>Subsurface_Scenario_Data!E102</x:f>
        <x:v>8475.779809867232</x:v>
      </x:c>
      <x:c r="C348" s="34" t="n">
        <x:f>Subsurface_Scenario_Data!A102</x:f>
        <x:v>-10</x:v>
      </x:c>
      <x:c r="D348" s="34" t="n">
        <x:f>Subsurface_Scenario_Data!F102</x:f>
        <x:v>15410.508745213148</x:v>
      </x:c>
      <x:c r="E348" s="34" t="n">
        <x:f>Subsurface_Scenario_Data!A102</x:f>
        <x:v>-10</x:v>
      </x:c>
      <x:c r="F348" s="34" t="n">
        <x:f>Subsurface_Scenario_Data!G102</x:f>
        <x:v>26968.390304123008</x:v>
      </x:c>
    </x:row>
    <x:row r="349">
      <x:c r="A349" s="34" t="n">
        <x:f>Subsurface_Scenario_Data!A103</x:f>
        <x:v>-9.5</x:v>
      </x:c>
      <x:c r="B349" s="34" t="n">
        <x:f>Subsurface_Scenario_Data!E103</x:f>
        <x:v>8491.884620437115</x:v>
      </x:c>
      <x:c r="C349" s="34" t="n">
        <x:f>Subsurface_Scenario_Data!A103</x:f>
        <x:v>-9.5</x:v>
      </x:c>
      <x:c r="D349" s="34" t="n">
        <x:f>Subsurface_Scenario_Data!F103</x:f>
        <x:v>15439.79021897657</x:v>
      </x:c>
      <x:c r="E349" s="34" t="n">
        <x:f>Subsurface_Scenario_Data!A103</x:f>
        <x:v>-9.5</x:v>
      </x:c>
      <x:c r="F349" s="34" t="n">
        <x:f>Subsurface_Scenario_Data!G103</x:f>
        <x:v>27019.632883208997</x:v>
      </x:c>
    </x:row>
    <x:row r="350">
      <x:c r="A350" s="34" t="n">
        <x:f>Subsurface_Scenario_Data!A104</x:f>
        <x:v>-9</x:v>
      </x:c>
      <x:c r="B350" s="34" t="n">
        <x:f>Subsurface_Scenario_Data!E104</x:f>
        <x:v>8507.081317651424</x:v>
      </x:c>
      <x:c r="C350" s="34" t="n">
        <x:f>Subsurface_Scenario_Data!A104</x:f>
        <x:v>-9</x:v>
      </x:c>
      <x:c r="D350" s="34" t="n">
        <x:f>Subsurface_Scenario_Data!F104</x:f>
        <x:v>15467.420577548042</x:v>
      </x:c>
      <x:c r="E350" s="34" t="n">
        <x:f>Subsurface_Scenario_Data!A104</x:f>
        <x:v>-9</x:v>
      </x:c>
      <x:c r="F350" s="34" t="n">
        <x:f>Subsurface_Scenario_Data!G104</x:f>
        <x:v>27067.986010709075</x:v>
      </x:c>
    </x:row>
    <x:row r="351">
      <x:c r="A351" s="34" t="n">
        <x:f>Subsurface_Scenario_Data!A105</x:f>
        <x:v>-8.5</x:v>
      </x:c>
      <x:c r="B351" s="34" t="n">
        <x:f>Subsurface_Scenario_Data!E105</x:f>
        <x:v>8524.50022887121</x:v>
      </x:c>
      <x:c r="C351" s="34" t="n">
        <x:f>Subsurface_Scenario_Data!A105</x:f>
        <x:v>-8.5</x:v>
      </x:c>
      <x:c r="D351" s="34" t="n">
        <x:f>Subsurface_Scenario_Data!F105</x:f>
        <x:v>15499.09132522038</x:v>
      </x:c>
      <x:c r="E351" s="34" t="n">
        <x:f>Subsurface_Scenario_Data!A105</x:f>
        <x:v>-8.5</x:v>
      </x:c>
      <x:c r="F351" s="34" t="n">
        <x:f>Subsurface_Scenario_Data!G105</x:f>
        <x:v>27123.409819135668</x:v>
      </x:c>
    </x:row>
    <x:row r="352">
      <x:c r="A352" s="34" t="n">
        <x:f>Subsurface_Scenario_Data!A106</x:f>
        <x:v>-8</x:v>
      </x:c>
      <x:c r="B352" s="34" t="n">
        <x:f>Subsurface_Scenario_Data!E106</x:f>
        <x:v>8539.103321046068</x:v>
      </x:c>
      <x:c r="C352" s="34" t="n">
        <x:f>Subsurface_Scenario_Data!A106</x:f>
        <x:v>-8</x:v>
      </x:c>
      <x:c r="D352" s="34" t="n">
        <x:f>Subsurface_Scenario_Data!F106</x:f>
        <x:v>15525.64240190194</x:v>
      </x:c>
      <x:c r="E352" s="34" t="n">
        <x:f>Subsurface_Scenario_Data!A106</x:f>
        <x:v>-8</x:v>
      </x:c>
      <x:c r="F352" s="34" t="n">
        <x:f>Subsurface_Scenario_Data!G106</x:f>
        <x:v>27169.874203328392</x:v>
      </x:c>
    </x:row>
    <x:row r="353">
      <x:c r="A353" s="34" t="n">
        <x:f>Subsurface_Scenario_Data!A107</x:f>
        <x:v>-7.5</x:v>
      </x:c>
      <x:c r="B353" s="34" t="n">
        <x:f>Subsurface_Scenario_Data!E107</x:f>
        <x:v>8555.136226679004</x:v>
      </x:c>
      <x:c r="C353" s="34" t="n">
        <x:f>Subsurface_Scenario_Data!A107</x:f>
        <x:v>-7.5</x:v>
      </x:c>
      <x:c r="D353" s="34" t="n">
        <x:f>Subsurface_Scenario_Data!F107</x:f>
        <x:v>15554.79313941637</x:v>
      </x:c>
      <x:c r="E353" s="34" t="n">
        <x:f>Subsurface_Scenario_Data!A107</x:f>
        <x:v>-7.5</x:v>
      </x:c>
      <x:c r="F353" s="34" t="n">
        <x:f>Subsurface_Scenario_Data!G107</x:f>
        <x:v>27220.887993978646</x:v>
      </x:c>
    </x:row>
    <x:row r="354">
      <x:c r="A354" s="34" t="n">
        <x:f>Subsurface_Scenario_Data!A108</x:f>
        <x:v>-7</x:v>
      </x:c>
      <x:c r="B354" s="34" t="n">
        <x:f>Subsurface_Scenario_Data!E108</x:f>
        <x:v>8572.684138800305</x:v>
      </x:c>
      <x:c r="C354" s="34" t="n">
        <x:f>Subsurface_Scenario_Data!A108</x:f>
        <x:v>-7</x:v>
      </x:c>
      <x:c r="D354" s="34" t="n">
        <x:f>Subsurface_Scenario_Data!F108</x:f>
        <x:v>15586.69843418237</x:v>
      </x:c>
      <x:c r="E354" s="34" t="n">
        <x:f>Subsurface_Scenario_Data!A108</x:f>
        <x:v>-7</x:v>
      </x:c>
      <x:c r="F354" s="34" t="n">
        <x:f>Subsurface_Scenario_Data!G108</x:f>
        <x:v>27276.722259819147</x:v>
      </x:c>
    </x:row>
    <x:row r="355">
      <x:c r="A355" s="34" t="n">
        <x:f>Subsurface_Scenario_Data!A109</x:f>
        <x:v>-6.5</x:v>
      </x:c>
      <x:c r="B355" s="34" t="n">
        <x:f>Subsurface_Scenario_Data!E109</x:f>
        <x:v>8586.941055929334</x:v>
      </x:c>
      <x:c r="C355" s="34" t="n">
        <x:f>Subsurface_Scenario_Data!A109</x:f>
        <x:v>-6.5</x:v>
      </x:c>
      <x:c r="D355" s="34" t="n">
        <x:f>Subsurface_Scenario_Data!F109</x:f>
        <x:v>15612.620101689698</x:v>
      </x:c>
      <x:c r="E355" s="34" t="n">
        <x:f>Subsurface_Scenario_Data!A109</x:f>
        <x:v>-6.5</x:v>
      </x:c>
      <x:c r="F355" s="34" t="n">
        <x:f>Subsurface_Scenario_Data!G109</x:f>
        <x:v>27322.08517795697</x:v>
      </x:c>
    </x:row>
    <x:row r="356">
      <x:c r="A356" s="34" t="n">
        <x:f>Subsurface_Scenario_Data!A110</x:f>
        <x:v>-6</x:v>
      </x:c>
      <x:c r="B356" s="34" t="n">
        <x:f>Subsurface_Scenario_Data!E110</x:f>
        <x:v>8602.582505264347</x:v>
      </x:c>
      <x:c r="C356" s="34" t="n">
        <x:f>Subsurface_Scenario_Data!A110</x:f>
        <x:v>-6</x:v>
      </x:c>
      <x:c r="D356" s="34" t="n">
        <x:f>Subsurface_Scenario_Data!F110</x:f>
        <x:v>15641.05910048063</x:v>
      </x:c>
      <x:c r="E356" s="34" t="n">
        <x:f>Subsurface_Scenario_Data!A110</x:f>
        <x:v>-6</x:v>
      </x:c>
      <x:c r="F356" s="34" t="n">
        <x:f>Subsurface_Scenario_Data!G110</x:f>
        <x:v>27371.853425841102</x:v>
      </x:c>
    </x:row>
    <x:row r="357">
      <x:c r="A357" s="34" t="n">
        <x:f>Subsurface_Scenario_Data!A111</x:f>
        <x:v>-5.5</x:v>
      </x:c>
      <x:c r="B357" s="34" t="n">
        <x:f>Subsurface_Scenario_Data!E111</x:f>
        <x:v>8618.161629126793</x:v>
      </x:c>
      <x:c r="C357" s="34" t="n">
        <x:f>Subsurface_Scenario_Data!A111</x:f>
        <x:v>-5.5</x:v>
      </x:c>
      <x:c r="D357" s="34" t="n">
        <x:f>Subsurface_Scenario_Data!F111</x:f>
        <x:v>15669.38478023053</x:v>
      </x:c>
      <x:c r="E357" s="34" t="n">
        <x:f>Subsurface_Scenario_Data!A111</x:f>
        <x:v>-5.5</x:v>
      </x:c>
      <x:c r="F357" s="34" t="n">
        <x:f>Subsurface_Scenario_Data!G111</x:f>
        <x:v>27421.42336540343</x:v>
      </x:c>
    </x:row>
    <x:row r="358">
      <x:c r="A358" s="34" t="n">
        <x:f>Subsurface_Scenario_Data!A112</x:f>
        <x:v>-5</x:v>
      </x:c>
      <x:c r="B358" s="34" t="n">
        <x:f>Subsurface_Scenario_Data!E112</x:f>
        <x:v>8633.478901447079</x:v>
      </x:c>
      <x:c r="C358" s="34" t="n">
        <x:f>Subsurface_Scenario_Data!A112</x:f>
        <x:v>-5</x:v>
      </x:c>
      <x:c r="D358" s="34" t="n">
        <x:f>Subsurface_Scenario_Data!F112</x:f>
        <x:v>15697.234366267416</x:v>
      </x:c>
      <x:c r="E358" s="34" t="n">
        <x:f>Subsurface_Scenario_Data!A112</x:f>
        <x:v>-5</x:v>
      </x:c>
      <x:c r="F358" s="34" t="n">
        <x:f>Subsurface_Scenario_Data!G112</x:f>
        <x:v>27470.16014096798</x:v>
      </x:c>
    </x:row>
    <x:row r="359">
      <x:c r="A359" s="34" t="n">
        <x:f>Subsurface_Scenario_Data!A113</x:f>
        <x:v>-4.5</x:v>
      </x:c>
      <x:c r="B359" s="34" t="n">
        <x:f>Subsurface_Scenario_Data!E113</x:f>
        <x:v>8647.910577927318</x:v>
      </x:c>
      <x:c r="C359" s="34" t="n">
        <x:f>Subsurface_Scenario_Data!A113</x:f>
        <x:v>-4.5</x:v>
      </x:c>
      <x:c r="D359" s="34" t="n">
        <x:f>Subsurface_Scenario_Data!F113</x:f>
        <x:v>15723.473778049667</x:v>
      </x:c>
      <x:c r="E359" s="34" t="n">
        <x:f>Subsurface_Scenario_Data!A113</x:f>
        <x:v>-4.5</x:v>
      </x:c>
      <x:c r="F359" s="34" t="n">
        <x:f>Subsurface_Scenario_Data!G113</x:f>
        <x:v>27516.079111586918</x:v>
      </x:c>
    </x:row>
    <x:row r="360">
      <x:c r="A360" s="34" t="n">
        <x:f>Subsurface_Scenario_Data!A114</x:f>
        <x:v>-4</x:v>
      </x:c>
      <x:c r="B360" s="34" t="n">
        <x:f>Subsurface_Scenario_Data!E114</x:f>
        <x:v>8661.558044637011</x:v>
      </x:c>
      <x:c r="C360" s="34" t="n">
        <x:f>Subsurface_Scenario_Data!A114</x:f>
        <x:v>-4</x:v>
      </x:c>
      <x:c r="D360" s="34" t="n">
        <x:f>Subsurface_Scenario_Data!F114</x:f>
        <x:v>15748.287353885475</x:v>
      </x:c>
      <x:c r="E360" s="34" t="n">
        <x:f>Subsurface_Scenario_Data!A114</x:f>
        <x:v>-4</x:v>
      </x:c>
      <x:c r="F360" s="34" t="n">
        <x:f>Subsurface_Scenario_Data!G114</x:f>
        <x:v>27559.50286929958</x:v>
      </x:c>
    </x:row>
    <x:row r="361">
      <x:c r="A361" s="34" t="n">
        <x:f>Subsurface_Scenario_Data!A115</x:f>
        <x:v>-3.5</x:v>
      </x:c>
      <x:c r="B361" s="34" t="n">
        <x:f>Subsurface_Scenario_Data!E115</x:f>
        <x:v>8676.679781890889</x:v>
      </x:c>
      <x:c r="C361" s="34" t="n">
        <x:f>Subsurface_Scenario_Data!A115</x:f>
        <x:v>-3.5</x:v>
      </x:c>
      <x:c r="D361" s="34" t="n">
        <x:f>Subsurface_Scenario_Data!F115</x:f>
        <x:v>15775.781421619797</x:v>
      </x:c>
      <x:c r="E361" s="34" t="n">
        <x:f>Subsurface_Scenario_Data!A115</x:f>
        <x:v>-3.5</x:v>
      </x:c>
      <x:c r="F361" s="34" t="n">
        <x:f>Subsurface_Scenario_Data!G115</x:f>
        <x:v>27607.617487834643</x:v>
      </x:c>
    </x:row>
    <x:row r="362">
      <x:c r="A362" s="34" t="n">
        <x:f>Subsurface_Scenario_Data!A116</x:f>
        <x:v>-3</x:v>
      </x:c>
      <x:c r="B362" s="34" t="n">
        <x:f>Subsurface_Scenario_Data!E116</x:f>
        <x:v>8688.63188775836</x:v>
      </x:c>
      <x:c r="C362" s="34" t="n">
        <x:f>Subsurface_Scenario_Data!A116</x:f>
        <x:v>-3</x:v>
      </x:c>
      <x:c r="D362" s="34" t="n">
        <x:f>Subsurface_Scenario_Data!F116</x:f>
        <x:v>15797.512523197016</x:v>
      </x:c>
      <x:c r="E362" s="34" t="n">
        <x:f>Subsurface_Scenario_Data!A116</x:f>
        <x:v>-3</x:v>
      </x:c>
      <x:c r="F362" s="34" t="n">
        <x:f>Subsurface_Scenario_Data!G116</x:f>
        <x:v>27645.646915594778</x:v>
      </x:c>
    </x:row>
    <x:row r="363">
      <x:c r="A363" s="34" t="n">
        <x:f>Subsurface_Scenario_Data!A117</x:f>
        <x:v>-2.5</x:v>
      </x:c>
      <x:c r="B363" s="34" t="n">
        <x:f>Subsurface_Scenario_Data!E117</x:f>
        <x:v>8701.285424554584</x:v>
      </x:c>
      <x:c r="C363" s="34" t="n">
        <x:f>Subsurface_Scenario_Data!A117</x:f>
        <x:v>-2.5</x:v>
      </x:c>
      <x:c r="D363" s="34" t="n">
        <x:f>Subsurface_Scenario_Data!F117</x:f>
        <x:v>15820.518953735607</x:v>
      </x:c>
      <x:c r="E363" s="34" t="n">
        <x:f>Subsurface_Scenario_Data!A117</x:f>
        <x:v>-2.5</x:v>
      </x:c>
      <x:c r="F363" s="34" t="n">
        <x:f>Subsurface_Scenario_Data!G117</x:f>
        <x:v>27685.908169037313</x:v>
      </x:c>
    </x:row>
    <x:row r="364">
      <x:c r="A364" s="34" t="n">
        <x:f>Subsurface_Scenario_Data!A118</x:f>
        <x:v>-2</x:v>
      </x:c>
      <x:c r="B364" s="34" t="n">
        <x:f>Subsurface_Scenario_Data!E118</x:f>
        <x:v>8712.420071756085</x:v>
      </x:c>
      <x:c r="C364" s="34" t="n">
        <x:f>Subsurface_Scenario_Data!A118</x:f>
        <x:v>-2</x:v>
      </x:c>
      <x:c r="D364" s="34" t="n">
        <x:f>Subsurface_Scenario_Data!F118</x:f>
        <x:v>15840.763766829245</x:v>
      </x:c>
      <x:c r="E364" s="34" t="n">
        <x:f>Subsurface_Scenario_Data!A118</x:f>
        <x:v>-2</x:v>
      </x:c>
      <x:c r="F364" s="34" t="n">
        <x:f>Subsurface_Scenario_Data!G118</x:f>
        <x:v>27721.336591951178</x:v>
      </x:c>
    </x:row>
    <x:row r="365">
      <x:c r="A365" s="34" t="n">
        <x:f>Subsurface_Scenario_Data!A119</x:f>
        <x:v>-1.5</x:v>
      </x:c>
      <x:c r="B365" s="34" t="n">
        <x:f>Subsurface_Scenario_Data!E119</x:f>
        <x:v>8724.635889998248</x:v>
      </x:c>
      <x:c r="C365" s="34" t="n">
        <x:f>Subsurface_Scenario_Data!A119</x:f>
        <x:v>-1.5</x:v>
      </x:c>
      <x:c r="D365" s="34" t="n">
        <x:f>Subsurface_Scenario_Data!F119</x:f>
        <x:v>15862.974345451357</x:v>
      </x:c>
      <x:c r="E365" s="34" t="n">
        <x:f>Subsurface_Scenario_Data!A119</x:f>
        <x:v>-1.5</x:v>
      </x:c>
      <x:c r="F365" s="34" t="n">
        <x:f>Subsurface_Scenario_Data!G119</x:f>
        <x:v>27760.205104539877</x:v>
      </x:c>
    </x:row>
    <x:row r="366">
      <x:c r="A366" s="34" t="n">
        <x:f>Subsurface_Scenario_Data!A120</x:f>
        <x:v>-1</x:v>
      </x:c>
      <x:c r="B366" s="34" t="n">
        <x:f>Subsurface_Scenario_Data!E120</x:f>
        <x:v>8735.242883084979</x:v>
      </x:c>
      <x:c r="C366" s="34" t="n">
        <x:f>Subsurface_Scenario_Data!A120</x:f>
        <x:v>-1</x:v>
      </x:c>
      <x:c r="D366" s="34" t="n">
        <x:f>Subsurface_Scenario_Data!F120</x:f>
        <x:v>15882.259787427232</x:v>
      </x:c>
      <x:c r="E366" s="34" t="n">
        <x:f>Subsurface_Scenario_Data!A120</x:f>
        <x:v>-1</x:v>
      </x:c>
      <x:c r="F366" s="34" t="n">
        <x:f>Subsurface_Scenario_Data!G120</x:f>
        <x:v>27793.954627997657</x:v>
      </x:c>
    </x:row>
    <x:row r="367">
      <x:c r="A367" s="34" t="n">
        <x:f>Subsurface_Scenario_Data!A121</x:f>
        <x:v>-0.5</x:v>
      </x:c>
      <x:c r="B367" s="34" t="n">
        <x:f>Subsurface_Scenario_Data!E121</x:f>
        <x:v>8743.558916414528</x:v>
      </x:c>
      <x:c r="C367" s="34" t="n">
        <x:f>Subsurface_Scenario_Data!A121</x:f>
        <x:v>-0.5</x:v>
      </x:c>
      <x:c r="D367" s="34" t="n">
        <x:f>Subsurface_Scenario_Data!F121</x:f>
        <x:v>15897.379848026414</x:v>
      </x:c>
      <x:c r="E367" s="34" t="n">
        <x:f>Subsurface_Scenario_Data!A121</x:f>
        <x:v>-0.5</x:v>
      </x:c>
      <x:c r="F367" s="34" t="n">
        <x:f>Subsurface_Scenario_Data!G121</x:f>
        <x:v>27820.414734046226</x:v>
      </x:c>
    </x:row>
    <x:row r="368">
      <x:c r="A368" s="34" t="n">
        <x:f>Subsurface_Scenario_Data!A122</x:f>
        <x:v>0</x:v>
      </x:c>
      <x:c r="B368" s="34" t="n">
        <x:f>Subsurface_Scenario_Data!E122</x:f>
        <x:v>8753.442379397049</x:v>
      </x:c>
      <x:c r="C368" s="34" t="n">
        <x:f>Subsurface_Scenario_Data!A122</x:f>
        <x:v>0</x:v>
      </x:c>
      <x:c r="D368" s="34" t="n">
        <x:f>Subsurface_Scenario_Data!F122</x:f>
        <x:v>15915.349780721906</x:v>
      </x:c>
      <x:c r="E368" s="34" t="n">
        <x:f>Subsurface_Scenario_Data!A122</x:f>
        <x:v>0</x:v>
      </x:c>
      <x:c r="F368" s="34" t="n">
        <x:f>Subsurface_Scenario_Data!G122</x:f>
        <x:v>27851.862116263335</x:v>
      </x:c>
    </x:row>
    <x:row r="369">
      <x:c r="A369" s="34" t="n">
        <x:f>Subsurface_Scenario_Data!A123</x:f>
        <x:v>0.5</x:v>
      </x:c>
      <x:c r="B369" s="34" t="n">
        <x:f>Subsurface_Scenario_Data!E123</x:f>
        <x:v>8763.094751773006</x:v>
      </x:c>
      <x:c r="C369" s="34" t="n">
        <x:f>Subsurface_Scenario_Data!A123</x:f>
        <x:v>0.5</x:v>
      </x:c>
      <x:c r="D369" s="34" t="n">
        <x:f>Subsurface_Scenario_Data!F123</x:f>
        <x:v>15932.899548678191</x:v>
      </x:c>
      <x:c r="E369" s="34" t="n">
        <x:f>Subsurface_Scenario_Data!A123</x:f>
        <x:v>0.5</x:v>
      </x:c>
      <x:c r="F369" s="34" t="n">
        <x:f>Subsurface_Scenario_Data!G123</x:f>
        <x:v>27882.574210186835</x:v>
      </x:c>
    </x:row>
    <x:row r="370">
      <x:c r="A370" s="34" t="n">
        <x:f>Subsurface_Scenario_Data!A124</x:f>
        <x:v>1</x:v>
      </x:c>
      <x:c r="B370" s="34" t="n">
        <x:f>Subsurface_Scenario_Data!E124</x:f>
        <x:v>8771.230319953058</x:v>
      </x:c>
      <x:c r="C370" s="34" t="n">
        <x:f>Subsurface_Scenario_Data!A124</x:f>
        <x:v>1</x:v>
      </x:c>
      <x:c r="D370" s="34" t="n">
        <x:f>Subsurface_Scenario_Data!F124</x:f>
        <x:v>15947.69149082374</x:v>
      </x:c>
      <x:c r="E370" s="34" t="n">
        <x:f>Subsurface_Scenario_Data!A124</x:f>
        <x:v>1</x:v>
      </x:c>
      <x:c r="F370" s="34" t="n">
        <x:f>Subsurface_Scenario_Data!G124</x:f>
        <x:v>27908.460108941545</x:v>
      </x:c>
    </x:row>
    <x:row r="371">
      <x:c r="A371" s="34" t="n">
        <x:f>Subsurface_Scenario_Data!A125</x:f>
        <x:v>1.5</x:v>
      </x:c>
      <x:c r="B371" s="34" t="n">
        <x:f>Subsurface_Scenario_Data!E125</x:f>
        <x:v>8778.45475968897</x:v>
      </x:c>
      <x:c r="C371" s="34" t="n">
        <x:f>Subsurface_Scenario_Data!A125</x:f>
        <x:v>1.5</x:v>
      </x:c>
      <x:c r="D371" s="34" t="n">
        <x:f>Subsurface_Scenario_Data!F125</x:f>
        <x:v>15960.826835798127</x:v>
      </x:c>
      <x:c r="E371" s="34" t="n">
        <x:f>Subsurface_Scenario_Data!A125</x:f>
        <x:v>1.5</x:v>
      </x:c>
      <x:c r="F371" s="34" t="n">
        <x:f>Subsurface_Scenario_Data!G125</x:f>
        <x:v>27931.44696264672</x:v>
      </x:c>
    </x:row>
    <x:row r="372">
      <x:c r="A372" s="34" t="n">
        <x:f>Subsurface_Scenario_Data!A126</x:f>
        <x:v>2</x:v>
      </x:c>
      <x:c r="B372" s="34" t="n">
        <x:f>Subsurface_Scenario_Data!E126</x:f>
        <x:v>8785.220212838849</x:v>
      </x:c>
      <x:c r="C372" s="34" t="n">
        <x:f>Subsurface_Scenario_Data!A126</x:f>
        <x:v>2</x:v>
      </x:c>
      <x:c r="D372" s="34" t="n">
        <x:f>Subsurface_Scenario_Data!F126</x:f>
        <x:v>15973.127659706997</x:v>
      </x:c>
      <x:c r="E372" s="34" t="n">
        <x:f>Subsurface_Scenario_Data!A126</x:f>
        <x:v>2</x:v>
      </x:c>
      <x:c r="F372" s="34" t="n">
        <x:f>Subsurface_Scenario_Data!G126</x:f>
        <x:v>27952.973404487246</x:v>
      </x:c>
    </x:row>
    <x:row r="373">
      <x:c r="A373" s="34" t="n">
        <x:f>Subsurface_Scenario_Data!A127</x:f>
        <x:v>2.5</x:v>
      </x:c>
      <x:c r="B373" s="34" t="n">
        <x:f>Subsurface_Scenario_Data!E127</x:f>
        <x:v>8791.571157738994</x:v>
      </x:c>
      <x:c r="C373" s="34" t="n">
        <x:f>Subsurface_Scenario_Data!A127</x:f>
        <x:v>2.5</x:v>
      </x:c>
      <x:c r="D373" s="34" t="n">
        <x:f>Subsurface_Scenario_Data!F127</x:f>
        <x:v>15984.674832252715</x:v>
      </x:c>
      <x:c r="E373" s="34" t="n">
        <x:f>Subsurface_Scenario_Data!A127</x:f>
        <x:v>2.5</x:v>
      </x:c>
      <x:c r="F373" s="34" t="n">
        <x:f>Subsurface_Scenario_Data!G127</x:f>
        <x:v>27973.18095644225</x:v>
      </x:c>
    </x:row>
    <x:row r="374">
      <x:c r="A374" s="34" t="n">
        <x:f>Subsurface_Scenario_Data!A128</x:f>
        <x:v>3</x:v>
      </x:c>
      <x:c r="B374" s="34" t="n">
        <x:f>Subsurface_Scenario_Data!E128</x:f>
        <x:v>8799.4717090966</x:v>
      </x:c>
      <x:c r="C374" s="34" t="n">
        <x:f>Subsurface_Scenario_Data!A128</x:f>
        <x:v>3</x:v>
      </x:c>
      <x:c r="D374" s="34" t="n">
        <x:f>Subsurface_Scenario_Data!F128</x:f>
        <x:v>15999.039471084727</x:v>
      </x:c>
      <x:c r="E374" s="34" t="n">
        <x:f>Subsurface_Scenario_Data!A128</x:f>
        <x:v>3</x:v>
      </x:c>
      <x:c r="F374" s="34" t="n">
        <x:f>Subsurface_Scenario_Data!G128</x:f>
        <x:v>27998.31907439827</x:v>
      </x:c>
    </x:row>
    <x:row r="375">
      <x:c r="A375" s="34" t="n">
        <x:f>Subsurface_Scenario_Data!A129</x:f>
        <x:v>3.5</x:v>
      </x:c>
      <x:c r="B375" s="34" t="n">
        <x:f>Subsurface_Scenario_Data!E129</x:f>
        <x:v>8803.743850808407</x:v>
      </x:c>
      <x:c r="C375" s="34" t="n">
        <x:f>Subsurface_Scenario_Data!A129</x:f>
        <x:v>3.5</x:v>
      </x:c>
      <x:c r="D375" s="34" t="n">
        <x:f>Subsurface_Scenario_Data!F129</x:f>
        <x:v>16006.80700146983</x:v>
      </x:c>
      <x:c r="E375" s="34" t="n">
        <x:f>Subsurface_Scenario_Data!A129</x:f>
        <x:v>3.5</x:v>
      </x:c>
      <x:c r="F375" s="34" t="n">
        <x:f>Subsurface_Scenario_Data!G129</x:f>
        <x:v>28011.9122525722</x:v>
      </x:c>
    </x:row>
    <x:row r="376">
      <x:c r="A376" s="34" t="n">
        <x:f>Subsurface_Scenario_Data!A130</x:f>
        <x:v>4</x:v>
      </x:c>
      <x:c r="B376" s="34" t="n">
        <x:f>Subsurface_Scenario_Data!E130</x:f>
        <x:v>8809.479795516017</x:v>
      </x:c>
      <x:c r="C376" s="34" t="n">
        <x:f>Subsurface_Scenario_Data!A130</x:f>
        <x:v>4</x:v>
      </x:c>
      <x:c r="D376" s="34" t="n">
        <x:f>Subsurface_Scenario_Data!F130</x:f>
        <x:v>16017.235991847305</x:v>
      </x:c>
      <x:c r="E376" s="34" t="n">
        <x:f>Subsurface_Scenario_Data!A130</x:f>
        <x:v>4</x:v>
      </x:c>
      <x:c r="F376" s="34" t="n">
        <x:f>Subsurface_Scenario_Data!G130</x:f>
        <x:v>28030.162985732783</x:v>
      </x:c>
    </x:row>
    <x:row r="377">
      <x:c r="A377" s="34" t="n">
        <x:f>Subsurface_Scenario_Data!A131</x:f>
        <x:v>4.5</x:v>
      </x:c>
      <x:c r="B377" s="34" t="n">
        <x:f>Subsurface_Scenario_Data!E131</x:f>
        <x:v>8813.931494756442</x:v>
      </x:c>
      <x:c r="C377" s="34" t="n">
        <x:f>Subsurface_Scenario_Data!A131</x:f>
        <x:v>4.5</x:v>
      </x:c>
      <x:c r="D377" s="34" t="n">
        <x:f>Subsurface_Scenario_Data!F131</x:f>
        <x:v>16025.329990466256</x:v>
      </x:c>
      <x:c r="E377" s="34" t="n">
        <x:f>Subsurface_Scenario_Data!A131</x:f>
        <x:v>4.5</x:v>
      </x:c>
      <x:c r="F377" s="34" t="n">
        <x:f>Subsurface_Scenario_Data!G131</x:f>
        <x:v>28044.32748331595</x:v>
      </x:c>
    </x:row>
    <x:row r="378">
      <x:c r="A378" s="34" t="n">
        <x:f>Subsurface_Scenario_Data!A132</x:f>
        <x:v>5</x:v>
      </x:c>
      <x:c r="B378" s="34" t="n">
        <x:f>Subsurface_Scenario_Data!E132</x:f>
        <x:v>8819.786334855158</x:v>
      </x:c>
      <x:c r="C378" s="34" t="n">
        <x:f>Subsurface_Scenario_Data!A132</x:f>
        <x:v>5</x:v>
      </x:c>
      <x:c r="D378" s="34" t="n">
        <x:f>Subsurface_Scenario_Data!F132</x:f>
        <x:v>16035.975154282105</x:v>
      </x:c>
      <x:c r="E378" s="34" t="n">
        <x:f>Subsurface_Scenario_Data!A132</x:f>
        <x:v>5</x:v>
      </x:c>
      <x:c r="F378" s="34" t="n">
        <x:f>Subsurface_Scenario_Data!G132</x:f>
        <x:v>28062.956519993684</x:v>
      </x:c>
    </x:row>
    <x:row r="379">
      <x:c r="A379" s="34" t="n">
        <x:f>Subsurface_Scenario_Data!A133</x:f>
        <x:v>5.5</x:v>
      </x:c>
      <x:c r="B379" s="34" t="n">
        <x:f>Subsurface_Scenario_Data!E133</x:f>
        <x:v>8824.160894534049</x:v>
      </x:c>
      <x:c r="C379" s="34" t="n">
        <x:f>Subsurface_Scenario_Data!A133</x:f>
        <x:v>5.5</x:v>
      </x:c>
      <x:c r="D379" s="34" t="n">
        <x:f>Subsurface_Scenario_Data!F133</x:f>
        <x:v>16043.928899152814</x:v>
      </x:c>
      <x:c r="E379" s="34" t="n">
        <x:f>Subsurface_Scenario_Data!A133</x:f>
        <x:v>5.5</x:v>
      </x:c>
      <x:c r="F379" s="34" t="n">
        <x:f>Subsurface_Scenario_Data!G133</x:f>
        <x:v>28076.875573517424</x:v>
      </x:c>
    </x:row>
    <x:row r="380">
      <x:c r="A380" s="34" t="n">
        <x:f>Subsurface_Scenario_Data!A134</x:f>
        <x:v>6</x:v>
      </x:c>
      <x:c r="B380" s="34" t="n">
        <x:f>Subsurface_Scenario_Data!E134</x:f>
        <x:v>8827.59256292369</x:v>
      </x:c>
      <x:c r="C380" s="34" t="n">
        <x:f>Subsurface_Scenario_Data!A134</x:f>
        <x:v>6</x:v>
      </x:c>
      <x:c r="D380" s="34" t="n">
        <x:f>Subsurface_Scenario_Data!F134</x:f>
        <x:v>16050.16829622489</x:v>
      </x:c>
      <x:c r="E380" s="34" t="n">
        <x:f>Subsurface_Scenario_Data!A134</x:f>
        <x:v>6</x:v>
      </x:c>
      <x:c r="F380" s="34" t="n">
        <x:f>Subsurface_Scenario_Data!G134</x:f>
        <x:v>28087.79451839356</x:v>
      </x:c>
    </x:row>
    <x:row r="381">
      <x:c r="A381" s="34" t="n">
        <x:f>Subsurface_Scenario_Data!A135</x:f>
        <x:v>6.5</x:v>
      </x:c>
      <x:c r="B381" s="34" t="n">
        <x:f>Subsurface_Scenario_Data!E135</x:f>
        <x:v>8830.606863557578</x:v>
      </x:c>
      <x:c r="C381" s="34" t="n">
        <x:f>Subsurface_Scenario_Data!A135</x:f>
        <x:v>6.5</x:v>
      </x:c>
      <x:c r="D381" s="34" t="n">
        <x:f>Subsurface_Scenario_Data!F135</x:f>
        <x:v>16055.648842831959</x:v>
      </x:c>
      <x:c r="E381" s="34" t="n">
        <x:f>Subsurface_Scenario_Data!A135</x:f>
        <x:v>6.5</x:v>
      </x:c>
      <x:c r="F381" s="34" t="n">
        <x:f>Subsurface_Scenario_Data!G135</x:f>
        <x:v>28097.38547495593</x:v>
      </x:c>
    </x:row>
    <x:row r="382">
      <x:c r="A382" s="34" t="n">
        <x:f>Subsurface_Scenario_Data!A136</x:f>
        <x:v>7</x:v>
      </x:c>
      <x:c r="B382" s="34" t="n">
        <x:f>Subsurface_Scenario_Data!E136</x:f>
        <x:v>8831.452629000176</x:v>
      </x:c>
      <x:c r="C382" s="34" t="n">
        <x:f>Subsurface_Scenario_Data!A136</x:f>
        <x:v>7</x:v>
      </x:c>
      <x:c r="D382" s="34" t="n">
        <x:f>Subsurface_Scenario_Data!F136</x:f>
        <x:v>16057.186598182136</x:v>
      </x:c>
      <x:c r="E382" s="34" t="n">
        <x:f>Subsurface_Scenario_Data!A136</x:f>
        <x:v>7</x:v>
      </x:c>
      <x:c r="F382" s="34" t="n">
        <x:f>Subsurface_Scenario_Data!G136</x:f>
        <x:v>28100.07654681874</x:v>
      </x:c>
    </x:row>
    <x:row r="383">
      <x:c r="A383" s="34" t="n">
        <x:f>Subsurface_Scenario_Data!A137</x:f>
        <x:v>7.5</x:v>
      </x:c>
      <x:c r="B383" s="34" t="n">
        <x:f>Subsurface_Scenario_Data!E137</x:f>
        <x:v>8834.75838218925</x:v>
      </x:c>
      <x:c r="C383" s="34" t="n">
        <x:f>Subsurface_Scenario_Data!A137</x:f>
        <x:v>7.5</x:v>
      </x:c>
      <x:c r="D383" s="34" t="n">
        <x:f>Subsurface_Scenario_Data!F137</x:f>
        <x:v>16063.197058525908</x:v>
      </x:c>
      <x:c r="E383" s="34" t="n">
        <x:f>Subsurface_Scenario_Data!A137</x:f>
        <x:v>7.5</x:v>
      </x:c>
      <x:c r="F383" s="34" t="n">
        <x:f>Subsurface_Scenario_Data!G137</x:f>
        <x:v>28110.594852420338</x:v>
      </x:c>
    </x:row>
    <x:row r="384">
      <x:c r="A384" s="34" t="n">
        <x:f>Subsurface_Scenario_Data!A138</x:f>
        <x:v>8</x:v>
      </x:c>
      <x:c r="B384" s="34" t="n">
        <x:f>Subsurface_Scenario_Data!E138</x:f>
        <x:v>8835.473151995233</x:v>
      </x:c>
      <x:c r="C384" s="34" t="n">
        <x:f>Subsurface_Scenario_Data!A138</x:f>
        <x:v>8</x:v>
      </x:c>
      <x:c r="D384" s="34" t="n">
        <x:f>Subsurface_Scenario_Data!F138</x:f>
        <x:v>16064.496639991332</x:v>
      </x:c>
      <x:c r="E384" s="34" t="n">
        <x:f>Subsurface_Scenario_Data!A138</x:f>
        <x:v>8</x:v>
      </x:c>
      <x:c r="F384" s="34" t="n">
        <x:f>Subsurface_Scenario_Data!G138</x:f>
        <x:v>28112.869119984833</x:v>
      </x:c>
    </x:row>
    <x:row r="385">
      <x:c r="A385" s="34" t="n">
        <x:f>Subsurface_Scenario_Data!A139</x:f>
        <x:v>8.5</x:v>
      </x:c>
      <x:c r="B385" s="34" t="n">
        <x:f>Subsurface_Scenario_Data!E139</x:f>
        <x:v>8836.370944056218</x:v>
      </x:c>
      <x:c r="C385" s="34" t="n">
        <x:f>Subsurface_Scenario_Data!A139</x:f>
        <x:v>8.5</x:v>
      </x:c>
      <x:c r="D385" s="34" t="n">
        <x:f>Subsurface_Scenario_Data!F139</x:f>
        <x:v>16066.128989193123</x:v>
      </x:c>
      <x:c r="E385" s="34" t="n">
        <x:f>Subsurface_Scenario_Data!A139</x:f>
        <x:v>8.5</x:v>
      </x:c>
      <x:c r="F385" s="34" t="n">
        <x:f>Subsurface_Scenario_Data!G139</x:f>
        <x:v>28115.725731087965</x:v>
      </x:c>
    </x:row>
    <x:row r="386">
      <x:c r="A386" s="34" t="n">
        <x:f>Subsurface_Scenario_Data!A140</x:f>
        <x:v>9</x:v>
      </x:c>
      <x:c r="B386" s="34" t="n">
        <x:f>Subsurface_Scenario_Data!E140</x:f>
        <x:v>8835.09508379105</x:v>
      </x:c>
      <x:c r="C386" s="34" t="n">
        <x:f>Subsurface_Scenario_Data!A140</x:f>
        <x:v>9</x:v>
      </x:c>
      <x:c r="D386" s="34" t="n">
        <x:f>Subsurface_Scenario_Data!F140</x:f>
        <x:v>16063.809243256452</x:v>
      </x:c>
      <x:c r="E386" s="34" t="n">
        <x:f>Subsurface_Scenario_Data!A140</x:f>
        <x:v>9</x:v>
      </x:c>
      <x:c r="F386" s="34" t="n">
        <x:f>Subsurface_Scenario_Data!G140</x:f>
        <x:v>28111.66617569879</x:v>
      </x:c>
    </x:row>
    <x:row r="387">
      <x:c r="A387" s="34" t="n">
        <x:f>Subsurface_Scenario_Data!A141</x:f>
        <x:v>9.5</x:v>
      </x:c>
      <x:c r="B387" s="34" t="n">
        <x:f>Subsurface_Scenario_Data!E141</x:f>
        <x:v>8833.481656457074</x:v>
      </x:c>
      <x:c r="C387" s="34" t="n">
        <x:f>Subsurface_Scenario_Data!A141</x:f>
        <x:v>9.5</x:v>
      </x:c>
      <x:c r="D387" s="34" t="n">
        <x:f>Subsurface_Scenario_Data!F141</x:f>
        <x:v>16060.87573901286</x:v>
      </x:c>
      <x:c r="E387" s="34" t="n">
        <x:f>Subsurface_Scenario_Data!A141</x:f>
        <x:v>9.5</x:v>
      </x:c>
      <x:c r="F387" s="34" t="n">
        <x:f>Subsurface_Scenario_Data!G141</x:f>
        <x:v>28106.532543272504</x:v>
      </x:c>
    </x:row>
    <x:row r="388">
      <x:c r="A388" s="34" t="n">
        <x:f>Subsurface_Scenario_Data!A142</x:f>
        <x:v>10</x:v>
      </x:c>
      <x:c r="B388" s="34" t="n">
        <x:f>Subsurface_Scenario_Data!E142</x:f>
        <x:v>8832.809151307307</x:v>
      </x:c>
      <x:c r="C388" s="34" t="n">
        <x:f>Subsurface_Scenario_Data!A142</x:f>
        <x:v>10</x:v>
      </x:c>
      <x:c r="D388" s="34" t="n">
        <x:f>Subsurface_Scenario_Data!F142</x:f>
        <x:v>16059.65300237692</x:v>
      </x:c>
      <x:c r="E388" s="34" t="n">
        <x:f>Subsurface_Scenario_Data!A142</x:f>
        <x:v>10</x:v>
      </x:c>
      <x:c r="F388" s="34" t="n">
        <x:f>Subsurface_Scenario_Data!G142</x:f>
        <x:v>28104.39275415961</x:v>
      </x:c>
    </x:row>
    <x:row r="389">
      <x:c r="A389" s="34" t="n">
        <x:f>Subsurface_Scenario_Data!A143</x:f>
        <x:v>10.5</x:v>
      </x:c>
      <x:c r="B389" s="34" t="n">
        <x:f>Subsurface_Scenario_Data!E143</x:f>
        <x:v>8830.853554304653</x:v>
      </x:c>
      <x:c r="C389" s="34" t="n">
        <x:f>Subsurface_Scenario_Data!A143</x:f>
        <x:v>10.5</x:v>
      </x:c>
      <x:c r="D389" s="34" t="n">
        <x:f>Subsurface_Scenario_Data!F143</x:f>
        <x:v>16056.097371463005</x:v>
      </x:c>
      <x:c r="E389" s="34" t="n">
        <x:f>Subsurface_Scenario_Data!A143</x:f>
        <x:v>10.5</x:v>
      </x:c>
      <x:c r="F389" s="34" t="n">
        <x:f>Subsurface_Scenario_Data!G143</x:f>
        <x:v>28098.17040006026</x:v>
      </x:c>
    </x:row>
    <x:row r="390">
      <x:c r="A390" s="34" t="n">
        <x:f>Subsurface_Scenario_Data!A144</x:f>
        <x:v>11</x:v>
      </x:c>
      <x:c r="B390" s="34" t="n">
        <x:f>Subsurface_Scenario_Data!E144</x:f>
        <x:v>8826.431045158492</x:v>
      </x:c>
      <x:c r="C390" s="34" t="n">
        <x:f>Subsurface_Scenario_Data!A144</x:f>
        <x:v>11</x:v>
      </x:c>
      <x:c r="D390" s="34" t="n">
        <x:f>Subsurface_Scenario_Data!F144</x:f>
        <x:v>16048.05644574271</x:v>
      </x:c>
      <x:c r="E390" s="34" t="n">
        <x:f>Subsurface_Scenario_Data!A144</x:f>
        <x:v>11</x:v>
      </x:c>
      <x:c r="F390" s="34" t="n">
        <x:f>Subsurface_Scenario_Data!G144</x:f>
        <x:v>28084.098780049742</x:v>
      </x:c>
    </x:row>
    <x:row r="391">
      <x:c r="A391" s="34" t="n">
        <x:f>Subsurface_Scenario_Data!A145</x:f>
        <x:v>11.5</x:v>
      </x:c>
      <x:c r="B391" s="34" t="n">
        <x:f>Subsurface_Scenario_Data!E145</x:f>
        <x:v>8822.687296629467</x:v>
      </x:c>
      <x:c r="C391" s="34" t="n">
        <x:f>Subsurface_Scenario_Data!A145</x:f>
        <x:v>11.5</x:v>
      </x:c>
      <x:c r="D391" s="34" t="n">
        <x:f>Subsurface_Scenario_Data!F145</x:f>
        <x:v>16041.249630235392</x:v>
      </x:c>
      <x:c r="E391" s="34" t="n">
        <x:f>Subsurface_Scenario_Data!A145</x:f>
        <x:v>11.5</x:v>
      </x:c>
      <x:c r="F391" s="34" t="n">
        <x:f>Subsurface_Scenario_Data!G145</x:f>
        <x:v>28072.186852911935</x:v>
      </x:c>
    </x:row>
    <x:row r="392">
      <x:c r="A392" s="34" t="n">
        <x:f>Subsurface_Scenario_Data!A146</x:f>
        <x:v>12</x:v>
      </x:c>
      <x:c r="B392" s="34" t="n">
        <x:f>Subsurface_Scenario_Data!E146</x:f>
        <x:v>8818.369352865468</x:v>
      </x:c>
      <x:c r="C392" s="34" t="n">
        <x:f>Subsurface_Scenario_Data!A146</x:f>
        <x:v>12</x:v>
      </x:c>
      <x:c r="D392" s="34" t="n">
        <x:f>Subsurface_Scenario_Data!F146</x:f>
        <x:v>16033.398823391757</x:v>
      </x:c>
      <x:c r="E392" s="34" t="n">
        <x:f>Subsurface_Scenario_Data!A146</x:f>
        <x:v>12</x:v>
      </x:c>
      <x:c r="F392" s="34" t="n">
        <x:f>Subsurface_Scenario_Data!G146</x:f>
        <x:v>28058.447940935574</x:v>
      </x:c>
    </x:row>
    <x:row r="393">
      <x:c r="A393" s="34" t="n">
        <x:f>Subsurface_Scenario_Data!A147</x:f>
        <x:v>12.5</x:v>
      </x:c>
      <x:c r="B393" s="34" t="n">
        <x:f>Subsurface_Scenario_Data!E147</x:f>
        <x:v>8811.638675122555</x:v>
      </x:c>
      <x:c r="C393" s="34" t="n">
        <x:f>Subsurface_Scenario_Data!A147</x:f>
        <x:v>12.5</x:v>
      </x:c>
      <x:c r="D393" s="34" t="n">
        <x:f>Subsurface_Scenario_Data!F147</x:f>
        <x:v>16021.161227495551</x:v>
      </x:c>
      <x:c r="E393" s="34" t="n">
        <x:f>Subsurface_Scenario_Data!A147</x:f>
        <x:v>12.5</x:v>
      </x:c>
      <x:c r="F393" s="34" t="n">
        <x:f>Subsurface_Scenario_Data!G147</x:f>
        <x:v>28037.032148117214</x:v>
      </x:c>
    </x:row>
    <x:row r="394">
      <x:c r="A394" s="34" t="n">
        <x:f>Subsurface_Scenario_Data!A148</x:f>
        <x:v>13</x:v>
      </x:c>
      <x:c r="B394" s="34" t="n">
        <x:f>Subsurface_Scenario_Data!E148</x:f>
        <x:v>8805.545098242746</x:v>
      </x:c>
      <x:c r="C394" s="34" t="n">
        <x:f>Subsurface_Scenario_Data!A148</x:f>
        <x:v>13</x:v>
      </x:c>
      <x:c r="D394" s="34" t="n">
        <x:f>Subsurface_Scenario_Data!F148</x:f>
        <x:v>16010.081996804991</x:v>
      </x:c>
      <x:c r="E394" s="34" t="n">
        <x:f>Subsurface_Scenario_Data!A148</x:f>
        <x:v>13</x:v>
      </x:c>
      <x:c r="F394" s="34" t="n">
        <x:f>Subsurface_Scenario_Data!G148</x:f>
        <x:v>28017.643494408734</x:v>
      </x:c>
    </x:row>
    <x:row r="395">
      <x:c r="A395" s="34" t="n">
        <x:f>Subsurface_Scenario_Data!A149</x:f>
        <x:v>13.5</x:v>
      </x:c>
      <x:c r="B395" s="34" t="n">
        <x:f>Subsurface_Scenario_Data!E149</x:f>
        <x:v>8799.956423453128</x:v>
      </x:c>
      <x:c r="C395" s="34" t="n">
        <x:f>Subsurface_Scenario_Data!A149</x:f>
        <x:v>13.5</x:v>
      </x:c>
      <x:c r="D395" s="34" t="n">
        <x:f>Subsurface_Scenario_Data!F149</x:f>
        <x:v>15999.920769914777</x:v>
      </x:c>
      <x:c r="E395" s="34" t="n">
        <x:f>Subsurface_Scenario_Data!A149</x:f>
        <x:v>13.5</x:v>
      </x:c>
      <x:c r="F395" s="34" t="n">
        <x:f>Subsurface_Scenario_Data!G149</x:f>
        <x:v>27999.86134735086</x:v>
      </x:c>
    </x:row>
    <x:row r="396">
      <x:c r="A396" s="34" t="n">
        <x:f>Subsurface_Scenario_Data!A150</x:f>
        <x:v>14</x:v>
      </x:c>
      <x:c r="B396" s="34" t="n">
        <x:f>Subsurface_Scenario_Data!E150</x:f>
        <x:v>8791.92963783986</x:v>
      </x:c>
      <x:c r="C396" s="34" t="n">
        <x:f>Subsurface_Scenario_Data!A150</x:f>
        <x:v>14</x:v>
      </x:c>
      <x:c r="D396" s="34" t="n">
        <x:f>Subsurface_Scenario_Data!F150</x:f>
        <x:v>15985.326614254289</x:v>
      </x:c>
      <x:c r="E396" s="34" t="n">
        <x:f>Subsurface_Scenario_Data!A150</x:f>
        <x:v>14</x:v>
      </x:c>
      <x:c r="F396" s="34" t="n">
        <x:f>Subsurface_Scenario_Data!G150</x:f>
        <x:v>27974.321574945006</x:v>
      </x:c>
    </x:row>
    <x:row r="397">
      <x:c r="A397" s="34" t="n">
        <x:f>Subsurface_Scenario_Data!A151</x:f>
        <x:v>14.5</x:v>
      </x:c>
      <x:c r="B397" s="34" t="n">
        <x:f>Subsurface_Scenario_Data!E151</x:f>
        <x:v>8783.356604592489</x:v>
      </x:c>
      <x:c r="C397" s="34" t="n">
        <x:f>Subsurface_Scenario_Data!A151</x:f>
        <x:v>14.5</x:v>
      </x:c>
      <x:c r="D397" s="34" t="n">
        <x:f>Subsurface_Scenario_Data!F151</x:f>
        <x:v>15969.73928107725</x:v>
      </x:c>
      <x:c r="E397" s="34" t="n">
        <x:f>Subsurface_Scenario_Data!A151</x:f>
        <x:v>14.5</x:v>
      </x:c>
      <x:c r="F397" s="34" t="n">
        <x:f>Subsurface_Scenario_Data!G151</x:f>
        <x:v>27947.043741885187</x:v>
      </x:c>
    </x:row>
    <x:row r="398">
      <x:c r="A398" s="34" t="n">
        <x:f>Subsurface_Scenario_Data!A152</x:f>
        <x:v>15</x:v>
      </x:c>
      <x:c r="B398" s="34" t="n">
        <x:f>Subsurface_Scenario_Data!E152</x:f>
        <x:v>8775.681202365238</x:v>
      </x:c>
      <x:c r="C398" s="34" t="n">
        <x:f>Subsurface_Scenario_Data!A152</x:f>
        <x:v>15</x:v>
      </x:c>
      <x:c r="D398" s="34" t="n">
        <x:f>Subsurface_Scenario_Data!F152</x:f>
        <x:v>15955.784004300433</x:v>
      </x:c>
      <x:c r="E398" s="34" t="n">
        <x:f>Subsurface_Scenario_Data!A152</x:f>
        <x:v>15</x:v>
      </x:c>
      <x:c r="F398" s="34" t="n">
        <x:f>Subsurface_Scenario_Data!G152</x:f>
        <x:v>27922.62200752576</x:v>
      </x:c>
    </x:row>
    <x:row r="399">
      <x:c r="A399" s="34" t="n">
        <x:f>Subsurface_Scenario_Data!A153</x:f>
        <x:v>15.5</x:v>
      </x:c>
      <x:c r="B399" s="34" t="n">
        <x:f>Subsurface_Scenario_Data!E153</x:f>
        <x:v>8766.47681286838</x:v>
      </x:c>
      <x:c r="C399" s="34" t="n">
        <x:f>Subsurface_Scenario_Data!A153</x:f>
        <x:v>15.5</x:v>
      </x:c>
      <x:c r="D399" s="34" t="n">
        <x:f>Subsurface_Scenario_Data!F153</x:f>
        <x:v>15939.048750669783</x:v>
      </x:c>
      <x:c r="E399" s="34" t="n">
        <x:f>Subsurface_Scenario_Data!A153</x:f>
        <x:v>15.5</x:v>
      </x:c>
      <x:c r="F399" s="34" t="n">
        <x:f>Subsurface_Scenario_Data!G153</x:f>
        <x:v>27893.33531367212</x:v>
      </x:c>
    </x:row>
    <x:row r="400">
      <x:c r="A400" s="34" t="n">
        <x:f>Subsurface_Scenario_Data!A154</x:f>
        <x:v>16</x:v>
      </x:c>
      <x:c r="B400" s="34" t="n">
        <x:f>Subsurface_Scenario_Data!E154</x:f>
        <x:v>8756.074444534455</x:v>
      </x:c>
      <x:c r="C400" s="34" t="n">
        <x:f>Subsurface_Scenario_Data!A154</x:f>
        <x:v>16</x:v>
      </x:c>
      <x:c r="D400" s="34" t="n">
        <x:f>Subsurface_Scenario_Data!F154</x:f>
        <x:v>15920.135353699008</x:v>
      </x:c>
      <x:c r="E400" s="34" t="n">
        <x:f>Subsurface_Scenario_Data!A154</x:f>
        <x:v>16</x:v>
      </x:c>
      <x:c r="F400" s="34" t="n">
        <x:f>Subsurface_Scenario_Data!G154</x:f>
        <x:v>27860.236868973265</x:v>
      </x:c>
    </x:row>
    <x:row r="401">
      <x:c r="A401" s="34" t="n">
        <x:f>Subsurface_Scenario_Data!A155</x:f>
        <x:v>16.5</x:v>
      </x:c>
      <x:c r="B401" s="34" t="n">
        <x:f>Subsurface_Scenario_Data!E155</x:f>
        <x:v>8745.04878512849</x:v>
      </x:c>
      <x:c r="C401" s="34" t="n">
        <x:f>Subsurface_Scenario_Data!A155</x:f>
        <x:v>16.5</x:v>
      </x:c>
      <x:c r="D401" s="34" t="n">
        <x:f>Subsurface_Scenario_Data!F155</x:f>
        <x:v>15900.088700233617</x:v>
      </x:c>
      <x:c r="E401" s="34" t="n">
        <x:f>Subsurface_Scenario_Data!A155</x:f>
        <x:v>16.5</x:v>
      </x:c>
      <x:c r="F401" s="34" t="n">
        <x:f>Subsurface_Scenario_Data!G155</x:f>
        <x:v>27825.15522540883</x:v>
      </x:c>
    </x:row>
    <x:row r="402">
      <x:c r="A402" s="34" t="n">
        <x:f>Subsurface_Scenario_Data!A156</x:f>
        <x:v>17</x:v>
      </x:c>
      <x:c r="B402" s="34" t="n">
        <x:f>Subsurface_Scenario_Data!E156</x:f>
        <x:v>8734.219995300247</x:v>
      </x:c>
      <x:c r="C402" s="34" t="n">
        <x:f>Subsurface_Scenario_Data!A156</x:f>
        <x:v>17</x:v>
      </x:c>
      <x:c r="D402" s="34" t="n">
        <x:f>Subsurface_Scenario_Data!F156</x:f>
        <x:v>15880.399991454993</x:v>
      </x:c>
      <x:c r="E402" s="34" t="n">
        <x:f>Subsurface_Scenario_Data!A156</x:f>
        <x:v>17</x:v>
      </x:c>
      <x:c r="F402" s="34" t="n">
        <x:f>Subsurface_Scenario_Data!G156</x:f>
        <x:v>27790.699985046238</x:v>
      </x:c>
    </x:row>
    <x:row r="403">
      <x:c r="A403" s="34" t="n">
        <x:f>Subsurface_Scenario_Data!A157</x:f>
        <x:v>17.5</x:v>
      </x:c>
      <x:c r="B403" s="34" t="n">
        <x:f>Subsurface_Scenario_Data!E157</x:f>
        <x:v>8721.899027690815</x:v>
      </x:c>
      <x:c r="C403" s="34" t="n">
        <x:f>Subsurface_Scenario_Data!A157</x:f>
        <x:v>17.5</x:v>
      </x:c>
      <x:c r="D403" s="34" t="n">
        <x:f>Subsurface_Scenario_Data!F157</x:f>
        <x:v>15857.998232165117</x:v>
      </x:c>
      <x:c r="E403" s="34" t="n">
        <x:f>Subsurface_Scenario_Data!A157</x:f>
        <x:v>17.5</x:v>
      </x:c>
      <x:c r="F403" s="34" t="n">
        <x:f>Subsurface_Scenario_Data!G157</x:f>
        <x:v>27751.496906288954</x:v>
      </x:c>
    </x:row>
    <x:row r="404">
      <x:c r="A404" s="34" t="n">
        <x:f>Subsurface_Scenario_Data!A158</x:f>
        <x:v>18</x:v>
      </x:c>
      <x:c r="B404" s="34" t="n">
        <x:f>Subsurface_Scenario_Data!E158</x:f>
        <x:v>8709.487988257202</x:v>
      </x:c>
      <x:c r="C404" s="34" t="n">
        <x:f>Subsurface_Scenario_Data!A158</x:f>
        <x:v>18</x:v>
      </x:c>
      <x:c r="D404" s="34" t="n">
        <x:f>Subsurface_Scenario_Data!F158</x:f>
        <x:v>15835.432705922185</x:v>
      </x:c>
      <x:c r="E404" s="34" t="n">
        <x:f>Subsurface_Scenario_Data!A158</x:f>
        <x:v>18</x:v>
      </x:c>
      <x:c r="F404" s="34" t="n">
        <x:f>Subsurface_Scenario_Data!G158</x:f>
        <x:v>27712.007235363824</x:v>
      </x:c>
    </x:row>
    <x:row r="405">
      <x:c r="A405" s="34" t="n">
        <x:f>Subsurface_Scenario_Data!A159</x:f>
        <x:v>18.5</x:v>
      </x:c>
      <x:c r="B405" s="34" t="n">
        <x:f>Subsurface_Scenario_Data!E159</x:f>
        <x:v>8697.253636372305</x:v>
      </x:c>
      <x:c r="C405" s="34" t="n">
        <x:f>Subsurface_Scenario_Data!A159</x:f>
        <x:v>18.5</x:v>
      </x:c>
      <x:c r="D405" s="34" t="n">
        <x:f>Subsurface_Scenario_Data!F159</x:f>
        <x:v>15813.188429767826</x:v>
      </x:c>
      <x:c r="E405" s="34" t="n">
        <x:f>Subsurface_Scenario_Data!A159</x:f>
        <x:v>18.5</x:v>
      </x:c>
      <x:c r="F405" s="34" t="n">
        <x:f>Subsurface_Scenario_Data!G159</x:f>
        <x:v>27673.079752093698</x:v>
      </x:c>
    </x:row>
    <x:row r="406">
      <x:c r="A406" s="34" t="n">
        <x:f>Subsurface_Scenario_Data!A160</x:f>
        <x:v>19</x:v>
      </x:c>
      <x:c r="B406" s="34" t="n">
        <x:f>Subsurface_Scenario_Data!E160</x:f>
        <x:v>8683.15891817375</x:v>
      </x:c>
      <x:c r="C406" s="34" t="n">
        <x:f>Subsurface_Scenario_Data!A160</x:f>
        <x:v>19</x:v>
      </x:c>
      <x:c r="D406" s="34" t="n">
        <x:f>Subsurface_Scenario_Data!F160</x:f>
        <x:v>15787.561669406818</x:v>
      </x:c>
      <x:c r="E406" s="34" t="n">
        <x:f>Subsurface_Scenario_Data!A160</x:f>
        <x:v>19</x:v>
      </x:c>
      <x:c r="F406" s="34" t="n">
        <x:f>Subsurface_Scenario_Data!G160</x:f>
        <x:v>27628.23292146193</x:v>
      </x:c>
    </x:row>
    <x:row r="407">
      <x:c r="A407" s="34" t="n">
        <x:f>Subsurface_Scenario_Data!A161</x:f>
        <x:v>19.5</x:v>
      </x:c>
      <x:c r="B407" s="34" t="n">
        <x:f>Subsurface_Scenario_Data!E161</x:f>
        <x:v>8669.27771700575</x:v>
      </x:c>
      <x:c r="C407" s="34" t="n">
        <x:f>Subsurface_Scenario_Data!A161</x:f>
        <x:v>19.5</x:v>
      </x:c>
      <x:c r="D407" s="34" t="n">
        <x:f>Subsurface_Scenario_Data!F161</x:f>
        <x:v>15762.323121828636</x:v>
      </x:c>
      <x:c r="E407" s="34" t="n">
        <x:f>Subsurface_Scenario_Data!A161</x:f>
        <x:v>19.5</x:v>
      </x:c>
      <x:c r="F407" s="34" t="n">
        <x:f>Subsurface_Scenario_Data!G161</x:f>
        <x:v>27584.065463200113</x:v>
      </x:c>
    </x:row>
    <x:row r="408">
      <x:c r="A408" s="34" t="n">
        <x:f>Subsurface_Scenario_Data!A162</x:f>
        <x:v>20</x:v>
      </x:c>
      <x:c r="B408" s="34" t="n">
        <x:f>Subsurface_Scenario_Data!E162</x:f>
        <x:v>8655.402741628614</x:v>
      </x:c>
      <x:c r="C408" s="34" t="n">
        <x:f>Subsurface_Scenario_Data!A162</x:f>
        <x:v>20</x:v>
      </x:c>
      <x:c r="D408" s="34" t="n">
        <x:f>Subsurface_Scenario_Data!F162</x:f>
        <x:v>15737.095893870204</x:v>
      </x:c>
      <x:c r="E408" s="34" t="n">
        <x:f>Subsurface_Scenario_Data!A162</x:f>
        <x:v>20</x:v>
      </x:c>
      <x:c r="F408" s="34" t="n">
        <x:f>Subsurface_Scenario_Data!G162</x:f>
        <x:v>27539.917814272856</x:v>
      </x:c>
    </x:row>
    <x:row r="409">
      <x:c r="A409" s="34" t="n">
        <x:f>Subsurface_Scenario_Data!A163</x:f>
        <x:v>20.5</x:v>
      </x:c>
      <x:c r="B409" s="34" t="n">
        <x:f>Subsurface_Scenario_Data!E163</x:f>
        <x:v>8641.144189619617</x:v>
      </x:c>
      <x:c r="C409" s="34" t="n">
        <x:f>Subsurface_Scenario_Data!A163</x:f>
        <x:v>20.5</x:v>
      </x:c>
      <x:c r="D409" s="34" t="n">
        <x:f>Subsurface_Scenario_Data!F163</x:f>
        <x:v>15711.171253853849</x:v>
      </x:c>
      <x:c r="E409" s="34" t="n">
        <x:f>Subsurface_Scenario_Data!A163</x:f>
        <x:v>20.5</x:v>
      </x:c>
      <x:c r="F409" s="34" t="n">
        <x:f>Subsurface_Scenario_Data!G163</x:f>
        <x:v>27494.549694244233</x:v>
      </x:c>
    </x:row>
    <x:row r="410">
      <x:c r="A410" s="34" t="n">
        <x:f>Subsurface_Scenario_Data!A164</x:f>
        <x:v>21</x:v>
      </x:c>
      <x:c r="B410" s="34" t="n">
        <x:f>Subsurface_Scenario_Data!E164</x:f>
        <x:v>8626.809712809134</x:v>
      </x:c>
      <x:c r="C410" s="34" t="n">
        <x:f>Subsurface_Scenario_Data!A164</x:f>
        <x:v>21</x:v>
      </x:c>
      <x:c r="D410" s="34" t="n">
        <x:f>Subsurface_Scenario_Data!F164</x:f>
        <x:v>15685.108568743879</x:v>
      </x:c>
      <x:c r="E410" s="34" t="n">
        <x:f>Subsurface_Scenario_Data!A164</x:f>
        <x:v>21</x:v>
      </x:c>
      <x:c r="F410" s="34" t="n">
        <x:f>Subsurface_Scenario_Data!G164</x:f>
        <x:v>27448.93999530179</x:v>
      </x:c>
    </x:row>
    <x:row r="411">
      <x:c r="A411" s="34" t="n">
        <x:f>Subsurface_Scenario_Data!A165</x:f>
        <x:v>21.5</x:v>
      </x:c>
      <x:c r="B411" s="34" t="n">
        <x:f>Subsurface_Scenario_Data!E165</x:f>
        <x:v>8611.912324278874</x:v>
      </x:c>
      <x:c r="C411" s="34" t="n">
        <x:f>Subsurface_Scenario_Data!A165</x:f>
        <x:v>21.5</x:v>
      </x:c>
      <x:c r="D411" s="34" t="n">
        <x:f>Subsurface_Scenario_Data!F165</x:f>
        <x:v>15658.02240777977</x:v>
      </x:c>
      <x:c r="E411" s="34" t="n">
        <x:f>Subsurface_Scenario_Data!A165</x:f>
        <x:v>21.5</x:v>
      </x:c>
      <x:c r="F411" s="34" t="n">
        <x:f>Subsurface_Scenario_Data!G165</x:f>
        <x:v>27401.539213614597</x:v>
      </x:c>
    </x:row>
    <x:row r="412">
      <x:c r="A412" s="34" t="n">
        <x:f>Subsurface_Scenario_Data!A166</x:f>
        <x:v>22</x:v>
      </x:c>
      <x:c r="B412" s="34" t="n">
        <x:f>Subsurface_Scenario_Data!E166</x:f>
        <x:v>8596.681502888743</x:v>
      </x:c>
      <x:c r="C412" s="34" t="n">
        <x:f>Subsurface_Scenario_Data!A166</x:f>
        <x:v>22</x:v>
      </x:c>
      <x:c r="D412" s="34" t="n">
        <x:f>Subsurface_Scenario_Data!F166</x:f>
        <x:v>15630.330005252259</x:v>
      </x:c>
      <x:c r="E412" s="34" t="n">
        <x:f>Subsurface_Scenario_Data!A166</x:f>
        <x:v>22</x:v>
      </x:c>
      <x:c r="F412" s="34" t="n">
        <x:f>Subsurface_Scenario_Data!G166</x:f>
        <x:v>27353.077509191455</x:v>
      </x:c>
    </x:row>
    <x:row r="413">
      <x:c r="A413" s="34" t="n">
        <x:f>Subsurface_Scenario_Data!A167</x:f>
        <x:v>22.5</x:v>
      </x:c>
      <x:c r="B413" s="34" t="n">
        <x:f>Subsurface_Scenario_Data!E167</x:f>
        <x:v>8581.887846460642</x:v>
      </x:c>
      <x:c r="C413" s="34" t="n">
        <x:f>Subsurface_Scenario_Data!A167</x:f>
        <x:v>22.5</x:v>
      </x:c>
      <x:c r="D413" s="34" t="n">
        <x:f>Subsurface_Scenario_Data!F167</x:f>
        <x:v>15603.432448110258</x:v>
      </x:c>
      <x:c r="E413" s="34" t="n">
        <x:f>Subsurface_Scenario_Data!A167</x:f>
        <x:v>22.5</x:v>
      </x:c>
      <x:c r="F413" s="34" t="n">
        <x:f>Subsurface_Scenario_Data!G167</x:f>
        <x:v>27306.006784192952</x:v>
      </x:c>
    </x:row>
    <x:row r="414">
      <x:c r="A414" s="34" t="n">
        <x:f>Subsurface_Scenario_Data!A168</x:f>
        <x:v>23</x:v>
      </x:c>
      <x:c r="B414" s="34" t="n">
        <x:f>Subsurface_Scenario_Data!E168</x:f>
        <x:v>8566.803457067786</x:v>
      </x:c>
      <x:c r="C414" s="34" t="n">
        <x:f>Subsurface_Scenario_Data!A168</x:f>
        <x:v>23</x:v>
      </x:c>
      <x:c r="D414" s="34" t="n">
        <x:f>Subsurface_Scenario_Data!F168</x:f>
        <x:v>15576.006285577792</x:v>
      </x:c>
      <x:c r="E414" s="34" t="n">
        <x:f>Subsurface_Scenario_Data!A168</x:f>
        <x:v>23</x:v>
      </x:c>
      <x:c r="F414" s="34" t="n">
        <x:f>Subsurface_Scenario_Data!G168</x:f>
        <x:v>27258.010999761136</x:v>
      </x:c>
    </x:row>
    <x:row r="415">
      <x:c r="A415" s="34" t="n">
        <x:f>Subsurface_Scenario_Data!A169</x:f>
        <x:v>23.5</x:v>
      </x:c>
      <x:c r="B415" s="34" t="n">
        <x:f>Subsurface_Scenario_Data!E169</x:f>
        <x:v>8551.719012452904</x:v>
      </x:c>
      <x:c r="C415" s="34" t="n">
        <x:f>Subsurface_Scenario_Data!A169</x:f>
        <x:v>23.5</x:v>
      </x:c>
      <x:c r="D415" s="34" t="n">
        <x:f>Subsurface_Scenario_Data!F169</x:f>
        <x:v>15548.580022641641</x:v>
      </x:c>
      <x:c r="E415" s="34" t="n">
        <x:f>Subsurface_Scenario_Data!A169</x:f>
        <x:v>23.5</x:v>
      </x:c>
      <x:c r="F415" s="34" t="n">
        <x:f>Subsurface_Scenario_Data!G169</x:f>
        <x:v>27210.01503962287</x:v>
      </x:c>
    </x:row>
    <x:row r="416">
      <x:c r="A416" s="34" t="n">
        <x:f>Subsurface_Scenario_Data!A170</x:f>
        <x:v>24</x:v>
      </x:c>
      <x:c r="B416" s="34" t="n">
        <x:f>Subsurface_Scenario_Data!E170</x:f>
        <x:v>8535.160029140263</x:v>
      </x:c>
      <x:c r="C416" s="34" t="n">
        <x:f>Subsurface_Scenario_Data!A170</x:f>
        <x:v>24</x:v>
      </x:c>
      <x:c r="D416" s="34" t="n">
        <x:f>Subsurface_Scenario_Data!F170</x:f>
        <x:v>15518.47278025502</x:v>
      </x:c>
      <x:c r="E416" s="34" t="n">
        <x:f>Subsurface_Scenario_Data!A170</x:f>
        <x:v>24</x:v>
      </x:c>
      <x:c r="F416" s="34" t="n">
        <x:f>Subsurface_Scenario_Data!G170</x:f>
        <x:v>27157.327365446286</x:v>
      </x:c>
    </x:row>
    <x:row r="417">
      <x:c r="A417" s="34" t="n">
        <x:f>Subsurface_Scenario_Data!A171</x:f>
        <x:v>24.5</x:v>
      </x:c>
      <x:c r="B417" s="34" t="n">
        <x:f>Subsurface_Scenario_Data!E171</x:f>
        <x:v>8521.22236956927</x:v>
      </x:c>
      <x:c r="C417" s="34" t="n">
        <x:f>Subsurface_Scenario_Data!A171</x:f>
        <x:v>24.5</x:v>
      </x:c>
      <x:c r="D417" s="34" t="n">
        <x:f>Subsurface_Scenario_Data!F171</x:f>
        <x:v>15493.131581035035</x:v>
      </x:c>
      <x:c r="E417" s="34" t="n">
        <x:f>Subsurface_Scenario_Data!A171</x:f>
        <x:v>24.5</x:v>
      </x:c>
      <x:c r="F417" s="34" t="n">
        <x:f>Subsurface_Scenario_Data!G171</x:f>
        <x:v>27112.98026681131</x:v>
      </x:c>
    </x:row>
    <x:row r="418">
      <x:c r="A418" s="34" t="n">
        <x:f>Subsurface_Scenario_Data!A172</x:f>
        <x:v>25</x:v>
      </x:c>
      <x:c r="B418" s="34" t="n">
        <x:f>Subsurface_Scenario_Data!E172</x:f>
        <x:v>8504.920871636752</x:v>
      </x:c>
      <x:c r="C418" s="34" t="n">
        <x:f>Subsurface_Scenario_Data!A172</x:f>
        <x:v>25</x:v>
      </x:c>
      <x:c r="D418" s="34" t="n">
        <x:f>Subsurface_Scenario_Data!F172</x:f>
        <x:v>15463.492493885004</x:v>
      </x:c>
      <x:c r="E418" s="34" t="n">
        <x:f>Subsurface_Scenario_Data!A172</x:f>
        <x:v>25</x:v>
      </x:c>
      <x:c r="F418" s="34" t="n">
        <x:f>Subsurface_Scenario_Data!G172</x:f>
        <x:v>27061.111864298757</x:v>
      </x:c>
    </x:row>
    <x:row r="419">
      <x:c r="A419" s="34" t="n">
        <x:f>Subsurface_Scenario_Data!A173</x:f>
        <x:v>25.5</x:v>
      </x:c>
      <x:c r="B419" s="34" t="n">
        <x:f>Subsurface_Scenario_Data!E173</x:f>
        <x:v>8491.00209626999</x:v>
      </x:c>
      <x:c r="C419" s="34" t="n">
        <x:f>Subsurface_Scenario_Data!A173</x:f>
        <x:v>25.5</x:v>
      </x:c>
      <x:c r="D419" s="34" t="n">
        <x:f>Subsurface_Scenario_Data!F173</x:f>
        <x:v>15438.185629581796</x:v>
      </x:c>
      <x:c r="E419" s="34" t="n">
        <x:f>Subsurface_Scenario_Data!A173</x:f>
        <x:v>25.5</x:v>
      </x:c>
      <x:c r="F419" s="34" t="n">
        <x:f>Subsurface_Scenario_Data!G173</x:f>
        <x:v>27016.824851768142</x:v>
      </x:c>
    </x:row>
    <x:row r="420">
      <x:c r="A420" s="34" t="n">
        <x:f>Subsurface_Scenario_Data!A174</x:f>
        <x:v>26</x:v>
      </x:c>
      <x:c r="B420" s="34" t="n">
        <x:f>Subsurface_Scenario_Data!E174</x:f>
        <x:v>8475.029923933493</x:v>
      </x:c>
      <x:c r="C420" s="34" t="n">
        <x:f>Subsurface_Scenario_Data!A174</x:f>
        <x:v>26</x:v>
      </x:c>
      <x:c r="D420" s="34" t="n">
        <x:f>Subsurface_Scenario_Data!F174</x:f>
        <x:v>15409.145316242713</x:v>
      </x:c>
      <x:c r="E420" s="34" t="n">
        <x:f>Subsurface_Scenario_Data!A174</x:f>
        <x:v>26</x:v>
      </x:c>
      <x:c r="F420" s="34" t="n">
        <x:f>Subsurface_Scenario_Data!G174</x:f>
        <x:v>26966.00430342475</x:v>
      </x:c>
    </x:row>
    <x:row r="421">
      <x:c r="A421" s="34" t="n">
        <x:f>Subsurface_Scenario_Data!A175</x:f>
        <x:v>26.5</x:v>
      </x:c>
      <x:c r="B421" s="34" t="n">
        <x:f>Subsurface_Scenario_Data!E175</x:f>
        <x:v>8459.110188473867</x:v>
      </x:c>
      <x:c r="C421" s="34" t="n">
        <x:f>Subsurface_Scenario_Data!A175</x:f>
        <x:v>26.5</x:v>
      </x:c>
      <x:c r="D421" s="34" t="n">
        <x:f>Subsurface_Scenario_Data!F175</x:f>
        <x:v>15380.200342679758</x:v>
      </x:c>
      <x:c r="E421" s="34" t="n">
        <x:f>Subsurface_Scenario_Data!A175</x:f>
        <x:v>26.5</x:v>
      </x:c>
      <x:c r="F421" s="34" t="n">
        <x:f>Subsurface_Scenario_Data!G175</x:f>
        <x:v>26915.350599689576</x:v>
      </x:c>
    </x:row>
    <x:row r="422">
      <x:c r="A422" s="34" t="n">
        <x:f>Subsurface_Scenario_Data!A176</x:f>
        <x:v>27</x:v>
      </x:c>
      <x:c r="B422" s="34" t="n">
        <x:f>Subsurface_Scenario_Data!E176</x:f>
        <x:v>8445.753967422725</x:v>
      </x:c>
      <x:c r="C422" s="34" t="n">
        <x:f>Subsurface_Scenario_Data!A176</x:f>
        <x:v>27</x:v>
      </x:c>
      <x:c r="D422" s="34" t="n">
        <x:f>Subsurface_Scenario_Data!F176</x:f>
        <x:v>15355.916304404951</x:v>
      </x:c>
      <x:c r="E422" s="34" t="n">
        <x:f>Subsurface_Scenario_Data!A176</x:f>
        <x:v>27</x:v>
      </x:c>
      <x:c r="F422" s="34" t="n">
        <x:f>Subsurface_Scenario_Data!G176</x:f>
        <x:v>26872.853532708665</x:v>
      </x:c>
    </x:row>
    <x:row r="423">
      <x:c r="A423" s="34" t="n">
        <x:f>Subsurface_Scenario_Data!A177</x:f>
        <x:v>27.5</x:v>
      </x:c>
      <x:c r="B423" s="34" t="n">
        <x:f>Subsurface_Scenario_Data!E177</x:f>
        <x:v>8430.25714436457</x:v>
      </x:c>
      <x:c r="C423" s="34" t="n">
        <x:f>Subsurface_Scenario_Data!A177</x:f>
        <x:v>27.5</x:v>
      </x:c>
      <x:c r="D423" s="34" t="n">
        <x:f>Subsurface_Scenario_Data!F177</x:f>
        <x:v>15327.740262481037</x:v>
      </x:c>
      <x:c r="E423" s="34" t="n">
        <x:f>Subsurface_Scenario_Data!A177</x:f>
        <x:v>27.5</x:v>
      </x:c>
      <x:c r="F423" s="34" t="n">
        <x:f>Subsurface_Scenario_Data!G177</x:f>
        <x:v>26823.545459341814</x:v>
      </x:c>
    </x:row>
    <x:row r="424">
      <x:c r="A424" s="34" t="n">
        <x:f>Subsurface_Scenario_Data!A178</x:f>
        <x:v>28</x:v>
      </x:c>
      <x:c r="B424" s="34" t="n">
        <x:f>Subsurface_Scenario_Data!E178</x:f>
        <x:v>8416.012436355251</x:v>
      </x:c>
      <x:c r="C424" s="34" t="n">
        <x:f>Subsurface_Scenario_Data!A178</x:f>
        <x:v>28</x:v>
      </x:c>
      <x:c r="D424" s="34" t="n">
        <x:f>Subsurface_Scenario_Data!F178</x:f>
        <x:v>15301.840793373181</x:v>
      </x:c>
      <x:c r="E424" s="34" t="n">
        <x:f>Subsurface_Scenario_Data!A178</x:f>
        <x:v>28</x:v>
      </x:c>
      <x:c r="F424" s="34" t="n">
        <x:f>Subsurface_Scenario_Data!G178</x:f>
        <x:v>26778.221388403068</x:v>
      </x:c>
    </x:row>
    <x:row r="425">
      <x:c r="A425" s="34" t="n">
        <x:f>Subsurface_Scenario_Data!A179</x:f>
        <x:v>28.5</x:v>
      </x:c>
      <x:c r="B425" s="34" t="n">
        <x:f>Subsurface_Scenario_Data!E179</x:f>
        <x:v>8400.058566450718</x:v>
      </x:c>
      <x:c r="C425" s="34" t="n">
        <x:f>Subsurface_Scenario_Data!A179</x:f>
        <x:v>28.5</x:v>
      </x:c>
      <x:c r="D425" s="34" t="n">
        <x:f>Subsurface_Scenario_Data!F179</x:f>
        <x:v>15272.833757183122</x:v>
      </x:c>
      <x:c r="E425" s="34" t="n">
        <x:f>Subsurface_Scenario_Data!A179</x:f>
        <x:v>28.5</x:v>
      </x:c>
      <x:c r="F425" s="34" t="n">
        <x:f>Subsurface_Scenario_Data!G179</x:f>
        <x:v>26727.459075070463</x:v>
      </x:c>
    </x:row>
    <x:row r="426">
      <x:c r="A426" s="34" t="n">
        <x:f>Subsurface_Scenario_Data!A180</x:f>
        <x:v>29</x:v>
      </x:c>
      <x:c r="B426" s="34" t="n">
        <x:f>Subsurface_Scenario_Data!E180</x:f>
        <x:v>8386.109077440136</x:v>
      </x:c>
      <x:c r="C426" s="34" t="n">
        <x:f>Subsurface_Scenario_Data!A180</x:f>
        <x:v>29</x:v>
      </x:c>
      <x:c r="D426" s="34" t="n">
        <x:f>Subsurface_Scenario_Data!F180</x:f>
        <x:v>15247.471049891155</x:v>
      </x:c>
      <x:c r="E426" s="34" t="n">
        <x:f>Subsurface_Scenario_Data!A180</x:f>
        <x:v>29</x:v>
      </x:c>
      <x:c r="F426" s="34" t="n">
        <x:f>Subsurface_Scenario_Data!G180</x:f>
        <x:v>26683.07433730952</x:v>
      </x:c>
    </x:row>
    <x:row r="427">
      <x:c r="A427" s="34" t="n">
        <x:f>Subsurface_Scenario_Data!A181</x:f>
        <x:v>29.5</x:v>
      </x:c>
      <x:c r="B427" s="34" t="n">
        <x:f>Subsurface_Scenario_Data!E181</x:f>
        <x:v>8371.817556820506</x:v>
      </x:c>
      <x:c r="C427" s="34" t="n">
        <x:f>Subsurface_Scenario_Data!A181</x:f>
        <x:v>29.5</x:v>
      </x:c>
      <x:c r="D427" s="34" t="n">
        <x:f>Subsurface_Scenario_Data!F181</x:f>
        <x:v>15221.486466946375</x:v>
      </x:c>
      <x:c r="E427" s="34" t="n">
        <x:f>Subsurface_Scenario_Data!A181</x:f>
        <x:v>29.5</x:v>
      </x:c>
      <x:c r="F427" s="34" t="n">
        <x:f>Subsurface_Scenario_Data!G181</x:f>
        <x:v>26637.601317156157</x:v>
      </x:c>
    </x:row>
    <x:row r="428">
      <x:c r="A428" s="34" t="n">
        <x:f>Subsurface_Scenario_Data!A182</x:f>
        <x:v>30</x:v>
      </x:c>
      <x:c r="B428" s="34" t="n">
        <x:f>Subsurface_Scenario_Data!E182</x:f>
        <x:v>8356.493111128899</x:v>
      </x:c>
      <x:c r="C428" s="34" t="n">
        <x:f>Subsurface_Scenario_Data!A182</x:f>
        <x:v>30</x:v>
      </x:c>
      <x:c r="D428" s="34" t="n">
        <x:f>Subsurface_Scenario_Data!F182</x:f>
        <x:v>15193.623838416177</x:v>
      </x:c>
      <x:c r="E428" s="34" t="n">
        <x:f>Subsurface_Scenario_Data!A182</x:f>
        <x:v>30</x:v>
      </x:c>
      <x:c r="F428" s="34" t="n">
        <x:f>Subsurface_Scenario_Data!G182</x:f>
        <x:v>26588.841717228308</x:v>
      </x:c>
    </x:row>
    <x:row r="429">
      <x:c r="A429" s="34" t="n">
        <x:f>Subsurface_Scenario_Data!A183</x:f>
        <x:v>30.5</x:v>
      </x:c>
      <x:c r="B429" s="34" t="n">
        <x:f>Subsurface_Scenario_Data!E183</x:f>
        <x:v>8342.358748036102</x:v>
      </x:c>
      <x:c r="C429" s="34" t="n">
        <x:f>Subsurface_Scenario_Data!A183</x:f>
        <x:v>30.5</x:v>
      </x:c>
      <x:c r="D429" s="34" t="n">
        <x:f>Subsurface_Scenario_Data!F183</x:f>
        <x:v>15167.924996429276</x:v>
      </x:c>
      <x:c r="E429" s="34" t="n">
        <x:f>Subsurface_Scenario_Data!A183</x:f>
        <x:v>30.5</x:v>
      </x:c>
      <x:c r="F429" s="34" t="n">
        <x:f>Subsurface_Scenario_Data!G183</x:f>
        <x:v>26543.868743751234</x:v>
      </x:c>
    </x:row>
    <x:row r="430">
      <x:c r="A430" s="34" t="n">
        <x:f>Subsurface_Scenario_Data!A184</x:f>
        <x:v>31</x:v>
      </x:c>
      <x:c r="B430" s="34" t="n">
        <x:f>Subsurface_Scenario_Data!E184</x:f>
        <x:v>8327.031801321908</x:v>
      </x:c>
      <x:c r="C430" s="34" t="n">
        <x:f>Subsurface_Scenario_Data!A184</x:f>
        <x:v>31</x:v>
      </x:c>
      <x:c r="D430" s="34" t="n">
        <x:f>Subsurface_Scenario_Data!F184</x:f>
        <x:v>15140.057820585285</x:v>
      </x:c>
      <x:c r="E430" s="34" t="n">
        <x:f>Subsurface_Scenario_Data!A184</x:f>
        <x:v>31</x:v>
      </x:c>
      <x:c r="F430" s="34" t="n">
        <x:f>Subsurface_Scenario_Data!G184</x:f>
        <x:v>26495.10118602425</x:v>
      </x:c>
    </x:row>
    <x:row r="431">
      <x:c r="A431" s="34" t="n">
        <x:f>Subsurface_Scenario_Data!A185</x:f>
        <x:v>31.5</x:v>
      </x:c>
      <x:c r="B431" s="34" t="n">
        <x:f>Subsurface_Scenario_Data!E185</x:f>
        <x:v>8313.660809352472</x:v>
      </x:c>
      <x:c r="C431" s="34" t="n">
        <x:f>Subsurface_Scenario_Data!A185</x:f>
        <x:v>31.5</x:v>
      </x:c>
      <x:c r="D431" s="34" t="n">
        <x:f>Subsurface_Scenario_Data!F185</x:f>
        <x:v>15115.746926095402</x:v>
      </x:c>
      <x:c r="E431" s="34" t="n">
        <x:f>Subsurface_Scenario_Data!A185</x:f>
        <x:v>31.5</x:v>
      </x:c>
      <x:c r="F431" s="34" t="n">
        <x:f>Subsurface_Scenario_Data!G185</x:f>
        <x:v>26452.557120666956</x:v>
      </x:c>
    </x:row>
    <x:row r="432">
      <x:c r="A432" s="34" t="n">
        <x:f>Subsurface_Scenario_Data!A186</x:f>
        <x:v>32</x:v>
      </x:c>
      <x:c r="B432" s="34" t="n">
        <x:f>Subsurface_Scenario_Data!E186</x:f>
        <x:v>8298.300995478648</x:v>
      </x:c>
      <x:c r="C432" s="34" t="n">
        <x:f>Subsurface_Scenario_Data!A186</x:f>
        <x:v>32</x:v>
      </x:c>
      <x:c r="D432" s="34" t="n">
        <x:f>Subsurface_Scenario_Data!F186</x:f>
        <x:v>15087.819991779359</x:v>
      </x:c>
      <x:c r="E432" s="34" t="n">
        <x:f>Subsurface_Scenario_Data!A186</x:f>
        <x:v>32</x:v>
      </x:c>
      <x:c r="F432" s="34" t="n">
        <x:f>Subsurface_Scenario_Data!G186</x:f>
        <x:v>26403.68498561388</x:v>
      </x:c>
    </x:row>
    <x:row r="433">
      <x:c r="A433" s="34" t="n">
        <x:f>Subsurface_Scenario_Data!A187</x:f>
        <x:v>32.5</x:v>
      </x:c>
      <x:c r="B433" s="34" t="n">
        <x:f>Subsurface_Scenario_Data!E187</x:f>
        <x:v>8283.224175964539</x:v>
      </x:c>
      <x:c r="C433" s="34" t="n">
        <x:f>Subsurface_Scenario_Data!A187</x:f>
        <x:v>32.5</x:v>
      </x:c>
      <x:c r="D433" s="34" t="n">
        <x:f>Subsurface_Scenario_Data!F187</x:f>
        <x:v>15060.407592662797</x:v>
      </x:c>
      <x:c r="E433" s="34" t="n">
        <x:f>Subsurface_Scenario_Data!A187</x:f>
        <x:v>32.5</x:v>
      </x:c>
      <x:c r="F433" s="34" t="n">
        <x:f>Subsurface_Scenario_Data!G187</x:f>
        <x:v>26355.713287159895</x:v>
      </x:c>
    </x:row>
    <x:row r="434">
      <x:c r="A434" s="34" t="n">
        <x:f>Subsurface_Scenario_Data!A188</x:f>
        <x:v>33</x:v>
      </x:c>
      <x:c r="B434" s="34" t="n">
        <x:f>Subsurface_Scenario_Data!E188</x:f>
        <x:v>8268.995190802896</x:v>
      </x:c>
      <x:c r="C434" s="34" t="n">
        <x:f>Subsurface_Scenario_Data!A188</x:f>
        <x:v>33</x:v>
      </x:c>
      <x:c r="D434" s="34" t="n">
        <x:f>Subsurface_Scenario_Data!F188</x:f>
        <x:v>15034.536710550718</x:v>
      </x:c>
      <x:c r="E434" s="34" t="n">
        <x:f>Subsurface_Scenario_Data!A188</x:f>
        <x:v>33</x:v>
      </x:c>
      <x:c r="F434" s="34" t="n">
        <x:f>Subsurface_Scenario_Data!G188</x:f>
        <x:v>26310.439243463756</x:v>
      </x:c>
    </x:row>
    <x:row r="435">
      <x:c r="A435" s="34" t="n">
        <x:f>Subsurface_Scenario_Data!A189</x:f>
        <x:v>33.5</x:v>
      </x:c>
      <x:c r="B435" s="34" t="n">
        <x:f>Subsurface_Scenario_Data!E189</x:f>
        <x:v>8254.904075382114</x:v>
      </x:c>
      <x:c r="C435" s="34" t="n">
        <x:f>Subsurface_Scenario_Data!A189</x:f>
        <x:v>33.5</x:v>
      </x:c>
      <x:c r="D435" s="34" t="n">
        <x:f>Subsurface_Scenario_Data!F189</x:f>
        <x:v>15008.916500694751</x:v>
      </x:c>
      <x:c r="E435" s="34" t="n">
        <x:f>Subsurface_Scenario_Data!A189</x:f>
        <x:v>33.5</x:v>
      </x:c>
      <x:c r="F435" s="34" t="n">
        <x:f>Subsurface_Scenario_Data!G189</x:f>
        <x:v>26265.603876215813</x:v>
      </x:c>
    </x:row>
    <x:row r="436">
      <x:c r="A436" s="34" t="n">
        <x:f>Subsurface_Scenario_Data!A190</x:f>
        <x:v>34</x:v>
      </x:c>
      <x:c r="B436" s="34" t="n">
        <x:f>Subsurface_Scenario_Data!E190</x:f>
        <x:v>8239.826570328545</x:v>
      </x:c>
      <x:c r="C436" s="34" t="n">
        <x:f>Subsurface_Scenario_Data!A190</x:f>
        <x:v>34</x:v>
      </x:c>
      <x:c r="D436" s="34" t="n">
        <x:f>Subsurface_Scenario_Data!F190</x:f>
        <x:v>14981.50285514281</x:v>
      </x:c>
      <x:c r="E436" s="34" t="n">
        <x:f>Subsurface_Scenario_Data!A190</x:f>
        <x:v>34</x:v>
      </x:c>
      <x:c r="F436" s="34" t="n">
        <x:f>Subsurface_Scenario_Data!G190</x:f>
        <x:v>26217.629996499916</x:v>
      </x:c>
    </x:row>
    <x:row r="437">
      <x:c r="A437" s="34" t="n">
        <x:f>Subsurface_Scenario_Data!A191</x:f>
        <x:v>34.5</x:v>
      </x:c>
      <x:c r="B437" s="34" t="n">
        <x:f>Subsurface_Scenario_Data!E191</x:f>
        <x:v>8225.96143205726</x:v>
      </x:c>
      <x:c r="C437" s="34" t="n">
        <x:f>Subsurface_Scenario_Data!A191</x:f>
        <x:v>34.5</x:v>
      </x:c>
      <x:c r="D437" s="34" t="n">
        <x:f>Subsurface_Scenario_Data!F191</x:f>
        <x:v>14956.29351283138</x:v>
      </x:c>
      <x:c r="E437" s="34" t="n">
        <x:f>Subsurface_Scenario_Data!A191</x:f>
        <x:v>34.5</x:v>
      </x:c>
      <x:c r="F437" s="34" t="n">
        <x:f>Subsurface_Scenario_Data!G191</x:f>
        <x:v>26173.513647454914</x:v>
      </x:c>
    </x:row>
    <x:row r="438">
      <x:c r="A438" s="34" t="n">
        <x:f>Subsurface_Scenario_Data!A192</x:f>
        <x:v>35</x:v>
      </x:c>
      <x:c r="B438" s="34" t="n">
        <x:f>Subsurface_Scenario_Data!E192</x:f>
        <x:v>8213.397212905</x:v>
      </x:c>
      <x:c r="C438" s="34" t="n">
        <x:f>Subsurface_Scenario_Data!A192</x:f>
        <x:v>35</x:v>
      </x:c>
      <x:c r="D438" s="34" t="n">
        <x:f>Subsurface_Scenario_Data!F192</x:f>
        <x:v>14933.449478009088</x:v>
      </x:c>
      <x:c r="E438" s="34" t="n">
        <x:f>Subsurface_Scenario_Data!A192</x:f>
        <x:v>35</x:v>
      </x:c>
      <x:c r="F438" s="34" t="n">
        <x:f>Subsurface_Scenario_Data!G192</x:f>
        <x:v>26133.536586515904</x:v>
      </x:c>
    </x:row>
    <x:row r="439">
      <x:c r="A439" s="34" t="n">
        <x:f>Subsurface_Scenario_Data!A193</x:f>
        <x:v>35.5</x:v>
      </x:c>
      <x:c r="B439" s="34" t="n">
        <x:f>Subsurface_Scenario_Data!E193</x:f>
        <x:v>8200.619169944104</x:v>
      </x:c>
      <x:c r="C439" s="34" t="n">
        <x:f>Subsurface_Scenario_Data!A193</x:f>
        <x:v>35.5</x:v>
      </x:c>
      <x:c r="D439" s="34" t="n">
        <x:f>Subsurface_Scenario_Data!F193</x:f>
        <x:v>14910.216672625642</x:v>
      </x:c>
      <x:c r="E439" s="34" t="n">
        <x:f>Subsurface_Scenario_Data!A193</x:f>
        <x:v>35.5</x:v>
      </x:c>
      <x:c r="F439" s="34" t="n">
        <x:f>Subsurface_Scenario_Data!G193</x:f>
        <x:v>26092.879177094874</x:v>
      </x:c>
    </x:row>
    <x:row r="440">
      <x:c r="A440" s="34" t="n">
        <x:f>Subsurface_Scenario_Data!A194</x:f>
        <x:v>36</x:v>
      </x:c>
      <x:c r="B440" s="34" t="n">
        <x:f>Subsurface_Scenario_Data!E194</x:f>
        <x:v>8187.554890852266</x:v>
      </x:c>
      <x:c r="C440" s="34" t="n">
        <x:f>Subsurface_Scenario_Data!A194</x:f>
        <x:v>36</x:v>
      </x:c>
      <x:c r="D440" s="34" t="n">
        <x:f>Subsurface_Scenario_Data!F194</x:f>
        <x:v>14886.46343791321</x:v>
      </x:c>
      <x:c r="E440" s="34" t="n">
        <x:f>Subsurface_Scenario_Data!A194</x:f>
        <x:v>36</x:v>
      </x:c>
      <x:c r="F440" s="34" t="n">
        <x:f>Subsurface_Scenario_Data!G194</x:f>
        <x:v>26051.311016348118</x:v>
      </x:c>
    </x:row>
    <x:row r="441">
      <x:c r="A441" s="34" t="n">
        <x:f>Subsurface_Scenario_Data!A195</x:f>
        <x:v>36.5</x:v>
      </x:c>
      <x:c r="B441" s="34" t="n">
        <x:f>Subsurface_Scenario_Data!E195</x:f>
        <x:v>8173.857209666211</x:v>
      </x:c>
      <x:c r="C441" s="34" t="n">
        <x:f>Subsurface_Scenario_Data!A195</x:f>
        <x:v>36.5</x:v>
      </x:c>
      <x:c r="D441" s="34" t="n">
        <x:f>Subsurface_Scenario_Data!F195</x:f>
        <x:v>14861.558563029474</x:v>
      </x:c>
      <x:c r="E441" s="34" t="n">
        <x:f>Subsurface_Scenario_Data!A195</x:f>
        <x:v>36.5</x:v>
      </x:c>
      <x:c r="F441" s="34" t="n">
        <x:f>Subsurface_Scenario_Data!G195</x:f>
        <x:v>26007.727485301577</x:v>
      </x:c>
    </x:row>
    <x:row r="442">
      <x:c r="A442" s="34" t="n">
        <x:f>Subsurface_Scenario_Data!A196</x:f>
        <x:v>37</x:v>
      </x:c>
      <x:c r="B442" s="34" t="n">
        <x:f>Subsurface_Scenario_Data!E196</x:f>
        <x:v>8162.060503251605</x:v>
      </x:c>
      <x:c r="C442" s="34" t="n">
        <x:f>Subsurface_Scenario_Data!A196</x:f>
        <x:v>37</x:v>
      </x:c>
      <x:c r="D442" s="34" t="n">
        <x:f>Subsurface_Scenario_Data!F196</x:f>
        <x:v>14840.110005912007</x:v>
      </x:c>
      <x:c r="E442" s="34" t="n">
        <x:f>Subsurface_Scenario_Data!A196</x:f>
        <x:v>37</x:v>
      </x:c>
      <x:c r="F442" s="34" t="n">
        <x:f>Subsurface_Scenario_Data!G196</x:f>
        <x:v>25970.192510346013</x:v>
      </x:c>
    </x:row>
    <x:row r="443">
      <x:c r="A443" s="34" t="n">
        <x:f>Subsurface_Scenario_Data!A197</x:f>
        <x:v>37.5</x:v>
      </x:c>
      <x:c r="B443" s="34" t="n">
        <x:f>Subsurface_Scenario_Data!E197</x:f>
        <x:v>8150.637871081966</x:v>
      </x:c>
      <x:c r="C443" s="34" t="n">
        <x:f>Subsurface_Scenario_Data!A197</x:f>
        <x:v>37.5</x:v>
      </x:c>
      <x:c r="D443" s="34" t="n">
        <x:f>Subsurface_Scenario_Data!F197</x:f>
        <x:v>14819.341583785392</x:v>
      </x:c>
      <x:c r="E443" s="34" t="n">
        <x:f>Subsurface_Scenario_Data!A197</x:f>
        <x:v>37.5</x:v>
      </x:c>
      <x:c r="F443" s="34" t="n">
        <x:f>Subsurface_Scenario_Data!G197</x:f>
        <x:v>25933.847771624434</x:v>
      </x:c>
    </x:row>
    <x:row r="444">
      <x:c r="A444" s="34" t="n">
        <x:f>Subsurface_Scenario_Data!A198</x:f>
        <x:v>38</x:v>
      </x:c>
      <x:c r="B444" s="34" t="n">
        <x:f>Subsurface_Scenario_Data!E198</x:f>
        <x:v>8139.766847701806</x:v>
      </x:c>
      <x:c r="C444" s="34" t="n">
        <x:f>Subsurface_Scenario_Data!A198</x:f>
        <x:v>38</x:v>
      </x:c>
      <x:c r="D444" s="34" t="n">
        <x:f>Subsurface_Scenario_Data!F198</x:f>
        <x:v>14799.576086730554</x:v>
      </x:c>
      <x:c r="E444" s="34" t="n">
        <x:f>Subsurface_Scenario_Data!A198</x:f>
        <x:v>38</x:v>
      </x:c>
      <x:c r="F444" s="34" t="n">
        <x:f>Subsurface_Scenario_Data!G198</x:f>
        <x:v>25899.25815177847</x:v>
      </x:c>
    </x:row>
    <x:row r="445">
      <x:c r="A445" s="34" t="n">
        <x:f>Subsurface_Scenario_Data!A199</x:f>
        <x:v>38.5</x:v>
      </x:c>
      <x:c r="B445" s="34" t="n">
        <x:f>Subsurface_Scenario_Data!E199</x:f>
        <x:v>8127.23418652605</x:v>
      </x:c>
      <x:c r="C445" s="34" t="n">
        <x:f>Subsurface_Scenario_Data!A199</x:f>
        <x:v>38.5</x:v>
      </x:c>
      <x:c r="D445" s="34" t="n">
        <x:f>Subsurface_Scenario_Data!F199</x:f>
        <x:v>14776.789430047362</x:v>
      </x:c>
      <x:c r="E445" s="34" t="n">
        <x:f>Subsurface_Scenario_Data!A199</x:f>
        <x:v>38.5</x:v>
      </x:c>
      <x:c r="F445" s="34" t="n">
        <x:f>Subsurface_Scenario_Data!G199</x:f>
        <x:v>25859.381502582884</x:v>
      </x:c>
    </x:row>
    <x:row r="446">
      <x:c r="A446" s="34" t="n">
        <x:f>Subsurface_Scenario_Data!A200</x:f>
        <x:v>39</x:v>
      </x:c>
      <x:c r="B446" s="34" t="n">
        <x:f>Subsurface_Scenario_Data!E200</x:f>
        <x:v>8117.995768944415</x:v>
      </x:c>
      <x:c r="C446" s="34" t="n">
        <x:f>Subsurface_Scenario_Data!A200</x:f>
        <x:v>39</x:v>
      </x:c>
      <x:c r="D446" s="34" t="n">
        <x:f>Subsurface_Scenario_Data!F200</x:f>
        <x:v>14759.992307171664</x:v>
      </x:c>
      <x:c r="E446" s="34" t="n">
        <x:f>Subsurface_Scenario_Data!A200</x:f>
        <x:v>39</x:v>
      </x:c>
      <x:c r="F446" s="34" t="n">
        <x:f>Subsurface_Scenario_Data!G200</x:f>
        <x:v>25829.986537550412</x:v>
      </x:c>
    </x:row>
    <x:row r="447">
      <x:c r="A447" s="34" t="n">
        <x:f>Subsurface_Scenario_Data!A201</x:f>
        <x:v>39.5</x:v>
      </x:c>
      <x:c r="B447" s="34" t="n">
        <x:f>Subsurface_Scenario_Data!E201</x:f>
        <x:v>8108.856315804295</x:v>
      </x:c>
      <x:c r="C447" s="34" t="n">
        <x:f>Subsurface_Scenario_Data!A201</x:f>
        <x:v>39.5</x:v>
      </x:c>
      <x:c r="D447" s="34" t="n">
        <x:f>Subsurface_Scenario_Data!F201</x:f>
        <x:v>14743.375119644172</x:v>
      </x:c>
      <x:c r="E447" s="34" t="n">
        <x:f>Subsurface_Scenario_Data!A201</x:f>
        <x:v>39.5</x:v>
      </x:c>
      <x:c r="F447" s="34" t="n">
        <x:f>Subsurface_Scenario_Data!G201</x:f>
        <x:v>25800.9064593773</x:v>
      </x:c>
    </x:row>
    <x:row r="448">
      <x:c r="A448" s="34" t="n">
        <x:f>Subsurface_Scenario_Data!A202</x:f>
        <x:v>40</x:v>
      </x:c>
      <x:c r="B448" s="34" t="n">
        <x:f>Subsurface_Scenario_Data!E202</x:f>
        <x:v>8099.406077688127</x:v>
      </x:c>
      <x:c r="C448" s="34" t="n">
        <x:f>Subsurface_Scenario_Data!A202</x:f>
        <x:v>40</x:v>
      </x:c>
      <x:c r="D448" s="34" t="n">
        <x:f>Subsurface_Scenario_Data!F202</x:f>
        <x:v>14726.192868523865</x:v>
      </x:c>
      <x:c r="E448" s="34" t="n">
        <x:f>Subsurface_Scenario_Data!A202</x:f>
        <x:v>40</x:v>
      </x:c>
      <x:c r="F448" s="34" t="n">
        <x:f>Subsurface_Scenario_Data!G202</x:f>
        <x:v>25770.837519916764</x:v>
      </x:c>
    </x:row>
    <x:row r="449">
      <x:c r="A449" s="34" t="n">
        <x:f>Subsurface_Scenario_Data!A203</x:f>
        <x:v>40.5</x:v>
      </x:c>
      <x:c r="B449" s="34" t="n">
        <x:f>Subsurface_Scenario_Data!E203</x:f>
        <x:v>8091.174755835193</x:v>
      </x:c>
      <x:c r="C449" s="34" t="n">
        <x:f>Subsurface_Scenario_Data!A203</x:f>
        <x:v>40.5</x:v>
      </x:c>
      <x:c r="D449" s="34" t="n">
        <x:f>Subsurface_Scenario_Data!F203</x:f>
        <x:v>14711.226828791258</x:v>
      </x:c>
      <x:c r="E449" s="34" t="n">
        <x:f>Subsurface_Scenario_Data!A203</x:f>
        <x:v>40.5</x:v>
      </x:c>
      <x:c r="F449" s="34" t="n">
        <x:f>Subsurface_Scenario_Data!G203</x:f>
        <x:v>25744.6469503847</x:v>
      </x:c>
    </x:row>
    <x:row r="450">
      <x:c r="A450" s="34" t="n">
        <x:f>Subsurface_Scenario_Data!A204</x:f>
        <x:v>41</x:v>
      </x:c>
      <x:c r="B450" s="34" t="n">
        <x:f>Subsurface_Scenario_Data!E204</x:f>
        <x:v>8084.934726296433</x:v>
      </x:c>
      <x:c r="C450" s="34" t="n">
        <x:f>Subsurface_Scenario_Data!A204</x:f>
        <x:v>41</x:v>
      </x:c>
      <x:c r="D450" s="34" t="n">
        <x:f>Subsurface_Scenario_Data!F204</x:f>
        <x:v>14699.881320538967</x:v>
      </x:c>
      <x:c r="E450" s="34" t="n">
        <x:f>Subsurface_Scenario_Data!A204</x:f>
        <x:v>41</x:v>
      </x:c>
      <x:c r="F450" s="34" t="n">
        <x:f>Subsurface_Scenario_Data!G204</x:f>
        <x:v>25724.792310943194</x:v>
      </x:c>
    </x:row>
    <x:row r="451">
      <x:c r="A451" s="34" t="n">
        <x:f>Subsurface_Scenario_Data!A205</x:f>
        <x:v>41.5</x:v>
      </x:c>
      <x:c r="B451" s="34" t="n">
        <x:f>Subsurface_Scenario_Data!E205</x:f>
        <x:v>8077.852290432748</x:v>
      </x:c>
      <x:c r="C451" s="34" t="n">
        <x:f>Subsurface_Scenario_Data!A205</x:f>
        <x:v>41.5</x:v>
      </x:c>
      <x:c r="D451" s="34" t="n">
        <x:f>Subsurface_Scenario_Data!F205</x:f>
        <x:v>14687.004164423177</x:v>
      </x:c>
      <x:c r="E451" s="34" t="n">
        <x:f>Subsurface_Scenario_Data!A205</x:f>
        <x:v>41.5</x:v>
      </x:c>
      <x:c r="F451" s="34" t="n">
        <x:f>Subsurface_Scenario_Data!G205</x:f>
        <x:v>25702.25728774056</x:v>
      </x:c>
    </x:row>
    <x:row r="452">
      <x:c r="A452" s="34" t="n">
        <x:f>Subsurface_Scenario_Data!A206</x:f>
        <x:v>42</x:v>
      </x:c>
      <x:c r="B452" s="34" t="n">
        <x:f>Subsurface_Scenario_Data!E206</x:f>
        <x:v>8070.508467801601</x:v>
      </x:c>
      <x:c r="C452" s="34" t="n">
        <x:f>Subsurface_Scenario_Data!A206</x:f>
        <x:v>42</x:v>
      </x:c>
      <x:c r="D452" s="34" t="n">
        <x:f>Subsurface_Scenario_Data!F206</x:f>
        <x:v>14673.651759639273</x:v>
      </x:c>
      <x:c r="E452" s="34" t="n">
        <x:f>Subsurface_Scenario_Data!A206</x:f>
        <x:v>42</x:v>
      </x:c>
      <x:c r="F452" s="34" t="n">
        <x:f>Subsurface_Scenario_Data!G206</x:f>
        <x:v>25678.89057936873</x:v>
      </x:c>
    </x:row>
    <x:row r="453">
      <x:c r="A453" s="34" t="n">
        <x:f>Subsurface_Scenario_Data!A207</x:f>
        <x:v>42.5</x:v>
      </x:c>
      <x:c r="B453" s="34" t="n">
        <x:f>Subsurface_Scenario_Data!E207</x:f>
        <x:v>8064.635473836378</x:v>
      </x:c>
      <x:c r="C453" s="34" t="n">
        <x:f>Subsurface_Scenario_Data!A207</x:f>
        <x:v>42.5</x:v>
      </x:c>
      <x:c r="D453" s="34" t="n">
        <x:f>Subsurface_Scenario_Data!F207</x:f>
        <x:v>14662.973588793413</x:v>
      </x:c>
      <x:c r="E453" s="34" t="n">
        <x:f>Subsurface_Scenario_Data!A207</x:f>
        <x:v>42.5</x:v>
      </x:c>
      <x:c r="F453" s="34" t="n">
        <x:f>Subsurface_Scenario_Data!G207</x:f>
        <x:v>25660.203780388474</x:v>
      </x:c>
    </x:row>
    <x:row r="454">
      <x:c r="A454" s="34" t="n">
        <x:f>Subsurface_Scenario_Data!A208</x:f>
        <x:v>43</x:v>
      </x:c>
      <x:c r="B454" s="34" t="n">
        <x:f>Subsurface_Scenario_Data!E208</x:f>
        <x:v>8059.299586653292</x:v>
      </x:c>
      <x:c r="C454" s="34" t="n">
        <x:f>Subsurface_Scenario_Data!A208</x:f>
        <x:v>43</x:v>
      </x:c>
      <x:c r="D454" s="34" t="n">
        <x:f>Subsurface_Scenario_Data!F208</x:f>
        <x:v>14653.271975733256</x:v>
      </x:c>
      <x:c r="E454" s="34" t="n">
        <x:f>Subsurface_Scenario_Data!A208</x:f>
        <x:v>43</x:v>
      </x:c>
      <x:c r="F454" s="34" t="n">
        <x:f>Subsurface_Scenario_Data!G208</x:f>
        <x:v>25643.2259575332</x:v>
      </x:c>
    </x:row>
    <x:row r="455">
      <x:c r="A455" s="34" t="n">
        <x:f>Subsurface_Scenario_Data!A209</x:f>
        <x:v>43.5</x:v>
      </x:c>
      <x:c r="B455" s="34" t="n">
        <x:f>Subsurface_Scenario_Data!E209</x:f>
        <x:v>8055.13096160424</x:v>
      </x:c>
      <x:c r="C455" s="34" t="n">
        <x:f>Subsurface_Scenario_Data!A209</x:f>
        <x:v>43.5</x:v>
      </x:c>
      <x:c r="D455" s="34" t="n">
        <x:f>Subsurface_Scenario_Data!F209</x:f>
        <x:v>14645.692657462254</x:v>
      </x:c>
      <x:c r="E455" s="34" t="n">
        <x:f>Subsurface_Scenario_Data!A209</x:f>
        <x:v>43.5</x:v>
      </x:c>
      <x:c r="F455" s="34" t="n">
        <x:f>Subsurface_Scenario_Data!G209</x:f>
        <x:v>25629.962150558946</x:v>
      </x:c>
    </x:row>
    <x:row r="456">
      <x:c r="A456" s="34" t="n">
        <x:f>Subsurface_Scenario_Data!A210</x:f>
        <x:v>44</x:v>
      </x:c>
      <x:c r="B456" s="34" t="n">
        <x:f>Subsurface_Scenario_Data!E210</x:f>
        <x:v>8050.986442922348</x:v>
      </x:c>
      <x:c r="C456" s="34" t="n">
        <x:f>Subsurface_Scenario_Data!A210</x:f>
        <x:v>44</x:v>
      </x:c>
      <x:c r="D456" s="34" t="n">
        <x:f>Subsurface_Scenario_Data!F210</x:f>
        <x:v>14638.157168949723</x:v>
      </x:c>
      <x:c r="E456" s="34" t="n">
        <x:f>Subsurface_Scenario_Data!A210</x:f>
        <x:v>44</x:v>
      </x:c>
      <x:c r="F456" s="34" t="n">
        <x:f>Subsurface_Scenario_Data!G210</x:f>
        <x:v>25616.775045662016</x:v>
      </x:c>
    </x:row>
    <x:row r="457">
      <x:c r="A457" s="34" t="n">
        <x:f>Subsurface_Scenario_Data!A211</x:f>
        <x:v>44.5</x:v>
      </x:c>
      <x:c r="B457" s="34" t="n">
        <x:f>Subsurface_Scenario_Data!E211</x:f>
        <x:v>8048.304447046679</x:v>
      </x:c>
      <x:c r="C457" s="34" t="n">
        <x:f>Subsurface_Scenario_Data!A211</x:f>
        <x:v>44.5</x:v>
      </x:c>
      <x:c r="D457" s="34" t="n">
        <x:f>Subsurface_Scenario_Data!F211</x:f>
        <x:v>14633.280812812143</x:v>
      </x:c>
      <x:c r="E457" s="34" t="n">
        <x:f>Subsurface_Scenario_Data!A211</x:f>
        <x:v>44.5</x:v>
      </x:c>
      <x:c r="F457" s="34" t="n">
        <x:f>Subsurface_Scenario_Data!G211</x:f>
        <x:v>25608.24142242125</x:v>
      </x:c>
    </x:row>
    <x:row r="458">
      <x:c r="A458" s="34" t="n">
        <x:f>Subsurface_Scenario_Data!A212</x:f>
        <x:v>45</x:v>
      </x:c>
      <x:c r="B458" s="34" t="n">
        <x:f>Subsurface_Scenario_Data!E212</x:f>
        <x:v>8044.803486324438</x:v>
      </x:c>
      <x:c r="C458" s="34" t="n">
        <x:f>Subsurface_Scenario_Data!A212</x:f>
        <x:v>45</x:v>
      </x:c>
      <x:c r="D458" s="34" t="n">
        <x:f>Subsurface_Scenario_Data!F212</x:f>
        <x:v>14626.915429680796</x:v>
      </x:c>
      <x:c r="E458" s="34" t="n">
        <x:f>Subsurface_Scenario_Data!A212</x:f>
        <x:v>45</x:v>
      </x:c>
      <x:c r="F458" s="34" t="n">
        <x:f>Subsurface_Scenario_Data!G212</x:f>
        <x:v>25597.10200194139</x:v>
      </x:c>
    </x:row>
    <x:row r="459">
      <x:c r="A459" s="34" t="n">
        <x:f>Subsurface_Scenario_Data!A213</x:f>
        <x:v>45.5</x:v>
      </x:c>
      <x:c r="B459" s="34" t="n">
        <x:f>Subsurface_Scenario_Data!E213</x:f>
        <x:v>8040.3962053278165</x:v>
      </x:c>
      <x:c r="C459" s="34" t="n">
        <x:f>Subsurface_Scenario_Data!A213</x:f>
        <x:v>45.5</x:v>
      </x:c>
      <x:c r="D459" s="34" t="n">
        <x:f>Subsurface_Scenario_Data!F213</x:f>
        <x:v>14618.90219150512</x:v>
      </x:c>
      <x:c r="E459" s="34" t="n">
        <x:f>Subsurface_Scenario_Data!A213</x:f>
        <x:v>45.5</x:v>
      </x:c>
      <x:c r="F459" s="34" t="n">
        <x:f>Subsurface_Scenario_Data!G213</x:f>
        <x:v>25583.078835133958</x:v>
      </x:c>
    </x:row>
    <x:row r="460">
      <x:c r="A460" s="34" t="n">
        <x:f>Subsurface_Scenario_Data!A214</x:f>
        <x:v>46</x:v>
      </x:c>
      <x:c r="B460" s="34" t="n">
        <x:f>Subsurface_Scenario_Data!E214</x:f>
        <x:v>8038.3299769996875</x:v>
      </x:c>
      <x:c r="C460" s="34" t="n">
        <x:f>Subsurface_Scenario_Data!A214</x:f>
        <x:v>46</x:v>
      </x:c>
      <x:c r="D460" s="34" t="n">
        <x:f>Subsurface_Scenario_Data!F214</x:f>
        <x:v>14615.145412726702</x:v>
      </x:c>
      <x:c r="E460" s="34" t="n">
        <x:f>Subsurface_Scenario_Data!A214</x:f>
        <x:v>46</x:v>
      </x:c>
      <x:c r="F460" s="34" t="n">
        <x:f>Subsurface_Scenario_Data!G214</x:f>
        <x:v>25576.50447227173</x:v>
      </x:c>
    </x:row>
    <x:row r="461">
      <x:c r="A461" s="34" t="n">
        <x:f>Subsurface_Scenario_Data!A215</x:f>
        <x:v>46.5</x:v>
      </x:c>
      <x:c r="B461" s="34" t="n">
        <x:f>Subsurface_Scenario_Data!E215</x:f>
        <x:v>8036.6952238155545</x:v>
      </x:c>
      <x:c r="C461" s="34" t="n">
        <x:f>Subsurface_Scenario_Data!A215</x:f>
        <x:v>46.5</x:v>
      </x:c>
      <x:c r="D461" s="34" t="n">
        <x:f>Subsurface_Scenario_Data!F215</x:f>
        <x:v>14612.173134210097</x:v>
      </x:c>
      <x:c r="E461" s="34" t="n">
        <x:f>Subsurface_Scenario_Data!A215</x:f>
        <x:v>46.5</x:v>
      </x:c>
      <x:c r="F461" s="34" t="n">
        <x:f>Subsurface_Scenario_Data!G215</x:f>
        <x:v>25571.30298486767</x:v>
      </x:c>
    </x:row>
    <x:row r="462">
      <x:c r="A462" s="34" t="n">
        <x:f>Subsurface_Scenario_Data!A216</x:f>
        <x:v>47</x:v>
      </x:c>
      <x:c r="B462" s="34" t="n">
        <x:f>Subsurface_Scenario_Data!E216</x:f>
        <x:v>8034.236045042055</x:v>
      </x:c>
      <x:c r="C462" s="34" t="n">
        <x:f>Subsurface_Scenario_Data!A216</x:f>
        <x:v>47</x:v>
      </x:c>
      <x:c r="D462" s="34" t="n">
        <x:f>Subsurface_Scenario_Data!F216</x:f>
        <x:v>14607.701900076461</x:v>
      </x:c>
      <x:c r="E462" s="34" t="n">
        <x:f>Subsurface_Scenario_Data!A216</x:f>
        <x:v>47</x:v>
      </x:c>
      <x:c r="F462" s="34" t="n">
        <x:f>Subsurface_Scenario_Data!G216</x:f>
        <x:v>25563.47832513381</x:v>
      </x:c>
    </x:row>
    <x:row r="463">
      <x:c r="A463" s="34" t="n">
        <x:f>Subsurface_Scenario_Data!A217</x:f>
        <x:v>47.5</x:v>
      </x:c>
      <x:c r="B463" s="34" t="n">
        <x:f>Subsurface_Scenario_Data!E217</x:f>
        <x:v>8032.550405132173</x:v>
      </x:c>
      <x:c r="C463" s="34" t="n">
        <x:f>Subsurface_Scenario_Data!A217</x:f>
        <x:v>47.5</x:v>
      </x:c>
      <x:c r="D463" s="34" t="n">
        <x:f>Subsurface_Scenario_Data!F217</x:f>
        <x:v>14604.637100240314</x:v>
      </x:c>
      <x:c r="E463" s="34" t="n">
        <x:f>Subsurface_Scenario_Data!A217</x:f>
        <x:v>47.5</x:v>
      </x:c>
      <x:c r="F463" s="34" t="n">
        <x:f>Subsurface_Scenario_Data!G217</x:f>
        <x:v>25558.11492542055</x:v>
      </x:c>
    </x:row>
    <x:row r="464">
      <x:c r="A464" s="34" t="n">
        <x:f>Subsurface_Scenario_Data!A218</x:f>
        <x:v>48</x:v>
      </x:c>
      <x:c r="B464" s="34" t="n">
        <x:f>Subsurface_Scenario_Data!E218</x:f>
        <x:v>8029.031010021203</x:v>
      </x:c>
      <x:c r="C464" s="34" t="n">
        <x:f>Subsurface_Scenario_Data!A218</x:f>
        <x:v>48</x:v>
      </x:c>
      <x:c r="D464" s="34" t="n">
        <x:f>Subsurface_Scenario_Data!F218</x:f>
        <x:v>14598.23820003855</x:v>
      </x:c>
      <x:c r="E464" s="34" t="n">
        <x:f>Subsurface_Scenario_Data!A218</x:f>
        <x:v>48</x:v>
      </x:c>
      <x:c r="F464" s="34" t="n">
        <x:f>Subsurface_Scenario_Data!G218</x:f>
        <x:v>25546.91685006746</x:v>
      </x:c>
    </x:row>
    <x:row r="465">
      <x:c r="A465" s="34" t="n">
        <x:f>Subsurface_Scenario_Data!A219</x:f>
        <x:v>48.5</x:v>
      </x:c>
      <x:c r="B465" s="34" t="n">
        <x:f>Subsurface_Scenario_Data!E219</x:f>
        <x:v>8028.018447367383</x:v>
      </x:c>
      <x:c r="C465" s="34" t="n">
        <x:f>Subsurface_Scenario_Data!A219</x:f>
        <x:v>48.5</x:v>
      </x:c>
      <x:c r="D465" s="34" t="n">
        <x:f>Subsurface_Scenario_Data!F219</x:f>
        <x:v>14596.397177031604</x:v>
      </x:c>
      <x:c r="E465" s="34" t="n">
        <x:f>Subsurface_Scenario_Data!A219</x:f>
        <x:v>48.5</x:v>
      </x:c>
      <x:c r="F465" s="34" t="n">
        <x:f>Subsurface_Scenario_Data!G219</x:f>
        <x:v>25543.695059805308</x:v>
      </x:c>
    </x:row>
    <x:row r="466">
      <x:c r="A466" s="34" t="n">
        <x:f>Subsurface_Scenario_Data!A220</x:f>
        <x:v>49</x:v>
      </x:c>
      <x:c r="B466" s="34" t="n">
        <x:f>Subsurface_Scenario_Data!E220</x:f>
        <x:v>8026.88160655661</x:v>
      </x:c>
      <x:c r="C466" s="34" t="n">
        <x:f>Subsurface_Scenario_Data!A220</x:f>
        <x:v>49</x:v>
      </x:c>
      <x:c r="D466" s="34" t="n">
        <x:f>Subsurface_Scenario_Data!F220</x:f>
        <x:v>14594.33019373929</x:v>
      </x:c>
      <x:c r="E466" s="34" t="n">
        <x:f>Subsurface_Scenario_Data!A220</x:f>
        <x:v>49</x:v>
      </x:c>
      <x:c r="F466" s="34" t="n">
        <x:f>Subsurface_Scenario_Data!G220</x:f>
        <x:v>25540.077839043755</x:v>
      </x:c>
    </x:row>
    <x:row r="467">
      <x:c r="A467" s="34" t="n">
        <x:f>Subsurface_Scenario_Data!A221</x:f>
        <x:v>49.5</x:v>
      </x:c>
      <x:c r="B467" s="34" t="n">
        <x:f>Subsurface_Scenario_Data!E221</x:f>
        <x:v>8025.221975291202</x:v>
      </x:c>
      <x:c r="C467" s="34" t="n">
        <x:f>Subsurface_Scenario_Data!A221</x:f>
        <x:v>49.5</x:v>
      </x:c>
      <x:c r="D467" s="34" t="n">
        <x:f>Subsurface_Scenario_Data!F221</x:f>
        <x:v>14591.31268234764</x:v>
      </x:c>
      <x:c r="E467" s="34" t="n">
        <x:f>Subsurface_Scenario_Data!A221</x:f>
        <x:v>49.5</x:v>
      </x:c>
      <x:c r="F467" s="34" t="n">
        <x:f>Subsurface_Scenario_Data!G221</x:f>
        <x:v>25534.79719410837</x:v>
      </x:c>
    </x:row>
    <x:row r="468">
      <x:c r="A468" s="34" t="n">
        <x:f>Subsurface_Scenario_Data!A222</x:f>
        <x:v>50</x:v>
      </x:c>
      <x:c r="B468" s="34" t="n">
        <x:f>Subsurface_Scenario_Data!E222</x:f>
        <x:v>8024.398878035481</x:v>
      </x:c>
      <x:c r="C468" s="34" t="n">
        <x:f>Subsurface_Scenario_Data!A222</x:f>
        <x:v>50</x:v>
      </x:c>
      <x:c r="D468" s="34" t="n">
        <x:f>Subsurface_Scenario_Data!F222</x:f>
        <x:v>14589.816141882691</x:v>
      </x:c>
      <x:c r="E468" s="34" t="n">
        <x:f>Subsurface_Scenario_Data!A222</x:f>
        <x:v>50</x:v>
      </x:c>
      <x:c r="F468" s="34" t="n">
        <x:f>Subsurface_Scenario_Data!G222</x:f>
        <x:v>25532.17824829471</x:v>
      </x:c>
    </x:row>
    <x:row r="469">
      <x:c r="A469" s="34" t="n">
        <x:f>Subsurface_Scenario_Data!A223</x:f>
        <x:v>50.5</x:v>
      </x:c>
      <x:c r="B469" s="34" t="n">
        <x:f>Subsurface_Scenario_Data!E223</x:f>
        <x:v>8022.148442197804</x:v>
      </x:c>
      <x:c r="C469" s="34" t="n">
        <x:f>Subsurface_Scenario_Data!A223</x:f>
        <x:v>50.5</x:v>
      </x:c>
      <x:c r="D469" s="34" t="n">
        <x:f>Subsurface_Scenario_Data!F223</x:f>
        <x:v>14585.724440359641</x:v>
      </x:c>
      <x:c r="E469" s="34" t="n">
        <x:f>Subsurface_Scenario_Data!A223</x:f>
        <x:v>50.5</x:v>
      </x:c>
      <x:c r="F469" s="34" t="n">
        <x:f>Subsurface_Scenario_Data!G223</x:f>
        <x:v>25525.017770629373</x:v>
      </x:c>
    </x:row>
    <x:row r="470">
      <x:c r="A470" s="34" t="n">
        <x:f>Subsurface_Scenario_Data!A224</x:f>
        <x:v>51</x:v>
      </x:c>
      <x:c r="B470" s="34" t="n">
        <x:f>Subsurface_Scenario_Data!E224</x:f>
        <x:v>8021.841184011072</x:v>
      </x:c>
      <x:c r="C470" s="34" t="n">
        <x:f>Subsurface_Scenario_Data!A224</x:f>
        <x:v>51</x:v>
      </x:c>
      <x:c r="D470" s="34" t="n">
        <x:f>Subsurface_Scenario_Data!F224</x:f>
        <x:v>14585.165789111039</x:v>
      </x:c>
      <x:c r="E470" s="34" t="n">
        <x:f>Subsurface_Scenario_Data!A224</x:f>
        <x:v>51</x:v>
      </x:c>
      <x:c r="F470" s="34" t="n">
        <x:f>Subsurface_Scenario_Data!G224</x:f>
        <x:v>25524.04013094432</x:v>
      </x:c>
    </x:row>
    <x:row r="471">
      <x:c r="A471" s="34" t="n">
        <x:f>Subsurface_Scenario_Data!A225</x:f>
        <x:v>51.5</x:v>
      </x:c>
      <x:c r="B471" s="34" t="n">
        <x:f>Subsurface_Scenario_Data!E225</x:f>
        <x:v>8020.0648099080745</x:v>
      </x:c>
      <x:c r="C471" s="34" t="n">
        <x:f>Subsurface_Scenario_Data!A225</x:f>
        <x:v>51.5</x:v>
      </x:c>
      <x:c r="D471" s="34" t="n">
        <x:f>Subsurface_Scenario_Data!F225</x:f>
        <x:v>14581.93601801468</x:v>
      </x:c>
      <x:c r="E471" s="34" t="n">
        <x:f>Subsurface_Scenario_Data!A225</x:f>
        <x:v>51.5</x:v>
      </x:c>
      <x:c r="F471" s="34" t="n">
        <x:f>Subsurface_Scenario_Data!G225</x:f>
        <x:v>25518.38803152569</x:v>
      </x:c>
    </x:row>
    <x:row r="472">
      <x:c r="A472" s="34" t="n">
        <x:f>Subsurface_Scenario_Data!A226</x:f>
        <x:v>52</x:v>
      </x:c>
      <x:c r="B472" s="34" t="n">
        <x:f>Subsurface_Scenario_Data!E226</x:f>
        <x:v>8019.696865887584</x:v>
      </x:c>
      <x:c r="C472" s="34" t="n">
        <x:f>Subsurface_Scenario_Data!A226</x:f>
        <x:v>52</x:v>
      </x:c>
      <x:c r="D472" s="34" t="n">
        <x:f>Subsurface_Scenario_Data!F226</x:f>
        <x:v>14581.267028886516</x:v>
      </x:c>
      <x:c r="E472" s="34" t="n">
        <x:f>Subsurface_Scenario_Data!A226</x:f>
        <x:v>52</x:v>
      </x:c>
      <x:c r="F472" s="34" t="n">
        <x:f>Subsurface_Scenario_Data!G226</x:f>
        <x:v>25517.2173005514</x:v>
      </x:c>
    </x:row>
    <x:row r="473">
      <x:c r="A473" s="34" t="n">
        <x:f>Subsurface_Scenario_Data!A227</x:f>
        <x:v>52.5</x:v>
      </x:c>
      <x:c r="B473" s="34" t="n">
        <x:f>Subsurface_Scenario_Data!E227</x:f>
        <x:v>8020.345031907515</x:v>
      </x:c>
      <x:c r="C473" s="34" t="n">
        <x:f>Subsurface_Scenario_Data!A227</x:f>
        <x:v>52.5</x:v>
      </x:c>
      <x:c r="D473" s="34" t="n">
        <x:f>Subsurface_Scenario_Data!F227</x:f>
        <x:v>14582.445512559116</x:v>
      </x:c>
      <x:c r="E473" s="34" t="n">
        <x:f>Subsurface_Scenario_Data!A227</x:f>
        <x:v>52.5</x:v>
      </x:c>
      <x:c r="F473" s="34" t="n">
        <x:f>Subsurface_Scenario_Data!G227</x:f>
        <x:v>25519.27964697845</x:v>
      </x:c>
    </x:row>
    <x:row r="474">
      <x:c r="A474" s="34" t="n">
        <x:f>Subsurface_Scenario_Data!A228</x:f>
        <x:v>53</x:v>
      </x:c>
      <x:c r="B474" s="34" t="n">
        <x:f>Subsurface_Scenario_Data!E228</x:f>
        <x:v>8019.474647395656</x:v>
      </x:c>
      <x:c r="C474" s="34" t="n">
        <x:f>Subsurface_Scenario_Data!A228</x:f>
        <x:v>53</x:v>
      </x:c>
      <x:c r="D474" s="34" t="n">
        <x:f>Subsurface_Scenario_Data!F228</x:f>
        <x:v>14580.862995264828</x:v>
      </x:c>
      <x:c r="E474" s="34" t="n">
        <x:f>Subsurface_Scenario_Data!A228</x:f>
        <x:v>53</x:v>
      </x:c>
      <x:c r="F474" s="34" t="n">
        <x:f>Subsurface_Scenario_Data!G228</x:f>
        <x:v>25516.510241713448</x:v>
      </x:c>
    </x:row>
    <x:row r="475">
      <x:c r="A475" s="34" t="n">
        <x:f>Subsurface_Scenario_Data!A229</x:f>
        <x:v>53.5</x:v>
      </x:c>
      <x:c r="B475" s="34" t="n">
        <x:f>Subsurface_Scenario_Data!E229</x:f>
        <x:v>8020.479357501349</x:v>
      </x:c>
      <x:c r="C475" s="34" t="n">
        <x:f>Subsurface_Scenario_Data!A229</x:f>
        <x:v>53.5</x:v>
      </x:c>
      <x:c r="D475" s="34" t="n">
        <x:f>Subsurface_Scenario_Data!F229</x:f>
        <x:v>14582.689740911543</x:v>
      </x:c>
      <x:c r="E475" s="34" t="n">
        <x:f>Subsurface_Scenario_Data!A229</x:f>
        <x:v>53.5</x:v>
      </x:c>
      <x:c r="F475" s="34" t="n">
        <x:f>Subsurface_Scenario_Data!G229</x:f>
        <x:v>25519.7070465952</x:v>
      </x:c>
    </x:row>
    <x:row r="476">
      <x:c r="A476" s="34" t="n">
        <x:f>Subsurface_Scenario_Data!A230</x:f>
        <x:v>54</x:v>
      </x:c>
      <x:c r="B476" s="34" t="n">
        <x:f>Subsurface_Scenario_Data!E230</x:f>
        <x:v>8021.421585341411</x:v>
      </x:c>
      <x:c r="C476" s="34" t="n">
        <x:f>Subsurface_Scenario_Data!A230</x:f>
        <x:v>54</x:v>
      </x:c>
      <x:c r="D476" s="34" t="n">
        <x:f>Subsurface_Scenario_Data!F230</x:f>
        <x:v>14584.402882438928</x:v>
      </x:c>
      <x:c r="E476" s="34" t="n">
        <x:f>Subsurface_Scenario_Data!A230</x:f>
        <x:v>54</x:v>
      </x:c>
      <x:c r="F476" s="34" t="n">
        <x:f>Subsurface_Scenario_Data!G230</x:f>
        <x:v>25522.705044268125</x:v>
      </x:c>
    </x:row>
    <x:row r="477">
      <x:c r="A477" s="34" t="n">
        <x:f>Subsurface_Scenario_Data!A231</x:f>
        <x:v>54.5</x:v>
      </x:c>
      <x:c r="B477" s="34" t="n">
        <x:f>Subsurface_Scenario_Data!E231</x:f>
        <x:v>8022.924691447562</x:v>
      </x:c>
      <x:c r="C477" s="34" t="n">
        <x:f>Subsurface_Scenario_Data!A231</x:f>
        <x:v>54.5</x:v>
      </x:c>
      <x:c r="D477" s="34" t="n">
        <x:f>Subsurface_Scenario_Data!F231</x:f>
        <x:v>14587.135802631929</x:v>
      </x:c>
      <x:c r="E477" s="34" t="n">
        <x:f>Subsurface_Scenario_Data!A231</x:f>
        <x:v>54.5</x:v>
      </x:c>
      <x:c r="F477" s="34" t="n">
        <x:f>Subsurface_Scenario_Data!G231</x:f>
        <x:v>25527.487654605873</x:v>
      </x:c>
    </x:row>
    <x:row r="478">
      <x:c r="A478" s="34" t="n">
        <x:f>Subsurface_Scenario_Data!A232</x:f>
        <x:v>55</x:v>
      </x:c>
      <x:c r="B478" s="34" t="n">
        <x:f>Subsurface_Scenario_Data!E232</x:f>
        <x:v>8023.271506241713</x:v>
      </x:c>
      <x:c r="C478" s="34" t="n">
        <x:f>Subsurface_Scenario_Data!A232</x:f>
        <x:v>55</x:v>
      </x:c>
      <x:c r="D478" s="34" t="n">
        <x:f>Subsurface_Scenario_Data!F232</x:f>
        <x:v>14587.76637498493</x:v>
      </x:c>
      <x:c r="E478" s="34" t="n">
        <x:f>Subsurface_Scenario_Data!A232</x:f>
        <x:v>55</x:v>
      </x:c>
      <x:c r="F478" s="34" t="n">
        <x:f>Subsurface_Scenario_Data!G232</x:f>
        <x:v>25528.59115622363</x:v>
      </x:c>
    </x:row>
    <x:row r="479">
      <x:c r="A479" s="34" t="n">
        <x:f>Subsurface_Scenario_Data!A233</x:f>
        <x:v>55.5</x:v>
      </x:c>
      <x:c r="B479" s="34" t="n">
        <x:f>Subsurface_Scenario_Data!E233</x:f>
        <x:v>8025.096856175128</x:v>
      </x:c>
      <x:c r="C479" s="34" t="n">
        <x:f>Subsurface_Scenario_Data!A233</x:f>
        <x:v>55.5</x:v>
      </x:c>
      <x:c r="D479" s="34" t="n">
        <x:f>Subsurface_Scenario_Data!F233</x:f>
        <x:v>14591.085193045687</x:v>
      </x:c>
      <x:c r="E479" s="34" t="n">
        <x:f>Subsurface_Scenario_Data!A233</x:f>
        <x:v>55.5</x:v>
      </x:c>
      <x:c r="F479" s="34" t="n">
        <x:f>Subsurface_Scenario_Data!G233</x:f>
        <x:v>25534.399087829952</x:v>
      </x:c>
    </x:row>
    <x:row r="480">
      <x:c r="A480" s="34" t="n">
        <x:f>Subsurface_Scenario_Data!A234</x:f>
        <x:v>56</x:v>
      </x:c>
      <x:c r="B480" s="34" t="n">
        <x:f>Subsurface_Scenario_Data!E234</x:f>
        <x:v>8026.218825969343</x:v>
      </x:c>
      <x:c r="C480" s="34" t="n">
        <x:f>Subsurface_Scenario_Data!A234</x:f>
        <x:v>56</x:v>
      </x:c>
      <x:c r="D480" s="34" t="n">
        <x:f>Subsurface_Scenario_Data!F234</x:f>
        <x:v>14593.125138126077</x:v>
      </x:c>
      <x:c r="E480" s="34" t="n">
        <x:f>Subsurface_Scenario_Data!A234</x:f>
        <x:v>56</x:v>
      </x:c>
      <x:c r="F480" s="34" t="n">
        <x:f>Subsurface_Scenario_Data!G234</x:f>
        <x:v>25537.968991720634</x:v>
      </x:c>
    </x:row>
    <x:row r="481">
      <x:c r="A481" s="34" t="n">
        <x:f>Subsurface_Scenario_Data!A235</x:f>
        <x:v>56.5</x:v>
      </x:c>
      <x:c r="B481" s="34" t="n">
        <x:f>Subsurface_Scenario_Data!E235</x:f>
        <x:v>8027.502906598963</x:v>
      </x:c>
      <x:c r="C481" s="34" t="n">
        <x:f>Subsurface_Scenario_Data!A235</x:f>
        <x:v>56.5</x:v>
      </x:c>
      <x:c r="D481" s="34" t="n">
        <x:f>Subsurface_Scenario_Data!F235</x:f>
        <x:v>14595.45983017993</x:v>
      </x:c>
      <x:c r="E481" s="34" t="n">
        <x:f>Subsurface_Scenario_Data!A235</x:f>
        <x:v>56.5</x:v>
      </x:c>
      <x:c r="F481" s="34" t="n">
        <x:f>Subsurface_Scenario_Data!G235</x:f>
        <x:v>25542.05470281488</x:v>
      </x:c>
    </x:row>
    <x:row r="482">
      <x:c r="A482" s="34" t="n">
        <x:f>Subsurface_Scenario_Data!A236</x:f>
        <x:v>57</x:v>
      </x:c>
      <x:c r="B482" s="34" t="n">
        <x:f>Subsurface_Scenario_Data!E236</x:f>
        <x:v>8028.26526395272</x:v>
      </x:c>
      <x:c r="C482" s="34" t="n">
        <x:f>Subsurface_Scenario_Data!A236</x:f>
        <x:v>57</x:v>
      </x:c>
      <x:c r="D482" s="34" t="n">
        <x:f>Subsurface_Scenario_Data!F236</x:f>
        <x:v>14596.845934459488</x:v>
      </x:c>
      <x:c r="E482" s="34" t="n">
        <x:f>Subsurface_Scenario_Data!A236</x:f>
        <x:v>57</x:v>
      </x:c>
      <x:c r="F482" s="34" t="n">
        <x:f>Subsurface_Scenario_Data!G236</x:f>
        <x:v>25544.480385304105</x:v>
      </x:c>
    </x:row>
    <x:row r="483">
      <x:c r="A483" s="34" t="n">
        <x:f>Subsurface_Scenario_Data!A237</x:f>
        <x:v>57.5</x:v>
      </x:c>
      <x:c r="B483" s="34" t="n">
        <x:f>Subsurface_Scenario_Data!E237</x:f>
        <x:v>8031.602931464826</x:v>
      </x:c>
      <x:c r="C483" s="34" t="n">
        <x:f>Subsurface_Scenario_Data!A237</x:f>
        <x:v>57.5</x:v>
      </x:c>
      <x:c r="D483" s="34" t="n">
        <x:f>Subsurface_Scenario_Data!F237</x:f>
        <x:v>14602.914420845136</x:v>
      </x:c>
      <x:c r="E483" s="34" t="n">
        <x:f>Subsurface_Scenario_Data!A237</x:f>
        <x:v>57.5</x:v>
      </x:c>
      <x:c r="F483" s="34" t="n">
        <x:f>Subsurface_Scenario_Data!G237</x:f>
        <x:v>25555.10023647899</x:v>
      </x:c>
    </x:row>
    <x:row r="484">
      <x:c r="A484" s="34" t="n">
        <x:f>Subsurface_Scenario_Data!A238</x:f>
        <x:v>58</x:v>
      </x:c>
      <x:c r="B484" s="34" t="n">
        <x:f>Subsurface_Scenario_Data!E238</x:f>
        <x:v>8031.977949506607</x:v>
      </x:c>
      <x:c r="C484" s="34" t="n">
        <x:f>Subsurface_Scenario_Data!A238</x:f>
        <x:v>58</x:v>
      </x:c>
      <x:c r="D484" s="34" t="n">
        <x:f>Subsurface_Scenario_Data!F238</x:f>
        <x:v>14603.596271830193</x:v>
      </x:c>
      <x:c r="E484" s="34" t="n">
        <x:f>Subsurface_Scenario_Data!A238</x:f>
        <x:v>58</x:v>
      </x:c>
      <x:c r="F484" s="34" t="n">
        <x:f>Subsurface_Scenario_Data!G238</x:f>
        <x:v>25556.293475702838</x:v>
      </x:c>
    </x:row>
    <x:row r="485">
      <x:c r="A485" s="34" t="n">
        <x:f>Subsurface_Scenario_Data!A239</x:f>
        <x:v>58.5</x:v>
      </x:c>
      <x:c r="B485" s="34" t="n">
        <x:f>Subsurface_Scenario_Data!E239</x:f>
        <x:v>8034.076707923607</x:v>
      </x:c>
      <x:c r="C485" s="34" t="n">
        <x:f>Subsurface_Scenario_Data!A239</x:f>
        <x:v>58.5</x:v>
      </x:c>
      <x:c r="D485" s="34" t="n">
        <x:f>Subsurface_Scenario_Data!F239</x:f>
        <x:v>14607.412196224737</x:v>
      </x:c>
      <x:c r="E485" s="34" t="n">
        <x:f>Subsurface_Scenario_Data!A239</x:f>
        <x:v>58.5</x:v>
      </x:c>
      <x:c r="F485" s="34" t="n">
        <x:f>Subsurface_Scenario_Data!G239</x:f>
        <x:v>25562.971343393292</x:v>
      </x:c>
    </x:row>
    <x:row r="486">
      <x:c r="A486" s="34" t="n">
        <x:f>Subsurface_Scenario_Data!A240</x:f>
        <x:v>59</x:v>
      </x:c>
      <x:c r="B486" s="34" t="n">
        <x:f>Subsurface_Scenario_Data!E240</x:f>
        <x:v>8035.259208302731</x:v>
      </x:c>
      <x:c r="C486" s="34" t="n">
        <x:f>Subsurface_Scenario_Data!A240</x:f>
        <x:v>59</x:v>
      </x:c>
      <x:c r="D486" s="34" t="n">
        <x:f>Subsurface_Scenario_Data!F240</x:f>
        <x:v>14609.562196914056</x:v>
      </x:c>
      <x:c r="E486" s="34" t="n">
        <x:f>Subsurface_Scenario_Data!A240</x:f>
        <x:v>59</x:v>
      </x:c>
      <x:c r="F486" s="34" t="n">
        <x:f>Subsurface_Scenario_Data!G240</x:f>
        <x:v>25566.7338445996</x:v>
      </x:c>
    </x:row>
    <x:row r="487">
      <x:c r="A487" s="34" t="n">
        <x:f>Subsurface_Scenario_Data!A241</x:f>
        <x:v>59.5</x:v>
      </x:c>
      <x:c r="B487" s="34" t="n">
        <x:f>Subsurface_Scenario_Data!E241</x:f>
        <x:v>8038.724269050503</x:v>
      </x:c>
      <x:c r="C487" s="34" t="n">
        <x:f>Subsurface_Scenario_Data!A241</x:f>
        <x:v>59.5</x:v>
      </x:c>
      <x:c r="D487" s="34" t="n">
        <x:f>Subsurface_Scenario_Data!F241</x:f>
        <x:v>14615.862307364549</x:v>
      </x:c>
      <x:c r="E487" s="34" t="n">
        <x:f>Subsurface_Scenario_Data!A241</x:f>
        <x:v>59.5</x:v>
      </x:c>
      <x:c r="F487" s="34" t="n">
        <x:f>Subsurface_Scenario_Data!G241</x:f>
        <x:v>25577.75903788796</x:v>
      </x:c>
    </x:row>
    <x:row r="488">
      <x:c r="A488" s="34" t="n">
        <x:f>Subsurface_Scenario_Data!A242</x:f>
        <x:v>60</x:v>
      </x:c>
      <x:c r="B488" s="34" t="n">
        <x:f>Subsurface_Scenario_Data!E242</x:f>
        <x:v>8039.426300337826</x:v>
      </x:c>
      <x:c r="C488" s="34" t="n">
        <x:f>Subsurface_Scenario_Data!A242</x:f>
        <x:v>60</x:v>
      </x:c>
      <x:c r="D488" s="34" t="n">
        <x:f>Subsurface_Scenario_Data!F242</x:f>
        <x:v>14617.138727886955</x:v>
      </x:c>
      <x:c r="E488" s="34" t="n">
        <x:f>Subsurface_Scenario_Data!A242</x:f>
        <x:v>60</x:v>
      </x:c>
      <x:c r="F488" s="34" t="n">
        <x:f>Subsurface_Scenario_Data!G242</x:f>
        <x:v>25579.992773802172</x:v>
      </x:c>
    </x:row>
    <x:row r="491" s="73" customFormat="1" ht="15.600000381469727" customHeight="1">
      <x:c r="A491" s="32" t="inlineStr">
        <x:is>
          <x:t xml:space="preserve">Boundary Uncertainty Band</x:t>
        </x:is>
      </x:c>
    </x:row>
    <x:row r="492">
      <x:c r="A492" s="33" t="inlineStr">
        <x:is>
          <x:t xml:space="preserve">Lower bound x</x:t>
        </x:is>
      </x:c>
      <x:c r="B492" s="33" t="inlineStr">
        <x:is>
          <x:t xml:space="preserve">Lower bound</x:t>
        </x:is>
      </x:c>
      <x:c r="C492" s="33" t="inlineStr">
        <x:is>
          <x:t xml:space="preserve">Mean boundary x</x:t>
        </x:is>
      </x:c>
      <x:c r="D492" s="33" t="inlineStr">
        <x:is>
          <x:t xml:space="preserve">Mean boundary</x:t>
        </x:is>
      </x:c>
      <x:c r="E492" s="33" t="inlineStr">
        <x:is>
          <x:t xml:space="preserve">Upper bound x</x:t>
        </x:is>
      </x:c>
      <x:c r="F492" s="33" t="inlineStr">
        <x:is>
          <x:t xml:space="preserve">Upper bound</x:t>
        </x:is>
      </x:c>
    </x:row>
    <x:row r="493">
      <x:c r="A493" s="34" t="n">
        <x:f>Subsurface_Scenario_Data!A2</x:f>
        <x:v>-60</x:v>
      </x:c>
      <x:c r="B493" s="34" t="n">
        <x:f>Subsurface_Scenario_Data!C2</x:f>
        <x:v>13038.343476908214</x:v>
      </x:c>
      <x:c r="C493" s="34" t="n">
        <x:f>Subsurface_Scenario_Data!A2</x:f>
        <x:v>-60</x:v>
      </x:c>
      <x:c r="D493" s="34" t="n">
        <x:f>Subsurface_Scenario_Data!B2</x:f>
        <x:v>14538.343476908214</x:v>
      </x:c>
      <x:c r="E493" s="34" t="n">
        <x:f>Subsurface_Scenario_Data!A2</x:f>
        <x:v>-60</x:v>
      </x:c>
      <x:c r="F493" s="34" t="n">
        <x:f>Subsurface_Scenario_Data!D2</x:f>
        <x:v>16038.343476908214</x:v>
      </x:c>
    </x:row>
    <x:row r="494">
      <x:c r="A494" s="34" t="n">
        <x:f>Subsurface_Scenario_Data!A3</x:f>
        <x:v>-59.5</x:v>
      </x:c>
      <x:c r="B494" s="34" t="n">
        <x:f>Subsurface_Scenario_Data!C3</x:f>
        <x:v>13048.766391190573</x:v>
      </x:c>
      <x:c r="C494" s="34" t="n">
        <x:f>Subsurface_Scenario_Data!A3</x:f>
        <x:v>-59.5</x:v>
      </x:c>
      <x:c r="D494" s="34" t="n">
        <x:f>Subsurface_Scenario_Data!B3</x:f>
        <x:v>14548.766391190573</x:v>
      </x:c>
      <x:c r="E494" s="34" t="n">
        <x:f>Subsurface_Scenario_Data!A3</x:f>
        <x:v>-59.5</x:v>
      </x:c>
      <x:c r="F494" s="34" t="n">
        <x:f>Subsurface_Scenario_Data!D3</x:f>
        <x:v>16048.766391190573</x:v>
      </x:c>
    </x:row>
    <x:row r="495">
      <x:c r="A495" s="34" t="n">
        <x:f>Subsurface_Scenario_Data!A4</x:f>
        <x:v>-59</x:v>
      </x:c>
      <x:c r="B495" s="34" t="n">
        <x:f>Subsurface_Scenario_Data!C4</x:f>
        <x:v>13057.33823698979</x:v>
      </x:c>
      <x:c r="C495" s="34" t="n">
        <x:f>Subsurface_Scenario_Data!A4</x:f>
        <x:v>-59</x:v>
      </x:c>
      <x:c r="D495" s="34" t="n">
        <x:f>Subsurface_Scenario_Data!B4</x:f>
        <x:v>14557.33823698979</x:v>
      </x:c>
      <x:c r="E495" s="34" t="n">
        <x:f>Subsurface_Scenario_Data!A4</x:f>
        <x:v>-59</x:v>
      </x:c>
      <x:c r="F495" s="34" t="n">
        <x:f>Subsurface_Scenario_Data!D4</x:f>
        <x:v>16057.33823698979</x:v>
      </x:c>
    </x:row>
    <x:row r="496">
      <x:c r="A496" s="34" t="n">
        <x:f>Subsurface_Scenario_Data!A5</x:f>
        <x:v>-58.5</x:v>
      </x:c>
      <x:c r="B496" s="34" t="n">
        <x:f>Subsurface_Scenario_Data!C5</x:f>
        <x:v>13062.907070815563</x:v>
      </x:c>
      <x:c r="C496" s="34" t="n">
        <x:f>Subsurface_Scenario_Data!A5</x:f>
        <x:v>-58.5</x:v>
      </x:c>
      <x:c r="D496" s="34" t="n">
        <x:f>Subsurface_Scenario_Data!B5</x:f>
        <x:v>14562.907070815563</x:v>
      </x:c>
      <x:c r="E496" s="34" t="n">
        <x:f>Subsurface_Scenario_Data!A5</x:f>
        <x:v>-58.5</x:v>
      </x:c>
      <x:c r="F496" s="34" t="n">
        <x:f>Subsurface_Scenario_Data!D5</x:f>
        <x:v>16062.907070815563</x:v>
      </x:c>
    </x:row>
    <x:row r="497">
      <x:c r="A497" s="34" t="n">
        <x:f>Subsurface_Scenario_Data!A6</x:f>
        <x:v>-58</x:v>
      </x:c>
      <x:c r="B497" s="34" t="n">
        <x:f>Subsurface_Scenario_Data!C6</x:f>
        <x:v>13073.125618242737</x:v>
      </x:c>
      <x:c r="C497" s="34" t="n">
        <x:f>Subsurface_Scenario_Data!A6</x:f>
        <x:v>-58</x:v>
      </x:c>
      <x:c r="D497" s="34" t="n">
        <x:f>Subsurface_Scenario_Data!B6</x:f>
        <x:v>14573.125618242737</x:v>
      </x:c>
      <x:c r="E497" s="34" t="n">
        <x:f>Subsurface_Scenario_Data!A6</x:f>
        <x:v>-58</x:v>
      </x:c>
      <x:c r="F497" s="34" t="n">
        <x:f>Subsurface_Scenario_Data!D6</x:f>
        <x:v>16073.125618242737</x:v>
      </x:c>
    </x:row>
    <x:row r="498">
      <x:c r="A498" s="34" t="n">
        <x:f>Subsurface_Scenario_Data!A7</x:f>
        <x:v>-57.5</x:v>
      </x:c>
      <x:c r="B498" s="34" t="n">
        <x:f>Subsurface_Scenario_Data!C7</x:f>
        <x:v>13078.335140524403</x:v>
      </x:c>
      <x:c r="C498" s="34" t="n">
        <x:f>Subsurface_Scenario_Data!A7</x:f>
        <x:v>-57.5</x:v>
      </x:c>
      <x:c r="D498" s="34" t="n">
        <x:f>Subsurface_Scenario_Data!B7</x:f>
        <x:v>14578.335140524403</x:v>
      </x:c>
      <x:c r="E498" s="34" t="n">
        <x:f>Subsurface_Scenario_Data!A7</x:f>
        <x:v>-57.5</x:v>
      </x:c>
      <x:c r="F498" s="34" t="n">
        <x:f>Subsurface_Scenario_Data!D7</x:f>
        <x:v>16078.335140524403</x:v>
      </x:c>
    </x:row>
    <x:row r="499">
      <x:c r="A499" s="34" t="n">
        <x:f>Subsurface_Scenario_Data!A8</x:f>
        <x:v>-57</x:v>
      </x:c>
      <x:c r="B499" s="34" t="n">
        <x:f>Subsurface_Scenario_Data!C8</x:f>
        <x:v>13085.997030216358</x:v>
      </x:c>
      <x:c r="C499" s="34" t="n">
        <x:f>Subsurface_Scenario_Data!A8</x:f>
        <x:v>-57</x:v>
      </x:c>
      <x:c r="D499" s="34" t="n">
        <x:f>Subsurface_Scenario_Data!B8</x:f>
        <x:v>14585.997030216358</x:v>
      </x:c>
      <x:c r="E499" s="34" t="n">
        <x:f>Subsurface_Scenario_Data!A8</x:f>
        <x:v>-57</x:v>
      </x:c>
      <x:c r="F499" s="34" t="n">
        <x:f>Subsurface_Scenario_Data!D8</x:f>
        <x:v>16085.997030216358</x:v>
      </x:c>
    </x:row>
    <x:row r="500">
      <x:c r="A500" s="34" t="n">
        <x:f>Subsurface_Scenario_Data!A9</x:f>
        <x:v>-56.5</x:v>
      </x:c>
      <x:c r="B500" s="34" t="n">
        <x:f>Subsurface_Scenario_Data!C9</x:f>
        <x:v>13092.499316370253</x:v>
      </x:c>
      <x:c r="C500" s="34" t="n">
        <x:f>Subsurface_Scenario_Data!A9</x:f>
        <x:v>-56.5</x:v>
      </x:c>
      <x:c r="D500" s="34" t="n">
        <x:f>Subsurface_Scenario_Data!B9</x:f>
        <x:v>14592.499316370253</x:v>
      </x:c>
      <x:c r="E500" s="34" t="n">
        <x:f>Subsurface_Scenario_Data!A9</x:f>
        <x:v>-56.5</x:v>
      </x:c>
      <x:c r="F500" s="34" t="n">
        <x:f>Subsurface_Scenario_Data!D9</x:f>
        <x:v>16092.499316370253</x:v>
      </x:c>
    </x:row>
    <x:row r="501">
      <x:c r="A501" s="34" t="n">
        <x:f>Subsurface_Scenario_Data!A10</x:f>
        <x:v>-56</x:v>
      </x:c>
      <x:c r="B501" s="34" t="n">
        <x:f>Subsurface_Scenario_Data!C10</x:f>
        <x:v>13095.554644264555</x:v>
      </x:c>
      <x:c r="C501" s="34" t="n">
        <x:f>Subsurface_Scenario_Data!A10</x:f>
        <x:v>-56</x:v>
      </x:c>
      <x:c r="D501" s="34" t="n">
        <x:f>Subsurface_Scenario_Data!B10</x:f>
        <x:v>14595.554644264555</x:v>
      </x:c>
      <x:c r="E501" s="34" t="n">
        <x:f>Subsurface_Scenario_Data!A10</x:f>
        <x:v>-56</x:v>
      </x:c>
      <x:c r="F501" s="34" t="n">
        <x:f>Subsurface_Scenario_Data!D10</x:f>
        <x:v>16095.554644264555</x:v>
      </x:c>
    </x:row>
    <x:row r="502">
      <x:c r="A502" s="34" t="n">
        <x:f>Subsurface_Scenario_Data!A11</x:f>
        <x:v>-55.5</x:v>
      </x:c>
      <x:c r="B502" s="34" t="n">
        <x:f>Subsurface_Scenario_Data!C11</x:f>
        <x:v>13102.692839300287</x:v>
      </x:c>
      <x:c r="C502" s="34" t="n">
        <x:f>Subsurface_Scenario_Data!A11</x:f>
        <x:v>-55.5</x:v>
      </x:c>
      <x:c r="D502" s="34" t="n">
        <x:f>Subsurface_Scenario_Data!B11</x:f>
        <x:v>14602.692839300287</x:v>
      </x:c>
      <x:c r="E502" s="34" t="n">
        <x:f>Subsurface_Scenario_Data!A11</x:f>
        <x:v>-55.5</x:v>
      </x:c>
      <x:c r="F502" s="34" t="n">
        <x:f>Subsurface_Scenario_Data!D11</x:f>
        <x:v>16102.692839300287</x:v>
      </x:c>
    </x:row>
    <x:row r="503">
      <x:c r="A503" s="34" t="n">
        <x:f>Subsurface_Scenario_Data!A12</x:f>
        <x:v>-55</x:v>
      </x:c>
      <x:c r="B503" s="34" t="n">
        <x:f>Subsurface_Scenario_Data!C12</x:f>
        <x:v>13106.307966267492</x:v>
      </x:c>
      <x:c r="C503" s="34" t="n">
        <x:f>Subsurface_Scenario_Data!A12</x:f>
        <x:v>-55</x:v>
      </x:c>
      <x:c r="D503" s="34" t="n">
        <x:f>Subsurface_Scenario_Data!B12</x:f>
        <x:v>14606.307966267492</x:v>
      </x:c>
      <x:c r="E503" s="34" t="n">
        <x:f>Subsurface_Scenario_Data!A12</x:f>
        <x:v>-55</x:v>
      </x:c>
      <x:c r="F503" s="34" t="n">
        <x:f>Subsurface_Scenario_Data!D12</x:f>
        <x:v>16106.307966267492</x:v>
      </x:c>
    </x:row>
    <x:row r="504">
      <x:c r="A504" s="34" t="n">
        <x:f>Subsurface_Scenario_Data!A13</x:f>
        <x:v>-54.5</x:v>
      </x:c>
      <x:c r="B504" s="34" t="n">
        <x:f>Subsurface_Scenario_Data!C13</x:f>
        <x:v>13109.094149774926</x:v>
      </x:c>
      <x:c r="C504" s="34" t="n">
        <x:f>Subsurface_Scenario_Data!A13</x:f>
        <x:v>-54.5</x:v>
      </x:c>
      <x:c r="D504" s="34" t="n">
        <x:f>Subsurface_Scenario_Data!B13</x:f>
        <x:v>14609.094149774926</x:v>
      </x:c>
      <x:c r="E504" s="34" t="n">
        <x:f>Subsurface_Scenario_Data!A13</x:f>
        <x:v>-54.5</x:v>
      </x:c>
      <x:c r="F504" s="34" t="n">
        <x:f>Subsurface_Scenario_Data!D13</x:f>
        <x:v>16109.094149774926</x:v>
      </x:c>
    </x:row>
    <x:row r="505">
      <x:c r="A505" s="34" t="n">
        <x:f>Subsurface_Scenario_Data!A14</x:f>
        <x:v>-54</x:v>
      </x:c>
      <x:c r="B505" s="34" t="n">
        <x:f>Subsurface_Scenario_Data!C14</x:f>
        <x:v>13113.717465260237</x:v>
      </x:c>
      <x:c r="C505" s="34" t="n">
        <x:f>Subsurface_Scenario_Data!A14</x:f>
        <x:v>-54</x:v>
      </x:c>
      <x:c r="D505" s="34" t="n">
        <x:f>Subsurface_Scenario_Data!B14</x:f>
        <x:v>14613.717465260237</x:v>
      </x:c>
      <x:c r="E505" s="34" t="n">
        <x:f>Subsurface_Scenario_Data!A14</x:f>
        <x:v>-54</x:v>
      </x:c>
      <x:c r="F505" s="34" t="n">
        <x:f>Subsurface_Scenario_Data!D14</x:f>
        <x:v>16113.717465260237</x:v>
      </x:c>
    </x:row>
    <x:row r="506">
      <x:c r="A506" s="34" t="n">
        <x:f>Subsurface_Scenario_Data!A15</x:f>
        <x:v>-53.5</x:v>
      </x:c>
      <x:c r="B506" s="34" t="n">
        <x:f>Subsurface_Scenario_Data!C15</x:f>
        <x:v>13115.557901101563</x:v>
      </x:c>
      <x:c r="C506" s="34" t="n">
        <x:f>Subsurface_Scenario_Data!A15</x:f>
        <x:v>-53.5</x:v>
      </x:c>
      <x:c r="D506" s="34" t="n">
        <x:f>Subsurface_Scenario_Data!B15</x:f>
        <x:v>14615.557901101563</x:v>
      </x:c>
      <x:c r="E506" s="34" t="n">
        <x:f>Subsurface_Scenario_Data!A15</x:f>
        <x:v>-53.5</x:v>
      </x:c>
      <x:c r="F506" s="34" t="n">
        <x:f>Subsurface_Scenario_Data!D15</x:f>
        <x:v>16115.557901101563</x:v>
      </x:c>
    </x:row>
    <x:row r="507">
      <x:c r="A507" s="34" t="n">
        <x:f>Subsurface_Scenario_Data!A16</x:f>
        <x:v>-53</x:v>
      </x:c>
      <x:c r="B507" s="34" t="n">
        <x:f>Subsurface_Scenario_Data!C16</x:f>
        <x:v>13118.824704591409</x:v>
      </x:c>
      <x:c r="C507" s="34" t="n">
        <x:f>Subsurface_Scenario_Data!A16</x:f>
        <x:v>-53</x:v>
      </x:c>
      <x:c r="D507" s="34" t="n">
        <x:f>Subsurface_Scenario_Data!B16</x:f>
        <x:v>14618.824704591409</x:v>
      </x:c>
      <x:c r="E507" s="34" t="n">
        <x:f>Subsurface_Scenario_Data!A16</x:f>
        <x:v>-53</x:v>
      </x:c>
      <x:c r="F507" s="34" t="n">
        <x:f>Subsurface_Scenario_Data!D16</x:f>
        <x:v>16118.824704591409</x:v>
      </x:c>
    </x:row>
    <x:row r="508">
      <x:c r="A508" s="34" t="n">
        <x:f>Subsurface_Scenario_Data!A17</x:f>
        <x:v>-52.5</x:v>
      </x:c>
      <x:c r="B508" s="34" t="n">
        <x:f>Subsurface_Scenario_Data!C17</x:f>
        <x:v>13121.223871899127</x:v>
      </x:c>
      <x:c r="C508" s="34" t="n">
        <x:f>Subsurface_Scenario_Data!A17</x:f>
        <x:v>-52.5</x:v>
      </x:c>
      <x:c r="D508" s="34" t="n">
        <x:f>Subsurface_Scenario_Data!B17</x:f>
        <x:v>14621.223871899127</x:v>
      </x:c>
      <x:c r="E508" s="34" t="n">
        <x:f>Subsurface_Scenario_Data!A17</x:f>
        <x:v>-52.5</x:v>
      </x:c>
      <x:c r="F508" s="34" t="n">
        <x:f>Subsurface_Scenario_Data!D17</x:f>
        <x:v>16121.223871899127</x:v>
      </x:c>
    </x:row>
    <x:row r="509">
      <x:c r="A509" s="34" t="n">
        <x:f>Subsurface_Scenario_Data!A18</x:f>
        <x:v>-52</x:v>
      </x:c>
      <x:c r="B509" s="34" t="n">
        <x:f>Subsurface_Scenario_Data!C18</x:f>
        <x:v>13122.536888707544</x:v>
      </x:c>
      <x:c r="C509" s="34" t="n">
        <x:f>Subsurface_Scenario_Data!A18</x:f>
        <x:v>-52</x:v>
      </x:c>
      <x:c r="D509" s="34" t="n">
        <x:f>Subsurface_Scenario_Data!B18</x:f>
        <x:v>14622.536888707544</x:v>
      </x:c>
      <x:c r="E509" s="34" t="n">
        <x:f>Subsurface_Scenario_Data!A18</x:f>
        <x:v>-52</x:v>
      </x:c>
      <x:c r="F509" s="34" t="n">
        <x:f>Subsurface_Scenario_Data!D18</x:f>
        <x:v>16122.536888707544</x:v>
      </x:c>
    </x:row>
    <x:row r="510">
      <x:c r="A510" s="34" t="n">
        <x:f>Subsurface_Scenario_Data!A19</x:f>
        <x:v>-51.5</x:v>
      </x:c>
      <x:c r="B510" s="34" t="n">
        <x:f>Subsurface_Scenario_Data!C19</x:f>
        <x:v>13122.37004851927</x:v>
      </x:c>
      <x:c r="C510" s="34" t="n">
        <x:f>Subsurface_Scenario_Data!A19</x:f>
        <x:v>-51.5</x:v>
      </x:c>
      <x:c r="D510" s="34" t="n">
        <x:f>Subsurface_Scenario_Data!B19</x:f>
        <x:v>14622.37004851927</x:v>
      </x:c>
      <x:c r="E510" s="34" t="n">
        <x:f>Subsurface_Scenario_Data!A19</x:f>
        <x:v>-51.5</x:v>
      </x:c>
      <x:c r="F510" s="34" t="n">
        <x:f>Subsurface_Scenario_Data!D19</x:f>
        <x:v>16122.37004851927</x:v>
      </x:c>
    </x:row>
    <x:row r="511">
      <x:c r="A511" s="34" t="n">
        <x:f>Subsurface_Scenario_Data!A20</x:f>
        <x:v>-51</x:v>
      </x:c>
      <x:c r="B511" s="34" t="n">
        <x:f>Subsurface_Scenario_Data!C20</x:f>
        <x:v>13125.906076815862</x:v>
      </x:c>
      <x:c r="C511" s="34" t="n">
        <x:f>Subsurface_Scenario_Data!A20</x:f>
        <x:v>-51</x:v>
      </x:c>
      <x:c r="D511" s="34" t="n">
        <x:f>Subsurface_Scenario_Data!B20</x:f>
        <x:v>14625.906076815862</x:v>
      </x:c>
      <x:c r="E511" s="34" t="n">
        <x:f>Subsurface_Scenario_Data!A20</x:f>
        <x:v>-51</x:v>
      </x:c>
      <x:c r="F511" s="34" t="n">
        <x:f>Subsurface_Scenario_Data!D20</x:f>
        <x:v>16125.906076815862</x:v>
      </x:c>
    </x:row>
    <x:row r="512">
      <x:c r="A512" s="34" t="n">
        <x:f>Subsurface_Scenario_Data!A21</x:f>
        <x:v>-50.5</x:v>
      </x:c>
      <x:c r="B512" s="34" t="n">
        <x:f>Subsurface_Scenario_Data!C21</x:f>
        <x:v>13128.005233442185</x:v>
      </x:c>
      <x:c r="C512" s="34" t="n">
        <x:f>Subsurface_Scenario_Data!A21</x:f>
        <x:v>-50.5</x:v>
      </x:c>
      <x:c r="D512" s="34" t="n">
        <x:f>Subsurface_Scenario_Data!B21</x:f>
        <x:v>14628.005233442185</x:v>
      </x:c>
      <x:c r="E512" s="34" t="n">
        <x:f>Subsurface_Scenario_Data!A21</x:f>
        <x:v>-50.5</x:v>
      </x:c>
      <x:c r="F512" s="34" t="n">
        <x:f>Subsurface_Scenario_Data!D21</x:f>
        <x:v>16128.005233442185</x:v>
      </x:c>
    </x:row>
    <x:row r="513">
      <x:c r="A513" s="34" t="n">
        <x:f>Subsurface_Scenario_Data!A22</x:f>
        <x:v>-50</x:v>
      </x:c>
      <x:c r="B513" s="34" t="n">
        <x:f>Subsurface_Scenario_Data!C22</x:f>
        <x:v>13126.012286300014</x:v>
      </x:c>
      <x:c r="C513" s="34" t="n">
        <x:f>Subsurface_Scenario_Data!A22</x:f>
        <x:v>-50</x:v>
      </x:c>
      <x:c r="D513" s="34" t="n">
        <x:f>Subsurface_Scenario_Data!B22</x:f>
        <x:v>14626.012286300014</x:v>
      </x:c>
      <x:c r="E513" s="34" t="n">
        <x:f>Subsurface_Scenario_Data!A22</x:f>
        <x:v>-50</x:v>
      </x:c>
      <x:c r="F513" s="34" t="n">
        <x:f>Subsurface_Scenario_Data!D22</x:f>
        <x:v>16126.012286300014</x:v>
      </x:c>
    </x:row>
    <x:row r="514">
      <x:c r="A514" s="34" t="n">
        <x:f>Subsurface_Scenario_Data!A23</x:f>
        <x:v>-49.5</x:v>
      </x:c>
      <x:c r="B514" s="34" t="n">
        <x:f>Subsurface_Scenario_Data!C23</x:f>
        <x:v>13129.040649051138</x:v>
      </x:c>
      <x:c r="C514" s="34" t="n">
        <x:f>Subsurface_Scenario_Data!A23</x:f>
        <x:v>-49.5</x:v>
      </x:c>
      <x:c r="D514" s="34" t="n">
        <x:f>Subsurface_Scenario_Data!B23</x:f>
        <x:v>14629.040649051138</x:v>
      </x:c>
      <x:c r="E514" s="34" t="n">
        <x:f>Subsurface_Scenario_Data!A23</x:f>
        <x:v>-49.5</x:v>
      </x:c>
      <x:c r="F514" s="34" t="n">
        <x:f>Subsurface_Scenario_Data!D23</x:f>
        <x:v>16129.040649051138</x:v>
      </x:c>
    </x:row>
    <x:row r="515">
      <x:c r="A515" s="34" t="n">
        <x:f>Subsurface_Scenario_Data!A24</x:f>
        <x:v>-49</x:v>
      </x:c>
      <x:c r="B515" s="34" t="n">
        <x:f>Subsurface_Scenario_Data!C24</x:f>
        <x:v>13128.219878746673</x:v>
      </x:c>
      <x:c r="C515" s="34" t="n">
        <x:f>Subsurface_Scenario_Data!A24</x:f>
        <x:v>-49</x:v>
      </x:c>
      <x:c r="D515" s="34" t="n">
        <x:f>Subsurface_Scenario_Data!B24</x:f>
        <x:v>14628.219878746673</x:v>
      </x:c>
      <x:c r="E515" s="34" t="n">
        <x:f>Subsurface_Scenario_Data!A24</x:f>
        <x:v>-49</x:v>
      </x:c>
      <x:c r="F515" s="34" t="n">
        <x:f>Subsurface_Scenario_Data!D24</x:f>
        <x:v>16128.219878746673</x:v>
      </x:c>
    </x:row>
    <x:row r="516">
      <x:c r="A516" s="34" t="n">
        <x:f>Subsurface_Scenario_Data!A25</x:f>
        <x:v>-48.5</x:v>
      </x:c>
      <x:c r="B516" s="34" t="n">
        <x:f>Subsurface_Scenario_Data!C25</x:f>
        <x:v>13128.865542990865</x:v>
      </x:c>
      <x:c r="C516" s="34" t="n">
        <x:f>Subsurface_Scenario_Data!A25</x:f>
        <x:v>-48.5</x:v>
      </x:c>
      <x:c r="D516" s="34" t="n">
        <x:f>Subsurface_Scenario_Data!B25</x:f>
        <x:v>14628.865542990865</x:v>
      </x:c>
      <x:c r="E516" s="34" t="n">
        <x:f>Subsurface_Scenario_Data!A25</x:f>
        <x:v>-48.5</x:v>
      </x:c>
      <x:c r="F516" s="34" t="n">
        <x:f>Subsurface_Scenario_Data!D25</x:f>
        <x:v>16128.865542990865</x:v>
      </x:c>
    </x:row>
    <x:row r="517">
      <x:c r="A517" s="34" t="n">
        <x:f>Subsurface_Scenario_Data!A26</x:f>
        <x:v>-48</x:v>
      </x:c>
      <x:c r="B517" s="34" t="n">
        <x:f>Subsurface_Scenario_Data!C26</x:f>
        <x:v>13130.343646203191</x:v>
      </x:c>
      <x:c r="C517" s="34" t="n">
        <x:f>Subsurface_Scenario_Data!A26</x:f>
        <x:v>-48</x:v>
      </x:c>
      <x:c r="D517" s="34" t="n">
        <x:f>Subsurface_Scenario_Data!B26</x:f>
        <x:v>14630.343646203191</x:v>
      </x:c>
      <x:c r="E517" s="34" t="n">
        <x:f>Subsurface_Scenario_Data!A26</x:f>
        <x:v>-48</x:v>
      </x:c>
      <x:c r="F517" s="34" t="n">
        <x:f>Subsurface_Scenario_Data!D26</x:f>
        <x:v>16130.343646203191</x:v>
      </x:c>
    </x:row>
    <x:row r="518">
      <x:c r="A518" s="34" t="n">
        <x:f>Subsurface_Scenario_Data!A27</x:f>
        <x:v>-47.5</x:v>
      </x:c>
      <x:c r="B518" s="34" t="n">
        <x:f>Subsurface_Scenario_Data!C27</x:f>
        <x:v>13128.54315116047</x:v>
      </x:c>
      <x:c r="C518" s="34" t="n">
        <x:f>Subsurface_Scenario_Data!A27</x:f>
        <x:v>-47.5</x:v>
      </x:c>
      <x:c r="D518" s="34" t="n">
        <x:f>Subsurface_Scenario_Data!B27</x:f>
        <x:v>14628.54315116047</x:v>
      </x:c>
      <x:c r="E518" s="34" t="n">
        <x:f>Subsurface_Scenario_Data!A27</x:f>
        <x:v>-47.5</x:v>
      </x:c>
      <x:c r="F518" s="34" t="n">
        <x:f>Subsurface_Scenario_Data!D27</x:f>
        <x:v>16128.54315116047</x:v>
      </x:c>
    </x:row>
    <x:row r="519">
      <x:c r="A519" s="34" t="n">
        <x:f>Subsurface_Scenario_Data!A28</x:f>
        <x:v>-47</x:v>
      </x:c>
      <x:c r="B519" s="34" t="n">
        <x:f>Subsurface_Scenario_Data!C28</x:f>
        <x:v>13128.933341310483</x:v>
      </x:c>
      <x:c r="C519" s="34" t="n">
        <x:f>Subsurface_Scenario_Data!A28</x:f>
        <x:v>-47</x:v>
      </x:c>
      <x:c r="D519" s="34" t="n">
        <x:f>Subsurface_Scenario_Data!B28</x:f>
        <x:v>14628.933341310483</x:v>
      </x:c>
      <x:c r="E519" s="34" t="n">
        <x:f>Subsurface_Scenario_Data!A28</x:f>
        <x:v>-47</x:v>
      </x:c>
      <x:c r="F519" s="34" t="n">
        <x:f>Subsurface_Scenario_Data!D28</x:f>
        <x:v>16128.933341310483</x:v>
      </x:c>
    </x:row>
    <x:row r="520">
      <x:c r="A520" s="34" t="n">
        <x:f>Subsurface_Scenario_Data!A29</x:f>
        <x:v>-46.5</x:v>
      </x:c>
      <x:c r="B520" s="34" t="n">
        <x:f>Subsurface_Scenario_Data!C29</x:f>
        <x:v>13127.807692098573</x:v>
      </x:c>
      <x:c r="C520" s="34" t="n">
        <x:f>Subsurface_Scenario_Data!A29</x:f>
        <x:v>-46.5</x:v>
      </x:c>
      <x:c r="D520" s="34" t="n">
        <x:f>Subsurface_Scenario_Data!B29</x:f>
        <x:v>14627.807692098573</x:v>
      </x:c>
      <x:c r="E520" s="34" t="n">
        <x:f>Subsurface_Scenario_Data!A29</x:f>
        <x:v>-46.5</x:v>
      </x:c>
      <x:c r="F520" s="34" t="n">
        <x:f>Subsurface_Scenario_Data!D29</x:f>
        <x:v>16127.807692098573</x:v>
      </x:c>
    </x:row>
    <x:row r="521">
      <x:c r="A521" s="34" t="n">
        <x:f>Subsurface_Scenario_Data!A30</x:f>
        <x:v>-46</x:v>
      </x:c>
      <x:c r="B521" s="34" t="n">
        <x:f>Subsurface_Scenario_Data!C30</x:f>
        <x:v>13128.668588877104</x:v>
      </x:c>
      <x:c r="C521" s="34" t="n">
        <x:f>Subsurface_Scenario_Data!A30</x:f>
        <x:v>-46</x:v>
      </x:c>
      <x:c r="D521" s="34" t="n">
        <x:f>Subsurface_Scenario_Data!B30</x:f>
        <x:v>14628.668588877104</x:v>
      </x:c>
      <x:c r="E521" s="34" t="n">
        <x:f>Subsurface_Scenario_Data!A30</x:f>
        <x:v>-46</x:v>
      </x:c>
      <x:c r="F521" s="34" t="n">
        <x:f>Subsurface_Scenario_Data!D30</x:f>
        <x:v>16128.668588877104</x:v>
      </x:c>
    </x:row>
    <x:row r="522">
      <x:c r="A522" s="34" t="n">
        <x:f>Subsurface_Scenario_Data!A31</x:f>
        <x:v>-45.5</x:v>
      </x:c>
      <x:c r="B522" s="34" t="n">
        <x:f>Subsurface_Scenario_Data!C31</x:f>
        <x:v>13128.019588067555</x:v>
      </x:c>
      <x:c r="C522" s="34" t="n">
        <x:f>Subsurface_Scenario_Data!A31</x:f>
        <x:v>-45.5</x:v>
      </x:c>
      <x:c r="D522" s="34" t="n">
        <x:f>Subsurface_Scenario_Data!B31</x:f>
        <x:v>14628.019588067555</x:v>
      </x:c>
      <x:c r="E522" s="34" t="n">
        <x:f>Subsurface_Scenario_Data!A31</x:f>
        <x:v>-45.5</x:v>
      </x:c>
      <x:c r="F522" s="34" t="n">
        <x:f>Subsurface_Scenario_Data!D31</x:f>
        <x:v>16128.019588067555</x:v>
      </x:c>
    </x:row>
    <x:row r="523">
      <x:c r="A523" s="34" t="n">
        <x:f>Subsurface_Scenario_Data!A32</x:f>
        <x:v>-45</x:v>
      </x:c>
      <x:c r="B523" s="34" t="n">
        <x:f>Subsurface_Scenario_Data!C32</x:f>
        <x:v>13129.081269338794</x:v>
      </x:c>
      <x:c r="C523" s="34" t="n">
        <x:f>Subsurface_Scenario_Data!A32</x:f>
        <x:v>-45</x:v>
      </x:c>
      <x:c r="D523" s="34" t="n">
        <x:f>Subsurface_Scenario_Data!B32</x:f>
        <x:v>14629.081269338794</x:v>
      </x:c>
      <x:c r="E523" s="34" t="n">
        <x:f>Subsurface_Scenario_Data!A32</x:f>
        <x:v>-45</x:v>
      </x:c>
      <x:c r="F523" s="34" t="n">
        <x:f>Subsurface_Scenario_Data!D32</x:f>
        <x:v>16129.081269338794</x:v>
      </x:c>
    </x:row>
    <x:row r="524">
      <x:c r="A524" s="34" t="n">
        <x:f>Subsurface_Scenario_Data!A33</x:f>
        <x:v>-44.5</x:v>
      </x:c>
      <x:c r="B524" s="34" t="n">
        <x:f>Subsurface_Scenario_Data!C33</x:f>
        <x:v>13127.9749848833</x:v>
      </x:c>
      <x:c r="C524" s="34" t="n">
        <x:f>Subsurface_Scenario_Data!A33</x:f>
        <x:v>-44.5</x:v>
      </x:c>
      <x:c r="D524" s="34" t="n">
        <x:f>Subsurface_Scenario_Data!B33</x:f>
        <x:v>14627.9749848833</x:v>
      </x:c>
      <x:c r="E524" s="34" t="n">
        <x:f>Subsurface_Scenario_Data!A33</x:f>
        <x:v>-44.5</x:v>
      </x:c>
      <x:c r="F524" s="34" t="n">
        <x:f>Subsurface_Scenario_Data!D33</x:f>
        <x:v>16127.9749848833</x:v>
      </x:c>
    </x:row>
    <x:row r="525">
      <x:c r="A525" s="34" t="n">
        <x:f>Subsurface_Scenario_Data!A34</x:f>
        <x:v>-44</x:v>
      </x:c>
      <x:c r="B525" s="34" t="n">
        <x:f>Subsurface_Scenario_Data!C34</x:f>
        <x:v>13125.911504274929</x:v>
      </x:c>
      <x:c r="C525" s="34" t="n">
        <x:f>Subsurface_Scenario_Data!A34</x:f>
        <x:v>-44</x:v>
      </x:c>
      <x:c r="D525" s="34" t="n">
        <x:f>Subsurface_Scenario_Data!B34</x:f>
        <x:v>14625.911504274929</x:v>
      </x:c>
      <x:c r="E525" s="34" t="n">
        <x:f>Subsurface_Scenario_Data!A34</x:f>
        <x:v>-44</x:v>
      </x:c>
      <x:c r="F525" s="34" t="n">
        <x:f>Subsurface_Scenario_Data!D34</x:f>
        <x:v>16125.911504274929</x:v>
      </x:c>
    </x:row>
    <x:row r="526">
      <x:c r="A526" s="34" t="n">
        <x:f>Subsurface_Scenario_Data!A35</x:f>
        <x:v>-43.5</x:v>
      </x:c>
      <x:c r="B526" s="34" t="n">
        <x:f>Subsurface_Scenario_Data!C35</x:f>
        <x:v>13121.986694083294</x:v>
      </x:c>
      <x:c r="C526" s="34" t="n">
        <x:f>Subsurface_Scenario_Data!A35</x:f>
        <x:v>-43.5</x:v>
      </x:c>
      <x:c r="D526" s="34" t="n">
        <x:f>Subsurface_Scenario_Data!B35</x:f>
        <x:v>14621.986694083294</x:v>
      </x:c>
      <x:c r="E526" s="34" t="n">
        <x:f>Subsurface_Scenario_Data!A35</x:f>
        <x:v>-43.5</x:v>
      </x:c>
      <x:c r="F526" s="34" t="n">
        <x:f>Subsurface_Scenario_Data!D35</x:f>
        <x:v>16121.986694083294</x:v>
      </x:c>
    </x:row>
    <x:row r="527">
      <x:c r="A527" s="34" t="n">
        <x:f>Subsurface_Scenario_Data!A36</x:f>
        <x:v>-43</x:v>
      </x:c>
      <x:c r="B527" s="34" t="n">
        <x:f>Subsurface_Scenario_Data!C36</x:f>
        <x:v>13123.693198890636</x:v>
      </x:c>
      <x:c r="C527" s="34" t="n">
        <x:f>Subsurface_Scenario_Data!A36</x:f>
        <x:v>-43</x:v>
      </x:c>
      <x:c r="D527" s="34" t="n">
        <x:f>Subsurface_Scenario_Data!B36</x:f>
        <x:v>14623.693198890636</x:v>
      </x:c>
      <x:c r="E527" s="34" t="n">
        <x:f>Subsurface_Scenario_Data!A36</x:f>
        <x:v>-43</x:v>
      </x:c>
      <x:c r="F527" s="34" t="n">
        <x:f>Subsurface_Scenario_Data!D36</x:f>
        <x:v>16123.693198890636</x:v>
      </x:c>
    </x:row>
    <x:row r="528">
      <x:c r="A528" s="34" t="n">
        <x:f>Subsurface_Scenario_Data!A37</x:f>
        <x:v>-42.5</x:v>
      </x:c>
      <x:c r="B528" s="34" t="n">
        <x:f>Subsurface_Scenario_Data!C37</x:f>
        <x:v>13120.914775457455</x:v>
      </x:c>
      <x:c r="C528" s="34" t="n">
        <x:f>Subsurface_Scenario_Data!A37</x:f>
        <x:v>-42.5</x:v>
      </x:c>
      <x:c r="D528" s="34" t="n">
        <x:f>Subsurface_Scenario_Data!B37</x:f>
        <x:v>14620.914775457455</x:v>
      </x:c>
      <x:c r="E528" s="34" t="n">
        <x:f>Subsurface_Scenario_Data!A37</x:f>
        <x:v>-42.5</x:v>
      </x:c>
      <x:c r="F528" s="34" t="n">
        <x:f>Subsurface_Scenario_Data!D37</x:f>
        <x:v>16120.914775457455</x:v>
      </x:c>
    </x:row>
    <x:row r="529">
      <x:c r="A529" s="34" t="n">
        <x:f>Subsurface_Scenario_Data!A38</x:f>
        <x:v>-42</x:v>
      </x:c>
      <x:c r="B529" s="34" t="n">
        <x:f>Subsurface_Scenario_Data!C38</x:f>
        <x:v>13119.806259259834</x:v>
      </x:c>
      <x:c r="C529" s="34" t="n">
        <x:f>Subsurface_Scenario_Data!A38</x:f>
        <x:v>-42</x:v>
      </x:c>
      <x:c r="D529" s="34" t="n">
        <x:f>Subsurface_Scenario_Data!B38</x:f>
        <x:v>14619.806259259834</x:v>
      </x:c>
      <x:c r="E529" s="34" t="n">
        <x:f>Subsurface_Scenario_Data!A38</x:f>
        <x:v>-42</x:v>
      </x:c>
      <x:c r="F529" s="34" t="n">
        <x:f>Subsurface_Scenario_Data!D38</x:f>
        <x:v>16119.806259259834</x:v>
      </x:c>
    </x:row>
    <x:row r="530">
      <x:c r="A530" s="34" t="n">
        <x:f>Subsurface_Scenario_Data!A39</x:f>
        <x:v>-41.5</x:v>
      </x:c>
      <x:c r="B530" s="34" t="n">
        <x:f>Subsurface_Scenario_Data!C39</x:f>
        <x:v>13117.022284654113</x:v>
      </x:c>
      <x:c r="C530" s="34" t="n">
        <x:f>Subsurface_Scenario_Data!A39</x:f>
        <x:v>-41.5</x:v>
      </x:c>
      <x:c r="D530" s="34" t="n">
        <x:f>Subsurface_Scenario_Data!B39</x:f>
        <x:v>14617.022284654113</x:v>
      </x:c>
      <x:c r="E530" s="34" t="n">
        <x:f>Subsurface_Scenario_Data!A39</x:f>
        <x:v>-41.5</x:v>
      </x:c>
      <x:c r="F530" s="34" t="n">
        <x:f>Subsurface_Scenario_Data!D39</x:f>
        <x:v>16117.022284654113</x:v>
      </x:c>
    </x:row>
    <x:row r="531">
      <x:c r="A531" s="34" t="n">
        <x:f>Subsurface_Scenario_Data!A40</x:f>
        <x:v>-41</x:v>
      </x:c>
      <x:c r="B531" s="34" t="n">
        <x:f>Subsurface_Scenario_Data!C40</x:f>
        <x:v>13113.623267805096</x:v>
      </x:c>
      <x:c r="C531" s="34" t="n">
        <x:f>Subsurface_Scenario_Data!A40</x:f>
        <x:v>-41</x:v>
      </x:c>
      <x:c r="D531" s="34" t="n">
        <x:f>Subsurface_Scenario_Data!B40</x:f>
        <x:v>14613.623267805096</x:v>
      </x:c>
      <x:c r="E531" s="34" t="n">
        <x:f>Subsurface_Scenario_Data!A40</x:f>
        <x:v>-41</x:v>
      </x:c>
      <x:c r="F531" s="34" t="n">
        <x:f>Subsurface_Scenario_Data!D40</x:f>
        <x:v>16113.623267805096</x:v>
      </x:c>
    </x:row>
    <x:row r="532">
      <x:c r="A532" s="34" t="n">
        <x:f>Subsurface_Scenario_Data!A41</x:f>
        <x:v>-40.5</x:v>
      </x:c>
      <x:c r="B532" s="34" t="n">
        <x:f>Subsurface_Scenario_Data!C41</x:f>
        <x:v>13108.974517463</x:v>
      </x:c>
      <x:c r="C532" s="34" t="n">
        <x:f>Subsurface_Scenario_Data!A41</x:f>
        <x:v>-40.5</x:v>
      </x:c>
      <x:c r="D532" s="34" t="n">
        <x:f>Subsurface_Scenario_Data!B41</x:f>
        <x:v>14608.974517463</x:v>
      </x:c>
      <x:c r="E532" s="34" t="n">
        <x:f>Subsurface_Scenario_Data!A41</x:f>
        <x:v>-40.5</x:v>
      </x:c>
      <x:c r="F532" s="34" t="n">
        <x:f>Subsurface_Scenario_Data!D41</x:f>
        <x:v>16108.974517463</x:v>
      </x:c>
    </x:row>
    <x:row r="533">
      <x:c r="A533" s="34" t="n">
        <x:f>Subsurface_Scenario_Data!A42</x:f>
        <x:v>-40</x:v>
      </x:c>
      <x:c r="B533" s="34" t="n">
        <x:f>Subsurface_Scenario_Data!C42</x:f>
        <x:v>13105.554950848293</x:v>
      </x:c>
      <x:c r="C533" s="34" t="n">
        <x:f>Subsurface_Scenario_Data!A42</x:f>
        <x:v>-40</x:v>
      </x:c>
      <x:c r="D533" s="34" t="n">
        <x:f>Subsurface_Scenario_Data!B42</x:f>
        <x:v>14605.554950848293</x:v>
      </x:c>
      <x:c r="E533" s="34" t="n">
        <x:f>Subsurface_Scenario_Data!A42</x:f>
        <x:v>-40</x:v>
      </x:c>
      <x:c r="F533" s="34" t="n">
        <x:f>Subsurface_Scenario_Data!D42</x:f>
        <x:v>16105.554950848293</x:v>
      </x:c>
    </x:row>
    <x:row r="534">
      <x:c r="A534" s="34" t="n">
        <x:f>Subsurface_Scenario_Data!A43</x:f>
        <x:v>-39.5</x:v>
      </x:c>
      <x:c r="B534" s="34" t="n">
        <x:f>Subsurface_Scenario_Data!C43</x:f>
        <x:v>13102.691093675494</x:v>
      </x:c>
      <x:c r="C534" s="34" t="n">
        <x:f>Subsurface_Scenario_Data!A43</x:f>
        <x:v>-39.5</x:v>
      </x:c>
      <x:c r="D534" s="34" t="n">
        <x:f>Subsurface_Scenario_Data!B43</x:f>
        <x:v>14602.691093675494</x:v>
      </x:c>
      <x:c r="E534" s="34" t="n">
        <x:f>Subsurface_Scenario_Data!A43</x:f>
        <x:v>-39.5</x:v>
      </x:c>
      <x:c r="F534" s="34" t="n">
        <x:f>Subsurface_Scenario_Data!D43</x:f>
        <x:v>16102.691093675494</x:v>
      </x:c>
    </x:row>
    <x:row r="535">
      <x:c r="A535" s="34" t="n">
        <x:f>Subsurface_Scenario_Data!A44</x:f>
        <x:v>-39</x:v>
      </x:c>
      <x:c r="B535" s="34" t="n">
        <x:f>Subsurface_Scenario_Data!C44</x:f>
        <x:v>13102.748972256197</x:v>
      </x:c>
      <x:c r="C535" s="34" t="n">
        <x:f>Subsurface_Scenario_Data!A44</x:f>
        <x:v>-39</x:v>
      </x:c>
      <x:c r="D535" s="34" t="n">
        <x:f>Subsurface_Scenario_Data!B44</x:f>
        <x:v>14602.748972256197</x:v>
      </x:c>
      <x:c r="E535" s="34" t="n">
        <x:f>Subsurface_Scenario_Data!A44</x:f>
        <x:v>-39</x:v>
      </x:c>
      <x:c r="F535" s="34" t="n">
        <x:f>Subsurface_Scenario_Data!D44</x:f>
        <x:v>16102.748972256197</x:v>
      </x:c>
    </x:row>
    <x:row r="536">
      <x:c r="A536" s="34" t="n">
        <x:f>Subsurface_Scenario_Data!A45</x:f>
        <x:v>-38.5</x:v>
      </x:c>
      <x:c r="B536" s="34" t="n">
        <x:f>Subsurface_Scenario_Data!C45</x:f>
        <x:v>13096.90416266791</x:v>
      </x:c>
      <x:c r="C536" s="34" t="n">
        <x:f>Subsurface_Scenario_Data!A45</x:f>
        <x:v>-38.5</x:v>
      </x:c>
      <x:c r="D536" s="34" t="n">
        <x:f>Subsurface_Scenario_Data!B45</x:f>
        <x:v>14596.90416266791</x:v>
      </x:c>
      <x:c r="E536" s="34" t="n">
        <x:f>Subsurface_Scenario_Data!A45</x:f>
        <x:v>-38.5</x:v>
      </x:c>
      <x:c r="F536" s="34" t="n">
        <x:f>Subsurface_Scenario_Data!D45</x:f>
        <x:v>16096.90416266791</x:v>
      </x:c>
    </x:row>
    <x:row r="537">
      <x:c r="A537" s="34" t="n">
        <x:f>Subsurface_Scenario_Data!A46</x:f>
        <x:v>-38</x:v>
      </x:c>
      <x:c r="B537" s="34" t="n">
        <x:f>Subsurface_Scenario_Data!C46</x:f>
        <x:v>13096.295801636577</x:v>
      </x:c>
      <x:c r="C537" s="34" t="n">
        <x:f>Subsurface_Scenario_Data!A46</x:f>
        <x:v>-38</x:v>
      </x:c>
      <x:c r="D537" s="34" t="n">
        <x:f>Subsurface_Scenario_Data!B46</x:f>
        <x:v>14596.295801636577</x:v>
      </x:c>
      <x:c r="E537" s="34" t="n">
        <x:f>Subsurface_Scenario_Data!A46</x:f>
        <x:v>-38</x:v>
      </x:c>
      <x:c r="F537" s="34" t="n">
        <x:f>Subsurface_Scenario_Data!D46</x:f>
        <x:v>16096.295801636577</x:v>
      </x:c>
    </x:row>
    <x:row r="538">
      <x:c r="A538" s="34" t="n">
        <x:f>Subsurface_Scenario_Data!A47</x:f>
        <x:v>-37.5</x:v>
      </x:c>
      <x:c r="B538" s="34" t="n">
        <x:f>Subsurface_Scenario_Data!C47</x:f>
        <x:v>13089.655674119576</x:v>
      </x:c>
      <x:c r="C538" s="34" t="n">
        <x:f>Subsurface_Scenario_Data!A47</x:f>
        <x:v>-37.5</x:v>
      </x:c>
      <x:c r="D538" s="34" t="n">
        <x:f>Subsurface_Scenario_Data!B47</x:f>
        <x:v>14589.655674119576</x:v>
      </x:c>
      <x:c r="E538" s="34" t="n">
        <x:f>Subsurface_Scenario_Data!A47</x:f>
        <x:v>-37.5</x:v>
      </x:c>
      <x:c r="F538" s="34" t="n">
        <x:f>Subsurface_Scenario_Data!D47</x:f>
        <x:v>16089.655674119576</x:v>
      </x:c>
    </x:row>
    <x:row r="539">
      <x:c r="A539" s="34" t="n">
        <x:f>Subsurface_Scenario_Data!A48</x:f>
        <x:v>-37</x:v>
      </x:c>
      <x:c r="B539" s="34" t="n">
        <x:f>Subsurface_Scenario_Data!C48</x:f>
        <x:v>13088.806016104165</x:v>
      </x:c>
      <x:c r="C539" s="34" t="n">
        <x:f>Subsurface_Scenario_Data!A48</x:f>
        <x:v>-37</x:v>
      </x:c>
      <x:c r="D539" s="34" t="n">
        <x:f>Subsurface_Scenario_Data!B48</x:f>
        <x:v>14588.806016104165</x:v>
      </x:c>
      <x:c r="E539" s="34" t="n">
        <x:f>Subsurface_Scenario_Data!A48</x:f>
        <x:v>-37</x:v>
      </x:c>
      <x:c r="F539" s="34" t="n">
        <x:f>Subsurface_Scenario_Data!D48</x:f>
        <x:v>16088.806016104165</x:v>
      </x:c>
    </x:row>
    <x:row r="540">
      <x:c r="A540" s="34" t="n">
        <x:f>Subsurface_Scenario_Data!A49</x:f>
        <x:v>-36.5</x:v>
      </x:c>
      <x:c r="B540" s="34" t="n">
        <x:f>Subsurface_Scenario_Data!C49</x:f>
        <x:v>13083.853391519191</x:v>
      </x:c>
      <x:c r="C540" s="34" t="n">
        <x:f>Subsurface_Scenario_Data!A49</x:f>
        <x:v>-36.5</x:v>
      </x:c>
      <x:c r="D540" s="34" t="n">
        <x:f>Subsurface_Scenario_Data!B49</x:f>
        <x:v>14583.853391519191</x:v>
      </x:c>
      <x:c r="E540" s="34" t="n">
        <x:f>Subsurface_Scenario_Data!A49</x:f>
        <x:v>-36.5</x:v>
      </x:c>
      <x:c r="F540" s="34" t="n">
        <x:f>Subsurface_Scenario_Data!D49</x:f>
        <x:v>16083.853391519191</x:v>
      </x:c>
    </x:row>
    <x:row r="541">
      <x:c r="A541" s="34" t="n">
        <x:f>Subsurface_Scenario_Data!A50</x:f>
        <x:v>-36</x:v>
      </x:c>
      <x:c r="B541" s="34" t="n">
        <x:f>Subsurface_Scenario_Data!C50</x:f>
        <x:v>13082.102622173152</x:v>
      </x:c>
      <x:c r="C541" s="34" t="n">
        <x:f>Subsurface_Scenario_Data!A50</x:f>
        <x:v>-36</x:v>
      </x:c>
      <x:c r="D541" s="34" t="n">
        <x:f>Subsurface_Scenario_Data!B50</x:f>
        <x:v>14582.102622173152</x:v>
      </x:c>
      <x:c r="E541" s="34" t="n">
        <x:f>Subsurface_Scenario_Data!A50</x:f>
        <x:v>-36</x:v>
      </x:c>
      <x:c r="F541" s="34" t="n">
        <x:f>Subsurface_Scenario_Data!D50</x:f>
        <x:v>16082.102622173152</x:v>
      </x:c>
    </x:row>
    <x:row r="542">
      <x:c r="A542" s="34" t="n">
        <x:f>Subsurface_Scenario_Data!A51</x:f>
        <x:v>-35.5</x:v>
      </x:c>
      <x:c r="B542" s="34" t="n">
        <x:f>Subsurface_Scenario_Data!C51</x:f>
        <x:v>13080.284946826363</x:v>
      </x:c>
      <x:c r="C542" s="34" t="n">
        <x:f>Subsurface_Scenario_Data!A51</x:f>
        <x:v>-35.5</x:v>
      </x:c>
      <x:c r="D542" s="34" t="n">
        <x:f>Subsurface_Scenario_Data!B51</x:f>
        <x:v>14580.284946826363</x:v>
      </x:c>
      <x:c r="E542" s="34" t="n">
        <x:f>Subsurface_Scenario_Data!A51</x:f>
        <x:v>-35.5</x:v>
      </x:c>
      <x:c r="F542" s="34" t="n">
        <x:f>Subsurface_Scenario_Data!D51</x:f>
        <x:v>16080.284946826363</x:v>
      </x:c>
    </x:row>
    <x:row r="543">
      <x:c r="A543" s="34" t="n">
        <x:f>Subsurface_Scenario_Data!A52</x:f>
        <x:v>-35</x:v>
      </x:c>
      <x:c r="B543" s="34" t="n">
        <x:f>Subsurface_Scenario_Data!C52</x:f>
        <x:v>13081.129325609454</x:v>
      </x:c>
      <x:c r="C543" s="34" t="n">
        <x:f>Subsurface_Scenario_Data!A52</x:f>
        <x:v>-35</x:v>
      </x:c>
      <x:c r="D543" s="34" t="n">
        <x:f>Subsurface_Scenario_Data!B52</x:f>
        <x:v>14581.129325609454</x:v>
      </x:c>
      <x:c r="E543" s="34" t="n">
        <x:f>Subsurface_Scenario_Data!A52</x:f>
        <x:v>-35</x:v>
      </x:c>
      <x:c r="F543" s="34" t="n">
        <x:f>Subsurface_Scenario_Data!D52</x:f>
        <x:v>16081.129325609454</x:v>
      </x:c>
    </x:row>
    <x:row r="544">
      <x:c r="A544" s="34" t="n">
        <x:f>Subsurface_Scenario_Data!A53</x:f>
        <x:v>-34.5</x:v>
      </x:c>
      <x:c r="B544" s="34" t="n">
        <x:f>Subsurface_Scenario_Data!C53</x:f>
        <x:v>13076.85763200879</x:v>
      </x:c>
      <x:c r="C544" s="34" t="n">
        <x:f>Subsurface_Scenario_Data!A53</x:f>
        <x:v>-34.5</x:v>
      </x:c>
      <x:c r="D544" s="34" t="n">
        <x:f>Subsurface_Scenario_Data!B53</x:f>
        <x:v>14576.85763200879</x:v>
      </x:c>
      <x:c r="E544" s="34" t="n">
        <x:f>Subsurface_Scenario_Data!A53</x:f>
        <x:v>-34.5</x:v>
      </x:c>
      <x:c r="F544" s="34" t="n">
        <x:f>Subsurface_Scenario_Data!D53</x:f>
        <x:v>16076.85763200879</x:v>
      </x:c>
    </x:row>
    <x:row r="545">
      <x:c r="A545" s="34" t="n">
        <x:f>Subsurface_Scenario_Data!A54</x:f>
        <x:v>-34</x:v>
      </x:c>
      <x:c r="B545" s="34" t="n">
        <x:f>Subsurface_Scenario_Data!C54</x:f>
        <x:v>13077.628747923229</x:v>
      </x:c>
      <x:c r="C545" s="34" t="n">
        <x:f>Subsurface_Scenario_Data!A54</x:f>
        <x:v>-34</x:v>
      </x:c>
      <x:c r="D545" s="34" t="n">
        <x:f>Subsurface_Scenario_Data!B54</x:f>
        <x:v>14577.628747923229</x:v>
      </x:c>
      <x:c r="E545" s="34" t="n">
        <x:f>Subsurface_Scenario_Data!A54</x:f>
        <x:v>-34</x:v>
      </x:c>
      <x:c r="F545" s="34" t="n">
        <x:f>Subsurface_Scenario_Data!D54</x:f>
        <x:v>16077.628747923229</x:v>
      </x:c>
    </x:row>
    <x:row r="546">
      <x:c r="A546" s="34" t="n">
        <x:f>Subsurface_Scenario_Data!A55</x:f>
        <x:v>-33.5</x:v>
      </x:c>
      <x:c r="B546" s="34" t="n">
        <x:f>Subsurface_Scenario_Data!C55</x:f>
        <x:v>13078.092560023488</x:v>
      </x:c>
      <x:c r="C546" s="34" t="n">
        <x:f>Subsurface_Scenario_Data!A55</x:f>
        <x:v>-33.5</x:v>
      </x:c>
      <x:c r="D546" s="34" t="n">
        <x:f>Subsurface_Scenario_Data!B55</x:f>
        <x:v>14578.092560023488</x:v>
      </x:c>
      <x:c r="E546" s="34" t="n">
        <x:f>Subsurface_Scenario_Data!A55</x:f>
        <x:v>-33.5</x:v>
      </x:c>
      <x:c r="F546" s="34" t="n">
        <x:f>Subsurface_Scenario_Data!D55</x:f>
        <x:v>16078.092560023488</x:v>
      </x:c>
    </x:row>
    <x:row r="547">
      <x:c r="A547" s="34" t="n">
        <x:f>Subsurface_Scenario_Data!A56</x:f>
        <x:v>-33</x:v>
      </x:c>
      <x:c r="B547" s="34" t="n">
        <x:f>Subsurface_Scenario_Data!C56</x:f>
        <x:v>13078.466646582594</x:v>
      </x:c>
      <x:c r="C547" s="34" t="n">
        <x:f>Subsurface_Scenario_Data!A56</x:f>
        <x:v>-33</x:v>
      </x:c>
      <x:c r="D547" s="34" t="n">
        <x:f>Subsurface_Scenario_Data!B56</x:f>
        <x:v>14578.466646582594</x:v>
      </x:c>
      <x:c r="E547" s="34" t="n">
        <x:f>Subsurface_Scenario_Data!A56</x:f>
        <x:v>-33</x:v>
      </x:c>
      <x:c r="F547" s="34" t="n">
        <x:f>Subsurface_Scenario_Data!D56</x:f>
        <x:v>16078.466646582594</x:v>
      </x:c>
    </x:row>
    <x:row r="548">
      <x:c r="A548" s="34" t="n">
        <x:f>Subsurface_Scenario_Data!A57</x:f>
        <x:v>-32.5</x:v>
      </x:c>
      <x:c r="B548" s="34" t="n">
        <x:f>Subsurface_Scenario_Data!C57</x:f>
        <x:v>13080.08569704939</x:v>
      </x:c>
      <x:c r="C548" s="34" t="n">
        <x:f>Subsurface_Scenario_Data!A57</x:f>
        <x:v>-32.5</x:v>
      </x:c>
      <x:c r="D548" s="34" t="n">
        <x:f>Subsurface_Scenario_Data!B57</x:f>
        <x:v>14580.08569704939</x:v>
      </x:c>
      <x:c r="E548" s="34" t="n">
        <x:f>Subsurface_Scenario_Data!A57</x:f>
        <x:v>-32.5</x:v>
      </x:c>
      <x:c r="F548" s="34" t="n">
        <x:f>Subsurface_Scenario_Data!D57</x:f>
        <x:v>16080.08569704939</x:v>
      </x:c>
    </x:row>
    <x:row r="549">
      <x:c r="A549" s="34" t="n">
        <x:f>Subsurface_Scenario_Data!A58</x:f>
        <x:v>-32</x:v>
      </x:c>
      <x:c r="B549" s="34" t="n">
        <x:f>Subsurface_Scenario_Data!C58</x:f>
        <x:v>13084.952070760557</x:v>
      </x:c>
      <x:c r="C549" s="34" t="n">
        <x:f>Subsurface_Scenario_Data!A58</x:f>
        <x:v>-32</x:v>
      </x:c>
      <x:c r="D549" s="34" t="n">
        <x:f>Subsurface_Scenario_Data!B58</x:f>
        <x:v>14584.952070760557</x:v>
      </x:c>
      <x:c r="E549" s="34" t="n">
        <x:f>Subsurface_Scenario_Data!A58</x:f>
        <x:v>-32</x:v>
      </x:c>
      <x:c r="F549" s="34" t="n">
        <x:f>Subsurface_Scenario_Data!D58</x:f>
        <x:v>16084.952070760557</x:v>
      </x:c>
    </x:row>
    <x:row r="550">
      <x:c r="A550" s="34" t="n">
        <x:f>Subsurface_Scenario_Data!A59</x:f>
        <x:v>-31.5</x:v>
      </x:c>
      <x:c r="B550" s="34" t="n">
        <x:f>Subsurface_Scenario_Data!C59</x:f>
        <x:v>13087.057234351585</x:v>
      </x:c>
      <x:c r="C550" s="34" t="n">
        <x:f>Subsurface_Scenario_Data!A59</x:f>
        <x:v>-31.5</x:v>
      </x:c>
      <x:c r="D550" s="34" t="n">
        <x:f>Subsurface_Scenario_Data!B59</x:f>
        <x:v>14587.057234351585</x:v>
      </x:c>
      <x:c r="E550" s="34" t="n">
        <x:f>Subsurface_Scenario_Data!A59</x:f>
        <x:v>-31.5</x:v>
      </x:c>
      <x:c r="F550" s="34" t="n">
        <x:f>Subsurface_Scenario_Data!D59</x:f>
        <x:v>16087.057234351585</x:v>
      </x:c>
    </x:row>
    <x:row r="551">
      <x:c r="A551" s="34" t="n">
        <x:f>Subsurface_Scenario_Data!A60</x:f>
        <x:v>-31</x:v>
      </x:c>
      <x:c r="B551" s="34" t="n">
        <x:f>Subsurface_Scenario_Data!C60</x:f>
        <x:v>13092.076103026691</x:v>
      </x:c>
      <x:c r="C551" s="34" t="n">
        <x:f>Subsurface_Scenario_Data!A60</x:f>
        <x:v>-31</x:v>
      </x:c>
      <x:c r="D551" s="34" t="n">
        <x:f>Subsurface_Scenario_Data!B60</x:f>
        <x:v>14592.076103026691</x:v>
      </x:c>
      <x:c r="E551" s="34" t="n">
        <x:f>Subsurface_Scenario_Data!A60</x:f>
        <x:v>-31</x:v>
      </x:c>
      <x:c r="F551" s="34" t="n">
        <x:f>Subsurface_Scenario_Data!D60</x:f>
        <x:v>16092.076103026691</x:v>
      </x:c>
    </x:row>
    <x:row r="552">
      <x:c r="A552" s="34" t="n">
        <x:f>Subsurface_Scenario_Data!A61</x:f>
        <x:v>-30.5</x:v>
      </x:c>
      <x:c r="B552" s="34" t="n">
        <x:f>Subsurface_Scenario_Data!C61</x:f>
        <x:v>13099.553282966977</x:v>
      </x:c>
      <x:c r="C552" s="34" t="n">
        <x:f>Subsurface_Scenario_Data!A61</x:f>
        <x:v>-30.5</x:v>
      </x:c>
      <x:c r="D552" s="34" t="n">
        <x:f>Subsurface_Scenario_Data!B61</x:f>
        <x:v>14599.553282966977</x:v>
      </x:c>
      <x:c r="E552" s="34" t="n">
        <x:f>Subsurface_Scenario_Data!A61</x:f>
        <x:v>-30.5</x:v>
      </x:c>
      <x:c r="F552" s="34" t="n">
        <x:f>Subsurface_Scenario_Data!D61</x:f>
        <x:v>16099.553282966977</x:v>
      </x:c>
    </x:row>
    <x:row r="553">
      <x:c r="A553" s="34" t="n">
        <x:f>Subsurface_Scenario_Data!A62</x:f>
        <x:v>-30</x:v>
      </x:c>
      <x:c r="B553" s="34" t="n">
        <x:f>Subsurface_Scenario_Data!C62</x:f>
        <x:v>13105.92076461545</x:v>
      </x:c>
      <x:c r="C553" s="34" t="n">
        <x:f>Subsurface_Scenario_Data!A62</x:f>
        <x:v>-30</x:v>
      </x:c>
      <x:c r="D553" s="34" t="n">
        <x:f>Subsurface_Scenario_Data!B62</x:f>
        <x:v>14605.92076461545</x:v>
      </x:c>
      <x:c r="E553" s="34" t="n">
        <x:f>Subsurface_Scenario_Data!A62</x:f>
        <x:v>-30</x:v>
      </x:c>
      <x:c r="F553" s="34" t="n">
        <x:f>Subsurface_Scenario_Data!D62</x:f>
        <x:v>16105.92076461545</x:v>
      </x:c>
    </x:row>
    <x:row r="554">
      <x:c r="A554" s="34" t="n">
        <x:f>Subsurface_Scenario_Data!A63</x:f>
        <x:v>-29.5</x:v>
      </x:c>
      <x:c r="B554" s="34" t="n">
        <x:f>Subsurface_Scenario_Data!C63</x:f>
        <x:v>13114.27394913712</x:v>
      </x:c>
      <x:c r="C554" s="34" t="n">
        <x:f>Subsurface_Scenario_Data!A63</x:f>
        <x:v>-29.5</x:v>
      </x:c>
      <x:c r="D554" s="34" t="n">
        <x:f>Subsurface_Scenario_Data!B63</x:f>
        <x:v>14614.27394913712</x:v>
      </x:c>
      <x:c r="E554" s="34" t="n">
        <x:f>Subsurface_Scenario_Data!A63</x:f>
        <x:v>-29.5</x:v>
      </x:c>
      <x:c r="F554" s="34" t="n">
        <x:f>Subsurface_Scenario_Data!D63</x:f>
        <x:v>16114.27394913712</x:v>
      </x:c>
    </x:row>
    <x:row r="555">
      <x:c r="A555" s="34" t="n">
        <x:f>Subsurface_Scenario_Data!A64</x:f>
        <x:v>-29</x:v>
      </x:c>
      <x:c r="B555" s="34" t="n">
        <x:f>Subsurface_Scenario_Data!C64</x:f>
        <x:v>13121.073466646072</x:v>
      </x:c>
      <x:c r="C555" s="34" t="n">
        <x:f>Subsurface_Scenario_Data!A64</x:f>
        <x:v>-29</x:v>
      </x:c>
      <x:c r="D555" s="34" t="n">
        <x:f>Subsurface_Scenario_Data!B64</x:f>
        <x:v>14621.073466646072</x:v>
      </x:c>
      <x:c r="E555" s="34" t="n">
        <x:f>Subsurface_Scenario_Data!A64</x:f>
        <x:v>-29</x:v>
      </x:c>
      <x:c r="F555" s="34" t="n">
        <x:f>Subsurface_Scenario_Data!D64</x:f>
        <x:v>16121.073466646072</x:v>
      </x:c>
    </x:row>
    <x:row r="556">
      <x:c r="A556" s="34" t="n">
        <x:f>Subsurface_Scenario_Data!A65</x:f>
        <x:v>-28.5</x:v>
      </x:c>
      <x:c r="B556" s="34" t="n">
        <x:f>Subsurface_Scenario_Data!C65</x:f>
        <x:v>13132.4426235159</x:v>
      </x:c>
      <x:c r="C556" s="34" t="n">
        <x:f>Subsurface_Scenario_Data!A65</x:f>
        <x:v>-28.5</x:v>
      </x:c>
      <x:c r="D556" s="34" t="n">
        <x:f>Subsurface_Scenario_Data!B65</x:f>
        <x:v>14632.4426235159</x:v>
      </x:c>
      <x:c r="E556" s="34" t="n">
        <x:f>Subsurface_Scenario_Data!A65</x:f>
        <x:v>-28.5</x:v>
      </x:c>
      <x:c r="F556" s="34" t="n">
        <x:f>Subsurface_Scenario_Data!D65</x:f>
        <x:v>16132.4426235159</x:v>
      </x:c>
    </x:row>
    <x:row r="557">
      <x:c r="A557" s="34" t="n">
        <x:f>Subsurface_Scenario_Data!A66</x:f>
        <x:v>-28</x:v>
      </x:c>
      <x:c r="B557" s="34" t="n">
        <x:f>Subsurface_Scenario_Data!C66</x:f>
        <x:v>13141.123866777607</x:v>
      </x:c>
      <x:c r="C557" s="34" t="n">
        <x:f>Subsurface_Scenario_Data!A66</x:f>
        <x:v>-28</x:v>
      </x:c>
      <x:c r="D557" s="34" t="n">
        <x:f>Subsurface_Scenario_Data!B66</x:f>
        <x:v>14641.123866777607</x:v>
      </x:c>
      <x:c r="E557" s="34" t="n">
        <x:f>Subsurface_Scenario_Data!A66</x:f>
        <x:v>-28</x:v>
      </x:c>
      <x:c r="F557" s="34" t="n">
        <x:f>Subsurface_Scenario_Data!D66</x:f>
        <x:v>16141.123866777607</x:v>
      </x:c>
    </x:row>
    <x:row r="558">
      <x:c r="A558" s="34" t="n">
        <x:f>Subsurface_Scenario_Data!A67</x:f>
        <x:v>-27.5</x:v>
      </x:c>
      <x:c r="B558" s="34" t="n">
        <x:f>Subsurface_Scenario_Data!C67</x:f>
        <x:v>13153.311244711229</x:v>
      </x:c>
      <x:c r="C558" s="34" t="n">
        <x:f>Subsurface_Scenario_Data!A67</x:f>
        <x:v>-27.5</x:v>
      </x:c>
      <x:c r="D558" s="34" t="n">
        <x:f>Subsurface_Scenario_Data!B67</x:f>
        <x:v>14653.311244711229</x:v>
      </x:c>
      <x:c r="E558" s="34" t="n">
        <x:f>Subsurface_Scenario_Data!A67</x:f>
        <x:v>-27.5</x:v>
      </x:c>
      <x:c r="F558" s="34" t="n">
        <x:f>Subsurface_Scenario_Data!D67</x:f>
        <x:v>16153.311244711229</x:v>
      </x:c>
    </x:row>
    <x:row r="559">
      <x:c r="A559" s="34" t="n">
        <x:f>Subsurface_Scenario_Data!A68</x:f>
        <x:v>-27</x:v>
      </x:c>
      <x:c r="B559" s="34" t="n">
        <x:f>Subsurface_Scenario_Data!C68</x:f>
        <x:v>13165.036556690677</x:v>
      </x:c>
      <x:c r="C559" s="34" t="n">
        <x:f>Subsurface_Scenario_Data!A68</x:f>
        <x:v>-27</x:v>
      </x:c>
      <x:c r="D559" s="34" t="n">
        <x:f>Subsurface_Scenario_Data!B68</x:f>
        <x:v>14665.036556690677</x:v>
      </x:c>
      <x:c r="E559" s="34" t="n">
        <x:f>Subsurface_Scenario_Data!A68</x:f>
        <x:v>-27</x:v>
      </x:c>
      <x:c r="F559" s="34" t="n">
        <x:f>Subsurface_Scenario_Data!D68</x:f>
        <x:v>16165.036556690677</x:v>
      </x:c>
    </x:row>
    <x:row r="560">
      <x:c r="A560" s="34" t="n">
        <x:f>Subsurface_Scenario_Data!A69</x:f>
        <x:v>-26.5</x:v>
      </x:c>
      <x:c r="B560" s="34" t="n">
        <x:f>Subsurface_Scenario_Data!C69</x:f>
        <x:v>13176.338809952047</x:v>
      </x:c>
      <x:c r="C560" s="34" t="n">
        <x:f>Subsurface_Scenario_Data!A69</x:f>
        <x:v>-26.5</x:v>
      </x:c>
      <x:c r="D560" s="34" t="n">
        <x:f>Subsurface_Scenario_Data!B69</x:f>
        <x:v>14676.338809952047</x:v>
      </x:c>
      <x:c r="E560" s="34" t="n">
        <x:f>Subsurface_Scenario_Data!A69</x:f>
        <x:v>-26.5</x:v>
      </x:c>
      <x:c r="F560" s="34" t="n">
        <x:f>Subsurface_Scenario_Data!D69</x:f>
        <x:v>16176.338809952047</x:v>
      </x:c>
    </x:row>
    <x:row r="561">
      <x:c r="A561" s="34" t="n">
        <x:f>Subsurface_Scenario_Data!A70</x:f>
        <x:v>-26</x:v>
      </x:c>
      <x:c r="B561" s="34" t="n">
        <x:f>Subsurface_Scenario_Data!C70</x:f>
        <x:v>13191.249740602572</x:v>
      </x:c>
      <x:c r="C561" s="34" t="n">
        <x:f>Subsurface_Scenario_Data!A70</x:f>
        <x:v>-26</x:v>
      </x:c>
      <x:c r="D561" s="34" t="n">
        <x:f>Subsurface_Scenario_Data!B70</x:f>
        <x:v>14691.249740602572</x:v>
      </x:c>
      <x:c r="E561" s="34" t="n">
        <x:f>Subsurface_Scenario_Data!A70</x:f>
        <x:v>-26</x:v>
      </x:c>
      <x:c r="F561" s="34" t="n">
        <x:f>Subsurface_Scenario_Data!D70</x:f>
        <x:v>16191.249740602572</x:v>
      </x:c>
    </x:row>
    <x:row r="562">
      <x:c r="A562" s="34" t="n">
        <x:f>Subsurface_Scenario_Data!A71</x:f>
        <x:v>-25.5</x:v>
      </x:c>
      <x:c r="B562" s="34" t="n">
        <x:f>Subsurface_Scenario_Data!C71</x:f>
        <x:v>13204.33755909024</x:v>
      </x:c>
      <x:c r="C562" s="34" t="n">
        <x:f>Subsurface_Scenario_Data!A71</x:f>
        <x:v>-25.5</x:v>
      </x:c>
      <x:c r="D562" s="34" t="n">
        <x:f>Subsurface_Scenario_Data!B71</x:f>
        <x:v>14704.33755909024</x:v>
      </x:c>
      <x:c r="E562" s="34" t="n">
        <x:f>Subsurface_Scenario_Data!A71</x:f>
        <x:v>-25.5</x:v>
      </x:c>
      <x:c r="F562" s="34" t="n">
        <x:f>Subsurface_Scenario_Data!D71</x:f>
        <x:v>16204.33755909024</x:v>
      </x:c>
    </x:row>
    <x:row r="563">
      <x:c r="A563" s="34" t="n">
        <x:f>Subsurface_Scenario_Data!A72</x:f>
        <x:v>-25</x:v>
      </x:c>
      <x:c r="B563" s="34" t="n">
        <x:f>Subsurface_Scenario_Data!C72</x:f>
        <x:v>13219.836152269878</x:v>
      </x:c>
      <x:c r="C563" s="34" t="n">
        <x:f>Subsurface_Scenario_Data!A72</x:f>
        <x:v>-25</x:v>
      </x:c>
      <x:c r="D563" s="34" t="n">
        <x:f>Subsurface_Scenario_Data!B72</x:f>
        <x:v>14719.836152269878</x:v>
      </x:c>
      <x:c r="E563" s="34" t="n">
        <x:f>Subsurface_Scenario_Data!A72</x:f>
        <x:v>-25</x:v>
      </x:c>
      <x:c r="F563" s="34" t="n">
        <x:f>Subsurface_Scenario_Data!D72</x:f>
        <x:v>16219.836152269878</x:v>
      </x:c>
    </x:row>
    <x:row r="564">
      <x:c r="A564" s="34" t="n">
        <x:f>Subsurface_Scenario_Data!A73</x:f>
        <x:v>-24.5</x:v>
      </x:c>
      <x:c r="B564" s="34" t="n">
        <x:f>Subsurface_Scenario_Data!C73</x:f>
        <x:v>13232.271053468106</x:v>
      </x:c>
      <x:c r="C564" s="34" t="n">
        <x:f>Subsurface_Scenario_Data!A73</x:f>
        <x:v>-24.5</x:v>
      </x:c>
      <x:c r="D564" s="34" t="n">
        <x:f>Subsurface_Scenario_Data!B73</x:f>
        <x:v>14732.271053468106</x:v>
      </x:c>
      <x:c r="E564" s="34" t="n">
        <x:f>Subsurface_Scenario_Data!A73</x:f>
        <x:v>-24.5</x:v>
      </x:c>
      <x:c r="F564" s="34" t="n">
        <x:f>Subsurface_Scenario_Data!D73</x:f>
        <x:v>16232.271053468106</x:v>
      </x:c>
    </x:row>
    <x:row r="565">
      <x:c r="A565" s="34" t="n">
        <x:f>Subsurface_Scenario_Data!A74</x:f>
        <x:v>-24</x:v>
      </x:c>
      <x:c r="B565" s="34" t="n">
        <x:f>Subsurface_Scenario_Data!C74</x:f>
        <x:v>13248.893722340972</x:v>
      </x:c>
      <x:c r="C565" s="34" t="n">
        <x:f>Subsurface_Scenario_Data!A74</x:f>
        <x:v>-24</x:v>
      </x:c>
      <x:c r="D565" s="34" t="n">
        <x:f>Subsurface_Scenario_Data!B74</x:f>
        <x:v>14748.893722340972</x:v>
      </x:c>
      <x:c r="E565" s="34" t="n">
        <x:f>Subsurface_Scenario_Data!A74</x:f>
        <x:v>-24</x:v>
      </x:c>
      <x:c r="F565" s="34" t="n">
        <x:f>Subsurface_Scenario_Data!D74</x:f>
        <x:v>16248.893722340972</x:v>
      </x:c>
    </x:row>
    <x:row r="566">
      <x:c r="A566" s="34" t="n">
        <x:f>Subsurface_Scenario_Data!A75</x:f>
        <x:v>-23.5</x:v>
      </x:c>
      <x:c r="B566" s="34" t="n">
        <x:f>Subsurface_Scenario_Data!C75</x:f>
        <x:v>13264.46311292151</x:v>
      </x:c>
      <x:c r="C566" s="34" t="n">
        <x:f>Subsurface_Scenario_Data!A75</x:f>
        <x:v>-23.5</x:v>
      </x:c>
      <x:c r="D566" s="34" t="n">
        <x:f>Subsurface_Scenario_Data!B75</x:f>
        <x:v>14764.46311292151</x:v>
      </x:c>
      <x:c r="E566" s="34" t="n">
        <x:f>Subsurface_Scenario_Data!A75</x:f>
        <x:v>-23.5</x:v>
      </x:c>
      <x:c r="F566" s="34" t="n">
        <x:f>Subsurface_Scenario_Data!D75</x:f>
        <x:v>16264.46311292151</x:v>
      </x:c>
    </x:row>
    <x:row r="567">
      <x:c r="A567" s="34" t="n">
        <x:f>Subsurface_Scenario_Data!A76</x:f>
        <x:v>-23</x:v>
      </x:c>
      <x:c r="B567" s="34" t="n">
        <x:f>Subsurface_Scenario_Data!C76</x:f>
        <x:v>13280.793521743944</x:v>
      </x:c>
      <x:c r="C567" s="34" t="n">
        <x:f>Subsurface_Scenario_Data!A76</x:f>
        <x:v>-23</x:v>
      </x:c>
      <x:c r="D567" s="34" t="n">
        <x:f>Subsurface_Scenario_Data!B76</x:f>
        <x:v>14780.793521743944</x:v>
      </x:c>
      <x:c r="E567" s="34" t="n">
        <x:f>Subsurface_Scenario_Data!A76</x:f>
        <x:v>-23</x:v>
      </x:c>
      <x:c r="F567" s="34" t="n">
        <x:f>Subsurface_Scenario_Data!D76</x:f>
        <x:v>16280.793521743944</x:v>
      </x:c>
    </x:row>
    <x:row r="568">
      <x:c r="A568" s="34" t="n">
        <x:f>Subsurface_Scenario_Data!A77</x:f>
        <x:v>-22.5</x:v>
      </x:c>
      <x:c r="B568" s="34" t="n">
        <x:f>Subsurface_Scenario_Data!C77</x:f>
        <x:v>13297.700652613988</x:v>
      </x:c>
      <x:c r="C568" s="34" t="n">
        <x:f>Subsurface_Scenario_Data!A77</x:f>
        <x:v>-22.5</x:v>
      </x:c>
      <x:c r="D568" s="34" t="n">
        <x:f>Subsurface_Scenario_Data!B77</x:f>
        <x:v>14797.700652613988</x:v>
      </x:c>
      <x:c r="E568" s="34" t="n">
        <x:f>Subsurface_Scenario_Data!A77</x:f>
        <x:v>-22.5</x:v>
      </x:c>
      <x:c r="F568" s="34" t="n">
        <x:f>Subsurface_Scenario_Data!D77</x:f>
        <x:v>16297.700652613988</x:v>
      </x:c>
    </x:row>
    <x:row r="569">
      <x:c r="A569" s="34" t="n">
        <x:f>Subsurface_Scenario_Data!A78</x:f>
        <x:v>-22</x:v>
      </x:c>
      <x:c r="B569" s="34" t="n">
        <x:f>Subsurface_Scenario_Data!C78</x:f>
        <x:v>13312.199905041163</x:v>
      </x:c>
      <x:c r="C569" s="34" t="n">
        <x:f>Subsurface_Scenario_Data!A78</x:f>
        <x:v>-22</x:v>
      </x:c>
      <x:c r="D569" s="34" t="n">
        <x:f>Subsurface_Scenario_Data!B78</x:f>
        <x:v>14812.199905041163</x:v>
      </x:c>
      <x:c r="E569" s="34" t="n">
        <x:f>Subsurface_Scenario_Data!A78</x:f>
        <x:v>-22</x:v>
      </x:c>
      <x:c r="F569" s="34" t="n">
        <x:f>Subsurface_Scenario_Data!D78</x:f>
        <x:v>16312.199905041163</x:v>
      </x:c>
    </x:row>
    <x:row r="570">
      <x:c r="A570" s="34" t="n">
        <x:f>Subsurface_Scenario_Data!A79</x:f>
        <x:v>-21.5</x:v>
      </x:c>
      <x:c r="B570" s="34" t="n">
        <x:f>Subsurface_Scenario_Data!C79</x:f>
        <x:v>13329.43520052092</x:v>
      </x:c>
      <x:c r="C570" s="34" t="n">
        <x:f>Subsurface_Scenario_Data!A79</x:f>
        <x:v>-21.5</x:v>
      </x:c>
      <x:c r="D570" s="34" t="n">
        <x:f>Subsurface_Scenario_Data!B79</x:f>
        <x:v>14829.43520052092</x:v>
      </x:c>
      <x:c r="E570" s="34" t="n">
        <x:f>Subsurface_Scenario_Data!A79</x:f>
        <x:v>-21.5</x:v>
      </x:c>
      <x:c r="F570" s="34" t="n">
        <x:f>Subsurface_Scenario_Data!D79</x:f>
        <x:v>16329.43520052092</x:v>
      </x:c>
    </x:row>
    <x:row r="571">
      <x:c r="A571" s="34" t="n">
        <x:f>Subsurface_Scenario_Data!A80</x:f>
        <x:v>-21</x:v>
      </x:c>
      <x:c r="B571" s="34" t="n">
        <x:f>Subsurface_Scenario_Data!C80</x:f>
        <x:v>13351.674432510064</x:v>
      </x:c>
      <x:c r="C571" s="34" t="n">
        <x:f>Subsurface_Scenario_Data!A80</x:f>
        <x:v>-21</x:v>
      </x:c>
      <x:c r="D571" s="34" t="n">
        <x:f>Subsurface_Scenario_Data!B80</x:f>
        <x:v>14851.674432510064</x:v>
      </x:c>
      <x:c r="E571" s="34" t="n">
        <x:f>Subsurface_Scenario_Data!A80</x:f>
        <x:v>-21</x:v>
      </x:c>
      <x:c r="F571" s="34" t="n">
        <x:f>Subsurface_Scenario_Data!D80</x:f>
        <x:v>16351.674432510064</x:v>
      </x:c>
    </x:row>
    <x:row r="572">
      <x:c r="A572" s="34" t="n">
        <x:f>Subsurface_Scenario_Data!A81</x:f>
        <x:v>-20.5</x:v>
      </x:c>
      <x:c r="B572" s="34" t="n">
        <x:f>Subsurface_Scenario_Data!C81</x:f>
        <x:v>13369.049486702861</x:v>
      </x:c>
      <x:c r="C572" s="34" t="n">
        <x:f>Subsurface_Scenario_Data!A81</x:f>
        <x:v>-20.5</x:v>
      </x:c>
      <x:c r="D572" s="34" t="n">
        <x:f>Subsurface_Scenario_Data!B81</x:f>
        <x:v>14869.049486702861</x:v>
      </x:c>
      <x:c r="E572" s="34" t="n">
        <x:f>Subsurface_Scenario_Data!A81</x:f>
        <x:v>-20.5</x:v>
      </x:c>
      <x:c r="F572" s="34" t="n">
        <x:f>Subsurface_Scenario_Data!D81</x:f>
        <x:v>16369.049486702861</x:v>
      </x:c>
    </x:row>
    <x:row r="573">
      <x:c r="A573" s="34" t="n">
        <x:f>Subsurface_Scenario_Data!A82</x:f>
        <x:v>-20</x:v>
      </x:c>
      <x:c r="B573" s="34" t="n">
        <x:f>Subsurface_Scenario_Data!C82</x:f>
        <x:v>13391.436062206292</x:v>
      </x:c>
      <x:c r="C573" s="34" t="n">
        <x:f>Subsurface_Scenario_Data!A82</x:f>
        <x:v>-20</x:v>
      </x:c>
      <x:c r="D573" s="34" t="n">
        <x:f>Subsurface_Scenario_Data!B82</x:f>
        <x:v>14891.436062206292</x:v>
      </x:c>
      <x:c r="E573" s="34" t="n">
        <x:f>Subsurface_Scenario_Data!A82</x:f>
        <x:v>-20</x:v>
      </x:c>
      <x:c r="F573" s="34" t="n">
        <x:f>Subsurface_Scenario_Data!D82</x:f>
        <x:v>16391.436062206292</x:v>
      </x:c>
    </x:row>
    <x:row r="574">
      <x:c r="A574" s="34" t="n">
        <x:f>Subsurface_Scenario_Data!A83</x:f>
        <x:v>-19.5</x:v>
      </x:c>
      <x:c r="B574" s="34" t="n">
        <x:f>Subsurface_Scenario_Data!C83</x:f>
        <x:v>13410.194563445193</x:v>
      </x:c>
      <x:c r="C574" s="34" t="n">
        <x:f>Subsurface_Scenario_Data!A83</x:f>
        <x:v>-19.5</x:v>
      </x:c>
      <x:c r="D574" s="34" t="n">
        <x:f>Subsurface_Scenario_Data!B83</x:f>
        <x:v>14910.194563445193</x:v>
      </x:c>
      <x:c r="E574" s="34" t="n">
        <x:f>Subsurface_Scenario_Data!A83</x:f>
        <x:v>-19.5</x:v>
      </x:c>
      <x:c r="F574" s="34" t="n">
        <x:f>Subsurface_Scenario_Data!D83</x:f>
        <x:v>16410.19456344519</x:v>
      </x:c>
    </x:row>
    <x:row r="575">
      <x:c r="A575" s="34" t="n">
        <x:f>Subsurface_Scenario_Data!A84</x:f>
        <x:v>-19</x:v>
      </x:c>
      <x:c r="B575" s="34" t="n">
        <x:f>Subsurface_Scenario_Data!C84</x:f>
        <x:v>13432.184635308318</x:v>
      </x:c>
      <x:c r="C575" s="34" t="n">
        <x:f>Subsurface_Scenario_Data!A84</x:f>
        <x:v>-19</x:v>
      </x:c>
      <x:c r="D575" s="34" t="n">
        <x:f>Subsurface_Scenario_Data!B84</x:f>
        <x:v>14932.184635308318</x:v>
      </x:c>
      <x:c r="E575" s="34" t="n">
        <x:f>Subsurface_Scenario_Data!A84</x:f>
        <x:v>-19</x:v>
      </x:c>
      <x:c r="F575" s="34" t="n">
        <x:f>Subsurface_Scenario_Data!D84</x:f>
        <x:v>16432.184635308317</x:v>
      </x:c>
    </x:row>
    <x:row r="576">
      <x:c r="A576" s="34" t="n">
        <x:f>Subsurface_Scenario_Data!A85</x:f>
        <x:v>-18.5</x:v>
      </x:c>
      <x:c r="B576" s="34" t="n">
        <x:f>Subsurface_Scenario_Data!C85</x:f>
        <x:v>13456.623219107312</x:v>
      </x:c>
      <x:c r="C576" s="34" t="n">
        <x:f>Subsurface_Scenario_Data!A85</x:f>
        <x:v>-18.5</x:v>
      </x:c>
      <x:c r="D576" s="34" t="n">
        <x:f>Subsurface_Scenario_Data!B85</x:f>
        <x:v>14956.623219107312</x:v>
      </x:c>
      <x:c r="E576" s="34" t="n">
        <x:f>Subsurface_Scenario_Data!A85</x:f>
        <x:v>-18.5</x:v>
      </x:c>
      <x:c r="F576" s="34" t="n">
        <x:f>Subsurface_Scenario_Data!D85</x:f>
        <x:v>16456.623219107314</x:v>
      </x:c>
    </x:row>
    <x:row r="577">
      <x:c r="A577" s="34" t="n">
        <x:f>Subsurface_Scenario_Data!A86</x:f>
        <x:v>-18</x:v>
      </x:c>
      <x:c r="B577" s="34" t="n">
        <x:f>Subsurface_Scenario_Data!C86</x:f>
        <x:v>13477.225154246555</x:v>
      </x:c>
      <x:c r="C577" s="34" t="n">
        <x:f>Subsurface_Scenario_Data!A86</x:f>
        <x:v>-18</x:v>
      </x:c>
      <x:c r="D577" s="34" t="n">
        <x:f>Subsurface_Scenario_Data!B86</x:f>
        <x:v>14977.225154246555</x:v>
      </x:c>
      <x:c r="E577" s="34" t="n">
        <x:f>Subsurface_Scenario_Data!A86</x:f>
        <x:v>-18</x:v>
      </x:c>
      <x:c r="F577" s="34" t="n">
        <x:f>Subsurface_Scenario_Data!D86</x:f>
        <x:v>16477.225154246553</x:v>
      </x:c>
    </x:row>
    <x:row r="578">
      <x:c r="A578" s="34" t="n">
        <x:f>Subsurface_Scenario_Data!A87</x:f>
        <x:v>-17.5</x:v>
      </x:c>
      <x:c r="B578" s="34" t="n">
        <x:f>Subsurface_Scenario_Data!C87</x:f>
        <x:v>13501.397890806353</x:v>
      </x:c>
      <x:c r="C578" s="34" t="n">
        <x:f>Subsurface_Scenario_Data!A87</x:f>
        <x:v>-17.5</x:v>
      </x:c>
      <x:c r="D578" s="34" t="n">
        <x:f>Subsurface_Scenario_Data!B87</x:f>
        <x:v>15001.397890806353</x:v>
      </x:c>
      <x:c r="E578" s="34" t="n">
        <x:f>Subsurface_Scenario_Data!A87</x:f>
        <x:v>-17.5</x:v>
      </x:c>
      <x:c r="F578" s="34" t="n">
        <x:f>Subsurface_Scenario_Data!D87</x:f>
        <x:v>16501.39789080635</x:v>
      </x:c>
    </x:row>
    <x:row r="579">
      <x:c r="A579" s="34" t="n">
        <x:f>Subsurface_Scenario_Data!A88</x:f>
        <x:v>-17</x:v>
      </x:c>
      <x:c r="B579" s="34" t="n">
        <x:f>Subsurface_Scenario_Data!C88</x:f>
        <x:v>13529.035468184995</x:v>
      </x:c>
      <x:c r="C579" s="34" t="n">
        <x:f>Subsurface_Scenario_Data!A88</x:f>
        <x:v>-17</x:v>
      </x:c>
      <x:c r="D579" s="34" t="n">
        <x:f>Subsurface_Scenario_Data!B88</x:f>
        <x:v>15029.035468184995</x:v>
      </x:c>
      <x:c r="E579" s="34" t="n">
        <x:f>Subsurface_Scenario_Data!A88</x:f>
        <x:v>-17</x:v>
      </x:c>
      <x:c r="F579" s="34" t="n">
        <x:f>Subsurface_Scenario_Data!D88</x:f>
        <x:v>16529.035468184993</x:v>
      </x:c>
    </x:row>
    <x:row r="580">
      <x:c r="A580" s="34" t="n">
        <x:f>Subsurface_Scenario_Data!A89</x:f>
        <x:v>-16.5</x:v>
      </x:c>
      <x:c r="B580" s="34" t="n">
        <x:f>Subsurface_Scenario_Data!C89</x:f>
        <x:v>13554.19542273615</x:v>
      </x:c>
      <x:c r="C580" s="34" t="n">
        <x:f>Subsurface_Scenario_Data!A89</x:f>
        <x:v>-16.5</x:v>
      </x:c>
      <x:c r="D580" s="34" t="n">
        <x:f>Subsurface_Scenario_Data!B89</x:f>
        <x:v>15054.19542273615</x:v>
      </x:c>
      <x:c r="E580" s="34" t="n">
        <x:f>Subsurface_Scenario_Data!A89</x:f>
        <x:v>-16.5</x:v>
      </x:c>
      <x:c r="F580" s="34" t="n">
        <x:f>Subsurface_Scenario_Data!D89</x:f>
        <x:v>16554.19542273615</x:v>
      </x:c>
    </x:row>
    <x:row r="581">
      <x:c r="A581" s="34" t="n">
        <x:f>Subsurface_Scenario_Data!A90</x:f>
        <x:v>-16</x:v>
      </x:c>
      <x:c r="B581" s="34" t="n">
        <x:f>Subsurface_Scenario_Data!C90</x:f>
        <x:v>13576.99559977411</x:v>
      </x:c>
      <x:c r="C581" s="34" t="n">
        <x:f>Subsurface_Scenario_Data!A90</x:f>
        <x:v>-16</x:v>
      </x:c>
      <x:c r="D581" s="34" t="n">
        <x:f>Subsurface_Scenario_Data!B90</x:f>
        <x:v>15076.99559977411</x:v>
      </x:c>
      <x:c r="E581" s="34" t="n">
        <x:f>Subsurface_Scenario_Data!A90</x:f>
        <x:v>-16</x:v>
      </x:c>
      <x:c r="F581" s="34" t="n">
        <x:f>Subsurface_Scenario_Data!D90</x:f>
        <x:v>16576.995599774113</x:v>
      </x:c>
    </x:row>
    <x:row r="582">
      <x:c r="A582" s="34" t="n">
        <x:f>Subsurface_Scenario_Data!A91</x:f>
        <x:v>-15.5</x:v>
      </x:c>
      <x:c r="B582" s="34" t="n">
        <x:f>Subsurface_Scenario_Data!C91</x:f>
        <x:v>13605.051448537502</x:v>
      </x:c>
      <x:c r="C582" s="34" t="n">
        <x:f>Subsurface_Scenario_Data!A91</x:f>
        <x:v>-15.5</x:v>
      </x:c>
      <x:c r="D582" s="34" t="n">
        <x:f>Subsurface_Scenario_Data!B91</x:f>
        <x:v>15105.051448537502</x:v>
      </x:c>
      <x:c r="E582" s="34" t="n">
        <x:f>Subsurface_Scenario_Data!A91</x:f>
        <x:v>-15.5</x:v>
      </x:c>
      <x:c r="F582" s="34" t="n">
        <x:f>Subsurface_Scenario_Data!D91</x:f>
        <x:v>16605.051448537502</x:v>
      </x:c>
    </x:row>
    <x:row r="583">
      <x:c r="A583" s="34" t="n">
        <x:f>Subsurface_Scenario_Data!A92</x:f>
        <x:v>-15</x:v>
      </x:c>
      <x:c r="B583" s="34" t="n">
        <x:f>Subsurface_Scenario_Data!C92</x:f>
        <x:v>13630.78865834882</x:v>
      </x:c>
      <x:c r="C583" s="34" t="n">
        <x:f>Subsurface_Scenario_Data!A92</x:f>
        <x:v>-15</x:v>
      </x:c>
      <x:c r="D583" s="34" t="n">
        <x:f>Subsurface_Scenario_Data!B92</x:f>
        <x:v>15130.78865834882</x:v>
      </x:c>
      <x:c r="E583" s="34" t="n">
        <x:f>Subsurface_Scenario_Data!A92</x:f>
        <x:v>-15</x:v>
      </x:c>
      <x:c r="F583" s="34" t="n">
        <x:f>Subsurface_Scenario_Data!D92</x:f>
        <x:v>16630.78865834882</x:v>
      </x:c>
    </x:row>
    <x:row r="584">
      <x:c r="A584" s="34" t="n">
        <x:f>Subsurface_Scenario_Data!A93</x:f>
        <x:v>-14.5</x:v>
      </x:c>
      <x:c r="B584" s="34" t="n">
        <x:f>Subsurface_Scenario_Data!C93</x:f>
        <x:v>13657.295315059795</x:v>
      </x:c>
      <x:c r="C584" s="34" t="n">
        <x:f>Subsurface_Scenario_Data!A93</x:f>
        <x:v>-14.5</x:v>
      </x:c>
      <x:c r="D584" s="34" t="n">
        <x:f>Subsurface_Scenario_Data!B93</x:f>
        <x:v>15157.295315059795</x:v>
      </x:c>
      <x:c r="E584" s="34" t="n">
        <x:f>Subsurface_Scenario_Data!A93</x:f>
        <x:v>-14.5</x:v>
      </x:c>
      <x:c r="F584" s="34" t="n">
        <x:f>Subsurface_Scenario_Data!D93</x:f>
        <x:v>16657.295315059797</x:v>
      </x:c>
    </x:row>
    <x:row r="585">
      <x:c r="A585" s="34" t="n">
        <x:f>Subsurface_Scenario_Data!A94</x:f>
        <x:v>-14</x:v>
      </x:c>
      <x:c r="B585" s="34" t="n">
        <x:f>Subsurface_Scenario_Data!C94</x:f>
        <x:v>13685.969392963387</x:v>
      </x:c>
      <x:c r="C585" s="34" t="n">
        <x:f>Subsurface_Scenario_Data!A94</x:f>
        <x:v>-14</x:v>
      </x:c>
      <x:c r="D585" s="34" t="n">
        <x:f>Subsurface_Scenario_Data!B94</x:f>
        <x:v>15185.969392963387</x:v>
      </x:c>
      <x:c r="E585" s="34" t="n">
        <x:f>Subsurface_Scenario_Data!A94</x:f>
        <x:v>-14</x:v>
      </x:c>
      <x:c r="F585" s="34" t="n">
        <x:f>Subsurface_Scenario_Data!D94</x:f>
        <x:v>16685.969392963387</x:v>
      </x:c>
    </x:row>
    <x:row r="586">
      <x:c r="A586" s="34" t="n">
        <x:f>Subsurface_Scenario_Data!A95</x:f>
        <x:v>-13.5</x:v>
      </x:c>
      <x:c r="B586" s="34" t="n">
        <x:f>Subsurface_Scenario_Data!C95</x:f>
        <x:v>13714.640299238325</x:v>
      </x:c>
      <x:c r="C586" s="34" t="n">
        <x:f>Subsurface_Scenario_Data!A95</x:f>
        <x:v>-13.5</x:v>
      </x:c>
      <x:c r="D586" s="34" t="n">
        <x:f>Subsurface_Scenario_Data!B95</x:f>
        <x:v>15214.640299238325</x:v>
      </x:c>
      <x:c r="E586" s="34" t="n">
        <x:f>Subsurface_Scenario_Data!A95</x:f>
        <x:v>-13.5</x:v>
      </x:c>
      <x:c r="F586" s="34" t="n">
        <x:f>Subsurface_Scenario_Data!D95</x:f>
        <x:v>16714.640299238323</x:v>
      </x:c>
    </x:row>
    <x:row r="587">
      <x:c r="A587" s="34" t="n">
        <x:f>Subsurface_Scenario_Data!A96</x:f>
        <x:v>-13</x:v>
      </x:c>
      <x:c r="B587" s="34" t="n">
        <x:f>Subsurface_Scenario_Data!C96</x:f>
        <x:v>13741.286697126148</x:v>
      </x:c>
      <x:c r="C587" s="34" t="n">
        <x:f>Subsurface_Scenario_Data!A96</x:f>
        <x:v>-13</x:v>
      </x:c>
      <x:c r="D587" s="34" t="n">
        <x:f>Subsurface_Scenario_Data!B96</x:f>
        <x:v>15241.286697126148</x:v>
      </x:c>
      <x:c r="E587" s="34" t="n">
        <x:f>Subsurface_Scenario_Data!A96</x:f>
        <x:v>-13</x:v>
      </x:c>
      <x:c r="F587" s="34" t="n">
        <x:f>Subsurface_Scenario_Data!D96</x:f>
        <x:v>16741.286697126146</x:v>
      </x:c>
    </x:row>
    <x:row r="588">
      <x:c r="A588" s="34" t="n">
        <x:f>Subsurface_Scenario_Data!A97</x:f>
        <x:v>-12.5</x:v>
      </x:c>
      <x:c r="B588" s="34" t="n">
        <x:f>Subsurface_Scenario_Data!C97</x:f>
        <x:v>13767.885369240817</x:v>
      </x:c>
      <x:c r="C588" s="34" t="n">
        <x:f>Subsurface_Scenario_Data!A97</x:f>
        <x:v>-12.5</x:v>
      </x:c>
      <x:c r="D588" s="34" t="n">
        <x:f>Subsurface_Scenario_Data!B97</x:f>
        <x:v>15267.885369240817</x:v>
      </x:c>
      <x:c r="E588" s="34" t="n">
        <x:f>Subsurface_Scenario_Data!A97</x:f>
        <x:v>-12.5</x:v>
      </x:c>
      <x:c r="F588" s="34" t="n">
        <x:f>Subsurface_Scenario_Data!D97</x:f>
        <x:v>16767.885369240816</x:v>
      </x:c>
    </x:row>
    <x:row r="589">
      <x:c r="A589" s="34" t="n">
        <x:f>Subsurface_Scenario_Data!A98</x:f>
        <x:v>-12</x:v>
      </x:c>
      <x:c r="B589" s="34" t="n">
        <x:f>Subsurface_Scenario_Data!C98</x:f>
        <x:v>13798.413678377061</x:v>
      </x:c>
      <x:c r="C589" s="34" t="n">
        <x:f>Subsurface_Scenario_Data!A98</x:f>
        <x:v>-12</x:v>
      </x:c>
      <x:c r="D589" s="34" t="n">
        <x:f>Subsurface_Scenario_Data!B98</x:f>
        <x:v>15298.413678377061</x:v>
      </x:c>
      <x:c r="E589" s="34" t="n">
        <x:f>Subsurface_Scenario_Data!A98</x:f>
        <x:v>-12</x:v>
      </x:c>
      <x:c r="F589" s="34" t="n">
        <x:f>Subsurface_Scenario_Data!D98</x:f>
        <x:v>16798.41367837706</x:v>
      </x:c>
    </x:row>
    <x:row r="590">
      <x:c r="A590" s="34" t="n">
        <x:f>Subsurface_Scenario_Data!A99</x:f>
        <x:v>-11.5</x:v>
      </x:c>
      <x:c r="B590" s="34" t="n">
        <x:f>Subsurface_Scenario_Data!C99</x:f>
        <x:v>13824.614103451211</x:v>
      </x:c>
      <x:c r="C590" s="34" t="n">
        <x:f>Subsurface_Scenario_Data!A99</x:f>
        <x:v>-11.5</x:v>
      </x:c>
      <x:c r="D590" s="34" t="n">
        <x:f>Subsurface_Scenario_Data!B99</x:f>
        <x:v>15324.614103451211</x:v>
      </x:c>
      <x:c r="E590" s="34" t="n">
        <x:f>Subsurface_Scenario_Data!A99</x:f>
        <x:v>-11.5</x:v>
      </x:c>
      <x:c r="F590" s="34" t="n">
        <x:f>Subsurface_Scenario_Data!D99</x:f>
        <x:v>16824.61410345121</x:v>
      </x:c>
    </x:row>
    <x:row r="591">
      <x:c r="A591" s="34" t="n">
        <x:f>Subsurface_Scenario_Data!A100</x:f>
        <x:v>-11</x:v>
      </x:c>
      <x:c r="B591" s="34" t="n">
        <x:f>Subsurface_Scenario_Data!C100</x:f>
        <x:v>13853.311864414836</x:v>
      </x:c>
      <x:c r="C591" s="34" t="n">
        <x:f>Subsurface_Scenario_Data!A100</x:f>
        <x:v>-11</x:v>
      </x:c>
      <x:c r="D591" s="34" t="n">
        <x:f>Subsurface_Scenario_Data!B100</x:f>
        <x:v>15353.311864414836</x:v>
      </x:c>
      <x:c r="E591" s="34" t="n">
        <x:f>Subsurface_Scenario_Data!A100</x:f>
        <x:v>-11</x:v>
      </x:c>
      <x:c r="F591" s="34" t="n">
        <x:f>Subsurface_Scenario_Data!D100</x:f>
        <x:v>16853.311864414834</x:v>
      </x:c>
    </x:row>
    <x:row r="592">
      <x:c r="A592" s="34" t="n">
        <x:f>Subsurface_Scenario_Data!A101</x:f>
        <x:v>-10.5</x:v>
      </x:c>
      <x:c r="B592" s="34" t="n">
        <x:f>Subsurface_Scenario_Data!C101</x:f>
        <x:v>13881.489084576646</x:v>
      </x:c>
      <x:c r="C592" s="34" t="n">
        <x:f>Subsurface_Scenario_Data!A101</x:f>
        <x:v>-10.5</x:v>
      </x:c>
      <x:c r="D592" s="34" t="n">
        <x:f>Subsurface_Scenario_Data!B101</x:f>
        <x:v>15381.489084576646</x:v>
      </x:c>
      <x:c r="E592" s="34" t="n">
        <x:f>Subsurface_Scenario_Data!A101</x:f>
        <x:v>-10.5</x:v>
      </x:c>
      <x:c r="F592" s="34" t="n">
        <x:f>Subsurface_Scenario_Data!D101</x:f>
        <x:v>16881.489084576646</x:v>
      </x:c>
    </x:row>
    <x:row r="593">
      <x:c r="A593" s="34" t="n">
        <x:f>Subsurface_Scenario_Data!A102</x:f>
        <x:v>-10</x:v>
      </x:c>
      <x:c r="B593" s="34" t="n">
        <x:f>Subsurface_Scenario_Data!C102</x:f>
        <x:v>13910.508745213148</x:v>
      </x:c>
      <x:c r="C593" s="34" t="n">
        <x:f>Subsurface_Scenario_Data!A102</x:f>
        <x:v>-10</x:v>
      </x:c>
      <x:c r="D593" s="34" t="n">
        <x:f>Subsurface_Scenario_Data!B102</x:f>
        <x:v>15410.508745213148</x:v>
      </x:c>
      <x:c r="E593" s="34" t="n">
        <x:f>Subsurface_Scenario_Data!A102</x:f>
        <x:v>-10</x:v>
      </x:c>
      <x:c r="F593" s="34" t="n">
        <x:f>Subsurface_Scenario_Data!D102</x:f>
        <x:v>16910.50874521315</x:v>
      </x:c>
    </x:row>
    <x:row r="594">
      <x:c r="A594" s="34" t="n">
        <x:f>Subsurface_Scenario_Data!A103</x:f>
        <x:v>-9.5</x:v>
      </x:c>
      <x:c r="B594" s="34" t="n">
        <x:f>Subsurface_Scenario_Data!C103</x:f>
        <x:v>13939.79021897657</x:v>
      </x:c>
      <x:c r="C594" s="34" t="n">
        <x:f>Subsurface_Scenario_Data!A103</x:f>
        <x:v>-9.5</x:v>
      </x:c>
      <x:c r="D594" s="34" t="n">
        <x:f>Subsurface_Scenario_Data!B103</x:f>
        <x:v>15439.79021897657</x:v>
      </x:c>
      <x:c r="E594" s="34" t="n">
        <x:f>Subsurface_Scenario_Data!A103</x:f>
        <x:v>-9.5</x:v>
      </x:c>
      <x:c r="F594" s="34" t="n">
        <x:f>Subsurface_Scenario_Data!D103</x:f>
        <x:v>16939.79021897657</x:v>
      </x:c>
    </x:row>
    <x:row r="595">
      <x:c r="A595" s="34" t="n">
        <x:f>Subsurface_Scenario_Data!A104</x:f>
        <x:v>-9</x:v>
      </x:c>
      <x:c r="B595" s="34" t="n">
        <x:f>Subsurface_Scenario_Data!C104</x:f>
        <x:v>13967.420577548042</x:v>
      </x:c>
      <x:c r="C595" s="34" t="n">
        <x:f>Subsurface_Scenario_Data!A104</x:f>
        <x:v>-9</x:v>
      </x:c>
      <x:c r="D595" s="34" t="n">
        <x:f>Subsurface_Scenario_Data!B104</x:f>
        <x:v>15467.420577548042</x:v>
      </x:c>
      <x:c r="E595" s="34" t="n">
        <x:f>Subsurface_Scenario_Data!A104</x:f>
        <x:v>-9</x:v>
      </x:c>
      <x:c r="F595" s="34" t="n">
        <x:f>Subsurface_Scenario_Data!D104</x:f>
        <x:v>16967.420577548044</x:v>
      </x:c>
    </x:row>
    <x:row r="596">
      <x:c r="A596" s="34" t="n">
        <x:f>Subsurface_Scenario_Data!A105</x:f>
        <x:v>-8.5</x:v>
      </x:c>
      <x:c r="B596" s="34" t="n">
        <x:f>Subsurface_Scenario_Data!C105</x:f>
        <x:v>13999.09132522038</x:v>
      </x:c>
      <x:c r="C596" s="34" t="n">
        <x:f>Subsurface_Scenario_Data!A105</x:f>
        <x:v>-8.5</x:v>
      </x:c>
      <x:c r="D596" s="34" t="n">
        <x:f>Subsurface_Scenario_Data!B105</x:f>
        <x:v>15499.09132522038</x:v>
      </x:c>
      <x:c r="E596" s="34" t="n">
        <x:f>Subsurface_Scenario_Data!A105</x:f>
        <x:v>-8.5</x:v>
      </x:c>
      <x:c r="F596" s="34" t="n">
        <x:f>Subsurface_Scenario_Data!D105</x:f>
        <x:v>16999.091325220383</x:v>
      </x:c>
    </x:row>
    <x:row r="597">
      <x:c r="A597" s="34" t="n">
        <x:f>Subsurface_Scenario_Data!A106</x:f>
        <x:v>-8</x:v>
      </x:c>
      <x:c r="B597" s="34" t="n">
        <x:f>Subsurface_Scenario_Data!C106</x:f>
        <x:v>14025.64240190194</x:v>
      </x:c>
      <x:c r="C597" s="34" t="n">
        <x:f>Subsurface_Scenario_Data!A106</x:f>
        <x:v>-8</x:v>
      </x:c>
      <x:c r="D597" s="34" t="n">
        <x:f>Subsurface_Scenario_Data!B106</x:f>
        <x:v>15525.64240190194</x:v>
      </x:c>
      <x:c r="E597" s="34" t="n">
        <x:f>Subsurface_Scenario_Data!A106</x:f>
        <x:v>-8</x:v>
      </x:c>
      <x:c r="F597" s="34" t="n">
        <x:f>Subsurface_Scenario_Data!D106</x:f>
        <x:v>17025.64240190194</x:v>
      </x:c>
    </x:row>
    <x:row r="598">
      <x:c r="A598" s="34" t="n">
        <x:f>Subsurface_Scenario_Data!A107</x:f>
        <x:v>-7.5</x:v>
      </x:c>
      <x:c r="B598" s="34" t="n">
        <x:f>Subsurface_Scenario_Data!C107</x:f>
        <x:v>14054.79313941637</x:v>
      </x:c>
      <x:c r="C598" s="34" t="n">
        <x:f>Subsurface_Scenario_Data!A107</x:f>
        <x:v>-7.5</x:v>
      </x:c>
      <x:c r="D598" s="34" t="n">
        <x:f>Subsurface_Scenario_Data!B107</x:f>
        <x:v>15554.79313941637</x:v>
      </x:c>
      <x:c r="E598" s="34" t="n">
        <x:f>Subsurface_Scenario_Data!A107</x:f>
        <x:v>-7.5</x:v>
      </x:c>
      <x:c r="F598" s="34" t="n">
        <x:f>Subsurface_Scenario_Data!D107</x:f>
        <x:v>17054.793139416368</x:v>
      </x:c>
    </x:row>
    <x:row r="599">
      <x:c r="A599" s="34" t="n">
        <x:f>Subsurface_Scenario_Data!A108</x:f>
        <x:v>-7</x:v>
      </x:c>
      <x:c r="B599" s="34" t="n">
        <x:f>Subsurface_Scenario_Data!C108</x:f>
        <x:v>14086.69843418237</x:v>
      </x:c>
      <x:c r="C599" s="34" t="n">
        <x:f>Subsurface_Scenario_Data!A108</x:f>
        <x:v>-7</x:v>
      </x:c>
      <x:c r="D599" s="34" t="n">
        <x:f>Subsurface_Scenario_Data!B108</x:f>
        <x:v>15586.69843418237</x:v>
      </x:c>
      <x:c r="E599" s="34" t="n">
        <x:f>Subsurface_Scenario_Data!A108</x:f>
        <x:v>-7</x:v>
      </x:c>
      <x:c r="F599" s="34" t="n">
        <x:f>Subsurface_Scenario_Data!D108</x:f>
        <x:v>17086.69843418237</x:v>
      </x:c>
    </x:row>
    <x:row r="600">
      <x:c r="A600" s="34" t="n">
        <x:f>Subsurface_Scenario_Data!A109</x:f>
        <x:v>-6.5</x:v>
      </x:c>
      <x:c r="B600" s="34" t="n">
        <x:f>Subsurface_Scenario_Data!C109</x:f>
        <x:v>14112.620101689698</x:v>
      </x:c>
      <x:c r="C600" s="34" t="n">
        <x:f>Subsurface_Scenario_Data!A109</x:f>
        <x:v>-6.5</x:v>
      </x:c>
      <x:c r="D600" s="34" t="n">
        <x:f>Subsurface_Scenario_Data!B109</x:f>
        <x:v>15612.620101689698</x:v>
      </x:c>
      <x:c r="E600" s="34" t="n">
        <x:f>Subsurface_Scenario_Data!A109</x:f>
        <x:v>-6.5</x:v>
      </x:c>
      <x:c r="F600" s="34" t="n">
        <x:f>Subsurface_Scenario_Data!D109</x:f>
        <x:v>17112.620101689696</x:v>
      </x:c>
    </x:row>
    <x:row r="601">
      <x:c r="A601" s="34" t="n">
        <x:f>Subsurface_Scenario_Data!A110</x:f>
        <x:v>-6</x:v>
      </x:c>
      <x:c r="B601" s="34" t="n">
        <x:f>Subsurface_Scenario_Data!C110</x:f>
        <x:v>14141.05910048063</x:v>
      </x:c>
      <x:c r="C601" s="34" t="n">
        <x:f>Subsurface_Scenario_Data!A110</x:f>
        <x:v>-6</x:v>
      </x:c>
      <x:c r="D601" s="34" t="n">
        <x:f>Subsurface_Scenario_Data!B110</x:f>
        <x:v>15641.05910048063</x:v>
      </x:c>
      <x:c r="E601" s="34" t="n">
        <x:f>Subsurface_Scenario_Data!A110</x:f>
        <x:v>-6</x:v>
      </x:c>
      <x:c r="F601" s="34" t="n">
        <x:f>Subsurface_Scenario_Data!D110</x:f>
        <x:v>17141.05910048063</x:v>
      </x:c>
    </x:row>
    <x:row r="602">
      <x:c r="A602" s="34" t="n">
        <x:f>Subsurface_Scenario_Data!A111</x:f>
        <x:v>-5.5</x:v>
      </x:c>
      <x:c r="B602" s="34" t="n">
        <x:f>Subsurface_Scenario_Data!C111</x:f>
        <x:v>14169.38478023053</x:v>
      </x:c>
      <x:c r="C602" s="34" t="n">
        <x:f>Subsurface_Scenario_Data!A111</x:f>
        <x:v>-5.5</x:v>
      </x:c>
      <x:c r="D602" s="34" t="n">
        <x:f>Subsurface_Scenario_Data!B111</x:f>
        <x:v>15669.38478023053</x:v>
      </x:c>
      <x:c r="E602" s="34" t="n">
        <x:f>Subsurface_Scenario_Data!A111</x:f>
        <x:v>-5.5</x:v>
      </x:c>
      <x:c r="F602" s="34" t="n">
        <x:f>Subsurface_Scenario_Data!D111</x:f>
        <x:v>17169.38478023053</x:v>
      </x:c>
    </x:row>
    <x:row r="603">
      <x:c r="A603" s="34" t="n">
        <x:f>Subsurface_Scenario_Data!A112</x:f>
        <x:v>-5</x:v>
      </x:c>
      <x:c r="B603" s="34" t="n">
        <x:f>Subsurface_Scenario_Data!C112</x:f>
        <x:v>14197.234366267416</x:v>
      </x:c>
      <x:c r="C603" s="34" t="n">
        <x:f>Subsurface_Scenario_Data!A112</x:f>
        <x:v>-5</x:v>
      </x:c>
      <x:c r="D603" s="34" t="n">
        <x:f>Subsurface_Scenario_Data!B112</x:f>
        <x:v>15697.234366267416</x:v>
      </x:c>
      <x:c r="E603" s="34" t="n">
        <x:f>Subsurface_Scenario_Data!A112</x:f>
        <x:v>-5</x:v>
      </x:c>
      <x:c r="F603" s="34" t="n">
        <x:f>Subsurface_Scenario_Data!D112</x:f>
        <x:v>17197.234366267417</x:v>
      </x:c>
    </x:row>
    <x:row r="604">
      <x:c r="A604" s="34" t="n">
        <x:f>Subsurface_Scenario_Data!A113</x:f>
        <x:v>-4.5</x:v>
      </x:c>
      <x:c r="B604" s="34" t="n">
        <x:f>Subsurface_Scenario_Data!C113</x:f>
        <x:v>14223.473778049667</x:v>
      </x:c>
      <x:c r="C604" s="34" t="n">
        <x:f>Subsurface_Scenario_Data!A113</x:f>
        <x:v>-4.5</x:v>
      </x:c>
      <x:c r="D604" s="34" t="n">
        <x:f>Subsurface_Scenario_Data!B113</x:f>
        <x:v>15723.473778049667</x:v>
      </x:c>
      <x:c r="E604" s="34" t="n">
        <x:f>Subsurface_Scenario_Data!A113</x:f>
        <x:v>-4.5</x:v>
      </x:c>
      <x:c r="F604" s="34" t="n">
        <x:f>Subsurface_Scenario_Data!D113</x:f>
        <x:v>17223.473778049665</x:v>
      </x:c>
    </x:row>
    <x:row r="605">
      <x:c r="A605" s="34" t="n">
        <x:f>Subsurface_Scenario_Data!A114</x:f>
        <x:v>-4</x:v>
      </x:c>
      <x:c r="B605" s="34" t="n">
        <x:f>Subsurface_Scenario_Data!C114</x:f>
        <x:v>14248.287353885475</x:v>
      </x:c>
      <x:c r="C605" s="34" t="n">
        <x:f>Subsurface_Scenario_Data!A114</x:f>
        <x:v>-4</x:v>
      </x:c>
      <x:c r="D605" s="34" t="n">
        <x:f>Subsurface_Scenario_Data!B114</x:f>
        <x:v>15748.287353885475</x:v>
      </x:c>
      <x:c r="E605" s="34" t="n">
        <x:f>Subsurface_Scenario_Data!A114</x:f>
        <x:v>-4</x:v>
      </x:c>
      <x:c r="F605" s="34" t="n">
        <x:f>Subsurface_Scenario_Data!D114</x:f>
        <x:v>17248.287353885476</x:v>
      </x:c>
    </x:row>
    <x:row r="606">
      <x:c r="A606" s="34" t="n">
        <x:f>Subsurface_Scenario_Data!A115</x:f>
        <x:v>-3.5</x:v>
      </x:c>
      <x:c r="B606" s="34" t="n">
        <x:f>Subsurface_Scenario_Data!C115</x:f>
        <x:v>14275.781421619797</x:v>
      </x:c>
      <x:c r="C606" s="34" t="n">
        <x:f>Subsurface_Scenario_Data!A115</x:f>
        <x:v>-3.5</x:v>
      </x:c>
      <x:c r="D606" s="34" t="n">
        <x:f>Subsurface_Scenario_Data!B115</x:f>
        <x:v>15775.781421619797</x:v>
      </x:c>
      <x:c r="E606" s="34" t="n">
        <x:f>Subsurface_Scenario_Data!A115</x:f>
        <x:v>-3.5</x:v>
      </x:c>
      <x:c r="F606" s="34" t="n">
        <x:f>Subsurface_Scenario_Data!D115</x:f>
        <x:v>17275.781421619795</x:v>
      </x:c>
    </x:row>
    <x:row r="607">
      <x:c r="A607" s="34" t="n">
        <x:f>Subsurface_Scenario_Data!A116</x:f>
        <x:v>-3</x:v>
      </x:c>
      <x:c r="B607" s="34" t="n">
        <x:f>Subsurface_Scenario_Data!C116</x:f>
        <x:v>14297.512523197016</x:v>
      </x:c>
      <x:c r="C607" s="34" t="n">
        <x:f>Subsurface_Scenario_Data!A116</x:f>
        <x:v>-3</x:v>
      </x:c>
      <x:c r="D607" s="34" t="n">
        <x:f>Subsurface_Scenario_Data!B116</x:f>
        <x:v>15797.512523197016</x:v>
      </x:c>
      <x:c r="E607" s="34" t="n">
        <x:f>Subsurface_Scenario_Data!A116</x:f>
        <x:v>-3</x:v>
      </x:c>
      <x:c r="F607" s="34" t="n">
        <x:f>Subsurface_Scenario_Data!D116</x:f>
        <x:v>17297.512523197016</x:v>
      </x:c>
    </x:row>
    <x:row r="608">
      <x:c r="A608" s="34" t="n">
        <x:f>Subsurface_Scenario_Data!A117</x:f>
        <x:v>-2.5</x:v>
      </x:c>
      <x:c r="B608" s="34" t="n">
        <x:f>Subsurface_Scenario_Data!C117</x:f>
        <x:v>14320.518953735607</x:v>
      </x:c>
      <x:c r="C608" s="34" t="n">
        <x:f>Subsurface_Scenario_Data!A117</x:f>
        <x:v>-2.5</x:v>
      </x:c>
      <x:c r="D608" s="34" t="n">
        <x:f>Subsurface_Scenario_Data!B117</x:f>
        <x:v>15820.518953735607</x:v>
      </x:c>
      <x:c r="E608" s="34" t="n">
        <x:f>Subsurface_Scenario_Data!A117</x:f>
        <x:v>-2.5</x:v>
      </x:c>
      <x:c r="F608" s="34" t="n">
        <x:f>Subsurface_Scenario_Data!D117</x:f>
        <x:v>17320.518953735605</x:v>
      </x:c>
    </x:row>
    <x:row r="609">
      <x:c r="A609" s="34" t="n">
        <x:f>Subsurface_Scenario_Data!A118</x:f>
        <x:v>-2</x:v>
      </x:c>
      <x:c r="B609" s="34" t="n">
        <x:f>Subsurface_Scenario_Data!C118</x:f>
        <x:v>14340.763766829245</x:v>
      </x:c>
      <x:c r="C609" s="34" t="n">
        <x:f>Subsurface_Scenario_Data!A118</x:f>
        <x:v>-2</x:v>
      </x:c>
      <x:c r="D609" s="34" t="n">
        <x:f>Subsurface_Scenario_Data!B118</x:f>
        <x:v>15840.763766829245</x:v>
      </x:c>
      <x:c r="E609" s="34" t="n">
        <x:f>Subsurface_Scenario_Data!A118</x:f>
        <x:v>-2</x:v>
      </x:c>
      <x:c r="F609" s="34" t="n">
        <x:f>Subsurface_Scenario_Data!D118</x:f>
        <x:v>17340.763766829245</x:v>
      </x:c>
    </x:row>
    <x:row r="610">
      <x:c r="A610" s="34" t="n">
        <x:f>Subsurface_Scenario_Data!A119</x:f>
        <x:v>-1.5</x:v>
      </x:c>
      <x:c r="B610" s="34" t="n">
        <x:f>Subsurface_Scenario_Data!C119</x:f>
        <x:v>14362.974345451357</x:v>
      </x:c>
      <x:c r="C610" s="34" t="n">
        <x:f>Subsurface_Scenario_Data!A119</x:f>
        <x:v>-1.5</x:v>
      </x:c>
      <x:c r="D610" s="34" t="n">
        <x:f>Subsurface_Scenario_Data!B119</x:f>
        <x:v>15862.974345451357</x:v>
      </x:c>
      <x:c r="E610" s="34" t="n">
        <x:f>Subsurface_Scenario_Data!A119</x:f>
        <x:v>-1.5</x:v>
      </x:c>
      <x:c r="F610" s="34" t="n">
        <x:f>Subsurface_Scenario_Data!D119</x:f>
        <x:v>17362.97434545136</x:v>
      </x:c>
    </x:row>
    <x:row r="611">
      <x:c r="A611" s="34" t="n">
        <x:f>Subsurface_Scenario_Data!A120</x:f>
        <x:v>-1</x:v>
      </x:c>
      <x:c r="B611" s="34" t="n">
        <x:f>Subsurface_Scenario_Data!C120</x:f>
        <x:v>14382.259787427232</x:v>
      </x:c>
      <x:c r="C611" s="34" t="n">
        <x:f>Subsurface_Scenario_Data!A120</x:f>
        <x:v>-1</x:v>
      </x:c>
      <x:c r="D611" s="34" t="n">
        <x:f>Subsurface_Scenario_Data!B120</x:f>
        <x:v>15882.259787427232</x:v>
      </x:c>
      <x:c r="E611" s="34" t="n">
        <x:f>Subsurface_Scenario_Data!A120</x:f>
        <x:v>-1</x:v>
      </x:c>
      <x:c r="F611" s="34" t="n">
        <x:f>Subsurface_Scenario_Data!D120</x:f>
        <x:v>17382.259787427232</x:v>
      </x:c>
    </x:row>
    <x:row r="612">
      <x:c r="A612" s="34" t="n">
        <x:f>Subsurface_Scenario_Data!A121</x:f>
        <x:v>-0.5</x:v>
      </x:c>
      <x:c r="B612" s="34" t="n">
        <x:f>Subsurface_Scenario_Data!C121</x:f>
        <x:v>14397.379848026414</x:v>
      </x:c>
      <x:c r="C612" s="34" t="n">
        <x:f>Subsurface_Scenario_Data!A121</x:f>
        <x:v>-0.5</x:v>
      </x:c>
      <x:c r="D612" s="34" t="n">
        <x:f>Subsurface_Scenario_Data!B121</x:f>
        <x:v>15897.379848026414</x:v>
      </x:c>
      <x:c r="E612" s="34" t="n">
        <x:f>Subsurface_Scenario_Data!A121</x:f>
        <x:v>-0.5</x:v>
      </x:c>
      <x:c r="F612" s="34" t="n">
        <x:f>Subsurface_Scenario_Data!D121</x:f>
        <x:v>17397.379848026416</x:v>
      </x:c>
    </x:row>
    <x:row r="613">
      <x:c r="A613" s="34" t="n">
        <x:f>Subsurface_Scenario_Data!A122</x:f>
        <x:v>0</x:v>
      </x:c>
      <x:c r="B613" s="34" t="n">
        <x:f>Subsurface_Scenario_Data!C122</x:f>
        <x:v>14415.349780721906</x:v>
      </x:c>
      <x:c r="C613" s="34" t="n">
        <x:f>Subsurface_Scenario_Data!A122</x:f>
        <x:v>0</x:v>
      </x:c>
      <x:c r="D613" s="34" t="n">
        <x:f>Subsurface_Scenario_Data!B122</x:f>
        <x:v>15915.349780721906</x:v>
      </x:c>
      <x:c r="E613" s="34" t="n">
        <x:f>Subsurface_Scenario_Data!A122</x:f>
        <x:v>0</x:v>
      </x:c>
      <x:c r="F613" s="34" t="n">
        <x:f>Subsurface_Scenario_Data!D122</x:f>
        <x:v>17415.349780721906</x:v>
      </x:c>
    </x:row>
    <x:row r="614">
      <x:c r="A614" s="34" t="n">
        <x:f>Subsurface_Scenario_Data!A123</x:f>
        <x:v>0.5</x:v>
      </x:c>
      <x:c r="B614" s="34" t="n">
        <x:f>Subsurface_Scenario_Data!C123</x:f>
        <x:v>14432.899548678191</x:v>
      </x:c>
      <x:c r="C614" s="34" t="n">
        <x:f>Subsurface_Scenario_Data!A123</x:f>
        <x:v>0.5</x:v>
      </x:c>
      <x:c r="D614" s="34" t="n">
        <x:f>Subsurface_Scenario_Data!B123</x:f>
        <x:v>15932.899548678191</x:v>
      </x:c>
      <x:c r="E614" s="34" t="n">
        <x:f>Subsurface_Scenario_Data!A123</x:f>
        <x:v>0.5</x:v>
      </x:c>
      <x:c r="F614" s="34" t="n">
        <x:f>Subsurface_Scenario_Data!D123</x:f>
        <x:v>17432.899548678193</x:v>
      </x:c>
    </x:row>
    <x:row r="615">
      <x:c r="A615" s="34" t="n">
        <x:f>Subsurface_Scenario_Data!A124</x:f>
        <x:v>1</x:v>
      </x:c>
      <x:c r="B615" s="34" t="n">
        <x:f>Subsurface_Scenario_Data!C124</x:f>
        <x:v>14447.69149082374</x:v>
      </x:c>
      <x:c r="C615" s="34" t="n">
        <x:f>Subsurface_Scenario_Data!A124</x:f>
        <x:v>1</x:v>
      </x:c>
      <x:c r="D615" s="34" t="n">
        <x:f>Subsurface_Scenario_Data!B124</x:f>
        <x:v>15947.69149082374</x:v>
      </x:c>
      <x:c r="E615" s="34" t="n">
        <x:f>Subsurface_Scenario_Data!A124</x:f>
        <x:v>1</x:v>
      </x:c>
      <x:c r="F615" s="34" t="n">
        <x:f>Subsurface_Scenario_Data!D124</x:f>
        <x:v>17447.691490823738</x:v>
      </x:c>
    </x:row>
    <x:row r="616">
      <x:c r="A616" s="34" t="n">
        <x:f>Subsurface_Scenario_Data!A125</x:f>
        <x:v>1.5</x:v>
      </x:c>
      <x:c r="B616" s="34" t="n">
        <x:f>Subsurface_Scenario_Data!C125</x:f>
        <x:v>14460.826835798127</x:v>
      </x:c>
      <x:c r="C616" s="34" t="n">
        <x:f>Subsurface_Scenario_Data!A125</x:f>
        <x:v>1.5</x:v>
      </x:c>
      <x:c r="D616" s="34" t="n">
        <x:f>Subsurface_Scenario_Data!B125</x:f>
        <x:v>15960.826835798127</x:v>
      </x:c>
      <x:c r="E616" s="34" t="n">
        <x:f>Subsurface_Scenario_Data!A125</x:f>
        <x:v>1.5</x:v>
      </x:c>
      <x:c r="F616" s="34" t="n">
        <x:f>Subsurface_Scenario_Data!D125</x:f>
        <x:v>17460.82683579813</x:v>
      </x:c>
    </x:row>
    <x:row r="617">
      <x:c r="A617" s="34" t="n">
        <x:f>Subsurface_Scenario_Data!A126</x:f>
        <x:v>2</x:v>
      </x:c>
      <x:c r="B617" s="34" t="n">
        <x:f>Subsurface_Scenario_Data!C126</x:f>
        <x:v>14473.127659706997</x:v>
      </x:c>
      <x:c r="C617" s="34" t="n">
        <x:f>Subsurface_Scenario_Data!A126</x:f>
        <x:v>2</x:v>
      </x:c>
      <x:c r="D617" s="34" t="n">
        <x:f>Subsurface_Scenario_Data!B126</x:f>
        <x:v>15973.127659706997</x:v>
      </x:c>
      <x:c r="E617" s="34" t="n">
        <x:f>Subsurface_Scenario_Data!A126</x:f>
        <x:v>2</x:v>
      </x:c>
      <x:c r="F617" s="34" t="n">
        <x:f>Subsurface_Scenario_Data!D126</x:f>
        <x:v>17473.127659706995</x:v>
      </x:c>
    </x:row>
    <x:row r="618">
      <x:c r="A618" s="34" t="n">
        <x:f>Subsurface_Scenario_Data!A127</x:f>
        <x:v>2.5</x:v>
      </x:c>
      <x:c r="B618" s="34" t="n">
        <x:f>Subsurface_Scenario_Data!C127</x:f>
        <x:v>14484.674832252715</x:v>
      </x:c>
      <x:c r="C618" s="34" t="n">
        <x:f>Subsurface_Scenario_Data!A127</x:f>
        <x:v>2.5</x:v>
      </x:c>
      <x:c r="D618" s="34" t="n">
        <x:f>Subsurface_Scenario_Data!B127</x:f>
        <x:v>15984.674832252715</x:v>
      </x:c>
      <x:c r="E618" s="34" t="n">
        <x:f>Subsurface_Scenario_Data!A127</x:f>
        <x:v>2.5</x:v>
      </x:c>
      <x:c r="F618" s="34" t="n">
        <x:f>Subsurface_Scenario_Data!D127</x:f>
        <x:v>17484.674832252713</x:v>
      </x:c>
    </x:row>
    <x:row r="619">
      <x:c r="A619" s="34" t="n">
        <x:f>Subsurface_Scenario_Data!A128</x:f>
        <x:v>3</x:v>
      </x:c>
      <x:c r="B619" s="34" t="n">
        <x:f>Subsurface_Scenario_Data!C128</x:f>
        <x:v>14499.039471084727</x:v>
      </x:c>
      <x:c r="C619" s="34" t="n">
        <x:f>Subsurface_Scenario_Data!A128</x:f>
        <x:v>3</x:v>
      </x:c>
      <x:c r="D619" s="34" t="n">
        <x:f>Subsurface_Scenario_Data!B128</x:f>
        <x:v>15999.039471084727</x:v>
      </x:c>
      <x:c r="E619" s="34" t="n">
        <x:f>Subsurface_Scenario_Data!A128</x:f>
        <x:v>3</x:v>
      </x:c>
      <x:c r="F619" s="34" t="n">
        <x:f>Subsurface_Scenario_Data!D128</x:f>
        <x:v>17499.039471084725</x:v>
      </x:c>
    </x:row>
    <x:row r="620">
      <x:c r="A620" s="34" t="n">
        <x:f>Subsurface_Scenario_Data!A129</x:f>
        <x:v>3.5</x:v>
      </x:c>
      <x:c r="B620" s="34" t="n">
        <x:f>Subsurface_Scenario_Data!C129</x:f>
        <x:v>14506.80700146983</x:v>
      </x:c>
      <x:c r="C620" s="34" t="n">
        <x:f>Subsurface_Scenario_Data!A129</x:f>
        <x:v>3.5</x:v>
      </x:c>
      <x:c r="D620" s="34" t="n">
        <x:f>Subsurface_Scenario_Data!B129</x:f>
        <x:v>16006.80700146983</x:v>
      </x:c>
      <x:c r="E620" s="34" t="n">
        <x:f>Subsurface_Scenario_Data!A129</x:f>
        <x:v>3.5</x:v>
      </x:c>
      <x:c r="F620" s="34" t="n">
        <x:f>Subsurface_Scenario_Data!D129</x:f>
        <x:v>17506.80700146983</x:v>
      </x:c>
    </x:row>
    <x:row r="621">
      <x:c r="A621" s="34" t="n">
        <x:f>Subsurface_Scenario_Data!A130</x:f>
        <x:v>4</x:v>
      </x:c>
      <x:c r="B621" s="34" t="n">
        <x:f>Subsurface_Scenario_Data!C130</x:f>
        <x:v>14517.235991847305</x:v>
      </x:c>
      <x:c r="C621" s="34" t="n">
        <x:f>Subsurface_Scenario_Data!A130</x:f>
        <x:v>4</x:v>
      </x:c>
      <x:c r="D621" s="34" t="n">
        <x:f>Subsurface_Scenario_Data!B130</x:f>
        <x:v>16017.235991847305</x:v>
      </x:c>
      <x:c r="E621" s="34" t="n">
        <x:f>Subsurface_Scenario_Data!A130</x:f>
        <x:v>4</x:v>
      </x:c>
      <x:c r="F621" s="34" t="n">
        <x:f>Subsurface_Scenario_Data!D130</x:f>
        <x:v>17517.235991847305</x:v>
      </x:c>
    </x:row>
    <x:row r="622">
      <x:c r="A622" s="34" t="n">
        <x:f>Subsurface_Scenario_Data!A131</x:f>
        <x:v>4.5</x:v>
      </x:c>
      <x:c r="B622" s="34" t="n">
        <x:f>Subsurface_Scenario_Data!C131</x:f>
        <x:v>14525.329990466256</x:v>
      </x:c>
      <x:c r="C622" s="34" t="n">
        <x:f>Subsurface_Scenario_Data!A131</x:f>
        <x:v>4.5</x:v>
      </x:c>
      <x:c r="D622" s="34" t="n">
        <x:f>Subsurface_Scenario_Data!B131</x:f>
        <x:v>16025.329990466256</x:v>
      </x:c>
      <x:c r="E622" s="34" t="n">
        <x:f>Subsurface_Scenario_Data!A131</x:f>
        <x:v>4.5</x:v>
      </x:c>
      <x:c r="F622" s="34" t="n">
        <x:f>Subsurface_Scenario_Data!D131</x:f>
        <x:v>17525.329990466256</x:v>
      </x:c>
    </x:row>
    <x:row r="623">
      <x:c r="A623" s="34" t="n">
        <x:f>Subsurface_Scenario_Data!A132</x:f>
        <x:v>5</x:v>
      </x:c>
      <x:c r="B623" s="34" t="n">
        <x:f>Subsurface_Scenario_Data!C132</x:f>
        <x:v>14535.975154282105</x:v>
      </x:c>
      <x:c r="C623" s="34" t="n">
        <x:f>Subsurface_Scenario_Data!A132</x:f>
        <x:v>5</x:v>
      </x:c>
      <x:c r="D623" s="34" t="n">
        <x:f>Subsurface_Scenario_Data!B132</x:f>
        <x:v>16035.975154282105</x:v>
      </x:c>
      <x:c r="E623" s="34" t="n">
        <x:f>Subsurface_Scenario_Data!A132</x:f>
        <x:v>5</x:v>
      </x:c>
      <x:c r="F623" s="34" t="n">
        <x:f>Subsurface_Scenario_Data!D132</x:f>
        <x:v>17535.975154282103</x:v>
      </x:c>
    </x:row>
    <x:row r="624">
      <x:c r="A624" s="34" t="n">
        <x:f>Subsurface_Scenario_Data!A133</x:f>
        <x:v>5.5</x:v>
      </x:c>
      <x:c r="B624" s="34" t="n">
        <x:f>Subsurface_Scenario_Data!C133</x:f>
        <x:v>14543.928899152814</x:v>
      </x:c>
      <x:c r="C624" s="34" t="n">
        <x:f>Subsurface_Scenario_Data!A133</x:f>
        <x:v>5.5</x:v>
      </x:c>
      <x:c r="D624" s="34" t="n">
        <x:f>Subsurface_Scenario_Data!B133</x:f>
        <x:v>16043.928899152814</x:v>
      </x:c>
      <x:c r="E624" s="34" t="n">
        <x:f>Subsurface_Scenario_Data!A133</x:f>
        <x:v>5.5</x:v>
      </x:c>
      <x:c r="F624" s="34" t="n">
        <x:f>Subsurface_Scenario_Data!D133</x:f>
        <x:v>17543.928899152816</x:v>
      </x:c>
    </x:row>
    <x:row r="625">
      <x:c r="A625" s="34" t="n">
        <x:f>Subsurface_Scenario_Data!A134</x:f>
        <x:v>6</x:v>
      </x:c>
      <x:c r="B625" s="34" t="n">
        <x:f>Subsurface_Scenario_Data!C134</x:f>
        <x:v>14550.16829622489</x:v>
      </x:c>
      <x:c r="C625" s="34" t="n">
        <x:f>Subsurface_Scenario_Data!A134</x:f>
        <x:v>6</x:v>
      </x:c>
      <x:c r="D625" s="34" t="n">
        <x:f>Subsurface_Scenario_Data!B134</x:f>
        <x:v>16050.16829622489</x:v>
      </x:c>
      <x:c r="E625" s="34" t="n">
        <x:f>Subsurface_Scenario_Data!A134</x:f>
        <x:v>6</x:v>
      </x:c>
      <x:c r="F625" s="34" t="n">
        <x:f>Subsurface_Scenario_Data!D134</x:f>
        <x:v>17550.16829622489</x:v>
      </x:c>
    </x:row>
    <x:row r="626">
      <x:c r="A626" s="34" t="n">
        <x:f>Subsurface_Scenario_Data!A135</x:f>
        <x:v>6.5</x:v>
      </x:c>
      <x:c r="B626" s="34" t="n">
        <x:f>Subsurface_Scenario_Data!C135</x:f>
        <x:v>14555.648842831959</x:v>
      </x:c>
      <x:c r="C626" s="34" t="n">
        <x:f>Subsurface_Scenario_Data!A135</x:f>
        <x:v>6.5</x:v>
      </x:c>
      <x:c r="D626" s="34" t="n">
        <x:f>Subsurface_Scenario_Data!B135</x:f>
        <x:v>16055.648842831959</x:v>
      </x:c>
      <x:c r="E626" s="34" t="n">
        <x:f>Subsurface_Scenario_Data!A135</x:f>
        <x:v>6.5</x:v>
      </x:c>
      <x:c r="F626" s="34" t="n">
        <x:f>Subsurface_Scenario_Data!D135</x:f>
        <x:v>17555.648842831957</x:v>
      </x:c>
    </x:row>
    <x:row r="627">
      <x:c r="A627" s="34" t="n">
        <x:f>Subsurface_Scenario_Data!A136</x:f>
        <x:v>7</x:v>
      </x:c>
      <x:c r="B627" s="34" t="n">
        <x:f>Subsurface_Scenario_Data!C136</x:f>
        <x:v>14557.186598182136</x:v>
      </x:c>
      <x:c r="C627" s="34" t="n">
        <x:f>Subsurface_Scenario_Data!A136</x:f>
        <x:v>7</x:v>
      </x:c>
      <x:c r="D627" s="34" t="n">
        <x:f>Subsurface_Scenario_Data!B136</x:f>
        <x:v>16057.186598182136</x:v>
      </x:c>
      <x:c r="E627" s="34" t="n">
        <x:f>Subsurface_Scenario_Data!A136</x:f>
        <x:v>7</x:v>
      </x:c>
      <x:c r="F627" s="34" t="n">
        <x:f>Subsurface_Scenario_Data!D136</x:f>
        <x:v>17557.186598182136</x:v>
      </x:c>
    </x:row>
    <x:row r="628">
      <x:c r="A628" s="34" t="n">
        <x:f>Subsurface_Scenario_Data!A137</x:f>
        <x:v>7.5</x:v>
      </x:c>
      <x:c r="B628" s="34" t="n">
        <x:f>Subsurface_Scenario_Data!C137</x:f>
        <x:v>14563.197058525908</x:v>
      </x:c>
      <x:c r="C628" s="34" t="n">
        <x:f>Subsurface_Scenario_Data!A137</x:f>
        <x:v>7.5</x:v>
      </x:c>
      <x:c r="D628" s="34" t="n">
        <x:f>Subsurface_Scenario_Data!B137</x:f>
        <x:v>16063.197058525908</x:v>
      </x:c>
      <x:c r="E628" s="34" t="n">
        <x:f>Subsurface_Scenario_Data!A137</x:f>
        <x:v>7.5</x:v>
      </x:c>
      <x:c r="F628" s="34" t="n">
        <x:f>Subsurface_Scenario_Data!D137</x:f>
        <x:v>17563.197058525908</x:v>
      </x:c>
    </x:row>
    <x:row r="629">
      <x:c r="A629" s="34" t="n">
        <x:f>Subsurface_Scenario_Data!A138</x:f>
        <x:v>8</x:v>
      </x:c>
      <x:c r="B629" s="34" t="n">
        <x:f>Subsurface_Scenario_Data!C138</x:f>
        <x:v>14564.496639991332</x:v>
      </x:c>
      <x:c r="C629" s="34" t="n">
        <x:f>Subsurface_Scenario_Data!A138</x:f>
        <x:v>8</x:v>
      </x:c>
      <x:c r="D629" s="34" t="n">
        <x:f>Subsurface_Scenario_Data!B138</x:f>
        <x:v>16064.496639991332</x:v>
      </x:c>
      <x:c r="E629" s="34" t="n">
        <x:f>Subsurface_Scenario_Data!A138</x:f>
        <x:v>8</x:v>
      </x:c>
      <x:c r="F629" s="34" t="n">
        <x:f>Subsurface_Scenario_Data!D138</x:f>
        <x:v>17564.496639991332</x:v>
      </x:c>
    </x:row>
    <x:row r="630">
      <x:c r="A630" s="34" t="n">
        <x:f>Subsurface_Scenario_Data!A139</x:f>
        <x:v>8.5</x:v>
      </x:c>
      <x:c r="B630" s="34" t="n">
        <x:f>Subsurface_Scenario_Data!C139</x:f>
        <x:v>14566.128989193123</x:v>
      </x:c>
      <x:c r="C630" s="34" t="n">
        <x:f>Subsurface_Scenario_Data!A139</x:f>
        <x:v>8.5</x:v>
      </x:c>
      <x:c r="D630" s="34" t="n">
        <x:f>Subsurface_Scenario_Data!B139</x:f>
        <x:v>16066.128989193123</x:v>
      </x:c>
      <x:c r="E630" s="34" t="n">
        <x:f>Subsurface_Scenario_Data!A139</x:f>
        <x:v>8.5</x:v>
      </x:c>
      <x:c r="F630" s="34" t="n">
        <x:f>Subsurface_Scenario_Data!D139</x:f>
        <x:v>17566.128989193123</x:v>
      </x:c>
    </x:row>
    <x:row r="631">
      <x:c r="A631" s="34" t="n">
        <x:f>Subsurface_Scenario_Data!A140</x:f>
        <x:v>9</x:v>
      </x:c>
      <x:c r="B631" s="34" t="n">
        <x:f>Subsurface_Scenario_Data!C140</x:f>
        <x:v>14563.809243256452</x:v>
      </x:c>
      <x:c r="C631" s="34" t="n">
        <x:f>Subsurface_Scenario_Data!A140</x:f>
        <x:v>9</x:v>
      </x:c>
      <x:c r="D631" s="34" t="n">
        <x:f>Subsurface_Scenario_Data!B140</x:f>
        <x:v>16063.809243256452</x:v>
      </x:c>
      <x:c r="E631" s="34" t="n">
        <x:f>Subsurface_Scenario_Data!A140</x:f>
        <x:v>9</x:v>
      </x:c>
      <x:c r="F631" s="34" t="n">
        <x:f>Subsurface_Scenario_Data!D140</x:f>
        <x:v>17563.80924325645</x:v>
      </x:c>
    </x:row>
    <x:row r="632">
      <x:c r="A632" s="34" t="n">
        <x:f>Subsurface_Scenario_Data!A141</x:f>
        <x:v>9.5</x:v>
      </x:c>
      <x:c r="B632" s="34" t="n">
        <x:f>Subsurface_Scenario_Data!C141</x:f>
        <x:v>14560.87573901286</x:v>
      </x:c>
      <x:c r="C632" s="34" t="n">
        <x:f>Subsurface_Scenario_Data!A141</x:f>
        <x:v>9.5</x:v>
      </x:c>
      <x:c r="D632" s="34" t="n">
        <x:f>Subsurface_Scenario_Data!B141</x:f>
        <x:v>16060.87573901286</x:v>
      </x:c>
      <x:c r="E632" s="34" t="n">
        <x:f>Subsurface_Scenario_Data!A141</x:f>
        <x:v>9.5</x:v>
      </x:c>
      <x:c r="F632" s="34" t="n">
        <x:f>Subsurface_Scenario_Data!D141</x:f>
        <x:v>17560.87573901286</x:v>
      </x:c>
    </x:row>
    <x:row r="633">
      <x:c r="A633" s="34" t="n">
        <x:f>Subsurface_Scenario_Data!A142</x:f>
        <x:v>10</x:v>
      </x:c>
      <x:c r="B633" s="34" t="n">
        <x:f>Subsurface_Scenario_Data!C142</x:f>
        <x:v>14559.65300237692</x:v>
      </x:c>
      <x:c r="C633" s="34" t="n">
        <x:f>Subsurface_Scenario_Data!A142</x:f>
        <x:v>10</x:v>
      </x:c>
      <x:c r="D633" s="34" t="n">
        <x:f>Subsurface_Scenario_Data!B142</x:f>
        <x:v>16059.65300237692</x:v>
      </x:c>
      <x:c r="E633" s="34" t="n">
        <x:f>Subsurface_Scenario_Data!A142</x:f>
        <x:v>10</x:v>
      </x:c>
      <x:c r="F633" s="34" t="n">
        <x:f>Subsurface_Scenario_Data!D142</x:f>
        <x:v>17559.65300237692</x:v>
      </x:c>
    </x:row>
    <x:row r="634">
      <x:c r="A634" s="34" t="n">
        <x:f>Subsurface_Scenario_Data!A143</x:f>
        <x:v>10.5</x:v>
      </x:c>
      <x:c r="B634" s="34" t="n">
        <x:f>Subsurface_Scenario_Data!C143</x:f>
        <x:v>14556.097371463005</x:v>
      </x:c>
      <x:c r="C634" s="34" t="n">
        <x:f>Subsurface_Scenario_Data!A143</x:f>
        <x:v>10.5</x:v>
      </x:c>
      <x:c r="D634" s="34" t="n">
        <x:f>Subsurface_Scenario_Data!B143</x:f>
        <x:v>16056.097371463005</x:v>
      </x:c>
      <x:c r="E634" s="34" t="n">
        <x:f>Subsurface_Scenario_Data!A143</x:f>
        <x:v>10.5</x:v>
      </x:c>
      <x:c r="F634" s="34" t="n">
        <x:f>Subsurface_Scenario_Data!D143</x:f>
        <x:v>17556.097371463005</x:v>
      </x:c>
    </x:row>
    <x:row r="635">
      <x:c r="A635" s="34" t="n">
        <x:f>Subsurface_Scenario_Data!A144</x:f>
        <x:v>11</x:v>
      </x:c>
      <x:c r="B635" s="34" t="n">
        <x:f>Subsurface_Scenario_Data!C144</x:f>
        <x:v>14548.05644574271</x:v>
      </x:c>
      <x:c r="C635" s="34" t="n">
        <x:f>Subsurface_Scenario_Data!A144</x:f>
        <x:v>11</x:v>
      </x:c>
      <x:c r="D635" s="34" t="n">
        <x:f>Subsurface_Scenario_Data!B144</x:f>
        <x:v>16048.05644574271</x:v>
      </x:c>
      <x:c r="E635" s="34" t="n">
        <x:f>Subsurface_Scenario_Data!A144</x:f>
        <x:v>11</x:v>
      </x:c>
      <x:c r="F635" s="34" t="n">
        <x:f>Subsurface_Scenario_Data!D144</x:f>
        <x:v>17548.05644574271</x:v>
      </x:c>
    </x:row>
    <x:row r="636">
      <x:c r="A636" s="34" t="n">
        <x:f>Subsurface_Scenario_Data!A145</x:f>
        <x:v>11.5</x:v>
      </x:c>
      <x:c r="B636" s="34" t="n">
        <x:f>Subsurface_Scenario_Data!C145</x:f>
        <x:v>14541.249630235392</x:v>
      </x:c>
      <x:c r="C636" s="34" t="n">
        <x:f>Subsurface_Scenario_Data!A145</x:f>
        <x:v>11.5</x:v>
      </x:c>
      <x:c r="D636" s="34" t="n">
        <x:f>Subsurface_Scenario_Data!B145</x:f>
        <x:v>16041.249630235392</x:v>
      </x:c>
      <x:c r="E636" s="34" t="n">
        <x:f>Subsurface_Scenario_Data!A145</x:f>
        <x:v>11.5</x:v>
      </x:c>
      <x:c r="F636" s="34" t="n">
        <x:f>Subsurface_Scenario_Data!D145</x:f>
        <x:v>17541.24963023539</x:v>
      </x:c>
    </x:row>
    <x:row r="637">
      <x:c r="A637" s="34" t="n">
        <x:f>Subsurface_Scenario_Data!A146</x:f>
        <x:v>12</x:v>
      </x:c>
      <x:c r="B637" s="34" t="n">
        <x:f>Subsurface_Scenario_Data!C146</x:f>
        <x:v>14533.398823391757</x:v>
      </x:c>
      <x:c r="C637" s="34" t="n">
        <x:f>Subsurface_Scenario_Data!A146</x:f>
        <x:v>12</x:v>
      </x:c>
      <x:c r="D637" s="34" t="n">
        <x:f>Subsurface_Scenario_Data!B146</x:f>
        <x:v>16033.398823391757</x:v>
      </x:c>
      <x:c r="E637" s="34" t="n">
        <x:f>Subsurface_Scenario_Data!A146</x:f>
        <x:v>12</x:v>
      </x:c>
      <x:c r="F637" s="34" t="n">
        <x:f>Subsurface_Scenario_Data!D146</x:f>
        <x:v>17533.398823391755</x:v>
      </x:c>
    </x:row>
    <x:row r="638">
      <x:c r="A638" s="34" t="n">
        <x:f>Subsurface_Scenario_Data!A147</x:f>
        <x:v>12.5</x:v>
      </x:c>
      <x:c r="B638" s="34" t="n">
        <x:f>Subsurface_Scenario_Data!C147</x:f>
        <x:v>14521.161227495551</x:v>
      </x:c>
      <x:c r="C638" s="34" t="n">
        <x:f>Subsurface_Scenario_Data!A147</x:f>
        <x:v>12.5</x:v>
      </x:c>
      <x:c r="D638" s="34" t="n">
        <x:f>Subsurface_Scenario_Data!B147</x:f>
        <x:v>16021.161227495551</x:v>
      </x:c>
      <x:c r="E638" s="34" t="n">
        <x:f>Subsurface_Scenario_Data!A147</x:f>
        <x:v>12.5</x:v>
      </x:c>
      <x:c r="F638" s="34" t="n">
        <x:f>Subsurface_Scenario_Data!D147</x:f>
        <x:v>17521.16122749555</x:v>
      </x:c>
    </x:row>
    <x:row r="639">
      <x:c r="A639" s="34" t="n">
        <x:f>Subsurface_Scenario_Data!A148</x:f>
        <x:v>13</x:v>
      </x:c>
      <x:c r="B639" s="34" t="n">
        <x:f>Subsurface_Scenario_Data!C148</x:f>
        <x:v>14510.081996804991</x:v>
      </x:c>
      <x:c r="C639" s="34" t="n">
        <x:f>Subsurface_Scenario_Data!A148</x:f>
        <x:v>13</x:v>
      </x:c>
      <x:c r="D639" s="34" t="n">
        <x:f>Subsurface_Scenario_Data!B148</x:f>
        <x:v>16010.081996804991</x:v>
      </x:c>
      <x:c r="E639" s="34" t="n">
        <x:f>Subsurface_Scenario_Data!A148</x:f>
        <x:v>13</x:v>
      </x:c>
      <x:c r="F639" s="34" t="n">
        <x:f>Subsurface_Scenario_Data!D148</x:f>
        <x:v>17510.08199680499</x:v>
      </x:c>
    </x:row>
    <x:row r="640">
      <x:c r="A640" s="34" t="n">
        <x:f>Subsurface_Scenario_Data!A149</x:f>
        <x:v>13.5</x:v>
      </x:c>
      <x:c r="B640" s="34" t="n">
        <x:f>Subsurface_Scenario_Data!C149</x:f>
        <x:v>14499.920769914777</x:v>
      </x:c>
      <x:c r="C640" s="34" t="n">
        <x:f>Subsurface_Scenario_Data!A149</x:f>
        <x:v>13.5</x:v>
      </x:c>
      <x:c r="D640" s="34" t="n">
        <x:f>Subsurface_Scenario_Data!B149</x:f>
        <x:v>15999.920769914777</x:v>
      </x:c>
      <x:c r="E640" s="34" t="n">
        <x:f>Subsurface_Scenario_Data!A149</x:f>
        <x:v>13.5</x:v>
      </x:c>
      <x:c r="F640" s="34" t="n">
        <x:f>Subsurface_Scenario_Data!D149</x:f>
        <x:v>17499.920769914777</x:v>
      </x:c>
    </x:row>
    <x:row r="641">
      <x:c r="A641" s="34" t="n">
        <x:f>Subsurface_Scenario_Data!A150</x:f>
        <x:v>14</x:v>
      </x:c>
      <x:c r="B641" s="34" t="n">
        <x:f>Subsurface_Scenario_Data!C150</x:f>
        <x:v>14485.326614254289</x:v>
      </x:c>
      <x:c r="C641" s="34" t="n">
        <x:f>Subsurface_Scenario_Data!A150</x:f>
        <x:v>14</x:v>
      </x:c>
      <x:c r="D641" s="34" t="n">
        <x:f>Subsurface_Scenario_Data!B150</x:f>
        <x:v>15985.326614254289</x:v>
      </x:c>
      <x:c r="E641" s="34" t="n">
        <x:f>Subsurface_Scenario_Data!A150</x:f>
        <x:v>14</x:v>
      </x:c>
      <x:c r="F641" s="34" t="n">
        <x:f>Subsurface_Scenario_Data!D150</x:f>
        <x:v>17485.32661425429</x:v>
      </x:c>
    </x:row>
    <x:row r="642">
      <x:c r="A642" s="34" t="n">
        <x:f>Subsurface_Scenario_Data!A151</x:f>
        <x:v>14.5</x:v>
      </x:c>
      <x:c r="B642" s="34" t="n">
        <x:f>Subsurface_Scenario_Data!C151</x:f>
        <x:v>14469.73928107725</x:v>
      </x:c>
      <x:c r="C642" s="34" t="n">
        <x:f>Subsurface_Scenario_Data!A151</x:f>
        <x:v>14.5</x:v>
      </x:c>
      <x:c r="D642" s="34" t="n">
        <x:f>Subsurface_Scenario_Data!B151</x:f>
        <x:v>15969.73928107725</x:v>
      </x:c>
      <x:c r="E642" s="34" t="n">
        <x:f>Subsurface_Scenario_Data!A151</x:f>
        <x:v>14.5</x:v>
      </x:c>
      <x:c r="F642" s="34" t="n">
        <x:f>Subsurface_Scenario_Data!D151</x:f>
        <x:v>17469.73928107725</x:v>
      </x:c>
    </x:row>
    <x:row r="643">
      <x:c r="A643" s="34" t="n">
        <x:f>Subsurface_Scenario_Data!A152</x:f>
        <x:v>15</x:v>
      </x:c>
      <x:c r="B643" s="34" t="n">
        <x:f>Subsurface_Scenario_Data!C152</x:f>
        <x:v>14455.784004300433</x:v>
      </x:c>
      <x:c r="C643" s="34" t="n">
        <x:f>Subsurface_Scenario_Data!A152</x:f>
        <x:v>15</x:v>
      </x:c>
      <x:c r="D643" s="34" t="n">
        <x:f>Subsurface_Scenario_Data!B152</x:f>
        <x:v>15955.784004300433</x:v>
      </x:c>
      <x:c r="E643" s="34" t="n">
        <x:f>Subsurface_Scenario_Data!A152</x:f>
        <x:v>15</x:v>
      </x:c>
      <x:c r="F643" s="34" t="n">
        <x:f>Subsurface_Scenario_Data!D152</x:f>
        <x:v>17455.784004300433</x:v>
      </x:c>
    </x:row>
    <x:row r="644">
      <x:c r="A644" s="34" t="n">
        <x:f>Subsurface_Scenario_Data!A153</x:f>
        <x:v>15.5</x:v>
      </x:c>
      <x:c r="B644" s="34" t="n">
        <x:f>Subsurface_Scenario_Data!C153</x:f>
        <x:v>14439.048750669783</x:v>
      </x:c>
      <x:c r="C644" s="34" t="n">
        <x:f>Subsurface_Scenario_Data!A153</x:f>
        <x:v>15.5</x:v>
      </x:c>
      <x:c r="D644" s="34" t="n">
        <x:f>Subsurface_Scenario_Data!B153</x:f>
        <x:v>15939.048750669783</x:v>
      </x:c>
      <x:c r="E644" s="34" t="n">
        <x:f>Subsurface_Scenario_Data!A153</x:f>
        <x:v>15.5</x:v>
      </x:c>
      <x:c r="F644" s="34" t="n">
        <x:f>Subsurface_Scenario_Data!D153</x:f>
        <x:v>17439.048750669783</x:v>
      </x:c>
    </x:row>
    <x:row r="645">
      <x:c r="A645" s="34" t="n">
        <x:f>Subsurface_Scenario_Data!A154</x:f>
        <x:v>16</x:v>
      </x:c>
      <x:c r="B645" s="34" t="n">
        <x:f>Subsurface_Scenario_Data!C154</x:f>
        <x:v>14420.135353699008</x:v>
      </x:c>
      <x:c r="C645" s="34" t="n">
        <x:f>Subsurface_Scenario_Data!A154</x:f>
        <x:v>16</x:v>
      </x:c>
      <x:c r="D645" s="34" t="n">
        <x:f>Subsurface_Scenario_Data!B154</x:f>
        <x:v>15920.135353699008</x:v>
      </x:c>
      <x:c r="E645" s="34" t="n">
        <x:f>Subsurface_Scenario_Data!A154</x:f>
        <x:v>16</x:v>
      </x:c>
      <x:c r="F645" s="34" t="n">
        <x:f>Subsurface_Scenario_Data!D154</x:f>
        <x:v>17420.135353699006</x:v>
      </x:c>
    </x:row>
    <x:row r="646">
      <x:c r="A646" s="34" t="n">
        <x:f>Subsurface_Scenario_Data!A155</x:f>
        <x:v>16.5</x:v>
      </x:c>
      <x:c r="B646" s="34" t="n">
        <x:f>Subsurface_Scenario_Data!C155</x:f>
        <x:v>14400.088700233617</x:v>
      </x:c>
      <x:c r="C646" s="34" t="n">
        <x:f>Subsurface_Scenario_Data!A155</x:f>
        <x:v>16.5</x:v>
      </x:c>
      <x:c r="D646" s="34" t="n">
        <x:f>Subsurface_Scenario_Data!B155</x:f>
        <x:v>15900.088700233617</x:v>
      </x:c>
      <x:c r="E646" s="34" t="n">
        <x:f>Subsurface_Scenario_Data!A155</x:f>
        <x:v>16.5</x:v>
      </x:c>
      <x:c r="F646" s="34" t="n">
        <x:f>Subsurface_Scenario_Data!D155</x:f>
        <x:v>17400.088700233617</x:v>
      </x:c>
    </x:row>
    <x:row r="647">
      <x:c r="A647" s="34" t="n">
        <x:f>Subsurface_Scenario_Data!A156</x:f>
        <x:v>17</x:v>
      </x:c>
      <x:c r="B647" s="34" t="n">
        <x:f>Subsurface_Scenario_Data!C156</x:f>
        <x:v>14380.399991454993</x:v>
      </x:c>
      <x:c r="C647" s="34" t="n">
        <x:f>Subsurface_Scenario_Data!A156</x:f>
        <x:v>17</x:v>
      </x:c>
      <x:c r="D647" s="34" t="n">
        <x:f>Subsurface_Scenario_Data!B156</x:f>
        <x:v>15880.399991454993</x:v>
      </x:c>
      <x:c r="E647" s="34" t="n">
        <x:f>Subsurface_Scenario_Data!A156</x:f>
        <x:v>17</x:v>
      </x:c>
      <x:c r="F647" s="34" t="n">
        <x:f>Subsurface_Scenario_Data!D156</x:f>
        <x:v>17380.399991454993</x:v>
      </x:c>
    </x:row>
    <x:row r="648">
      <x:c r="A648" s="34" t="n">
        <x:f>Subsurface_Scenario_Data!A157</x:f>
        <x:v>17.5</x:v>
      </x:c>
      <x:c r="B648" s="34" t="n">
        <x:f>Subsurface_Scenario_Data!C157</x:f>
        <x:v>14357.998232165117</x:v>
      </x:c>
      <x:c r="C648" s="34" t="n">
        <x:f>Subsurface_Scenario_Data!A157</x:f>
        <x:v>17.5</x:v>
      </x:c>
      <x:c r="D648" s="34" t="n">
        <x:f>Subsurface_Scenario_Data!B157</x:f>
        <x:v>15857.998232165117</x:v>
      </x:c>
      <x:c r="E648" s="34" t="n">
        <x:f>Subsurface_Scenario_Data!A157</x:f>
        <x:v>17.5</x:v>
      </x:c>
      <x:c r="F648" s="34" t="n">
        <x:f>Subsurface_Scenario_Data!D157</x:f>
        <x:v>17357.99823216512</x:v>
      </x:c>
    </x:row>
    <x:row r="649">
      <x:c r="A649" s="34" t="n">
        <x:f>Subsurface_Scenario_Data!A158</x:f>
        <x:v>18</x:v>
      </x:c>
      <x:c r="B649" s="34" t="n">
        <x:f>Subsurface_Scenario_Data!C158</x:f>
        <x:v>14335.432705922185</x:v>
      </x:c>
      <x:c r="C649" s="34" t="n">
        <x:f>Subsurface_Scenario_Data!A158</x:f>
        <x:v>18</x:v>
      </x:c>
      <x:c r="D649" s="34" t="n">
        <x:f>Subsurface_Scenario_Data!B158</x:f>
        <x:v>15835.432705922185</x:v>
      </x:c>
      <x:c r="E649" s="34" t="n">
        <x:f>Subsurface_Scenario_Data!A158</x:f>
        <x:v>18</x:v>
      </x:c>
      <x:c r="F649" s="34" t="n">
        <x:f>Subsurface_Scenario_Data!D158</x:f>
        <x:v>17335.432705922183</x:v>
      </x:c>
    </x:row>
    <x:row r="650">
      <x:c r="A650" s="34" t="n">
        <x:f>Subsurface_Scenario_Data!A159</x:f>
        <x:v>18.5</x:v>
      </x:c>
      <x:c r="B650" s="34" t="n">
        <x:f>Subsurface_Scenario_Data!C159</x:f>
        <x:v>14313.188429767826</x:v>
      </x:c>
      <x:c r="C650" s="34" t="n">
        <x:f>Subsurface_Scenario_Data!A159</x:f>
        <x:v>18.5</x:v>
      </x:c>
      <x:c r="D650" s="34" t="n">
        <x:f>Subsurface_Scenario_Data!B159</x:f>
        <x:v>15813.188429767826</x:v>
      </x:c>
      <x:c r="E650" s="34" t="n">
        <x:f>Subsurface_Scenario_Data!A159</x:f>
        <x:v>18.5</x:v>
      </x:c>
      <x:c r="F650" s="34" t="n">
        <x:f>Subsurface_Scenario_Data!D159</x:f>
        <x:v>17313.188429767826</x:v>
      </x:c>
    </x:row>
    <x:row r="651">
      <x:c r="A651" s="34" t="n">
        <x:f>Subsurface_Scenario_Data!A160</x:f>
        <x:v>19</x:v>
      </x:c>
      <x:c r="B651" s="34" t="n">
        <x:f>Subsurface_Scenario_Data!C160</x:f>
        <x:v>14287.561669406818</x:v>
      </x:c>
      <x:c r="C651" s="34" t="n">
        <x:f>Subsurface_Scenario_Data!A160</x:f>
        <x:v>19</x:v>
      </x:c>
      <x:c r="D651" s="34" t="n">
        <x:f>Subsurface_Scenario_Data!B160</x:f>
        <x:v>15787.561669406818</x:v>
      </x:c>
      <x:c r="E651" s="34" t="n">
        <x:f>Subsurface_Scenario_Data!A160</x:f>
        <x:v>19</x:v>
      </x:c>
      <x:c r="F651" s="34" t="n">
        <x:f>Subsurface_Scenario_Data!D160</x:f>
        <x:v>17287.561669406816</x:v>
      </x:c>
    </x:row>
    <x:row r="652">
      <x:c r="A652" s="34" t="n">
        <x:f>Subsurface_Scenario_Data!A161</x:f>
        <x:v>19.5</x:v>
      </x:c>
      <x:c r="B652" s="34" t="n">
        <x:f>Subsurface_Scenario_Data!C161</x:f>
        <x:v>14262.323121828636</x:v>
      </x:c>
      <x:c r="C652" s="34" t="n">
        <x:f>Subsurface_Scenario_Data!A161</x:f>
        <x:v>19.5</x:v>
      </x:c>
      <x:c r="D652" s="34" t="n">
        <x:f>Subsurface_Scenario_Data!B161</x:f>
        <x:v>15762.323121828636</x:v>
      </x:c>
      <x:c r="E652" s="34" t="n">
        <x:f>Subsurface_Scenario_Data!A161</x:f>
        <x:v>19.5</x:v>
      </x:c>
      <x:c r="F652" s="34" t="n">
        <x:f>Subsurface_Scenario_Data!D161</x:f>
        <x:v>17262.32312182864</x:v>
      </x:c>
    </x:row>
    <x:row r="653">
      <x:c r="A653" s="34" t="n">
        <x:f>Subsurface_Scenario_Data!A162</x:f>
        <x:v>20</x:v>
      </x:c>
      <x:c r="B653" s="34" t="n">
        <x:f>Subsurface_Scenario_Data!C162</x:f>
        <x:v>14237.095893870204</x:v>
      </x:c>
      <x:c r="C653" s="34" t="n">
        <x:f>Subsurface_Scenario_Data!A162</x:f>
        <x:v>20</x:v>
      </x:c>
      <x:c r="D653" s="34" t="n">
        <x:f>Subsurface_Scenario_Data!B162</x:f>
        <x:v>15737.095893870204</x:v>
      </x:c>
      <x:c r="E653" s="34" t="n">
        <x:f>Subsurface_Scenario_Data!A162</x:f>
        <x:v>20</x:v>
      </x:c>
      <x:c r="F653" s="34" t="n">
        <x:f>Subsurface_Scenario_Data!D162</x:f>
        <x:v>17237.095893870202</x:v>
      </x:c>
    </x:row>
    <x:row r="654">
      <x:c r="A654" s="34" t="n">
        <x:f>Subsurface_Scenario_Data!A163</x:f>
        <x:v>20.5</x:v>
      </x:c>
      <x:c r="B654" s="34" t="n">
        <x:f>Subsurface_Scenario_Data!C163</x:f>
        <x:v>14211.171253853849</x:v>
      </x:c>
      <x:c r="C654" s="34" t="n">
        <x:f>Subsurface_Scenario_Data!A163</x:f>
        <x:v>20.5</x:v>
      </x:c>
      <x:c r="D654" s="34" t="n">
        <x:f>Subsurface_Scenario_Data!B163</x:f>
        <x:v>15711.171253853849</x:v>
      </x:c>
      <x:c r="E654" s="34" t="n">
        <x:f>Subsurface_Scenario_Data!A163</x:f>
        <x:v>20.5</x:v>
      </x:c>
      <x:c r="F654" s="34" t="n">
        <x:f>Subsurface_Scenario_Data!D163</x:f>
        <x:v>17211.17125385385</x:v>
      </x:c>
    </x:row>
    <x:row r="655">
      <x:c r="A655" s="34" t="n">
        <x:f>Subsurface_Scenario_Data!A164</x:f>
        <x:v>21</x:v>
      </x:c>
      <x:c r="B655" s="34" t="n">
        <x:f>Subsurface_Scenario_Data!C164</x:f>
        <x:v>14185.108568743879</x:v>
      </x:c>
      <x:c r="C655" s="34" t="n">
        <x:f>Subsurface_Scenario_Data!A164</x:f>
        <x:v>21</x:v>
      </x:c>
      <x:c r="D655" s="34" t="n">
        <x:f>Subsurface_Scenario_Data!B164</x:f>
        <x:v>15685.108568743879</x:v>
      </x:c>
      <x:c r="E655" s="34" t="n">
        <x:f>Subsurface_Scenario_Data!A164</x:f>
        <x:v>21</x:v>
      </x:c>
      <x:c r="F655" s="34" t="n">
        <x:f>Subsurface_Scenario_Data!D164</x:f>
        <x:v>17185.10856874388</x:v>
      </x:c>
    </x:row>
    <x:row r="656">
      <x:c r="A656" s="34" t="n">
        <x:f>Subsurface_Scenario_Data!A165</x:f>
        <x:v>21.5</x:v>
      </x:c>
      <x:c r="B656" s="34" t="n">
        <x:f>Subsurface_Scenario_Data!C165</x:f>
        <x:v>14158.02240777977</x:v>
      </x:c>
      <x:c r="C656" s="34" t="n">
        <x:f>Subsurface_Scenario_Data!A165</x:f>
        <x:v>21.5</x:v>
      </x:c>
      <x:c r="D656" s="34" t="n">
        <x:f>Subsurface_Scenario_Data!B165</x:f>
        <x:v>15658.02240777977</x:v>
      </x:c>
      <x:c r="E656" s="34" t="n">
        <x:f>Subsurface_Scenario_Data!A165</x:f>
        <x:v>21.5</x:v>
      </x:c>
      <x:c r="F656" s="34" t="n">
        <x:f>Subsurface_Scenario_Data!D165</x:f>
        <x:v>17158.02240777977</x:v>
      </x:c>
    </x:row>
    <x:row r="657">
      <x:c r="A657" s="34" t="n">
        <x:f>Subsurface_Scenario_Data!A166</x:f>
        <x:v>22</x:v>
      </x:c>
      <x:c r="B657" s="34" t="n">
        <x:f>Subsurface_Scenario_Data!C166</x:f>
        <x:v>14130.330005252259</x:v>
      </x:c>
      <x:c r="C657" s="34" t="n">
        <x:f>Subsurface_Scenario_Data!A166</x:f>
        <x:v>22</x:v>
      </x:c>
      <x:c r="D657" s="34" t="n">
        <x:f>Subsurface_Scenario_Data!B166</x:f>
        <x:v>15630.330005252259</x:v>
      </x:c>
      <x:c r="E657" s="34" t="n">
        <x:f>Subsurface_Scenario_Data!A166</x:f>
        <x:v>22</x:v>
      </x:c>
      <x:c r="F657" s="34" t="n">
        <x:f>Subsurface_Scenario_Data!D166</x:f>
        <x:v>17130.33000525226</x:v>
      </x:c>
    </x:row>
    <x:row r="658">
      <x:c r="A658" s="34" t="n">
        <x:f>Subsurface_Scenario_Data!A167</x:f>
        <x:v>22.5</x:v>
      </x:c>
      <x:c r="B658" s="34" t="n">
        <x:f>Subsurface_Scenario_Data!C167</x:f>
        <x:v>14103.432448110258</x:v>
      </x:c>
      <x:c r="C658" s="34" t="n">
        <x:f>Subsurface_Scenario_Data!A167</x:f>
        <x:v>22.5</x:v>
      </x:c>
      <x:c r="D658" s="34" t="n">
        <x:f>Subsurface_Scenario_Data!B167</x:f>
        <x:v>15603.432448110258</x:v>
      </x:c>
      <x:c r="E658" s="34" t="n">
        <x:f>Subsurface_Scenario_Data!A167</x:f>
        <x:v>22.5</x:v>
      </x:c>
      <x:c r="F658" s="34" t="n">
        <x:f>Subsurface_Scenario_Data!D167</x:f>
        <x:v>17103.43244811026</x:v>
      </x:c>
    </x:row>
    <x:row r="659">
      <x:c r="A659" s="34" t="n">
        <x:f>Subsurface_Scenario_Data!A168</x:f>
        <x:v>23</x:v>
      </x:c>
      <x:c r="B659" s="34" t="n">
        <x:f>Subsurface_Scenario_Data!C168</x:f>
        <x:v>14076.006285577792</x:v>
      </x:c>
      <x:c r="C659" s="34" t="n">
        <x:f>Subsurface_Scenario_Data!A168</x:f>
        <x:v>23</x:v>
      </x:c>
      <x:c r="D659" s="34" t="n">
        <x:f>Subsurface_Scenario_Data!B168</x:f>
        <x:v>15576.006285577792</x:v>
      </x:c>
      <x:c r="E659" s="34" t="n">
        <x:f>Subsurface_Scenario_Data!A168</x:f>
        <x:v>23</x:v>
      </x:c>
      <x:c r="F659" s="34" t="n">
        <x:f>Subsurface_Scenario_Data!D168</x:f>
        <x:v>17076.006285577794</x:v>
      </x:c>
    </x:row>
    <x:row r="660">
      <x:c r="A660" s="34" t="n">
        <x:f>Subsurface_Scenario_Data!A169</x:f>
        <x:v>23.5</x:v>
      </x:c>
      <x:c r="B660" s="34" t="n">
        <x:f>Subsurface_Scenario_Data!C169</x:f>
        <x:v>14048.580022641641</x:v>
      </x:c>
      <x:c r="C660" s="34" t="n">
        <x:f>Subsurface_Scenario_Data!A169</x:f>
        <x:v>23.5</x:v>
      </x:c>
      <x:c r="D660" s="34" t="n">
        <x:f>Subsurface_Scenario_Data!B169</x:f>
        <x:v>15548.580022641641</x:v>
      </x:c>
      <x:c r="E660" s="34" t="n">
        <x:f>Subsurface_Scenario_Data!A169</x:f>
        <x:v>23.5</x:v>
      </x:c>
      <x:c r="F660" s="34" t="n">
        <x:f>Subsurface_Scenario_Data!D169</x:f>
        <x:v>17048.58002264164</x:v>
      </x:c>
    </x:row>
    <x:row r="661">
      <x:c r="A661" s="34" t="n">
        <x:f>Subsurface_Scenario_Data!A170</x:f>
        <x:v>24</x:v>
      </x:c>
      <x:c r="B661" s="34" t="n">
        <x:f>Subsurface_Scenario_Data!C170</x:f>
        <x:v>14018.47278025502</x:v>
      </x:c>
      <x:c r="C661" s="34" t="n">
        <x:f>Subsurface_Scenario_Data!A170</x:f>
        <x:v>24</x:v>
      </x:c>
      <x:c r="D661" s="34" t="n">
        <x:f>Subsurface_Scenario_Data!B170</x:f>
        <x:v>15518.47278025502</x:v>
      </x:c>
      <x:c r="E661" s="34" t="n">
        <x:f>Subsurface_Scenario_Data!A170</x:f>
        <x:v>24</x:v>
      </x:c>
      <x:c r="F661" s="34" t="n">
        <x:f>Subsurface_Scenario_Data!D170</x:f>
        <x:v>17018.47278025502</x:v>
      </x:c>
    </x:row>
    <x:row r="662">
      <x:c r="A662" s="34" t="n">
        <x:f>Subsurface_Scenario_Data!A171</x:f>
        <x:v>24.5</x:v>
      </x:c>
      <x:c r="B662" s="34" t="n">
        <x:f>Subsurface_Scenario_Data!C171</x:f>
        <x:v>13993.131581035035</x:v>
      </x:c>
      <x:c r="C662" s="34" t="n">
        <x:f>Subsurface_Scenario_Data!A171</x:f>
        <x:v>24.5</x:v>
      </x:c>
      <x:c r="D662" s="34" t="n">
        <x:f>Subsurface_Scenario_Data!B171</x:f>
        <x:v>15493.131581035035</x:v>
      </x:c>
      <x:c r="E662" s="34" t="n">
        <x:f>Subsurface_Scenario_Data!A171</x:f>
        <x:v>24.5</x:v>
      </x:c>
      <x:c r="F662" s="34" t="n">
        <x:f>Subsurface_Scenario_Data!D171</x:f>
        <x:v>16993.131581035035</x:v>
      </x:c>
    </x:row>
    <x:row r="663">
      <x:c r="A663" s="34" t="n">
        <x:f>Subsurface_Scenario_Data!A172</x:f>
        <x:v>25</x:v>
      </x:c>
      <x:c r="B663" s="34" t="n">
        <x:f>Subsurface_Scenario_Data!C172</x:f>
        <x:v>13963.492493885004</x:v>
      </x:c>
      <x:c r="C663" s="34" t="n">
        <x:f>Subsurface_Scenario_Data!A172</x:f>
        <x:v>25</x:v>
      </x:c>
      <x:c r="D663" s="34" t="n">
        <x:f>Subsurface_Scenario_Data!B172</x:f>
        <x:v>15463.492493885004</x:v>
      </x:c>
      <x:c r="E663" s="34" t="n">
        <x:f>Subsurface_Scenario_Data!A172</x:f>
        <x:v>25</x:v>
      </x:c>
      <x:c r="F663" s="34" t="n">
        <x:f>Subsurface_Scenario_Data!D172</x:f>
        <x:v>16963.492493885</x:v>
      </x:c>
    </x:row>
    <x:row r="664">
      <x:c r="A664" s="34" t="n">
        <x:f>Subsurface_Scenario_Data!A173</x:f>
        <x:v>25.5</x:v>
      </x:c>
      <x:c r="B664" s="34" t="n">
        <x:f>Subsurface_Scenario_Data!C173</x:f>
        <x:v>13938.185629581796</x:v>
      </x:c>
      <x:c r="C664" s="34" t="n">
        <x:f>Subsurface_Scenario_Data!A173</x:f>
        <x:v>25.5</x:v>
      </x:c>
      <x:c r="D664" s="34" t="n">
        <x:f>Subsurface_Scenario_Data!B173</x:f>
        <x:v>15438.185629581796</x:v>
      </x:c>
      <x:c r="E664" s="34" t="n">
        <x:f>Subsurface_Scenario_Data!A173</x:f>
        <x:v>25.5</x:v>
      </x:c>
      <x:c r="F664" s="34" t="n">
        <x:f>Subsurface_Scenario_Data!D173</x:f>
        <x:v>16938.185629581796</x:v>
      </x:c>
    </x:row>
    <x:row r="665">
      <x:c r="A665" s="34" t="n">
        <x:f>Subsurface_Scenario_Data!A174</x:f>
        <x:v>26</x:v>
      </x:c>
      <x:c r="B665" s="34" t="n">
        <x:f>Subsurface_Scenario_Data!C174</x:f>
        <x:v>13909.145316242713</x:v>
      </x:c>
      <x:c r="C665" s="34" t="n">
        <x:f>Subsurface_Scenario_Data!A174</x:f>
        <x:v>26</x:v>
      </x:c>
      <x:c r="D665" s="34" t="n">
        <x:f>Subsurface_Scenario_Data!B174</x:f>
        <x:v>15409.145316242713</x:v>
      </x:c>
      <x:c r="E665" s="34" t="n">
        <x:f>Subsurface_Scenario_Data!A174</x:f>
        <x:v>26</x:v>
      </x:c>
      <x:c r="F665" s="34" t="n">
        <x:f>Subsurface_Scenario_Data!D174</x:f>
        <x:v>16909.145316242713</x:v>
      </x:c>
    </x:row>
    <x:row r="666">
      <x:c r="A666" s="34" t="n">
        <x:f>Subsurface_Scenario_Data!A175</x:f>
        <x:v>26.5</x:v>
      </x:c>
      <x:c r="B666" s="34" t="n">
        <x:f>Subsurface_Scenario_Data!C175</x:f>
        <x:v>13880.200342679758</x:v>
      </x:c>
      <x:c r="C666" s="34" t="n">
        <x:f>Subsurface_Scenario_Data!A175</x:f>
        <x:v>26.5</x:v>
      </x:c>
      <x:c r="D666" s="34" t="n">
        <x:f>Subsurface_Scenario_Data!B175</x:f>
        <x:v>15380.200342679758</x:v>
      </x:c>
      <x:c r="E666" s="34" t="n">
        <x:f>Subsurface_Scenario_Data!A175</x:f>
        <x:v>26.5</x:v>
      </x:c>
      <x:c r="F666" s="34" t="n">
        <x:f>Subsurface_Scenario_Data!D175</x:f>
        <x:v>16880.20034267976</x:v>
      </x:c>
    </x:row>
    <x:row r="667">
      <x:c r="A667" s="34" t="n">
        <x:f>Subsurface_Scenario_Data!A176</x:f>
        <x:v>27</x:v>
      </x:c>
      <x:c r="B667" s="34" t="n">
        <x:f>Subsurface_Scenario_Data!C176</x:f>
        <x:v>13855.916304404951</x:v>
      </x:c>
      <x:c r="C667" s="34" t="n">
        <x:f>Subsurface_Scenario_Data!A176</x:f>
        <x:v>27</x:v>
      </x:c>
      <x:c r="D667" s="34" t="n">
        <x:f>Subsurface_Scenario_Data!B176</x:f>
        <x:v>15355.916304404951</x:v>
      </x:c>
      <x:c r="E667" s="34" t="n">
        <x:f>Subsurface_Scenario_Data!A176</x:f>
        <x:v>27</x:v>
      </x:c>
      <x:c r="F667" s="34" t="n">
        <x:f>Subsurface_Scenario_Data!D176</x:f>
        <x:v>16855.91630440495</x:v>
      </x:c>
    </x:row>
    <x:row r="668">
      <x:c r="A668" s="34" t="n">
        <x:f>Subsurface_Scenario_Data!A177</x:f>
        <x:v>27.5</x:v>
      </x:c>
      <x:c r="B668" s="34" t="n">
        <x:f>Subsurface_Scenario_Data!C177</x:f>
        <x:v>13827.740262481037</x:v>
      </x:c>
      <x:c r="C668" s="34" t="n">
        <x:f>Subsurface_Scenario_Data!A177</x:f>
        <x:v>27.5</x:v>
      </x:c>
      <x:c r="D668" s="34" t="n">
        <x:f>Subsurface_Scenario_Data!B177</x:f>
        <x:v>15327.740262481037</x:v>
      </x:c>
      <x:c r="E668" s="34" t="n">
        <x:f>Subsurface_Scenario_Data!A177</x:f>
        <x:v>27.5</x:v>
      </x:c>
      <x:c r="F668" s="34" t="n">
        <x:f>Subsurface_Scenario_Data!D177</x:f>
        <x:v>16827.740262481035</x:v>
      </x:c>
    </x:row>
    <x:row r="669">
      <x:c r="A669" s="34" t="n">
        <x:f>Subsurface_Scenario_Data!A178</x:f>
        <x:v>28</x:v>
      </x:c>
      <x:c r="B669" s="34" t="n">
        <x:f>Subsurface_Scenario_Data!C178</x:f>
        <x:v>13801.840793373181</x:v>
      </x:c>
      <x:c r="C669" s="34" t="n">
        <x:f>Subsurface_Scenario_Data!A178</x:f>
        <x:v>28</x:v>
      </x:c>
      <x:c r="D669" s="34" t="n">
        <x:f>Subsurface_Scenario_Data!B178</x:f>
        <x:v>15301.840793373181</x:v>
      </x:c>
      <x:c r="E669" s="34" t="n">
        <x:f>Subsurface_Scenario_Data!A178</x:f>
        <x:v>28</x:v>
      </x:c>
      <x:c r="F669" s="34" t="n">
        <x:f>Subsurface_Scenario_Data!D178</x:f>
        <x:v>16801.84079337318</x:v>
      </x:c>
    </x:row>
    <x:row r="670">
      <x:c r="A670" s="34" t="n">
        <x:f>Subsurface_Scenario_Data!A179</x:f>
        <x:v>28.5</x:v>
      </x:c>
      <x:c r="B670" s="34" t="n">
        <x:f>Subsurface_Scenario_Data!C179</x:f>
        <x:v>13772.833757183122</x:v>
      </x:c>
      <x:c r="C670" s="34" t="n">
        <x:f>Subsurface_Scenario_Data!A179</x:f>
        <x:v>28.5</x:v>
      </x:c>
      <x:c r="D670" s="34" t="n">
        <x:f>Subsurface_Scenario_Data!B179</x:f>
        <x:v>15272.833757183122</x:v>
      </x:c>
      <x:c r="E670" s="34" t="n">
        <x:f>Subsurface_Scenario_Data!A179</x:f>
        <x:v>28.5</x:v>
      </x:c>
      <x:c r="F670" s="34" t="n">
        <x:f>Subsurface_Scenario_Data!D179</x:f>
        <x:v>16772.83375718312</x:v>
      </x:c>
    </x:row>
    <x:row r="671">
      <x:c r="A671" s="34" t="n">
        <x:f>Subsurface_Scenario_Data!A180</x:f>
        <x:v>29</x:v>
      </x:c>
      <x:c r="B671" s="34" t="n">
        <x:f>Subsurface_Scenario_Data!C180</x:f>
        <x:v>13747.471049891155</x:v>
      </x:c>
      <x:c r="C671" s="34" t="n">
        <x:f>Subsurface_Scenario_Data!A180</x:f>
        <x:v>29</x:v>
      </x:c>
      <x:c r="D671" s="34" t="n">
        <x:f>Subsurface_Scenario_Data!B180</x:f>
        <x:v>15247.471049891155</x:v>
      </x:c>
      <x:c r="E671" s="34" t="n">
        <x:f>Subsurface_Scenario_Data!A180</x:f>
        <x:v>29</x:v>
      </x:c>
      <x:c r="F671" s="34" t="n">
        <x:f>Subsurface_Scenario_Data!D180</x:f>
        <x:v>16747.471049891155</x:v>
      </x:c>
    </x:row>
    <x:row r="672">
      <x:c r="A672" s="34" t="n">
        <x:f>Subsurface_Scenario_Data!A181</x:f>
        <x:v>29.5</x:v>
      </x:c>
      <x:c r="B672" s="34" t="n">
        <x:f>Subsurface_Scenario_Data!C181</x:f>
        <x:v>13721.486466946375</x:v>
      </x:c>
      <x:c r="C672" s="34" t="n">
        <x:f>Subsurface_Scenario_Data!A181</x:f>
        <x:v>29.5</x:v>
      </x:c>
      <x:c r="D672" s="34" t="n">
        <x:f>Subsurface_Scenario_Data!B181</x:f>
        <x:v>15221.486466946375</x:v>
      </x:c>
      <x:c r="E672" s="34" t="n">
        <x:f>Subsurface_Scenario_Data!A181</x:f>
        <x:v>29.5</x:v>
      </x:c>
      <x:c r="F672" s="34" t="n">
        <x:f>Subsurface_Scenario_Data!D181</x:f>
        <x:v>16721.486466946375</x:v>
      </x:c>
    </x:row>
    <x:row r="673">
      <x:c r="A673" s="34" t="n">
        <x:f>Subsurface_Scenario_Data!A182</x:f>
        <x:v>30</x:v>
      </x:c>
      <x:c r="B673" s="34" t="n">
        <x:f>Subsurface_Scenario_Data!C182</x:f>
        <x:v>13693.623838416177</x:v>
      </x:c>
      <x:c r="C673" s="34" t="n">
        <x:f>Subsurface_Scenario_Data!A182</x:f>
        <x:v>30</x:v>
      </x:c>
      <x:c r="D673" s="34" t="n">
        <x:f>Subsurface_Scenario_Data!B182</x:f>
        <x:v>15193.623838416177</x:v>
      </x:c>
      <x:c r="E673" s="34" t="n">
        <x:f>Subsurface_Scenario_Data!A182</x:f>
        <x:v>30</x:v>
      </x:c>
      <x:c r="F673" s="34" t="n">
        <x:f>Subsurface_Scenario_Data!D182</x:f>
        <x:v>16693.623838416177</x:v>
      </x:c>
    </x:row>
    <x:row r="674">
      <x:c r="A674" s="34" t="n">
        <x:f>Subsurface_Scenario_Data!A183</x:f>
        <x:v>30.5</x:v>
      </x:c>
      <x:c r="B674" s="34" t="n">
        <x:f>Subsurface_Scenario_Data!C183</x:f>
        <x:v>13667.924996429276</x:v>
      </x:c>
      <x:c r="C674" s="34" t="n">
        <x:f>Subsurface_Scenario_Data!A183</x:f>
        <x:v>30.5</x:v>
      </x:c>
      <x:c r="D674" s="34" t="n">
        <x:f>Subsurface_Scenario_Data!B183</x:f>
        <x:v>15167.924996429276</x:v>
      </x:c>
      <x:c r="E674" s="34" t="n">
        <x:f>Subsurface_Scenario_Data!A183</x:f>
        <x:v>30.5</x:v>
      </x:c>
      <x:c r="F674" s="34" t="n">
        <x:f>Subsurface_Scenario_Data!D183</x:f>
        <x:v>16667.924996429276</x:v>
      </x:c>
    </x:row>
    <x:row r="675">
      <x:c r="A675" s="34" t="n">
        <x:f>Subsurface_Scenario_Data!A184</x:f>
        <x:v>31</x:v>
      </x:c>
      <x:c r="B675" s="34" t="n">
        <x:f>Subsurface_Scenario_Data!C184</x:f>
        <x:v>13640.057820585285</x:v>
      </x:c>
      <x:c r="C675" s="34" t="n">
        <x:f>Subsurface_Scenario_Data!A184</x:f>
        <x:v>31</x:v>
      </x:c>
      <x:c r="D675" s="34" t="n">
        <x:f>Subsurface_Scenario_Data!B184</x:f>
        <x:v>15140.057820585285</x:v>
      </x:c>
      <x:c r="E675" s="34" t="n">
        <x:f>Subsurface_Scenario_Data!A184</x:f>
        <x:v>31</x:v>
      </x:c>
      <x:c r="F675" s="34" t="n">
        <x:f>Subsurface_Scenario_Data!D184</x:f>
        <x:v>16640.057820585287</x:v>
      </x:c>
    </x:row>
    <x:row r="676">
      <x:c r="A676" s="34" t="n">
        <x:f>Subsurface_Scenario_Data!A185</x:f>
        <x:v>31.5</x:v>
      </x:c>
      <x:c r="B676" s="34" t="n">
        <x:f>Subsurface_Scenario_Data!C185</x:f>
        <x:v>13615.746926095402</x:v>
      </x:c>
      <x:c r="C676" s="34" t="n">
        <x:f>Subsurface_Scenario_Data!A185</x:f>
        <x:v>31.5</x:v>
      </x:c>
      <x:c r="D676" s="34" t="n">
        <x:f>Subsurface_Scenario_Data!B185</x:f>
        <x:v>15115.746926095402</x:v>
      </x:c>
      <x:c r="E676" s="34" t="n">
        <x:f>Subsurface_Scenario_Data!A185</x:f>
        <x:v>31.5</x:v>
      </x:c>
      <x:c r="F676" s="34" t="n">
        <x:f>Subsurface_Scenario_Data!D185</x:f>
        <x:v>16615.746926095402</x:v>
      </x:c>
    </x:row>
    <x:row r="677">
      <x:c r="A677" s="34" t="n">
        <x:f>Subsurface_Scenario_Data!A186</x:f>
        <x:v>32</x:v>
      </x:c>
      <x:c r="B677" s="34" t="n">
        <x:f>Subsurface_Scenario_Data!C186</x:f>
        <x:v>13587.819991779359</x:v>
      </x:c>
      <x:c r="C677" s="34" t="n">
        <x:f>Subsurface_Scenario_Data!A186</x:f>
        <x:v>32</x:v>
      </x:c>
      <x:c r="D677" s="34" t="n">
        <x:f>Subsurface_Scenario_Data!B186</x:f>
        <x:v>15087.819991779359</x:v>
      </x:c>
      <x:c r="E677" s="34" t="n">
        <x:f>Subsurface_Scenario_Data!A186</x:f>
        <x:v>32</x:v>
      </x:c>
      <x:c r="F677" s="34" t="n">
        <x:f>Subsurface_Scenario_Data!D186</x:f>
        <x:v>16587.81999177936</x:v>
      </x:c>
    </x:row>
    <x:row r="678">
      <x:c r="A678" s="34" t="n">
        <x:f>Subsurface_Scenario_Data!A187</x:f>
        <x:v>32.5</x:v>
      </x:c>
      <x:c r="B678" s="34" t="n">
        <x:f>Subsurface_Scenario_Data!C187</x:f>
        <x:v>13560.407592662797</x:v>
      </x:c>
      <x:c r="C678" s="34" t="n">
        <x:f>Subsurface_Scenario_Data!A187</x:f>
        <x:v>32.5</x:v>
      </x:c>
      <x:c r="D678" s="34" t="n">
        <x:f>Subsurface_Scenario_Data!B187</x:f>
        <x:v>15060.407592662797</x:v>
      </x:c>
      <x:c r="E678" s="34" t="n">
        <x:f>Subsurface_Scenario_Data!A187</x:f>
        <x:v>32.5</x:v>
      </x:c>
      <x:c r="F678" s="34" t="n">
        <x:f>Subsurface_Scenario_Data!D187</x:f>
        <x:v>16560.4075926628</x:v>
      </x:c>
    </x:row>
    <x:row r="679">
      <x:c r="A679" s="34" t="n">
        <x:f>Subsurface_Scenario_Data!A188</x:f>
        <x:v>33</x:v>
      </x:c>
      <x:c r="B679" s="34" t="n">
        <x:f>Subsurface_Scenario_Data!C188</x:f>
        <x:v>13534.536710550718</x:v>
      </x:c>
      <x:c r="C679" s="34" t="n">
        <x:f>Subsurface_Scenario_Data!A188</x:f>
        <x:v>33</x:v>
      </x:c>
      <x:c r="D679" s="34" t="n">
        <x:f>Subsurface_Scenario_Data!B188</x:f>
        <x:v>15034.536710550718</x:v>
      </x:c>
      <x:c r="E679" s="34" t="n">
        <x:f>Subsurface_Scenario_Data!A188</x:f>
        <x:v>33</x:v>
      </x:c>
      <x:c r="F679" s="34" t="n">
        <x:f>Subsurface_Scenario_Data!D188</x:f>
        <x:v>16534.536710550718</x:v>
      </x:c>
    </x:row>
    <x:row r="680">
      <x:c r="A680" s="34" t="n">
        <x:f>Subsurface_Scenario_Data!A189</x:f>
        <x:v>33.5</x:v>
      </x:c>
      <x:c r="B680" s="34" t="n">
        <x:f>Subsurface_Scenario_Data!C189</x:f>
        <x:v>13508.916500694751</x:v>
      </x:c>
      <x:c r="C680" s="34" t="n">
        <x:f>Subsurface_Scenario_Data!A189</x:f>
        <x:v>33.5</x:v>
      </x:c>
      <x:c r="D680" s="34" t="n">
        <x:f>Subsurface_Scenario_Data!B189</x:f>
        <x:v>15008.916500694751</x:v>
      </x:c>
      <x:c r="E680" s="34" t="n">
        <x:f>Subsurface_Scenario_Data!A189</x:f>
        <x:v>33.5</x:v>
      </x:c>
      <x:c r="F680" s="34" t="n">
        <x:f>Subsurface_Scenario_Data!D189</x:f>
        <x:v>16508.91650069475</x:v>
      </x:c>
    </x:row>
    <x:row r="681">
      <x:c r="A681" s="34" t="n">
        <x:f>Subsurface_Scenario_Data!A190</x:f>
        <x:v>34</x:v>
      </x:c>
      <x:c r="B681" s="34" t="n">
        <x:f>Subsurface_Scenario_Data!C190</x:f>
        <x:v>13481.50285514281</x:v>
      </x:c>
      <x:c r="C681" s="34" t="n">
        <x:f>Subsurface_Scenario_Data!A190</x:f>
        <x:v>34</x:v>
      </x:c>
      <x:c r="D681" s="34" t="n">
        <x:f>Subsurface_Scenario_Data!B190</x:f>
        <x:v>14981.50285514281</x:v>
      </x:c>
      <x:c r="E681" s="34" t="n">
        <x:f>Subsurface_Scenario_Data!A190</x:f>
        <x:v>34</x:v>
      </x:c>
      <x:c r="F681" s="34" t="n">
        <x:f>Subsurface_Scenario_Data!D190</x:f>
        <x:v>16481.50285514281</x:v>
      </x:c>
    </x:row>
    <x:row r="682">
      <x:c r="A682" s="34" t="n">
        <x:f>Subsurface_Scenario_Data!A191</x:f>
        <x:v>34.5</x:v>
      </x:c>
      <x:c r="B682" s="34" t="n">
        <x:f>Subsurface_Scenario_Data!C191</x:f>
        <x:v>13456.29351283138</x:v>
      </x:c>
      <x:c r="C682" s="34" t="n">
        <x:f>Subsurface_Scenario_Data!A191</x:f>
        <x:v>34.5</x:v>
      </x:c>
      <x:c r="D682" s="34" t="n">
        <x:f>Subsurface_Scenario_Data!B191</x:f>
        <x:v>14956.29351283138</x:v>
      </x:c>
      <x:c r="E682" s="34" t="n">
        <x:f>Subsurface_Scenario_Data!A191</x:f>
        <x:v>34.5</x:v>
      </x:c>
      <x:c r="F682" s="34" t="n">
        <x:f>Subsurface_Scenario_Data!D191</x:f>
        <x:v>16456.29351283138</x:v>
      </x:c>
    </x:row>
    <x:row r="683">
      <x:c r="A683" s="34" t="n">
        <x:f>Subsurface_Scenario_Data!A192</x:f>
        <x:v>35</x:v>
      </x:c>
      <x:c r="B683" s="34" t="n">
        <x:f>Subsurface_Scenario_Data!C192</x:f>
        <x:v>13433.449478009088</x:v>
      </x:c>
      <x:c r="C683" s="34" t="n">
        <x:f>Subsurface_Scenario_Data!A192</x:f>
        <x:v>35</x:v>
      </x:c>
      <x:c r="D683" s="34" t="n">
        <x:f>Subsurface_Scenario_Data!B192</x:f>
        <x:v>14933.449478009088</x:v>
      </x:c>
      <x:c r="E683" s="34" t="n">
        <x:f>Subsurface_Scenario_Data!A192</x:f>
        <x:v>35</x:v>
      </x:c>
      <x:c r="F683" s="34" t="n">
        <x:f>Subsurface_Scenario_Data!D192</x:f>
        <x:v>16433.44947800909</x:v>
      </x:c>
    </x:row>
    <x:row r="684">
      <x:c r="A684" s="34" t="n">
        <x:f>Subsurface_Scenario_Data!A193</x:f>
        <x:v>35.5</x:v>
      </x:c>
      <x:c r="B684" s="34" t="n">
        <x:f>Subsurface_Scenario_Data!C193</x:f>
        <x:v>13410.216672625642</x:v>
      </x:c>
      <x:c r="C684" s="34" t="n">
        <x:f>Subsurface_Scenario_Data!A193</x:f>
        <x:v>35.5</x:v>
      </x:c>
      <x:c r="D684" s="34" t="n">
        <x:f>Subsurface_Scenario_Data!B193</x:f>
        <x:v>14910.216672625642</x:v>
      </x:c>
      <x:c r="E684" s="34" t="n">
        <x:f>Subsurface_Scenario_Data!A193</x:f>
        <x:v>35.5</x:v>
      </x:c>
      <x:c r="F684" s="34" t="n">
        <x:f>Subsurface_Scenario_Data!D193</x:f>
        <x:v>16410.21667262564</x:v>
      </x:c>
    </x:row>
    <x:row r="685">
      <x:c r="A685" s="34" t="n">
        <x:f>Subsurface_Scenario_Data!A194</x:f>
        <x:v>36</x:v>
      </x:c>
      <x:c r="B685" s="34" t="n">
        <x:f>Subsurface_Scenario_Data!C194</x:f>
        <x:v>13386.46343791321</x:v>
      </x:c>
      <x:c r="C685" s="34" t="n">
        <x:f>Subsurface_Scenario_Data!A194</x:f>
        <x:v>36</x:v>
      </x:c>
      <x:c r="D685" s="34" t="n">
        <x:f>Subsurface_Scenario_Data!B194</x:f>
        <x:v>14886.46343791321</x:v>
      </x:c>
      <x:c r="E685" s="34" t="n">
        <x:f>Subsurface_Scenario_Data!A194</x:f>
        <x:v>36</x:v>
      </x:c>
      <x:c r="F685" s="34" t="n">
        <x:f>Subsurface_Scenario_Data!D194</x:f>
        <x:v>16386.46343791321</x:v>
      </x:c>
    </x:row>
    <x:row r="686">
      <x:c r="A686" s="34" t="n">
        <x:f>Subsurface_Scenario_Data!A195</x:f>
        <x:v>36.5</x:v>
      </x:c>
      <x:c r="B686" s="34" t="n">
        <x:f>Subsurface_Scenario_Data!C195</x:f>
        <x:v>13361.558563029474</x:v>
      </x:c>
      <x:c r="C686" s="34" t="n">
        <x:f>Subsurface_Scenario_Data!A195</x:f>
        <x:v>36.5</x:v>
      </x:c>
      <x:c r="D686" s="34" t="n">
        <x:f>Subsurface_Scenario_Data!B195</x:f>
        <x:v>14861.558563029474</x:v>
      </x:c>
      <x:c r="E686" s="34" t="n">
        <x:f>Subsurface_Scenario_Data!A195</x:f>
        <x:v>36.5</x:v>
      </x:c>
      <x:c r="F686" s="34" t="n">
        <x:f>Subsurface_Scenario_Data!D195</x:f>
        <x:v>16361.558563029474</x:v>
      </x:c>
    </x:row>
    <x:row r="687">
      <x:c r="A687" s="34" t="n">
        <x:f>Subsurface_Scenario_Data!A196</x:f>
        <x:v>37</x:v>
      </x:c>
      <x:c r="B687" s="34" t="n">
        <x:f>Subsurface_Scenario_Data!C196</x:f>
        <x:v>13340.110005912007</x:v>
      </x:c>
      <x:c r="C687" s="34" t="n">
        <x:f>Subsurface_Scenario_Data!A196</x:f>
        <x:v>37</x:v>
      </x:c>
      <x:c r="D687" s="34" t="n">
        <x:f>Subsurface_Scenario_Data!B196</x:f>
        <x:v>14840.110005912007</x:v>
      </x:c>
      <x:c r="E687" s="34" t="n">
        <x:f>Subsurface_Scenario_Data!A196</x:f>
        <x:v>37</x:v>
      </x:c>
      <x:c r="F687" s="34" t="n">
        <x:f>Subsurface_Scenario_Data!D196</x:f>
        <x:v>16340.110005912007</x:v>
      </x:c>
    </x:row>
    <x:row r="688">
      <x:c r="A688" s="34" t="n">
        <x:f>Subsurface_Scenario_Data!A197</x:f>
        <x:v>37.5</x:v>
      </x:c>
      <x:c r="B688" s="34" t="n">
        <x:f>Subsurface_Scenario_Data!C197</x:f>
        <x:v>13319.341583785392</x:v>
      </x:c>
      <x:c r="C688" s="34" t="n">
        <x:f>Subsurface_Scenario_Data!A197</x:f>
        <x:v>37.5</x:v>
      </x:c>
      <x:c r="D688" s="34" t="n">
        <x:f>Subsurface_Scenario_Data!B197</x:f>
        <x:v>14819.341583785392</x:v>
      </x:c>
      <x:c r="E688" s="34" t="n">
        <x:f>Subsurface_Scenario_Data!A197</x:f>
        <x:v>37.5</x:v>
      </x:c>
      <x:c r="F688" s="34" t="n">
        <x:f>Subsurface_Scenario_Data!D197</x:f>
        <x:v>16319.341583785392</x:v>
      </x:c>
    </x:row>
    <x:row r="689">
      <x:c r="A689" s="34" t="n">
        <x:f>Subsurface_Scenario_Data!A198</x:f>
        <x:v>38</x:v>
      </x:c>
      <x:c r="B689" s="34" t="n">
        <x:f>Subsurface_Scenario_Data!C198</x:f>
        <x:v>13299.576086730554</x:v>
      </x:c>
      <x:c r="C689" s="34" t="n">
        <x:f>Subsurface_Scenario_Data!A198</x:f>
        <x:v>38</x:v>
      </x:c>
      <x:c r="D689" s="34" t="n">
        <x:f>Subsurface_Scenario_Data!B198</x:f>
        <x:v>14799.576086730554</x:v>
      </x:c>
      <x:c r="E689" s="34" t="n">
        <x:f>Subsurface_Scenario_Data!A198</x:f>
        <x:v>38</x:v>
      </x:c>
      <x:c r="F689" s="34" t="n">
        <x:f>Subsurface_Scenario_Data!D198</x:f>
        <x:v>16299.576086730554</x:v>
      </x:c>
    </x:row>
    <x:row r="690">
      <x:c r="A690" s="34" t="n">
        <x:f>Subsurface_Scenario_Data!A199</x:f>
        <x:v>38.5</x:v>
      </x:c>
      <x:c r="B690" s="34" t="n">
        <x:f>Subsurface_Scenario_Data!C199</x:f>
        <x:v>13276.789430047362</x:v>
      </x:c>
      <x:c r="C690" s="34" t="n">
        <x:f>Subsurface_Scenario_Data!A199</x:f>
        <x:v>38.5</x:v>
      </x:c>
      <x:c r="D690" s="34" t="n">
        <x:f>Subsurface_Scenario_Data!B199</x:f>
        <x:v>14776.789430047362</x:v>
      </x:c>
      <x:c r="E690" s="34" t="n">
        <x:f>Subsurface_Scenario_Data!A199</x:f>
        <x:v>38.5</x:v>
      </x:c>
      <x:c r="F690" s="34" t="n">
        <x:f>Subsurface_Scenario_Data!D199</x:f>
        <x:v>16276.789430047362</x:v>
      </x:c>
    </x:row>
    <x:row r="691">
      <x:c r="A691" s="34" t="n">
        <x:f>Subsurface_Scenario_Data!A200</x:f>
        <x:v>39</x:v>
      </x:c>
      <x:c r="B691" s="34" t="n">
        <x:f>Subsurface_Scenario_Data!C200</x:f>
        <x:v>13259.992307171664</x:v>
      </x:c>
      <x:c r="C691" s="34" t="n">
        <x:f>Subsurface_Scenario_Data!A200</x:f>
        <x:v>39</x:v>
      </x:c>
      <x:c r="D691" s="34" t="n">
        <x:f>Subsurface_Scenario_Data!B200</x:f>
        <x:v>14759.992307171664</x:v>
      </x:c>
      <x:c r="E691" s="34" t="n">
        <x:f>Subsurface_Scenario_Data!A200</x:f>
        <x:v>39</x:v>
      </x:c>
      <x:c r="F691" s="34" t="n">
        <x:f>Subsurface_Scenario_Data!D200</x:f>
        <x:v>16259.992307171664</x:v>
      </x:c>
    </x:row>
    <x:row r="692">
      <x:c r="A692" s="34" t="n">
        <x:f>Subsurface_Scenario_Data!A201</x:f>
        <x:v>39.5</x:v>
      </x:c>
      <x:c r="B692" s="34" t="n">
        <x:f>Subsurface_Scenario_Data!C201</x:f>
        <x:v>13243.375119644172</x:v>
      </x:c>
      <x:c r="C692" s="34" t="n">
        <x:f>Subsurface_Scenario_Data!A201</x:f>
        <x:v>39.5</x:v>
      </x:c>
      <x:c r="D692" s="34" t="n">
        <x:f>Subsurface_Scenario_Data!B201</x:f>
        <x:v>14743.375119644172</x:v>
      </x:c>
      <x:c r="E692" s="34" t="n">
        <x:f>Subsurface_Scenario_Data!A201</x:f>
        <x:v>39.5</x:v>
      </x:c>
      <x:c r="F692" s="34" t="n">
        <x:f>Subsurface_Scenario_Data!D201</x:f>
        <x:v>16243.375119644172</x:v>
      </x:c>
    </x:row>
    <x:row r="693">
      <x:c r="A693" s="34" t="n">
        <x:f>Subsurface_Scenario_Data!A202</x:f>
        <x:v>40</x:v>
      </x:c>
      <x:c r="B693" s="34" t="n">
        <x:f>Subsurface_Scenario_Data!C202</x:f>
        <x:v>13226.192868523865</x:v>
      </x:c>
      <x:c r="C693" s="34" t="n">
        <x:f>Subsurface_Scenario_Data!A202</x:f>
        <x:v>40</x:v>
      </x:c>
      <x:c r="D693" s="34" t="n">
        <x:f>Subsurface_Scenario_Data!B202</x:f>
        <x:v>14726.192868523865</x:v>
      </x:c>
      <x:c r="E693" s="34" t="n">
        <x:f>Subsurface_Scenario_Data!A202</x:f>
        <x:v>40</x:v>
      </x:c>
      <x:c r="F693" s="34" t="n">
        <x:f>Subsurface_Scenario_Data!D202</x:f>
        <x:v>16226.192868523865</x:v>
      </x:c>
    </x:row>
    <x:row r="694">
      <x:c r="A694" s="34" t="n">
        <x:f>Subsurface_Scenario_Data!A203</x:f>
        <x:v>40.5</x:v>
      </x:c>
      <x:c r="B694" s="34" t="n">
        <x:f>Subsurface_Scenario_Data!C203</x:f>
        <x:v>13211.226828791258</x:v>
      </x:c>
      <x:c r="C694" s="34" t="n">
        <x:f>Subsurface_Scenario_Data!A203</x:f>
        <x:v>40.5</x:v>
      </x:c>
      <x:c r="D694" s="34" t="n">
        <x:f>Subsurface_Scenario_Data!B203</x:f>
        <x:v>14711.226828791258</x:v>
      </x:c>
      <x:c r="E694" s="34" t="n">
        <x:f>Subsurface_Scenario_Data!A203</x:f>
        <x:v>40.5</x:v>
      </x:c>
      <x:c r="F694" s="34" t="n">
        <x:f>Subsurface_Scenario_Data!D203</x:f>
        <x:v>16211.226828791258</x:v>
      </x:c>
    </x:row>
    <x:row r="695">
      <x:c r="A695" s="34" t="n">
        <x:f>Subsurface_Scenario_Data!A204</x:f>
        <x:v>41</x:v>
      </x:c>
      <x:c r="B695" s="34" t="n">
        <x:f>Subsurface_Scenario_Data!C204</x:f>
        <x:v>13199.881320538967</x:v>
      </x:c>
      <x:c r="C695" s="34" t="n">
        <x:f>Subsurface_Scenario_Data!A204</x:f>
        <x:v>41</x:v>
      </x:c>
      <x:c r="D695" s="34" t="n">
        <x:f>Subsurface_Scenario_Data!B204</x:f>
        <x:v>14699.881320538967</x:v>
      </x:c>
      <x:c r="E695" s="34" t="n">
        <x:f>Subsurface_Scenario_Data!A204</x:f>
        <x:v>41</x:v>
      </x:c>
      <x:c r="F695" s="34" t="n">
        <x:f>Subsurface_Scenario_Data!D204</x:f>
        <x:v>16199.881320538967</x:v>
      </x:c>
    </x:row>
    <x:row r="696">
      <x:c r="A696" s="34" t="n">
        <x:f>Subsurface_Scenario_Data!A205</x:f>
        <x:v>41.5</x:v>
      </x:c>
      <x:c r="B696" s="34" t="n">
        <x:f>Subsurface_Scenario_Data!C205</x:f>
        <x:v>13187.004164423177</x:v>
      </x:c>
      <x:c r="C696" s="34" t="n">
        <x:f>Subsurface_Scenario_Data!A205</x:f>
        <x:v>41.5</x:v>
      </x:c>
      <x:c r="D696" s="34" t="n">
        <x:f>Subsurface_Scenario_Data!B205</x:f>
        <x:v>14687.004164423177</x:v>
      </x:c>
      <x:c r="E696" s="34" t="n">
        <x:f>Subsurface_Scenario_Data!A205</x:f>
        <x:v>41.5</x:v>
      </x:c>
      <x:c r="F696" s="34" t="n">
        <x:f>Subsurface_Scenario_Data!D205</x:f>
        <x:v>16187.004164423177</x:v>
      </x:c>
    </x:row>
    <x:row r="697">
      <x:c r="A697" s="34" t="n">
        <x:f>Subsurface_Scenario_Data!A206</x:f>
        <x:v>42</x:v>
      </x:c>
      <x:c r="B697" s="34" t="n">
        <x:f>Subsurface_Scenario_Data!C206</x:f>
        <x:v>13173.651759639273</x:v>
      </x:c>
      <x:c r="C697" s="34" t="n">
        <x:f>Subsurface_Scenario_Data!A206</x:f>
        <x:v>42</x:v>
      </x:c>
      <x:c r="D697" s="34" t="n">
        <x:f>Subsurface_Scenario_Data!B206</x:f>
        <x:v>14673.651759639273</x:v>
      </x:c>
      <x:c r="E697" s="34" t="n">
        <x:f>Subsurface_Scenario_Data!A206</x:f>
        <x:v>42</x:v>
      </x:c>
      <x:c r="F697" s="34" t="n">
        <x:f>Subsurface_Scenario_Data!D206</x:f>
        <x:v>16173.651759639273</x:v>
      </x:c>
    </x:row>
    <x:row r="698">
      <x:c r="A698" s="34" t="n">
        <x:f>Subsurface_Scenario_Data!A207</x:f>
        <x:v>42.5</x:v>
      </x:c>
      <x:c r="B698" s="34" t="n">
        <x:f>Subsurface_Scenario_Data!C207</x:f>
        <x:v>13162.973588793413</x:v>
      </x:c>
      <x:c r="C698" s="34" t="n">
        <x:f>Subsurface_Scenario_Data!A207</x:f>
        <x:v>42.5</x:v>
      </x:c>
      <x:c r="D698" s="34" t="n">
        <x:f>Subsurface_Scenario_Data!B207</x:f>
        <x:v>14662.973588793413</x:v>
      </x:c>
      <x:c r="E698" s="34" t="n">
        <x:f>Subsurface_Scenario_Data!A207</x:f>
        <x:v>42.5</x:v>
      </x:c>
      <x:c r="F698" s="34" t="n">
        <x:f>Subsurface_Scenario_Data!D207</x:f>
        <x:v>16162.973588793413</x:v>
      </x:c>
    </x:row>
    <x:row r="699">
      <x:c r="A699" s="34" t="n">
        <x:f>Subsurface_Scenario_Data!A208</x:f>
        <x:v>43</x:v>
      </x:c>
      <x:c r="B699" s="34" t="n">
        <x:f>Subsurface_Scenario_Data!C208</x:f>
        <x:v>13153.271975733256</x:v>
      </x:c>
      <x:c r="C699" s="34" t="n">
        <x:f>Subsurface_Scenario_Data!A208</x:f>
        <x:v>43</x:v>
      </x:c>
      <x:c r="D699" s="34" t="n">
        <x:f>Subsurface_Scenario_Data!B208</x:f>
        <x:v>14653.271975733256</x:v>
      </x:c>
      <x:c r="E699" s="34" t="n">
        <x:f>Subsurface_Scenario_Data!A208</x:f>
        <x:v>43</x:v>
      </x:c>
      <x:c r="F699" s="34" t="n">
        <x:f>Subsurface_Scenario_Data!D208</x:f>
        <x:v>16153.271975733256</x:v>
      </x:c>
    </x:row>
    <x:row r="700">
      <x:c r="A700" s="34" t="n">
        <x:f>Subsurface_Scenario_Data!A209</x:f>
        <x:v>43.5</x:v>
      </x:c>
      <x:c r="B700" s="34" t="n">
        <x:f>Subsurface_Scenario_Data!C209</x:f>
        <x:v>13145.692657462254</x:v>
      </x:c>
      <x:c r="C700" s="34" t="n">
        <x:f>Subsurface_Scenario_Data!A209</x:f>
        <x:v>43.5</x:v>
      </x:c>
      <x:c r="D700" s="34" t="n">
        <x:f>Subsurface_Scenario_Data!B209</x:f>
        <x:v>14645.692657462254</x:v>
      </x:c>
      <x:c r="E700" s="34" t="n">
        <x:f>Subsurface_Scenario_Data!A209</x:f>
        <x:v>43.5</x:v>
      </x:c>
      <x:c r="F700" s="34" t="n">
        <x:f>Subsurface_Scenario_Data!D209</x:f>
        <x:v>16145.692657462254</x:v>
      </x:c>
    </x:row>
    <x:row r="701">
      <x:c r="A701" s="34" t="n">
        <x:f>Subsurface_Scenario_Data!A210</x:f>
        <x:v>44</x:v>
      </x:c>
      <x:c r="B701" s="34" t="n">
        <x:f>Subsurface_Scenario_Data!C210</x:f>
        <x:v>13138.157168949723</x:v>
      </x:c>
      <x:c r="C701" s="34" t="n">
        <x:f>Subsurface_Scenario_Data!A210</x:f>
        <x:v>44</x:v>
      </x:c>
      <x:c r="D701" s="34" t="n">
        <x:f>Subsurface_Scenario_Data!B210</x:f>
        <x:v>14638.157168949723</x:v>
      </x:c>
      <x:c r="E701" s="34" t="n">
        <x:f>Subsurface_Scenario_Data!A210</x:f>
        <x:v>44</x:v>
      </x:c>
      <x:c r="F701" s="34" t="n">
        <x:f>Subsurface_Scenario_Data!D210</x:f>
        <x:v>16138.157168949723</x:v>
      </x:c>
    </x:row>
    <x:row r="702">
      <x:c r="A702" s="34" t="n">
        <x:f>Subsurface_Scenario_Data!A211</x:f>
        <x:v>44.5</x:v>
      </x:c>
      <x:c r="B702" s="34" t="n">
        <x:f>Subsurface_Scenario_Data!C211</x:f>
        <x:v>13133.280812812143</x:v>
      </x:c>
      <x:c r="C702" s="34" t="n">
        <x:f>Subsurface_Scenario_Data!A211</x:f>
        <x:v>44.5</x:v>
      </x:c>
      <x:c r="D702" s="34" t="n">
        <x:f>Subsurface_Scenario_Data!B211</x:f>
        <x:v>14633.280812812143</x:v>
      </x:c>
      <x:c r="E702" s="34" t="n">
        <x:f>Subsurface_Scenario_Data!A211</x:f>
        <x:v>44.5</x:v>
      </x:c>
      <x:c r="F702" s="34" t="n">
        <x:f>Subsurface_Scenario_Data!D211</x:f>
        <x:v>16133.280812812143</x:v>
      </x:c>
    </x:row>
    <x:row r="703">
      <x:c r="A703" s="34" t="n">
        <x:f>Subsurface_Scenario_Data!A212</x:f>
        <x:v>45</x:v>
      </x:c>
      <x:c r="B703" s="34" t="n">
        <x:f>Subsurface_Scenario_Data!C212</x:f>
        <x:v>13126.915429680796</x:v>
      </x:c>
      <x:c r="C703" s="34" t="n">
        <x:f>Subsurface_Scenario_Data!A212</x:f>
        <x:v>45</x:v>
      </x:c>
      <x:c r="D703" s="34" t="n">
        <x:f>Subsurface_Scenario_Data!B212</x:f>
        <x:v>14626.915429680796</x:v>
      </x:c>
      <x:c r="E703" s="34" t="n">
        <x:f>Subsurface_Scenario_Data!A212</x:f>
        <x:v>45</x:v>
      </x:c>
      <x:c r="F703" s="34" t="n">
        <x:f>Subsurface_Scenario_Data!D212</x:f>
        <x:v>16126.915429680796</x:v>
      </x:c>
    </x:row>
    <x:row r="704">
      <x:c r="A704" s="34" t="n">
        <x:f>Subsurface_Scenario_Data!A213</x:f>
        <x:v>45.5</x:v>
      </x:c>
      <x:c r="B704" s="34" t="n">
        <x:f>Subsurface_Scenario_Data!C213</x:f>
        <x:v>13118.90219150512</x:v>
      </x:c>
      <x:c r="C704" s="34" t="n">
        <x:f>Subsurface_Scenario_Data!A213</x:f>
        <x:v>45.5</x:v>
      </x:c>
      <x:c r="D704" s="34" t="n">
        <x:f>Subsurface_Scenario_Data!B213</x:f>
        <x:v>14618.90219150512</x:v>
      </x:c>
      <x:c r="E704" s="34" t="n">
        <x:f>Subsurface_Scenario_Data!A213</x:f>
        <x:v>45.5</x:v>
      </x:c>
      <x:c r="F704" s="34" t="n">
        <x:f>Subsurface_Scenario_Data!D213</x:f>
        <x:v>16118.90219150512</x:v>
      </x:c>
    </x:row>
    <x:row r="705">
      <x:c r="A705" s="34" t="n">
        <x:f>Subsurface_Scenario_Data!A214</x:f>
        <x:v>46</x:v>
      </x:c>
      <x:c r="B705" s="34" t="n">
        <x:f>Subsurface_Scenario_Data!C214</x:f>
        <x:v>13115.145412726702</x:v>
      </x:c>
      <x:c r="C705" s="34" t="n">
        <x:f>Subsurface_Scenario_Data!A214</x:f>
        <x:v>46</x:v>
      </x:c>
      <x:c r="D705" s="34" t="n">
        <x:f>Subsurface_Scenario_Data!B214</x:f>
        <x:v>14615.145412726702</x:v>
      </x:c>
      <x:c r="E705" s="34" t="n">
        <x:f>Subsurface_Scenario_Data!A214</x:f>
        <x:v>46</x:v>
      </x:c>
      <x:c r="F705" s="34" t="n">
        <x:f>Subsurface_Scenario_Data!D214</x:f>
        <x:v>16115.145412726702</x:v>
      </x:c>
    </x:row>
    <x:row r="706">
      <x:c r="A706" s="34" t="n">
        <x:f>Subsurface_Scenario_Data!A215</x:f>
        <x:v>46.5</x:v>
      </x:c>
      <x:c r="B706" s="34" t="n">
        <x:f>Subsurface_Scenario_Data!C215</x:f>
        <x:v>13112.173134210097</x:v>
      </x:c>
      <x:c r="C706" s="34" t="n">
        <x:f>Subsurface_Scenario_Data!A215</x:f>
        <x:v>46.5</x:v>
      </x:c>
      <x:c r="D706" s="34" t="n">
        <x:f>Subsurface_Scenario_Data!B215</x:f>
        <x:v>14612.173134210097</x:v>
      </x:c>
      <x:c r="E706" s="34" t="n">
        <x:f>Subsurface_Scenario_Data!A215</x:f>
        <x:v>46.5</x:v>
      </x:c>
      <x:c r="F706" s="34" t="n">
        <x:f>Subsurface_Scenario_Data!D215</x:f>
        <x:v>16112.173134210097</x:v>
      </x:c>
    </x:row>
    <x:row r="707">
      <x:c r="A707" s="34" t="n">
        <x:f>Subsurface_Scenario_Data!A216</x:f>
        <x:v>47</x:v>
      </x:c>
      <x:c r="B707" s="34" t="n">
        <x:f>Subsurface_Scenario_Data!C216</x:f>
        <x:v>13107.701900076461</x:v>
      </x:c>
      <x:c r="C707" s="34" t="n">
        <x:f>Subsurface_Scenario_Data!A216</x:f>
        <x:v>47</x:v>
      </x:c>
      <x:c r="D707" s="34" t="n">
        <x:f>Subsurface_Scenario_Data!B216</x:f>
        <x:v>14607.701900076461</x:v>
      </x:c>
      <x:c r="E707" s="34" t="n">
        <x:f>Subsurface_Scenario_Data!A216</x:f>
        <x:v>47</x:v>
      </x:c>
      <x:c r="F707" s="34" t="n">
        <x:f>Subsurface_Scenario_Data!D216</x:f>
        <x:v>16107.701900076461</x:v>
      </x:c>
    </x:row>
    <x:row r="708">
      <x:c r="A708" s="34" t="n">
        <x:f>Subsurface_Scenario_Data!A217</x:f>
        <x:v>47.5</x:v>
      </x:c>
      <x:c r="B708" s="34" t="n">
        <x:f>Subsurface_Scenario_Data!C217</x:f>
        <x:v>13104.637100240314</x:v>
      </x:c>
      <x:c r="C708" s="34" t="n">
        <x:f>Subsurface_Scenario_Data!A217</x:f>
        <x:v>47.5</x:v>
      </x:c>
      <x:c r="D708" s="34" t="n">
        <x:f>Subsurface_Scenario_Data!B217</x:f>
        <x:v>14604.637100240314</x:v>
      </x:c>
      <x:c r="E708" s="34" t="n">
        <x:f>Subsurface_Scenario_Data!A217</x:f>
        <x:v>47.5</x:v>
      </x:c>
      <x:c r="F708" s="34" t="n">
        <x:f>Subsurface_Scenario_Data!D217</x:f>
        <x:v>16104.637100240314</x:v>
      </x:c>
    </x:row>
    <x:row r="709">
      <x:c r="A709" s="34" t="n">
        <x:f>Subsurface_Scenario_Data!A218</x:f>
        <x:v>48</x:v>
      </x:c>
      <x:c r="B709" s="34" t="n">
        <x:f>Subsurface_Scenario_Data!C218</x:f>
        <x:v>13098.23820003855</x:v>
      </x:c>
      <x:c r="C709" s="34" t="n">
        <x:f>Subsurface_Scenario_Data!A218</x:f>
        <x:v>48</x:v>
      </x:c>
      <x:c r="D709" s="34" t="n">
        <x:f>Subsurface_Scenario_Data!B218</x:f>
        <x:v>14598.23820003855</x:v>
      </x:c>
      <x:c r="E709" s="34" t="n">
        <x:f>Subsurface_Scenario_Data!A218</x:f>
        <x:v>48</x:v>
      </x:c>
      <x:c r="F709" s="34" t="n">
        <x:f>Subsurface_Scenario_Data!D218</x:f>
        <x:v>16098.23820003855</x:v>
      </x:c>
    </x:row>
    <x:row r="710">
      <x:c r="A710" s="34" t="n">
        <x:f>Subsurface_Scenario_Data!A219</x:f>
        <x:v>48.5</x:v>
      </x:c>
      <x:c r="B710" s="34" t="n">
        <x:f>Subsurface_Scenario_Data!C219</x:f>
        <x:v>13096.397177031604</x:v>
      </x:c>
      <x:c r="C710" s="34" t="n">
        <x:f>Subsurface_Scenario_Data!A219</x:f>
        <x:v>48.5</x:v>
      </x:c>
      <x:c r="D710" s="34" t="n">
        <x:f>Subsurface_Scenario_Data!B219</x:f>
        <x:v>14596.397177031604</x:v>
      </x:c>
      <x:c r="E710" s="34" t="n">
        <x:f>Subsurface_Scenario_Data!A219</x:f>
        <x:v>48.5</x:v>
      </x:c>
      <x:c r="F710" s="34" t="n">
        <x:f>Subsurface_Scenario_Data!D219</x:f>
        <x:v>16096.397177031604</x:v>
      </x:c>
    </x:row>
    <x:row r="711">
      <x:c r="A711" s="34" t="n">
        <x:f>Subsurface_Scenario_Data!A220</x:f>
        <x:v>49</x:v>
      </x:c>
      <x:c r="B711" s="34" t="n">
        <x:f>Subsurface_Scenario_Data!C220</x:f>
        <x:v>13094.33019373929</x:v>
      </x:c>
      <x:c r="C711" s="34" t="n">
        <x:f>Subsurface_Scenario_Data!A220</x:f>
        <x:v>49</x:v>
      </x:c>
      <x:c r="D711" s="34" t="n">
        <x:f>Subsurface_Scenario_Data!B220</x:f>
        <x:v>14594.33019373929</x:v>
      </x:c>
      <x:c r="E711" s="34" t="n">
        <x:f>Subsurface_Scenario_Data!A220</x:f>
        <x:v>49</x:v>
      </x:c>
      <x:c r="F711" s="34" t="n">
        <x:f>Subsurface_Scenario_Data!D220</x:f>
        <x:v>16094.33019373929</x:v>
      </x:c>
    </x:row>
    <x:row r="712">
      <x:c r="A712" s="34" t="n">
        <x:f>Subsurface_Scenario_Data!A221</x:f>
        <x:v>49.5</x:v>
      </x:c>
      <x:c r="B712" s="34" t="n">
        <x:f>Subsurface_Scenario_Data!C221</x:f>
        <x:v>13091.31268234764</x:v>
      </x:c>
      <x:c r="C712" s="34" t="n">
        <x:f>Subsurface_Scenario_Data!A221</x:f>
        <x:v>49.5</x:v>
      </x:c>
      <x:c r="D712" s="34" t="n">
        <x:f>Subsurface_Scenario_Data!B221</x:f>
        <x:v>14591.31268234764</x:v>
      </x:c>
      <x:c r="E712" s="34" t="n">
        <x:f>Subsurface_Scenario_Data!A221</x:f>
        <x:v>49.5</x:v>
      </x:c>
      <x:c r="F712" s="34" t="n">
        <x:f>Subsurface_Scenario_Data!D221</x:f>
        <x:v>16091.31268234764</x:v>
      </x:c>
    </x:row>
    <x:row r="713">
      <x:c r="A713" s="34" t="n">
        <x:f>Subsurface_Scenario_Data!A222</x:f>
        <x:v>50</x:v>
      </x:c>
      <x:c r="B713" s="34" t="n">
        <x:f>Subsurface_Scenario_Data!C222</x:f>
        <x:v>13089.816141882691</x:v>
      </x:c>
      <x:c r="C713" s="34" t="n">
        <x:f>Subsurface_Scenario_Data!A222</x:f>
        <x:v>50</x:v>
      </x:c>
      <x:c r="D713" s="34" t="n">
        <x:f>Subsurface_Scenario_Data!B222</x:f>
        <x:v>14589.816141882691</x:v>
      </x:c>
      <x:c r="E713" s="34" t="n">
        <x:f>Subsurface_Scenario_Data!A222</x:f>
        <x:v>50</x:v>
      </x:c>
      <x:c r="F713" s="34" t="n">
        <x:f>Subsurface_Scenario_Data!D222</x:f>
        <x:v>16089.816141882691</x:v>
      </x:c>
    </x:row>
    <x:row r="714">
      <x:c r="A714" s="34" t="n">
        <x:f>Subsurface_Scenario_Data!A223</x:f>
        <x:v>50.5</x:v>
      </x:c>
      <x:c r="B714" s="34" t="n">
        <x:f>Subsurface_Scenario_Data!C223</x:f>
        <x:v>13085.724440359641</x:v>
      </x:c>
      <x:c r="C714" s="34" t="n">
        <x:f>Subsurface_Scenario_Data!A223</x:f>
        <x:v>50.5</x:v>
      </x:c>
      <x:c r="D714" s="34" t="n">
        <x:f>Subsurface_Scenario_Data!B223</x:f>
        <x:v>14585.724440359641</x:v>
      </x:c>
      <x:c r="E714" s="34" t="n">
        <x:f>Subsurface_Scenario_Data!A223</x:f>
        <x:v>50.5</x:v>
      </x:c>
      <x:c r="F714" s="34" t="n">
        <x:f>Subsurface_Scenario_Data!D223</x:f>
        <x:v>16085.724440359641</x:v>
      </x:c>
    </x:row>
    <x:row r="715">
      <x:c r="A715" s="34" t="n">
        <x:f>Subsurface_Scenario_Data!A224</x:f>
        <x:v>51</x:v>
      </x:c>
      <x:c r="B715" s="34" t="n">
        <x:f>Subsurface_Scenario_Data!C224</x:f>
        <x:v>13085.165789111039</x:v>
      </x:c>
      <x:c r="C715" s="34" t="n">
        <x:f>Subsurface_Scenario_Data!A224</x:f>
        <x:v>51</x:v>
      </x:c>
      <x:c r="D715" s="34" t="n">
        <x:f>Subsurface_Scenario_Data!B224</x:f>
        <x:v>14585.165789111039</x:v>
      </x:c>
      <x:c r="E715" s="34" t="n">
        <x:f>Subsurface_Scenario_Data!A224</x:f>
        <x:v>51</x:v>
      </x:c>
      <x:c r="F715" s="34" t="n">
        <x:f>Subsurface_Scenario_Data!D224</x:f>
        <x:v>16085.165789111039</x:v>
      </x:c>
    </x:row>
    <x:row r="716">
      <x:c r="A716" s="34" t="n">
        <x:f>Subsurface_Scenario_Data!A225</x:f>
        <x:v>51.5</x:v>
      </x:c>
      <x:c r="B716" s="34" t="n">
        <x:f>Subsurface_Scenario_Data!C225</x:f>
        <x:v>13081.93601801468</x:v>
      </x:c>
      <x:c r="C716" s="34" t="n">
        <x:f>Subsurface_Scenario_Data!A225</x:f>
        <x:v>51.5</x:v>
      </x:c>
      <x:c r="D716" s="34" t="n">
        <x:f>Subsurface_Scenario_Data!B225</x:f>
        <x:v>14581.93601801468</x:v>
      </x:c>
      <x:c r="E716" s="34" t="n">
        <x:f>Subsurface_Scenario_Data!A225</x:f>
        <x:v>51.5</x:v>
      </x:c>
      <x:c r="F716" s="34" t="n">
        <x:f>Subsurface_Scenario_Data!D225</x:f>
        <x:v>16081.93601801468</x:v>
      </x:c>
    </x:row>
    <x:row r="717">
      <x:c r="A717" s="34" t="n">
        <x:f>Subsurface_Scenario_Data!A226</x:f>
        <x:v>52</x:v>
      </x:c>
      <x:c r="B717" s="34" t="n">
        <x:f>Subsurface_Scenario_Data!C226</x:f>
        <x:v>13081.267028886516</x:v>
      </x:c>
      <x:c r="C717" s="34" t="n">
        <x:f>Subsurface_Scenario_Data!A226</x:f>
        <x:v>52</x:v>
      </x:c>
      <x:c r="D717" s="34" t="n">
        <x:f>Subsurface_Scenario_Data!B226</x:f>
        <x:v>14581.267028886516</x:v>
      </x:c>
      <x:c r="E717" s="34" t="n">
        <x:f>Subsurface_Scenario_Data!A226</x:f>
        <x:v>52</x:v>
      </x:c>
      <x:c r="F717" s="34" t="n">
        <x:f>Subsurface_Scenario_Data!D226</x:f>
        <x:v>16081.267028886516</x:v>
      </x:c>
    </x:row>
    <x:row r="718">
      <x:c r="A718" s="34" t="n">
        <x:f>Subsurface_Scenario_Data!A227</x:f>
        <x:v>52.5</x:v>
      </x:c>
      <x:c r="B718" s="34" t="n">
        <x:f>Subsurface_Scenario_Data!C227</x:f>
        <x:v>13082.445512559116</x:v>
      </x:c>
      <x:c r="C718" s="34" t="n">
        <x:f>Subsurface_Scenario_Data!A227</x:f>
        <x:v>52.5</x:v>
      </x:c>
      <x:c r="D718" s="34" t="n">
        <x:f>Subsurface_Scenario_Data!B227</x:f>
        <x:v>14582.445512559116</x:v>
      </x:c>
      <x:c r="E718" s="34" t="n">
        <x:f>Subsurface_Scenario_Data!A227</x:f>
        <x:v>52.5</x:v>
      </x:c>
      <x:c r="F718" s="34" t="n">
        <x:f>Subsurface_Scenario_Data!D227</x:f>
        <x:v>16082.445512559116</x:v>
      </x:c>
    </x:row>
    <x:row r="719">
      <x:c r="A719" s="34" t="n">
        <x:f>Subsurface_Scenario_Data!A228</x:f>
        <x:v>53</x:v>
      </x:c>
      <x:c r="B719" s="34" t="n">
        <x:f>Subsurface_Scenario_Data!C228</x:f>
        <x:v>13080.862995264828</x:v>
      </x:c>
      <x:c r="C719" s="34" t="n">
        <x:f>Subsurface_Scenario_Data!A228</x:f>
        <x:v>53</x:v>
      </x:c>
      <x:c r="D719" s="34" t="n">
        <x:f>Subsurface_Scenario_Data!B228</x:f>
        <x:v>14580.862995264828</x:v>
      </x:c>
      <x:c r="E719" s="34" t="n">
        <x:f>Subsurface_Scenario_Data!A228</x:f>
        <x:v>53</x:v>
      </x:c>
      <x:c r="F719" s="34" t="n">
        <x:f>Subsurface_Scenario_Data!D228</x:f>
        <x:v>16080.862995264828</x:v>
      </x:c>
    </x:row>
    <x:row r="720">
      <x:c r="A720" s="34" t="n">
        <x:f>Subsurface_Scenario_Data!A229</x:f>
        <x:v>53.5</x:v>
      </x:c>
      <x:c r="B720" s="34" t="n">
        <x:f>Subsurface_Scenario_Data!C229</x:f>
        <x:v>13082.689740911543</x:v>
      </x:c>
      <x:c r="C720" s="34" t="n">
        <x:f>Subsurface_Scenario_Data!A229</x:f>
        <x:v>53.5</x:v>
      </x:c>
      <x:c r="D720" s="34" t="n">
        <x:f>Subsurface_Scenario_Data!B229</x:f>
        <x:v>14582.689740911543</x:v>
      </x:c>
      <x:c r="E720" s="34" t="n">
        <x:f>Subsurface_Scenario_Data!A229</x:f>
        <x:v>53.5</x:v>
      </x:c>
      <x:c r="F720" s="34" t="n">
        <x:f>Subsurface_Scenario_Data!D229</x:f>
        <x:v>16082.689740911543</x:v>
      </x:c>
    </x:row>
    <x:row r="721">
      <x:c r="A721" s="34" t="n">
        <x:f>Subsurface_Scenario_Data!A230</x:f>
        <x:v>54</x:v>
      </x:c>
      <x:c r="B721" s="34" t="n">
        <x:f>Subsurface_Scenario_Data!C230</x:f>
        <x:v>13084.402882438928</x:v>
      </x:c>
      <x:c r="C721" s="34" t="n">
        <x:f>Subsurface_Scenario_Data!A230</x:f>
        <x:v>54</x:v>
      </x:c>
      <x:c r="D721" s="34" t="n">
        <x:f>Subsurface_Scenario_Data!B230</x:f>
        <x:v>14584.402882438928</x:v>
      </x:c>
      <x:c r="E721" s="34" t="n">
        <x:f>Subsurface_Scenario_Data!A230</x:f>
        <x:v>54</x:v>
      </x:c>
      <x:c r="F721" s="34" t="n">
        <x:f>Subsurface_Scenario_Data!D230</x:f>
        <x:v>16084.402882438928</x:v>
      </x:c>
    </x:row>
    <x:row r="722">
      <x:c r="A722" s="34" t="n">
        <x:f>Subsurface_Scenario_Data!A231</x:f>
        <x:v>54.5</x:v>
      </x:c>
      <x:c r="B722" s="34" t="n">
        <x:f>Subsurface_Scenario_Data!C231</x:f>
        <x:v>13087.135802631929</x:v>
      </x:c>
      <x:c r="C722" s="34" t="n">
        <x:f>Subsurface_Scenario_Data!A231</x:f>
        <x:v>54.5</x:v>
      </x:c>
      <x:c r="D722" s="34" t="n">
        <x:f>Subsurface_Scenario_Data!B231</x:f>
        <x:v>14587.135802631929</x:v>
      </x:c>
      <x:c r="E722" s="34" t="n">
        <x:f>Subsurface_Scenario_Data!A231</x:f>
        <x:v>54.5</x:v>
      </x:c>
      <x:c r="F722" s="34" t="n">
        <x:f>Subsurface_Scenario_Data!D231</x:f>
        <x:v>16087.135802631929</x:v>
      </x:c>
    </x:row>
    <x:row r="723">
      <x:c r="A723" s="34" t="n">
        <x:f>Subsurface_Scenario_Data!A232</x:f>
        <x:v>55</x:v>
      </x:c>
      <x:c r="B723" s="34" t="n">
        <x:f>Subsurface_Scenario_Data!C232</x:f>
        <x:v>13087.76637498493</x:v>
      </x:c>
      <x:c r="C723" s="34" t="n">
        <x:f>Subsurface_Scenario_Data!A232</x:f>
        <x:v>55</x:v>
      </x:c>
      <x:c r="D723" s="34" t="n">
        <x:f>Subsurface_Scenario_Data!B232</x:f>
        <x:v>14587.76637498493</x:v>
      </x:c>
      <x:c r="E723" s="34" t="n">
        <x:f>Subsurface_Scenario_Data!A232</x:f>
        <x:v>55</x:v>
      </x:c>
      <x:c r="F723" s="34" t="n">
        <x:f>Subsurface_Scenario_Data!D232</x:f>
        <x:v>16087.76637498493</x:v>
      </x:c>
    </x:row>
    <x:row r="724">
      <x:c r="A724" s="34" t="n">
        <x:f>Subsurface_Scenario_Data!A233</x:f>
        <x:v>55.5</x:v>
      </x:c>
      <x:c r="B724" s="34" t="n">
        <x:f>Subsurface_Scenario_Data!C233</x:f>
        <x:v>13091.085193045687</x:v>
      </x:c>
      <x:c r="C724" s="34" t="n">
        <x:f>Subsurface_Scenario_Data!A233</x:f>
        <x:v>55.5</x:v>
      </x:c>
      <x:c r="D724" s="34" t="n">
        <x:f>Subsurface_Scenario_Data!B233</x:f>
        <x:v>14591.085193045687</x:v>
      </x:c>
      <x:c r="E724" s="34" t="n">
        <x:f>Subsurface_Scenario_Data!A233</x:f>
        <x:v>55.5</x:v>
      </x:c>
      <x:c r="F724" s="34" t="n">
        <x:f>Subsurface_Scenario_Data!D233</x:f>
        <x:v>16091.085193045687</x:v>
      </x:c>
    </x:row>
    <x:row r="725">
      <x:c r="A725" s="34" t="n">
        <x:f>Subsurface_Scenario_Data!A234</x:f>
        <x:v>56</x:v>
      </x:c>
      <x:c r="B725" s="34" t="n">
        <x:f>Subsurface_Scenario_Data!C234</x:f>
        <x:v>13093.125138126077</x:v>
      </x:c>
      <x:c r="C725" s="34" t="n">
        <x:f>Subsurface_Scenario_Data!A234</x:f>
        <x:v>56</x:v>
      </x:c>
      <x:c r="D725" s="34" t="n">
        <x:f>Subsurface_Scenario_Data!B234</x:f>
        <x:v>14593.125138126077</x:v>
      </x:c>
      <x:c r="E725" s="34" t="n">
        <x:f>Subsurface_Scenario_Data!A234</x:f>
        <x:v>56</x:v>
      </x:c>
      <x:c r="F725" s="34" t="n">
        <x:f>Subsurface_Scenario_Data!D234</x:f>
        <x:v>16093.125138126077</x:v>
      </x:c>
    </x:row>
    <x:row r="726">
      <x:c r="A726" s="34" t="n">
        <x:f>Subsurface_Scenario_Data!A235</x:f>
        <x:v>56.5</x:v>
      </x:c>
      <x:c r="B726" s="34" t="n">
        <x:f>Subsurface_Scenario_Data!C235</x:f>
        <x:v>13095.45983017993</x:v>
      </x:c>
      <x:c r="C726" s="34" t="n">
        <x:f>Subsurface_Scenario_Data!A235</x:f>
        <x:v>56.5</x:v>
      </x:c>
      <x:c r="D726" s="34" t="n">
        <x:f>Subsurface_Scenario_Data!B235</x:f>
        <x:v>14595.45983017993</x:v>
      </x:c>
      <x:c r="E726" s="34" t="n">
        <x:f>Subsurface_Scenario_Data!A235</x:f>
        <x:v>56.5</x:v>
      </x:c>
      <x:c r="F726" s="34" t="n">
        <x:f>Subsurface_Scenario_Data!D235</x:f>
        <x:v>16095.45983017993</x:v>
      </x:c>
    </x:row>
    <x:row r="727">
      <x:c r="A727" s="34" t="n">
        <x:f>Subsurface_Scenario_Data!A236</x:f>
        <x:v>57</x:v>
      </x:c>
      <x:c r="B727" s="34" t="n">
        <x:f>Subsurface_Scenario_Data!C236</x:f>
        <x:v>13096.845934459488</x:v>
      </x:c>
      <x:c r="C727" s="34" t="n">
        <x:f>Subsurface_Scenario_Data!A236</x:f>
        <x:v>57</x:v>
      </x:c>
      <x:c r="D727" s="34" t="n">
        <x:f>Subsurface_Scenario_Data!B236</x:f>
        <x:v>14596.845934459488</x:v>
      </x:c>
      <x:c r="E727" s="34" t="n">
        <x:f>Subsurface_Scenario_Data!A236</x:f>
        <x:v>57</x:v>
      </x:c>
      <x:c r="F727" s="34" t="n">
        <x:f>Subsurface_Scenario_Data!D236</x:f>
        <x:v>16096.845934459488</x:v>
      </x:c>
    </x:row>
    <x:row r="728">
      <x:c r="A728" s="34" t="n">
        <x:f>Subsurface_Scenario_Data!A237</x:f>
        <x:v>57.5</x:v>
      </x:c>
      <x:c r="B728" s="34" t="n">
        <x:f>Subsurface_Scenario_Data!C237</x:f>
        <x:v>13102.914420845136</x:v>
      </x:c>
      <x:c r="C728" s="34" t="n">
        <x:f>Subsurface_Scenario_Data!A237</x:f>
        <x:v>57.5</x:v>
      </x:c>
      <x:c r="D728" s="34" t="n">
        <x:f>Subsurface_Scenario_Data!B237</x:f>
        <x:v>14602.914420845136</x:v>
      </x:c>
      <x:c r="E728" s="34" t="n">
        <x:f>Subsurface_Scenario_Data!A237</x:f>
        <x:v>57.5</x:v>
      </x:c>
      <x:c r="F728" s="34" t="n">
        <x:f>Subsurface_Scenario_Data!D237</x:f>
        <x:v>16102.914420845136</x:v>
      </x:c>
    </x:row>
    <x:row r="729">
      <x:c r="A729" s="34" t="n">
        <x:f>Subsurface_Scenario_Data!A238</x:f>
        <x:v>58</x:v>
      </x:c>
      <x:c r="B729" s="34" t="n">
        <x:f>Subsurface_Scenario_Data!C238</x:f>
        <x:v>13103.596271830193</x:v>
      </x:c>
      <x:c r="C729" s="34" t="n">
        <x:f>Subsurface_Scenario_Data!A238</x:f>
        <x:v>58</x:v>
      </x:c>
      <x:c r="D729" s="34" t="n">
        <x:f>Subsurface_Scenario_Data!B238</x:f>
        <x:v>14603.596271830193</x:v>
      </x:c>
      <x:c r="E729" s="34" t="n">
        <x:f>Subsurface_Scenario_Data!A238</x:f>
        <x:v>58</x:v>
      </x:c>
      <x:c r="F729" s="34" t="n">
        <x:f>Subsurface_Scenario_Data!D238</x:f>
        <x:v>16103.596271830193</x:v>
      </x:c>
    </x:row>
    <x:row r="730">
      <x:c r="A730" s="34" t="n">
        <x:f>Subsurface_Scenario_Data!A239</x:f>
        <x:v>58.5</x:v>
      </x:c>
      <x:c r="B730" s="34" t="n">
        <x:f>Subsurface_Scenario_Data!C239</x:f>
        <x:v>13107.412196224737</x:v>
      </x:c>
      <x:c r="C730" s="34" t="n">
        <x:f>Subsurface_Scenario_Data!A239</x:f>
        <x:v>58.5</x:v>
      </x:c>
      <x:c r="D730" s="34" t="n">
        <x:f>Subsurface_Scenario_Data!B239</x:f>
        <x:v>14607.412196224737</x:v>
      </x:c>
      <x:c r="E730" s="34" t="n">
        <x:f>Subsurface_Scenario_Data!A239</x:f>
        <x:v>58.5</x:v>
      </x:c>
      <x:c r="F730" s="34" t="n">
        <x:f>Subsurface_Scenario_Data!D239</x:f>
        <x:v>16107.412196224737</x:v>
      </x:c>
    </x:row>
    <x:row r="731">
      <x:c r="A731" s="34" t="n">
        <x:f>Subsurface_Scenario_Data!A240</x:f>
        <x:v>59</x:v>
      </x:c>
      <x:c r="B731" s="34" t="n">
        <x:f>Subsurface_Scenario_Data!C240</x:f>
        <x:v>13109.562196914056</x:v>
      </x:c>
      <x:c r="C731" s="34" t="n">
        <x:f>Subsurface_Scenario_Data!A240</x:f>
        <x:v>59</x:v>
      </x:c>
      <x:c r="D731" s="34" t="n">
        <x:f>Subsurface_Scenario_Data!B240</x:f>
        <x:v>14609.562196914056</x:v>
      </x:c>
      <x:c r="E731" s="34" t="n">
        <x:f>Subsurface_Scenario_Data!A240</x:f>
        <x:v>59</x:v>
      </x:c>
      <x:c r="F731" s="34" t="n">
        <x:f>Subsurface_Scenario_Data!D240</x:f>
        <x:v>16109.562196914056</x:v>
      </x:c>
    </x:row>
    <x:row r="732">
      <x:c r="A732" s="34" t="n">
        <x:f>Subsurface_Scenario_Data!A241</x:f>
        <x:v>59.5</x:v>
      </x:c>
      <x:c r="B732" s="34" t="n">
        <x:f>Subsurface_Scenario_Data!C241</x:f>
        <x:v>13115.862307364549</x:v>
      </x:c>
      <x:c r="C732" s="34" t="n">
        <x:f>Subsurface_Scenario_Data!A241</x:f>
        <x:v>59.5</x:v>
      </x:c>
      <x:c r="D732" s="34" t="n">
        <x:f>Subsurface_Scenario_Data!B241</x:f>
        <x:v>14615.862307364549</x:v>
      </x:c>
      <x:c r="E732" s="34" t="n">
        <x:f>Subsurface_Scenario_Data!A241</x:f>
        <x:v>59.5</x:v>
      </x:c>
      <x:c r="F732" s="34" t="n">
        <x:f>Subsurface_Scenario_Data!D241</x:f>
        <x:v>16115.862307364549</x:v>
      </x:c>
    </x:row>
    <x:row r="733">
      <x:c r="A733" s="34" t="n">
        <x:f>Subsurface_Scenario_Data!A242</x:f>
        <x:v>60</x:v>
      </x:c>
      <x:c r="B733" s="34" t="n">
        <x:f>Subsurface_Scenario_Data!C242</x:f>
        <x:v>13117.138727886955</x:v>
      </x:c>
      <x:c r="C733" s="34" t="n">
        <x:f>Subsurface_Scenario_Data!A242</x:f>
        <x:v>60</x:v>
      </x:c>
      <x:c r="D733" s="34" t="n">
        <x:f>Subsurface_Scenario_Data!B242</x:f>
        <x:v>14617.138727886955</x:v>
      </x:c>
      <x:c r="E733" s="34" t="n">
        <x:f>Subsurface_Scenario_Data!A242</x:f>
        <x:v>60</x:v>
      </x:c>
      <x:c r="F733" s="34" t="n">
        <x:f>Subsurface_Scenario_Data!D242</x:f>
        <x:v>16117.138727886955</x:v>
      </x:c>
    </x:row>
    <x:row r="736" s="73" customFormat="1" ht="15.600000381469727" customHeight="1">
      <x:c r="A736" s="32" t="inlineStr">
        <x:is>
          <x:t xml:space="preserve">Ocean Model vs No-Ocean Control</x:t>
        </x:is>
      </x:c>
    </x:row>
    <x:row r="737" s="73" customFormat="1" ht="27.600000381469727" customHeight="1">
      <x:c r="A737" s="33" t="inlineStr">
        <x:is>
          <x:t xml:space="preserve">Ocean model margin x</x:t>
        </x:is>
      </x:c>
      <x:c r="B737" s="33" t="inlineStr">
        <x:is>
          <x:t xml:space="preserve">Ocean model margin</x:t>
        </x:is>
      </x:c>
      <x:c r="C737" s="33" t="inlineStr">
        <x:is>
          <x:t xml:space="preserve">No-ocean control margin x</x:t>
        </x:is>
      </x:c>
      <x:c r="D737" s="33" t="inlineStr">
        <x:is>
          <x:t xml:space="preserve">No-ocean control margin</x:t>
        </x:is>
      </x:c>
      <x:c r="E737" s="33" t="inlineStr">
        <x:is>
          <x:t xml:space="preserve">Zero threshold x</x:t>
        </x:is>
      </x:c>
      <x:c r="F737" s="33" t="inlineStr">
        <x:is>
          <x:t xml:space="preserve">Zero threshold</x:t>
        </x:is>
      </x:c>
    </x:row>
    <x:row r="738">
      <x:c r="A738" s="34" t="n">
        <x:f>Subsurface_Scenario_Data!A2</x:f>
        <x:v>-60</x:v>
      </x:c>
      <x:c r="B738" s="34" t="n">
        <x:f>Subsurface_Scenario_Data!H2</x:f>
        <x:v>11.458819592406535</x:v>
      </x:c>
      <x:c r="C738" s="34" t="n">
        <x:f>Subsurface_Scenario_Data!A2</x:f>
        <x:v>-60</x:v>
      </x:c>
      <x:c r="D738" s="34" t="n">
        <x:f>Subsurface_Scenario_Data!I2</x:f>
        <x:v>-15.867767478235116</x:v>
      </x:c>
      <x:c r="E738" s="34" t="n">
        <x:f>Subsurface_Scenario_Data!A2</x:f>
        <x:v>-60</x:v>
      </x:c>
      <x:c r="F738" s="34" t="n">
        <x:f>Subsurface_Scenario_Data!J2</x:f>
        <x:v>0</x:v>
      </x:c>
    </x:row>
    <x:row r="739">
      <x:c r="A739" s="34" t="n">
        <x:f>Subsurface_Scenario_Data!A3</x:f>
        <x:v>-59.5</x:v>
      </x:c>
      <x:c r="B739" s="34" t="n">
        <x:f>Subsurface_Scenario_Data!H3</x:f>
        <x:v>11.516671286898948</x:v>
      </x:c>
      <x:c r="C739" s="34" t="n">
        <x:f>Subsurface_Scenario_Data!A3</x:f>
        <x:v>-59.5</x:v>
      </x:c>
      <x:c r="D739" s="34" t="n">
        <x:f>Subsurface_Scenario_Data!I3</x:f>
        <x:v>-16.000000000000004</x:v>
      </x:c>
      <x:c r="E739" s="34" t="n">
        <x:f>Subsurface_Scenario_Data!A3</x:f>
        <x:v>-59.5</x:v>
      </x:c>
      <x:c r="F739" s="34" t="n">
        <x:f>Subsurface_Scenario_Data!J3</x:f>
        <x:v>0</x:v>
      </x:c>
    </x:row>
    <x:row r="740">
      <x:c r="A740" s="34" t="n">
        <x:f>Subsurface_Scenario_Data!A4</x:f>
        <x:v>-59</x:v>
      </x:c>
      <x:c r="B740" s="34" t="n">
        <x:f>Subsurface_Scenario_Data!H4</x:f>
        <x:v>11.526344830412192</x:v>
      </x:c>
      <x:c r="C740" s="34" t="n">
        <x:f>Subsurface_Scenario_Data!A4</x:f>
        <x:v>-59</x:v>
      </x:c>
      <x:c r="D740" s="34" t="n">
        <x:f>Subsurface_Scenario_Data!I4</x:f>
        <x:v>-16.126640116127245</x:v>
      </x:c>
      <x:c r="E740" s="34" t="n">
        <x:f>Subsurface_Scenario_Data!A4</x:f>
        <x:v>-59</x:v>
      </x:c>
      <x:c r="F740" s="34" t="n">
        <x:f>Subsurface_Scenario_Data!J4</x:f>
        <x:v>0</x:v>
      </x:c>
    </x:row>
    <x:row r="741">
      <x:c r="A741" s="34" t="n">
        <x:f>Subsurface_Scenario_Data!A5</x:f>
        <x:v>-58.5</x:v>
      </x:c>
      <x:c r="B741" s="34" t="n">
        <x:f>Subsurface_Scenario_Data!H5</x:f>
        <x:v>11.453021717594417</x:v>
      </x:c>
      <x:c r="C741" s="34" t="n">
        <x:f>Subsurface_Scenario_Data!A5</x:f>
        <x:v>-58.5</x:v>
      </x:c>
      <x:c r="D741" s="34" t="n">
        <x:f>Subsurface_Scenario_Data!I5</x:f>
        <x:v>-16.246979603717467</x:v>
      </x:c>
      <x:c r="E741" s="34" t="n">
        <x:f>Subsurface_Scenario_Data!A5</x:f>
        <x:v>-58.5</x:v>
      </x:c>
      <x:c r="F741" s="34" t="n">
        <x:f>Subsurface_Scenario_Data!J5</x:f>
        <x:v>0</x:v>
      </x:c>
    </x:row>
    <x:row r="742">
      <x:c r="A742" s="34" t="n">
        <x:f>Subsurface_Scenario_Data!A6</x:f>
        <x:v>-58</x:v>
      </x:c>
      <x:c r="B742" s="34" t="n">
        <x:f>Subsurface_Scenario_Data!H6</x:f>
        <x:v>11.532767729891418</x:v>
      </x:c>
      <x:c r="C742" s="34" t="n">
        <x:f>Subsurface_Scenario_Data!A6</x:f>
        <x:v>-58</x:v>
      </x:c>
      <x:c r="D742" s="34" t="n">
        <x:f>Subsurface_Scenario_Data!I6</x:f>
        <x:v>-16.360345475541838</x:v>
      </x:c>
      <x:c r="E742" s="34" t="n">
        <x:f>Subsurface_Scenario_Data!A6</x:f>
        <x:v>-58</x:v>
      </x:c>
      <x:c r="F742" s="34" t="n">
        <x:f>Subsurface_Scenario_Data!J6</x:f>
        <x:v>0</x:v>
      </x:c>
    </x:row>
    <x:row r="743">
      <x:c r="A743" s="34" t="n">
        <x:f>Subsurface_Scenario_Data!A7</x:f>
        <x:v>-57.5</x:v>
      </x:c>
      <x:c r="B743" s="34" t="n">
        <x:f>Subsurface_Scenario_Data!H7</x:f>
        <x:v>11.468900738164486</x:v>
      </x:c>
      <x:c r="C743" s="34" t="n">
        <x:f>Subsurface_Scenario_Data!A7</x:f>
        <x:v>-57.5</x:v>
      </x:c>
      <x:c r="D743" s="34" t="n">
        <x:f>Subsurface_Scenario_Data!I7</x:f>
        <x:v>-16.46610374365965</x:v>
      </x:c>
      <x:c r="E743" s="34" t="n">
        <x:f>Subsurface_Scenario_Data!A7</x:f>
        <x:v>-57.5</x:v>
      </x:c>
      <x:c r="F743" s="34" t="n">
        <x:f>Subsurface_Scenario_Data!J7</x:f>
        <x:v>0</x:v>
      </x:c>
    </x:row>
    <x:row r="744">
      <x:c r="A744" s="34" t="n">
        <x:f>Subsurface_Scenario_Data!A8</x:f>
        <x:v>-57</x:v>
      </x:c>
      <x:c r="B744" s="34" t="n">
        <x:f>Subsurface_Scenario_Data!H8</x:f>
        <x:v>11.491498763485254</x:v>
      </x:c>
      <x:c r="C744" s="34" t="n">
        <x:f>Subsurface_Scenario_Data!A8</x:f>
        <x:v>-57</x:v>
      </x:c>
      <x:c r="D744" s="34" t="n">
        <x:f>Subsurface_Scenario_Data!I8</x:f>
        <x:v>-16.56366296493606</x:v>
      </x:c>
      <x:c r="E744" s="34" t="n">
        <x:f>Subsurface_Scenario_Data!A8</x:f>
        <x:v>-57</x:v>
      </x:c>
      <x:c r="F744" s="34" t="n">
        <x:f>Subsurface_Scenario_Data!J8</x:f>
        <x:v>0</x:v>
      </x:c>
    </x:row>
    <x:row r="745">
      <x:c r="A745" s="34" t="n">
        <x:f>Subsurface_Scenario_Data!A9</x:f>
        <x:v>-56.5</x:v>
      </x:c>
      <x:c r="B745" s="34" t="n">
        <x:f>Subsurface_Scenario_Data!H9</x:f>
        <x:v>11.489844684066966</x:v>
      </x:c>
      <x:c r="C745" s="34" t="n">
        <x:f>Subsurface_Scenario_Data!A9</x:f>
        <x:v>-56.5</x:v>
      </x:c>
      <x:c r="D745" s="34" t="n">
        <x:f>Subsurface_Scenario_Data!I9</x:f>
        <x:v>-16.65247754863199</x:v>
      </x:c>
      <x:c r="E745" s="34" t="n">
        <x:f>Subsurface_Scenario_Data!A9</x:f>
        <x:v>-56.5</x:v>
      </x:c>
      <x:c r="F745" s="34" t="n">
        <x:f>Subsurface_Scenario_Data!J9</x:f>
        <x:v>0</x:v>
      </x:c>
    </x:row>
    <x:row r="746">
      <x:c r="A746" s="34" t="n">
        <x:f>Subsurface_Scenario_Data!A10</x:f>
        <x:v>-56</x:v>
      </x:c>
      <x:c r="B746" s="34" t="n">
        <x:f>Subsurface_Scenario_Data!H10</x:f>
        <x:v>11.393928747671595</x:v>
      </x:c>
      <x:c r="C746" s="34" t="n">
        <x:f>Subsurface_Scenario_Data!A10</x:f>
        <x:v>-56</x:v>
      </x:c>
      <x:c r="D746" s="34" t="n">
        <x:f>Subsurface_Scenario_Data!I10</x:f>
        <x:v>-16.73205080756888</x:v>
      </x:c>
      <x:c r="E746" s="34" t="n">
        <x:f>Subsurface_Scenario_Data!A10</x:f>
        <x:v>-56</x:v>
      </x:c>
      <x:c r="F746" s="34" t="n">
        <x:f>Subsurface_Scenario_Data!J10</x:f>
        <x:v>0</x:v>
      </x:c>
    </x:row>
    <x:row r="747">
      <x:c r="A747" s="34" t="n">
        <x:f>Subsurface_Scenario_Data!A11</x:f>
        <x:v>-55.5</x:v>
      </x:c>
      <x:c r="B747" s="34" t="n">
        <x:f>Subsurface_Scenario_Data!H11</x:f>
        <x:v>11.435776008351418</x:v>
      </x:c>
      <x:c r="C747" s="34" t="n">
        <x:f>Subsurface_Scenario_Data!A11</x:f>
        <x:v>-55.5</x:v>
      </x:c>
      <x:c r="D747" s="34" t="n">
        <x:f>Subsurface_Scenario_Data!I11</x:f>
        <x:v>-16.801937735804838</x:v>
      </x:c>
      <x:c r="E747" s="34" t="n">
        <x:f>Subsurface_Scenario_Data!A11</x:f>
        <x:v>-55.5</x:v>
      </x:c>
      <x:c r="F747" s="34" t="n">
        <x:f>Subsurface_Scenario_Data!J11</x:f>
        <x:v>0</x:v>
      </x:c>
    </x:row>
    <x:row r="748">
      <x:c r="A748" s="34" t="n">
        <x:f>Subsurface_Scenario_Data!A12</x:f>
        <x:v>-55</x:v>
      </x:c>
      <x:c r="B748" s="34" t="n">
        <x:f>Subsurface_Scenario_Data!H12</x:f>
        <x:v>11.381607957439734</x:v>
      </x:c>
      <x:c r="C748" s="34" t="n">
        <x:f>Subsurface_Scenario_Data!A12</x:f>
        <x:v>-55</x:v>
      </x:c>
      <x:c r="D748" s="34" t="n">
        <x:f>Subsurface_Scenario_Data!I12</x:f>
        <x:v>-16.86174749728841</x:v>
      </x:c>
      <x:c r="E748" s="34" t="n">
        <x:f>Subsurface_Scenario_Data!A12</x:f>
        <x:v>-55</x:v>
      </x:c>
      <x:c r="F748" s="34" t="n">
        <x:f>Subsurface_Scenario_Data!J12</x:f>
        <x:v>0</x:v>
      </x:c>
    </x:row>
    <x:row r="749">
      <x:c r="A749" s="34" t="n">
        <x:f>Subsurface_Scenario_Data!A13</x:f>
        <x:v>-54.5</x:v>
      </x:c>
      <x:c r="B749" s="34" t="n">
        <x:f>Subsurface_Scenario_Data!H13</x:f>
        <x:v>11.31453847230079</x:v>
      </x:c>
      <x:c r="C749" s="34" t="n">
        <x:f>Subsurface_Scenario_Data!A13</x:f>
        <x:v>-54.5</x:v>
      </x:c>
      <x:c r="D749" s="34" t="n">
        <x:f>Subsurface_Scenario_Data!I13</x:f>
        <x:v>-16.91114561157228</x:v>
      </x:c>
      <x:c r="E749" s="34" t="n">
        <x:f>Subsurface_Scenario_Data!A13</x:f>
        <x:v>-54.5</x:v>
      </x:c>
      <x:c r="F749" s="34" t="n">
        <x:f>Subsurface_Scenario_Data!J13</x:f>
        <x:v>0</x:v>
      </x:c>
    </x:row>
    <x:row r="750">
      <x:c r="A750" s="34" t="n">
        <x:f>Subsurface_Scenario_Data!A14</x:f>
        <x:v>-54</x:v>
      </x:c>
      <x:c r="B750" s="34" t="n">
        <x:f>Subsurface_Scenario_Data!H14</x:f>
        <x:v>11.316762719778644</x:v>
      </x:c>
      <x:c r="C750" s="34" t="n">
        <x:f>Subsurface_Scenario_Data!A14</x:f>
        <x:v>-54</x:v>
      </x:c>
      <x:c r="D750" s="34" t="n">
        <x:f>Subsurface_Scenario_Data!I14</x:f>
        <x:v>-16.94985582436365</x:v>
      </x:c>
      <x:c r="E750" s="34" t="n">
        <x:f>Subsurface_Scenario_Data!A14</x:f>
        <x:v>-54</x:v>
      </x:c>
      <x:c r="F750" s="34" t="n">
        <x:f>Subsurface_Scenario_Data!J14</x:f>
        <x:v>0</x:v>
      </x:c>
    </x:row>
    <x:row r="751">
      <x:c r="A751" s="34" t="n">
        <x:f>Subsurface_Scenario_Data!A15</x:f>
        <x:v>-53.5</x:v>
      </x:c>
      <x:c r="B751" s="34" t="n">
        <x:f>Subsurface_Scenario_Data!H15</x:f>
        <x:v>11.246216688552309</x:v>
      </x:c>
      <x:c r="C751" s="34" t="n">
        <x:f>Subsurface_Scenario_Data!A15</x:f>
        <x:v>-53.5</x:v>
      </x:c>
      <x:c r="D751" s="34" t="n">
        <x:f>Subsurface_Scenario_Data!I15</x:f>
        <x:v>-16.97766165245026</x:v>
      </x:c>
      <x:c r="E751" s="34" t="n">
        <x:f>Subsurface_Scenario_Data!A15</x:f>
        <x:v>-53.5</x:v>
      </x:c>
      <x:c r="F751" s="34" t="n">
        <x:f>Subsurface_Scenario_Data!J15</x:f>
        <x:v>0</x:v>
      </x:c>
    </x:row>
    <x:row r="752">
      <x:c r="A752" s="34" t="n">
        <x:f>Subsurface_Scenario_Data!A16</x:f>
        <x:v>-53</x:v>
      </x:c>
      <x:c r="B752" s="34" t="n">
        <x:f>Subsurface_Scenario_Data!H16</x:f>
        <x:v>11.23246928941603</x:v>
      </x:c>
      <x:c r="C752" s="34" t="n">
        <x:f>Subsurface_Scenario_Data!A16</x:f>
        <x:v>-53</x:v>
      </x:c>
      <x:c r="D752" s="34" t="n">
        <x:f>Subsurface_Scenario_Data!I16</x:f>
        <x:v>-16.99440759436236</x:v>
      </x:c>
      <x:c r="E752" s="34" t="n">
        <x:f>Subsurface_Scenario_Data!A16</x:f>
        <x:v>-53</x:v>
      </x:c>
      <x:c r="F752" s="34" t="n">
        <x:f>Subsurface_Scenario_Data!J16</x:f>
        <x:v>0</x:v>
      </x:c>
    </x:row>
    <x:row r="753">
      <x:c r="A753" s="34" t="n">
        <x:f>Subsurface_Scenario_Data!A17</x:f>
        <x:v>-52.5</x:v>
      </x:c>
      <x:c r="B753" s="34" t="n">
        <x:f>Subsurface_Scenario_Data!H17</x:f>
        <x:v>11.20491915673798</x:v>
      </x:c>
      <x:c r="C753" s="34" t="n">
        <x:f>Subsurface_Scenario_Data!A17</x:f>
        <x:v>-52.5</x:v>
      </x:c>
      <x:c r="D753" s="34" t="n">
        <x:f>Subsurface_Scenario_Data!I17</x:f>
        <x:v>-17</x:v>
      </x:c>
      <x:c r="E753" s="34" t="n">
        <x:f>Subsurface_Scenario_Data!A17</x:f>
        <x:v>-52.5</x:v>
      </x:c>
      <x:c r="F753" s="34" t="n">
        <x:f>Subsurface_Scenario_Data!J17</x:f>
        <x:v>0</x:v>
      </x:c>
    </x:row>
    <x:row r="754">
      <x:c r="A754" s="34" t="n">
        <x:f>Subsurface_Scenario_Data!A18</x:f>
        <x:v>-52</x:v>
      </x:c>
      <x:c r="B754" s="34" t="n">
        <x:f>Subsurface_Scenario_Data!H18</x:f>
        <x:v>11.156774948067664</x:v>
      </x:c>
      <x:c r="C754" s="34" t="n">
        <x:f>Subsurface_Scenario_Data!A18</x:f>
        <x:v>-52</x:v>
      </x:c>
      <x:c r="D754" s="34" t="n">
        <x:f>Subsurface_Scenario_Data!I18</x:f>
        <x:v>-16.99440759436236</x:v>
      </x:c>
      <x:c r="E754" s="34" t="n">
        <x:f>Subsurface_Scenario_Data!A18</x:f>
        <x:v>-52</x:v>
      </x:c>
      <x:c r="F754" s="34" t="n">
        <x:f>Subsurface_Scenario_Data!J18</x:f>
        <x:v>0</x:v>
      </x:c>
    </x:row>
    <x:row r="755">
      <x:c r="A755" s="34" t="n">
        <x:f>Subsurface_Scenario_Data!A19</x:f>
        <x:v>-51.5</x:v>
      </x:c>
      <x:c r="B755" s="34" t="n">
        <x:f>Subsurface_Scenario_Data!H19</x:f>
        <x:v>11.075799003422546</x:v>
      </x:c>
      <x:c r="C755" s="34" t="n">
        <x:f>Subsurface_Scenario_Data!A19</x:f>
        <x:v>-51.5</x:v>
      </x:c>
      <x:c r="D755" s="34" t="n">
        <x:f>Subsurface_Scenario_Data!I19</x:f>
        <x:v>-16.97766165245026</x:v>
      </x:c>
      <x:c r="E755" s="34" t="n">
        <x:f>Subsurface_Scenario_Data!A19</x:f>
        <x:v>-51.5</x:v>
      </x:c>
      <x:c r="F755" s="34" t="n">
        <x:f>Subsurface_Scenario_Data!J19</x:f>
        <x:v>0</x:v>
      </x:c>
    </x:row>
    <x:row r="756">
      <x:c r="A756" s="34" t="n">
        <x:f>Subsurface_Scenario_Data!A20</x:f>
        <x:v>-51</x:v>
      </x:c>
      <x:c r="B756" s="34" t="n">
        <x:f>Subsurface_Scenario_Data!H20</x:f>
        <x:v>11.121293541922824</x:v>
      </x:c>
      <x:c r="C756" s="34" t="n">
        <x:f>Subsurface_Scenario_Data!A20</x:f>
        <x:v>-51</x:v>
      </x:c>
      <x:c r="D756" s="34" t="n">
        <x:f>Subsurface_Scenario_Data!I20</x:f>
        <x:v>-16.949855824363645</x:v>
      </x:c>
      <x:c r="E756" s="34" t="n">
        <x:f>Subsurface_Scenario_Data!A20</x:f>
        <x:v>-51</x:v>
      </x:c>
      <x:c r="F756" s="34" t="n">
        <x:f>Subsurface_Scenario_Data!J20</x:f>
        <x:v>0</x:v>
      </x:c>
    </x:row>
    <x:row r="757">
      <x:c r="A757" s="34" t="n">
        <x:f>Subsurface_Scenario_Data!A21</x:f>
        <x:v>-50.5</x:v>
      </x:c>
      <x:c r="B757" s="34" t="n">
        <x:f>Subsurface_Scenario_Data!H21</x:f>
        <x:v>11.134869527092249</x:v>
      </x:c>
      <x:c r="C757" s="34" t="n">
        <x:f>Subsurface_Scenario_Data!A21</x:f>
        <x:v>-50.5</x:v>
      </x:c>
      <x:c r="D757" s="34" t="n">
        <x:f>Subsurface_Scenario_Data!I21</x:f>
        <x:v>-16.91114561157228</x:v>
      </x:c>
      <x:c r="E757" s="34" t="n">
        <x:f>Subsurface_Scenario_Data!A21</x:f>
        <x:v>-50.5</x:v>
      </x:c>
      <x:c r="F757" s="34" t="n">
        <x:f>Subsurface_Scenario_Data!J21</x:f>
        <x:v>0</x:v>
      </x:c>
    </x:row>
    <x:row r="758">
      <x:c r="A758" s="34" t="n">
        <x:f>Subsurface_Scenario_Data!A22</x:f>
        <x:v>-50</x:v>
      </x:c>
      <x:c r="B758" s="34" t="n">
        <x:f>Subsurface_Scenario_Data!H22</x:f>
        <x:v>11.034536351926569</x:v>
      </x:c>
      <x:c r="C758" s="34" t="n">
        <x:f>Subsurface_Scenario_Data!A22</x:f>
        <x:v>-50</x:v>
      </x:c>
      <x:c r="D758" s="34" t="n">
        <x:f>Subsurface_Scenario_Data!I22</x:f>
        <x:v>-16.86174749728841</x:v>
      </x:c>
      <x:c r="E758" s="34" t="n">
        <x:f>Subsurface_Scenario_Data!A22</x:f>
        <x:v>-50</x:v>
      </x:c>
      <x:c r="F758" s="34" t="n">
        <x:f>Subsurface_Scenario_Data!J22</x:f>
        <x:v>0</x:v>
      </x:c>
    </x:row>
    <x:row r="759">
      <x:c r="A759" s="34" t="n">
        <x:f>Subsurface_Scenario_Data!A23</x:f>
        <x:v>-49.5</x:v>
      </x:c>
      <x:c r="B759" s="34" t="n">
        <x:f>Subsurface_Scenario_Data!H23</x:f>
        <x:v>11.100388976915333</x:v>
      </x:c>
      <x:c r="C759" s="34" t="n">
        <x:f>Subsurface_Scenario_Data!A23</x:f>
        <x:v>-49.5</x:v>
      </x:c>
      <x:c r="D759" s="34" t="n">
        <x:f>Subsurface_Scenario_Data!I23</x:f>
        <x:v>-16.801937735804838</x:v>
      </x:c>
      <x:c r="E759" s="34" t="n">
        <x:f>Subsurface_Scenario_Data!A23</x:f>
        <x:v>-49.5</x:v>
      </x:c>
      <x:c r="F759" s="34" t="n">
        <x:f>Subsurface_Scenario_Data!J23</x:f>
        <x:v>0</x:v>
      </x:c>
    </x:row>
    <x:row r="760">
      <x:c r="A760" s="34" t="n">
        <x:f>Subsurface_Scenario_Data!A24</x:f>
        <x:v>-49</x:v>
      </x:c>
      <x:c r="B760" s="34" t="n">
        <x:f>Subsurface_Scenario_Data!H24</x:f>
        <x:v>11.059082032787487</x:v>
      </x:c>
      <x:c r="C760" s="34" t="n">
        <x:f>Subsurface_Scenario_Data!A24</x:f>
        <x:v>-49</x:v>
      </x:c>
      <x:c r="D760" s="34" t="n">
        <x:f>Subsurface_Scenario_Data!I24</x:f>
        <x:v>-16.732050807568875</x:v>
      </x:c>
      <x:c r="E760" s="34" t="n">
        <x:f>Subsurface_Scenario_Data!A24</x:f>
        <x:v>-49</x:v>
      </x:c>
      <x:c r="F760" s="34" t="n">
        <x:f>Subsurface_Scenario_Data!J24</x:f>
        <x:v>0</x:v>
      </x:c>
    </x:row>
    <x:row r="761">
      <x:c r="A761" s="34" t="n">
        <x:f>Subsurface_Scenario_Data!A25</x:f>
        <x:v>-48.5</x:v>
      </x:c>
      <x:c r="B761" s="34" t="n">
        <x:f>Subsurface_Scenario_Data!H25</x:f>
        <x:v>11.073743837819762</x:v>
      </x:c>
      <x:c r="C761" s="34" t="n">
        <x:f>Subsurface_Scenario_Data!A25</x:f>
        <x:v>-48.5</x:v>
      </x:c>
      <x:c r="D761" s="34" t="n">
        <x:f>Subsurface_Scenario_Data!I25</x:f>
        <x:v>-16.65247754863199</x:v>
      </x:c>
      <x:c r="E761" s="34" t="n">
        <x:f>Subsurface_Scenario_Data!A25</x:f>
        <x:v>-48.5</x:v>
      </x:c>
      <x:c r="F761" s="34" t="n">
        <x:f>Subsurface_Scenario_Data!J25</x:f>
        <x:v>0</x:v>
      </x:c>
    </x:row>
    <x:row r="762">
      <x:c r="A762" s="34" t="n">
        <x:f>Subsurface_Scenario_Data!A26</x:f>
        <x:v>-48</x:v>
      </x:c>
      <x:c r="B762" s="34" t="n">
        <x:f>Subsurface_Scenario_Data!H26</x:f>
        <x:v>11.124377416664593</x:v>
      </x:c>
      <x:c r="C762" s="34" t="n">
        <x:f>Subsurface_Scenario_Data!A26</x:f>
        <x:v>-48</x:v>
      </x:c>
      <x:c r="D762" s="34" t="n">
        <x:f>Subsurface_Scenario_Data!I26</x:f>
        <x:v>-16.56366296493606</x:v>
      </x:c>
      <x:c r="E762" s="34" t="n">
        <x:f>Subsurface_Scenario_Data!A26</x:f>
        <x:v>-48</x:v>
      </x:c>
      <x:c r="F762" s="34" t="n">
        <x:f>Subsurface_Scenario_Data!J26</x:f>
        <x:v>0</x:v>
      </x:c>
    </x:row>
    <x:row r="763">
      <x:c r="A763" s="34" t="n">
        <x:f>Subsurface_Scenario_Data!A27</x:f>
        <x:v>-47.5</x:v>
      </x:c>
      <x:c r="B763" s="34" t="n">
        <x:f>Subsurface_Scenario_Data!H27</x:f>
        <x:v>11.08394504464011</x:v>
      </x:c>
      <x:c r="C763" s="34" t="n">
        <x:f>Subsurface_Scenario_Data!A27</x:f>
        <x:v>-47.5</x:v>
      </x:c>
      <x:c r="D763" s="34" t="n">
        <x:f>Subsurface_Scenario_Data!I27</x:f>
        <x:v>-16.46610374365965</x:v>
      </x:c>
      <x:c r="E763" s="34" t="n">
        <x:f>Subsurface_Scenario_Data!A27</x:f>
        <x:v>-47.5</x:v>
      </x:c>
      <x:c r="F763" s="34" t="n">
        <x:f>Subsurface_Scenario_Data!J27</x:f>
        <x:v>0</x:v>
      </x:c>
    </x:row>
    <x:row r="764">
      <x:c r="A764" s="34" t="n">
        <x:f>Subsurface_Scenario_Data!A28</x:f>
        <x:v>-47</x:v>
      </x:c>
      <x:c r="B764" s="34" t="n">
        <x:f>Subsurface_Scenario_Data!H28</x:f>
        <x:v>11.120163596120719</x:v>
      </x:c>
      <x:c r="C764" s="34" t="n">
        <x:f>Subsurface_Scenario_Data!A28</x:f>
        <x:v>-47</x:v>
      </x:c>
      <x:c r="D764" s="34" t="n">
        <x:f>Subsurface_Scenario_Data!I28</x:f>
        <x:v>-16.360345475541838</x:v>
      </x:c>
      <x:c r="E764" s="34" t="n">
        <x:f>Subsurface_Scenario_Data!A28</x:f>
        <x:v>-47</x:v>
      </x:c>
      <x:c r="F764" s="34" t="n">
        <x:f>Subsurface_Scenario_Data!J28</x:f>
        <x:v>0</x:v>
      </x:c>
    </x:row>
    <x:row r="765">
      <x:c r="A765" s="34" t="n">
        <x:f>Subsurface_Scenario_Data!A29</x:f>
        <x:v>-46.5</x:v>
      </x:c>
      <x:c r="B765" s="34" t="n">
        <x:f>Subsurface_Scenario_Data!H29</x:f>
        <x:v>11.11835345536425</x:v>
      </x:c>
      <x:c r="C765" s="34" t="n">
        <x:f>Subsurface_Scenario_Data!A29</x:f>
        <x:v>-46.5</x:v>
      </x:c>
      <x:c r="D765" s="34" t="n">
        <x:f>Subsurface_Scenario_Data!I29</x:f>
        <x:v>-16.246979603717467</x:v>
      </x:c>
      <x:c r="E765" s="34" t="n">
        <x:f>Subsurface_Scenario_Data!A29</x:f>
        <x:v>-46.5</x:v>
      </x:c>
      <x:c r="F765" s="34" t="n">
        <x:f>Subsurface_Scenario_Data!J29</x:f>
        <x:v>0</x:v>
      </x:c>
    </x:row>
    <x:row r="766">
      <x:c r="A766" s="34" t="n">
        <x:f>Subsurface_Scenario_Data!A30</x:f>
        <x:v>-46</x:v>
      </x:c>
      <x:c r="B766" s="34" t="n">
        <x:f>Subsurface_Scenario_Data!H30</x:f>
        <x:v>11.185621601117823</x:v>
      </x:c>
      <x:c r="C766" s="34" t="n">
        <x:f>Subsurface_Scenario_Data!A30</x:f>
        <x:v>-46</x:v>
      </x:c>
      <x:c r="D766" s="34" t="n">
        <x:f>Subsurface_Scenario_Data!I30</x:f>
        <x:v>-16.12664011612724</x:v>
      </x:c>
      <x:c r="E766" s="34" t="n">
        <x:f>Subsurface_Scenario_Data!A30</x:f>
        <x:v>-46</x:v>
      </x:c>
      <x:c r="F766" s="34" t="n">
        <x:f>Subsurface_Scenario_Data!J30</x:f>
        <x:v>0</x:v>
      </x:c>
    </x:row>
    <x:row r="767">
      <x:c r="A767" s="34" t="n">
        <x:f>Subsurface_Scenario_Data!A31</x:f>
        <x:v>-45.5</x:v>
      </x:c>
      <x:c r="B767" s="34" t="n">
        <x:f>Subsurface_Scenario_Data!H31</x:f>
        <x:v>11.213671211747297</x:v>
      </x:c>
      <x:c r="C767" s="34" t="n">
        <x:f>Subsurface_Scenario_Data!A31</x:f>
        <x:v>-45.5</x:v>
      </x:c>
      <x:c r="D767" s="34" t="n">
        <x:f>Subsurface_Scenario_Data!I31</x:f>
        <x:v>-16</x:v>
      </x:c>
      <x:c r="E767" s="34" t="n">
        <x:f>Subsurface_Scenario_Data!A31</x:f>
        <x:v>-45.5</x:v>
      </x:c>
      <x:c r="F767" s="34" t="n">
        <x:f>Subsurface_Scenario_Data!J31</x:f>
        <x:v>0</x:v>
      </x:c>
    </x:row>
    <x:row r="768">
      <x:c r="A768" s="34" t="n">
        <x:f>Subsurface_Scenario_Data!A32</x:f>
        <x:v>-45</x:v>
      </x:c>
      <x:c r="B768" s="34" t="n">
        <x:f>Subsurface_Scenario_Data!H32</x:f>
        <x:v>11.300860169559684</x:v>
      </x:c>
      <x:c r="C768" s="34" t="n">
        <x:f>Subsurface_Scenario_Data!A32</x:f>
        <x:v>-45</x:v>
      </x:c>
      <x:c r="D768" s="34" t="n">
        <x:f>Subsurface_Scenario_Data!I32</x:f>
        <x:v>-15.867767478235116</x:v>
      </x:c>
      <x:c r="E768" s="34" t="n">
        <x:f>Subsurface_Scenario_Data!A32</x:f>
        <x:v>-45</x:v>
      </x:c>
      <x:c r="F768" s="34" t="n">
        <x:f>Subsurface_Scenario_Data!J32</x:f>
        <x:v>0</x:v>
      </x:c>
    </x:row>
    <x:row r="769">
      <x:c r="A769" s="34" t="n">
        <x:f>Subsurface_Scenario_Data!A33</x:f>
        <x:v>-44.5</x:v>
      </x:c>
      <x:c r="B769" s="34" t="n">
        <x:f>Subsurface_Scenario_Data!H33</x:f>
        <x:v>11.327057534365636</x:v>
      </x:c>
      <x:c r="C769" s="34" t="n">
        <x:f>Subsurface_Scenario_Data!A33</x:f>
        <x:v>-44.5</x:v>
      </x:c>
      <x:c r="D769" s="34" t="n">
        <x:f>Subsurface_Scenario_Data!I33</x:f>
        <x:v>-15.73068204873279</x:v>
      </x:c>
      <x:c r="E769" s="34" t="n">
        <x:f>Subsurface_Scenario_Data!A33</x:f>
        <x:v>-44.5</x:v>
      </x:c>
      <x:c r="F769" s="34" t="n">
        <x:f>Subsurface_Scenario_Data!J33</x:f>
        <x:v>0</x:v>
      </x:c>
    </x:row>
    <x:row r="770">
      <x:c r="A770" s="34" t="n">
        <x:f>Subsurface_Scenario_Data!A34</x:f>
        <x:v>-44</x:v>
      </x:c>
      <x:c r="B770" s="34" t="n">
        <x:f>Subsurface_Scenario_Data!H34</x:f>
        <x:v>11.328707905104096</x:v>
      </x:c>
      <x:c r="C770" s="34" t="n">
        <x:f>Subsurface_Scenario_Data!A34</x:f>
        <x:v>-44</x:v>
      </x:c>
      <x:c r="D770" s="34" t="n">
        <x:f>Subsurface_Scenario_Data!I34</x:f>
        <x:v>-15.589510348821808</x:v>
      </x:c>
      <x:c r="E770" s="34" t="n">
        <x:f>Subsurface_Scenario_Data!A34</x:f>
        <x:v>-44</x:v>
      </x:c>
      <x:c r="F770" s="34" t="n">
        <x:f>Subsurface_Scenario_Data!J34</x:f>
        <x:v>0</x:v>
      </x:c>
    </x:row>
    <x:row r="771">
      <x:c r="A771" s="34" t="n">
        <x:f>Subsurface_Scenario_Data!A35</x:f>
        <x:v>-43.5</x:v>
      </x:c>
      <x:c r="B771" s="34" t="n">
        <x:f>Subsurface_Scenario_Data!H35</x:f>
        <x:v>11.277146631645458</x:v>
      </x:c>
      <x:c r="C771" s="34" t="n">
        <x:f>Subsurface_Scenario_Data!A35</x:f>
        <x:v>-43.5</x:v>
      </x:c>
      <x:c r="D771" s="34" t="n">
        <x:f>Subsurface_Scenario_Data!I35</x:f>
        <x:v>-15.445041867912629</x:v>
      </x:c>
      <x:c r="E771" s="34" t="n">
        <x:f>Subsurface_Scenario_Data!A35</x:f>
        <x:v>-43.5</x:v>
      </x:c>
      <x:c r="F771" s="34" t="n">
        <x:f>Subsurface_Scenario_Data!J35</x:f>
        <x:v>0</x:v>
      </x:c>
    </x:row>
    <x:row r="772">
      <x:c r="A772" s="34" t="n">
        <x:f>Subsurface_Scenario_Data!A36</x:f>
        <x:v>-43</x:v>
      </x:c>
      <x:c r="B772" s="34" t="n">
        <x:f>Subsurface_Scenario_Data!H36</x:f>
        <x:v>11.402061786815004</x:v>
      </x:c>
      <x:c r="C772" s="34" t="n">
        <x:f>Subsurface_Scenario_Data!A36</x:f>
        <x:v>-43</x:v>
      </x:c>
      <x:c r="D772" s="34" t="n">
        <x:f>Subsurface_Scenario_Data!I36</x:f>
        <x:v>-15.298084532352348</x:v>
      </x:c>
      <x:c r="E772" s="34" t="n">
        <x:f>Subsurface_Scenario_Data!A36</x:f>
        <x:v>-43</x:v>
      </x:c>
      <x:c r="F772" s="34" t="n">
        <x:f>Subsurface_Scenario_Data!J36</x:f>
        <x:v>0</x:v>
      </x:c>
    </x:row>
    <x:row r="773">
      <x:c r="A773" s="34" t="n">
        <x:f>Subsurface_Scenario_Data!A37</x:f>
        <x:v>-42.5</x:v>
      </x:c>
      <x:c r="B773" s="34" t="n">
        <x:f>Subsurface_Scenario_Data!H37</x:f>
        <x:v>11.391265289964153</x:v>
      </x:c>
      <x:c r="C773" s="34" t="n">
        <x:f>Subsurface_Scenario_Data!A37</x:f>
        <x:v>-42.5</x:v>
      </x:c>
      <x:c r="D773" s="34" t="n">
        <x:f>Subsurface_Scenario_Data!I37</x:f>
        <x:v>-15.14946018717285</x:v>
      </x:c>
      <x:c r="E773" s="34" t="n">
        <x:f>Subsurface_Scenario_Data!A37</x:f>
        <x:v>-42.5</x:v>
      </x:c>
      <x:c r="F773" s="34" t="n">
        <x:f>Subsurface_Scenario_Data!J37</x:f>
        <x:v>0</x:v>
      </x:c>
    </x:row>
    <x:row r="774">
      <x:c r="A774" s="34" t="n">
        <x:f>Subsurface_Scenario_Data!A38</x:f>
        <x:v>-42</x:v>
      </x:c>
      <x:c r="B774" s="34" t="n">
        <x:f>Subsurface_Scenario_Data!H38</x:f>
        <x:v>11.43323056441237</x:v>
      </x:c>
      <x:c r="C774" s="34" t="n">
        <x:f>Subsurface_Scenario_Data!A38</x:f>
        <x:v>-42</x:v>
      </x:c>
      <x:c r="D774" s="34" t="n">
        <x:f>Subsurface_Scenario_Data!I38</x:f>
        <x:v>-15</x:v>
      </x:c>
      <x:c r="E774" s="34" t="n">
        <x:f>Subsurface_Scenario_Data!A38</x:f>
        <x:v>-42</x:v>
      </x:c>
      <x:c r="F774" s="34" t="n">
        <x:f>Subsurface_Scenario_Data!J38</x:f>
        <x:v>0</x:v>
      </x:c>
    </x:row>
    <x:row r="775">
      <x:c r="A775" s="34" t="n">
        <x:f>Subsurface_Scenario_Data!A39</x:f>
        <x:v>-41.5</x:v>
      </x:c>
      <x:c r="B775" s="34" t="n">
        <x:f>Subsurface_Scenario_Data!H39</x:f>
        <x:v>11.424076195718278</x:v>
      </x:c>
      <x:c r="C775" s="34" t="n">
        <x:f>Subsurface_Scenario_Data!A39</x:f>
        <x:v>-41.5</x:v>
      </x:c>
      <x:c r="D775" s="34" t="n">
        <x:f>Subsurface_Scenario_Data!I39</x:f>
        <x:v>-14.850539812827153</x:v>
      </x:c>
      <x:c r="E775" s="34" t="n">
        <x:f>Subsurface_Scenario_Data!A39</x:f>
        <x:v>-41.5</x:v>
      </x:c>
      <x:c r="F775" s="34" t="n">
        <x:f>Subsurface_Scenario_Data!J39</x:f>
        <x:v>0</x:v>
      </x:c>
    </x:row>
    <x:row r="776">
      <x:c r="A776" s="34" t="n">
        <x:f>Subsurface_Scenario_Data!A40</x:f>
        <x:v>-41</x:v>
      </x:c>
      <x:c r="B776" s="34" t="n">
        <x:f>Subsurface_Scenario_Data!H40</x:f>
        <x:v>11.395475707488714</x:v>
      </x:c>
      <x:c r="C776" s="34" t="n">
        <x:f>Subsurface_Scenario_Data!A40</x:f>
        <x:v>-41</x:v>
      </x:c>
      <x:c r="D776" s="34" t="n">
        <x:f>Subsurface_Scenario_Data!I40</x:f>
        <x:v>-14.70191546764765</x:v>
      </x:c>
      <x:c r="E776" s="34" t="n">
        <x:f>Subsurface_Scenario_Data!A40</x:f>
        <x:v>-41</x:v>
      </x:c>
      <x:c r="F776" s="34" t="n">
        <x:f>Subsurface_Scenario_Data!J40</x:f>
        <x:v>0</x:v>
      </x:c>
    </x:row>
    <x:row r="777">
      <x:c r="A777" s="34" t="n">
        <x:f>Subsurface_Scenario_Data!A41</x:f>
        <x:v>-40.5</x:v>
      </x:c>
      <x:c r="B777" s="34" t="n">
        <x:f>Subsurface_Scenario_Data!H41</x:f>
        <x:v>11.326927352897968</x:v>
      </x:c>
      <x:c r="C777" s="34" t="n">
        <x:f>Subsurface_Scenario_Data!A41</x:f>
        <x:v>-40.5</x:v>
      </x:c>
      <x:c r="D777" s="34" t="n">
        <x:f>Subsurface_Scenario_Data!I41</x:f>
        <x:v>-14.554958132087371</x:v>
      </x:c>
      <x:c r="E777" s="34" t="n">
        <x:f>Subsurface_Scenario_Data!A41</x:f>
        <x:v>-40.5</x:v>
      </x:c>
      <x:c r="F777" s="34" t="n">
        <x:f>Subsurface_Scenario_Data!J41</x:f>
        <x:v>0</x:v>
      </x:c>
    </x:row>
    <x:row r="778">
      <x:c r="A778" s="34" t="n">
        <x:f>Subsurface_Scenario_Data!A42</x:f>
        <x:v>-40</x:v>
      </x:c>
      <x:c r="B778" s="34" t="n">
        <x:f>Subsurface_Scenario_Data!H42</x:f>
        <x:v>11.293728085994964</x:v>
      </x:c>
      <x:c r="C778" s="34" t="n">
        <x:f>Subsurface_Scenario_Data!A42</x:f>
        <x:v>-40</x:v>
      </x:c>
      <x:c r="D778" s="34" t="n">
        <x:f>Subsurface_Scenario_Data!I42</x:f>
        <x:v>-14.41048965117819</x:v>
      </x:c>
      <x:c r="E778" s="34" t="n">
        <x:f>Subsurface_Scenario_Data!A42</x:f>
        <x:v>-40</x:v>
      </x:c>
      <x:c r="F778" s="34" t="n">
        <x:f>Subsurface_Scenario_Data!J42</x:f>
        <x:v>0</x:v>
      </x:c>
    </x:row>
    <x:row r="779">
      <x:c r="A779" s="34" t="n">
        <x:f>Subsurface_Scenario_Data!A43</x:f>
        <x:v>-39.5</x:v>
      </x:c>
      <x:c r="B779" s="34" t="n">
        <x:f>Subsurface_Scenario_Data!H43</x:f>
        <x:v>11.27416274270162</x:v>
      </x:c>
      <x:c r="C779" s="34" t="n">
        <x:f>Subsurface_Scenario_Data!A43</x:f>
        <x:v>-39.5</x:v>
      </x:c>
      <x:c r="D779" s="34" t="n">
        <x:f>Subsurface_Scenario_Data!I43</x:f>
        <x:v>-14.26931795126721</x:v>
      </x:c>
      <x:c r="E779" s="34" t="n">
        <x:f>Subsurface_Scenario_Data!A43</x:f>
        <x:v>-39.5</x:v>
      </x:c>
      <x:c r="F779" s="34" t="n">
        <x:f>Subsurface_Scenario_Data!J43</x:f>
        <x:v>0</x:v>
      </x:c>
    </x:row>
    <x:row r="780">
      <x:c r="A780" s="34" t="n">
        <x:f>Subsurface_Scenario_Data!A44</x:f>
        <x:v>-39</x:v>
      </x:c>
      <x:c r="B780" s="34" t="n">
        <x:f>Subsurface_Scenario_Data!H44</x:f>
        <x:v>11.340040388026814</x:v>
      </x:c>
      <x:c r="C780" s="34" t="n">
        <x:f>Subsurface_Scenario_Data!A44</x:f>
        <x:v>-39</x:v>
      </x:c>
      <x:c r="D780" s="34" t="n">
        <x:f>Subsurface_Scenario_Data!I44</x:f>
        <x:v>-14.132232521764884</x:v>
      </x:c>
      <x:c r="E780" s="34" t="n">
        <x:f>Subsurface_Scenario_Data!A44</x:f>
        <x:v>-39</x:v>
      </x:c>
      <x:c r="F780" s="34" t="n">
        <x:f>Subsurface_Scenario_Data!J44</x:f>
        <x:v>0</x:v>
      </x:c>
    </x:row>
    <x:row r="781">
      <x:c r="A781" s="34" t="n">
        <x:f>Subsurface_Scenario_Data!A45</x:f>
        <x:v>-38.5</x:v>
      </x:c>
      <x:c r="B781" s="34" t="n">
        <x:f>Subsurface_Scenario_Data!H45</x:f>
        <x:v>11.21882140419359</x:v>
      </x:c>
      <x:c r="C781" s="34" t="n">
        <x:f>Subsurface_Scenario_Data!A45</x:f>
        <x:v>-38.5</x:v>
      </x:c>
      <x:c r="D781" s="34" t="n">
        <x:f>Subsurface_Scenario_Data!I45</x:f>
        <x:v>-14</x:v>
      </x:c>
      <x:c r="E781" s="34" t="n">
        <x:f>Subsurface_Scenario_Data!A45</x:f>
        <x:v>-38.5</x:v>
      </x:c>
      <x:c r="F781" s="34" t="n">
        <x:f>Subsurface_Scenario_Data!J45</x:f>
        <x:v>0</x:v>
      </x:c>
    </x:row>
    <x:row r="782">
      <x:c r="A782" s="34" t="n">
        <x:f>Subsurface_Scenario_Data!A46</x:f>
        <x:v>-38</x:v>
      </x:c>
      <x:c r="B782" s="34" t="n">
        <x:f>Subsurface_Scenario_Data!H46</x:f>
        <x:v>11.25227392903512</x:v>
      </x:c>
      <x:c r="C782" s="34" t="n">
        <x:f>Subsurface_Scenario_Data!A46</x:f>
        <x:v>-38</x:v>
      </x:c>
      <x:c r="D782" s="34" t="n">
        <x:f>Subsurface_Scenario_Data!I46</x:f>
        <x:v>-13.873359883872755</x:v>
      </x:c>
      <x:c r="E782" s="34" t="n">
        <x:f>Subsurface_Scenario_Data!A46</x:f>
        <x:v>-38</x:v>
      </x:c>
      <x:c r="F782" s="34" t="n">
        <x:f>Subsurface_Scenario_Data!J46</x:f>
        <x:v>0</x:v>
      </x:c>
    </x:row>
    <x:row r="783">
      <x:c r="A783" s="34" t="n">
        <x:f>Subsurface_Scenario_Data!A47</x:f>
        <x:v>-37.5</x:v>
      </x:c>
      <x:c r="B783" s="34" t="n">
        <x:f>Subsurface_Scenario_Data!H47</x:f>
        <x:v>11.092663374976432</x:v>
      </x:c>
      <x:c r="C783" s="34" t="n">
        <x:f>Subsurface_Scenario_Data!A47</x:f>
        <x:v>-37.5</x:v>
      </x:c>
      <x:c r="D783" s="34" t="n">
        <x:f>Subsurface_Scenario_Data!I47</x:f>
        <x:v>-13.753020396282533</x:v>
      </x:c>
      <x:c r="E783" s="34" t="n">
        <x:f>Subsurface_Scenario_Data!A47</x:f>
        <x:v>-37.5</x:v>
      </x:c>
      <x:c r="F783" s="34" t="n">
        <x:f>Subsurface_Scenario_Data!J47</x:f>
        <x:v>0</x:v>
      </x:c>
    </x:row>
    <x:row r="784">
      <x:c r="A784" s="34" t="n">
        <x:f>Subsurface_Scenario_Data!A48</x:f>
        <x:v>-37</x:v>
      </x:c>
      <x:c r="B784" s="34" t="n">
        <x:f>Subsurface_Scenario_Data!H48</x:f>
        <x:v>11.102787840036143</x:v>
      </x:c>
      <x:c r="C784" s="34" t="n">
        <x:f>Subsurface_Scenario_Data!A48</x:f>
        <x:v>-37</x:v>
      </x:c>
      <x:c r="D784" s="34" t="n">
        <x:f>Subsurface_Scenario_Data!I48</x:f>
        <x:v>-13.639654524458162</x:v>
      </x:c>
      <x:c r="E784" s="34" t="n">
        <x:f>Subsurface_Scenario_Data!A48</x:f>
        <x:v>-37</x:v>
      </x:c>
      <x:c r="F784" s="34" t="n">
        <x:f>Subsurface_Scenario_Data!J48</x:f>
        <x:v>0</x:v>
      </x:c>
    </x:row>
    <x:row r="785">
      <x:c r="A785" s="34" t="n">
        <x:f>Subsurface_Scenario_Data!A49</x:f>
        <x:v>-36.5</x:v>
      </x:c>
      <x:c r="B785" s="34" t="n">
        <x:f>Subsurface_Scenario_Data!H49</x:f>
        <x:v>10.977232703780771</x:v>
      </x:c>
      <x:c r="C785" s="34" t="n">
        <x:f>Subsurface_Scenario_Data!A49</x:f>
        <x:v>-36.5</x:v>
      </x:c>
      <x:c r="D785" s="34" t="n">
        <x:f>Subsurface_Scenario_Data!I49</x:f>
        <x:v>-13.533896256340347</x:v>
      </x:c>
      <x:c r="E785" s="34" t="n">
        <x:f>Subsurface_Scenario_Data!A49</x:f>
        <x:v>-36.5</x:v>
      </x:c>
      <x:c r="F785" s="34" t="n">
        <x:f>Subsurface_Scenario_Data!J49</x:f>
        <x:v>0</x:v>
      </x:c>
    </x:row>
    <x:row r="786">
      <x:c r="A786" s="34" t="n">
        <x:f>Subsurface_Scenario_Data!A50</x:f>
        <x:v>-36</x:v>
      </x:c>
      <x:c r="B786" s="34" t="n">
        <x:f>Subsurface_Scenario_Data!H50</x:f>
        <x:v>10.939810837081076</x:v>
      </x:c>
      <x:c r="C786" s="34" t="n">
        <x:f>Subsurface_Scenario_Data!A50</x:f>
        <x:v>-36</x:v>
      </x:c>
      <x:c r="D786" s="34" t="n">
        <x:f>Subsurface_Scenario_Data!I50</x:f>
        <x:v>-13.43633703506394</x:v>
      </x:c>
      <x:c r="E786" s="34" t="n">
        <x:f>Subsurface_Scenario_Data!A50</x:f>
        <x:v>-36</x:v>
      </x:c>
      <x:c r="F786" s="34" t="n">
        <x:f>Subsurface_Scenario_Data!J50</x:f>
        <x:v>0</x:v>
      </x:c>
    </x:row>
    <x:row r="787">
      <x:c r="A787" s="34" t="n">
        <x:f>Subsurface_Scenario_Data!A51</x:f>
        <x:v>-35.5</x:v>
      </x:c>
      <x:c r="B787" s="34" t="n">
        <x:f>Subsurface_Scenario_Data!H51</x:f>
        <x:v>10.88898635109949</x:v>
      </x:c>
      <x:c r="C787" s="34" t="n">
        <x:f>Subsurface_Scenario_Data!A51</x:f>
        <x:v>-35.5</x:v>
      </x:c>
      <x:c r="D787" s="34" t="n">
        <x:f>Subsurface_Scenario_Data!I51</x:f>
        <x:v>-13.347522451368011</x:v>
      </x:c>
      <x:c r="E787" s="34" t="n">
        <x:f>Subsurface_Scenario_Data!A51</x:f>
        <x:v>-35.5</x:v>
      </x:c>
      <x:c r="F787" s="34" t="n">
        <x:f>Subsurface_Scenario_Data!J51</x:f>
        <x:v>0</x:v>
      </x:c>
    </x:row>
    <x:row r="788">
      <x:c r="A788" s="34" t="n">
        <x:f>Subsurface_Scenario_Data!A52</x:f>
        <x:v>-35</x:v>
      </x:c>
      <x:c r="B788" s="34" t="n">
        <x:f>Subsurface_Scenario_Data!H52</x:f>
        <x:v>10.907800242211557</x:v>
      </x:c>
      <x:c r="C788" s="34" t="n">
        <x:f>Subsurface_Scenario_Data!A52</x:f>
        <x:v>-35</x:v>
      </x:c>
      <x:c r="D788" s="34" t="n">
        <x:f>Subsurface_Scenario_Data!I52</x:f>
        <x:v>-13.267949192431121</x:v>
      </x:c>
      <x:c r="E788" s="34" t="n">
        <x:f>Subsurface_Scenario_Data!A52</x:f>
        <x:v>-35</x:v>
      </x:c>
      <x:c r="F788" s="34" t="n">
        <x:f>Subsurface_Scenario_Data!J52</x:f>
        <x:v>0</x:v>
      </x:c>
    </x:row>
    <x:row r="789">
      <x:c r="A789" s="34" t="n">
        <x:f>Subsurface_Scenario_Data!A53</x:f>
        <x:v>-34.5</x:v>
      </x:c>
      <x:c r="B789" s="34" t="n">
        <x:f>Subsurface_Scenario_Data!H53</x:f>
        <x:v>10.75599676424995</x:v>
      </x:c>
      <x:c r="C789" s="34" t="n">
        <x:f>Subsurface_Scenario_Data!A53</x:f>
        <x:v>-34.5</x:v>
      </x:c>
      <x:c r="D789" s="34" t="n">
        <x:f>Subsurface_Scenario_Data!I53</x:f>
        <x:v>-13.198062264195162</x:v>
      </x:c>
      <x:c r="E789" s="34" t="n">
        <x:f>Subsurface_Scenario_Data!A53</x:f>
        <x:v>-34.5</x:v>
      </x:c>
      <x:c r="F789" s="34" t="n">
        <x:f>Subsurface_Scenario_Data!J53</x:f>
        <x:v>0</x:v>
      </x:c>
    </x:row>
    <x:row r="790">
      <x:c r="A790" s="34" t="n">
        <x:f>Subsurface_Scenario_Data!A54</x:f>
        <x:v>-34</x:v>
      </x:c>
      <x:c r="B790" s="34" t="n">
        <x:f>Subsurface_Scenario_Data!H54</x:f>
        <x:v>10.745291711753005</x:v>
      </x:c>
      <x:c r="C790" s="34" t="n">
        <x:f>Subsurface_Scenario_Data!A54</x:f>
        <x:v>-34</x:v>
      </x:c>
      <x:c r="D790" s="34" t="n">
        <x:f>Subsurface_Scenario_Data!I54</x:f>
        <x:v>-13.138252502711591</x:v>
      </x:c>
      <x:c r="E790" s="34" t="n">
        <x:f>Subsurface_Scenario_Data!A54</x:f>
        <x:v>-34</x:v>
      </x:c>
      <x:c r="F790" s="34" t="n">
        <x:f>Subsurface_Scenario_Data!J54</x:f>
        <x:v>0</x:v>
      </x:c>
    </x:row>
    <x:row r="791">
      <x:c r="A791" s="34" t="n">
        <x:f>Subsurface_Scenario_Data!A55</x:f>
        <x:v>-33.5</x:v>
      </x:c>
      <x:c r="B791" s="34" t="n">
        <x:f>Subsurface_Scenario_Data!H55</x:f>
        <x:v>10.710193895076713</x:v>
      </x:c>
      <x:c r="C791" s="34" t="n">
        <x:f>Subsurface_Scenario_Data!A55</x:f>
        <x:v>-33.5</x:v>
      </x:c>
      <x:c r="D791" s="34" t="n">
        <x:f>Subsurface_Scenario_Data!I55</x:f>
        <x:v>-13.088854388427718</x:v>
      </x:c>
      <x:c r="E791" s="34" t="n">
        <x:f>Subsurface_Scenario_Data!A55</x:f>
        <x:v>-33.5</x:v>
      </x:c>
      <x:c r="F791" s="34" t="n">
        <x:f>Subsurface_Scenario_Data!J55</x:f>
        <x:v>0</x:v>
      </x:c>
    </x:row>
    <x:row r="792">
      <x:c r="A792" s="34" t="n">
        <x:f>Subsurface_Scenario_Data!A56</x:f>
        <x:v>-33</x:v>
      </x:c>
      <x:c r="B792" s="34" t="n">
        <x:f>Subsurface_Scenario_Data!H56</x:f>
        <x:v>10.656567626636402</x:v>
      </x:c>
      <x:c r="C792" s="34" t="n">
        <x:f>Subsurface_Scenario_Data!A56</x:f>
        <x:v>-33</x:v>
      </x:c>
      <x:c r="D792" s="34" t="n">
        <x:f>Subsurface_Scenario_Data!I56</x:f>
        <x:v>-13.050144175636353</x:v>
      </x:c>
      <x:c r="E792" s="34" t="n">
        <x:f>Subsurface_Scenario_Data!A56</x:f>
        <x:v>-33</x:v>
      </x:c>
      <x:c r="F792" s="34" t="n">
        <x:f>Subsurface_Scenario_Data!J56</x:f>
        <x:v>0</x:v>
      </x:c>
    </x:row>
    <x:row r="793">
      <x:c r="A793" s="34" t="n">
        <x:f>Subsurface_Scenario_Data!A57</x:f>
        <x:v>-32.5</x:v>
      </x:c>
      <x:c r="B793" s="34" t="n">
        <x:f>Subsurface_Scenario_Data!H57</x:f>
        <x:v>10.624684654638372</x:v>
      </x:c>
      <x:c r="C793" s="34" t="n">
        <x:f>Subsurface_Scenario_Data!A57</x:f>
        <x:v>-32.5</x:v>
      </x:c>
      <x:c r="D793" s="34" t="n">
        <x:f>Subsurface_Scenario_Data!I57</x:f>
        <x:v>-13.022338347549743</x:v>
      </x:c>
      <x:c r="E793" s="34" t="n">
        <x:f>Subsurface_Scenario_Data!A57</x:f>
        <x:v>-32.5</x:v>
      </x:c>
      <x:c r="F793" s="34" t="n">
        <x:f>Subsurface_Scenario_Data!J57</x:f>
        <x:v>0</x:v>
      </x:c>
    </x:row>
    <x:row r="794">
      <x:c r="A794" s="34" t="n">
        <x:f>Subsurface_Scenario_Data!A58</x:f>
        <x:v>-32</x:v>
      </x:c>
      <x:c r="B794" s="34" t="n">
        <x:f>Subsurface_Scenario_Data!H58</x:f>
        <x:v>10.675396785439716</x:v>
      </x:c>
      <x:c r="C794" s="34" t="n">
        <x:f>Subsurface_Scenario_Data!A58</x:f>
        <x:v>-32</x:v>
      </x:c>
      <x:c r="D794" s="34" t="n">
        <x:f>Subsurface_Scenario_Data!I58</x:f>
        <x:v>-13.005592405637639</x:v>
      </x:c>
      <x:c r="E794" s="34" t="n">
        <x:f>Subsurface_Scenario_Data!A58</x:f>
        <x:v>-32</x:v>
      </x:c>
      <x:c r="F794" s="34" t="n">
        <x:f>Subsurface_Scenario_Data!J58</x:f>
        <x:v>0</x:v>
      </x:c>
    </x:row>
    <x:row r="795">
      <x:c r="A795" s="34" t="n">
        <x:f>Subsurface_Scenario_Data!A59</x:f>
        <x:v>-31.5</x:v>
      </x:c>
      <x:c r="B795" s="34" t="n">
        <x:f>Subsurface_Scenario_Data!H59</x:f>
        <x:v>10.623086602121845</x:v>
      </x:c>
      <x:c r="C795" s="34" t="n">
        <x:f>Subsurface_Scenario_Data!A59</x:f>
        <x:v>-31.5</x:v>
      </x:c>
      <x:c r="D795" s="34" t="n">
        <x:f>Subsurface_Scenario_Data!I59</x:f>
        <x:v>-13</x:v>
      </x:c>
      <x:c r="E795" s="34" t="n">
        <x:f>Subsurface_Scenario_Data!A59</x:f>
        <x:v>-31.5</x:v>
      </x:c>
      <x:c r="F795" s="34" t="n">
        <x:f>Subsurface_Scenario_Data!J59</x:f>
        <x:v>0</x:v>
      </x:c>
    </x:row>
    <x:row r="796">
      <x:c r="A796" s="34" t="n">
        <x:f>Subsurface_Scenario_Data!A60</x:f>
        <x:v>-31</x:v>
      </x:c>
      <x:c r="B796" s="34" t="n">
        <x:f>Subsurface_Scenario_Data!H60</x:f>
        <x:v>10.641692875388586</x:v>
      </x:c>
      <x:c r="C796" s="34" t="n">
        <x:f>Subsurface_Scenario_Data!A60</x:f>
        <x:v>-31</x:v>
      </x:c>
      <x:c r="D796" s="34" t="n">
        <x:f>Subsurface_Scenario_Data!I60</x:f>
        <x:v>-13.005592405637639</x:v>
      </x:c>
      <x:c r="E796" s="34" t="n">
        <x:f>Subsurface_Scenario_Data!A60</x:f>
        <x:v>-31</x:v>
      </x:c>
      <x:c r="F796" s="34" t="n">
        <x:f>Subsurface_Scenario_Data!J60</x:f>
        <x:v>0</x:v>
      </x:c>
    </x:row>
    <x:row r="797">
      <x:c r="A797" s="34" t="n">
        <x:f>Subsurface_Scenario_Data!A61</x:f>
        <x:v>-30.5</x:v>
      </x:c>
      <x:c r="B797" s="34" t="n">
        <x:f>Subsurface_Scenario_Data!H61</x:f>
        <x:v>10.716558090918973</x:v>
      </x:c>
      <x:c r="C797" s="34" t="n">
        <x:f>Subsurface_Scenario_Data!A61</x:f>
        <x:v>-30.5</x:v>
      </x:c>
      <x:c r="D797" s="34" t="n">
        <x:f>Subsurface_Scenario_Data!I61</x:f>
        <x:v>-13.022338347549743</x:v>
      </x:c>
      <x:c r="E797" s="34" t="n">
        <x:f>Subsurface_Scenario_Data!A61</x:f>
        <x:v>-30.5</x:v>
      </x:c>
      <x:c r="F797" s="34" t="n">
        <x:f>Subsurface_Scenario_Data!J61</x:f>
        <x:v>0</x:v>
      </x:c>
    </x:row>
    <x:row r="798">
      <x:c r="A798" s="34" t="n">
        <x:f>Subsurface_Scenario_Data!A62</x:f>
        <x:v>-30</x:v>
      </x:c>
      <x:c r="B798" s="34" t="n">
        <x:f>Subsurface_Scenario_Data!H62</x:f>
        <x:v>10.737289374659099</x:v>
      </x:c>
      <x:c r="C798" s="34" t="n">
        <x:f>Subsurface_Scenario_Data!A62</x:f>
        <x:v>-30</x:v>
      </x:c>
      <x:c r="D798" s="34" t="n">
        <x:f>Subsurface_Scenario_Data!I62</x:f>
        <x:v>-13.050144175636353</x:v>
      </x:c>
      <x:c r="E798" s="34" t="n">
        <x:f>Subsurface_Scenario_Data!A62</x:f>
        <x:v>-30</x:v>
      </x:c>
      <x:c r="F798" s="34" t="n">
        <x:f>Subsurface_Scenario_Data!J62</x:f>
        <x:v>0</x:v>
      </x:c>
    </x:row>
    <x:row r="799">
      <x:c r="A799" s="34" t="n">
        <x:f>Subsurface_Scenario_Data!A63</x:f>
        <x:v>-29.5</x:v>
      </x:c>
      <x:c r="B799" s="34" t="n">
        <x:f>Subsurface_Scenario_Data!H63</x:f>
        <x:v>10.798582873999244</x:v>
      </x:c>
      <x:c r="C799" s="34" t="n">
        <x:f>Subsurface_Scenario_Data!A63</x:f>
        <x:v>-29.5</x:v>
      </x:c>
      <x:c r="D799" s="34" t="n">
        <x:f>Subsurface_Scenario_Data!I63</x:f>
        <x:v>-13.08885438842772</x:v>
      </x:c>
      <x:c r="E799" s="34" t="n">
        <x:f>Subsurface_Scenario_Data!A63</x:f>
        <x:v>-29.5</x:v>
      </x:c>
      <x:c r="F799" s="34" t="n">
        <x:f>Subsurface_Scenario_Data!J63</x:f>
        <x:v>0</x:v>
      </x:c>
    </x:row>
    <x:row r="800">
      <x:c r="A800" s="34" t="n">
        <x:f>Subsurface_Scenario_Data!A64</x:f>
        <x:v>-29</x:v>
      </x:c>
      <x:c r="B800" s="34" t="n">
        <x:f>Subsurface_Scenario_Data!H64</x:f>
        <x:v>10.791021672156923</x:v>
      </x:c>
      <x:c r="C800" s="34" t="n">
        <x:f>Subsurface_Scenario_Data!A64</x:f>
        <x:v>-29</x:v>
      </x:c>
      <x:c r="D800" s="34" t="n">
        <x:f>Subsurface_Scenario_Data!I64</x:f>
        <x:v>-13.138252502711591</x:v>
      </x:c>
      <x:c r="E800" s="34" t="n">
        <x:f>Subsurface_Scenario_Data!A64</x:f>
        <x:v>-29</x:v>
      </x:c>
      <x:c r="F800" s="34" t="n">
        <x:f>Subsurface_Scenario_Data!J64</x:f>
        <x:v>0</x:v>
      </x:c>
    </x:row>
    <x:row r="801">
      <x:c r="A801" s="34" t="n">
        <x:f>Subsurface_Scenario_Data!A65</x:f>
        <x:v>-28.5</x:v>
      </x:c>
      <x:c r="B801" s="34" t="n">
        <x:f>Subsurface_Scenario_Data!H65</x:f>
        <x:v>10.902573367276915</x:v>
      </x:c>
      <x:c r="C801" s="34" t="n">
        <x:f>Subsurface_Scenario_Data!A65</x:f>
        <x:v>-28.5</x:v>
      </x:c>
      <x:c r="D801" s="34" t="n">
        <x:f>Subsurface_Scenario_Data!I65</x:f>
        <x:v>-13.198062264195162</x:v>
      </x:c>
      <x:c r="E801" s="34" t="n">
        <x:f>Subsurface_Scenario_Data!A65</x:f>
        <x:v>-28.5</x:v>
      </x:c>
      <x:c r="F801" s="34" t="n">
        <x:f>Subsurface_Scenario_Data!J65</x:f>
        <x:v>0</x:v>
      </x:c>
    </x:row>
    <x:row r="802">
      <x:c r="A802" s="34" t="n">
        <x:f>Subsurface_Scenario_Data!A66</x:f>
        <x:v>-28</x:v>
      </x:c>
      <x:c r="B802" s="34" t="n">
        <x:f>Subsurface_Scenario_Data!H66</x:f>
        <x:v>10.909509279233056</x:v>
      </x:c>
      <x:c r="C802" s="34" t="n">
        <x:f>Subsurface_Scenario_Data!A66</x:f>
        <x:v>-28</x:v>
      </x:c>
      <x:c r="D802" s="34" t="n">
        <x:f>Subsurface_Scenario_Data!I66</x:f>
        <x:v>-13.267949192431123</x:v>
      </x:c>
      <x:c r="E802" s="34" t="n">
        <x:f>Subsurface_Scenario_Data!A66</x:f>
        <x:v>-28</x:v>
      </x:c>
      <x:c r="F802" s="34" t="n">
        <x:f>Subsurface_Scenario_Data!J66</x:f>
        <x:v>0</x:v>
      </x:c>
    </x:row>
    <x:row r="803">
      <x:c r="A803" s="34" t="n">
        <x:f>Subsurface_Scenario_Data!A67</x:f>
        <x:v>-27.5</x:v>
      </x:c>
      <x:c r="B803" s="34" t="n">
        <x:f>Subsurface_Scenario_Data!H67</x:f>
        <x:v>11.002079179357061</x:v>
      </x:c>
      <x:c r="C803" s="34" t="n">
        <x:f>Subsurface_Scenario_Data!A67</x:f>
        <x:v>-27.5</x:v>
      </x:c>
      <x:c r="D803" s="34" t="n">
        <x:f>Subsurface_Scenario_Data!I67</x:f>
        <x:v>-13.347522451368011</x:v>
      </x:c>
      <x:c r="E803" s="34" t="n">
        <x:f>Subsurface_Scenario_Data!A67</x:f>
        <x:v>-27.5</x:v>
      </x:c>
      <x:c r="F803" s="34" t="n">
        <x:f>Subsurface_Scenario_Data!J67</x:f>
        <x:v>0</x:v>
      </x:c>
    </x:row>
    <x:row r="804">
      <x:c r="A804" s="34" t="n">
        <x:f>Subsurface_Scenario_Data!A68</x:f>
        <x:v>-27</x:v>
      </x:c>
      <x:c r="B804" s="34" t="n">
        <x:f>Subsurface_Scenario_Data!H68</x:f>
        <x:v>11.057880836584204</x:v>
      </x:c>
      <x:c r="C804" s="34" t="n">
        <x:f>Subsurface_Scenario_Data!A68</x:f>
        <x:v>-27</x:v>
      </x:c>
      <x:c r="D804" s="34" t="n">
        <x:f>Subsurface_Scenario_Data!I68</x:f>
        <x:v>-13.436337035063941</x:v>
      </x:c>
      <x:c r="E804" s="34" t="n">
        <x:f>Subsurface_Scenario_Data!A68</x:f>
        <x:v>-27</x:v>
      </x:c>
      <x:c r="F804" s="34" t="n">
        <x:f>Subsurface_Scenario_Data!J68</x:f>
        <x:v>0</x:v>
      </x:c>
    </x:row>
    <x:row r="805">
      <x:c r="A805" s="34" t="n">
        <x:f>Subsurface_Scenario_Data!A69</x:f>
        <x:v>-26.5</x:v>
      </x:c>
      <x:c r="B805" s="34" t="n">
        <x:f>Subsurface_Scenario_Data!H69</x:f>
        <x:v>11.077875754022791</x:v>
      </x:c>
      <x:c r="C805" s="34" t="n">
        <x:f>Subsurface_Scenario_Data!A69</x:f>
        <x:v>-26.5</x:v>
      </x:c>
      <x:c r="D805" s="34" t="n">
        <x:f>Subsurface_Scenario_Data!I69</x:f>
        <x:v>-13.533896256340347</x:v>
      </x:c>
      <x:c r="E805" s="34" t="n">
        <x:f>Subsurface_Scenario_Data!A69</x:f>
        <x:v>-26.5</x:v>
      </x:c>
      <x:c r="F805" s="34" t="n">
        <x:f>Subsurface_Scenario_Data!J69</x:f>
        <x:v>0</x:v>
      </x:c>
    </x:row>
    <x:row r="806">
      <x:c r="A806" s="34" t="n">
        <x:f>Subsurface_Scenario_Data!A70</x:f>
        <x:v>-26</x:v>
      </x:c>
      <x:c r="B806" s="34" t="n">
        <x:f>Subsurface_Scenario_Data!H70</x:f>
        <x:v>11.185944796017424</x:v>
      </x:c>
      <x:c r="C806" s="34" t="n">
        <x:f>Subsurface_Scenario_Data!A70</x:f>
        <x:v>-26</x:v>
      </x:c>
      <x:c r="D806" s="34" t="n">
        <x:f>Subsurface_Scenario_Data!I70</x:f>
        <x:v>-13.63965452445816</x:v>
      </x:c>
      <x:c r="E806" s="34" t="n">
        <x:f>Subsurface_Scenario_Data!A70</x:f>
        <x:v>-26</x:v>
      </x:c>
      <x:c r="F806" s="34" t="n">
        <x:f>Subsurface_Scenario_Data!J70</x:f>
        <x:v>0</x:v>
      </x:c>
    </x:row>
    <x:row r="807">
      <x:c r="A807" s="34" t="n">
        <x:f>Subsurface_Scenario_Data!A71</x:f>
        <x:v>-25.5</x:v>
      </x:c>
      <x:c r="B807" s="34" t="n">
        <x:f>Subsurface_Scenario_Data!H71</x:f>
        <x:v>11.214821032610757</x:v>
      </x:c>
      <x:c r="C807" s="34" t="n">
        <x:f>Subsurface_Scenario_Data!A71</x:f>
        <x:v>-25.5</x:v>
      </x:c>
      <x:c r="D807" s="34" t="n">
        <x:f>Subsurface_Scenario_Data!I71</x:f>
        <x:v>-13.753020396282533</x:v>
      </x:c>
      <x:c r="E807" s="34" t="n">
        <x:f>Subsurface_Scenario_Data!A71</x:f>
        <x:v>-25.5</x:v>
      </x:c>
      <x:c r="F807" s="34" t="n">
        <x:f>Subsurface_Scenario_Data!J71</x:f>
        <x:v>0</x:v>
      </x:c>
    </x:row>
    <x:row r="808">
      <x:c r="A808" s="34" t="n">
        <x:f>Subsurface_Scenario_Data!A72</x:f>
        <x:v>-25</x:v>
      </x:c>
      <x:c r="B808" s="34" t="n">
        <x:f>Subsurface_Scenario_Data!H72</x:f>
        <x:v>11.294723484494781</x:v>
      </x:c>
      <x:c r="C808" s="34" t="n">
        <x:f>Subsurface_Scenario_Data!A72</x:f>
        <x:v>-25</x:v>
      </x:c>
      <x:c r="D808" s="34" t="n">
        <x:f>Subsurface_Scenario_Data!I72</x:f>
        <x:v>-13.873359883872755</x:v>
      </x:c>
      <x:c r="E808" s="34" t="n">
        <x:f>Subsurface_Scenario_Data!A72</x:f>
        <x:v>-25</x:v>
      </x:c>
      <x:c r="F808" s="34" t="n">
        <x:f>Subsurface_Scenario_Data!J72</x:f>
        <x:v>0</x:v>
      </x:c>
    </x:row>
    <x:row r="809">
      <x:c r="A809" s="34" t="n">
        <x:f>Subsurface_Scenario_Data!A73</x:f>
        <x:v>-24.5</x:v>
      </x:c>
      <x:c r="B809" s="34" t="n">
        <x:f>Subsurface_Scenario_Data!H73</x:f>
        <x:v>11.25719126250047</x:v>
      </x:c>
      <x:c r="C809" s="34" t="n">
        <x:f>Subsurface_Scenario_Data!A73</x:f>
        <x:v>-24.5</x:v>
      </x:c>
      <x:c r="D809" s="34" t="n">
        <x:f>Subsurface_Scenario_Data!I73</x:f>
        <x:v>-14</x:v>
      </x:c>
      <x:c r="E809" s="34" t="n">
        <x:f>Subsurface_Scenario_Data!A73</x:f>
        <x:v>-24.5</x:v>
      </x:c>
      <x:c r="F809" s="34" t="n">
        <x:f>Subsurface_Scenario_Data!J73</x:f>
        <x:v>0</x:v>
      </x:c>
    </x:row>
    <x:row r="810">
      <x:c r="A810" s="34" t="n">
        <x:f>Subsurface_Scenario_Data!A74</x:f>
        <x:v>-24</x:v>
      </x:c>
      <x:c r="B810" s="34" t="n">
        <x:f>Subsurface_Scenario_Data!H74</x:f>
        <x:v>11.325418971252496</x:v>
      </x:c>
      <x:c r="C810" s="34" t="n">
        <x:f>Subsurface_Scenario_Data!A74</x:f>
        <x:v>-24</x:v>
      </x:c>
      <x:c r="D810" s="34" t="n">
        <x:f>Subsurface_Scenario_Data!I74</x:f>
        <x:v>-14.132232521764884</x:v>
      </x:c>
      <x:c r="E810" s="34" t="n">
        <x:f>Subsurface_Scenario_Data!A74</x:f>
        <x:v>-24</x:v>
      </x:c>
      <x:c r="F810" s="34" t="n">
        <x:f>Subsurface_Scenario_Data!J74</x:f>
        <x:v>0</x:v>
      </x:c>
    </x:row>
    <x:row r="811">
      <x:c r="A811" s="34" t="n">
        <x:f>Subsurface_Scenario_Data!A75</x:f>
        <x:v>-23.5</x:v>
      </x:c>
      <x:c r="B811" s="34" t="n">
        <x:f>Subsurface_Scenario_Data!H75</x:f>
        <x:v>11.338249939067502</x:v>
      </x:c>
      <x:c r="C811" s="34" t="n">
        <x:f>Subsurface_Scenario_Data!A75</x:f>
        <x:v>-23.5</x:v>
      </x:c>
      <x:c r="D811" s="34" t="n">
        <x:f>Subsurface_Scenario_Data!I75</x:f>
        <x:v>-14.26931795126721</x:v>
      </x:c>
      <x:c r="E811" s="34" t="n">
        <x:f>Subsurface_Scenario_Data!A75</x:f>
        <x:v>-23.5</x:v>
      </x:c>
      <x:c r="F811" s="34" t="n">
        <x:f>Subsurface_Scenario_Data!J75</x:f>
        <x:v>0</x:v>
      </x:c>
    </x:row>
    <x:row r="812">
      <x:c r="A812" s="34" t="n">
        <x:f>Subsurface_Scenario_Data!A76</x:f>
        <x:v>-23</x:v>
      </x:c>
      <x:c r="B812" s="34" t="n">
        <x:f>Subsurface_Scenario_Data!H76</x:f>
        <x:v>11.351691680234389</x:v>
      </x:c>
      <x:c r="C812" s="34" t="n">
        <x:f>Subsurface_Scenario_Data!A76</x:f>
        <x:v>-23</x:v>
      </x:c>
      <x:c r="D812" s="34" t="n">
        <x:f>Subsurface_Scenario_Data!I76</x:f>
        <x:v>-14.410489651178192</x:v>
      </x:c>
      <x:c r="E812" s="34" t="n">
        <x:f>Subsurface_Scenario_Data!A76</x:f>
        <x:v>-23</x:v>
      </x:c>
      <x:c r="F812" s="34" t="n">
        <x:f>Subsurface_Scenario_Data!J76</x:f>
        <x:v>0</x:v>
      </x:c>
    </x:row>
    <x:row r="813">
      <x:c r="A813" s="34" t="n">
        <x:f>Subsurface_Scenario_Data!A77</x:f>
        <x:v>-22.5</x:v>
      </x:c>
      <x:c r="B813" s="34" t="n">
        <x:f>Subsurface_Scenario_Data!H77</x:f>
        <x:v>11.360313465460159</x:v>
      </x:c>
      <x:c r="C813" s="34" t="n">
        <x:f>Subsurface_Scenario_Data!A77</x:f>
        <x:v>-22.5</x:v>
      </x:c>
      <x:c r="D813" s="34" t="n">
        <x:f>Subsurface_Scenario_Data!I77</x:f>
        <x:v>-14.554958132087371</x:v>
      </x:c>
      <x:c r="E813" s="34" t="n">
        <x:f>Subsurface_Scenario_Data!A77</x:f>
        <x:v>-22.5</x:v>
      </x:c>
      <x:c r="F813" s="34" t="n">
        <x:f>Subsurface_Scenario_Data!J77</x:f>
        <x:v>0</x:v>
      </x:c>
    </x:row>
    <x:row r="814">
      <x:c r="A814" s="34" t="n">
        <x:f>Subsurface_Scenario_Data!A78</x:f>
        <x:v>-22</x:v>
      </x:c>
      <x:c r="B814" s="34" t="n">
        <x:f>Subsurface_Scenario_Data!H78</x:f>
        <x:v>11.272576444408514</x:v>
      </x:c>
      <x:c r="C814" s="34" t="n">
        <x:f>Subsurface_Scenario_Data!A78</x:f>
        <x:v>-22</x:v>
      </x:c>
      <x:c r="D814" s="34" t="n">
        <x:f>Subsurface_Scenario_Data!I78</x:f>
        <x:v>-14.701915467647652</x:v>
      </x:c>
      <x:c r="E814" s="34" t="n">
        <x:f>Subsurface_Scenario_Data!A78</x:f>
        <x:v>-22</x:v>
      </x:c>
      <x:c r="F814" s="34" t="n">
        <x:f>Subsurface_Scenario_Data!J78</x:f>
        <x:v>0</x:v>
      </x:c>
    </x:row>
    <x:row r="815">
      <x:c r="A815" s="34" t="n">
        <x:f>Subsurface_Scenario_Data!A79</x:f>
        <x:v>-21.5</x:v>
      </x:c>
      <x:c r="B815" s="34" t="n">
        <x:f>Subsurface_Scenario_Data!H79</x:f>
        <x:v>11.247129016783873</x:v>
      </x:c>
      <x:c r="C815" s="34" t="n">
        <x:f>Subsurface_Scenario_Data!A79</x:f>
        <x:v>-21.5</x:v>
      </x:c>
      <x:c r="D815" s="34" t="n">
        <x:f>Subsurface_Scenario_Data!I79</x:f>
        <x:v>-14.850539812827153</x:v>
      </x:c>
      <x:c r="E815" s="34" t="n">
        <x:f>Subsurface_Scenario_Data!A79</x:f>
        <x:v>-21.5</x:v>
      </x:c>
      <x:c r="F815" s="34" t="n">
        <x:f>Subsurface_Scenario_Data!J79</x:f>
        <x:v>0</x:v>
      </x:c>
    </x:row>
    <x:row r="816">
      <x:c r="A816" s="34" t="n">
        <x:f>Subsurface_Scenario_Data!A80</x:f>
        <x:v>-21</x:v>
      </x:c>
      <x:c r="B816" s="34" t="n">
        <x:f>Subsurface_Scenario_Data!H80</x:f>
        <x:v>11.354180722343763</x:v>
      </x:c>
      <x:c r="C816" s="34" t="n">
        <x:f>Subsurface_Scenario_Data!A80</x:f>
        <x:v>-21</x:v>
      </x:c>
      <x:c r="D816" s="34" t="n">
        <x:f>Subsurface_Scenario_Data!I80</x:f>
        <x:v>-15</x:v>
      </x:c>
      <x:c r="E816" s="34" t="n">
        <x:f>Subsurface_Scenario_Data!A80</x:f>
        <x:v>-21</x:v>
      </x:c>
      <x:c r="F816" s="34" t="n">
        <x:f>Subsurface_Scenario_Data!J80</x:f>
        <x:v>0</x:v>
      </x:c>
    </x:row>
    <x:row r="817">
      <x:c r="A817" s="34" t="n">
        <x:f>Subsurface_Scenario_Data!A81</x:f>
        <x:v>-20.5</x:v>
      </x:c>
      <x:c r="B817" s="34" t="n">
        <x:f>Subsurface_Scenario_Data!H81</x:f>
        <x:v>11.290558893280085</x:v>
      </x:c>
      <x:c r="C817" s="34" t="n">
        <x:f>Subsurface_Scenario_Data!A81</x:f>
        <x:v>-20.5</x:v>
      </x:c>
      <x:c r="D817" s="34" t="n">
        <x:f>Subsurface_Scenario_Data!I81</x:f>
        <x:v>-15.14946018717285</x:v>
      </x:c>
      <x:c r="E817" s="34" t="n">
        <x:f>Subsurface_Scenario_Data!A81</x:f>
        <x:v>-20.5</x:v>
      </x:c>
      <x:c r="F817" s="34" t="n">
        <x:f>Subsurface_Scenario_Data!J81</x:f>
        <x:v>0</x:v>
      </x:c>
    </x:row>
    <x:row r="818">
      <x:c r="A818" s="34" t="n">
        <x:f>Subsurface_Scenario_Data!A82</x:f>
        <x:v>-20</x:v>
      </x:c>
      <x:c r="B818" s="34" t="n">
        <x:f>Subsurface_Scenario_Data!H82</x:f>
        <x:v>11.36069559448277</x:v>
      </x:c>
      <x:c r="C818" s="34" t="n">
        <x:f>Subsurface_Scenario_Data!A82</x:f>
        <x:v>-20</x:v>
      </x:c>
      <x:c r="D818" s="34" t="n">
        <x:f>Subsurface_Scenario_Data!I82</x:f>
        <x:v>-15.29808453235235</x:v>
      </x:c>
      <x:c r="E818" s="34" t="n">
        <x:f>Subsurface_Scenario_Data!A82</x:f>
        <x:v>-20</x:v>
      </x:c>
      <x:c r="F818" s="34" t="n">
        <x:f>Subsurface_Scenario_Data!J82</x:f>
        <x:v>0</x:v>
      </x:c>
    </x:row>
    <x:row r="819">
      <x:c r="A819" s="34" t="n">
        <x:f>Subsurface_Scenario_Data!A83</x:f>
        <x:v>-19.5</x:v>
      </x:c>
      <x:c r="B819" s="34" t="n">
        <x:f>Subsurface_Scenario_Data!H83</x:f>
        <x:v>11.299339356268206</x:v>
      </x:c>
      <x:c r="C819" s="34" t="n">
        <x:f>Subsurface_Scenario_Data!A83</x:f>
        <x:v>-19.5</x:v>
      </x:c>
      <x:c r="D819" s="34" t="n">
        <x:f>Subsurface_Scenario_Data!I83</x:f>
        <x:v>-15.445041867912629</x:v>
      </x:c>
      <x:c r="E819" s="34" t="n">
        <x:f>Subsurface_Scenario_Data!A83</x:f>
        <x:v>-19.5</x:v>
      </x:c>
      <x:c r="F819" s="34" t="n">
        <x:f>Subsurface_Scenario_Data!J83</x:f>
        <x:v>0</x:v>
      </x:c>
    </x:row>
    <x:row r="820">
      <x:c r="A820" s="34" t="n">
        <x:f>Subsurface_Scenario_Data!A84</x:f>
        <x:v>-19</x:v>
      </x:c>
      <x:c r="B820" s="34" t="n">
        <x:f>Subsurface_Scenario_Data!H84</x:f>
        <x:v>11.318230004173138</x:v>
      </x:c>
      <x:c r="C820" s="34" t="n">
        <x:f>Subsurface_Scenario_Data!A84</x:f>
        <x:v>-19</x:v>
      </x:c>
      <x:c r="D820" s="34" t="n">
        <x:f>Subsurface_Scenario_Data!I84</x:f>
        <x:v>-15.58951034882181</x:v>
      </x:c>
      <x:c r="E820" s="34" t="n">
        <x:f>Subsurface_Scenario_Data!A84</x:f>
        <x:v>-19</x:v>
      </x:c>
      <x:c r="F820" s="34" t="n">
        <x:f>Subsurface_Scenario_Data!J84</x:f>
        <x:v>0</x:v>
      </x:c>
    </x:row>
    <x:row r="821">
      <x:c r="A821" s="34" t="n">
        <x:f>Subsurface_Scenario_Data!A85</x:f>
        <x:v>-18.5</x:v>
      </x:c>
      <x:c r="B821" s="34" t="n">
        <x:f>Subsurface_Scenario_Data!H85</x:f>
        <x:v>11.393986820829596</x:v>
      </x:c>
      <x:c r="C821" s="34" t="n">
        <x:f>Subsurface_Scenario_Data!A85</x:f>
        <x:v>-18.5</x:v>
      </x:c>
      <x:c r="D821" s="34" t="n">
        <x:f>Subsurface_Scenario_Data!I85</x:f>
        <x:v>-15.73068204873279</x:v>
      </x:c>
      <x:c r="E821" s="34" t="n">
        <x:f>Subsurface_Scenario_Data!A85</x:f>
        <x:v>-18.5</x:v>
      </x:c>
      <x:c r="F821" s="34" t="n">
        <x:f>Subsurface_Scenario_Data!J85</x:f>
        <x:v>0</x:v>
      </x:c>
    </x:row>
    <x:row r="822">
      <x:c r="A822" s="34" t="n">
        <x:f>Subsurface_Scenario_Data!A86</x:f>
        <x:v>-18</x:v>
      </x:c>
      <x:c r="B822" s="34" t="n">
        <x:f>Subsurface_Scenario_Data!H86</x:f>
        <x:v>11.333976608756615</x:v>
      </x:c>
      <x:c r="C822" s="34" t="n">
        <x:f>Subsurface_Scenario_Data!A86</x:f>
        <x:v>-18</x:v>
      </x:c>
      <x:c r="D822" s="34" t="n">
        <x:f>Subsurface_Scenario_Data!I86</x:f>
        <x:v>-15.867767478235116</x:v>
      </x:c>
      <x:c r="E822" s="34" t="n">
        <x:f>Subsurface_Scenario_Data!A86</x:f>
        <x:v>-18</x:v>
      </x:c>
      <x:c r="F822" s="34" t="n">
        <x:f>Subsurface_Scenario_Data!J86</x:f>
        <x:v>0</x:v>
      </x:c>
    </x:row>
    <x:row r="823">
      <x:c r="A823" s="34" t="n">
        <x:f>Subsurface_Scenario_Data!A87</x:f>
        <x:v>-17.5</x:v>
      </x:c>
      <x:c r="B823" s="34" t="n">
        <x:f>Subsurface_Scenario_Data!H87</x:f>
        <x:v>11.366960963516341</x:v>
      </x:c>
      <x:c r="C823" s="34" t="n">
        <x:f>Subsurface_Scenario_Data!A87</x:f>
        <x:v>-17.5</x:v>
      </x:c>
      <x:c r="D823" s="34" t="n">
        <x:f>Subsurface_Scenario_Data!I87</x:f>
        <x:v>-16</x:v>
      </x:c>
      <x:c r="E823" s="34" t="n">
        <x:f>Subsurface_Scenario_Data!A87</x:f>
        <x:v>-17.5</x:v>
      </x:c>
      <x:c r="F823" s="34" t="n">
        <x:f>Subsurface_Scenario_Data!J87</x:f>
        <x:v>0</x:v>
      </x:c>
    </x:row>
    <x:row r="824">
      <x:c r="A824" s="34" t="n">
        <x:f>Subsurface_Scenario_Data!A88</x:f>
        <x:v>-17</x:v>
      </x:c>
      <x:c r="B824" s="34" t="n">
        <x:f>Subsurface_Scenario_Data!H88</x:f>
        <x:v>11.490555106161587</x:v>
      </x:c>
      <x:c r="C824" s="34" t="n">
        <x:f>Subsurface_Scenario_Data!A88</x:f>
        <x:v>-17</x:v>
      </x:c>
      <x:c r="D824" s="34" t="n">
        <x:f>Subsurface_Scenario_Data!I88</x:f>
        <x:v>-16.126640116127245</x:v>
      </x:c>
      <x:c r="E824" s="34" t="n">
        <x:f>Subsurface_Scenario_Data!A88</x:f>
        <x:v>-17</x:v>
      </x:c>
      <x:c r="F824" s="34" t="n">
        <x:f>Subsurface_Scenario_Data!J88</x:f>
        <x:v>0</x:v>
      </x:c>
    </x:row>
    <x:row r="825">
      <x:c r="A825" s="34" t="n">
        <x:f>Subsurface_Scenario_Data!A89</x:f>
        <x:v>-16.5</x:v>
      </x:c>
      <x:c r="B825" s="34" t="n">
        <x:f>Subsurface_Scenario_Data!H89</x:f>
        <x:v>11.522826992578295</x:v>
      </x:c>
      <x:c r="C825" s="34" t="n">
        <x:f>Subsurface_Scenario_Data!A89</x:f>
        <x:v>-16.5</x:v>
      </x:c>
      <x:c r="D825" s="34" t="n">
        <x:f>Subsurface_Scenario_Data!I89</x:f>
        <x:v>-16.246979603717467</x:v>
      </x:c>
      <x:c r="E825" s="34" t="n">
        <x:f>Subsurface_Scenario_Data!A89</x:f>
        <x:v>-16.5</x:v>
      </x:c>
      <x:c r="F825" s="34" t="n">
        <x:f>Subsurface_Scenario_Data!J89</x:f>
        <x:v>0</x:v>
      </x:c>
    </x:row>
    <x:row r="826">
      <x:c r="A826" s="34" t="n">
        <x:f>Subsurface_Scenario_Data!A90</x:f>
        <x:v>-16</x:v>
      </x:c>
      <x:c r="B826" s="34" t="n">
        <x:f>Subsurface_Scenario_Data!H90</x:f>
        <x:v>11.468377346074561</x:v>
      </x:c>
      <x:c r="C826" s="34" t="n">
        <x:f>Subsurface_Scenario_Data!A90</x:f>
        <x:v>-16</x:v>
      </x:c>
      <x:c r="D826" s="34" t="n">
        <x:f>Subsurface_Scenario_Data!I90</x:f>
        <x:v>-16.360345475541838</x:v>
      </x:c>
      <x:c r="E826" s="34" t="n">
        <x:f>Subsurface_Scenario_Data!A90</x:f>
        <x:v>-16</x:v>
      </x:c>
      <x:c r="F826" s="34" t="n">
        <x:f>Subsurface_Scenario_Data!J90</x:f>
        <x:v>0</x:v>
      </x:c>
    </x:row>
    <x:row r="827">
      <x:c r="A827" s="34" t="n">
        <x:f>Subsurface_Scenario_Data!A91</x:f>
        <x:v>-15.5</x:v>
      </x:c>
      <x:c r="B827" s="34" t="n">
        <x:f>Subsurface_Scenario_Data!H91</x:f>
        <x:v>11.56256527893845</x:v>
      </x:c>
      <x:c r="C827" s="34" t="n">
        <x:f>Subsurface_Scenario_Data!A91</x:f>
        <x:v>-15.5</x:v>
      </x:c>
      <x:c r="D827" s="34" t="n">
        <x:f>Subsurface_Scenario_Data!I91</x:f>
        <x:v>-16.46610374365965</x:v>
      </x:c>
      <x:c r="E827" s="34" t="n">
        <x:f>Subsurface_Scenario_Data!A91</x:f>
        <x:v>-15.5</x:v>
      </x:c>
      <x:c r="F827" s="34" t="n">
        <x:f>Subsurface_Scenario_Data!J91</x:f>
        <x:v>0</x:v>
      </x:c>
    </x:row>
    <x:row r="828">
      <x:c r="A828" s="34" t="n">
        <x:f>Subsurface_Scenario_Data!A92</x:f>
        <x:v>-15</x:v>
      </x:c>
      <x:c r="B828" s="34" t="n">
        <x:f>Subsurface_Scenario_Data!H92</x:f>
        <x:v>11.573383574152366</x:v>
      </x:c>
      <x:c r="C828" s="34" t="n">
        <x:f>Subsurface_Scenario_Data!A92</x:f>
        <x:v>-15</x:v>
      </x:c>
      <x:c r="D828" s="34" t="n">
        <x:f>Subsurface_Scenario_Data!I92</x:f>
        <x:v>-16.56366296493606</x:v>
      </x:c>
      <x:c r="E828" s="34" t="n">
        <x:f>Subsurface_Scenario_Data!A92</x:f>
        <x:v>-15</x:v>
      </x:c>
      <x:c r="F828" s="34" t="n">
        <x:f>Subsurface_Scenario_Data!J92</x:f>
        <x:v>0</x:v>
      </x:c>
    </x:row>
    <x:row r="829">
      <x:c r="A829" s="34" t="n">
        <x:f>Subsurface_Scenario_Data!A93</x:f>
        <x:v>-14.5</x:v>
      </x:c>
      <x:c r="B829" s="34" t="n">
        <x:f>Subsurface_Scenario_Data!H93</x:f>
        <x:v>11.596964229012642</x:v>
      </x:c>
      <x:c r="C829" s="34" t="n">
        <x:f>Subsurface_Scenario_Data!A93</x:f>
        <x:v>-14.5</x:v>
      </x:c>
      <x:c r="D829" s="34" t="n">
        <x:f>Subsurface_Scenario_Data!I93</x:f>
        <x:v>-16.65247754863199</x:v>
      </x:c>
      <x:c r="E829" s="34" t="n">
        <x:f>Subsurface_Scenario_Data!A93</x:f>
        <x:v>-14.5</x:v>
      </x:c>
      <x:c r="F829" s="34" t="n">
        <x:f>Subsurface_Scenario_Data!J93</x:f>
        <x:v>0</x:v>
      </x:c>
    </x:row>
    <x:row r="830">
      <x:c r="A830" s="34" t="n">
        <x:f>Subsurface_Scenario_Data!A94</x:f>
        <x:v>-14</x:v>
      </x:c>
      <x:c r="B830" s="34" t="n">
        <x:f>Subsurface_Scenario_Data!H94</x:f>
        <x:v>11.65303840634082</x:v>
      </x:c>
      <x:c r="C830" s="34" t="n">
        <x:f>Subsurface_Scenario_Data!A94</x:f>
        <x:v>-14</x:v>
      </x:c>
      <x:c r="D830" s="34" t="n">
        <x:f>Subsurface_Scenario_Data!I94</x:f>
        <x:v>-16.73205080756888</x:v>
      </x:c>
      <x:c r="E830" s="34" t="n">
        <x:f>Subsurface_Scenario_Data!A94</x:f>
        <x:v>-14</x:v>
      </x:c>
      <x:c r="F830" s="34" t="n">
        <x:f>Subsurface_Scenario_Data!J94</x:f>
        <x:v>0</x:v>
      </x:c>
    </x:row>
    <x:row r="831">
      <x:c r="A831" s="34" t="n">
        <x:f>Subsurface_Scenario_Data!A95</x:f>
        <x:v>-13.5</x:v>
      </x:c>
      <x:c r="B831" s="34" t="n">
        <x:f>Subsurface_Scenario_Data!H95</x:f>
        <x:v>11.477996849977245</x:v>
      </x:c>
      <x:c r="C831" s="34" t="n">
        <x:f>Subsurface_Scenario_Data!A95</x:f>
        <x:v>-13.5</x:v>
      </x:c>
      <x:c r="D831" s="34" t="n">
        <x:f>Subsurface_Scenario_Data!I95</x:f>
        <x:v>-16.801937735804838</x:v>
      </x:c>
      <x:c r="E831" s="34" t="n">
        <x:f>Subsurface_Scenario_Data!A95</x:f>
        <x:v>-13.5</x:v>
      </x:c>
      <x:c r="F831" s="34" t="n">
        <x:f>Subsurface_Scenario_Data!J95</x:f>
        <x:v>0</x:v>
      </x:c>
    </x:row>
    <x:row r="832">
      <x:c r="A832" s="34" t="n">
        <x:f>Subsurface_Scenario_Data!A96</x:f>
        <x:v>-13</x:v>
      </x:c>
      <x:c r="B832" s="34" t="n">
        <x:f>Subsurface_Scenario_Data!H96</x:f>
        <x:v>11.379905453939706</x:v>
      </x:c>
      <x:c r="C832" s="34" t="n">
        <x:f>Subsurface_Scenario_Data!A96</x:f>
        <x:v>-13</x:v>
      </x:c>
      <x:c r="D832" s="34" t="n">
        <x:f>Subsurface_Scenario_Data!I96</x:f>
        <x:v>-16.86174749728841</x:v>
      </x:c>
      <x:c r="E832" s="34" t="n">
        <x:f>Subsurface_Scenario_Data!A96</x:f>
        <x:v>-13</x:v>
      </x:c>
      <x:c r="F832" s="34" t="n">
        <x:f>Subsurface_Scenario_Data!J96</x:f>
        <x:v>0</x:v>
      </x:c>
    </x:row>
    <x:row r="833">
      <x:c r="A833" s="34" t="n">
        <x:f>Subsurface_Scenario_Data!A97</x:f>
        <x:v>-12.5</x:v>
      </x:c>
      <x:c r="B833" s="34" t="n">
        <x:f>Subsurface_Scenario_Data!H97</x:f>
        <x:v>11.289568636877028</x:v>
      </x:c>
      <x:c r="C833" s="34" t="n">
        <x:f>Subsurface_Scenario_Data!A97</x:f>
        <x:v>-12.5</x:v>
      </x:c>
      <x:c r="D833" s="34" t="n">
        <x:f>Subsurface_Scenario_Data!I97</x:f>
        <x:v>-16.91114561157228</x:v>
      </x:c>
      <x:c r="E833" s="34" t="n">
        <x:f>Subsurface_Scenario_Data!A97</x:f>
        <x:v>-12.5</x:v>
      </x:c>
      <x:c r="F833" s="34" t="n">
        <x:f>Subsurface_Scenario_Data!J97</x:f>
        <x:v>0</x:v>
      </x:c>
    </x:row>
    <x:row r="834">
      <x:c r="A834" s="34" t="n">
        <x:f>Subsurface_Scenario_Data!A98</x:f>
        <x:v>-12</x:v>
      </x:c>
      <x:c r="B834" s="34" t="n">
        <x:f>Subsurface_Scenario_Data!H98</x:f>
        <x:v>11.06899877662434</x:v>
      </x:c>
      <x:c r="C834" s="34" t="n">
        <x:f>Subsurface_Scenario_Data!A98</x:f>
        <x:v>-12</x:v>
      </x:c>
      <x:c r="D834" s="34" t="n">
        <x:f>Subsurface_Scenario_Data!I98</x:f>
        <x:v>-16.94985582436365</x:v>
      </x:c>
      <x:c r="E834" s="34" t="n">
        <x:f>Subsurface_Scenario_Data!A98</x:f>
        <x:v>-12</x:v>
      </x:c>
      <x:c r="F834" s="34" t="n">
        <x:f>Subsurface_Scenario_Data!J98</x:f>
        <x:v>0</x:v>
      </x:c>
    </x:row>
    <x:row r="835">
      <x:c r="A835" s="34" t="n">
        <x:f>Subsurface_Scenario_Data!A99</x:f>
        <x:v>-11.5</x:v>
      </x:c>
      <x:c r="B835" s="34" t="n">
        <x:f>Subsurface_Scenario_Data!H99</x:f>
        <x:v>11.00071227984526</x:v>
      </x:c>
      <x:c r="C835" s="34" t="n">
        <x:f>Subsurface_Scenario_Data!A99</x:f>
        <x:v>-11.5</x:v>
      </x:c>
      <x:c r="D835" s="34" t="n">
        <x:f>Subsurface_Scenario_Data!I99</x:f>
        <x:v>-16.97766165245026</x:v>
      </x:c>
      <x:c r="E835" s="34" t="n">
        <x:f>Subsurface_Scenario_Data!A99</x:f>
        <x:v>-11.5</x:v>
      </x:c>
      <x:c r="F835" s="34" t="n">
        <x:f>Subsurface_Scenario_Data!J99</x:f>
        <x:v>0</x:v>
      </x:c>
    </x:row>
    <x:row r="836">
      <x:c r="A836" s="34" t="n">
        <x:f>Subsurface_Scenario_Data!A100</x:f>
        <x:v>-11</x:v>
      </x:c>
      <x:c r="B836" s="34" t="n">
        <x:f>Subsurface_Scenario_Data!H100</x:f>
        <x:v>10.84878669749451</x:v>
      </x:c>
      <x:c r="C836" s="34" t="n">
        <x:f>Subsurface_Scenario_Data!A100</x:f>
        <x:v>-11</x:v>
      </x:c>
      <x:c r="D836" s="34" t="n">
        <x:f>Subsurface_Scenario_Data!I100</x:f>
        <x:v>-16.99440759436236</x:v>
      </x:c>
      <x:c r="E836" s="34" t="n">
        <x:f>Subsurface_Scenario_Data!A100</x:f>
        <x:v>-11</x:v>
      </x:c>
      <x:c r="F836" s="34" t="n">
        <x:f>Subsurface_Scenario_Data!J100</x:f>
        <x:v>0</x:v>
      </x:c>
    </x:row>
    <x:row r="837">
      <x:c r="A837" s="34" t="n">
        <x:f>Subsurface_Scenario_Data!A101</x:f>
        <x:v>-10.5</x:v>
      </x:c>
      <x:c r="B837" s="34" t="n">
        <x:f>Subsurface_Scenario_Data!H101</x:f>
        <x:v>10.715600351220239</x:v>
      </x:c>
      <x:c r="C837" s="34" t="n">
        <x:f>Subsurface_Scenario_Data!A101</x:f>
        <x:v>-10.5</x:v>
      </x:c>
      <x:c r="D837" s="34" t="n">
        <x:f>Subsurface_Scenario_Data!I101</x:f>
        <x:v>-17</x:v>
      </x:c>
      <x:c r="E837" s="34" t="n">
        <x:f>Subsurface_Scenario_Data!A101</x:f>
        <x:v>-10.5</x:v>
      </x:c>
      <x:c r="F837" s="34" t="n">
        <x:f>Subsurface_Scenario_Data!J101</x:f>
        <x:v>0</x:v>
      </x:c>
    </x:row>
    <x:row r="838">
      <x:c r="A838" s="34" t="n">
        <x:f>Subsurface_Scenario_Data!A102</x:f>
        <x:v>-10</x:v>
      </x:c>
      <x:c r="B838" s="34" t="n">
        <x:f>Subsurface_Scenario_Data!H102</x:f>
        <x:v>10.552937731266816</x:v>
      </x:c>
      <x:c r="C838" s="34" t="n">
        <x:f>Subsurface_Scenario_Data!A102</x:f>
        <x:v>-10</x:v>
      </x:c>
      <x:c r="D838" s="34" t="n">
        <x:f>Subsurface_Scenario_Data!I102</x:f>
        <x:v>-16.99440759436236</x:v>
      </x:c>
      <x:c r="E838" s="34" t="n">
        <x:f>Subsurface_Scenario_Data!A102</x:f>
        <x:v>-10</x:v>
      </x:c>
      <x:c r="F838" s="34" t="n">
        <x:f>Subsurface_Scenario_Data!J102</x:f>
        <x:v>0</x:v>
      </x:c>
    </x:row>
    <x:row r="839">
      <x:c r="A839" s="34" t="n">
        <x:f>Subsurface_Scenario_Data!A103</x:f>
        <x:v>-9.5</x:v>
      </x:c>
      <x:c r="B839" s="34" t="n">
        <x:f>Subsurface_Scenario_Data!H103</x:f>
        <x:v>10.37937353917549</x:v>
      </x:c>
      <x:c r="C839" s="34" t="n">
        <x:f>Subsurface_Scenario_Data!A103</x:f>
        <x:v>-9.5</x:v>
      </x:c>
      <x:c r="D839" s="34" t="n">
        <x:f>Subsurface_Scenario_Data!I103</x:f>
        <x:v>-16.97766165245026</x:v>
      </x:c>
      <x:c r="E839" s="34" t="n">
        <x:f>Subsurface_Scenario_Data!A103</x:f>
        <x:v>-9.5</x:v>
      </x:c>
      <x:c r="F839" s="34" t="n">
        <x:f>Subsurface_Scenario_Data!J103</x:f>
        <x:v>0</x:v>
      </x:c>
    </x:row>
    <x:row r="840">
      <x:c r="A840" s="34" t="n">
        <x:f>Subsurface_Scenario_Data!A104</x:f>
        <x:v>-9</x:v>
      </x:c>
      <x:c r="B840" s="34" t="n">
        <x:f>Subsurface_Scenario_Data!H104</x:f>
        <x:v>10.259264306893598</x:v>
      </x:c>
      <x:c r="C840" s="34" t="n">
        <x:f>Subsurface_Scenario_Data!A104</x:f>
        <x:v>-9</x:v>
      </x:c>
      <x:c r="D840" s="34" t="n">
        <x:f>Subsurface_Scenario_Data!I104</x:f>
        <x:v>-16.94985582436365</x:v>
      </x:c>
      <x:c r="E840" s="34" t="n">
        <x:f>Subsurface_Scenario_Data!A104</x:f>
        <x:v>-9</x:v>
      </x:c>
      <x:c r="F840" s="34" t="n">
        <x:f>Subsurface_Scenario_Data!J104</x:f>
        <x:v>0</x:v>
      </x:c>
    </x:row>
    <x:row r="841">
      <x:c r="A841" s="34" t="n">
        <x:f>Subsurface_Scenario_Data!A105</x:f>
        <x:v>-8.5</x:v>
      </x:c>
      <x:c r="B841" s="34" t="n">
        <x:f>Subsurface_Scenario_Data!H105</x:f>
        <x:v>9.995583270854908</x:v>
      </x:c>
      <x:c r="C841" s="34" t="n">
        <x:f>Subsurface_Scenario_Data!A105</x:f>
        <x:v>-8.5</x:v>
      </x:c>
      <x:c r="D841" s="34" t="n">
        <x:f>Subsurface_Scenario_Data!I105</x:f>
        <x:v>-16.91114561157228</x:v>
      </x:c>
      <x:c r="E841" s="34" t="n">
        <x:f>Subsurface_Scenario_Data!A105</x:f>
        <x:v>-8.5</x:v>
      </x:c>
      <x:c r="F841" s="34" t="n">
        <x:f>Subsurface_Scenario_Data!J105</x:f>
        <x:v>0</x:v>
      </x:c>
    </x:row>
    <x:row r="842">
      <x:c r="A842" s="34" t="n">
        <x:f>Subsurface_Scenario_Data!A106</x:f>
        <x:v>-8</x:v>
      </x:c>
      <x:c r="B842" s="34" t="n">
        <x:f>Subsurface_Scenario_Data!H106</x:f>
        <x:v>9.901768272525374</x:v>
      </x:c>
      <x:c r="C842" s="34" t="n">
        <x:f>Subsurface_Scenario_Data!A106</x:f>
        <x:v>-8</x:v>
      </x:c>
      <x:c r="D842" s="34" t="n">
        <x:f>Subsurface_Scenario_Data!I106</x:f>
        <x:v>-16.86174749728841</x:v>
      </x:c>
      <x:c r="E842" s="34" t="n">
        <x:f>Subsurface_Scenario_Data!A106</x:f>
        <x:v>-8</x:v>
      </x:c>
      <x:c r="F842" s="34" t="n">
        <x:f>Subsurface_Scenario_Data!J106</x:f>
        <x:v>0</x:v>
      </x:c>
    </x:row>
    <x:row r="843">
      <x:c r="A843" s="34" t="n">
        <x:f>Subsurface_Scenario_Data!A107</x:f>
        <x:v>-7.5</x:v>
      </x:c>
      <x:c r="B843" s="34" t="n">
        <x:f>Subsurface_Scenario_Data!H107</x:f>
        <x:v>9.71108668593208</x:v>
      </x:c>
      <x:c r="C843" s="34" t="n">
        <x:f>Subsurface_Scenario_Data!A107</x:f>
        <x:v>-7.5</x:v>
      </x:c>
      <x:c r="D843" s="34" t="n">
        <x:f>Subsurface_Scenario_Data!I107</x:f>
        <x:v>-16.801937735804838</x:v>
      </x:c>
      <x:c r="E843" s="34" t="n">
        <x:f>Subsurface_Scenario_Data!A107</x:f>
        <x:v>-7.5</x:v>
      </x:c>
      <x:c r="F843" s="34" t="n">
        <x:f>Subsurface_Scenario_Data!J107</x:f>
        <x:v>0</x:v>
      </x:c>
    </x:row>
    <x:row r="844">
      <x:c r="A844" s="34" t="n">
        <x:f>Subsurface_Scenario_Data!A108</x:f>
        <x:v>-7</x:v>
      </x:c>
      <x:c r="B844" s="34" t="n">
        <x:f>Subsurface_Scenario_Data!H108</x:f>
        <x:v>9.416807921530676</x:v>
      </x:c>
      <x:c r="C844" s="34" t="n">
        <x:f>Subsurface_Scenario_Data!A108</x:f>
        <x:v>-7</x:v>
      </x:c>
      <x:c r="D844" s="34" t="n">
        <x:f>Subsurface_Scenario_Data!I108</x:f>
        <x:v>-16.73205080756888</x:v>
      </x:c>
      <x:c r="E844" s="34" t="n">
        <x:f>Subsurface_Scenario_Data!A108</x:f>
        <x:v>-7</x:v>
      </x:c>
      <x:c r="F844" s="34" t="n">
        <x:f>Subsurface_Scenario_Data!J108</x:f>
        <x:v>0</x:v>
      </x:c>
    </x:row>
    <x:row r="845">
      <x:c r="A845" s="34" t="n">
        <x:f>Subsurface_Scenario_Data!A109</x:f>
        <x:v>-6.5</x:v>
      </x:c>
      <x:c r="B845" s="34" t="n">
        <x:f>Subsurface_Scenario_Data!H109</x:f>
        <x:v>9.317874115560905</x:v>
      </x:c>
      <x:c r="C845" s="34" t="n">
        <x:f>Subsurface_Scenario_Data!A109</x:f>
        <x:v>-6.5</x:v>
      </x:c>
      <x:c r="D845" s="34" t="n">
        <x:f>Subsurface_Scenario_Data!I109</x:f>
        <x:v>-16.65247754863199</x:v>
      </x:c>
      <x:c r="E845" s="34" t="n">
        <x:f>Subsurface_Scenario_Data!A109</x:f>
        <x:v>-6.5</x:v>
      </x:c>
      <x:c r="F845" s="34" t="n">
        <x:f>Subsurface_Scenario_Data!J109</x:f>
        <x:v>0</x:v>
      </x:c>
    </x:row>
    <x:row r="846">
      <x:c r="A846" s="34" t="n">
        <x:f>Subsurface_Scenario_Data!A110</x:f>
        <x:v>-6</x:v>
      </x:c>
      <x:c r="B846" s="34" t="n">
        <x:f>Subsurface_Scenario_Data!H110</x:f>
        <x:v>9.12070150207203</x:v>
      </x:c>
      <x:c r="C846" s="34" t="n">
        <x:f>Subsurface_Scenario_Data!A110</x:f>
        <x:v>-6</x:v>
      </x:c>
      <x:c r="D846" s="34" t="n">
        <x:f>Subsurface_Scenario_Data!I110</x:f>
        <x:v>-16.56366296493606</x:v>
      </x:c>
      <x:c r="E846" s="34" t="n">
        <x:f>Subsurface_Scenario_Data!A110</x:f>
        <x:v>-6</x:v>
      </x:c>
      <x:c r="F846" s="34" t="n">
        <x:f>Subsurface_Scenario_Data!J110</x:f>
        <x:v>0</x:v>
      </x:c>
    </x:row>
    <x:row r="847">
      <x:c r="A847" s="34" t="n">
        <x:f>Subsurface_Scenario_Data!A111</x:f>
        <x:v>-5.5</x:v>
      </x:c>
      <x:c r="B847" s="34" t="n">
        <x:f>Subsurface_Scenario_Data!H111</x:f>
        <x:v>8.914326917310795</x:v>
      </x:c>
      <x:c r="C847" s="34" t="n">
        <x:f>Subsurface_Scenario_Data!A111</x:f>
        <x:v>-5.5</x:v>
      </x:c>
      <x:c r="D847" s="34" t="n">
        <x:f>Subsurface_Scenario_Data!I111</x:f>
        <x:v>-16.46610374365965</x:v>
      </x:c>
      <x:c r="E847" s="34" t="n">
        <x:f>Subsurface_Scenario_Data!A111</x:f>
        <x:v>-5.5</x:v>
      </x:c>
      <x:c r="F847" s="34" t="n">
        <x:f>Subsurface_Scenario_Data!J111</x:f>
        <x:v>0</x:v>
      </x:c>
    </x:row>
    <x:row r="848">
      <x:c r="A848" s="34" t="n">
        <x:f>Subsurface_Scenario_Data!A112</x:f>
        <x:v>-5</x:v>
      </x:c>
      <x:c r="B848" s="34" t="n">
        <x:f>Subsurface_Scenario_Data!H112</x:f>
        <x:v>8.709851587082419</x:v>
      </x:c>
      <x:c r="C848" s="34" t="n">
        <x:f>Subsurface_Scenario_Data!A112</x:f>
        <x:v>-5</x:v>
      </x:c>
      <x:c r="D848" s="34" t="n">
        <x:f>Subsurface_Scenario_Data!I112</x:f>
        <x:v>-16.360345475541838</x:v>
      </x:c>
      <x:c r="E848" s="34" t="n">
        <x:f>Subsurface_Scenario_Data!A112</x:f>
        <x:v>-5</x:v>
      </x:c>
      <x:c r="F848" s="34" t="n">
        <x:f>Subsurface_Scenario_Data!J112</x:f>
        <x:v>0</x:v>
      </x:c>
    </x:row>
    <x:row r="849">
      <x:c r="A849" s="34" t="n">
        <x:f>Subsurface_Scenario_Data!A113</x:f>
        <x:v>-4.5</x:v>
      </x:c>
      <x:c r="B849" s="34" t="n">
        <x:f>Subsurface_Scenario_Data!H113</x:f>
        <x:v>8.544905322863741</x:v>
      </x:c>
      <x:c r="C849" s="34" t="n">
        <x:f>Subsurface_Scenario_Data!A113</x:f>
        <x:v>-4.5</x:v>
      </x:c>
      <x:c r="D849" s="34" t="n">
        <x:f>Subsurface_Scenario_Data!I113</x:f>
        <x:v>-16.246979603717467</x:v>
      </x:c>
      <x:c r="E849" s="34" t="n">
        <x:f>Subsurface_Scenario_Data!A113</x:f>
        <x:v>-4.5</x:v>
      </x:c>
      <x:c r="F849" s="34" t="n">
        <x:f>Subsurface_Scenario_Data!J113</x:f>
        <x:v>0</x:v>
      </x:c>
    </x:row>
    <x:row r="850">
      <x:c r="A850" s="34" t="n">
        <x:f>Subsurface_Scenario_Data!A114</x:f>
        <x:v>-4</x:v>
      </x:c>
      <x:c r="B850" s="34" t="n">
        <x:f>Subsurface_Scenario_Data!H114</x:f>
        <x:v>8.411822848461185</x:v>
      </x:c>
      <x:c r="C850" s="34" t="n">
        <x:f>Subsurface_Scenario_Data!A114</x:f>
        <x:v>-4</x:v>
      </x:c>
      <x:c r="D850" s="34" t="n">
        <x:f>Subsurface_Scenario_Data!I114</x:f>
        <x:v>-16.126640116127245</x:v>
      </x:c>
      <x:c r="E850" s="34" t="n">
        <x:f>Subsurface_Scenario_Data!A114</x:f>
        <x:v>-4</x:v>
      </x:c>
      <x:c r="F850" s="34" t="n">
        <x:f>Subsurface_Scenario_Data!J114</x:f>
        <x:v>0</x:v>
      </x:c>
    </x:row>
    <x:row r="851">
      <x:c r="A851" s="34" t="n">
        <x:f>Subsurface_Scenario_Data!A115</x:f>
        <x:v>-3.5</x:v>
      </x:c>
      <x:c r="B851" s="34" t="n">
        <x:f>Subsurface_Scenario_Data!H115</x:f>
        <x:v>8.168158463866561</x:v>
      </x:c>
      <x:c r="C851" s="34" t="n">
        <x:f>Subsurface_Scenario_Data!A115</x:f>
        <x:v>-3.5</x:v>
      </x:c>
      <x:c r="D851" s="34" t="n">
        <x:f>Subsurface_Scenario_Data!I115</x:f>
        <x:v>-16</x:v>
      </x:c>
      <x:c r="E851" s="34" t="n">
        <x:f>Subsurface_Scenario_Data!A115</x:f>
        <x:v>-3.5</x:v>
      </x:c>
      <x:c r="F851" s="34" t="n">
        <x:f>Subsurface_Scenario_Data!J115</x:f>
        <x:v>0</x:v>
      </x:c>
    </x:row>
    <x:row r="852">
      <x:c r="A852" s="34" t="n">
        <x:f>Subsurface_Scenario_Data!A116</x:f>
        <x:v>-3</x:v>
      </x:c>
      <x:c r="B852" s="34" t="n">
        <x:f>Subsurface_Scenario_Data!H116</x:f>
        <x:v>8.102847555253376</x:v>
      </x:c>
      <x:c r="C852" s="34" t="n">
        <x:f>Subsurface_Scenario_Data!A116</x:f>
        <x:v>-3</x:v>
      </x:c>
      <x:c r="D852" s="34" t="n">
        <x:f>Subsurface_Scenario_Data!I116</x:f>
        <x:v>-15.867767478235116</x:v>
      </x:c>
      <x:c r="E852" s="34" t="n">
        <x:f>Subsurface_Scenario_Data!A116</x:f>
        <x:v>-3</x:v>
      </x:c>
      <x:c r="F852" s="34" t="n">
        <x:f>Subsurface_Scenario_Data!J116</x:f>
        <x:v>0</x:v>
      </x:c>
    </x:row>
    <x:row r="853">
      <x:c r="A853" s="34" t="n">
        <x:f>Subsurface_Scenario_Data!A117</x:f>
        <x:v>-2.5</x:v>
      </x:c>
      <x:c r="B853" s="34" t="n">
        <x:f>Subsurface_Scenario_Data!H117</x:f>
        <x:v>7.97272555069658</x:v>
      </x:c>
      <x:c r="C853" s="34" t="n">
        <x:f>Subsurface_Scenario_Data!A117</x:f>
        <x:v>-2.5</x:v>
      </x:c>
      <x:c r="D853" s="34" t="n">
        <x:f>Subsurface_Scenario_Data!I117</x:f>
        <x:v>-15.73068204873279</x:v>
      </x:c>
      <x:c r="E853" s="34" t="n">
        <x:f>Subsurface_Scenario_Data!A117</x:f>
        <x:v>-2.5</x:v>
      </x:c>
      <x:c r="F853" s="34" t="n">
        <x:f>Subsurface_Scenario_Data!J117</x:f>
        <x:v>0</x:v>
      </x:c>
    </x:row>
    <x:row r="854">
      <x:c r="A854" s="34" t="n">
        <x:f>Subsurface_Scenario_Data!A118</x:f>
        <x:v>-2</x:v>
      </x:c>
      <x:c r="B854" s="34" t="n">
        <x:f>Subsurface_Scenario_Data!H118</x:f>
        <x:v>7.9153326994303015</x:v>
      </x:c>
      <x:c r="C854" s="34" t="n">
        <x:f>Subsurface_Scenario_Data!A118</x:f>
        <x:v>-2</x:v>
      </x:c>
      <x:c r="D854" s="34" t="n">
        <x:f>Subsurface_Scenario_Data!I118</x:f>
        <x:v>-15.589510348821808</x:v>
      </x:c>
      <x:c r="E854" s="34" t="n">
        <x:f>Subsurface_Scenario_Data!A118</x:f>
        <x:v>-2</x:v>
      </x:c>
      <x:c r="F854" s="34" t="n">
        <x:f>Subsurface_Scenario_Data!J118</x:f>
        <x:v>0</x:v>
      </x:c>
    </x:row>
    <x:row r="855">
      <x:c r="A855" s="34" t="n">
        <x:f>Subsurface_Scenario_Data!A119</x:f>
        <x:v>-1.5</x:v>
      </x:c>
      <x:c r="B855" s="34" t="n">
        <x:f>Subsurface_Scenario_Data!H119</x:f>
        <x:v>7.7670025372452045</x:v>
      </x:c>
      <x:c r="C855" s="34" t="n">
        <x:f>Subsurface_Scenario_Data!A119</x:f>
        <x:v>-1.5</x:v>
      </x:c>
      <x:c r="D855" s="34" t="n">
        <x:f>Subsurface_Scenario_Data!I119</x:f>
        <x:v>-15.445041867912629</x:v>
      </x:c>
      <x:c r="E855" s="34" t="n">
        <x:f>Subsurface_Scenario_Data!A119</x:f>
        <x:v>-1.5</x:v>
      </x:c>
      <x:c r="F855" s="34" t="n">
        <x:f>Subsurface_Scenario_Data!J119</x:f>
        <x:v>0</x:v>
      </x:c>
    </x:row>
    <x:row r="856">
      <x:c r="A856" s="34" t="n">
        <x:f>Subsurface_Scenario_Data!A120</x:f>
        <x:v>-1</x:v>
      </x:c>
      <x:c r="B856" s="34" t="n">
        <x:f>Subsurface_Scenario_Data!H120</x:f>
        <x:v>7.694701387861457</x:v>
      </x:c>
      <x:c r="C856" s="34" t="n">
        <x:f>Subsurface_Scenario_Data!A120</x:f>
        <x:v>-1</x:v>
      </x:c>
      <x:c r="D856" s="34" t="n">
        <x:f>Subsurface_Scenario_Data!I120</x:f>
        <x:v>-15.298084532352348</x:v>
      </x:c>
      <x:c r="E856" s="34" t="n">
        <x:f>Subsurface_Scenario_Data!A120</x:f>
        <x:v>-1</x:v>
      </x:c>
      <x:c r="F856" s="34" t="n">
        <x:f>Subsurface_Scenario_Data!J120</x:f>
        <x:v>0</x:v>
      </x:c>
    </x:row>
    <x:row r="857">
      <x:c r="A857" s="34" t="n">
        <x:f>Subsurface_Scenario_Data!A121</x:f>
        <x:v>-0.5</x:v>
      </x:c>
      <x:c r="B857" s="34" t="n">
        <x:f>Subsurface_Scenario_Data!H121</x:f>
        <x:v>7.739958542105505</x:v>
      </x:c>
      <x:c r="C857" s="34" t="n">
        <x:f>Subsurface_Scenario_Data!A121</x:f>
        <x:v>-0.5</x:v>
      </x:c>
      <x:c r="D857" s="34" t="n">
        <x:f>Subsurface_Scenario_Data!I121</x:f>
        <x:v>-15.14946018717285</x:v>
      </x:c>
      <x:c r="E857" s="34" t="n">
        <x:f>Subsurface_Scenario_Data!A121</x:f>
        <x:v>-0.5</x:v>
      </x:c>
      <x:c r="F857" s="34" t="n">
        <x:f>Subsurface_Scenario_Data!J121</x:f>
        <x:v>0</x:v>
      </x:c>
    </x:row>
    <x:row r="858">
      <x:c r="A858" s="34" t="n">
        <x:f>Subsurface_Scenario_Data!A122</x:f>
        <x:v>0</x:v>
      </x:c>
      <x:c r="B858" s="34" t="n">
        <x:f>Subsurface_Scenario_Data!H122</x:f>
        <x:v>7.660593900141208</x:v>
      </x:c>
      <x:c r="C858" s="34" t="n">
        <x:f>Subsurface_Scenario_Data!A122</x:f>
        <x:v>0</x:v>
      </x:c>
      <x:c r="D858" s="34" t="n">
        <x:f>Subsurface_Scenario_Data!I122</x:f>
        <x:v>-15</x:v>
      </x:c>
      <x:c r="E858" s="34" t="n">
        <x:f>Subsurface_Scenario_Data!A122</x:f>
        <x:v>0</x:v>
      </x:c>
      <x:c r="F858" s="34" t="n">
        <x:f>Subsurface_Scenario_Data!J122</x:f>
        <x:v>0</x:v>
      </x:c>
    </x:row>
    <x:row r="859">
      <x:c r="A859" s="34" t="n">
        <x:f>Subsurface_Scenario_Data!A123</x:f>
        <x:v>0.5</x:v>
      </x:c>
      <x:c r="B859" s="34" t="n">
        <x:f>Subsurface_Scenario_Data!H123</x:f>
        <x:v>7.56799385614989</x:v>
      </x:c>
      <x:c r="C859" s="34" t="n">
        <x:f>Subsurface_Scenario_Data!A123</x:f>
        <x:v>0.5</x:v>
      </x:c>
      <x:c r="D859" s="34" t="n">
        <x:f>Subsurface_Scenario_Data!I123</x:f>
        <x:v>-14.85053981282715</x:v>
      </x:c>
      <x:c r="E859" s="34" t="n">
        <x:f>Subsurface_Scenario_Data!A123</x:f>
        <x:v>0.5</x:v>
      </x:c>
      <x:c r="F859" s="34" t="n">
        <x:f>Subsurface_Scenario_Data!J123</x:f>
        <x:v>0</x:v>
      </x:c>
    </x:row>
    <x:row r="860">
      <x:c r="A860" s="34" t="n">
        <x:f>Subsurface_Scenario_Data!A124</x:f>
        <x:v>1</x:v>
      </x:c>
      <x:c r="B860" s="34" t="n">
        <x:f>Subsurface_Scenario_Data!H124</x:f>
        <x:v>7.541546479781566</x:v>
      </x:c>
      <x:c r="C860" s="34" t="n">
        <x:f>Subsurface_Scenario_Data!A124</x:f>
        <x:v>1</x:v>
      </x:c>
      <x:c r="D860" s="34" t="n">
        <x:f>Subsurface_Scenario_Data!I124</x:f>
        <x:v>-14.701915467647652</x:v>
      </x:c>
      <x:c r="E860" s="34" t="n">
        <x:f>Subsurface_Scenario_Data!A124</x:f>
        <x:v>1</x:v>
      </x:c>
      <x:c r="F860" s="34" t="n">
        <x:f>Subsurface_Scenario_Data!J124</x:f>
        <x:v>0</x:v>
      </x:c>
    </x:row>
    <x:row r="861">
      <x:c r="A861" s="34" t="n">
        <x:f>Subsurface_Scenario_Data!A125</x:f>
        <x:v>1.5</x:v>
      </x:c>
      <x:c r="B861" s="34" t="n">
        <x:f>Subsurface_Scenario_Data!H125</x:f>
        <x:v>7.5424913275554815</x:v>
      </x:c>
      <x:c r="C861" s="34" t="n">
        <x:f>Subsurface_Scenario_Data!A125</x:f>
        <x:v>1.5</x:v>
      </x:c>
      <x:c r="D861" s="34" t="n">
        <x:f>Subsurface_Scenario_Data!I125</x:f>
        <x:v>-14.554958132087371</x:v>
      </x:c>
      <x:c r="E861" s="34" t="n">
        <x:f>Subsurface_Scenario_Data!A125</x:f>
        <x:v>1.5</x:v>
      </x:c>
      <x:c r="F861" s="34" t="n">
        <x:f>Subsurface_Scenario_Data!J125</x:f>
        <x:v>0</x:v>
      </x:c>
    </x:row>
    <x:row r="862">
      <x:c r="A862" s="34" t="n">
        <x:f>Subsurface_Scenario_Data!A126</x:f>
        <x:v>2</x:v>
      </x:c>
      <x:c r="B862" s="34" t="n">
        <x:f>Subsurface_Scenario_Data!H126</x:f>
        <x:v>7.541716023960383</x:v>
      </x:c>
      <x:c r="C862" s="34" t="n">
        <x:f>Subsurface_Scenario_Data!A126</x:f>
        <x:v>2</x:v>
      </x:c>
      <x:c r="D862" s="34" t="n">
        <x:f>Subsurface_Scenario_Data!I126</x:f>
        <x:v>-14.410489651178192</x:v>
      </x:c>
      <x:c r="E862" s="34" t="n">
        <x:f>Subsurface_Scenario_Data!A126</x:f>
        <x:v>2</x:v>
      </x:c>
      <x:c r="F862" s="34" t="n">
        <x:f>Subsurface_Scenario_Data!J126</x:f>
        <x:v>0</x:v>
      </x:c>
    </x:row>
    <x:row r="863">
      <x:c r="A863" s="34" t="n">
        <x:f>Subsurface_Scenario_Data!A127</x:f>
        <x:v>2.5</x:v>
      </x:c>
      <x:c r="B863" s="34" t="n">
        <x:f>Subsurface_Scenario_Data!H127</x:f>
        <x:v>7.535639746382422</x:v>
      </x:c>
      <x:c r="C863" s="34" t="n">
        <x:f>Subsurface_Scenario_Data!A127</x:f>
        <x:v>2.5</x:v>
      </x:c>
      <x:c r="D863" s="34" t="n">
        <x:f>Subsurface_Scenario_Data!I127</x:f>
        <x:v>-14.26931795126721</x:v>
      </x:c>
      <x:c r="E863" s="34" t="n">
        <x:f>Subsurface_Scenario_Data!A127</x:f>
        <x:v>2.5</x:v>
      </x:c>
      <x:c r="F863" s="34" t="n">
        <x:f>Subsurface_Scenario_Data!J127</x:f>
        <x:v>0</x:v>
      </x:c>
    </x:row>
    <x:row r="864">
      <x:c r="A864" s="34" t="n">
        <x:f>Subsurface_Scenario_Data!A128</x:f>
        <x:v>3</x:v>
      </x:c>
      <x:c r="B864" s="34" t="n">
        <x:f>Subsurface_Scenario_Data!H128</x:f>
        <x:v>7.400773998090436</x:v>
      </x:c>
      <x:c r="C864" s="34" t="n">
        <x:f>Subsurface_Scenario_Data!A128</x:f>
        <x:v>3</x:v>
      </x:c>
      <x:c r="D864" s="34" t="n">
        <x:f>Subsurface_Scenario_Data!I128</x:f>
        <x:v>-14.132232521764884</x:v>
      </x:c>
      <x:c r="E864" s="34" t="n">
        <x:f>Subsurface_Scenario_Data!A128</x:f>
        <x:v>3</x:v>
      </x:c>
      <x:c r="F864" s="34" t="n">
        <x:f>Subsurface_Scenario_Data!J128</x:f>
        <x:v>0</x:v>
      </x:c>
    </x:row>
    <x:row r="865">
      <x:c r="A865" s="34" t="n">
        <x:f>Subsurface_Scenario_Data!A129</x:f>
        <x:v>3.5</x:v>
      </x:c>
      <x:c r="B865" s="34" t="n">
        <x:f>Subsurface_Scenario_Data!H129</x:f>
        <x:v>7.460025984144565</x:v>
      </x:c>
      <x:c r="C865" s="34" t="n">
        <x:f>Subsurface_Scenario_Data!A129</x:f>
        <x:v>3.5</x:v>
      </x:c>
      <x:c r="D865" s="34" t="n">
        <x:f>Subsurface_Scenario_Data!I129</x:f>
        <x:v>-14</x:v>
      </x:c>
      <x:c r="E865" s="34" t="n">
        <x:f>Subsurface_Scenario_Data!A129</x:f>
        <x:v>3.5</x:v>
      </x:c>
      <x:c r="F865" s="34" t="n">
        <x:f>Subsurface_Scenario_Data!J129</x:f>
        <x:v>0</x:v>
      </x:c>
    </x:row>
    <x:row r="866">
      <x:c r="A866" s="34" t="n">
        <x:f>Subsurface_Scenario_Data!A130</x:f>
        <x:v>4</x:v>
      </x:c>
      <x:c r="B866" s="34" t="n">
        <x:f>Subsurface_Scenario_Data!H130</x:f>
        <x:v>7.394540837486403</x:v>
      </x:c>
      <x:c r="C866" s="34" t="n">
        <x:f>Subsurface_Scenario_Data!A130</x:f>
        <x:v>4</x:v>
      </x:c>
      <x:c r="D866" s="34" t="n">
        <x:f>Subsurface_Scenario_Data!I130</x:f>
        <x:v>-13.873359883872755</x:v>
      </x:c>
      <x:c r="E866" s="34" t="n">
        <x:f>Subsurface_Scenario_Data!A130</x:f>
        <x:v>4</x:v>
      </x:c>
      <x:c r="F866" s="34" t="n">
        <x:f>Subsurface_Scenario_Data!J130</x:f>
        <x:v>0</x:v>
      </x:c>
    </x:row>
    <x:row r="867">
      <x:c r="A867" s="34" t="n">
        <x:f>Subsurface_Scenario_Data!A131</x:f>
        <x:v>4.5</x:v>
      </x:c>
      <x:c r="B867" s="34" t="n">
        <x:f>Subsurface_Scenario_Data!H131</x:f>
        <x:v>7.375491122166011</x:v>
      </x:c>
      <x:c r="C867" s="34" t="n">
        <x:f>Subsurface_Scenario_Data!A131</x:f>
        <x:v>4.5</x:v>
      </x:c>
      <x:c r="D867" s="34" t="n">
        <x:f>Subsurface_Scenario_Data!I131</x:f>
        <x:v>-13.753020396282533</x:v>
      </x:c>
      <x:c r="E867" s="34" t="n">
        <x:f>Subsurface_Scenario_Data!A131</x:f>
        <x:v>4.5</x:v>
      </x:c>
      <x:c r="F867" s="34" t="n">
        <x:f>Subsurface_Scenario_Data!J131</x:f>
        <x:v>0</x:v>
      </x:c>
    </x:row>
    <x:row r="868">
      <x:c r="A868" s="34" t="n">
        <x:f>Subsurface_Scenario_Data!A132</x:f>
        <x:v>5</x:v>
      </x:c>
      <x:c r="B868" s="34" t="n">
        <x:f>Subsurface_Scenario_Data!H132</x:f>
        <x:v>7.234433387496523</x:v>
      </x:c>
      <x:c r="C868" s="34" t="n">
        <x:f>Subsurface_Scenario_Data!A132</x:f>
        <x:v>5</x:v>
      </x:c>
      <x:c r="D868" s="34" t="n">
        <x:f>Subsurface_Scenario_Data!I132</x:f>
        <x:v>-13.63965452445816</x:v>
      </x:c>
      <x:c r="E868" s="34" t="n">
        <x:f>Subsurface_Scenario_Data!A132</x:f>
        <x:v>5</x:v>
      </x:c>
      <x:c r="F868" s="34" t="n">
        <x:f>Subsurface_Scenario_Data!J132</x:f>
        <x:v>0</x:v>
      </x:c>
    </x:row>
    <x:row r="869">
      <x:c r="A869" s="34" t="n">
        <x:f>Subsurface_Scenario_Data!A133</x:f>
        <x:v>5.5</x:v>
      </x:c>
      <x:c r="B869" s="34" t="n">
        <x:f>Subsurface_Scenario_Data!H133</x:f>
        <x:v>7.151128040150709</x:v>
      </x:c>
      <x:c r="C869" s="34" t="n">
        <x:f>Subsurface_Scenario_Data!A133</x:f>
        <x:v>5.5</x:v>
      </x:c>
      <x:c r="D869" s="34" t="n">
        <x:f>Subsurface_Scenario_Data!I133</x:f>
        <x:v>-13.533896256340348</x:v>
      </x:c>
      <x:c r="E869" s="34" t="n">
        <x:f>Subsurface_Scenario_Data!A133</x:f>
        <x:v>5.5</x:v>
      </x:c>
      <x:c r="F869" s="34" t="n">
        <x:f>Subsurface_Scenario_Data!J133</x:f>
        <x:v>0</x:v>
      </x:c>
    </x:row>
    <x:row r="870">
      <x:c r="A870" s="34" t="n">
        <x:f>Subsurface_Scenario_Data!A134</x:f>
        <x:v>6</x:v>
      </x:c>
      <x:c r="B870" s="34" t="n">
        <x:f>Subsurface_Scenario_Data!H134</x:f>
        <x:v>7.091622644256596</x:v>
      </x:c>
      <x:c r="C870" s="34" t="n">
        <x:f>Subsurface_Scenario_Data!A134</x:f>
        <x:v>6</x:v>
      </x:c>
      <x:c r="D870" s="34" t="n">
        <x:f>Subsurface_Scenario_Data!I134</x:f>
        <x:v>-13.436337035063941</x:v>
      </x:c>
      <x:c r="E870" s="34" t="n">
        <x:f>Subsurface_Scenario_Data!A134</x:f>
        <x:v>6</x:v>
      </x:c>
      <x:c r="F870" s="34" t="n">
        <x:f>Subsurface_Scenario_Data!J134</x:f>
        <x:v>0</x:v>
      </x:c>
    </x:row>
    <x:row r="871">
      <x:c r="A871" s="34" t="n">
        <x:f>Subsurface_Scenario_Data!A135</x:f>
        <x:v>6.5</x:v>
      </x:c>
      <x:c r="B871" s="34" t="n">
        <x:f>Subsurface_Scenario_Data!H135</x:f>
        <x:v>7.022772764799129</x:v>
      </x:c>
      <x:c r="C871" s="34" t="n">
        <x:f>Subsurface_Scenario_Data!A135</x:f>
        <x:v>6.5</x:v>
      </x:c>
      <x:c r="D871" s="34" t="n">
        <x:f>Subsurface_Scenario_Data!I135</x:f>
        <x:v>-13.347522451368011</x:v>
      </x:c>
      <x:c r="E871" s="34" t="n">
        <x:f>Subsurface_Scenario_Data!A135</x:f>
        <x:v>6.5</x:v>
      </x:c>
      <x:c r="F871" s="34" t="n">
        <x:f>Subsurface_Scenario_Data!J135</x:f>
        <x:v>0</x:v>
      </x:c>
    </x:row>
    <x:row r="872">
      <x:c r="A872" s="34" t="n">
        <x:f>Subsurface_Scenario_Data!A136</x:f>
        <x:v>7</x:v>
      </x:c>
      <x:c r="B872" s="34" t="n">
        <x:f>Subsurface_Scenario_Data!H136</x:f>
        <x:v>7.053779572031566</x:v>
      </x:c>
      <x:c r="C872" s="34" t="n">
        <x:f>Subsurface_Scenario_Data!A136</x:f>
        <x:v>7</x:v>
      </x:c>
      <x:c r="D872" s="34" t="n">
        <x:f>Subsurface_Scenario_Data!I136</x:f>
        <x:v>-13.267949192431123</x:v>
      </x:c>
      <x:c r="E872" s="34" t="n">
        <x:f>Subsurface_Scenario_Data!A136</x:f>
        <x:v>7</x:v>
      </x:c>
      <x:c r="F872" s="34" t="n">
        <x:f>Subsurface_Scenario_Data!J136</x:f>
        <x:v>0</x:v>
      </x:c>
    </x:row>
    <x:row r="873">
      <x:c r="A873" s="34" t="n">
        <x:f>Subsurface_Scenario_Data!A137</x:f>
        <x:v>7.5</x:v>
      </x:c>
      <x:c r="B873" s="34" t="n">
        <x:f>Subsurface_Scenario_Data!H137</x:f>
        <x:v>6.895222783514718</x:v>
      </x:c>
      <x:c r="C873" s="34" t="n">
        <x:f>Subsurface_Scenario_Data!A137</x:f>
        <x:v>7.5</x:v>
      </x:c>
      <x:c r="D873" s="34" t="n">
        <x:f>Subsurface_Scenario_Data!I137</x:f>
        <x:v>-13.198062264195162</x:v>
      </x:c>
      <x:c r="E873" s="34" t="n">
        <x:f>Subsurface_Scenario_Data!A137</x:f>
        <x:v>7.5</x:v>
      </x:c>
      <x:c r="F873" s="34" t="n">
        <x:f>Subsurface_Scenario_Data!J137</x:f>
        <x:v>0</x:v>
      </x:c>
    </x:row>
    <x:row r="874">
      <x:c r="A874" s="34" t="n">
        <x:f>Subsurface_Scenario_Data!A138</x:f>
        <x:v>8</x:v>
      </x:c>
      <x:c r="B874" s="34" t="n">
        <x:f>Subsurface_Scenario_Data!H138</x:f>
        <x:v>6.862655815818961</x:v>
      </x:c>
      <x:c r="C874" s="34" t="n">
        <x:f>Subsurface_Scenario_Data!A138</x:f>
        <x:v>8</x:v>
      </x:c>
      <x:c r="D874" s="34" t="n">
        <x:f>Subsurface_Scenario_Data!I138</x:f>
        <x:v>-13.138252502711591</x:v>
      </x:c>
      <x:c r="E874" s="34" t="n">
        <x:f>Subsurface_Scenario_Data!A138</x:f>
        <x:v>8</x:v>
      </x:c>
      <x:c r="F874" s="34" t="n">
        <x:f>Subsurface_Scenario_Data!J138</x:f>
        <x:v>0</x:v>
      </x:c>
    </x:row>
    <x:row r="875">
      <x:c r="A875" s="34" t="n">
        <x:f>Subsurface_Scenario_Data!A139</x:f>
        <x:v>8.5</x:v>
      </x:c>
      <x:c r="B875" s="34" t="n">
        <x:f>Subsurface_Scenario_Data!H139</x:f>
        <x:v>6.782690265200294</x:v>
      </x:c>
      <x:c r="C875" s="34" t="n">
        <x:f>Subsurface_Scenario_Data!A139</x:f>
        <x:v>8.5</x:v>
      </x:c>
      <x:c r="D875" s="34" t="n">
        <x:f>Subsurface_Scenario_Data!I139</x:f>
        <x:v>-13.088854388427718</x:v>
      </x:c>
      <x:c r="E875" s="34" t="n">
        <x:f>Subsurface_Scenario_Data!A139</x:f>
        <x:v>8.5</x:v>
      </x:c>
      <x:c r="F875" s="34" t="n">
        <x:f>Subsurface_Scenario_Data!J139</x:f>
        <x:v>0</x:v>
      </x:c>
    </x:row>
    <x:row r="876">
      <x:c r="A876" s="34" t="n">
        <x:f>Subsurface_Scenario_Data!A140</x:f>
        <x:v>9</x:v>
      </x:c>
      <x:c r="B876" s="34" t="n">
        <x:f>Subsurface_Scenario_Data!H140</x:f>
        <x:v>6.802640421381554</x:v>
      </x:c>
      <x:c r="C876" s="34" t="n">
        <x:f>Subsurface_Scenario_Data!A140</x:f>
        <x:v>9</x:v>
      </x:c>
      <x:c r="D876" s="34" t="n">
        <x:f>Subsurface_Scenario_Data!I140</x:f>
        <x:v>-13.050144175636353</x:v>
      </x:c>
      <x:c r="E876" s="34" t="n">
        <x:f>Subsurface_Scenario_Data!A140</x:f>
        <x:v>9</x:v>
      </x:c>
      <x:c r="F876" s="34" t="n">
        <x:f>Subsurface_Scenario_Data!J140</x:f>
        <x:v>0</x:v>
      </x:c>
    </x:row>
    <x:row r="877">
      <x:c r="A877" s="34" t="n">
        <x:f>Subsurface_Scenario_Data!A141</x:f>
        <x:v>9.5</x:v>
      </x:c>
      <x:c r="B877" s="34" t="n">
        <x:f>Subsurface_Scenario_Data!H141</x:f>
        <x:v>6.807868722571676</x:v>
      </x:c>
      <x:c r="C877" s="34" t="n">
        <x:f>Subsurface_Scenario_Data!A141</x:f>
        <x:v>9.5</x:v>
      </x:c>
      <x:c r="D877" s="34" t="n">
        <x:f>Subsurface_Scenario_Data!I141</x:f>
        <x:v>-13.022338347549743</x:v>
      </x:c>
      <x:c r="E877" s="34" t="n">
        <x:f>Subsurface_Scenario_Data!A141</x:f>
        <x:v>9.5</x:v>
      </x:c>
      <x:c r="F877" s="34" t="n">
        <x:f>Subsurface_Scenario_Data!J141</x:f>
        <x:v>0</x:v>
      </x:c>
    </x:row>
    <x:row r="878">
      <x:c r="A878" s="34" t="n">
        <x:f>Subsurface_Scenario_Data!A142</x:f>
        <x:v>10</x:v>
      </x:c>
      <x:c r="B878" s="34" t="n">
        <x:f>Subsurface_Scenario_Data!H142</x:f>
        <x:v>6.718651903261531</x:v>
      </x:c>
      <x:c r="C878" s="34" t="n">
        <x:f>Subsurface_Scenario_Data!A142</x:f>
        <x:v>10</x:v>
      </x:c>
      <x:c r="D878" s="34" t="n">
        <x:f>Subsurface_Scenario_Data!I142</x:f>
        <x:v>-13.005592405637639</x:v>
      </x:c>
      <x:c r="E878" s="34" t="n">
        <x:f>Subsurface_Scenario_Data!A142</x:f>
        <x:v>10</x:v>
      </x:c>
      <x:c r="F878" s="34" t="n">
        <x:f>Subsurface_Scenario_Data!J142</x:f>
        <x:v>0</x:v>
      </x:c>
    </x:row>
    <x:row r="879">
      <x:c r="A879" s="34" t="n">
        <x:f>Subsurface_Scenario_Data!A143</x:f>
        <x:v>10.5</x:v>
      </x:c>
      <x:c r="B879" s="34" t="n">
        <x:f>Subsurface_Scenario_Data!H143</x:f>
        <x:v>6.67421816878818</x:v>
      </x:c>
      <x:c r="C879" s="34" t="n">
        <x:f>Subsurface_Scenario_Data!A143</x:f>
        <x:v>10.5</x:v>
      </x:c>
      <x:c r="D879" s="34" t="n">
        <x:f>Subsurface_Scenario_Data!I143</x:f>
        <x:v>-13</x:v>
      </x:c>
      <x:c r="E879" s="34" t="n">
        <x:f>Subsurface_Scenario_Data!A143</x:f>
        <x:v>10.5</x:v>
      </x:c>
      <x:c r="F879" s="34" t="n">
        <x:f>Subsurface_Scenario_Data!J143</x:f>
        <x:v>0</x:v>
      </x:c>
    </x:row>
    <x:row r="880">
      <x:c r="A880" s="34" t="n">
        <x:f>Subsurface_Scenario_Data!A144</x:f>
        <x:v>11</x:v>
      </x:c>
      <x:c r="B880" s="34" t="n">
        <x:f>Subsurface_Scenario_Data!H144</x:f>
        <x:v>6.748857559477642</x:v>
      </x:c>
      <x:c r="C880" s="34" t="n">
        <x:f>Subsurface_Scenario_Data!A144</x:f>
        <x:v>11</x:v>
      </x:c>
      <x:c r="D880" s="34" t="n">
        <x:f>Subsurface_Scenario_Data!I144</x:f>
        <x:v>-13.005592405637639</x:v>
      </x:c>
      <x:c r="E880" s="34" t="n">
        <x:f>Subsurface_Scenario_Data!A144</x:f>
        <x:v>11</x:v>
      </x:c>
      <x:c r="F880" s="34" t="n">
        <x:f>Subsurface_Scenario_Data!J144</x:f>
        <x:v>0</x:v>
      </x:c>
    </x:row>
    <x:row r="881">
      <x:c r="A881" s="34" t="n">
        <x:f>Subsurface_Scenario_Data!A145</x:f>
        <x:v>11.5</x:v>
      </x:c>
      <x:c r="B881" s="34" t="n">
        <x:f>Subsurface_Scenario_Data!H145</x:f>
        <x:v>6.746361374428972</x:v>
      </x:c>
      <x:c r="C881" s="34" t="n">
        <x:f>Subsurface_Scenario_Data!A145</x:f>
        <x:v>11.5</x:v>
      </x:c>
      <x:c r="D881" s="34" t="n">
        <x:f>Subsurface_Scenario_Data!I145</x:f>
        <x:v>-13.022338347549743</x:v>
      </x:c>
      <x:c r="E881" s="34" t="n">
        <x:f>Subsurface_Scenario_Data!A145</x:f>
        <x:v>11.5</x:v>
      </x:c>
      <x:c r="F881" s="34" t="n">
        <x:f>Subsurface_Scenario_Data!J145</x:f>
        <x:v>0</x:v>
      </x:c>
    </x:row>
    <x:row r="882">
      <x:c r="A882" s="34" t="n">
        <x:f>Subsurface_Scenario_Data!A146</x:f>
        <x:v>12</x:v>
      </x:c>
      <x:c r="B882" s="34" t="n">
        <x:f>Subsurface_Scenario_Data!H146</x:f>
        <x:v>6.745472212837484</x:v>
      </x:c>
      <x:c r="C882" s="34" t="n">
        <x:f>Subsurface_Scenario_Data!A146</x:f>
        <x:v>12</x:v>
      </x:c>
      <x:c r="D882" s="34" t="n">
        <x:f>Subsurface_Scenario_Data!I146</x:f>
        <x:v>-13.050144175636353</x:v>
      </x:c>
      <x:c r="E882" s="34" t="n">
        <x:f>Subsurface_Scenario_Data!A146</x:f>
        <x:v>12</x:v>
      </x:c>
      <x:c r="F882" s="34" t="n">
        <x:f>Subsurface_Scenario_Data!J146</x:f>
        <x:v>0</x:v>
      </x:c>
    </x:row>
    <x:row r="883">
      <x:c r="A883" s="34" t="n">
        <x:f>Subsurface_Scenario_Data!A147</x:f>
        <x:v>12.5</x:v>
      </x:c>
      <x:c r="B883" s="34" t="n">
        <x:f>Subsurface_Scenario_Data!H147</x:f>
        <x:v>6.861592334330737</x:v>
      </x:c>
      <x:c r="C883" s="34" t="n">
        <x:f>Subsurface_Scenario_Data!A147</x:f>
        <x:v>12.5</x:v>
      </x:c>
      <x:c r="D883" s="34" t="n">
        <x:f>Subsurface_Scenario_Data!I147</x:f>
        <x:v>-13.088854388427718</x:v>
      </x:c>
      <x:c r="E883" s="34" t="n">
        <x:f>Subsurface_Scenario_Data!A147</x:f>
        <x:v>12.5</x:v>
      </x:c>
      <x:c r="F883" s="34" t="n">
        <x:f>Subsurface_Scenario_Data!J147</x:f>
        <x:v>0</x:v>
      </x:c>
    </x:row>
    <x:row r="884">
      <x:c r="A884" s="34" t="n">
        <x:f>Subsurface_Scenario_Data!A148</x:f>
        <x:v>13</x:v>
      </x:c>
      <x:c r="B884" s="34" t="n">
        <x:f>Subsurface_Scenario_Data!H148</x:f>
        <x:v>6.904695729184056</x:v>
      </x:c>
      <x:c r="C884" s="34" t="n">
        <x:f>Subsurface_Scenario_Data!A148</x:f>
        <x:v>13</x:v>
      </x:c>
      <x:c r="D884" s="34" t="n">
        <x:f>Subsurface_Scenario_Data!I148</x:f>
        <x:v>-13.138252502711591</x:v>
      </x:c>
      <x:c r="E884" s="34" t="n">
        <x:f>Subsurface_Scenario_Data!A148</x:f>
        <x:v>13</x:v>
      </x:c>
      <x:c r="F884" s="34" t="n">
        <x:f>Subsurface_Scenario_Data!J148</x:f>
        <x:v>0</x:v>
      </x:c>
    </x:row>
    <x:row r="885">
      <x:c r="A885" s="34" t="n">
        <x:f>Subsurface_Scenario_Data!A149</x:f>
        <x:v>13.5</x:v>
      </x:c>
      <x:c r="B885" s="34" t="n">
        <x:f>Subsurface_Scenario_Data!H149</x:f>
        <x:v>6.883674818100573</x:v>
      </x:c>
      <x:c r="C885" s="34" t="n">
        <x:f>Subsurface_Scenario_Data!A149</x:f>
        <x:v>13.5</x:v>
      </x:c>
      <x:c r="D885" s="34" t="n">
        <x:f>Subsurface_Scenario_Data!I149</x:f>
        <x:v>-13.198062264195162</x:v>
      </x:c>
      <x:c r="E885" s="34" t="n">
        <x:f>Subsurface_Scenario_Data!A149</x:f>
        <x:v>13.5</x:v>
      </x:c>
      <x:c r="F885" s="34" t="n">
        <x:f>Subsurface_Scenario_Data!J149</x:f>
        <x:v>0</x:v>
      </x:c>
    </x:row>
    <x:row r="886">
      <x:c r="A886" s="34" t="n">
        <x:f>Subsurface_Scenario_Data!A150</x:f>
        <x:v>14</x:v>
      </x:c>
      <x:c r="B886" s="34" t="n">
        <x:f>Subsurface_Scenario_Data!H150</x:f>
        <x:v>6.9831401540182725</x:v>
      </x:c>
      <x:c r="C886" s="34" t="n">
        <x:f>Subsurface_Scenario_Data!A150</x:f>
        <x:v>14</x:v>
      </x:c>
      <x:c r="D886" s="34" t="n">
        <x:f>Subsurface_Scenario_Data!I150</x:f>
        <x:v>-13.267949192431123</x:v>
      </x:c>
      <x:c r="E886" s="34" t="n">
        <x:f>Subsurface_Scenario_Data!A150</x:f>
        <x:v>14</x:v>
      </x:c>
      <x:c r="F886" s="34" t="n">
        <x:f>Subsurface_Scenario_Data!J150</x:f>
        <x:v>0</x:v>
      </x:c>
    </x:row>
    <x:row r="887">
      <x:c r="A887" s="34" t="n">
        <x:f>Subsurface_Scenario_Data!A151</x:f>
        <x:v>14.5</x:v>
      </x:c>
      <x:c r="B887" s="34" t="n">
        <x:f>Subsurface_Scenario_Data!H151</x:f>
        <x:v>7.085612794805691</x:v>
      </x:c>
      <x:c r="C887" s="34" t="n">
        <x:f>Subsurface_Scenario_Data!A151</x:f>
        <x:v>14.5</x:v>
      </x:c>
      <x:c r="D887" s="34" t="n">
        <x:f>Subsurface_Scenario_Data!I151</x:f>
        <x:v>-13.347522451368011</x:v>
      </x:c>
      <x:c r="E887" s="34" t="n">
        <x:f>Subsurface_Scenario_Data!A151</x:f>
        <x:v>14.5</x:v>
      </x:c>
      <x:c r="F887" s="34" t="n">
        <x:f>Subsurface_Scenario_Data!J151</x:f>
        <x:v>0</x:v>
      </x:c>
    </x:row>
    <x:row r="888">
      <x:c r="A888" s="34" t="n">
        <x:f>Subsurface_Scenario_Data!A152</x:f>
        <x:v>15</x:v>
      </x:c>
      <x:c r="B888" s="34" t="n">
        <x:f>Subsurface_Scenario_Data!H152</x:f>
        <x:v>7.101667015848584</x:v>
      </x:c>
      <x:c r="C888" s="34" t="n">
        <x:f>Subsurface_Scenario_Data!A152</x:f>
        <x:v>15</x:v>
      </x:c>
      <x:c r="D888" s="34" t="n">
        <x:f>Subsurface_Scenario_Data!I152</x:f>
        <x:v>-13.43633703506394</x:v>
      </x:c>
      <x:c r="E888" s="34" t="n">
        <x:f>Subsurface_Scenario_Data!A152</x:f>
        <x:v>15</x:v>
      </x:c>
      <x:c r="F888" s="34" t="n">
        <x:f>Subsurface_Scenario_Data!J152</x:f>
        <x:v>0</x:v>
      </x:c>
    </x:row>
    <x:row r="889">
      <x:c r="A889" s="34" t="n">
        <x:f>Subsurface_Scenario_Data!A153</x:f>
        <x:v>15.5</x:v>
      </x:c>
      <x:c r="B889" s="34" t="n">
        <x:f>Subsurface_Scenario_Data!H153</x:f>
        <x:v>7.1838132042366</x:v>
      </x:c>
      <x:c r="C889" s="34" t="n">
        <x:f>Subsurface_Scenario_Data!A153</x:f>
        <x:v>15.5</x:v>
      </x:c>
      <x:c r="D889" s="34" t="n">
        <x:f>Subsurface_Scenario_Data!I153</x:f>
        <x:v>-13.533896256340347</x:v>
      </x:c>
      <x:c r="E889" s="34" t="n">
        <x:f>Subsurface_Scenario_Data!A153</x:f>
        <x:v>15.5</x:v>
      </x:c>
      <x:c r="F889" s="34" t="n">
        <x:f>Subsurface_Scenario_Data!J153</x:f>
        <x:v>0</x:v>
      </x:c>
    </x:row>
    <x:row r="890">
      <x:c r="A890" s="34" t="n">
        <x:f>Subsurface_Scenario_Data!A154</x:f>
        <x:v>16</x:v>
      </x:c>
      <x:c r="B890" s="34" t="n">
        <x:f>Subsurface_Scenario_Data!H154</x:f>
        <x:v>7.312281132748701</x:v>
      </x:c>
      <x:c r="C890" s="34" t="n">
        <x:f>Subsurface_Scenario_Data!A154</x:f>
        <x:v>16</x:v>
      </x:c>
      <x:c r="D890" s="34" t="n">
        <x:f>Subsurface_Scenario_Data!I154</x:f>
        <x:v>-13.63965452445816</x:v>
      </x:c>
      <x:c r="E890" s="34" t="n">
        <x:f>Subsurface_Scenario_Data!A154</x:f>
        <x:v>16</x:v>
      </x:c>
      <x:c r="F890" s="34" t="n">
        <x:f>Subsurface_Scenario_Data!J154</x:f>
        <x:v>0</x:v>
      </x:c>
    </x:row>
    <x:row r="891">
      <x:c r="A891" s="34" t="n">
        <x:f>Subsurface_Scenario_Data!A155</x:f>
        <x:v>16.5</x:v>
      </x:c>
      <x:c r="B891" s="34" t="n">
        <x:f>Subsurface_Scenario_Data!H155</x:f>
        <x:v>7.4521231864764985</x:v>
      </x:c>
      <x:c r="C891" s="34" t="n">
        <x:f>Subsurface_Scenario_Data!A155</x:f>
        <x:v>16.5</x:v>
      </x:c>
      <x:c r="D891" s="34" t="n">
        <x:f>Subsurface_Scenario_Data!I155</x:f>
        <x:v>-13.753020396282533</x:v>
      </x:c>
      <x:c r="E891" s="34" t="n">
        <x:f>Subsurface_Scenario_Data!A155</x:f>
        <x:v>16.5</x:v>
      </x:c>
      <x:c r="F891" s="34" t="n">
        <x:f>Subsurface_Scenario_Data!J155</x:f>
        <x:v>0</x:v>
      </x:c>
    </x:row>
    <x:row r="892">
      <x:c r="A892" s="34" t="n">
        <x:f>Subsurface_Scenario_Data!A156</x:f>
        <x:v>17</x:v>
      </x:c>
      <x:c r="B892" s="34" t="n">
        <x:f>Subsurface_Scenario_Data!H156</x:f>
        <x:v>7.553099997733035</x:v>
      </x:c>
      <x:c r="C892" s="34" t="n">
        <x:f>Subsurface_Scenario_Data!A156</x:f>
        <x:v>17</x:v>
      </x:c>
      <x:c r="D892" s="34" t="n">
        <x:f>Subsurface_Scenario_Data!I156</x:f>
        <x:v>-13.873359883872757</x:v>
      </x:c>
      <x:c r="E892" s="34" t="n">
        <x:f>Subsurface_Scenario_Data!A156</x:f>
        <x:v>17</x:v>
      </x:c>
      <x:c r="F892" s="34" t="n">
        <x:f>Subsurface_Scenario_Data!J156</x:f>
        <x:v>0</x:v>
      </x:c>
    </x:row>
    <x:row r="893">
      <x:c r="A893" s="34" t="n">
        <x:f>Subsurface_Scenario_Data!A157</x:f>
        <x:v>17.5</x:v>
      </x:c>
      <x:c r="B893" s="34" t="n">
        <x:f>Subsurface_Scenario_Data!H157</x:f>
        <x:v>7.7218277215539715</x:v>
      </x:c>
      <x:c r="C893" s="34" t="n">
        <x:f>Subsurface_Scenario_Data!A157</x:f>
        <x:v>17.5</x:v>
      </x:c>
      <x:c r="D893" s="34" t="n">
        <x:f>Subsurface_Scenario_Data!I157</x:f>
        <x:v>-14</x:v>
      </x:c>
      <x:c r="E893" s="34" t="n">
        <x:f>Subsurface_Scenario_Data!A157</x:f>
        <x:v>17.5</x:v>
      </x:c>
      <x:c r="F893" s="34" t="n">
        <x:f>Subsurface_Scenario_Data!J157</x:f>
        <x:v>0</x:v>
      </x:c>
    </x:row>
    <x:row r="894">
      <x:c r="A894" s="34" t="n">
        <x:f>Subsurface_Scenario_Data!A158</x:f>
        <x:v>18</x:v>
      </x:c>
      <x:c r="B894" s="34" t="n">
        <x:f>Subsurface_Scenario_Data!H158</x:f>
        <x:v>7.871789319044858</x:v>
      </x:c>
      <x:c r="C894" s="34" t="n">
        <x:f>Subsurface_Scenario_Data!A158</x:f>
        <x:v>18</x:v>
      </x:c>
      <x:c r="D894" s="34" t="n">
        <x:f>Subsurface_Scenario_Data!I158</x:f>
        <x:v>-14.132232521764884</x:v>
      </x:c>
      <x:c r="E894" s="34" t="n">
        <x:f>Subsurface_Scenario_Data!A158</x:f>
        <x:v>18</x:v>
      </x:c>
      <x:c r="F894" s="34" t="n">
        <x:f>Subsurface_Scenario_Data!J158</x:f>
        <x:v>0</x:v>
      </x:c>
    </x:row>
    <x:row r="895">
      <x:c r="A895" s="34" t="n">
        <x:f>Subsurface_Scenario_Data!A159</x:f>
        <x:v>18.5</x:v>
      </x:c>
      <x:c r="B895" s="34" t="n">
        <x:f>Subsurface_Scenario_Data!H159</x:f>
        <x:v>7.9874607557263175</x:v>
      </x:c>
      <x:c r="C895" s="34" t="n">
        <x:f>Subsurface_Scenario_Data!A159</x:f>
        <x:v>18.5</x:v>
      </x:c>
      <x:c r="D895" s="34" t="n">
        <x:f>Subsurface_Scenario_Data!I159</x:f>
        <x:v>-14.26931795126721</x:v>
      </x:c>
      <x:c r="E895" s="34" t="n">
        <x:f>Subsurface_Scenario_Data!A159</x:f>
        <x:v>18.5</x:v>
      </x:c>
      <x:c r="F895" s="34" t="n">
        <x:f>Subsurface_Scenario_Data!J159</x:f>
        <x:v>0</x:v>
      </x:c>
    </x:row>
    <x:row r="896">
      <x:c r="A896" s="34" t="n">
        <x:f>Subsurface_Scenario_Data!A160</x:f>
        <x:v>19</x:v>
      </x:c>
      <x:c r="B896" s="34" t="n">
        <x:f>Subsurface_Scenario_Data!H160</x:f>
        <x:v>8.197329884976163</x:v>
      </x:c>
      <x:c r="C896" s="34" t="n">
        <x:f>Subsurface_Scenario_Data!A160</x:f>
        <x:v>19</x:v>
      </x:c>
      <x:c r="D896" s="34" t="n">
        <x:f>Subsurface_Scenario_Data!I160</x:f>
        <x:v>-14.41048965117819</x:v>
      </x:c>
      <x:c r="E896" s="34" t="n">
        <x:f>Subsurface_Scenario_Data!A160</x:f>
        <x:v>19</x:v>
      </x:c>
      <x:c r="F896" s="34" t="n">
        <x:f>Subsurface_Scenario_Data!J160</x:f>
        <x:v>0</x:v>
      </x:c>
    </x:row>
    <x:row r="897">
      <x:c r="A897" s="34" t="n">
        <x:f>Subsurface_Scenario_Data!A161</x:f>
        <x:v>19.5</x:v>
      </x:c>
      <x:c r="B897" s="34" t="n">
        <x:f>Subsurface_Scenario_Data!H161</x:f>
        <x:v>8.373013417403499</x:v>
      </x:c>
      <x:c r="C897" s="34" t="n">
        <x:f>Subsurface_Scenario_Data!A161</x:f>
        <x:v>19.5</x:v>
      </x:c>
      <x:c r="D897" s="34" t="n">
        <x:f>Subsurface_Scenario_Data!I161</x:f>
        <x:v>-14.554958132087371</x:v>
      </x:c>
      <x:c r="E897" s="34" t="n">
        <x:f>Subsurface_Scenario_Data!A161</x:f>
        <x:v>19.5</x:v>
      </x:c>
      <x:c r="F897" s="34" t="n">
        <x:f>Subsurface_Scenario_Data!J161</x:f>
        <x:v>0</x:v>
      </x:c>
    </x:row>
    <x:row r="898">
      <x:c r="A898" s="34" t="n">
        <x:f>Subsurface_Scenario_Data!A162</x:f>
        <x:v>20</x:v>
      </x:c>
      <x:c r="B898" s="34" t="n">
        <x:f>Subsurface_Scenario_Data!H162</x:f>
        <x:v>8.528719537877315</x:v>
      </x:c>
      <x:c r="C898" s="34" t="n">
        <x:f>Subsurface_Scenario_Data!A162</x:f>
        <x:v>20</x:v>
      </x:c>
      <x:c r="D898" s="34" t="n">
        <x:f>Subsurface_Scenario_Data!I162</x:f>
        <x:v>-14.70191546764765</x:v>
      </x:c>
      <x:c r="E898" s="34" t="n">
        <x:f>Subsurface_Scenario_Data!A162</x:f>
        <x:v>20</x:v>
      </x:c>
      <x:c r="F898" s="34" t="n">
        <x:f>Subsurface_Scenario_Data!J162</x:f>
        <x:v>0</x:v>
      </x:c>
    </x:row>
    <x:row r="899">
      <x:c r="A899" s="34" t="n">
        <x:f>Subsurface_Scenario_Data!A163</x:f>
        <x:v>20.5</x:v>
      </x:c>
      <x:c r="B899" s="34" t="n">
        <x:f>Subsurface_Scenario_Data!H163</x:f>
        <x:v>8.69009213477819</x:v>
      </x:c>
      <x:c r="C899" s="34" t="n">
        <x:f>Subsurface_Scenario_Data!A163</x:f>
        <x:v>20.5</x:v>
      </x:c>
      <x:c r="D899" s="34" t="n">
        <x:f>Subsurface_Scenario_Data!I163</x:f>
        <x:v>-14.85053981282715</x:v>
      </x:c>
      <x:c r="E899" s="34" t="n">
        <x:f>Subsurface_Scenario_Data!A163</x:f>
        <x:v>20.5</x:v>
      </x:c>
      <x:c r="F899" s="34" t="n">
        <x:f>Subsurface_Scenario_Data!J163</x:f>
        <x:v>0</x:v>
      </x:c>
    </x:row>
    <x:row r="900">
      <x:c r="A900" s="34" t="n">
        <x:f>Subsurface_Scenario_Data!A164</x:f>
        <x:v>21</x:v>
      </x:c>
      <x:c r="B900" s="34" t="n">
        <x:f>Subsurface_Scenario_Data!H164</x:f>
        <x:v>8.839215672583983</x:v>
      </x:c>
      <x:c r="C900" s="34" t="n">
        <x:f>Subsurface_Scenario_Data!A164</x:f>
        <x:v>21</x:v>
      </x:c>
      <x:c r="D900" s="34" t="n">
        <x:f>Subsurface_Scenario_Data!I164</x:f>
        <x:v>-15</x:v>
      </x:c>
      <x:c r="E900" s="34" t="n">
        <x:f>Subsurface_Scenario_Data!A164</x:f>
        <x:v>21</x:v>
      </x:c>
      <x:c r="F900" s="34" t="n">
        <x:f>Subsurface_Scenario_Data!J164</x:f>
        <x:v>0</x:v>
      </x:c>
    </x:row>
    <x:row r="901">
      <x:c r="A901" s="34" t="n">
        <x:f>Subsurface_Scenario_Data!A165</x:f>
        <x:v>21.5</x:v>
      </x:c>
      <x:c r="B901" s="34" t="n">
        <x:f>Subsurface_Scenario_Data!H165</x:f>
        <x:v>9.007858255554432</x:v>
      </x:c>
      <x:c r="C901" s="34" t="n">
        <x:f>Subsurface_Scenario_Data!A165</x:f>
        <x:v>21.5</x:v>
      </x:c>
      <x:c r="D901" s="34" t="n">
        <x:f>Subsurface_Scenario_Data!I165</x:f>
        <x:v>-15.149460187172847</x:v>
      </x:c>
      <x:c r="E901" s="34" t="n">
        <x:f>Subsurface_Scenario_Data!A165</x:f>
        <x:v>21.5</x:v>
      </x:c>
      <x:c r="F901" s="34" t="n">
        <x:f>Subsurface_Scenario_Data!J165</x:f>
        <x:v>0</x:v>
      </x:c>
    </x:row>
    <x:row r="902">
      <x:c r="A902" s="34" t="n">
        <x:f>Subsurface_Scenario_Data!A166</x:f>
        <x:v>22</x:v>
      </x:c>
      <x:c r="B902" s="34" t="n">
        <x:f>Subsurface_Scenario_Data!H166</x:f>
        <x:v>9.183034296557892</x:v>
      </x:c>
      <x:c r="C902" s="34" t="n">
        <x:f>Subsurface_Scenario_Data!A166</x:f>
        <x:v>22</x:v>
      </x:c>
      <x:c r="D902" s="34" t="n">
        <x:f>Subsurface_Scenario_Data!I166</x:f>
        <x:v>-15.298084532352348</x:v>
      </x:c>
      <x:c r="E902" s="34" t="n">
        <x:f>Subsurface_Scenario_Data!A166</x:f>
        <x:v>22</x:v>
      </x:c>
      <x:c r="F902" s="34" t="n">
        <x:f>Subsurface_Scenario_Data!J166</x:f>
        <x:v>0</x:v>
      </x:c>
    </x:row>
    <x:row r="903">
      <x:c r="A903" s="34" t="n">
        <x:f>Subsurface_Scenario_Data!A167</x:f>
        <x:v>22.5</x:v>
      </x:c>
      <x:c r="B903" s="34" t="n">
        <x:f>Subsurface_Scenario_Data!H167</x:f>
        <x:v>9.317959401068606</x:v>
      </x:c>
      <x:c r="C903" s="34" t="n">
        <x:f>Subsurface_Scenario_Data!A167</x:f>
        <x:v>22.5</x:v>
      </x:c>
      <x:c r="D903" s="34" t="n">
        <x:f>Subsurface_Scenario_Data!I167</x:f>
        <x:v>-15.445041867912629</x:v>
      </x:c>
      <x:c r="E903" s="34" t="n">
        <x:f>Subsurface_Scenario_Data!A167</x:f>
        <x:v>22.5</x:v>
      </x:c>
      <x:c r="F903" s="34" t="n">
        <x:f>Subsurface_Scenario_Data!J167</x:f>
        <x:v>0</x:v>
      </x:c>
    </x:row>
    <x:row r="904">
      <x:c r="A904" s="34" t="n">
        <x:f>Subsurface_Scenario_Data!A168</x:f>
        <x:v>23</x:v>
      </x:c>
      <x:c r="B904" s="34" t="n">
        <x:f>Subsurface_Scenario_Data!H168</x:f>
        <x:v>9.4595098540631</x:v>
      </x:c>
      <x:c r="C904" s="34" t="n">
        <x:f>Subsurface_Scenario_Data!A168</x:f>
        <x:v>23</x:v>
      </x:c>
      <x:c r="D904" s="34" t="n">
        <x:f>Subsurface_Scenario_Data!I168</x:f>
        <x:v>-15.589510348821808</x:v>
      </x:c>
      <x:c r="E904" s="34" t="n">
        <x:f>Subsurface_Scenario_Data!A168</x:f>
        <x:v>23</x:v>
      </x:c>
      <x:c r="F904" s="34" t="n">
        <x:f>Subsurface_Scenario_Data!J168</x:f>
        <x:v>0</x:v>
      </x:c>
    </x:row>
    <x:row r="905">
      <x:c r="A905" s="34" t="n">
        <x:f>Subsurface_Scenario_Data!A169</x:f>
        <x:v>23.5</x:v>
      </x:c>
      <x:c r="B905" s="34" t="n">
        <x:f>Subsurface_Scenario_Data!H169</x:f>
        <x:v>9.590918785865725</x:v>
      </x:c>
      <x:c r="C905" s="34" t="n">
        <x:f>Subsurface_Scenario_Data!A169</x:f>
        <x:v>23.5</x:v>
      </x:c>
      <x:c r="D905" s="34" t="n">
        <x:f>Subsurface_Scenario_Data!I169</x:f>
        <x:v>-15.73068204873279</x:v>
      </x:c>
      <x:c r="E905" s="34" t="n">
        <x:f>Subsurface_Scenario_Data!A169</x:f>
        <x:v>23.5</x:v>
      </x:c>
      <x:c r="F905" s="34" t="n">
        <x:f>Subsurface_Scenario_Data!J169</x:f>
        <x:v>0</x:v>
      </x:c>
    </x:row>
    <x:row r="906">
      <x:c r="A906" s="34" t="n">
        <x:f>Subsurface_Scenario_Data!A170</x:f>
        <x:v>24</x:v>
      </x:c>
      <x:c r="B906" s="34" t="n">
        <x:f>Subsurface_Scenario_Data!H170</x:f>
        <x:v>9.805738417495135</x:v>
      </x:c>
      <x:c r="C906" s="34" t="n">
        <x:f>Subsurface_Scenario_Data!A170</x:f>
        <x:v>24</x:v>
      </x:c>
      <x:c r="D906" s="34" t="n">
        <x:f>Subsurface_Scenario_Data!I170</x:f>
        <x:v>-15.867767478235116</x:v>
      </x:c>
      <x:c r="E906" s="34" t="n">
        <x:f>Subsurface_Scenario_Data!A170</x:f>
        <x:v>24</x:v>
      </x:c>
      <x:c r="F906" s="34" t="n">
        <x:f>Subsurface_Scenario_Data!J170</x:f>
        <x:v>0</x:v>
      </x:c>
    </x:row>
    <x:row r="907">
      <x:c r="A907" s="34" t="n">
        <x:f>Subsurface_Scenario_Data!A171</x:f>
        <x:v>24.5</x:v>
      </x:c>
      <x:c r="B907" s="34" t="n">
        <x:f>Subsurface_Scenario_Data!H171</x:f>
        <x:v>9.849415253345136</x:v>
      </x:c>
      <x:c r="C907" s="34" t="n">
        <x:f>Subsurface_Scenario_Data!A171</x:f>
        <x:v>24.5</x:v>
      </x:c>
      <x:c r="D907" s="34" t="n">
        <x:f>Subsurface_Scenario_Data!I171</x:f>
        <x:v>-16</x:v>
      </x:c>
      <x:c r="E907" s="34" t="n">
        <x:f>Subsurface_Scenario_Data!A171</x:f>
        <x:v>24.5</x:v>
      </x:c>
      <x:c r="F907" s="34" t="n">
        <x:f>Subsurface_Scenario_Data!J171</x:f>
        <x:v>0</x:v>
      </x:c>
    </x:row>
    <x:row r="908">
      <x:c r="A908" s="34" t="n">
        <x:f>Subsurface_Scenario_Data!A172</x:f>
        <x:v>25</x:v>
      </x:c>
      <x:c r="B908" s="34" t="n">
        <x:f>Subsurface_Scenario_Data!H172</x:f>
        <x:v>10.034902348829824</x:v>
      </x:c>
      <x:c r="C908" s="34" t="n">
        <x:f>Subsurface_Scenario_Data!A172</x:f>
        <x:v>25</x:v>
      </x:c>
      <x:c r="D908" s="34" t="n">
        <x:f>Subsurface_Scenario_Data!I172</x:f>
        <x:v>-16.126640116127245</x:v>
      </x:c>
      <x:c r="E908" s="34" t="n">
        <x:f>Subsurface_Scenario_Data!A172</x:f>
        <x:v>25</x:v>
      </x:c>
      <x:c r="F908" s="34" t="n">
        <x:f>Subsurface_Scenario_Data!J172</x:f>
        <x:v>0</x:v>
      </x:c>
    </x:row>
    <x:row r="909">
      <x:c r="A909" s="34" t="n">
        <x:f>Subsurface_Scenario_Data!A173</x:f>
        <x:v>25.5</x:v>
      </x:c>
      <x:c r="B909" s="34" t="n">
        <x:f>Subsurface_Scenario_Data!H173</x:f>
        <x:v>10.066981506142135</x:v>
      </x:c>
      <x:c r="C909" s="34" t="n">
        <x:f>Subsurface_Scenario_Data!A173</x:f>
        <x:v>25.5</x:v>
      </x:c>
      <x:c r="D909" s="34" t="n">
        <x:f>Subsurface_Scenario_Data!I173</x:f>
        <x:v>-16.246979603717467</x:v>
      </x:c>
      <x:c r="E909" s="34" t="n">
        <x:f>Subsurface_Scenario_Data!A173</x:f>
        <x:v>25.5</x:v>
      </x:c>
      <x:c r="F909" s="34" t="n">
        <x:f>Subsurface_Scenario_Data!J173</x:f>
        <x:v>0</x:v>
      </x:c>
    </x:row>
    <x:row r="910">
      <x:c r="A910" s="34" t="n">
        <x:f>Subsurface_Scenario_Data!A174</x:f>
        <x:v>26</x:v>
      </x:c>
      <x:c r="B910" s="34" t="n">
        <x:f>Subsurface_Scenario_Data!H174</x:f>
        <x:v>10.224287443835998</x:v>
      </x:c>
      <x:c r="C910" s="34" t="n">
        <x:f>Subsurface_Scenario_Data!A174</x:f>
        <x:v>26</x:v>
      </x:c>
      <x:c r="D910" s="34" t="n">
        <x:f>Subsurface_Scenario_Data!I174</x:f>
        <x:v>-16.360345475541838</x:v>
      </x:c>
      <x:c r="E910" s="34" t="n">
        <x:f>Subsurface_Scenario_Data!A174</x:f>
        <x:v>26</x:v>
      </x:c>
      <x:c r="F910" s="34" t="n">
        <x:f>Subsurface_Scenario_Data!J174</x:f>
        <x:v>0</x:v>
      </x:c>
    </x:row>
    <x:row r="911">
      <x:c r="A911" s="34" t="n">
        <x:f>Subsurface_Scenario_Data!A175</x:f>
        <x:v>26.5</x:v>
      </x:c>
      <x:c r="B911" s="34" t="n">
        <x:f>Subsurface_Scenario_Data!H175</x:f>
        <x:v>10.37661708334823</x:v>
      </x:c>
      <x:c r="C911" s="34" t="n">
        <x:f>Subsurface_Scenario_Data!A175</x:f>
        <x:v>26.5</x:v>
      </x:c>
      <x:c r="D911" s="34" t="n">
        <x:f>Subsurface_Scenario_Data!I175</x:f>
        <x:v>-16.46610374365965</x:v>
      </x:c>
      <x:c r="E911" s="34" t="n">
        <x:f>Subsurface_Scenario_Data!A175</x:f>
        <x:v>26.5</x:v>
      </x:c>
      <x:c r="F911" s="34" t="n">
        <x:f>Subsurface_Scenario_Data!J175</x:f>
        <x:v>0</x:v>
      </x:c>
    </x:row>
    <x:row r="912">
      <x:c r="A912" s="34" t="n">
        <x:f>Subsurface_Scenario_Data!A176</x:f>
        <x:v>27</x:v>
      </x:c>
      <x:c r="B912" s="34" t="n">
        <x:f>Subsurface_Scenario_Data!H176</x:f>
        <x:v>10.368430879881146</x:v>
      </x:c>
      <x:c r="C912" s="34" t="n">
        <x:f>Subsurface_Scenario_Data!A176</x:f>
        <x:v>27</x:v>
      </x:c>
      <x:c r="D912" s="34" t="n">
        <x:f>Subsurface_Scenario_Data!I176</x:f>
        <x:v>-16.56366296493606</x:v>
      </x:c>
      <x:c r="E912" s="34" t="n">
        <x:f>Subsurface_Scenario_Data!A176</x:f>
        <x:v>27</x:v>
      </x:c>
      <x:c r="F912" s="34" t="n">
        <x:f>Subsurface_Scenario_Data!J176</x:f>
        <x:v>0</x:v>
      </x:c>
    </x:row>
    <x:row r="913">
      <x:c r="A913" s="34" t="n">
        <x:f>Subsurface_Scenario_Data!A177</x:f>
        <x:v>27.5</x:v>
      </x:c>
      <x:c r="B913" s="34" t="n">
        <x:f>Subsurface_Scenario_Data!H177</x:f>
        <x:v>10.49507755232549</x:v>
      </x:c>
      <x:c r="C913" s="34" t="n">
        <x:f>Subsurface_Scenario_Data!A177</x:f>
        <x:v>27.5</x:v>
      </x:c>
      <x:c r="D913" s="34" t="n">
        <x:f>Subsurface_Scenario_Data!I177</x:f>
        <x:v>-16.65247754863199</x:v>
      </x:c>
      <x:c r="E913" s="34" t="n">
        <x:f>Subsurface_Scenario_Data!A177</x:f>
        <x:v>27.5</x:v>
      </x:c>
      <x:c r="F913" s="34" t="n">
        <x:f>Subsurface_Scenario_Data!J177</x:f>
        <x:v>0</x:v>
      </x:c>
    </x:row>
    <x:row r="914">
      <x:c r="A914" s="34" t="n">
        <x:f>Subsurface_Scenario_Data!A178</x:f>
        <x:v>28</x:v>
      </x:c>
      <x:c r="B914" s="34" t="n">
        <x:f>Subsurface_Scenario_Data!H178</x:f>
        <x:v>10.545888705162866</x:v>
      </x:c>
      <x:c r="C914" s="34" t="n">
        <x:f>Subsurface_Scenario_Data!A178</x:f>
        <x:v>28</x:v>
      </x:c>
      <x:c r="D914" s="34" t="n">
        <x:f>Subsurface_Scenario_Data!I178</x:f>
        <x:v>-16.73205080756888</x:v>
      </x:c>
      <x:c r="E914" s="34" t="n">
        <x:f>Subsurface_Scenario_Data!A178</x:f>
        <x:v>28</x:v>
      </x:c>
      <x:c r="F914" s="34" t="n">
        <x:f>Subsurface_Scenario_Data!J178</x:f>
        <x:v>0</x:v>
      </x:c>
    </x:row>
    <x:row r="915">
      <x:c r="A915" s="34" t="n">
        <x:f>Subsurface_Scenario_Data!A179</x:f>
        <x:v>28.5</x:v>
      </x:c>
      <x:c r="B915" s="34" t="n">
        <x:f>Subsurface_Scenario_Data!H179</x:f>
        <x:v>10.707258668914037</x:v>
      </x:c>
      <x:c r="C915" s="34" t="n">
        <x:f>Subsurface_Scenario_Data!A179</x:f>
        <x:v>28.5</x:v>
      </x:c>
      <x:c r="D915" s="34" t="n">
        <x:f>Subsurface_Scenario_Data!I179</x:f>
        <x:v>-16.801937735804838</x:v>
      </x:c>
      <x:c r="E915" s="34" t="n">
        <x:f>Subsurface_Scenario_Data!A179</x:f>
        <x:v>28.5</x:v>
      </x:c>
      <x:c r="F915" s="34" t="n">
        <x:f>Subsurface_Scenario_Data!J179</x:f>
        <x:v>0</x:v>
      </x:c>
    </x:row>
    <x:row r="916">
      <x:c r="A916" s="34" t="n">
        <x:f>Subsurface_Scenario_Data!A180</x:f>
        <x:v>29</x:v>
      </x:c>
      <x:c r="B916" s="34" t="n">
        <x:f>Subsurface_Scenario_Data!H180</x:f>
        <x:v>10.748425265349454</x:v>
      </x:c>
      <x:c r="C916" s="34" t="n">
        <x:f>Subsurface_Scenario_Data!A180</x:f>
        <x:v>29</x:v>
      </x:c>
      <x:c r="D916" s="34" t="n">
        <x:f>Subsurface_Scenario_Data!I180</x:f>
        <x:v>-16.86174749728841</x:v>
      </x:c>
      <x:c r="E916" s="34" t="n">
        <x:f>Subsurface_Scenario_Data!A180</x:f>
        <x:v>29</x:v>
      </x:c>
      <x:c r="F916" s="34" t="n">
        <x:f>Subsurface_Scenario_Data!J180</x:f>
        <x:v>0</x:v>
      </x:c>
    </x:row>
    <x:row r="917">
      <x:c r="A917" s="34" t="n">
        <x:f>Subsurface_Scenario_Data!A181</x:f>
        <x:v>29.5</x:v>
      </x:c>
      <x:c r="B917" s="34" t="n">
        <x:f>Subsurface_Scenario_Data!H181</x:f>
        <x:v>10.817307642281186</x:v>
      </x:c>
      <x:c r="C917" s="34" t="n">
        <x:f>Subsurface_Scenario_Data!A181</x:f>
        <x:v>29.5</x:v>
      </x:c>
      <x:c r="D917" s="34" t="n">
        <x:f>Subsurface_Scenario_Data!I181</x:f>
        <x:v>-16.91114561157228</x:v>
      </x:c>
      <x:c r="E917" s="34" t="n">
        <x:f>Subsurface_Scenario_Data!A181</x:f>
        <x:v>29.5</x:v>
      </x:c>
      <x:c r="F917" s="34" t="n">
        <x:f>Subsurface_Scenario_Data!J181</x:f>
        <x:v>0</x:v>
      </x:c>
    </x:row>
    <x:row r="918">
      <x:c r="A918" s="34" t="n">
        <x:f>Subsurface_Scenario_Data!A182</x:f>
        <x:v>30</x:v>
      </x:c>
      <x:c r="B918" s="34" t="n">
        <x:f>Subsurface_Scenario_Data!H182</x:f>
        <x:v>10.9583363927686</x:v>
      </x:c>
      <x:c r="C918" s="34" t="n">
        <x:f>Subsurface_Scenario_Data!A182</x:f>
        <x:v>30</x:v>
      </x:c>
      <x:c r="D918" s="34" t="n">
        <x:f>Subsurface_Scenario_Data!I182</x:f>
        <x:v>-16.94985582436365</x:v>
      </x:c>
      <x:c r="E918" s="34" t="n">
        <x:f>Subsurface_Scenario_Data!A182</x:f>
        <x:v>30</x:v>
      </x:c>
      <x:c r="F918" s="34" t="n">
        <x:f>Subsurface_Scenario_Data!J182</x:f>
        <x:v>0</x:v>
      </x:c>
    </x:row>
    <x:row r="919">
      <x:c r="A919" s="34" t="n">
        <x:f>Subsurface_Scenario_Data!A183</x:f>
        <x:v>30.5</x:v>
      </x:c>
      <x:c r="B919" s="34" t="n">
        <x:f>Subsurface_Scenario_Data!H183</x:f>
        <x:v>11.033810092530551</x:v>
      </x:c>
      <x:c r="C919" s="34" t="n">
        <x:f>Subsurface_Scenario_Data!A183</x:f>
        <x:v>30.5</x:v>
      </x:c>
      <x:c r="D919" s="34" t="n">
        <x:f>Subsurface_Scenario_Data!I183</x:f>
        <x:v>-16.97766165245026</x:v>
      </x:c>
      <x:c r="E919" s="34" t="n">
        <x:f>Subsurface_Scenario_Data!A183</x:f>
        <x:v>30.5</x:v>
      </x:c>
      <x:c r="F919" s="34" t="n">
        <x:f>Subsurface_Scenario_Data!J183</x:f>
        <x:v>0</x:v>
      </x:c>
    </x:row>
    <x:row r="920">
      <x:c r="A920" s="34" t="n">
        <x:f>Subsurface_Scenario_Data!A184</x:f>
        <x:v>31</x:v>
      </x:c>
      <x:c r="B920" s="34" t="n">
        <x:f>Subsurface_Scenario_Data!H184</x:f>
        <x:v>11.193817246816572</x:v>
      </x:c>
      <x:c r="C920" s="34" t="n">
        <x:f>Subsurface_Scenario_Data!A184</x:f>
        <x:v>31</x:v>
      </x:c>
      <x:c r="D920" s="34" t="n">
        <x:f>Subsurface_Scenario_Data!I184</x:f>
        <x:v>-16.99440759436236</x:v>
      </x:c>
      <x:c r="E920" s="34" t="n">
        <x:f>Subsurface_Scenario_Data!A184</x:f>
        <x:v>31</x:v>
      </x:c>
      <x:c r="F920" s="34" t="n">
        <x:f>Subsurface_Scenario_Data!J184</x:f>
        <x:v>0</x:v>
      </x:c>
    </x:row>
    <x:row r="921">
      <x:c r="A921" s="34" t="n">
        <x:f>Subsurface_Scenario_Data!A185</x:f>
        <x:v>31.5</x:v>
      </x:c>
      <x:c r="B921" s="34" t="n">
        <x:f>Subsurface_Scenario_Data!H185</x:f>
        <x:v>11.242744641552832</x:v>
      </x:c>
      <x:c r="C921" s="34" t="n">
        <x:f>Subsurface_Scenario_Data!A185</x:f>
        <x:v>31.5</x:v>
      </x:c>
      <x:c r="D921" s="34" t="n">
        <x:f>Subsurface_Scenario_Data!I185</x:f>
        <x:v>-17</x:v>
      </x:c>
      <x:c r="E921" s="34" t="n">
        <x:f>Subsurface_Scenario_Data!A185</x:f>
        <x:v>31.5</x:v>
      </x:c>
      <x:c r="F921" s="34" t="n">
        <x:f>Subsurface_Scenario_Data!J185</x:f>
        <x:v>0</x:v>
      </x:c>
    </x:row>
    <x:row r="922">
      <x:c r="A922" s="34" t="n">
        <x:f>Subsurface_Scenario_Data!A186</x:f>
        <x:v>32</x:v>
      </x:c>
      <x:c r="B922" s="34" t="n">
        <x:f>Subsurface_Scenario_Data!H186</x:f>
        <x:v>11.428225375338407</x:v>
      </x:c>
      <x:c r="C922" s="34" t="n">
        <x:f>Subsurface_Scenario_Data!A186</x:f>
        <x:v>32</x:v>
      </x:c>
      <x:c r="D922" s="34" t="n">
        <x:f>Subsurface_Scenario_Data!I186</x:f>
        <x:v>-16.99440759436236</x:v>
      </x:c>
      <x:c r="E922" s="34" t="n">
        <x:f>Subsurface_Scenario_Data!A186</x:f>
        <x:v>32</x:v>
      </x:c>
      <x:c r="F922" s="34" t="n">
        <x:f>Subsurface_Scenario_Data!J186</x:f>
        <x:v>0</x:v>
      </x:c>
    </x:row>
    <x:row r="923">
      <x:c r="A923" s="34" t="n">
        <x:f>Subsurface_Scenario_Data!A187</x:f>
        <x:v>32.5</x:v>
      </x:c>
      <x:c r="B923" s="34" t="n">
        <x:f>Subsurface_Scenario_Data!H187</x:f>
        <x:v>11.60935368443424</x:v>
      </x:c>
      <x:c r="C923" s="34" t="n">
        <x:f>Subsurface_Scenario_Data!A187</x:f>
        <x:v>32.5</x:v>
      </x:c>
      <x:c r="D923" s="34" t="n">
        <x:f>Subsurface_Scenario_Data!I187</x:f>
        <x:v>-16.97766165245026</x:v>
      </x:c>
      <x:c r="E923" s="34" t="n">
        <x:f>Subsurface_Scenario_Data!A187</x:f>
        <x:v>32.5</x:v>
      </x:c>
      <x:c r="F923" s="34" t="n">
        <x:f>Subsurface_Scenario_Data!J187</x:f>
        <x:v>0</x:v>
      </x:c>
    </x:row>
    <x:row r="924">
      <x:c r="A924" s="34" t="n">
        <x:f>Subsurface_Scenario_Data!A188</x:f>
        <x:v>33</x:v>
      </x:c>
      <x:c r="B924" s="34" t="n">
        <x:f>Subsurface_Scenario_Data!H188</x:f>
        <x:v>11.751854321649247</x:v>
      </x:c>
      <x:c r="C924" s="34" t="n">
        <x:f>Subsurface_Scenario_Data!A188</x:f>
        <x:v>33</x:v>
      </x:c>
      <x:c r="D924" s="34" t="n">
        <x:f>Subsurface_Scenario_Data!I188</x:f>
        <x:v>-16.94985582436365</x:v>
      </x:c>
      <x:c r="E924" s="34" t="n">
        <x:f>Subsurface_Scenario_Data!A188</x:f>
        <x:v>33</x:v>
      </x:c>
      <x:c r="F924" s="34" t="n">
        <x:f>Subsurface_Scenario_Data!J188</x:f>
        <x:v>0</x:v>
      </x:c>
    </x:row>
    <x:row r="925">
      <x:c r="A925" s="34" t="n">
        <x:f>Subsurface_Scenario_Data!A189</x:f>
        <x:v>33.5</x:v>
      </x:c>
      <x:c r="B925" s="34" t="n">
        <x:f>Subsurface_Scenario_Data!H189</x:f>
        <x:v>11.901072509591963</x:v>
      </x:c>
      <x:c r="C925" s="34" t="n">
        <x:f>Subsurface_Scenario_Data!A189</x:f>
        <x:v>33.5</x:v>
      </x:c>
      <x:c r="D925" s="34" t="n">
        <x:f>Subsurface_Scenario_Data!I189</x:f>
        <x:v>-16.91114561157228</x:v>
      </x:c>
      <x:c r="E925" s="34" t="n">
        <x:f>Subsurface_Scenario_Data!A189</x:f>
        <x:v>33.5</x:v>
      </x:c>
      <x:c r="F925" s="34" t="n">
        <x:f>Subsurface_Scenario_Data!J189</x:f>
        <x:v>0</x:v>
      </x:c>
    </x:row>
    <x:row r="926">
      <x:c r="A926" s="34" t="n">
        <x:f>Subsurface_Scenario_Data!A190</x:f>
        <x:v>34</x:v>
      </x:c>
      <x:c r="B926" s="34" t="n">
        <x:f>Subsurface_Scenario_Data!H190</x:f>
        <x:v>11.93839405738953</x:v>
      </x:c>
      <x:c r="C926" s="34" t="n">
        <x:f>Subsurface_Scenario_Data!A190</x:f>
        <x:v>34</x:v>
      </x:c>
      <x:c r="D926" s="34" t="n">
        <x:f>Subsurface_Scenario_Data!I190</x:f>
        <x:v>-16.86174749728841</x:v>
      </x:c>
      <x:c r="E926" s="34" t="n">
        <x:f>Subsurface_Scenario_Data!A190</x:f>
        <x:v>34</x:v>
      </x:c>
      <x:c r="F926" s="34" t="n">
        <x:f>Subsurface_Scenario_Data!J190</x:f>
        <x:v>0</x:v>
      </x:c>
    </x:row>
    <x:row r="927">
      <x:c r="A927" s="34" t="n">
        <x:f>Subsurface_Scenario_Data!A191</x:f>
        <x:v>34.5</x:v>
      </x:c>
      <x:c r="B927" s="34" t="n">
        <x:f>Subsurface_Scenario_Data!H191</x:f>
        <x:v>11.860649470344754</x:v>
      </x:c>
      <x:c r="C927" s="34" t="n">
        <x:f>Subsurface_Scenario_Data!A191</x:f>
        <x:v>34.5</x:v>
      </x:c>
      <x:c r="D927" s="34" t="n">
        <x:f>Subsurface_Scenario_Data!I191</x:f>
        <x:v>-16.801937735804838</x:v>
      </x:c>
      <x:c r="E927" s="34" t="n">
        <x:f>Subsurface_Scenario_Data!A191</x:f>
        <x:v>34.5</x:v>
      </x:c>
      <x:c r="F927" s="34" t="n">
        <x:f>Subsurface_Scenario_Data!J191</x:f>
        <x:v>0</x:v>
      </x:c>
    </x:row>
    <x:row r="928">
      <x:c r="A928" s="34" t="n">
        <x:f>Subsurface_Scenario_Data!A192</x:f>
        <x:v>35</x:v>
      </x:c>
      <x:c r="B928" s="34" t="n">
        <x:f>Subsurface_Scenario_Data!H192</x:f>
        <x:v>11.837722705166932</x:v>
      </x:c>
      <x:c r="C928" s="34" t="n">
        <x:f>Subsurface_Scenario_Data!A192</x:f>
        <x:v>35</x:v>
      </x:c>
      <x:c r="D928" s="34" t="n">
        <x:f>Subsurface_Scenario_Data!I192</x:f>
        <x:v>-16.73205080756888</x:v>
      </x:c>
      <x:c r="E928" s="34" t="n">
        <x:f>Subsurface_Scenario_Data!A192</x:f>
        <x:v>35</x:v>
      </x:c>
      <x:c r="F928" s="34" t="n">
        <x:f>Subsurface_Scenario_Data!J192</x:f>
        <x:v>0</x:v>
      </x:c>
    </x:row>
    <x:row r="929">
      <x:c r="A929" s="34" t="n">
        <x:f>Subsurface_Scenario_Data!A193</x:f>
        <x:v>35.5</x:v>
      </x:c>
      <x:c r="B929" s="34" t="n">
        <x:f>Subsurface_Scenario_Data!H193</x:f>
        <x:v>11.784094635001594</x:v>
      </x:c>
      <x:c r="C929" s="34" t="n">
        <x:f>Subsurface_Scenario_Data!A193</x:f>
        <x:v>35.5</x:v>
      </x:c>
      <x:c r="D929" s="34" t="n">
        <x:f>Subsurface_Scenario_Data!I193</x:f>
        <x:v>-16.65247754863199</x:v>
      </x:c>
      <x:c r="E929" s="34" t="n">
        <x:f>Subsurface_Scenario_Data!A193</x:f>
        <x:v>35.5</x:v>
      </x:c>
      <x:c r="F929" s="34" t="n">
        <x:f>Subsurface_Scenario_Data!J193</x:f>
        <x:v>0</x:v>
      </x:c>
    </x:row>
    <x:row r="930">
      <x:c r="A930" s="34" t="n">
        <x:f>Subsurface_Scenario_Data!A194</x:f>
        <x:v>36</x:v>
      </x:c>
      <x:c r="B930" s="34" t="n">
        <x:f>Subsurface_Scenario_Data!H194</x:f>
        <x:v>11.694996917271908</x:v>
      </x:c>
      <x:c r="C930" s="34" t="n">
        <x:f>Subsurface_Scenario_Data!A194</x:f>
        <x:v>36</x:v>
      </x:c>
      <x:c r="D930" s="34" t="n">
        <x:f>Subsurface_Scenario_Data!I194</x:f>
        <x:v>-16.56366296493606</x:v>
      </x:c>
      <x:c r="E930" s="34" t="n">
        <x:f>Subsurface_Scenario_Data!A194</x:f>
        <x:v>36</x:v>
      </x:c>
      <x:c r="F930" s="34" t="n">
        <x:f>Subsurface_Scenario_Data!J194</x:f>
        <x:v>0</x:v>
      </x:c>
    </x:row>
    <x:row r="931">
      <x:c r="A931" s="34" t="n">
        <x:f>Subsurface_Scenario_Data!A195</x:f>
        <x:v>36.5</x:v>
      </x:c>
      <x:c r="B931" s="34" t="n">
        <x:f>Subsurface_Scenario_Data!H195</x:f>
        <x:v>11.550345784684538</x:v>
      </x:c>
      <x:c r="C931" s="34" t="n">
        <x:f>Subsurface_Scenario_Data!A195</x:f>
        <x:v>36.5</x:v>
      </x:c>
      <x:c r="D931" s="34" t="n">
        <x:f>Subsurface_Scenario_Data!I195</x:f>
        <x:v>-16.466103743659655</x:v>
      </x:c>
      <x:c r="E931" s="34" t="n">
        <x:f>Subsurface_Scenario_Data!A195</x:f>
        <x:v>36.5</x:v>
      </x:c>
      <x:c r="F931" s="34" t="n">
        <x:f>Subsurface_Scenario_Data!J195</x:f>
        <x:v>0</x:v>
      </x:c>
    </x:row>
    <x:row r="932">
      <x:c r="A932" s="34" t="n">
        <x:f>Subsurface_Scenario_Data!A196</x:f>
        <x:v>37</x:v>
      </x:c>
      <x:c r="B932" s="34" t="n">
        <x:f>Subsurface_Scenario_Data!H196</x:f>
        <x:v>11.491331845105222</x:v>
      </x:c>
      <x:c r="C932" s="34" t="n">
        <x:f>Subsurface_Scenario_Data!A196</x:f>
        <x:v>37</x:v>
      </x:c>
      <x:c r="D932" s="34" t="n">
        <x:f>Subsurface_Scenario_Data!I196</x:f>
        <x:v>-16.360345475541838</x:v>
      </x:c>
      <x:c r="E932" s="34" t="n">
        <x:f>Subsurface_Scenario_Data!A196</x:f>
        <x:v>37</x:v>
      </x:c>
      <x:c r="F932" s="34" t="n">
        <x:f>Subsurface_Scenario_Data!J196</x:f>
        <x:v>0</x:v>
      </x:c>
    </x:row>
    <x:row r="933">
      <x:c r="A933" s="34" t="n">
        <x:f>Subsurface_Scenario_Data!A197</x:f>
        <x:v>37.5</x:v>
      </x:c>
      <x:c r="B933" s="34" t="n">
        <x:f>Subsurface_Scenario_Data!H197</x:f>
        <x:v>11.431983824879552</x:v>
      </x:c>
      <x:c r="C933" s="34" t="n">
        <x:f>Subsurface_Scenario_Data!A197</x:f>
        <x:v>37.5</x:v>
      </x:c>
      <x:c r="D933" s="34" t="n">
        <x:f>Subsurface_Scenario_Data!I197</x:f>
        <x:v>-16.246979603717467</x:v>
      </x:c>
      <x:c r="E933" s="34" t="n">
        <x:f>Subsurface_Scenario_Data!A197</x:f>
        <x:v>37.5</x:v>
      </x:c>
      <x:c r="F933" s="34" t="n">
        <x:f>Subsurface_Scenario_Data!J197</x:f>
        <x:v>0</x:v>
      </x:c>
    </x:row>
    <x:row r="934">
      <x:c r="A934" s="34" t="n">
        <x:f>Subsurface_Scenario_Data!A198</x:f>
        <x:v>38</x:v>
      </x:c>
      <x:c r="B934" s="34" t="n">
        <x:f>Subsurface_Scenario_Data!H198</x:f>
        <x:v>11.381749805357828</x:v>
      </x:c>
      <x:c r="C934" s="34" t="n">
        <x:f>Subsurface_Scenario_Data!A198</x:f>
        <x:v>38</x:v>
      </x:c>
      <x:c r="D934" s="34" t="n">
        <x:f>Subsurface_Scenario_Data!I198</x:f>
        <x:v>-16.126640116127245</x:v>
      </x:c>
      <x:c r="E934" s="34" t="n">
        <x:f>Subsurface_Scenario_Data!A198</x:f>
        <x:v>38</x:v>
      </x:c>
      <x:c r="F934" s="34" t="n">
        <x:f>Subsurface_Scenario_Data!J198</x:f>
        <x:v>0</x:v>
      </x:c>
    </x:row>
    <x:row r="935">
      <x:c r="A935" s="34" t="n">
        <x:f>Subsurface_Scenario_Data!A199</x:f>
        <x:v>38.5</x:v>
      </x:c>
      <x:c r="B935" s="34" t="n">
        <x:f>Subsurface_Scenario_Data!H199</x:f>
        <x:v>11.216378554783745</x:v>
      </x:c>
      <x:c r="C935" s="34" t="n">
        <x:f>Subsurface_Scenario_Data!A199</x:f>
        <x:v>38.5</x:v>
      </x:c>
      <x:c r="D935" s="34" t="n">
        <x:f>Subsurface_Scenario_Data!I199</x:f>
        <x:v>-16</x:v>
      </x:c>
      <x:c r="E935" s="34" t="n">
        <x:f>Subsurface_Scenario_Data!A199</x:f>
        <x:v>38.5</x:v>
      </x:c>
      <x:c r="F935" s="34" t="n">
        <x:f>Subsurface_Scenario_Data!J199</x:f>
        <x:v>0</x:v>
      </x:c>
    </x:row>
    <x:row r="936">
      <x:c r="A936" s="34" t="n">
        <x:f>Subsurface_Scenario_Data!A200</x:f>
        <x:v>39</x:v>
      </x:c>
      <x:c r="B936" s="34" t="n">
        <x:f>Subsurface_Scenario_Data!H200</x:f>
        <x:v>11.212778363095168</x:v>
      </x:c>
      <x:c r="C936" s="34" t="n">
        <x:f>Subsurface_Scenario_Data!A200</x:f>
        <x:v>39</x:v>
      </x:c>
      <x:c r="D936" s="34" t="n">
        <x:f>Subsurface_Scenario_Data!I200</x:f>
        <x:v>-15.867767478235116</x:v>
      </x:c>
      <x:c r="E936" s="34" t="n">
        <x:f>Subsurface_Scenario_Data!A200</x:f>
        <x:v>39</x:v>
      </x:c>
      <x:c r="F936" s="34" t="n">
        <x:f>Subsurface_Scenario_Data!J200</x:f>
        <x:v>0</x:v>
      </x:c>
    </x:row>
    <x:row r="937">
      <x:c r="A937" s="34" t="n">
        <x:f>Subsurface_Scenario_Data!A201</x:f>
        <x:v>39.5</x:v>
      </x:c>
      <x:c r="B937" s="34" t="n">
        <x:f>Subsurface_Scenario_Data!H201</x:f>
        <x:v>11.191877129614454</x:v>
      </x:c>
      <x:c r="C937" s="34" t="n">
        <x:f>Subsurface_Scenario_Data!A201</x:f>
        <x:v>39.5</x:v>
      </x:c>
      <x:c r="D937" s="34" t="n">
        <x:f>Subsurface_Scenario_Data!I201</x:f>
        <x:v>-15.73068204873279</x:v>
      </x:c>
      <x:c r="E937" s="34" t="n">
        <x:f>Subsurface_Scenario_Data!A201</x:f>
        <x:v>39.5</x:v>
      </x:c>
      <x:c r="F937" s="34" t="n">
        <x:f>Subsurface_Scenario_Data!J201</x:f>
        <x:v>0</x:v>
      </x:c>
    </x:row>
    <x:row r="938">
      <x:c r="A938" s="34" t="n">
        <x:f>Subsurface_Scenario_Data!A202</x:f>
        <x:v>40</x:v>
      </x:c>
      <x:c r="B938" s="34" t="n">
        <x:f>Subsurface_Scenario_Data!H202</x:f>
        <x:v>11.130509105531864</x:v>
      </x:c>
      <x:c r="C938" s="34" t="n">
        <x:f>Subsurface_Scenario_Data!A202</x:f>
        <x:v>40</x:v>
      </x:c>
      <x:c r="D938" s="34" t="n">
        <x:f>Subsurface_Scenario_Data!I202</x:f>
        <x:v>-15.58951034882181</x:v>
      </x:c>
      <x:c r="E938" s="34" t="n">
        <x:f>Subsurface_Scenario_Data!A202</x:f>
        <x:v>40</x:v>
      </x:c>
      <x:c r="F938" s="34" t="n">
        <x:f>Subsurface_Scenario_Data!J202</x:f>
        <x:v>0</x:v>
      </x:c>
    </x:row>
    <x:row r="939">
      <x:c r="A939" s="34" t="n">
        <x:f>Subsurface_Scenario_Data!A203</x:f>
        <x:v>40.5</x:v>
      </x:c>
      <x:c r="B939" s="34" t="n">
        <x:f>Subsurface_Scenario_Data!H203</x:f>
        <x:v>11.11407848530849</x:v>
      </x:c>
      <x:c r="C939" s="34" t="n">
        <x:f>Subsurface_Scenario_Data!A203</x:f>
        <x:v>40.5</x:v>
      </x:c>
      <x:c r="D939" s="34" t="n">
        <x:f>Subsurface_Scenario_Data!I203</x:f>
        <x:v>-15.445041867912629</x:v>
      </x:c>
      <x:c r="E939" s="34" t="n">
        <x:f>Subsurface_Scenario_Data!A203</x:f>
        <x:v>40.5</x:v>
      </x:c>
      <x:c r="F939" s="34" t="n">
        <x:f>Subsurface_Scenario_Data!J203</x:f>
        <x:v>0</x:v>
      </x:c>
    </x:row>
    <x:row r="940">
      <x:c r="A940" s="34" t="n">
        <x:f>Subsurface_Scenario_Data!A204</x:f>
        <x:v>41</x:v>
      </x:c>
      <x:c r="B940" s="34" t="n">
        <x:f>Subsurface_Scenario_Data!H204</x:f>
        <x:v>11.185679960260906</x:v>
      </x:c>
      <x:c r="C940" s="34" t="n">
        <x:f>Subsurface_Scenario_Data!A204</x:f>
        <x:v>41</x:v>
      </x:c>
      <x:c r="D940" s="34" t="n">
        <x:f>Subsurface_Scenario_Data!I204</x:f>
        <x:v>-15.29808453235235</x:v>
      </x:c>
      <x:c r="E940" s="34" t="n">
        <x:f>Subsurface_Scenario_Data!A204</x:f>
        <x:v>41</x:v>
      </x:c>
      <x:c r="F940" s="34" t="n">
        <x:f>Subsurface_Scenario_Data!J204</x:f>
        <x:v>0</x:v>
      </x:c>
    </x:row>
    <x:row r="941">
      <x:c r="A941" s="34" t="n">
        <x:f>Subsurface_Scenario_Data!A205</x:f>
        <x:v>41.5</x:v>
      </x:c>
      <x:c r="B941" s="34" t="n">
        <x:f>Subsurface_Scenario_Data!H205</x:f>
        <x:v>11.18671648369235</x:v>
      </x:c>
      <x:c r="C941" s="34" t="n">
        <x:f>Subsurface_Scenario_Data!A205</x:f>
        <x:v>41.5</x:v>
      </x:c>
      <x:c r="D941" s="34" t="n">
        <x:f>Subsurface_Scenario_Data!I205</x:f>
        <x:v>-15.149460187172847</x:v>
      </x:c>
      <x:c r="E941" s="34" t="n">
        <x:f>Subsurface_Scenario_Data!A205</x:f>
        <x:v>41.5</x:v>
      </x:c>
      <x:c r="F941" s="34" t="n">
        <x:f>Subsurface_Scenario_Data!J205</x:f>
        <x:v>0</x:v>
      </x:c>
    </x:row>
    <x:row r="942">
      <x:c r="A942" s="34" t="n">
        <x:f>Subsurface_Scenario_Data!A206</x:f>
        <x:v>42</x:v>
      </x:c>
      <x:c r="B942" s="34" t="n">
        <x:f>Subsurface_Scenario_Data!H206</x:f>
        <x:v>11.14969854878342</x:v>
      </x:c>
      <x:c r="C942" s="34" t="n">
        <x:f>Subsurface_Scenario_Data!A206</x:f>
        <x:v>42</x:v>
      </x:c>
      <x:c r="D942" s="34" t="n">
        <x:f>Subsurface_Scenario_Data!I206</x:f>
        <x:v>-15</x:v>
      </x:c>
      <x:c r="E942" s="34" t="n">
        <x:f>Subsurface_Scenario_Data!A206</x:f>
        <x:v>42</x:v>
      </x:c>
      <x:c r="F942" s="34" t="n">
        <x:f>Subsurface_Scenario_Data!J206</x:f>
        <x:v>0</x:v>
      </x:c>
    </x:row>
    <x:row r="943">
      <x:c r="A943" s="34" t="n">
        <x:f>Subsurface_Scenario_Data!A207</x:f>
        <x:v>42.5</x:v>
      </x:c>
      <x:c r="B943" s="34" t="n">
        <x:f>Subsurface_Scenario_Data!H207</x:f>
        <x:v>11.171603960827213</x:v>
      </x:c>
      <x:c r="C943" s="34" t="n">
        <x:f>Subsurface_Scenario_Data!A207</x:f>
        <x:v>42.5</x:v>
      </x:c>
      <x:c r="D943" s="34" t="n">
        <x:f>Subsurface_Scenario_Data!I207</x:f>
        <x:v>-14.85053981282715</x:v>
      </x:c>
      <x:c r="E943" s="34" t="n">
        <x:f>Subsurface_Scenario_Data!A207</x:f>
        <x:v>42.5</x:v>
      </x:c>
      <x:c r="F943" s="34" t="n">
        <x:f>Subsurface_Scenario_Data!J207</x:f>
        <x:v>0</x:v>
      </x:c>
    </x:row>
    <x:row r="944">
      <x:c r="A944" s="34" t="n">
        <x:f>Subsurface_Scenario_Data!A208</x:f>
        <x:v>43</x:v>
      </x:c>
      <x:c r="B944" s="34" t="n">
        <x:f>Subsurface_Scenario_Data!H208</x:f>
        <x:v>11.200315953272892</x:v>
      </x:c>
      <x:c r="C944" s="34" t="n">
        <x:f>Subsurface_Scenario_Data!A208</x:f>
        <x:v>43</x:v>
      </x:c>
      <x:c r="D944" s="34" t="n">
        <x:f>Subsurface_Scenario_Data!I208</x:f>
        <x:v>-14.701915467647652</x:v>
      </x:c>
      <x:c r="E944" s="34" t="n">
        <x:f>Subsurface_Scenario_Data!A208</x:f>
        <x:v>43</x:v>
      </x:c>
      <x:c r="F944" s="34" t="n">
        <x:f>Subsurface_Scenario_Data!J208</x:f>
        <x:v>0</x:v>
      </x:c>
    </x:row>
    <x:row r="945">
      <x:c r="A945" s="34" t="n">
        <x:f>Subsurface_Scenario_Data!A209</x:f>
        <x:v>43.5</x:v>
      </x:c>
      <x:c r="B945" s="34" t="n">
        <x:f>Subsurface_Scenario_Data!H209</x:f>
        <x:v>11.271272202033003</x:v>
      </x:c>
      <x:c r="C945" s="34" t="n">
        <x:f>Subsurface_Scenario_Data!A209</x:f>
        <x:v>43.5</x:v>
      </x:c>
      <x:c r="D945" s="34" t="n">
        <x:f>Subsurface_Scenario_Data!I209</x:f>
        <x:v>-14.554958132087371</x:v>
      </x:c>
      <x:c r="E945" s="34" t="n">
        <x:f>Subsurface_Scenario_Data!A209</x:f>
        <x:v>43.5</x:v>
      </x:c>
      <x:c r="F945" s="34" t="n">
        <x:f>Subsurface_Scenario_Data!J209</x:f>
        <x:v>0</x:v>
      </x:c>
    </x:row>
    <x:row r="946">
      <x:c r="A946" s="34" t="n">
        <x:f>Subsurface_Scenario_Data!A210</x:f>
        <x:v>44</x:v>
      </x:c>
      <x:c r="B946" s="34" t="n">
        <x:f>Subsurface_Scenario_Data!H210</x:f>
        <x:v>11.320754618324706</x:v>
      </x:c>
      <x:c r="C946" s="34" t="n">
        <x:f>Subsurface_Scenario_Data!A210</x:f>
        <x:v>44</x:v>
      </x:c>
      <x:c r="D946" s="34" t="n">
        <x:f>Subsurface_Scenario_Data!I210</x:f>
        <x:v>-14.410489651178192</x:v>
      </x:c>
      <x:c r="E946" s="34" t="n">
        <x:f>Subsurface_Scenario_Data!A210</x:f>
        <x:v>44</x:v>
      </x:c>
      <x:c r="F946" s="34" t="n">
        <x:f>Subsurface_Scenario_Data!J210</x:f>
        <x:v>0</x:v>
      </x:c>
    </x:row>
    <x:row r="947">
      <x:c r="A947" s="34" t="n">
        <x:f>Subsurface_Scenario_Data!A211</x:f>
        <x:v>44.5</x:v>
      </x:c>
      <x:c r="B947" s="34" t="n">
        <x:f>Subsurface_Scenario_Data!H211</x:f>
        <x:v>11.429535420606243</x:v>
      </x:c>
      <x:c r="C947" s="34" t="n">
        <x:f>Subsurface_Scenario_Data!A211</x:f>
        <x:v>44.5</x:v>
      </x:c>
      <x:c r="D947" s="34" t="n">
        <x:f>Subsurface_Scenario_Data!I211</x:f>
        <x:v>-14.26931795126721</x:v>
      </x:c>
      <x:c r="E947" s="34" t="n">
        <x:f>Subsurface_Scenario_Data!A211</x:f>
        <x:v>44.5</x:v>
      </x:c>
      <x:c r="F947" s="34" t="n">
        <x:f>Subsurface_Scenario_Data!J211</x:f>
        <x:v>0</x:v>
      </x:c>
    </x:row>
    <x:row r="948">
      <x:c r="A948" s="34" t="n">
        <x:f>Subsurface_Scenario_Data!A212</x:f>
        <x:v>45</x:v>
      </x:c>
      <x:c r="B948" s="34" t="n">
        <x:f>Subsurface_Scenario_Data!H212</x:f>
        <x:v>11.470320501270635</x:v>
      </x:c>
      <x:c r="C948" s="34" t="n">
        <x:f>Subsurface_Scenario_Data!A212</x:f>
        <x:v>45</x:v>
      </x:c>
      <x:c r="D948" s="34" t="n">
        <x:f>Subsurface_Scenario_Data!I212</x:f>
        <x:v>-14.132232521764884</x:v>
      </x:c>
      <x:c r="E948" s="34" t="n">
        <x:f>Subsurface_Scenario_Data!A212</x:f>
        <x:v>45</x:v>
      </x:c>
      <x:c r="F948" s="34" t="n">
        <x:f>Subsurface_Scenario_Data!J212</x:f>
        <x:v>0</x:v>
      </x:c>
    </x:row>
    <x:row r="949">
      <x:c r="A949" s="34" t="n">
        <x:f>Subsurface_Scenario_Data!A213</x:f>
        <x:v>45.5</x:v>
      </x:c>
      <x:c r="B949" s="34" t="n">
        <x:f>Subsurface_Scenario_Data!H213</x:f>
        <x:v>11.438626787830351</x:v>
      </x:c>
      <x:c r="C949" s="34" t="n">
        <x:f>Subsurface_Scenario_Data!A213</x:f>
        <x:v>45.5</x:v>
      </x:c>
      <x:c r="D949" s="34" t="n">
        <x:f>Subsurface_Scenario_Data!I213</x:f>
        <x:v>-14</x:v>
      </x:c>
      <x:c r="E949" s="34" t="n">
        <x:f>Subsurface_Scenario_Data!A213</x:f>
        <x:v>45.5</x:v>
      </x:c>
      <x:c r="F949" s="34" t="n">
        <x:f>Subsurface_Scenario_Data!J213</x:f>
        <x:v>0</x:v>
      </x:c>
    </x:row>
    <x:row r="950">
      <x:c r="A950" s="34" t="n">
        <x:f>Subsurface_Scenario_Data!A214</x:f>
        <x:v>46</x:v>
      </x:c>
      <x:c r="B950" s="34" t="n">
        <x:f>Subsurface_Scenario_Data!H214</x:f>
        <x:v>11.516594789611446</x:v>
      </x:c>
      <x:c r="C950" s="34" t="n">
        <x:f>Subsurface_Scenario_Data!A214</x:f>
        <x:v>46</x:v>
      </x:c>
      <x:c r="D950" s="34" t="n">
        <x:f>Subsurface_Scenario_Data!I214</x:f>
        <x:v>-13.873359883872757</x:v>
      </x:c>
      <x:c r="E950" s="34" t="n">
        <x:f>Subsurface_Scenario_Data!A214</x:f>
        <x:v>46</x:v>
      </x:c>
      <x:c r="F950" s="34" t="n">
        <x:f>Subsurface_Scenario_Data!J214</x:f>
        <x:v>0</x:v>
      </x:c>
    </x:row>
    <x:row r="951">
      <x:c r="A951" s="34" t="n">
        <x:f>Subsurface_Scenario_Data!A215</x:f>
        <x:v>46.5</x:v>
      </x:c>
      <x:c r="B951" s="34" t="n">
        <x:f>Subsurface_Scenario_Data!H215</x:f>
        <x:v>11.597893991821792</x:v>
      </x:c>
      <x:c r="C951" s="34" t="n">
        <x:f>Subsurface_Scenario_Data!A215</x:f>
        <x:v>46.5</x:v>
      </x:c>
      <x:c r="D951" s="34" t="n">
        <x:f>Subsurface_Scenario_Data!I215</x:f>
        <x:v>-13.753020396282535</x:v>
      </x:c>
      <x:c r="E951" s="34" t="n">
        <x:f>Subsurface_Scenario_Data!A215</x:f>
        <x:v>46.5</x:v>
      </x:c>
      <x:c r="F951" s="34" t="n">
        <x:f>Subsurface_Scenario_Data!J215</x:f>
        <x:v>0</x:v>
      </x:c>
    </x:row>
    <x:row r="952">
      <x:c r="A952" s="34" t="n">
        <x:f>Subsurface_Scenario_Data!A216</x:f>
        <x:v>47</x:v>
      </x:c>
      <x:c r="B952" s="34" t="n">
        <x:f>Subsurface_Scenario_Data!H216</x:f>
        <x:v>11.612814287331389</x:v>
      </x:c>
      <x:c r="C952" s="34" t="n">
        <x:f>Subsurface_Scenario_Data!A216</x:f>
        <x:v>47</x:v>
      </x:c>
      <x:c r="D952" s="34" t="n">
        <x:f>Subsurface_Scenario_Data!I216</x:f>
        <x:v>-13.63965452445816</x:v>
      </x:c>
      <x:c r="E952" s="34" t="n">
        <x:f>Subsurface_Scenario_Data!A216</x:f>
        <x:v>47</x:v>
      </x:c>
      <x:c r="F952" s="34" t="n">
        <x:f>Subsurface_Scenario_Data!J216</x:f>
        <x:v>0</x:v>
      </x:c>
    </x:row>
    <x:row r="953">
      <x:c r="A953" s="34" t="n">
        <x:f>Subsurface_Scenario_Data!A217</x:f>
        <x:v>47.5</x:v>
      </x:c>
      <x:c r="B953" s="34" t="n">
        <x:f>Subsurface_Scenario_Data!H217</x:f>
        <x:v>11.6513602656484</x:v>
      </x:c>
      <x:c r="C953" s="34" t="n">
        <x:f>Subsurface_Scenario_Data!A217</x:f>
        <x:v>47.5</x:v>
      </x:c>
      <x:c r="D953" s="34" t="n">
        <x:f>Subsurface_Scenario_Data!I217</x:f>
        <x:v>-13.533896256340347</x:v>
      </x:c>
      <x:c r="E953" s="34" t="n">
        <x:f>Subsurface_Scenario_Data!A217</x:f>
        <x:v>47.5</x:v>
      </x:c>
      <x:c r="F953" s="34" t="n">
        <x:f>Subsurface_Scenario_Data!J217</x:f>
        <x:v>0</x:v>
      </x:c>
    </x:row>
    <x:row r="954">
      <x:c r="A954" s="34" t="n">
        <x:f>Subsurface_Scenario_Data!A218</x:f>
        <x:v>48</x:v>
      </x:c>
      <x:c r="B954" s="34" t="n">
        <x:f>Subsurface_Scenario_Data!H218</x:f>
        <x:v>11.5683049111747</x:v>
      </x:c>
      <x:c r="C954" s="34" t="n">
        <x:f>Subsurface_Scenario_Data!A218</x:f>
        <x:v>48</x:v>
      </x:c>
      <x:c r="D954" s="34" t="n">
        <x:f>Subsurface_Scenario_Data!I218</x:f>
        <x:v>-13.436337035063941</x:v>
      </x:c>
      <x:c r="E954" s="34" t="n">
        <x:f>Subsurface_Scenario_Data!A218</x:f>
        <x:v>48</x:v>
      </x:c>
      <x:c r="F954" s="34" t="n">
        <x:f>Subsurface_Scenario_Data!J218</x:f>
        <x:v>0</x:v>
      </x:c>
    </x:row>
    <x:row r="955">
      <x:c r="A955" s="34" t="n">
        <x:f>Subsurface_Scenario_Data!A219</x:f>
        <x:v>48.5</x:v>
      </x:c>
      <x:c r="B955" s="34" t="n">
        <x:f>Subsurface_Scenario_Data!H219</x:f>
        <x:v>11.607183879978301</x:v>
      </x:c>
      <x:c r="C955" s="34" t="n">
        <x:f>Subsurface_Scenario_Data!A219</x:f>
        <x:v>48.5</x:v>
      </x:c>
      <x:c r="D955" s="34" t="n">
        <x:f>Subsurface_Scenario_Data!I219</x:f>
        <x:v>-13.347522451368011</x:v>
      </x:c>
      <x:c r="E955" s="34" t="n">
        <x:f>Subsurface_Scenario_Data!A219</x:f>
        <x:v>48.5</x:v>
      </x:c>
      <x:c r="F955" s="34" t="n">
        <x:f>Subsurface_Scenario_Data!J219</x:f>
        <x:v>0</x:v>
      </x:c>
    </x:row>
    <x:row r="956">
      <x:c r="A956" s="34" t="n">
        <x:f>Subsurface_Scenario_Data!A220</x:f>
        <x:v>49</x:v>
      </x:c>
      <x:c r="B956" s="34" t="n">
        <x:f>Subsurface_Scenario_Data!H220</x:f>
        <x:v>11.62151981749269</x:v>
      </x:c>
      <x:c r="C956" s="34" t="n">
        <x:f>Subsurface_Scenario_Data!A220</x:f>
        <x:v>49</x:v>
      </x:c>
      <x:c r="D956" s="34" t="n">
        <x:f>Subsurface_Scenario_Data!I220</x:f>
        <x:v>-13.267949192431123</x:v>
      </x:c>
      <x:c r="E956" s="34" t="n">
        <x:f>Subsurface_Scenario_Data!A220</x:f>
        <x:v>49</x:v>
      </x:c>
      <x:c r="F956" s="34" t="n">
        <x:f>Subsurface_Scenario_Data!J220</x:f>
        <x:v>0</x:v>
      </x:c>
    </x:row>
    <x:row r="957">
      <x:c r="A957" s="34" t="n">
        <x:f>Subsurface_Scenario_Data!A221</x:f>
        <x:v>49.5</x:v>
      </x:c>
      <x:c r="B957" s="34" t="n">
        <x:f>Subsurface_Scenario_Data!H221</x:f>
        <x:v>11.589782425933791</x:v>
      </x:c>
      <x:c r="C957" s="34" t="n">
        <x:f>Subsurface_Scenario_Data!A221</x:f>
        <x:v>49.5</x:v>
      </x:c>
      <x:c r="D957" s="34" t="n">
        <x:f>Subsurface_Scenario_Data!I221</x:f>
        <x:v>-13.198062264195162</x:v>
      </x:c>
      <x:c r="E957" s="34" t="n">
        <x:f>Subsurface_Scenario_Data!A221</x:f>
        <x:v>49.5</x:v>
      </x:c>
      <x:c r="F957" s="34" t="n">
        <x:f>Subsurface_Scenario_Data!J221</x:f>
        <x:v>0</x:v>
      </x:c>
    </x:row>
    <x:row r="958">
      <x:c r="A958" s="34" t="n">
        <x:f>Subsurface_Scenario_Data!A222</x:f>
        <x:v>50</x:v>
      </x:c>
      <x:c r="B958" s="34" t="n">
        <x:f>Subsurface_Scenario_Data!H222</x:f>
        <x:v>11.588823991701751</x:v>
      </x:c>
      <x:c r="C958" s="34" t="n">
        <x:f>Subsurface_Scenario_Data!A222</x:f>
        <x:v>50</x:v>
      </x:c>
      <x:c r="D958" s="34" t="n">
        <x:f>Subsurface_Scenario_Data!I222</x:f>
        <x:v>-13.138252502711591</x:v>
      </x:c>
      <x:c r="E958" s="34" t="n">
        <x:f>Subsurface_Scenario_Data!A222</x:f>
        <x:v>50</x:v>
      </x:c>
      <x:c r="F958" s="34" t="n">
        <x:f>Subsurface_Scenario_Data!J222</x:f>
        <x:v>0</x:v>
      </x:c>
    </x:row>
    <x:row r="959">
      <x:c r="A959" s="34" t="n">
        <x:f>Subsurface_Scenario_Data!A223</x:f>
        <x:v>50.5</x:v>
      </x:c>
      <x:c r="B959" s="34" t="n">
        <x:f>Subsurface_Scenario_Data!H223</x:f>
        <x:v>11.492818451770304</x:v>
      </x:c>
      <x:c r="C959" s="34" t="n">
        <x:f>Subsurface_Scenario_Data!A223</x:f>
        <x:v>50.5</x:v>
      </x:c>
      <x:c r="D959" s="34" t="n">
        <x:f>Subsurface_Scenario_Data!I223</x:f>
        <x:v>-13.08885438842772</x:v>
      </x:c>
      <x:c r="E959" s="34" t="n">
        <x:f>Subsurface_Scenario_Data!A223</x:f>
        <x:v>50.5</x:v>
      </x:c>
      <x:c r="F959" s="34" t="n">
        <x:f>Subsurface_Scenario_Data!J223</x:f>
        <x:v>0</x:v>
      </x:c>
    </x:row>
    <x:row r="960">
      <x:c r="A960" s="34" t="n">
        <x:f>Subsurface_Scenario_Data!A224</x:f>
        <x:v>51</x:v>
      </x:c>
      <x:c r="B960" s="34" t="n">
        <x:f>Subsurface_Scenario_Data!H224</x:f>
        <x:v>11.491202636761741</x:v>
      </x:c>
      <x:c r="C960" s="34" t="n">
        <x:f>Subsurface_Scenario_Data!A224</x:f>
        <x:v>51</x:v>
      </x:c>
      <x:c r="D960" s="34" t="n">
        <x:f>Subsurface_Scenario_Data!I224</x:f>
        <x:v>-13.050144175636353</x:v>
      </x:c>
      <x:c r="E960" s="34" t="n">
        <x:f>Subsurface_Scenario_Data!A224</x:f>
        <x:v>51</x:v>
      </x:c>
      <x:c r="F960" s="34" t="n">
        <x:f>Subsurface_Scenario_Data!J224</x:f>
        <x:v>0</x:v>
      </x:c>
    </x:row>
    <x:row r="961">
      <x:c r="A961" s="34" t="n">
        <x:f>Subsurface_Scenario_Data!A225</x:f>
        <x:v>51.5</x:v>
      </x:c>
      <x:c r="B961" s="34" t="n">
        <x:f>Subsurface_Scenario_Data!H225</x:f>
        <x:v>11.393955472999828</x:v>
      </x:c>
      <x:c r="C961" s="34" t="n">
        <x:f>Subsurface_Scenario_Data!A225</x:f>
        <x:v>51.5</x:v>
      </x:c>
      <x:c r="D961" s="34" t="n">
        <x:f>Subsurface_Scenario_Data!I225</x:f>
        <x:v>-13.022338347549743</x:v>
      </x:c>
      <x:c r="E961" s="34" t="n">
        <x:f>Subsurface_Scenario_Data!A225</x:f>
        <x:v>51.5</x:v>
      </x:c>
      <x:c r="F961" s="34" t="n">
        <x:f>Subsurface_Scenario_Data!J225</x:f>
        <x:v>0</x:v>
      </x:c>
    </x:row>
    <x:row r="962">
      <x:c r="A962" s="34" t="n">
        <x:f>Subsurface_Scenario_Data!A226</x:f>
        <x:v>52</x:v>
      </x:c>
      <x:c r="B962" s="34" t="n">
        <x:f>Subsurface_Scenario_Data!H226</x:f>
        <x:v>11.36298445980163</x:v>
      </x:c>
      <x:c r="C962" s="34" t="n">
        <x:f>Subsurface_Scenario_Data!A226</x:f>
        <x:v>52</x:v>
      </x:c>
      <x:c r="D962" s="34" t="n">
        <x:f>Subsurface_Scenario_Data!I226</x:f>
        <x:v>-13.005592405637639</x:v>
      </x:c>
      <x:c r="E962" s="34" t="n">
        <x:f>Subsurface_Scenario_Data!A226</x:f>
        <x:v>52</x:v>
      </x:c>
      <x:c r="F962" s="34" t="n">
        <x:f>Subsurface_Scenario_Data!J226</x:f>
        <x:v>0</x:v>
      </x:c>
    </x:row>
    <x:row r="963">
      <x:c r="A963" s="34" t="n">
        <x:f>Subsurface_Scenario_Data!A227</x:f>
        <x:v>52.5</x:v>
      </x:c>
      <x:c r="B963" s="34" t="n">
        <x:f>Subsurface_Scenario_Data!H227</x:f>
        <x:v>11.377275918171264</x:v>
      </x:c>
      <x:c r="C963" s="34" t="n">
        <x:f>Subsurface_Scenario_Data!A227</x:f>
        <x:v>52.5</x:v>
      </x:c>
      <x:c r="D963" s="34" t="n">
        <x:f>Subsurface_Scenario_Data!I227</x:f>
        <x:v>-13</x:v>
      </x:c>
      <x:c r="E963" s="34" t="n">
        <x:f>Subsurface_Scenario_Data!A227</x:f>
        <x:v>52.5</x:v>
      </x:c>
      <x:c r="F963" s="34" t="n">
        <x:f>Subsurface_Scenario_Data!J227</x:f>
        <x:v>0</x:v>
      </x:c>
    </x:row>
    <x:row r="964">
      <x:c r="A964" s="34" t="n">
        <x:f>Subsurface_Scenario_Data!A228</x:f>
        <x:v>53</x:v>
      </x:c>
      <x:c r="B964" s="34" t="n">
        <x:f>Subsurface_Scenario_Data!H228</x:f>
        <x:v>11.295974951950484</x:v>
      </x:c>
      <x:c r="C964" s="34" t="n">
        <x:f>Subsurface_Scenario_Data!A228</x:f>
        <x:v>53</x:v>
      </x:c>
      <x:c r="D964" s="34" t="n">
        <x:f>Subsurface_Scenario_Data!I228</x:f>
        <x:v>-13.005592405637639</x:v>
      </x:c>
      <x:c r="E964" s="34" t="n">
        <x:f>Subsurface_Scenario_Data!A228</x:f>
        <x:v>53</x:v>
      </x:c>
      <x:c r="F964" s="34" t="n">
        <x:f>Subsurface_Scenario_Data!J228</x:f>
        <x:v>0</x:v>
      </x:c>
    </x:row>
    <x:row r="965">
      <x:c r="A965" s="34" t="n">
        <x:f>Subsurface_Scenario_Data!A229</x:f>
        <x:v>53.5</x:v>
      </x:c>
      <x:c r="B965" s="34" t="n">
        <x:f>Subsurface_Scenario_Data!H229</x:f>
        <x:v>11.309919447269799</x:v>
      </x:c>
      <x:c r="C965" s="34" t="n">
        <x:f>Subsurface_Scenario_Data!A229</x:f>
        <x:v>53.5</x:v>
      </x:c>
      <x:c r="D965" s="34" t="n">
        <x:f>Subsurface_Scenario_Data!I229</x:f>
        <x:v>-13.022338347549743</x:v>
      </x:c>
      <x:c r="E965" s="34" t="n">
        <x:f>Subsurface_Scenario_Data!A229</x:f>
        <x:v>53.5</x:v>
      </x:c>
      <x:c r="F965" s="34" t="n">
        <x:f>Subsurface_Scenario_Data!J229</x:f>
        <x:v>0</x:v>
      </x:c>
    </x:row>
    <x:row r="966">
      <x:c r="A966" s="34" t="n">
        <x:f>Subsurface_Scenario_Data!A230</x:f>
        <x:v>54</x:v>
      </x:c>
      <x:c r="B966" s="34" t="n">
        <x:f>Subsurface_Scenario_Data!H230</x:f>
        <x:v>11.311688458769659</x:v>
      </x:c>
      <x:c r="C966" s="34" t="n">
        <x:f>Subsurface_Scenario_Data!A230</x:f>
        <x:v>54</x:v>
      </x:c>
      <x:c r="D966" s="34" t="n">
        <x:f>Subsurface_Scenario_Data!I230</x:f>
        <x:v>-13.050144175636353</x:v>
      </x:c>
      <x:c r="E966" s="34" t="n">
        <x:f>Subsurface_Scenario_Data!A230</x:f>
        <x:v>54</x:v>
      </x:c>
      <x:c r="F966" s="34" t="n">
        <x:f>Subsurface_Scenario_Data!J230</x:f>
        <x:v>0</x:v>
      </x:c>
    </x:row>
    <x:row r="967">
      <x:c r="A967" s="34" t="n">
        <x:f>Subsurface_Scenario_Data!A231</x:f>
        <x:v>54.5</x:v>
      </x:c>
      <x:c r="B967" s="34" t="n">
        <x:f>Subsurface_Scenario_Data!H231</x:f>
        <x:v>11.337150160353666</x:v>
      </x:c>
      <x:c r="C967" s="34" t="n">
        <x:f>Subsurface_Scenario_Data!A231</x:f>
        <x:v>54.5</x:v>
      </x:c>
      <x:c r="D967" s="34" t="n">
        <x:f>Subsurface_Scenario_Data!I231</x:f>
        <x:v>-13.088854388427718</x:v>
      </x:c>
      <x:c r="E967" s="34" t="n">
        <x:f>Subsurface_Scenario_Data!A231</x:f>
        <x:v>54.5</x:v>
      </x:c>
      <x:c r="F967" s="34" t="n">
        <x:f>Subsurface_Scenario_Data!J231</x:f>
        <x:v>0</x:v>
      </x:c>
    </x:row>
    <x:row r="968">
      <x:c r="A968" s="34" t="n">
        <x:f>Subsurface_Scenario_Data!A232</x:f>
        <x:v>55</x:v>
      </x:c>
      <x:c r="B968" s="34" t="n">
        <x:f>Subsurface_Scenario_Data!H232</x:f>
        <x:v>11.291231271539914</x:v>
      </x:c>
      <x:c r="C968" s="34" t="n">
        <x:f>Subsurface_Scenario_Data!A232</x:f>
        <x:v>55</x:v>
      </x:c>
      <x:c r="D968" s="34" t="n">
        <x:f>Subsurface_Scenario_Data!I232</x:f>
        <x:v>-13.138252502711591</x:v>
      </x:c>
      <x:c r="E968" s="34" t="n">
        <x:f>Subsurface_Scenario_Data!A232</x:f>
        <x:v>55</x:v>
      </x:c>
      <x:c r="F968" s="34" t="n">
        <x:f>Subsurface_Scenario_Data!J232</x:f>
        <x:v>0</x:v>
      </x:c>
    </x:row>
    <x:row r="969">
      <x:c r="A969" s="34" t="n">
        <x:f>Subsurface_Scenario_Data!A233</x:f>
        <x:v>55.5</x:v>
      </x:c>
      <x:c r="B969" s="34" t="n">
        <x:f>Subsurface_Scenario_Data!H233</x:f>
        <x:v>11.322347833630666</x:v>
      </x:c>
      <x:c r="C969" s="34" t="n">
        <x:f>Subsurface_Scenario_Data!A233</x:f>
        <x:v>55.5</x:v>
      </x:c>
      <x:c r="D969" s="34" t="n">
        <x:f>Subsurface_Scenario_Data!I233</x:f>
        <x:v>-13.198062264195162</x:v>
      </x:c>
      <x:c r="E969" s="34" t="n">
        <x:f>Subsurface_Scenario_Data!A233</x:f>
        <x:v>55.5</x:v>
      </x:c>
      <x:c r="F969" s="34" t="n">
        <x:f>Subsurface_Scenario_Data!J233</x:f>
        <x:v>0</x:v>
      </x:c>
    </x:row>
    <x:row r="970">
      <x:c r="A970" s="34" t="n">
        <x:f>Subsurface_Scenario_Data!A234</x:f>
        <x:v>56</x:v>
      </x:c>
      <x:c r="B970" s="34" t="n">
        <x:f>Subsurface_Scenario_Data!H234</x:f>
        <x:v>11.309429167380237</x:v>
      </x:c>
      <x:c r="C970" s="34" t="n">
        <x:f>Subsurface_Scenario_Data!A234</x:f>
        <x:v>56</x:v>
      </x:c>
      <x:c r="D970" s="34" t="n">
        <x:f>Subsurface_Scenario_Data!I234</x:f>
        <x:v>-13.267949192431121</x:v>
      </x:c>
      <x:c r="E970" s="34" t="n">
        <x:f>Subsurface_Scenario_Data!A234</x:f>
        <x:v>56</x:v>
      </x:c>
      <x:c r="F970" s="34" t="n">
        <x:f>Subsurface_Scenario_Data!J234</x:f>
        <x:v>0</x:v>
      </x:c>
    </x:row>
    <x:row r="971">
      <x:c r="A971" s="34" t="n">
        <x:f>Subsurface_Scenario_Data!A235</x:f>
        <x:v>56.5</x:v>
      </x:c>
      <x:c r="B971" s="34" t="n">
        <x:f>Subsurface_Scenario_Data!H235</x:f>
        <x:v>11.301898613026317</x:v>
      </x:c>
      <x:c r="C971" s="34" t="n">
        <x:f>Subsurface_Scenario_Data!A235</x:f>
        <x:v>56.5</x:v>
      </x:c>
      <x:c r="D971" s="34" t="n">
        <x:f>Subsurface_Scenario_Data!I235</x:f>
        <x:v>-13.347522451368011</x:v>
      </x:c>
      <x:c r="E971" s="34" t="n">
        <x:f>Subsurface_Scenario_Data!A235</x:f>
        <x:v>56.5</x:v>
      </x:c>
      <x:c r="F971" s="34" t="n">
        <x:f>Subsurface_Scenario_Data!J235</x:f>
        <x:v>0</x:v>
      </x:c>
    </x:row>
    <x:row r="972">
      <x:c r="A972" s="34" t="n">
        <x:f>Subsurface_Scenario_Data!A236</x:f>
        <x:v>57</x:v>
      </x:c>
      <x:c r="B972" s="34" t="n">
        <x:f>Subsurface_Scenario_Data!H236</x:f>
        <x:v>11.262492360753157</x:v>
      </x:c>
      <x:c r="C972" s="34" t="n">
        <x:f>Subsurface_Scenario_Data!A236</x:f>
        <x:v>57</x:v>
      </x:c>
      <x:c r="D972" s="34" t="n">
        <x:f>Subsurface_Scenario_Data!I236</x:f>
        <x:v>-13.43633703506394</x:v>
      </x:c>
      <x:c r="E972" s="34" t="n">
        <x:f>Subsurface_Scenario_Data!A236</x:f>
        <x:v>57</x:v>
      </x:c>
      <x:c r="F972" s="34" t="n">
        <x:f>Subsurface_Scenario_Data!J236</x:f>
        <x:v>0</x:v>
      </x:c>
    </x:row>
    <x:row r="973">
      <x:c r="A973" s="34" t="n">
        <x:f>Subsurface_Scenario_Data!A237</x:f>
        <x:v>57.5</x:v>
      </x:c>
      <x:c r="B973" s="34" t="n">
        <x:f>Subsurface_Scenario_Data!H237</x:f>
        <x:v>11.365470361125247</x:v>
      </x:c>
      <x:c r="C973" s="34" t="n">
        <x:f>Subsurface_Scenario_Data!A237</x:f>
        <x:v>57.5</x:v>
      </x:c>
      <x:c r="D973" s="34" t="n">
        <x:f>Subsurface_Scenario_Data!I237</x:f>
        <x:v>-13.533896256340348</x:v>
      </x:c>
      <x:c r="E973" s="34" t="n">
        <x:f>Subsurface_Scenario_Data!A237</x:f>
        <x:v>57.5</x:v>
      </x:c>
      <x:c r="F973" s="34" t="n">
        <x:f>Subsurface_Scenario_Data!J237</x:f>
        <x:v>0</x:v>
      </x:c>
    </x:row>
    <x:row r="974">
      <x:c r="A974" s="34" t="n">
        <x:f>Subsurface_Scenario_Data!A238</x:f>
        <x:v>58</x:v>
      </x:c>
      <x:c r="B974" s="34" t="n">
        <x:f>Subsurface_Scenario_Data!H238</x:f>
        <x:v>11.301970156879626</x:v>
      </x:c>
      <x:c r="C974" s="34" t="n">
        <x:f>Subsurface_Scenario_Data!A238</x:f>
        <x:v>58</x:v>
      </x:c>
      <x:c r="D974" s="34" t="n">
        <x:f>Subsurface_Scenario_Data!I238</x:f>
        <x:v>-13.639654524458162</x:v>
      </x:c>
      <x:c r="E974" s="34" t="n">
        <x:f>Subsurface_Scenario_Data!A238</x:f>
        <x:v>58</x:v>
      </x:c>
      <x:c r="F974" s="34" t="n">
        <x:f>Subsurface_Scenario_Data!J238</x:f>
        <x:v>0</x:v>
      </x:c>
    </x:row>
    <x:row r="975">
      <x:c r="A975" s="34" t="n">
        <x:f>Subsurface_Scenario_Data!A239</x:f>
        <x:v>58.5</x:v>
      </x:c>
      <x:c r="B975" s="34" t="n">
        <x:f>Subsurface_Scenario_Data!H239</x:f>
        <x:v>11.335147442684978</x:v>
      </x:c>
      <x:c r="C975" s="34" t="n">
        <x:f>Subsurface_Scenario_Data!A239</x:f>
        <x:v>58.5</x:v>
      </x:c>
      <x:c r="D975" s="34" t="n">
        <x:f>Subsurface_Scenario_Data!I239</x:f>
        <x:v>-13.753020396282533</x:v>
      </x:c>
      <x:c r="E975" s="34" t="n">
        <x:f>Subsurface_Scenario_Data!A239</x:f>
        <x:v>58.5</x:v>
      </x:c>
      <x:c r="F975" s="34" t="n">
        <x:f>Subsurface_Scenario_Data!J239</x:f>
        <x:v>0</x:v>
      </x:c>
    </x:row>
    <x:row r="976">
      <x:c r="A976" s="34" t="n">
        <x:f>Subsurface_Scenario_Data!A240</x:f>
        <x:v>59</x:v>
      </x:c>
      <x:c r="B976" s="34" t="n">
        <x:f>Subsurface_Scenario_Data!H240</x:f>
        <x:v>11.318243607930299</x:v>
      </x:c>
      <x:c r="C976" s="34" t="n">
        <x:f>Subsurface_Scenario_Data!A240</x:f>
        <x:v>59</x:v>
      </x:c>
      <x:c r="D976" s="34" t="n">
        <x:f>Subsurface_Scenario_Data!I240</x:f>
        <x:v>-13.873359883872755</x:v>
      </x:c>
      <x:c r="E976" s="34" t="n">
        <x:f>Subsurface_Scenario_Data!A240</x:f>
        <x:v>59</x:v>
      </x:c>
      <x:c r="F976" s="34" t="n">
        <x:f>Subsurface_Scenario_Data!J240</x:f>
        <x:v>0</x:v>
      </x:c>
    </x:row>
    <x:row r="977">
      <x:c r="A977" s="34" t="n">
        <x:f>Subsurface_Scenario_Data!A241</x:f>
        <x:v>59.5</x:v>
      </x:c>
      <x:c r="B977" s="34" t="n">
        <x:f>Subsurface_Scenario_Data!H241</x:f>
        <x:v>11.431150496537299</x:v>
      </x:c>
      <x:c r="C977" s="34" t="n">
        <x:f>Subsurface_Scenario_Data!A241</x:f>
        <x:v>59.5</x:v>
      </x:c>
      <x:c r="D977" s="34" t="n">
        <x:f>Subsurface_Scenario_Data!I241</x:f>
        <x:v>-13.999999999999996</x:v>
      </x:c>
      <x:c r="E977" s="34" t="n">
        <x:f>Subsurface_Scenario_Data!A241</x:f>
        <x:v>59.5</x:v>
      </x:c>
      <x:c r="F977" s="34" t="n">
        <x:f>Subsurface_Scenario_Data!J241</x:f>
        <x:v>0</x:v>
      </x:c>
    </x:row>
    <x:row r="978">
      <x:c r="A978" s="34" t="n">
        <x:f>Subsurface_Scenario_Data!A242</x:f>
        <x:v>60</x:v>
      </x:c>
      <x:c r="B978" s="34" t="n">
        <x:f>Subsurface_Scenario_Data!H242</x:f>
        <x:v>11.392478642603344</x:v>
      </x:c>
      <x:c r="C978" s="34" t="n">
        <x:f>Subsurface_Scenario_Data!A242</x:f>
        <x:v>60</x:v>
      </x:c>
      <x:c r="D978" s="34" t="n">
        <x:f>Subsurface_Scenario_Data!I242</x:f>
        <x:v>-14.132232521764884</x:v>
      </x:c>
      <x:c r="E978" s="34" t="n">
        <x:f>Subsurface_Scenario_Data!A242</x:f>
        <x:v>60</x:v>
      </x:c>
      <x:c r="F978" s="34" t="n">
        <x:f>Subsurface_Scenario_Data!J242</x:f>
        <x:v>0</x:v>
      </x:c>
    </x:row>
    <x:row r="981" s="73" customFormat="1" ht="15.600000381469727" customHeight="1">
      <x:c r="A981" s="32" t="inlineStr">
        <x:is>
          <x:t xml:space="preserve">Radargram-Style Return Timing With Clutter</x:t>
        </x:is>
      </x:c>
    </x:row>
    <x:row r="982">
      <x:c r="A982" s="33" t="inlineStr">
        <x:is>
          <x:t xml:space="preserve">Surface clutter upper x</x:t>
        </x:is>
      </x:c>
      <x:c r="B982" s="33" t="inlineStr">
        <x:is>
          <x:t xml:space="preserve">Surface clutter upper</x:t>
        </x:is>
      </x:c>
      <x:c r="C982" s="33" t="inlineStr">
        <x:is>
          <x:t xml:space="preserve">Shallow ice return x</x:t>
        </x:is>
      </x:c>
      <x:c r="D982" s="33" t="inlineStr">
        <x:is>
          <x:t xml:space="preserve">Shallow ice return</x:t>
        </x:is>
      </x:c>
      <x:c r="E982" s="33" t="inlineStr">
        <x:is>
          <x:t xml:space="preserve">Warm/briny lens return x</x:t>
        </x:is>
      </x:c>
      <x:c r="F982" s="33" t="inlineStr">
        <x:is>
          <x:t xml:space="preserve">Warm/briny lens return</x:t>
        </x:is>
      </x:c>
      <x:c r="G982" s="33" t="inlineStr">
        <x:is>
          <x:t xml:space="preserve">Ocean boundary return x</x:t>
        </x:is>
      </x:c>
      <x:c r="H982" s="33" t="inlineStr">
        <x:is>
          <x:t xml:space="preserve">Ocean boundary return</x:t>
        </x:is>
      </x:c>
    </x:row>
    <x:row r="983">
      <x:c r="A983" s="34" t="n">
        <x:f>Subsurface_Radargram_Data!A2</x:f>
        <x:v>-60</x:v>
      </x:c>
      <x:c r="B983" s="34" t="n">
        <x:f>Subsurface_Radargram_Data!C2</x:f>
        <x:v>13.462391868272736</x:v>
      </x:c>
      <x:c r="C983" s="34" t="n">
        <x:f>Subsurface_Radargram_Data!A2</x:f>
        <x:v>-60</x:v>
      </x:c>
      <x:c r="D983" s="34" t="n">
        <x:f>Subsurface_Radargram_Data!D2</x:f>
        <x:v>11.833217134323283</x:v>
      </x:c>
      <x:c r="E983" s="34" t="n">
        <x:f>Subsurface_Radargram_Data!A2</x:f>
        <x:v>-60</x:v>
      </x:c>
      <x:c r="F983" s="34" t="str">
        <x:f>Subsurface_Radargram_Data!E2</x:f>
      </x:c>
      <x:c r="G983" s="34" t="n">
        <x:f>Subsurface_Radargram_Data!A2</x:f>
        <x:v>-60</x:v>
      </x:c>
      <x:c r="H983" s="34" t="n">
        <x:f>Subsurface_Radargram_Data!F2</x:f>
        <x:v>171.16200481596744</x:v>
      </x:c>
    </x:row>
    <x:row r="984">
      <x:c r="A984" s="34" t="n">
        <x:f>Subsurface_Radargram_Data!A3</x:f>
        <x:v>-59.5</x:v>
      </x:c>
      <x:c r="B984" s="34" t="n">
        <x:f>Subsurface_Radargram_Data!C3</x:f>
        <x:v>13.42658477444273</x:v>
      </x:c>
      <x:c r="C984" s="34" t="n">
        <x:f>Subsurface_Radargram_Data!A3</x:f>
        <x:v>-59.5</x:v>
      </x:c>
      <x:c r="D984" s="34" t="n">
        <x:f>Subsurface_Radargram_Data!D3</x:f>
        <x:v>11.96622916929907</x:v>
      </x:c>
      <x:c r="E984" s="34" t="n">
        <x:f>Subsurface_Radargram_Data!A3</x:f>
        <x:v>-59.5</x:v>
      </x:c>
      <x:c r="F984" s="34" t="str">
        <x:f>Subsurface_Radargram_Data!E3</x:f>
      </x:c>
      <x:c r="G984" s="34" t="n">
        <x:f>Subsurface_Radargram_Data!A3</x:f>
        <x:v>-59.5</x:v>
      </x:c>
      <x:c r="H984" s="34" t="n">
        <x:f>Subsurface_Radargram_Data!F3</x:f>
        <x:v>171.27241434932014</x:v>
      </x:c>
    </x:row>
    <x:row r="985">
      <x:c r="A985" s="34" t="n">
        <x:f>Subsurface_Radargram_Data!A4</x:f>
        <x:v>-59</x:v>
      </x:c>
      <x:c r="B985" s="34" t="n">
        <x:f>Subsurface_Radargram_Data!C4</x:f>
        <x:v>13.379291658827176</x:v>
      </x:c>
      <x:c r="C985" s="34" t="n">
        <x:f>Subsurface_Radargram_Data!A4</x:f>
        <x:v>-59</x:v>
      </x:c>
      <x:c r="D985" s="34" t="n">
        <x:f>Subsurface_Radargram_Data!D4</x:f>
        <x:v>12.117922338400662</x:v>
      </x:c>
      <x:c r="E985" s="34" t="n">
        <x:f>Subsurface_Radargram_Data!A4</x:f>
        <x:v>-59</x:v>
      </x:c>
      <x:c r="F985" s="34" t="str">
        <x:f>Subsurface_Radargram_Data!E4</x:f>
      </x:c>
      <x:c r="G985" s="34" t="n">
        <x:f>Subsurface_Radargram_Data!A4</x:f>
        <x:v>-59</x:v>
      </x:c>
      <x:c r="H985" s="34" t="n">
        <x:f>Subsurface_Radargram_Data!F4</x:f>
        <x:v>171.36750838193723</x:v>
      </x:c>
    </x:row>
    <x:row r="986">
      <x:c r="A986" s="34" t="n">
        <x:f>Subsurface_Radargram_Data!A5</x:f>
        <x:v>-58.5</x:v>
      </x:c>
      <x:c r="B986" s="34" t="n">
        <x:f>Subsurface_Radargram_Data!C5</x:f>
        <x:v>13.320893297785107</x:v>
      </x:c>
      <x:c r="C986" s="34" t="n">
        <x:f>Subsurface_Radargram_Data!A5</x:f>
        <x:v>-58.5</x:v>
      </x:c>
      <x:c r="D986" s="34" t="n">
        <x:f>Subsurface_Radargram_Data!D5</x:f>
        <x:v>12.291269268907246</x:v>
      </x:c>
      <x:c r="E986" s="34" t="n">
        <x:f>Subsurface_Radargram_Data!A5</x:f>
        <x:v>-58.5</x:v>
      </x:c>
      <x:c r="F986" s="34" t="str">
        <x:f>Subsurface_Radargram_Data!E5</x:f>
      </x:c>
      <x:c r="G986" s="34" t="n">
        <x:f>Subsurface_Radargram_Data!A5</x:f>
        <x:v>-58.5</x:v>
      </x:c>
      <x:c r="H986" s="34" t="n">
        <x:f>Subsurface_Radargram_Data!F5</x:f>
        <x:v>171.43363762532118</x:v>
      </x:c>
    </x:row>
    <x:row r="987">
      <x:c r="A987" s="34" t="n">
        <x:f>Subsurface_Radargram_Data!A6</x:f>
        <x:v>-58</x:v>
      </x:c>
      <x:c r="B987" s="34" t="n">
        <x:f>Subsurface_Radargram_Data!C6</x:f>
        <x:v>13.251859880581954</x:v>
      </x:c>
      <x:c r="C987" s="34" t="n">
        <x:f>Subsurface_Radargram_Data!A6</x:f>
        <x:v>-58</x:v>
      </x:c>
      <x:c r="D987" s="34" t="n">
        <x:f>Subsurface_Radargram_Data!D6</x:f>
        <x:v>12.459187592157058</x:v>
      </x:c>
      <x:c r="E987" s="34" t="n">
        <x:f>Subsurface_Radargram_Data!A6</x:f>
        <x:v>-58</x:v>
      </x:c>
      <x:c r="F987" s="34" t="str">
        <x:f>Subsurface_Radargram_Data!E6</x:f>
      </x:c>
      <x:c r="G987" s="34" t="n">
        <x:f>Subsurface_Radargram_Data!A6</x:f>
        <x:v>-58</x:v>
      </x:c>
      <x:c r="H987" s="34" t="n">
        <x:f>Subsurface_Radargram_Data!F6</x:f>
        <x:v>171.5616772910373</x:v>
      </x:c>
    </x:row>
    <x:row r="988">
      <x:c r="A988" s="34" t="n">
        <x:f>Subsurface_Radargram_Data!A7</x:f>
        <x:v>-57.5</x:v>
      </x:c>
      <x:c r="B988" s="34" t="n">
        <x:f>Subsurface_Radargram_Data!C7</x:f>
        <x:v>13.172747223702045</x:v>
      </x:c>
      <x:c r="C988" s="34" t="n">
        <x:f>Subsurface_Radargram_Data!A7</x:f>
        <x:v>-57.5</x:v>
      </x:c>
      <x:c r="D988" s="34" t="n">
        <x:f>Subsurface_Radargram_Data!D7</x:f>
        <x:v>12.653151260857149</x:v>
      </x:c>
      <x:c r="E988" s="34" t="n">
        <x:f>Subsurface_Radargram_Data!A7</x:f>
        <x:v>-57.5</x:v>
      </x:c>
      <x:c r="F988" s="34" t="str">
        <x:f>Subsurface_Radargram_Data!E7</x:f>
      </x:c>
      <x:c r="G988" s="34" t="n">
        <x:f>Subsurface_Radargram_Data!A7</x:f>
        <x:v>-57.5</x:v>
      </x:c>
      <x:c r="H988" s="34" t="n">
        <x:f>Subsurface_Radargram_Data!F7</x:f>
        <x:v>171.63690109395728</x:v>
      </x:c>
    </x:row>
    <x:row r="989">
      <x:c r="A989" s="34" t="n">
        <x:f>Subsurface_Radargram_Data!A8</x:f>
        <x:v>-57</x:v>
      </x:c>
      <x:c r="B989" s="34" t="n">
        <x:f>Subsurface_Radargram_Data!C8</x:f>
        <x:v>13.084192295741087</x:v>
      </x:c>
      <x:c r="C989" s="34" t="n">
        <x:f>Subsurface_Radargram_Data!A8</x:f>
        <x:v>-57</x:v>
      </x:c>
      <x:c r="D989" s="34" t="n">
        <x:f>Subsurface_Radargram_Data!D8</x:f>
        <x:v>12.84637775361228</x:v>
      </x:c>
      <x:c r="E989" s="34" t="n">
        <x:f>Subsurface_Radargram_Data!A8</x:f>
        <x:v>-57</x:v>
      </x:c>
      <x:c r="F989" s="34" t="str">
        <x:f>Subsurface_Radargram_Data!E8</x:f>
      </x:c>
      <x:c r="G989" s="34" t="n">
        <x:f>Subsurface_Radargram_Data!A8</x:f>
        <x:v>-57</x:v>
      </x:c>
      <x:c r="H989" s="34" t="n">
        <x:f>Subsurface_Radargram_Data!F8</x:f>
        <x:v>171.7478525136675</x:v>
      </x:c>
    </x:row>
    <x:row r="990">
      <x:c r="A990" s="34" t="n">
        <x:f>Subsurface_Radargram_Data!A9</x:f>
        <x:v>-56.5</x:v>
      </x:c>
      <x:c r="B990" s="34" t="n">
        <x:f>Subsurface_Radargram_Data!C9</x:f>
        <x:v>12.98690808890957</x:v>
      </x:c>
      <x:c r="C990" s="34" t="n">
        <x:f>Subsurface_Radargram_Data!A9</x:f>
        <x:v>-56.5</x:v>
      </x:c>
      <x:c r="D990" s="34" t="n">
        <x:f>Subsurface_Radargram_Data!D9</x:f>
        <x:v>13.049494780557698</x:v>
      </x:c>
      <x:c r="E990" s="34" t="n">
        <x:f>Subsurface_Radargram_Data!A9</x:f>
        <x:v>-56.5</x:v>
      </x:c>
      <x:c r="F990" s="34" t="str">
        <x:f>Subsurface_Radargram_Data!E9</x:f>
      </x:c>
      <x:c r="G990" s="34" t="n">
        <x:f>Subsurface_Radargram_Data!A9</x:f>
        <x:v>-56.5</x:v>
      </x:c>
      <x:c r="H990" s="34" t="n">
        <x:f>Subsurface_Radargram_Data!F9</x:f>
        <x:v>171.85155064294082</x:v>
      </x:c>
    </x:row>
    <x:row r="991">
      <x:c r="A991" s="34" t="n">
        <x:f>Subsurface_Radargram_Data!A10</x:f>
        <x:v>-56</x:v>
      </x:c>
      <x:c r="B991" s="34" t="n">
        <x:f>Subsurface_Radargram_Data!C10</x:f>
        <x:v>12.881677878438708</x:v>
      </x:c>
      <x:c r="C991" s="34" t="n">
        <x:f>Subsurface_Radargram_Data!A10</x:f>
        <x:v>-56</x:v>
      </x:c>
      <x:c r="D991" s="34" t="n">
        <x:f>Subsurface_Radargram_Data!D10</x:f>
        <x:v>13.268490835863538</x:v>
      </x:c>
      <x:c r="E991" s="34" t="n">
        <x:f>Subsurface_Radargram_Data!A10</x:f>
        <x:v>-56</x:v>
      </x:c>
      <x:c r="F991" s="34" t="str">
        <x:f>Subsurface_Radargram_Data!E10</x:f>
      </x:c>
      <x:c r="G991" s="34" t="n">
        <x:f>Subsurface_Radargram_Data!A10</x:f>
        <x:v>-56</x:v>
      </x:c>
      <x:c r="H991" s="34" t="n">
        <x:f>Subsurface_Radargram_Data!F10</x:f>
        <x:v>171.92071512976042</x:v>
      </x:c>
    </x:row>
    <x:row r="992">
      <x:c r="A992" s="34" t="n">
        <x:f>Subsurface_Radargram_Data!A11</x:f>
        <x:v>-55.5</x:v>
      </x:c>
      <x:c r="B992" s="34" t="n">
        <x:f>Subsurface_Radargram_Data!C11</x:f>
        <x:v>12.769348916108859</x:v>
      </x:c>
      <x:c r="C992" s="34" t="n">
        <x:f>Subsurface_Radargram_Data!A11</x:f>
        <x:v>-55.5</x:v>
      </x:c>
      <x:c r="D992" s="34" t="n">
        <x:f>Subsurface_Radargram_Data!D11</x:f>
        <x:v>13.475919532016679</x:v>
      </x:c>
      <x:c r="E992" s="34" t="n">
        <x:f>Subsurface_Radargram_Data!A11</x:f>
        <x:v>-55.5</x:v>
      </x:c>
      <x:c r="F992" s="34" t="str">
        <x:f>Subsurface_Radargram_Data!E11</x:f>
      </x:c>
      <x:c r="G992" s="34" t="n">
        <x:f>Subsurface_Radargram_Data!A11</x:f>
        <x:v>-55.5</x:v>
      </x:c>
      <x:c r="H992" s="34" t="n">
        <x:f>Subsurface_Radargram_Data!F11</x:f>
        <x:v>172.04461489795784</x:v>
      </x:c>
    </x:row>
    <x:row r="993">
      <x:c r="A993" s="34" t="n">
        <x:f>Subsurface_Radargram_Data!A12</x:f>
        <x:v>-55</x:v>
      </x:c>
      <x:c r="B993" s="34" t="n">
        <x:f>Subsurface_Radargram_Data!C12</x:f>
        <x:v>12.650825608676337</x:v>
      </x:c>
      <x:c r="C993" s="34" t="n">
        <x:f>Subsurface_Radargram_Data!A12</x:f>
        <x:v>-55</x:v>
      </x:c>
      <x:c r="D993" s="34" t="n">
        <x:f>Subsurface_Radargram_Data!D12</x:f>
        <x:v>13.695581792774238</x:v>
      </x:c>
      <x:c r="E993" s="34" t="n">
        <x:f>Subsurface_Radargram_Data!A12</x:f>
        <x:v>-55</x:v>
      </x:c>
      <x:c r="F993" s="34" t="str">
        <x:f>Subsurface_Radargram_Data!E12</x:f>
      </x:c>
      <x:c r="G993" s="34" t="n">
        <x:f>Subsurface_Radargram_Data!A12</x:f>
        <x:v>-55</x:v>
      </x:c>
      <x:c r="H993" s="34" t="n">
        <x:f>Subsurface_Radargram_Data!F12</x:f>
        <x:v>172.13275558163733</x:v>
      </x:c>
    </x:row>
    <x:row r="994">
      <x:c r="A994" s="34" t="n">
        <x:f>Subsurface_Radargram_Data!A13</x:f>
        <x:v>-54.5</x:v>
      </x:c>
      <x:c r="B994" s="34" t="n">
        <x:f>Subsurface_Radargram_Data!C13</x:f>
        <x:v>12.527062236122013</x:v>
      </x:c>
      <x:c r="C994" s="34" t="n">
        <x:f>Subsurface_Radargram_Data!A13</x:f>
        <x:v>-54.5</x:v>
      </x:c>
      <x:c r="D994" s="34" t="n">
        <x:f>Subsurface_Radargram_Data!D13</x:f>
        <x:v>13.91625075328307</x:v>
      </x:c>
      <x:c r="E994" s="34" t="n">
        <x:f>Subsurface_Radargram_Data!A13</x:f>
        <x:v>-54.5</x:v>
      </x:c>
      <x:c r="F994" s="34" t="str">
        <x:f>Subsurface_Radargram_Data!E13</x:f>
      </x:c>
      <x:c r="G994" s="34" t="n">
        <x:f>Subsurface_Radargram_Data!A13</x:f>
        <x:v>-54.5</x:v>
      </x:c>
      <x:c r="H994" s="34" t="n">
        <x:f>Subsurface_Radargram_Data!F13</x:f>
        <x:v>172.21692766661553</x:v>
      </x:c>
    </x:row>
    <x:row r="995">
      <x:c r="A995" s="34" t="n">
        <x:f>Subsurface_Radargram_Data!A14</x:f>
        <x:v>-54</x:v>
      </x:c>
      <x:c r="B995" s="34" t="n">
        <x:f>Subsurface_Radargram_Data!C14</x:f>
        <x:v>12.399055268350011</x:v>
      </x:c>
      <x:c r="C995" s="34" t="n">
        <x:f>Subsurface_Radargram_Data!A14</x:f>
        <x:v>-54</x:v>
      </x:c>
      <x:c r="D995" s="34" t="n">
        <x:f>Subsurface_Radargram_Data!D14</x:f>
        <x:v>14.126739869660426</x:v>
      </x:c>
      <x:c r="E995" s="34" t="n">
        <x:f>Subsurface_Radargram_Data!A14</x:f>
        <x:v>-54</x:v>
      </x:c>
      <x:c r="F995" s="34" t="str">
        <x:f>Subsurface_Radargram_Data!E14</x:f>
      </x:c>
      <x:c r="G995" s="34" t="n">
        <x:f>Subsurface_Radargram_Data!A14</x:f>
        <x:v>-54</x:v>
      </x:c>
      <x:c r="H995" s="34" t="n">
        <x:f>Subsurface_Radargram_Data!F14</x:f>
        <x:v>172.32856231891094</x:v>
      </x:c>
    </x:row>
    <x:row r="996">
      <x:c r="A996" s="34" t="n">
        <x:f>Subsurface_Radargram_Data!A15</x:f>
        <x:v>-53.5</x:v>
      </x:c>
      <x:c r="B996" s="34" t="n">
        <x:f>Subsurface_Radargram_Data!C15</x:f>
        <x:v>12.267835342197955</x:v>
      </x:c>
      <x:c r="C996" s="34" t="n">
        <x:f>Subsurface_Radargram_Data!A15</x:f>
        <x:v>-53.5</x:v>
      </x:c>
      <x:c r="D996" s="34" t="n">
        <x:f>Subsurface_Radargram_Data!D15</x:f>
        <x:v>14.340556915942718</x:v>
      </x:c>
      <x:c r="E996" s="34" t="n">
        <x:f>Subsurface_Radargram_Data!A15</x:f>
        <x:v>-53.5</x:v>
      </x:c>
      <x:c r="F996" s="34" t="str">
        <x:f>Subsurface_Radargram_Data!E15</x:f>
      </x:c>
      <x:c r="G996" s="34" t="n">
        <x:f>Subsurface_Radargram_Data!A15</x:f>
        <x:v>-53.5</x:v>
      </x:c>
      <x:c r="H996" s="34" t="n">
        <x:f>Subsurface_Radargram_Data!F15</x:f>
        <x:v>172.41254406183737</x:v>
      </x:c>
    </x:row>
    <x:row r="997">
      <x:c r="A997" s="34" t="n">
        <x:f>Subsurface_Radargram_Data!A16</x:f>
        <x:v>-53</x:v>
      </x:c>
      <x:c r="B997" s="34" t="n">
        <x:f>Subsurface_Radargram_Data!C16</x:f>
        <x:v>12.134458963355149</x:v>
      </x:c>
      <x:c r="C997" s="34" t="n">
        <x:f>Subsurface_Radargram_Data!A16</x:f>
        <x:v>-53</x:v>
      </x:c>
      <x:c r="D997" s="34" t="n">
        <x:f>Subsurface_Radargram_Data!D16</x:f>
        <x:v>14.541257845901676</x:v>
      </x:c>
      <x:c r="E997" s="34" t="n">
        <x:f>Subsurface_Radargram_Data!A16</x:f>
        <x:v>-53</x:v>
      </x:c>
      <x:c r="F997" s="34" t="str">
        <x:f>Subsurface_Radargram_Data!E16</x:f>
      </x:c>
      <x:c r="G997" s="34" t="n">
        <x:f>Subsurface_Radargram_Data!A16</x:f>
        <x:v>-53</x:v>
      </x:c>
      <x:c r="H997" s="34" t="n">
        <x:f>Subsurface_Radargram_Data!F16</x:f>
        <x:v>172.51857973611146</x:v>
      </x:c>
    </x:row>
    <x:row r="998">
      <x:c r="A998" s="34" t="n">
        <x:f>Subsurface_Radargram_Data!A17</x:f>
        <x:v>-52.5</x:v>
      </x:c>
      <x:c r="B998" s="34" t="n">
        <x:f>Subsurface_Radargram_Data!C17</x:f>
        <x:v>12</x:v>
      </x:c>
      <x:c r="C998" s="34" t="n">
        <x:f>Subsurface_Radargram_Data!A17</x:f>
        <x:v>-52.5</x:v>
      </x:c>
      <x:c r="D998" s="34" t="n">
        <x:f>Subsurface_Radargram_Data!D17</x:f>
        <x:v>14.734498792358927</x:v>
      </x:c>
      <x:c r="E998" s="34" t="n">
        <x:f>Subsurface_Radargram_Data!A17</x:f>
        <x:v>-52.5</x:v>
      </x:c>
      <x:c r="F998" s="34" t="str">
        <x:f>Subsurface_Radargram_Data!E17</x:f>
      </x:c>
      <x:c r="G998" s="34" t="n">
        <x:f>Subsurface_Radargram_Data!A17</x:f>
        <x:v>-52.5</x:v>
      </x:c>
      <x:c r="H998" s="34" t="n">
        <x:f>Subsurface_Radargram_Data!F17</x:f>
        <x:v>172.61912799489085</x:v>
      </x:c>
    </x:row>
    <x:row r="999">
      <x:c r="A999" s="34" t="n">
        <x:f>Subsurface_Radargram_Data!A18</x:f>
        <x:v>-52</x:v>
      </x:c>
      <x:c r="B999" s="34" t="n">
        <x:f>Subsurface_Radargram_Data!C18</x:f>
        <x:v>11.86554103664485</x:v>
      </x:c>
      <x:c r="C999" s="34" t="n">
        <x:f>Subsurface_Radargram_Data!A18</x:f>
        <x:v>-52</x:v>
      </x:c>
      <x:c r="D999" s="34" t="n">
        <x:f>Subsurface_Radargram_Data!D18</x:f>
        <x:v>14.918961988730631</x:v>
      </x:c>
      <x:c r="E999" s="34" t="n">
        <x:f>Subsurface_Radargram_Data!A18</x:f>
        <x:v>-52</x:v>
      </x:c>
      <x:c r="F999" s="34" t="str">
        <x:f>Subsurface_Radargram_Data!E18</x:f>
      </x:c>
      <x:c r="G999" s="34" t="n">
        <x:f>Subsurface_Radargram_Data!A18</x:f>
        <x:v>-52</x:v>
      </x:c>
      <x:c r="H999" s="34" t="n">
        <x:f>Subsurface_Radargram_Data!F18</x:f>
        <x:v>172.7112721760463</x:v>
      </x:c>
    </x:row>
    <x:row r="1000">
      <x:c r="A1000" s="34" t="n">
        <x:f>Subsurface_Radargram_Data!A19</x:f>
        <x:v>-51.5</x:v>
      </x:c>
      <x:c r="B1000" s="34" t="n">
        <x:f>Subsurface_Radargram_Data!C19</x:f>
        <x:v>11.732164657802045</x:v>
      </x:c>
      <x:c r="C1000" s="34" t="n">
        <x:f>Subsurface_Radargram_Data!A19</x:f>
        <x:v>-51.5</x:v>
      </x:c>
      <x:c r="D1000" s="34" t="n">
        <x:f>Subsurface_Radargram_Data!D19</x:f>
        <x:v>15.094024012147958</x:v>
      </x:c>
      <x:c r="E1000" s="34" t="n">
        <x:f>Subsurface_Radargram_Data!A19</x:f>
        <x:v>-51.5</x:v>
      </x:c>
      <x:c r="F1000" s="34" t="str">
        <x:f>Subsurface_Radargram_Data!E19</x:f>
      </x:c>
      <x:c r="G1000" s="34" t="n">
        <x:f>Subsurface_Radargram_Data!A19</x:f>
        <x:v>-51.5</x:v>
      </x:c>
      <x:c r="H1000" s="34" t="n">
        <x:f>Subsurface_Radargram_Data!F19</x:f>
        <x:v>172.78999516047736</x:v>
      </x:c>
    </x:row>
    <x:row r="1001">
      <x:c r="A1001" s="34" t="n">
        <x:f>Subsurface_Radargram_Data!A20</x:f>
        <x:v>-51</x:v>
      </x:c>
      <x:c r="B1001" s="34" t="n">
        <x:f>Subsurface_Radargram_Data!C20</x:f>
        <x:v>11.600944731649987</x:v>
      </x:c>
      <x:c r="C1001" s="34" t="n">
        <x:f>Subsurface_Radargram_Data!A20</x:f>
        <x:v>-51</x:v>
      </x:c>
      <x:c r="D1001" s="34" t="n">
        <x:f>Subsurface_Radargram_Data!D20</x:f>
        <x:v>15.240273039994138</x:v>
      </x:c>
      <x:c r="E1001" s="34" t="n">
        <x:f>Subsurface_Radargram_Data!A20</x:f>
        <x:v>-51</x:v>
      </x:c>
      <x:c r="F1001" s="34" t="str">
        <x:f>Subsurface_Radargram_Data!E20</x:f>
      </x:c>
      <x:c r="G1001" s="34" t="n">
        <x:f>Subsurface_Radargram_Data!A20</x:f>
        <x:v>-51</x:v>
      </x:c>
      <x:c r="H1001" s="34" t="n">
        <x:f>Subsurface_Radargram_Data!F20</x:f>
        <x:v>172.91648075611016</x:v>
      </x:c>
    </x:row>
    <x:row r="1002">
      <x:c r="A1002" s="34" t="n">
        <x:f>Subsurface_Radargram_Data!A21</x:f>
        <x:v>-50.5</x:v>
      </x:c>
      <x:c r="B1002" s="34" t="n">
        <x:f>Subsurface_Radargram_Data!C21</x:f>
        <x:v>11.472937763877985</x:v>
      </x:c>
      <x:c r="C1002" s="34" t="n">
        <x:f>Subsurface_Radargram_Data!A21</x:f>
        <x:v>-50.5</x:v>
      </x:c>
      <x:c r="D1002" s="34" t="n">
        <x:f>Subsurface_Radargram_Data!D21</x:f>
        <x:v>15.373481343704539</x:v>
      </x:c>
      <x:c r="E1002" s="34" t="n">
        <x:f>Subsurface_Radargram_Data!A21</x:f>
        <x:v>-50.5</x:v>
      </x:c>
      <x:c r="F1002" s="34" t="str">
        <x:f>Subsurface_Radargram_Data!E21</x:f>
      </x:c>
      <x:c r="G1002" s="34" t="n">
        <x:f>Subsurface_Radargram_Data!A21</x:f>
        <x:v>-50.5</x:v>
      </x:c>
      <x:c r="H1002" s="34" t="n">
        <x:f>Subsurface_Radargram_Data!F21</x:f>
        <x:v>173.02931777796817</x:v>
      </x:c>
    </x:row>
    <x:row r="1003">
      <x:c r="A1003" s="34" t="n">
        <x:f>Subsurface_Radargram_Data!A22</x:f>
        <x:v>-50</x:v>
      </x:c>
      <x:c r="B1003" s="34" t="n">
        <x:f>Subsurface_Radargram_Data!C22</x:f>
        <x:v>11.349174391323663</x:v>
      </x:c>
      <x:c r="C1003" s="34" t="n">
        <x:f>Subsurface_Radargram_Data!A22</x:f>
        <x:v>-50</x:v>
      </x:c>
      <x:c r="D1003" s="34" t="n">
        <x:f>Subsurface_Radargram_Data!D22</x:f>
        <x:v>15.501182099089995</x:v>
      </x:c>
      <x:c r="E1003" s="34" t="n">
        <x:f>Subsurface_Radargram_Data!A22</x:f>
        <x:v>-50</x:v>
      </x:c>
      <x:c r="F1003" s="34" t="str">
        <x:f>Subsurface_Radargram_Data!E22</x:f>
      </x:c>
      <x:c r="G1003" s="34" t="n">
        <x:f>Subsurface_Radargram_Data!A22</x:f>
        <x:v>-50</x:v>
      </x:c>
      <x:c r="H1003" s="34" t="n">
        <x:f>Subsurface_Radargram_Data!F22</x:f>
        <x:v>173.09658303232194</x:v>
      </x:c>
    </x:row>
    <x:row r="1004">
      <x:c r="A1004" s="34" t="n">
        <x:f>Subsurface_Radargram_Data!A23</x:f>
        <x:v>-49.5</x:v>
      </x:c>
      <x:c r="B1004" s="34" t="n">
        <x:f>Subsurface_Radargram_Data!C23</x:f>
        <x:v>11.230651083891141</x:v>
      </x:c>
      <x:c r="C1004" s="34" t="n">
        <x:f>Subsurface_Radargram_Data!A23</x:f>
        <x:v>-49.5</x:v>
      </x:c>
      <x:c r="D1004" s="34" t="n">
        <x:f>Subsurface_Radargram_Data!D23</x:f>
        <x:v>15.591196271052924</x:v>
      </x:c>
      <x:c r="E1004" s="34" t="n">
        <x:f>Subsurface_Radargram_Data!A23</x:f>
        <x:v>-49.5</x:v>
      </x:c>
      <x:c r="F1004" s="34" t="str">
        <x:f>Subsurface_Radargram_Data!E23</x:f>
      </x:c>
      <x:c r="G1004" s="34" t="n">
        <x:f>Subsurface_Radargram_Data!A23</x:f>
        <x:v>-49.5</x:v>
      </x:c>
      <x:c r="H1004" s="34" t="n">
        <x:f>Subsurface_Radargram_Data!F23</x:f>
        <x:v>173.22609110799183</x:v>
      </x:c>
    </x:row>
    <x:row r="1005">
      <x:c r="A1005" s="34" t="n">
        <x:f>Subsurface_Radargram_Data!A24</x:f>
        <x:v>-49</x:v>
      </x:c>
      <x:c r="B1005" s="34" t="n">
        <x:f>Subsurface_Radargram_Data!C24</x:f>
        <x:v>11.11832212156129</x:v>
      </x:c>
      <x:c r="C1005" s="34" t="n">
        <x:f>Subsurface_Radargram_Data!A24</x:f>
        <x:v>-49</x:v>
      </x:c>
      <x:c r="D1005" s="34" t="n">
        <x:f>Subsurface_Radargram_Data!D24</x:f>
        <x:v>15.672601114629915</x:v>
      </x:c>
      <x:c r="E1005" s="34" t="n">
        <x:f>Subsurface_Radargram_Data!A24</x:f>
        <x:v>-49</x:v>
      </x:c>
      <x:c r="F1005" s="34" t="str">
        <x:f>Subsurface_Radargram_Data!E24</x:f>
      </x:c>
      <x:c r="G1005" s="34" t="n">
        <x:f>Subsurface_Radargram_Data!A24</x:f>
        <x:v>-49</x:v>
      </x:c>
      <x:c r="H1005" s="34" t="n">
        <x:f>Subsurface_Radargram_Data!F24</x:f>
        <x:v>173.31208874160276</x:v>
      </x:c>
    </x:row>
    <x:row r="1006">
      <x:c r="A1006" s="34" t="n">
        <x:f>Subsurface_Radargram_Data!A25</x:f>
        <x:v>-48.5</x:v>
      </x:c>
      <x:c r="B1006" s="34" t="n">
        <x:f>Subsurface_Radargram_Data!C25</x:f>
        <x:v>11.01309191109043</x:v>
      </x:c>
      <x:c r="C1006" s="34" t="n">
        <x:f>Subsurface_Radargram_Data!A25</x:f>
        <x:v>-48.5</x:v>
      </x:c>
      <x:c r="D1006" s="34" t="n">
        <x:f>Subsurface_Radargram_Data!D25</x:f>
        <x:v>15.726603724107166</x:v>
      </x:c>
      <x:c r="E1006" s="34" t="n">
        <x:f>Subsurface_Radargram_Data!A25</x:f>
        <x:v>-48.5</x:v>
      </x:c>
      <x:c r="F1006" s="34" t="str">
        <x:f>Subsurface_Radargram_Data!E25</x:f>
      </x:c>
      <x:c r="G1006" s="34" t="n">
        <x:f>Subsurface_Radargram_Data!A25</x:f>
        <x:v>-48.5</x:v>
      </x:c>
      <x:c r="H1006" s="34" t="n">
        <x:f>Subsurface_Radargram_Data!F25</x:f>
        <x:v>173.41727005332913</x:v>
      </x:c>
    </x:row>
    <x:row r="1007">
      <x:c r="A1007" s="34" t="n">
        <x:f>Subsurface_Radargram_Data!A26</x:f>
        <x:v>-48</x:v>
      </x:c>
      <x:c r="B1007" s="34" t="n">
        <x:f>Subsurface_Radargram_Data!C26</x:f>
        <x:v>10.915807704258912</x:v>
      </x:c>
      <x:c r="C1007" s="34" t="n">
        <x:f>Subsurface_Radargram_Data!A26</x:f>
        <x:v>-48</x:v>
      </x:c>
      <x:c r="D1007" s="34" t="n">
        <x:f>Subsurface_Radargram_Data!D26</x:f>
        <x:v>15.754873984447931</x:v>
      </x:c>
      <x:c r="E1007" s="34" t="n">
        <x:f>Subsurface_Radargram_Data!A26</x:f>
        <x:v>-48</x:v>
      </x:c>
      <x:c r="F1007" s="34" t="str">
        <x:f>Subsurface_Radargram_Data!E26</x:f>
      </x:c>
      <x:c r="G1007" s="34" t="n">
        <x:f>Subsurface_Radargram_Data!A26</x:f>
        <x:v>-48</x:v>
      </x:c>
      <x:c r="H1007" s="34" t="n">
        <x:f>Subsurface_Radargram_Data!F26</x:f>
        <x:v>173.53367089884262</x:v>
      </x:c>
    </x:row>
    <x:row r="1008">
      <x:c r="A1008" s="34" t="n">
        <x:f>Subsurface_Radargram_Data!A27</x:f>
        <x:v>-47.5</x:v>
      </x:c>
      <x:c r="B1008" s="34" t="n">
        <x:f>Subsurface_Radargram_Data!C27</x:f>
        <x:v>10.827252776297955</x:v>
      </x:c>
      <x:c r="C1008" s="34" t="n">
        <x:f>Subsurface_Radargram_Data!A27</x:f>
        <x:v>-47.5</x:v>
      </x:c>
      <x:c r="D1008" s="34" t="n">
        <x:f>Subsurface_Radargram_Data!D27</x:f>
        <x:v>15.771168158252861</x:v>
      </x:c>
      <x:c r="E1008" s="34" t="n">
        <x:f>Subsurface_Radargram_Data!A27</x:f>
        <x:v>-47.5</x:v>
      </x:c>
      <x:c r="F1008" s="34" t="str">
        <x:f>Subsurface_Radargram_Data!E27</x:f>
      </x:c>
      <x:c r="G1008" s="34" t="n">
        <x:f>Subsurface_Radargram_Data!A27</x:f>
        <x:v>-47.5</x:v>
      </x:c>
      <x:c r="H1008" s="34" t="n">
        <x:f>Subsurface_Radargram_Data!F27</x:f>
        <x:v>173.6120317154915</x:v>
      </x:c>
    </x:row>
    <x:row r="1009">
      <x:c r="A1009" s="34" t="n">
        <x:f>Subsurface_Radargram_Data!A28</x:f>
        <x:v>-47</x:v>
      </x:c>
      <x:c r="B1009" s="34" t="n">
        <x:f>Subsurface_Radargram_Data!C28</x:f>
        <x:v>10.748140119418046</x:v>
      </x:c>
      <x:c r="C1009" s="34" t="n">
        <x:f>Subsurface_Radargram_Data!A28</x:f>
        <x:v>-47</x:v>
      </x:c>
      <x:c r="D1009" s="34" t="n">
        <x:f>Subsurface_Radargram_Data!D28</x:f>
        <x:v>15.757035583970938</x:v>
      </x:c>
      <x:c r="E1009" s="34" t="n">
        <x:f>Subsurface_Radargram_Data!A28</x:f>
        <x:v>-47</x:v>
      </x:c>
      <x:c r="F1009" s="34" t="str">
        <x:f>Subsurface_Radargram_Data!E28</x:f>
      </x:c>
      <x:c r="G1009" s="34" t="n">
        <x:f>Subsurface_Radargram_Data!A28</x:f>
        <x:v>-47</x:v>
      </x:c>
      <x:c r="H1009" s="34" t="n">
        <x:f>Subsurface_Radargram_Data!F28</x:f>
        <x:v>173.71685412801585</x:v>
      </x:c>
    </x:row>
    <x:row r="1010">
      <x:c r="A1010" s="34" t="n">
        <x:f>Subsurface_Radargram_Data!A29</x:f>
        <x:v>-46.5</x:v>
      </x:c>
      <x:c r="B1010" s="34" t="n">
        <x:f>Subsurface_Radargram_Data!C29</x:f>
        <x:v>10.679106702214893</x:v>
      </x:c>
      <x:c r="C1010" s="34" t="n">
        <x:f>Subsurface_Radargram_Data!A29</x:f>
        <x:v>-46.5</x:v>
      </x:c>
      <x:c r="D1010" s="34" t="n">
        <x:f>Subsurface_Radargram_Data!D29</x:f>
        <x:v>15.725458307066779</x:v>
      </x:c>
      <x:c r="E1010" s="34" t="n">
        <x:f>Subsurface_Radargram_Data!A29</x:f>
        <x:v>-46.5</x:v>
      </x:c>
      <x:c r="F1010" s="34" t="str">
        <x:f>Subsurface_Radargram_Data!E29</x:f>
      </x:c>
      <x:c r="G1010" s="34" t="n">
        <x:f>Subsurface_Radargram_Data!A29</x:f>
        <x:v>-46.5</x:v>
      </x:c>
      <x:c r="H1010" s="34" t="n">
        <x:f>Subsurface_Radargram_Data!F29</x:f>
        <x:v>173.80367612730618</x:v>
      </x:c>
    </x:row>
    <x:row r="1011">
      <x:c r="A1011" s="34" t="n">
        <x:f>Subsurface_Radargram_Data!A30</x:f>
        <x:v>-46</x:v>
      </x:c>
      <x:c r="B1011" s="34" t="n">
        <x:f>Subsurface_Radargram_Data!C30</x:f>
        <x:v>10.620708341172824</x:v>
      </x:c>
      <x:c r="C1011" s="34" t="n">
        <x:f>Subsurface_Radargram_Data!A30</x:f>
        <x:v>-46</x:v>
      </x:c>
      <x:c r="D1011" s="34" t="n">
        <x:f>Subsurface_Radargram_Data!D30</x:f>
        <x:v>15.665259253335098</x:v>
      </x:c>
      <x:c r="E1011" s="34" t="n">
        <x:f>Subsurface_Radargram_Data!A30</x:f>
        <x:v>-46</x:v>
      </x:c>
      <x:c r="F1011" s="34" t="str">
        <x:f>Subsurface_Radargram_Data!E30</x:f>
      </x:c>
      <x:c r="G1011" s="34" t="n">
        <x:f>Subsurface_Radargram_Data!A30</x:f>
        <x:v>-46</x:v>
      </x:c>
      <x:c r="H1011" s="34" t="n">
        <x:f>Subsurface_Radargram_Data!F30</x:f>
        <x:v>173.91364065722678</x:v>
      </x:c>
    </x:row>
    <x:row r="1012">
      <x:c r="A1012" s="34" t="n">
        <x:f>Subsurface_Radargram_Data!A31</x:f>
        <x:v>-45.5</x:v>
      </x:c>
      <x:c r="B1012" s="34" t="n">
        <x:f>Subsurface_Radargram_Data!C31</x:f>
        <x:v>10.57341522555727</x:v>
      </x:c>
      <x:c r="C1012" s="34" t="n">
        <x:f>Subsurface_Radargram_Data!A31</x:f>
        <x:v>-45.5</x:v>
      </x:c>
      <x:c r="D1012" s="34" t="n">
        <x:f>Subsurface_Radargram_Data!D31</x:f>
        <x:v>15.589300365519971</x:v>
      </x:c>
      <x:c r="E1012" s="34" t="n">
        <x:f>Subsurface_Radargram_Data!A31</x:f>
        <x:v>-45.5</x:v>
      </x:c>
      <x:c r="F1012" s="34" t="str">
        <x:f>Subsurface_Radargram_Data!E31</x:f>
      </x:c>
      <x:c r="G1012" s="34" t="n">
        <x:f>Subsurface_Radargram_Data!A31</x:f>
        <x:v>-45.5</x:v>
      </x:c>
      <x:c r="H1012" s="34" t="n">
        <x:f>Subsurface_Radargram_Data!F31</x:f>
        <x:v>174.00478239392748</x:v>
      </x:c>
    </x:row>
    <x:row r="1013">
      <x:c r="A1013" s="34" t="n">
        <x:f>Subsurface_Radargram_Data!A32</x:f>
        <x:v>-45</x:v>
      </x:c>
      <x:c r="B1013" s="34" t="n">
        <x:f>Subsurface_Radargram_Data!C32</x:f>
        <x:v>10.537608131727264</x:v>
      </x:c>
      <x:c r="C1013" s="34" t="n">
        <x:f>Subsurface_Radargram_Data!A32</x:f>
        <x:v>-45</x:v>
      </x:c>
      <x:c r="D1013" s="34" t="n">
        <x:f>Subsurface_Radargram_Data!D32</x:f>
        <x:v>15.487936108104272</x:v>
      </x:c>
      <x:c r="E1013" s="34" t="n">
        <x:f>Subsurface_Radargram_Data!A32</x:f>
        <x:v>-45</x:v>
      </x:c>
      <x:c r="F1013" s="34" t="str">
        <x:f>Subsurface_Radargram_Data!E32</x:f>
      </x:c>
      <x:c r="G1013" s="34" t="n">
        <x:f>Subsurface_Radargram_Data!A32</x:f>
        <x:v>-45</x:v>
      </x:c>
      <x:c r="H1013" s="34" t="n">
        <x:f>Subsurface_Radargram_Data!F32</x:f>
        <x:v>174.11490385867228</x:v>
      </x:c>
    </x:row>
    <x:row r="1014">
      <x:c r="A1014" s="34" t="n">
        <x:f>Subsurface_Radargram_Data!A33</x:f>
        <x:v>-44.5</x:v>
      </x:c>
      <x:c r="B1014" s="34" t="n">
        <x:f>Subsurface_Radargram_Data!C33</x:f>
        <x:v>10.513575357348097</x:v>
      </x:c>
      <x:c r="C1014" s="34" t="n">
        <x:f>Subsurface_Radargram_Data!A33</x:f>
        <x:v>-44.5</x:v>
      </x:c>
      <x:c r="D1014" s="34" t="n">
        <x:f>Subsurface_Radargram_Data!D33</x:f>
        <x:v>15.375873820031197</x:v>
      </x:c>
      <x:c r="E1014" s="34" t="n">
        <x:f>Subsurface_Radargram_Data!A33</x:f>
        <x:v>-44.5</x:v>
      </x:c>
      <x:c r="F1014" s="34" t="str">
        <x:f>Subsurface_Radargram_Data!E33</x:f>
      </x:c>
      <x:c r="G1014" s="34" t="n">
        <x:f>Subsurface_Radargram_Data!A33</x:f>
        <x:v>-44.5</x:v>
      </x:c>
      <x:c r="H1014" s="34" t="n">
        <x:f>Subsurface_Radargram_Data!F33</x:f>
        <x:v>174.19751104549064</x:v>
      </x:c>
    </x:row>
    <x:row r="1015">
      <x:c r="A1015" s="34" t="n">
        <x:f>Subsurface_Radargram_Data!A34</x:f>
        <x:v>-44</x:v>
      </x:c>
      <x:c r="B1015" s="34" t="n">
        <x:f>Subsurface_Radargram_Data!C34</x:f>
        <x:v>10.501510400188028</x:v>
      </x:c>
      <x:c r="C1015" s="34" t="n">
        <x:f>Subsurface_Radargram_Data!A34</x:f>
        <x:v>-44</x:v>
      </x:c>
      <x:c r="D1015" s="34" t="n">
        <x:f>Subsurface_Radargram_Data!D34</x:f>
        <x:v>15.250799526961734</x:v>
      </x:c>
      <x:c r="E1015" s="34" t="n">
        <x:f>Subsurface_Radargram_Data!A34</x:f>
        <x:v>-44</x:v>
      </x:c>
      <x:c r="F1015" s="34" t="str">
        <x:f>Subsurface_Radargram_Data!E34</x:f>
      </x:c>
      <x:c r="G1015" s="34" t="n">
        <x:f>Subsurface_Radargram_Data!A34</x:f>
        <x:v>-44</x:v>
      </x:c>
      <x:c r="H1015" s="34" t="n">
        <x:f>Subsurface_Radargram_Data!F34</x:f>
        <x:v>174.26655408317814</x:v>
      </x:c>
    </x:row>
    <x:row r="1016">
      <x:c r="A1016" s="34" t="n">
        <x:f>Subsurface_Radargram_Data!A35</x:f>
        <x:v>-43.5</x:v>
      </x:c>
      <x:c r="B1016" s="34" t="n">
        <x:f>Subsurface_Radargram_Data!C35</x:f>
        <x:v>10.501510400188028</x:v>
      </x:c>
      <x:c r="C1016" s="34" t="n">
        <x:f>Subsurface_Radargram_Data!A35</x:f>
        <x:v>-43.5</x:v>
      </x:c>
      <x:c r="D1016" s="34" t="n">
        <x:f>Subsurface_Radargram_Data!D35</x:f>
        <x:v>15.117796410487783</x:v>
      </x:c>
      <x:c r="E1016" s="34" t="n">
        <x:f>Subsurface_Radargram_Data!A35</x:f>
        <x:v>-43.5</x:v>
      </x:c>
      <x:c r="F1016" s="34" t="str">
        <x:f>Subsurface_Radargram_Data!E35</x:f>
      </x:c>
      <x:c r="G1016" s="34" t="n">
        <x:f>Subsurface_Radargram_Data!A35</x:f>
        <x:v>-43.5</x:v>
      </x:c>
      <x:c r="H1016" s="34" t="n">
        <x:f>Subsurface_Radargram_Data!F35</x:f>
        <x:v>174.3108786921869</x:v>
      </x:c>
    </x:row>
    <x:row r="1017">
      <x:c r="A1017" s="34" t="n">
        <x:f>Subsurface_Radargram_Data!A36</x:f>
        <x:v>-43</x:v>
      </x:c>
      <x:c r="B1017" s="34" t="n">
        <x:f>Subsurface_Radargram_Data!C36</x:f>
        <x:v>10.513575357348097</x:v>
      </x:c>
      <x:c r="C1017" s="34" t="n">
        <x:f>Subsurface_Radargram_Data!A36</x:f>
        <x:v>-43</x:v>
      </x:c>
      <x:c r="D1017" s="34" t="n">
        <x:f>Subsurface_Radargram_Data!D36</x:f>
        <x:v>14.953652118705836</x:v>
      </x:c>
      <x:c r="E1017" s="34" t="n">
        <x:f>Subsurface_Radargram_Data!A36</x:f>
        <x:v>-43</x:v>
      </x:c>
      <x:c r="F1017" s="34" t="str">
        <x:f>Subsurface_Radargram_Data!E36</x:f>
      </x:c>
      <x:c r="G1017" s="34" t="n">
        <x:f>Subsurface_Radargram_Data!A36</x:f>
        <x:v>-43</x:v>
      </x:c>
      <x:c r="H1017" s="34" t="n">
        <x:f>Subsurface_Radargram_Data!F36</x:f>
        <x:v>174.41905302011025</x:v>
      </x:c>
    </x:row>
    <x:row r="1018">
      <x:c r="A1018" s="34" t="n">
        <x:f>Subsurface_Radargram_Data!A37</x:f>
        <x:v>-42.5</x:v>
      </x:c>
      <x:c r="B1018" s="34" t="n">
        <x:f>Subsurface_Radargram_Data!C37</x:f>
        <x:v>10.537608131727264</x:v>
      </x:c>
      <x:c r="C1018" s="34" t="n">
        <x:f>Subsurface_Radargram_Data!A37</x:f>
        <x:v>-42.5</x:v>
      </x:c>
      <x:c r="D1018" s="34" t="n">
        <x:f>Subsurface_Radargram_Data!D37</x:f>
        <x:v>14.795059516896803</x:v>
      </x:c>
      <x:c r="E1018" s="34" t="n">
        <x:f>Subsurface_Radargram_Data!A37</x:f>
        <x:v>-42.5</x:v>
      </x:c>
      <x:c r="F1018" s="34" t="str">
        <x:f>Subsurface_Radargram_Data!E37</x:f>
      </x:c>
      <x:c r="G1018" s="34" t="n">
        <x:f>Subsurface_Radargram_Data!A37</x:f>
        <x:v>-42.5</x:v>
      </x:c>
      <x:c r="H1018" s="34" t="n">
        <x:f>Subsurface_Radargram_Data!F37</x:f>
        <x:v>174.47055524788928</x:v>
      </x:c>
    </x:row>
    <x:row r="1019">
      <x:c r="A1019" s="34" t="n">
        <x:f>Subsurface_Radargram_Data!A38</x:f>
        <x:v>-42</x:v>
      </x:c>
      <x:c r="B1019" s="34" t="n">
        <x:f>Subsurface_Radargram_Data!C38</x:f>
        <x:v>10.57341522555727</x:v>
      </x:c>
      <x:c r="C1019" s="34" t="n">
        <x:f>Subsurface_Radargram_Data!A38</x:f>
        <x:v>-42</x:v>
      </x:c>
      <x:c r="D1019" s="34" t="n">
        <x:f>Subsurface_Radargram_Data!D38</x:f>
        <x:v>14.623633092067976</x:v>
      </x:c>
      <x:c r="E1019" s="34" t="n">
        <x:f>Subsurface_Radargram_Data!A38</x:f>
        <x:v>-42</x:v>
      </x:c>
      <x:c r="F1019" s="34" t="n">
        <x:f>Subsurface_Radargram_Data!E38</x:f>
        <x:v>63.69463087860594</x:v>
      </x:c>
      <x:c r="G1019" s="34" t="n">
        <x:f>Subsurface_Radargram_Data!A38</x:f>
        <x:v>-42</x:v>
      </x:c>
      <x:c r="H1019" s="34" t="n">
        <x:f>Subsurface_Radargram_Data!F38</x:f>
        <x:v>174.53809594102577</x:v>
      </x:c>
    </x:row>
    <x:row r="1020">
      <x:c r="A1020" s="34" t="n">
        <x:f>Subsurface_Radargram_Data!A39</x:f>
        <x:v>-41.5</x:v>
      </x:c>
      <x:c r="B1020" s="34" t="n">
        <x:f>Subsurface_Radargram_Data!C39</x:f>
        <x:v>10.620708341172824</x:v>
      </x:c>
      <x:c r="C1020" s="34" t="n">
        <x:f>Subsurface_Radargram_Data!A39</x:f>
        <x:v>-41.5</x:v>
      </x:c>
      <x:c r="D1020" s="34" t="n">
        <x:f>Subsurface_Radargram_Data!D39</x:f>
        <x:v>14.453309080222434</x:v>
      </x:c>
      <x:c r="E1020" s="34" t="n">
        <x:f>Subsurface_Radargram_Data!A39</x:f>
        <x:v>-41.5</x:v>
      </x:c>
      <x:c r="F1020" s="34" t="n">
        <x:f>Subsurface_Radargram_Data!E39</x:f>
        <x:v>63.272179333920896</x:v>
      </x:c>
      <x:c r="G1020" s="34" t="n">
        <x:f>Subsurface_Radargram_Data!A39</x:f>
        <x:v>-41.5</x:v>
      </x:c>
      <x:c r="H1020" s="34" t="n">
        <x:f>Subsurface_Radargram_Data!F39</x:f>
        <x:v>174.58158883344757</x:v>
      </x:c>
    </x:row>
    <x:row r="1021">
      <x:c r="A1021" s="34" t="n">
        <x:f>Subsurface_Radargram_Data!A40</x:f>
        <x:v>-41</x:v>
      </x:c>
      <x:c r="B1021" s="34" t="n">
        <x:f>Subsurface_Radargram_Data!C40</x:f>
        <x:v>10.679106702214893</x:v>
      </x:c>
      <x:c r="C1021" s="34" t="n">
        <x:f>Subsurface_Radargram_Data!A40</x:f>
        <x:v>-41</x:v>
      </x:c>
      <x:c r="D1021" s="34" t="n">
        <x:f>Subsurface_Radargram_Data!D40</x:f>
        <x:v>14.283125832266197</x:v>
      </x:c>
      <x:c r="E1021" s="34" t="n">
        <x:f>Subsurface_Radargram_Data!A40</x:f>
        <x:v>-41</x:v>
      </x:c>
      <x:c r="F1021" s="34" t="n">
        <x:f>Subsurface_Radargram_Data!E40</x:f>
        <x:v>62.83770307044693</x:v>
      </x:c>
      <x:c r="G1021" s="34" t="n">
        <x:f>Subsurface_Radargram_Data!A40</x:f>
        <x:v>-41</x:v>
      </x:c>
      <x:c r="H1021" s="34" t="n">
        <x:f>Subsurface_Radargram_Data!F40</x:f>
        <x:v>174.61328434077456</x:v>
      </x:c>
    </x:row>
    <x:row r="1022">
      <x:c r="A1022" s="34" t="n">
        <x:f>Subsurface_Radargram_Data!A41</x:f>
        <x:v>-40.5</x:v>
      </x:c>
      <x:c r="B1022" s="34" t="n">
        <x:f>Subsurface_Radargram_Data!C41</x:f>
        <x:v>10.748140119418046</x:v>
      </x:c>
      <x:c r="C1022" s="34" t="n">
        <x:f>Subsurface_Radargram_Data!A41</x:f>
        <x:v>-40.5</x:v>
      </x:c>
      <x:c r="D1022" s="34" t="n">
        <x:f>Subsurface_Radargram_Data!D41</x:f>
        <x:v>14.11788278833431</x:v>
      </x:c>
      <x:c r="E1022" s="34" t="n">
        <x:f>Subsurface_Radargram_Data!A41</x:f>
        <x:v>-40.5</x:v>
      </x:c>
      <x:c r="F1022" s="34" t="n">
        <x:f>Subsurface_Radargram_Data!E41</x:f>
        <x:v>62.393836762334416</x:v>
      </x:c>
      <x:c r="G1022" s="34" t="n">
        <x:f>Subsurface_Radargram_Data!A41</x:f>
        <x:v>-40.5</x:v>
      </x:c>
      <x:c r="H1022" s="34" t="n">
        <x:f>Subsurface_Radargram_Data!F41</x:f>
        <x:v>174.62532374899945</x:v>
      </x:c>
    </x:row>
    <x:row r="1023">
      <x:c r="A1023" s="34" t="n">
        <x:f>Subsurface_Radargram_Data!A42</x:f>
        <x:v>-40</x:v>
      </x:c>
      <x:c r="B1023" s="34" t="n">
        <x:f>Subsurface_Radargram_Data!C42</x:f>
        <x:v>10.827252776297955</x:v>
      </x:c>
      <x:c r="C1023" s="34" t="n">
        <x:f>Subsurface_Radargram_Data!A42</x:f>
        <x:v>-40</x:v>
      </x:c>
      <x:c r="D1023" s="34" t="n">
        <x:f>Subsurface_Radargram_Data!D42</x:f>
        <x:v>13.951784584339508</x:v>
      </x:c>
      <x:c r="E1023" s="34" t="n">
        <x:f>Subsurface_Radargram_Data!A42</x:f>
        <x:v>-40</x:v>
      </x:c>
      <x:c r="F1023" s="34" t="n">
        <x:f>Subsurface_Radargram_Data!E42</x:f>
        <x:v>61.94327669589608</x:v>
      </x:c>
      <x:c r="G1023" s="34" t="n">
        <x:f>Subsurface_Radargram_Data!A42</x:f>
        <x:v>-40</x:v>
      </x:c>
      <x:c r="H1023" s="34" t="n">
        <x:f>Subsurface_Radargram_Data!F42</x:f>
        <x:v>174.64684358455034</x:v>
      </x:c>
    </x:row>
    <x:row r="1024">
      <x:c r="A1024" s="34" t="n">
        <x:f>Subsurface_Radargram_Data!A43</x:f>
        <x:v>-39.5</x:v>
      </x:c>
      <x:c r="B1024" s="34" t="n">
        <x:f>Subsurface_Radargram_Data!C43</x:f>
        <x:v>10.915807704258913</x:v>
      </x:c>
      <x:c r="C1024" s="34" t="n">
        <x:f>Subsurface_Radargram_Data!A43</x:f>
        <x:v>-39.5</x:v>
      </x:c>
      <x:c r="D1024" s="34" t="n">
        <x:f>Subsurface_Radargram_Data!D43</x:f>
        <x:v>13.789659895467674</x:v>
      </x:c>
      <x:c r="E1024" s="34" t="n">
        <x:f>Subsurface_Radargram_Data!A43</x:f>
        <x:v>-39.5</x:v>
      </x:c>
      <x:c r="F1024" s="34" t="n">
        <x:f>Subsurface_Radargram_Data!E43</x:f>
        <x:v>61.48875026069394</x:v>
      </x:c>
      <x:c r="G1024" s="34" t="n">
        <x:f>Subsurface_Radargram_Data!A43</x:f>
        <x:v>-39.5</x:v>
      </x:c>
      <x:c r="H1024" s="34" t="n">
        <x:f>Subsurface_Radargram_Data!F43</x:f>
        <x:v>174.66956894659648</x:v>
      </x:c>
    </x:row>
    <x:row r="1025">
      <x:c r="A1025" s="34" t="n">
        <x:f>Subsurface_Radargram_Data!A44</x:f>
        <x:v>-39</x:v>
      </x:c>
      <x:c r="B1025" s="34" t="n">
        <x:f>Subsurface_Radargram_Data!C44</x:f>
        <x:v>11.01309191109043</x:v>
      </x:c>
      <x:c r="C1025" s="34" t="n">
        <x:f>Subsurface_Radargram_Data!A44</x:f>
        <x:v>-39</x:v>
      </x:c>
      <x:c r="D1025" s="34" t="n">
        <x:f>Subsurface_Radargram_Data!D44</x:f>
        <x:v>13.625913725676966</x:v>
      </x:c>
      <x:c r="E1025" s="34" t="n">
        <x:f>Subsurface_Radargram_Data!A44</x:f>
        <x:v>-39</x:v>
      </x:c>
      <x:c r="F1025" s="34" t="n">
        <x:f>Subsurface_Radargram_Data!E44</x:f>
        <x:v>61.032985253532715</x:v>
      </x:c>
      <x:c r="G1025" s="34" t="n">
        <x:f>Subsurface_Radargram_Data!A44</x:f>
        <x:v>-39</x:v>
      </x:c>
      <x:c r="H1025" s="34" t="n">
        <x:f>Subsurface_Radargram_Data!F44</x:f>
        <x:v>174.72134273308524</x:v>
      </x:c>
    </x:row>
    <x:row r="1026">
      <x:c r="A1026" s="34" t="n">
        <x:f>Subsurface_Radargram_Data!A45</x:f>
        <x:v>-38.5</x:v>
      </x:c>
      <x:c r="B1026" s="34" t="n">
        <x:f>Subsurface_Radargram_Data!C45</x:f>
        <x:v>11.11832212156129</x:v>
      </x:c>
      <x:c r="C1026" s="34" t="n">
        <x:f>Subsurface_Radargram_Data!A45</x:f>
        <x:v>-38.5</x:v>
      </x:c>
      <x:c r="D1026" s="34" t="n">
        <x:f>Subsurface_Radargram_Data!D45</x:f>
        <x:v>13.492768959798088</x:v>
      </x:c>
      <x:c r="E1026" s="34" t="n">
        <x:f>Subsurface_Radargram_Data!A45</x:f>
        <x:v>-38.5</x:v>
      </x:c>
      <x:c r="F1026" s="34" t="n">
        <x:f>Subsurface_Radargram_Data!E45</x:f>
        <x:v>60.578679386341655</x:v>
      </x:c>
      <x:c r="G1026" s="34" t="n">
        <x:f>Subsurface_Radargram_Data!A45</x:f>
        <x:v>-38.5</x:v>
      </x:c>
      <x:c r="H1026" s="34" t="n">
        <x:f>Subsurface_Radargram_Data!F45</x:f>
        <x:v>174.69714778843633</x:v>
      </x:c>
    </x:row>
    <x:row r="1027">
      <x:c r="A1027" s="34" t="n">
        <x:f>Subsurface_Radargram_Data!A46</x:f>
        <x:v>-38</x:v>
      </x:c>
      <x:c r="B1027" s="34" t="n">
        <x:f>Subsurface_Radargram_Data!C46</x:f>
        <x:v>11.230651083891141</x:v>
      </x:c>
      <x:c r="C1027" s="34" t="n">
        <x:f>Subsurface_Radargram_Data!A46</x:f>
        <x:v>-38</x:v>
      </x:c>
      <x:c r="D1027" s="34" t="n">
        <x:f>Subsurface_Radargram_Data!D46</x:f>
        <x:v>13.354530369621418</x:v>
      </x:c>
      <x:c r="E1027" s="34" t="n">
        <x:f>Subsurface_Radargram_Data!A46</x:f>
        <x:v>-38</x:v>
      </x:c>
      <x:c r="F1027" s="34" t="n">
        <x:f>Subsurface_Radargram_Data!E46</x:f>
        <x:v>60.12847038374264</x:v>
      </x:c>
      <x:c r="G1027" s="34" t="n">
        <x:f>Subsurface_Radargram_Data!A46</x:f>
        <x:v>-38</x:v>
      </x:c>
      <x:c r="H1027" s="34" t="n">
        <x:f>Subsurface_Radargram_Data!F46</x:f>
        <x:v>174.7290581190651</x:v>
      </x:c>
    </x:row>
    <x:row r="1028">
      <x:c r="A1028" s="34" t="n">
        <x:f>Subsurface_Radargram_Data!A47</x:f>
        <x:v>-37.5</x:v>
      </x:c>
      <x:c r="B1028" s="34" t="n">
        <x:f>Subsurface_Radargram_Data!C47</x:f>
        <x:v>11.349174391323663</x:v>
      </x:c>
      <x:c r="C1028" s="34" t="n">
        <x:f>Subsurface_Radargram_Data!A47</x:f>
        <x:v>-37.5</x:v>
      </x:c>
      <x:c r="D1028" s="34" t="n">
        <x:f>Subsurface_Radargram_Data!D47</x:f>
        <x:v>13.25130854879388</x:v>
      </x:c>
      <x:c r="E1028" s="34" t="n">
        <x:f>Subsurface_Radargram_Data!A47</x:f>
        <x:v>-37.5</x:v>
      </x:c>
      <x:c r="F1028" s="34" t="n">
        <x:f>Subsurface_Radargram_Data!E47</x:f>
        <x:v>59.684907046045694</x:v>
      </x:c>
      <x:c r="G1028" s="34" t="n">
        <x:f>Subsurface_Radargram_Data!A47</x:f>
        <x:v>-37.5</x:v>
      </x:c>
      <x:c r="H1028" s="34" t="n">
        <x:f>Subsurface_Radargram_Data!F47</x:f>
        <x:v>174.6830902189844</x:v>
      </x:c>
    </x:row>
    <x:row r="1029">
      <x:c r="A1029" s="34" t="n">
        <x:f>Subsurface_Radargram_Data!A48</x:f>
        <x:v>-37</x:v>
      </x:c>
      <x:c r="B1029" s="34" t="n">
        <x:f>Subsurface_Radargram_Data!C48</x:f>
        <x:v>11.472937763877987</x:v>
      </x:c>
      <x:c r="C1029" s="34" t="n">
        <x:f>Subsurface_Radargram_Data!A48</x:f>
        <x:v>-37</x:v>
      </x:c>
      <x:c r="D1029" s="34" t="n">
        <x:f>Subsurface_Radargram_Data!D48</x:f>
        <x:v>13.14462425572058</x:v>
      </x:c>
      <x:c r="E1029" s="34" t="n">
        <x:f>Subsurface_Radargram_Data!A48</x:f>
        <x:v>-37</x:v>
      </x:c>
      <x:c r="F1029" s="34" t="n">
        <x:f>Subsurface_Radargram_Data!E48</x:f>
        <x:v>59.25042163867944</x:v>
      </x:c>
      <x:c r="G1029" s="34" t="n">
        <x:f>Subsurface_Radargram_Data!A48</x:f>
        <x:v>-37</x:v>
      </x:c>
      <x:c r="H1029" s="34" t="n">
        <x:f>Subsurface_Radargram_Data!F48</x:f>
        <x:v>174.69948488032745</x:v>
      </x:c>
    </x:row>
    <x:row r="1030">
      <x:c r="A1030" s="34" t="n">
        <x:f>Subsurface_Radargram_Data!A49</x:f>
        <x:v>-36.5</x:v>
      </x:c>
      <x:c r="B1030" s="34" t="n">
        <x:f>Subsurface_Radargram_Data!C49</x:f>
        <x:v>11.600944731649987</x:v>
      </x:c>
      <x:c r="C1030" s="34" t="n">
        <x:f>Subsurface_Radargram_Data!A49</x:f>
        <x:v>-36.5</x:v>
      </x:c>
      <x:c r="D1030" s="34" t="n">
        <x:f>Subsurface_Radargram_Data!D49</x:f>
        <x:v>13.069401997832664</x:v>
      </x:c>
      <x:c r="E1030" s="34" t="n">
        <x:f>Subsurface_Radargram_Data!A49</x:f>
        <x:v>-36.5</x:v>
      </x:c>
      <x:c r="F1030" s="34" t="n">
        <x:f>Subsurface_Radargram_Data!E49</x:f>
        <x:v>58.82730394989614</x:v>
      </x:c>
      <x:c r="G1030" s="34" t="n">
        <x:f>Subsurface_Radargram_Data!A49</x:f>
        <x:v>-36.5</x:v>
      </x:c>
      <x:c r="H1030" s="34" t="n">
        <x:f>Subsurface_Radargram_Data!F49</x:f>
        <x:v>174.6606404341728</x:v>
      </x:c>
    </x:row>
    <x:row r="1031">
      <x:c r="A1031" s="34" t="n">
        <x:f>Subsurface_Radargram_Data!A50</x:f>
        <x:v>-36</x:v>
      </x:c>
      <x:c r="B1031" s="34" t="n">
        <x:f>Subsurface_Radargram_Data!C50</x:f>
        <x:v>11.732164657802045</x:v>
      </x:c>
      <x:c r="C1031" s="34" t="n">
        <x:f>Subsurface_Radargram_Data!A50</x:f>
        <x:v>-36</x:v>
      </x:c>
      <x:c r="D1031" s="34" t="n">
        <x:f>Subsurface_Radargram_Data!D50</x:f>
        <x:v>13.001920703650951</x:v>
      </x:c>
      <x:c r="E1031" s="34" t="n">
        <x:f>Subsurface_Radargram_Data!A50</x:f>
        <x:v>-36</x:v>
      </x:c>
      <x:c r="F1031" s="34" t="n">
        <x:f>Subsurface_Radargram_Data!E50</x:f>
        <x:v>58.41767733528795</x:v>
      </x:c>
      <x:c r="G1031" s="34" t="n">
        <x:f>Subsurface_Radargram_Data!A50</x:f>
        <x:v>-36</x:v>
      </x:c>
      <x:c r="H1031" s="34" t="n">
        <x:f>Subsurface_Radargram_Data!F50</x:f>
        <x:v>174.6532115967964</x:v>
      </x:c>
    </x:row>
    <x:row r="1032">
      <x:c r="A1032" s="34" t="n">
        <x:f>Subsurface_Radargram_Data!A51</x:f>
        <x:v>-35.5</x:v>
      </x:c>
      <x:c r="B1032" s="34" t="n">
        <x:f>Subsurface_Radargram_Data!C51</x:f>
        <x:v>11.86554103664485</x:v>
      </x:c>
      <x:c r="C1032" s="34" t="n">
        <x:f>Subsurface_Radargram_Data!A51</x:f>
        <x:v>-35.5</x:v>
      </x:c>
      <x:c r="D1032" s="34" t="n">
        <x:f>Subsurface_Radargram_Data!D51</x:f>
        <x:v>12.954022272277502</x:v>
      </x:c>
      <x:c r="E1032" s="34" t="n">
        <x:f>Subsurface_Radargram_Data!A51</x:f>
        <x:v>-35.5</x:v>
      </x:c>
      <x:c r="F1032" s="34" t="n">
        <x:f>Subsurface_Radargram_Data!E51</x:f>
        <x:v>58.02347704055207</x:v>
      </x:c>
      <x:c r="G1032" s="34" t="n">
        <x:f>Subsurface_Radargram_Data!A51</x:f>
        <x:v>-35.5</x:v>
      </x:c>
      <x:c r="H1032" s="34" t="n">
        <x:f>Subsurface_Radargram_Data!F51</x:f>
        <x:v>174.63832253988505</x:v>
      </x:c>
    </x:row>
    <x:row r="1033">
      <x:c r="A1033" s="34" t="n">
        <x:f>Subsurface_Radargram_Data!A52</x:f>
        <x:v>-35</x:v>
      </x:c>
      <x:c r="B1033" s="34" t="n">
        <x:f>Subsurface_Radargram_Data!C52</x:f>
        <x:v>12</x:v>
      </x:c>
      <x:c r="C1033" s="34" t="n">
        <x:f>Subsurface_Radargram_Data!A52</x:f>
        <x:v>-35</x:v>
      </x:c>
      <x:c r="D1033" s="34" t="n">
        <x:f>Subsurface_Radargram_Data!D52</x:f>
        <x:v>12.916876813734895</x:v>
      </x:c>
      <x:c r="E1033" s="34" t="n">
        <x:f>Subsurface_Radargram_Data!A52</x:f>
        <x:v>-35</x:v>
      </x:c>
      <x:c r="F1033" s="34" t="n">
        <x:f>Subsurface_Radargram_Data!E52</x:f>
        <x:v>57.646431063426405</x:v>
      </x:c>
      <x:c r="G1033" s="34" t="n">
        <x:f>Subsurface_Radargram_Data!A52</x:f>
        <x:v>-35</x:v>
      </x:c>
      <x:c r="H1033" s="34" t="n">
        <x:f>Subsurface_Radargram_Data!F52</x:f>
        <x:v>174.64834943811942</x:v>
      </x:c>
    </x:row>
    <x:row r="1034">
      <x:c r="A1034" s="34" t="n">
        <x:f>Subsurface_Radargram_Data!A53</x:f>
        <x:v>-34.5</x:v>
      </x:c>
      <x:c r="B1034" s="34" t="n">
        <x:f>Subsurface_Radargram_Data!C53</x:f>
        <x:v>12.13445896335515</x:v>
      </x:c>
      <x:c r="C1034" s="34" t="n">
        <x:f>Subsurface_Radargram_Data!A53</x:f>
        <x:v>-34.5</x:v>
      </x:c>
      <x:c r="D1034" s="34" t="n">
        <x:f>Subsurface_Radargram_Data!D53</x:f>
        <x:v>12.916974675122045</x:v>
      </x:c>
      <x:c r="E1034" s="34" t="n">
        <x:f>Subsurface_Radargram_Data!A53</x:f>
        <x:v>-34.5</x:v>
      </x:c>
      <x:c r="F1034" s="34" t="n">
        <x:f>Subsurface_Radargram_Data!E53</x:f>
        <x:v>57.28804378219413</x:v>
      </x:c>
      <x:c r="G1034" s="34" t="n">
        <x:f>Subsurface_Radargram_Data!A53</x:f>
        <x:v>-34.5</x:v>
      </x:c>
      <x:c r="H1034" s="34" t="n">
        <x:f>Subsurface_Radargram_Data!F53</x:f>
        <x:v>174.59092795860985</x:v>
      </x:c>
    </x:row>
    <x:row r="1035">
      <x:c r="A1035" s="34" t="n">
        <x:f>Subsurface_Radargram_Data!A54</x:f>
        <x:v>-34</x:v>
      </x:c>
      <x:c r="B1035" s="34" t="n">
        <x:f>Subsurface_Radargram_Data!C54</x:f>
        <x:v>12.267835342197955</x:v>
      </x:c>
      <x:c r="C1035" s="34" t="n">
        <x:f>Subsurface_Radargram_Data!A54</x:f>
        <x:v>-34</x:v>
      </x:c>
      <x:c r="D1035" s="34" t="n">
        <x:f>Subsurface_Radargram_Data!D54</x:f>
        <x:v>12.919620293137514</x:v>
      </x:c>
      <x:c r="E1035" s="34" t="n">
        <x:f>Subsurface_Radargram_Data!A54</x:f>
        <x:v>-34</x:v>
      </x:c>
      <x:c r="F1035" s="34" t="n">
        <x:f>Subsurface_Radargram_Data!E54</x:f>
        <x:v>56.94958254206358</x:v>
      </x:c>
      <x:c r="G1035" s="34" t="n">
        <x:f>Subsurface_Radargram_Data!A54</x:f>
        <x:v>-34</x:v>
      </x:c>
      <x:c r="H1035" s="34" t="n">
        <x:f>Subsurface_Radargram_Data!F54</x:f>
        <x:v>174.58672352729175</x:v>
      </x:c>
    </x:row>
    <x:row r="1036">
      <x:c r="A1036" s="34" t="n">
        <x:f>Subsurface_Radargram_Data!A55</x:f>
        <x:v>-33.5</x:v>
      </x:c>
      <x:c r="B1036" s="34" t="n">
        <x:f>Subsurface_Radargram_Data!C55</x:f>
        <x:v>12.399055268350013</x:v>
      </x:c>
      <x:c r="C1036" s="34" t="n">
        <x:f>Subsurface_Radargram_Data!A55</x:f>
        <x:v>-33.5</x:v>
      </x:c>
      <x:c r="D1036" s="34" t="n">
        <x:f>Subsurface_Radargram_Data!D55</x:f>
        <x:v>12.942413776663583</x:v>
      </x:c>
      <x:c r="E1036" s="34" t="n">
        <x:f>Subsurface_Radargram_Data!A55</x:f>
        <x:v>-33.5</x:v>
      </x:c>
      <x:c r="F1036" s="34" t="n">
        <x:f>Subsurface_Radargram_Data!E55</x:f>
        <x:v>56.63206735252432</x:v>
      </x:c>
      <x:c r="G1036" s="34" t="n">
        <x:f>Subsurface_Radargram_Data!A55</x:f>
        <x:v>-33.5</x:v>
      </x:c>
      <x:c r="H1036" s="34" t="n">
        <x:f>Subsurface_Radargram_Data!F55</x:f>
        <x:v>174.5722638558172</x:v>
      </x:c>
    </x:row>
    <x:row r="1037">
      <x:c r="A1037" s="34" t="n">
        <x:f>Subsurface_Radargram_Data!A56</x:f>
        <x:v>-33</x:v>
      </x:c>
      <x:c r="B1037" s="34" t="n">
        <x:f>Subsurface_Radargram_Data!C56</x:f>
        <x:v>12.527062236122013</x:v>
      </x:c>
      <x:c r="C1037" s="34" t="n">
        <x:f>Subsurface_Radargram_Data!A56</x:f>
        <x:v>-33</x:v>
      </x:c>
      <x:c r="D1037" s="34" t="n">
        <x:f>Subsurface_Radargram_Data!D56</x:f>
        <x:v>12.983752133779676</x:v>
      </x:c>
      <x:c r="E1037" s="34" t="n">
        <x:f>Subsurface_Radargram_Data!A56</x:f>
        <x:v>-33</x:v>
      </x:c>
      <x:c r="F1037" s="34" t="n">
        <x:f>Subsurface_Radargram_Data!E56</x:f>
        <x:v>56.33626380893449</x:v>
      </x:c>
      <x:c r="G1037" s="34" t="n">
        <x:f>Subsurface_Radargram_Data!A56</x:f>
        <x:v>-33</x:v>
      </x:c>
      <x:c r="H1037" s="34" t="n">
        <x:f>Subsurface_Radargram_Data!F56</x:f>
        <x:v>174.55022183964826</x:v>
      </x:c>
    </x:row>
    <x:row r="1038">
      <x:c r="A1038" s="34" t="n">
        <x:f>Subsurface_Radargram_Data!A57</x:f>
        <x:v>-32.5</x:v>
      </x:c>
      <x:c r="B1038" s="34" t="n">
        <x:f>Subsurface_Radargram_Data!C57</x:f>
        <x:v>12.650825608676337</x:v>
      </x:c>
      <x:c r="C1038" s="34" t="n">
        <x:f>Subsurface_Radargram_Data!A57</x:f>
        <x:v>-32.5</x:v>
      </x:c>
      <x:c r="D1038" s="34" t="n">
        <x:f>Subsurface_Radargram_Data!D57</x:f>
        <x:v>13.037945360527734</x:v>
      </x:c>
      <x:c r="E1038" s="34" t="n">
        <x:f>Subsurface_Radargram_Data!A57</x:f>
        <x:v>-32.5</x:v>
      </x:c>
      <x:c r="F1038" s="34" t="n">
        <x:f>Subsurface_Radargram_Data!E57</x:f>
        <x:v>56.062679310587555</x:v>
      </x:c>
      <x:c r="G1038" s="34" t="n">
        <x:f>Subsurface_Radargram_Data!A57</x:f>
        <x:v>-32.5</x:v>
      </x:c>
      <x:c r="H1038" s="34" t="n">
        <x:f>Subsurface_Radargram_Data!F57</x:f>
        <x:v>174.53656504330402</x:v>
      </x:c>
    </x:row>
    <x:row r="1039">
      <x:c r="A1039" s="34" t="n">
        <x:f>Subsurface_Radargram_Data!A58</x:f>
        <x:v>-32</x:v>
      </x:c>
      <x:c r="B1039" s="34" t="n">
        <x:f>Subsurface_Radargram_Data!C58</x:f>
        <x:v>12.769348916108859</x:v>
      </x:c>
      <x:c r="C1039" s="34" t="n">
        <x:f>Subsurface_Radargram_Data!A58</x:f>
        <x:v>-32</x:v>
      </x:c>
      <x:c r="D1039" s="34" t="n">
        <x:f>Subsurface_Radargram_Data!D58</x:f>
        <x:v>13.096762480583589</x:v>
      </x:c>
      <x:c r="E1039" s="34" t="n">
        <x:f>Subsurface_Radargram_Data!A58</x:f>
        <x:v>-32</x:v>
      </x:c>
      <x:c r="F1039" s="34" t="n">
        <x:f>Subsurface_Radargram_Data!E58</x:f>
        <x:v>55.811562605825266</x:v>
      </x:c>
      <x:c r="G1039" s="34" t="n">
        <x:f>Subsurface_Radargram_Data!A58</x:f>
        <x:v>-32</x:v>
      </x:c>
      <x:c r="H1039" s="34" t="n">
        <x:f>Subsurface_Radargram_Data!F58</x:f>
        <x:v>174.55521810990456</x:v>
      </x:c>
    </x:row>
    <x:row r="1040">
      <x:c r="A1040" s="34" t="n">
        <x:f>Subsurface_Radargram_Data!A59</x:f>
        <x:v>-31.5</x:v>
      </x:c>
      <x:c r="B1040" s="34" t="n">
        <x:f>Subsurface_Radargram_Data!C59</x:f>
        <x:v>12.88167787843871</x:v>
      </x:c>
      <x:c r="C1040" s="34" t="n">
        <x:f>Subsurface_Radargram_Data!A59</x:f>
        <x:v>-31.5</x:v>
      </x:c>
      <x:c r="D1040" s="34" t="n">
        <x:f>Subsurface_Radargram_Data!D59</x:f>
        <x:v>13.17890231562772</x:v>
      </x:c>
      <x:c r="E1040" s="34" t="n">
        <x:f>Subsurface_Radargram_Data!A59</x:f>
        <x:v>-31.5</x:v>
      </x:c>
      <x:c r="F1040" s="34" t="n">
        <x:f>Subsurface_Radargram_Data!E59</x:f>
        <x:v>55.58290665289033</x:v>
      </x:c>
      <x:c r="G1040" s="34" t="n">
        <x:f>Subsurface_Radargram_Data!A59</x:f>
        <x:v>-31.5</x:v>
      </x:c>
      <x:c r="H1040" s="34" t="n">
        <x:f>Subsurface_Radargram_Data!F59</x:f>
        <x:v>174.53500520040316</x:v>
      </x:c>
    </x:row>
    <x:row r="1041">
      <x:c r="A1041" s="34" t="n">
        <x:f>Subsurface_Radargram_Data!A60</x:f>
        <x:v>-31</x:v>
      </x:c>
      <x:c r="B1041" s="34" t="n">
        <x:f>Subsurface_Radargram_Data!C60</x:f>
        <x:v>12.98690808890957</x:v>
      </x:c>
      <x:c r="C1041" s="34" t="n">
        <x:f>Subsurface_Radargram_Data!A60</x:f>
        <x:v>-31</x:v>
      </x:c>
      <x:c r="D1041" s="34" t="n">
        <x:f>Subsurface_Radargram_Data!D60</x:f>
        <x:v>13.26320436177126</x:v>
      </x:c>
      <x:c r="E1041" s="34" t="n">
        <x:f>Subsurface_Radargram_Data!A60</x:f>
        <x:v>-31</x:v>
      </x:c>
      <x:c r="F1041" s="34" t="n">
        <x:f>Subsurface_Radargram_Data!E60</x:f>
        <x:v>55.37645474362806</x:v>
      </x:c>
      <x:c r="G1041" s="34" t="n">
        <x:f>Subsurface_Radargram_Data!A60</x:f>
        <x:v>-31</x:v>
      </x:c>
      <x:c r="H1041" s="34" t="n">
        <x:f>Subsurface_Radargram_Data!F60</x:f>
        <x:v>174.54351718745002</x:v>
      </x:c>
    </x:row>
    <x:row r="1042">
      <x:c r="A1042" s="34" t="n">
        <x:f>Subsurface_Radargram_Data!A61</x:f>
        <x:v>-30.5</x:v>
      </x:c>
      <x:c r="B1042" s="34" t="n">
        <x:f>Subsurface_Radargram_Data!C61</x:f>
        <x:v>13.084192295741087</x:v>
      </x:c>
      <x:c r="C1042" s="34" t="n">
        <x:f>Subsurface_Radargram_Data!A61</x:f>
        <x:v>-30.5</x:v>
      </x:c>
      <x:c r="D1042" s="34" t="n">
        <x:f>Subsurface_Radargram_Data!D61</x:f>
        <x:v>13.349121881344407</x:v>
      </x:c>
      <x:c r="E1042" s="34" t="n">
        <x:f>Subsurface_Radargram_Data!A61</x:f>
        <x:v>-30.5</x:v>
      </x:c>
      <x:c r="F1042" s="34" t="n">
        <x:f>Subsurface_Radargram_Data!E61</x:f>
        <x:v>55.19170979632118</x:v>
      </x:c>
      <x:c r="G1042" s="34" t="n">
        <x:f>Subsurface_Radargram_Data!A61</x:f>
        <x:v>-30.5</x:v>
      </x:c>
      <x:c r="H1042" s="34" t="n">
        <x:f>Subsurface_Radargram_Data!F61</x:f>
        <x:v>174.57557448792252</x:v>
      </x:c>
    </x:row>
    <x:row r="1043">
      <x:c r="A1043" s="34" t="n">
        <x:f>Subsurface_Radargram_Data!A62</x:f>
        <x:v>-30</x:v>
      </x:c>
      <x:c r="B1043" s="34" t="n">
        <x:f>Subsurface_Radargram_Data!C62</x:f>
        <x:v>13.172747223702045</x:v>
      </x:c>
      <x:c r="C1043" s="34" t="n">
        <x:f>Subsurface_Radargram_Data!A62</x:f>
        <x:v>-30</x:v>
      </x:c>
      <x:c r="D1043" s="34" t="n">
        <x:f>Subsurface_Radargram_Data!D62</x:f>
        <x:v>13.446520856495681</x:v>
      </x:c>
      <x:c r="E1043" s="34" t="n">
        <x:f>Subsurface_Radargram_Data!A62</x:f>
        <x:v>-30</x:v>
      </x:c>
      <x:c r="F1043" s="34" t="n">
        <x:f>Subsurface_Radargram_Data!E62</x:f>
        <x:v>55.02794668433552</x:v>
      </x:c>
      <x:c r="G1043" s="34" t="n">
        <x:f>Subsurface_Radargram_Data!A62</x:f>
        <x:v>-30</x:v>
      </x:c>
      <x:c r="H1043" s="34" t="n">
        <x:f>Subsurface_Radargram_Data!F62</x:f>
        <x:v>174.5890607949218</x:v>
      </x:c>
    </x:row>
    <x:row r="1044">
      <x:c r="A1044" s="34" t="n">
        <x:f>Subsurface_Radargram_Data!A63</x:f>
        <x:v>-29.5</x:v>
      </x:c>
      <x:c r="B1044" s="34" t="n">
        <x:f>Subsurface_Radargram_Data!C63</x:f>
        <x:v>13.251859880581954</x:v>
      </x:c>
      <x:c r="C1044" s="34" t="n">
        <x:f>Subsurface_Radargram_Data!A63</x:f>
        <x:v>-29.5</x:v>
      </x:c>
      <x:c r="D1044" s="34" t="n">
        <x:f>Subsurface_Radargram_Data!D63</x:f>
        <x:v>13.542551781168696</x:v>
      </x:c>
      <x:c r="E1044" s="34" t="n">
        <x:f>Subsurface_Radargram_Data!A63</x:f>
        <x:v>-29.5</x:v>
      </x:c>
      <x:c r="F1044" s="34" t="n">
        <x:f>Subsurface_Radargram_Data!E63</x:f>
        <x:v>54.88422742930896</x:v>
      </x:c>
      <x:c r="G1044" s="34" t="n">
        <x:f>Subsurface_Radargram_Data!A63</x:f>
        <x:v>-29.5</x:v>
      </x:c>
      <x:c r="H1044" s="34" t="n">
        <x:f>Subsurface_Radargram_Data!F63</x:f>
        <x:v>174.62101110467466</x:v>
      </x:c>
    </x:row>
    <x:row r="1045">
      <x:c r="A1045" s="34" t="n">
        <x:f>Subsurface_Radargram_Data!A64</x:f>
        <x:v>-29</x:v>
      </x:c>
      <x:c r="B1045" s="34" t="n">
        <x:f>Subsurface_Radargram_Data!C64</x:f>
        <x:v>13.320893297785107</x:v>
      </x:c>
      <x:c r="C1045" s="34" t="n">
        <x:f>Subsurface_Radargram_Data!A64</x:f>
        <x:v>-29</x:v>
      </x:c>
      <x:c r="D1045" s="34" t="n">
        <x:f>Subsurface_Radargram_Data!D64</x:f>
        <x:v>13.646810159536122</x:v>
      </x:c>
      <x:c r="E1045" s="34" t="n">
        <x:f>Subsurface_Radargram_Data!A64</x:f>
        <x:v>-29</x:v>
      </x:c>
      <x:c r="F1045" s="34" t="n">
        <x:f>Subsurface_Radargram_Data!E64</x:f>
        <x:v>54.75941905175904</x:v>
      </x:c>
      <x:c r="G1045" s="34" t="n">
        <x:f>Subsurface_Radargram_Data!A64</x:f>
        <x:v>-29</x:v>
      </x:c>
      <x:c r="H1045" s="34" t="n">
        <x:f>Subsurface_Radargram_Data!F64</x:f>
        <x:v>174.62969614070803</x:v>
      </x:c>
    </x:row>
    <x:row r="1046">
      <x:c r="A1046" s="34" t="n">
        <x:f>Subsurface_Radargram_Data!A65</x:f>
        <x:v>-28.5</x:v>
      </x:c>
      <x:c r="B1046" s="34" t="n">
        <x:f>Subsurface_Radargram_Data!C65</x:f>
        <x:v>13.379291658827176</x:v>
      </x:c>
      <x:c r="C1046" s="34" t="n">
        <x:f>Subsurface_Radargram_Data!A65</x:f>
        <x:v>-28.5</x:v>
      </x:c>
      <x:c r="D1046" s="34" t="n">
        <x:f>Subsurface_Radargram_Data!D65</x:f>
        <x:v>13.736085542531143</x:v>
      </x:c>
      <x:c r="E1046" s="34" t="n">
        <x:f>Subsurface_Radargram_Data!A65</x:f>
        <x:v>-28.5</x:v>
      </x:c>
      <x:c r="F1046" s="34" t="n">
        <x:f>Subsurface_Radargram_Data!E65</x:f>
        <x:v>54.65221383861781</x:v>
      </x:c>
      <x:c r="G1046" s="34" t="n">
        <x:f>Subsurface_Radargram_Data!A65</x:f>
        <x:v>-28.5</x:v>
      </x:c>
      <x:c r="H1046" s="34" t="n">
        <x:f>Subsurface_Radargram_Data!F65</x:f>
        <x:v>174.68815127281</x:v>
      </x:c>
    </x:row>
    <x:row r="1047">
      <x:c r="A1047" s="34" t="n">
        <x:f>Subsurface_Radargram_Data!A66</x:f>
        <x:v>-28</x:v>
      </x:c>
      <x:c r="B1047" s="34" t="n">
        <x:f>Subsurface_Radargram_Data!C66</x:f>
        <x:v>13.42658477444273</x:v>
      </x:c>
      <x:c r="C1047" s="34" t="n">
        <x:f>Subsurface_Radargram_Data!A66</x:f>
        <x:v>-28</x:v>
      </x:c>
      <x:c r="D1047" s="34" t="n">
        <x:f>Subsurface_Radargram_Data!D66</x:f>
        <x:v>13.83258811138292</x:v>
      </x:c>
      <x:c r="E1047" s="34" t="n">
        <x:f>Subsurface_Radargram_Data!A66</x:f>
        <x:v>-28</x:v>
      </x:c>
      <x:c r="F1047" s="34" t="n">
        <x:f>Subsurface_Radargram_Data!E66</x:f>
        <x:v>54.5611517567082</x:v>
      </x:c>
      <x:c r="G1047" s="34" t="n">
        <x:f>Subsurface_Radargram_Data!A66</x:f>
        <x:v>-28</x:v>
      </x:c>
      <x:c r="H1047" s="34" t="n">
        <x:f>Subsurface_Radargram_Data!F66</x:f>
        <x:v>174.7105358183803</x:v>
      </x:c>
    </x:row>
    <x:row r="1048">
      <x:c r="A1048" s="34" t="n">
        <x:f>Subsurface_Radargram_Data!A67</x:f>
        <x:v>-27.5</x:v>
      </x:c>
      <x:c r="B1048" s="34" t="n">
        <x:f>Subsurface_Radargram_Data!C67</x:f>
        <x:v>13.462391868272736</x:v>
      </x:c>
      <x:c r="C1048" s="34" t="n">
        <x:f>Subsurface_Radargram_Data!A67</x:f>
        <x:v>-27.5</x:v>
      </x:c>
      <x:c r="D1048" s="34" t="n">
        <x:f>Subsurface_Radargram_Data!D67</x:f>
        <x:v>13.912954604461488</x:v>
      </x:c>
      <x:c r="E1048" s="34" t="n">
        <x:f>Subsurface_Radargram_Data!A67</x:f>
        <x:v>-27.5</x:v>
      </x:c>
      <x:c r="F1048" s="34" t="n">
        <x:f>Subsurface_Radargram_Data!E67</x:f>
        <x:v>54.484644713909276</x:v>
      </x:c>
      <x:c r="G1048" s="34" t="n">
        <x:f>Subsurface_Radargram_Data!A67</x:f>
        <x:v>-27.5</x:v>
      </x:c>
      <x:c r="H1048" s="34" t="n">
        <x:f>Subsurface_Radargram_Data!F67</x:f>
        <x:v>174.77076381305258</x:v>
      </x:c>
    </x:row>
    <x:row r="1049">
      <x:c r="A1049" s="34" t="n">
        <x:f>Subsurface_Radargram_Data!A68</x:f>
        <x:v>-27</x:v>
      </x:c>
      <x:c r="B1049" s="34" t="n">
        <x:f>Subsurface_Radargram_Data!C68</x:f>
        <x:v>13.486424642651903</x:v>
      </x:c>
      <x:c r="C1049" s="34" t="n">
        <x:f>Subsurface_Radargram_Data!A68</x:f>
        <x:v>-27</x:v>
      </x:c>
      <x:c r="D1049" s="34" t="n">
        <x:f>Subsurface_Radargram_Data!D68</x:f>
        <x:v>13.988408702764401</x:v>
      </x:c>
      <x:c r="E1049" s="34" t="n">
        <x:f>Subsurface_Radargram_Data!A68</x:f>
        <x:v>-27</x:v>
      </x:c>
      <x:c r="F1049" s="34" t="n">
        <x:f>Subsurface_Radargram_Data!E68</x:f>
        <x:v>54.421002346040794</x:v>
      </x:c>
      <x:c r="G1049" s="34" t="n">
        <x:f>Subsurface_Radargram_Data!A68</x:f>
        <x:v>-27</x:v>
      </x:c>
      <x:c r="H1049" s="34" t="n">
        <x:f>Subsurface_Radargram_Data!F68</x:f>
        <x:v>174.8220907216846</x:v>
      </x:c>
    </x:row>
    <x:row r="1050">
      <x:c r="A1050" s="34" t="n">
        <x:f>Subsurface_Radargram_Data!A69</x:f>
        <x:v>-26.5</x:v>
      </x:c>
      <x:c r="B1050" s="34" t="n">
        <x:f>Subsurface_Radargram_Data!C69</x:f>
        <x:v>13.498489599811972</x:v>
      </x:c>
      <x:c r="C1050" s="34" t="n">
        <x:f>Subsurface_Radargram_Data!A69</x:f>
        <x:v>-26.5</x:v>
      </x:c>
      <x:c r="D1050" s="34" t="n">
        <x:f>Subsurface_Radargram_Data!D69</x:f>
        <x:v>14.056727626625122</x:v>
      </x:c>
      <x:c r="E1050" s="34" t="n">
        <x:f>Subsurface_Radargram_Data!A69</x:f>
        <x:v>-26.5</x:v>
      </x:c>
      <x:c r="F1050" s="34" t="n">
        <x:f>Subsurface_Radargram_Data!E69</x:f>
        <x:v>54.368458987627214</x:v>
      </x:c>
      <x:c r="G1050" s="34" t="n">
        <x:f>Subsurface_Radargram_Data!A69</x:f>
        <x:v>-26.5</x:v>
      </x:c>
      <x:c r="H1050" s="34" t="n">
        <x:f>Subsurface_Radargram_Data!F69</x:f>
        <x:v>174.8653723770344</x:v>
      </x:c>
    </x:row>
    <x:row r="1051">
      <x:c r="A1051" s="34" t="n">
        <x:f>Subsurface_Radargram_Data!A70</x:f>
        <x:v>-26</x:v>
      </x:c>
      <x:c r="B1051" s="34" t="n">
        <x:f>Subsurface_Radargram_Data!C70</x:f>
        <x:v>13.498489599811972</x:v>
      </x:c>
      <x:c r="C1051" s="34" t="n">
        <x:f>Subsurface_Radargram_Data!A70</x:f>
        <x:v>-26</x:v>
      </x:c>
      <x:c r="D1051" s="34" t="n">
        <x:f>Subsurface_Radargram_Data!D70</x:f>
        <x:v>14.102329906298417</x:v>
      </x:c>
      <x:c r="E1051" s="34" t="n">
        <x:f>Subsurface_Radargram_Data!A70</x:f>
        <x:v>-26</x:v>
      </x:c>
      <x:c r="F1051" s="34" t="n">
        <x:f>Subsurface_Radargram_Data!E70</x:f>
        <x:v>54.325201468935155</x:v>
      </x:c>
      <x:c r="G1051" s="34" t="n">
        <x:f>Subsurface_Radargram_Data!A70</x:f>
        <x:v>-26</x:v>
      </x:c>
      <x:c r="H1051" s="34" t="n">
        <x:f>Subsurface_Radargram_Data!F70</x:f>
        <x:v>174.94889128988828</x:v>
      </x:c>
    </x:row>
    <x:row r="1052">
      <x:c r="A1052" s="34" t="n">
        <x:f>Subsurface_Radargram_Data!A71</x:f>
        <x:v>-25.5</x:v>
      </x:c>
      <x:c r="B1052" s="34" t="n">
        <x:f>Subsurface_Radargram_Data!C71</x:f>
        <x:v>13.486424642651903</x:v>
      </x:c>
      <x:c r="C1052" s="34" t="n">
        <x:f>Subsurface_Radargram_Data!A71</x:f>
        <x:v>-25.5</x:v>
      </x:c>
      <x:c r="D1052" s="34" t="n">
        <x:f>Subsurface_Radargram_Data!D71</x:f>
        <x:v>14.14196563377072</x:v>
      </x:c>
      <x:c r="E1052" s="34" t="n">
        <x:f>Subsurface_Radargram_Data!A71</x:f>
        <x:v>-25.5</x:v>
      </x:c>
      <x:c r="F1052" s="34" t="n">
        <x:f>Subsurface_Radargram_Data!E71</x:f>
        <x:v>54.289397370236586</x:v>
      </x:c>
      <x:c r="G1052" s="34" t="n">
        <x:f>Subsurface_Radargram_Data!A71</x:f>
        <x:v>-25.5</x:v>
      </x:c>
      <x:c r="H1052" s="34" t="n">
        <x:f>Subsurface_Radargram_Data!F71</x:f>
        <x:v>175.0085634033535</x:v>
      </x:c>
    </x:row>
    <x:row r="1053">
      <x:c r="A1053" s="34" t="n">
        <x:f>Subsurface_Radargram_Data!A72</x:f>
        <x:v>-25</x:v>
      </x:c>
      <x:c r="B1053" s="34" t="n">
        <x:f>Subsurface_Radargram_Data!C72</x:f>
        <x:v>13.462391868272736</x:v>
      </x:c>
      <x:c r="C1053" s="34" t="n">
        <x:f>Subsurface_Radargram_Data!A72</x:f>
        <x:v>-25</x:v>
      </x:c>
      <x:c r="D1053" s="34" t="n">
        <x:f>Subsurface_Radargram_Data!D72</x:f>
        <x:v>14.159846303345025</x:v>
      </x:c>
      <x:c r="E1053" s="34" t="n">
        <x:f>Subsurface_Radargram_Data!A72</x:f>
        <x:v>-25</x:v>
      </x:c>
      <x:c r="F1053" s="34" t="n">
        <x:f>Subsurface_Radargram_Data!E72</x:f>
        <x:v>54.2592233573158</x:v>
      </x:c>
      <x:c r="G1053" s="34" t="n">
        <x:f>Subsurface_Radargram_Data!A72</x:f>
        <x:v>-25</x:v>
      </x:c>
      <x:c r="H1053" s="34" t="n">
        <x:f>Subsurface_Radargram_Data!F72</x:f>
        <x:v>175.09509324010713</x:v>
      </x:c>
    </x:row>
    <x:row r="1054">
      <x:c r="A1054" s="34" t="n">
        <x:f>Subsurface_Radargram_Data!A73</x:f>
        <x:v>-24.5</x:v>
      </x:c>
      <x:c r="B1054" s="34" t="n">
        <x:f>Subsurface_Radargram_Data!C73</x:f>
        <x:v>13.42658477444273</x:v>
      </x:c>
      <x:c r="C1054" s="34" t="n">
        <x:f>Subsurface_Radargram_Data!A73</x:f>
        <x:v>-24.5</x:v>
      </x:c>
      <x:c r="D1054" s="34" t="n">
        <x:f>Subsurface_Radargram_Data!D73</x:f>
        <x:v>14.173405042636901</x:v>
      </x:c>
      <x:c r="E1054" s="34" t="n">
        <x:f>Subsurface_Radargram_Data!A73</x:f>
        <x:v>-24.5</x:v>
      </x:c>
      <x:c r="F1054" s="34" t="n">
        <x:f>Subsurface_Radargram_Data!E73</x:f>
        <x:v>54.232893219944636</x:v>
      </x:c>
      <x:c r="G1054" s="34" t="n">
        <x:f>Subsurface_Radargram_Data!A73</x:f>
        <x:v>-24.5</x:v>
      </x:c>
      <x:c r="H1054" s="34" t="n">
        <x:f>Subsurface_Radargram_Data!F73</x:f>
        <x:v>175.1439076772996</x:v>
      </x:c>
    </x:row>
    <x:row r="1055">
      <x:c r="A1055" s="34" t="n">
        <x:f>Subsurface_Radargram_Data!A74</x:f>
        <x:v>-24</x:v>
      </x:c>
      <x:c r="B1055" s="34" t="n">
        <x:f>Subsurface_Radargram_Data!C74</x:f>
        <x:v>13.379291658827176</x:v>
      </x:c>
      <x:c r="C1055" s="34" t="n">
        <x:f>Subsurface_Radargram_Data!A74</x:f>
        <x:v>-24</x:v>
      </x:c>
      <x:c r="D1055" s="34" t="n">
        <x:f>Subsurface_Radargram_Data!D74</x:f>
        <x:v>14.1572038673417</x:v>
      </x:c>
      <x:c r="E1055" s="34" t="n">
        <x:f>Subsurface_Radargram_Data!A74</x:f>
        <x:v>-24</x:v>
      </x:c>
      <x:c r="F1055" s="34" t="n">
        <x:f>Subsurface_Radargram_Data!E74</x:f>
        <x:v>54.208685237489725</x:v>
      </x:c>
      <x:c r="G1055" s="34" t="n">
        <x:f>Subsurface_Radargram_Data!A74</x:f>
        <x:v>-24</x:v>
      </x:c>
      <x:c r="H1055" s="34" t="n">
        <x:f>Subsurface_Radargram_Data!F74</x:f>
        <x:v>175.2415584227405</x:v>
      </x:c>
    </x:row>
    <x:row r="1056">
      <x:c r="A1056" s="34" t="n">
        <x:f>Subsurface_Radargram_Data!A75</x:f>
        <x:v>-23.5</x:v>
      </x:c>
      <x:c r="B1056" s="34" t="n">
        <x:f>Subsurface_Radargram_Data!C75</x:f>
        <x:v>13.320893297785107</x:v>
      </x:c>
      <x:c r="C1056" s="34" t="n">
        <x:f>Subsurface_Radargram_Data!A75</x:f>
        <x:v>-23.5</x:v>
      </x:c>
      <x:c r="D1056" s="34" t="n">
        <x:f>Subsurface_Radargram_Data!D75</x:f>
        <x:v>14.128512993594303</x:v>
      </x:c>
      <x:c r="E1056" s="34" t="n">
        <x:f>Subsurface_Radargram_Data!A75</x:f>
        <x:v>-23.5</x:v>
      </x:c>
      <x:c r="F1056" s="34" t="n">
        <x:f>Subsurface_Radargram_Data!E75</x:f>
        <x:v>54.1849685030232</x:v>
      </x:c>
      <x:c r="G1056" s="34" t="n">
        <x:f>Subsurface_Radargram_Data!A75</x:f>
        <x:v>-23.5</x:v>
      </x:c>
      <x:c r="H1056" s="34" t="n">
        <x:f>Subsurface_Radargram_Data!F75</x:f>
        <x:v>175.32625414479432</x:v>
      </x:c>
    </x:row>
    <x:row r="1057">
      <x:c r="A1057" s="34" t="n">
        <x:f>Subsurface_Radargram_Data!A76</x:f>
        <x:v>-23</x:v>
      </x:c>
      <x:c r="B1057" s="34" t="n">
        <x:f>Subsurface_Radargram_Data!C76</x:f>
        <x:v>13.251859880581954</x:v>
      </x:c>
      <x:c r="C1057" s="34" t="n">
        <x:f>Subsurface_Radargram_Data!A76</x:f>
        <x:v>-23</x:v>
      </x:c>
      <x:c r="D1057" s="34" t="n">
        <x:f>Subsurface_Radargram_Data!D76</x:f>
        <x:v>14.08100056914749</x:v>
      </x:c>
      <x:c r="E1057" s="34" t="n">
        <x:f>Subsurface_Radargram_Data!A76</x:f>
        <x:v>-23</x:v>
      </x:c>
      <x:c r="F1057" s="34" t="n">
        <x:f>Subsurface_Radargram_Data!E76</x:f>
        <x:v>54.16022784927287</x:v>
      </x:c>
      <x:c r="G1057" s="34" t="n">
        <x:f>Subsurface_Radargram_Data!A76</x:f>
        <x:v>-23</x:v>
      </x:c>
      <x:c r="H1057" s="34" t="n">
        <x:f>Subsurface_Radargram_Data!F76</x:f>
        <x:v>175.41998686850997</x:v>
      </x:c>
    </x:row>
    <x:row r="1058">
      <x:c r="A1058" s="34" t="n">
        <x:f>Subsurface_Radargram_Data!A77</x:f>
        <x:v>-22.5</x:v>
      </x:c>
      <x:c r="B1058" s="34" t="n">
        <x:f>Subsurface_Radargram_Data!C77</x:f>
        <x:v>13.172747223702045</x:v>
      </x:c>
      <x:c r="C1058" s="34" t="n">
        <x:f>Subsurface_Radargram_Data!A77</x:f>
        <x:v>-22.5</x:v>
      </x:c>
      <x:c r="D1058" s="34" t="n">
        <x:f>Subsurface_Radargram_Data!D77</x:f>
        <x:v>14.015457473244256</x:v>
      </x:c>
      <x:c r="E1058" s="34" t="n">
        <x:f>Subsurface_Radargram_Data!A77</x:f>
        <x:v>-22.5</x:v>
      </x:c>
      <x:c r="F1058" s="34" t="n">
        <x:f>Subsurface_Radargram_Data!E77</x:f>
        <x:v>54.13308703639569</x:v>
      </x:c>
      <x:c r="G1058" s="34" t="n">
        <x:f>Subsurface_Radargram_Data!A77</x:f>
        <x:v>-22.5</x:v>
      </x:c>
      <x:c r="H1058" s="34" t="n">
        <x:f>Subsurface_Radargram_Data!F77</x:f>
        <x:v>175.52101556654083</x:v>
      </x:c>
    </x:row>
    <x:row r="1059">
      <x:c r="A1059" s="34" t="n">
        <x:f>Subsurface_Radargram_Data!A78</x:f>
        <x:v>-22</x:v>
      </x:c>
      <x:c r="B1059" s="34" t="n">
        <x:f>Subsurface_Radargram_Data!C78</x:f>
        <x:v>13.084192295741087</x:v>
      </x:c>
      <x:c r="C1059" s="34" t="n">
        <x:f>Subsurface_Radargram_Data!A78</x:f>
        <x:v>-22</x:v>
      </x:c>
      <x:c r="D1059" s="34" t="n">
        <x:f>Subsurface_Radargram_Data!D78</x:f>
        <x:v>13.942517916139625</x:v>
      </x:c>
      <x:c r="E1059" s="34" t="n">
        <x:f>Subsurface_Radargram_Data!A78</x:f>
        <x:v>-22</x:v>
      </x:c>
      <x:c r="F1059" s="34" t="n">
        <x:f>Subsurface_Radargram_Data!E78</x:f>
        <x:v>54.10232988276156</x:v>
      </x:c>
      <x:c r="G1059" s="34" t="n">
        <x:f>Subsurface_Radargram_Data!A78</x:f>
        <x:v>-22</x:v>
      </x:c>
      <x:c r="H1059" s="34" t="n">
        <x:f>Subsurface_Radargram_Data!F78</x:f>
        <x:v>175.5943439305481</x:v>
      </x:c>
    </x:row>
    <x:row r="1060">
      <x:c r="A1060" s="34" t="n">
        <x:f>Subsurface_Radargram_Data!A79</x:f>
        <x:v>-21.5</x:v>
      </x:c>
      <x:c r="B1060" s="34" t="n">
        <x:f>Subsurface_Radargram_Data!C79</x:f>
        <x:v>12.98690808890957</x:v>
      </x:c>
      <x:c r="C1060" s="34" t="n">
        <x:f>Subsurface_Radargram_Data!A79</x:f>
        <x:v>-21.5</x:v>
      </x:c>
      <x:c r="D1060" s="34" t="n">
        <x:f>Subsurface_Radargram_Data!D79</x:f>
        <x:v>13.845574499669171</x:v>
      </x:c>
      <x:c r="E1060" s="34" t="n">
        <x:f>Subsurface_Radargram_Data!A79</x:f>
        <x:v>-21.5</x:v>
      </x:c>
      <x:c r="F1060" s="34" t="n">
        <x:f>Subsurface_Radargram_Data!E79</x:f>
        <x:v>54.06691904550461</x:v>
      </x:c>
      <x:c r="G1060" s="34" t="n">
        <x:f>Subsurface_Radargram_Data!A79</x:f>
        <x:v>-21.5</x:v>
      </x:c>
      <x:c r="H1060" s="34" t="n">
        <x:f>Subsurface_Radargram_Data!F79</x:f>
        <x:v>175.70149690181844</x:v>
      </x:c>
    </x:row>
    <x:row r="1061">
      <x:c r="A1061" s="34" t="n">
        <x:f>Subsurface_Radargram_Data!A80</x:f>
        <x:v>-21</x:v>
      </x:c>
      <x:c r="B1061" s="34" t="n">
        <x:f>Subsurface_Radargram_Data!C80</x:f>
        <x:v>12.88167787843871</x:v>
      </x:c>
      <x:c r="C1061" s="34" t="n">
        <x:f>Subsurface_Radargram_Data!A80</x:f>
        <x:v>-21</x:v>
      </x:c>
      <x:c r="D1061" s="34" t="n">
        <x:f>Subsurface_Radargram_Data!D80</x:f>
        <x:v>13.718103521163071</x:v>
      </x:c>
      <x:c r="E1061" s="34" t="n">
        <x:f>Subsurface_Radargram_Data!A80</x:f>
        <x:v>-21</x:v>
      </x:c>
      <x:c r="F1061" s="34" t="n">
        <x:f>Subsurface_Radargram_Data!E80</x:f>
        <x:v>54.02601218728453</x:v>
      </x:c>
      <x:c r="G1061" s="34" t="n">
        <x:f>Subsurface_Radargram_Data!A80</x:f>
        <x:v>-21</x:v>
      </x:c>
      <x:c r="H1061" s="34" t="n">
        <x:f>Subsurface_Radargram_Data!F80</x:f>
        <x:v>175.86984096881648</x:v>
      </x:c>
    </x:row>
    <x:row r="1062">
      <x:c r="A1062" s="34" t="n">
        <x:f>Subsurface_Radargram_Data!A81</x:f>
        <x:v>-20.5</x:v>
      </x:c>
      <x:c r="B1062" s="34" t="n">
        <x:f>Subsurface_Radargram_Data!C81</x:f>
        <x:v>12.769348916108859</x:v>
      </x:c>
      <x:c r="C1062" s="34" t="n">
        <x:f>Subsurface_Radargram_Data!A81</x:f>
        <x:v>-20.5</x:v>
      </x:c>
      <x:c r="D1062" s="34" t="n">
        <x:f>Subsurface_Radargram_Data!D81</x:f>
        <x:v>13.595065597432113</x:v>
      </x:c>
      <x:c r="E1062" s="34" t="n">
        <x:f>Subsurface_Radargram_Data!A81</x:f>
        <x:v>-20.5</x:v>
      </x:c>
      <x:c r="F1062" s="34" t="n">
        <x:f>Subsurface_Radargram_Data!E81</x:f>
        <x:v>53.978975299192534</x:v>
      </x:c>
      <x:c r="G1062" s="34" t="n">
        <x:f>Subsurface_Radargram_Data!A81</x:f>
        <x:v>-20.5</x:v>
      </x:c>
      <x:c r="H1062" s="34" t="n">
        <x:f>Subsurface_Radargram_Data!F81</x:f>
        <x:v>175.98262105744845</x:v>
      </x:c>
    </x:row>
    <x:row r="1063">
      <x:c r="A1063" s="34" t="n">
        <x:f>Subsurface_Radargram_Data!A82</x:f>
        <x:v>-20</x:v>
      </x:c>
      <x:c r="B1063" s="34" t="n">
        <x:f>Subsurface_Radargram_Data!C82</x:f>
        <x:v>12.650825608676337</x:v>
      </x:c>
      <x:c r="C1063" s="34" t="n">
        <x:f>Subsurface_Radargram_Data!A82</x:f>
        <x:v>-20</x:v>
      </x:c>
      <x:c r="D1063" s="34" t="n">
        <x:f>Subsurface_Radargram_Data!D82</x:f>
        <x:v>13.44472081399303</x:v>
      </x:c>
      <x:c r="E1063" s="34" t="n">
        <x:f>Subsurface_Radargram_Data!A82</x:f>
        <x:v>-20</x:v>
      </x:c>
      <x:c r="F1063" s="34" t="n">
        <x:f>Subsurface_Radargram_Data!E82</x:f>
        <x:v>53.92539298666411</x:v>
      </x:c>
      <x:c r="G1063" s="34" t="n">
        <x:f>Subsurface_Radargram_Data!A82</x:f>
        <x:v>-20</x:v>
      </x:c>
      <x:c r="H1063" s="34" t="n">
        <x:f>Subsurface_Radargram_Data!F82</x:f>
        <x:v>176.1575277291345</x:v>
      </x:c>
    </x:row>
    <x:row r="1064">
      <x:c r="A1064" s="34" t="n">
        <x:f>Subsurface_Radargram_Data!A83</x:f>
        <x:v>-19.5</x:v>
      </x:c>
      <x:c r="B1064" s="34" t="n">
        <x:f>Subsurface_Radargram_Data!C83</x:f>
        <x:v>12.527062236122013</x:v>
      </x:c>
      <x:c r="C1064" s="34" t="n">
        <x:f>Subsurface_Radargram_Data!A83</x:f>
        <x:v>-19.5</x:v>
      </x:c>
      <x:c r="D1064" s="34" t="n">
        <x:f>Subsurface_Radargram_Data!D83</x:f>
        <x:v>13.29840783218823</x:v>
      </x:c>
      <x:c r="E1064" s="34" t="n">
        <x:f>Subsurface_Radargram_Data!A83</x:f>
        <x:v>-19.5</x:v>
      </x:c>
      <x:c r="F1064" s="34" t="n">
        <x:f>Subsurface_Radargram_Data!E83</x:f>
        <x:v>53.8650755651949</x:v>
      </x:c>
      <x:c r="G1064" s="34" t="n">
        <x:f>Subsurface_Radargram_Data!A83</x:f>
        <x:v>-19.5</x:v>
      </x:c>
      <x:c r="H1064" s="34" t="n">
        <x:f>Subsurface_Radargram_Data!F83</x:f>
        <x:v>176.29237292882257</x:v>
      </x:c>
    </x:row>
    <x:row r="1065">
      <x:c r="A1065" s="34" t="n">
        <x:f>Subsurface_Radargram_Data!A84</x:f>
        <x:v>-19</x:v>
      </x:c>
      <x:c r="B1065" s="34" t="n">
        <x:f>Subsurface_Radargram_Data!C84</x:f>
        <x:v>12.399055268350013</x:v>
      </x:c>
      <x:c r="C1065" s="34" t="n">
        <x:f>Subsurface_Radargram_Data!A84</x:f>
        <x:v>-19</x:v>
      </x:c>
      <x:c r="D1065" s="34" t="n">
        <x:f>Subsurface_Radargram_Data!D84</x:f>
        <x:v>13.135106693120758</x:v>
      </x:c>
      <x:c r="E1065" s="34" t="n">
        <x:f>Subsurface_Radargram_Data!A84</x:f>
        <x:v>-19</x:v>
      </x:c>
      <x:c r="F1065" s="34" t="n">
        <x:f>Subsurface_Radargram_Data!E84</x:f>
        <x:v>53.79806285511729</x:v>
      </x:c>
      <x:c r="G1065" s="34" t="n">
        <x:f>Subsurface_Radargram_Data!A84</x:f>
        <x:v>-19</x:v>
      </x:c>
      <x:c r="H1065" s="34" t="n">
        <x:f>Subsurface_Radargram_Data!F84</x:f>
        <x:v>176.469006755122</x:v>
      </x:c>
    </x:row>
    <x:row r="1066">
      <x:c r="A1066" s="34" t="n">
        <x:f>Subsurface_Radargram_Data!A85</x:f>
        <x:v>-18.5</x:v>
      </x:c>
      <x:c r="B1066" s="34" t="n">
        <x:f>Subsurface_Radargram_Data!C85</x:f>
        <x:v>12.267835342197955</x:v>
      </x:c>
      <x:c r="C1066" s="34" t="n">
        <x:f>Subsurface_Radargram_Data!A85</x:f>
        <x:v>-18.5</x:v>
      </x:c>
      <x:c r="D1066" s="34" t="n">
        <x:f>Subsurface_Radargram_Data!D85</x:f>
        <x:v>12.959919383975777</x:v>
      </x:c>
      <x:c r="E1066" s="34" t="n">
        <x:f>Subsurface_Radargram_Data!A85</x:f>
        <x:v>-18.5</x:v>
      </x:c>
      <x:c r="F1066" s="34" t="n">
        <x:f>Subsurface_Radargram_Data!E85</x:f>
        <x:v>53.72462460914915</x:v>
      </x:c>
      <x:c r="G1066" s="34" t="n">
        <x:f>Subsurface_Radargram_Data!A85</x:f>
        <x:v>-18.5</x:v>
      </x:c>
      <x:c r="H1066" s="34" t="n">
        <x:f>Subsurface_Radargram_Data!F85</x:f>
        <x:v>176.67850785688245</x:v>
      </x:c>
    </x:row>
    <x:row r="1067">
      <x:c r="A1067" s="34" t="n">
        <x:f>Subsurface_Radargram_Data!A86</x:f>
        <x:v>-18</x:v>
      </x:c>
      <x:c r="B1067" s="34" t="n">
        <x:f>Subsurface_Radargram_Data!C86</x:f>
        <x:v>12.13445896335515</x:v>
      </x:c>
      <x:c r="C1067" s="34" t="n">
        <x:f>Subsurface_Radargram_Data!A86</x:f>
        <x:v>-18</x:v>
      </x:c>
      <x:c r="D1067" s="34" t="n">
        <x:f>Subsurface_Radargram_Data!D86</x:f>
        <x:v>12.79676770804064</x:v>
      </x:c>
      <x:c r="E1067" s="34" t="n">
        <x:f>Subsurface_Radargram_Data!A86</x:f>
        <x:v>-18</x:v>
      </x:c>
      <x:c r="F1067" s="34" t="n">
        <x:f>Subsurface_Radargram_Data!E86</x:f>
        <x:v>53.64525755229829</x:v>
      </x:c>
      <x:c r="G1067" s="34" t="n">
        <x:f>Subsurface_Radargram_Data!A86</x:f>
        <x:v>-18</x:v>
      </x:c>
      <x:c r="H1067" s="34" t="n">
        <x:f>Subsurface_Radargram_Data!F86</x:f>
        <x:v>176.84660113951827</x:v>
      </x:c>
    </x:row>
    <x:row r="1068">
      <x:c r="A1068" s="34" t="n">
        <x:f>Subsurface_Radargram_Data!A87</x:f>
        <x:v>-17.5</x:v>
      </x:c>
      <x:c r="B1068" s="34" t="n">
        <x:f>Subsurface_Radargram_Data!C87</x:f>
        <x:v>12</x:v>
      </x:c>
      <x:c r="C1068" s="34" t="n">
        <x:f>Subsurface_Radargram_Data!A87</x:f>
        <x:v>-17.5</x:v>
      </x:c>
      <x:c r="D1068" s="34" t="n">
        <x:f>Subsurface_Radargram_Data!D87</x:f>
        <x:v>12.623226735380927</x:v>
      </x:c>
      <x:c r="E1068" s="34" t="n">
        <x:f>Subsurface_Radargram_Data!A87</x:f>
        <x:v>-17.5</x:v>
      </x:c>
      <x:c r="F1068" s="34" t="n">
        <x:f>Subsurface_Radargram_Data!E87</x:f>
        <x:v>53.560679060384096</x:v>
      </x:c>
      <x:c r="G1068" s="34" t="n">
        <x:f>Subsurface_Radargram_Data!A87</x:f>
        <x:v>-17.5</x:v>
      </x:c>
      <x:c r="H1068" s="34" t="n">
        <x:f>Subsurface_Radargram_Data!F87</x:f>
        <x:v>177.06159109807575</x:v>
      </x:c>
    </x:row>
    <x:row r="1069">
      <x:c r="A1069" s="34" t="n">
        <x:f>Subsurface_Radargram_Data!A88</x:f>
        <x:v>-17</x:v>
      </x:c>
      <x:c r="B1069" s="34" t="n">
        <x:f>Subsurface_Radargram_Data!C88</x:f>
        <x:v>11.86554103664485</x:v>
      </x:c>
      <x:c r="C1069" s="34" t="n">
        <x:f>Subsurface_Radargram_Data!A88</x:f>
        <x:v>-17</x:v>
      </x:c>
      <x:c r="D1069" s="34" t="n">
        <x:f>Subsurface_Radargram_Data!D88</x:f>
        <x:v>12.442428673955972</x:v>
      </x:c>
      <x:c r="E1069" s="34" t="n">
        <x:f>Subsurface_Radargram_Data!A88</x:f>
        <x:v>-17</x:v>
      </x:c>
      <x:c r="F1069" s="34" t="n">
        <x:f>Subsurface_Radargram_Data!E88</x:f>
        <x:v>53.47181755027974</x:v>
      </x:c>
      <x:c r="G1069" s="34" t="n">
        <x:f>Subsurface_Radargram_Data!A88</x:f>
        <x:v>-17</x:v>
      </x:c>
      <x:c r="H1069" s="34" t="n">
        <x:f>Subsurface_Radargram_Data!F88</x:f>
        <x:v>177.32254129337883</x:v>
      </x:c>
    </x:row>
    <x:row r="1070">
      <x:c r="A1070" s="34" t="n">
        <x:f>Subsurface_Radargram_Data!A89</x:f>
        <x:v>-16.5</x:v>
      </x:c>
      <x:c r="B1070" s="34" t="n">
        <x:f>Subsurface_Radargram_Data!C89</x:f>
        <x:v>11.732164657802045</x:v>
      </x:c>
      <x:c r="C1070" s="34" t="n">
        <x:f>Subsurface_Radargram_Data!A89</x:f>
        <x:v>-16.5</x:v>
      </x:c>
      <x:c r="D1070" s="34" t="n">
        <x:f>Subsurface_Radargram_Data!D89</x:f>
        <x:v>12.27732760668193</x:v>
      </x:c>
      <x:c r="E1070" s="34" t="n">
        <x:f>Subsurface_Radargram_Data!A89</x:f>
        <x:v>-16.5</x:v>
      </x:c>
      <x:c r="F1070" s="34" t="n">
        <x:f>Subsurface_Radargram_Data!E89</x:f>
        <x:v>53.379799701322554</x:v>
      </x:c>
      <x:c r="G1070" s="34" t="n">
        <x:f>Subsurface_Radargram_Data!A89</x:f>
        <x:v>-16.5</x:v>
      </x:c>
      <x:c r="H1070" s="34" t="n">
        <x:f>Subsurface_Radargram_Data!F89</x:f>
        <x:v>177.55918599462143</x:v>
      </x:c>
    </x:row>
    <x:row r="1071">
      <x:c r="A1071" s="34" t="n">
        <x:f>Subsurface_Radargram_Data!A90</x:f>
        <x:v>-16</x:v>
      </x:c>
      <x:c r="B1071" s="34" t="n">
        <x:f>Subsurface_Radargram_Data!C90</x:f>
        <x:v>11.600944731649987</x:v>
      </x:c>
      <x:c r="C1071" s="34" t="n">
        <x:f>Subsurface_Radargram_Data!A90</x:f>
        <x:v>-16</x:v>
      </x:c>
      <x:c r="D1071" s="34" t="n">
        <x:f>Subsurface_Radargram_Data!D90</x:f>
        <x:v>12.13028926001637</x:v>
      </x:c>
      <x:c r="E1071" s="34" t="n">
        <x:f>Subsurface_Radargram_Data!A90</x:f>
        <x:v>-16</x:v>
      </x:c>
      <x:c r="F1071" s="34" t="n">
        <x:f>Subsurface_Radargram_Data!E90</x:f>
        <x:v>53.285934672518344</x:v>
      </x:c>
      <x:c r="G1071" s="34" t="n">
        <x:f>Subsurface_Radargram_Data!A90</x:f>
        <x:v>-16</x:v>
      </x:c>
      <x:c r="H1071" s="34" t="n">
        <x:f>Subsurface_Radargram_Data!F90</x:f>
        <x:v>177.7732020742829</x:v>
      </x:c>
    </x:row>
    <x:row r="1072">
      <x:c r="A1072" s="34" t="n">
        <x:f>Subsurface_Radargram_Data!A91</x:f>
        <x:v>-15.5</x:v>
      </x:c>
      <x:c r="B1072" s="34" t="n">
        <x:f>Subsurface_Radargram_Data!C91</x:f>
        <x:v>11.472937763877987</x:v>
      </x:c>
      <x:c r="C1072" s="34" t="n">
        <x:f>Subsurface_Radargram_Data!A91</x:f>
        <x:v>-15.5</x:v>
      </x:c>
      <x:c r="D1072" s="34" t="n">
        <x:f>Subsurface_Radargram_Data!D91</x:f>
        <x:v>11.97816819866713</x:v>
      </x:c>
      <x:c r="E1072" s="34" t="n">
        <x:f>Subsurface_Radargram_Data!A91</x:f>
        <x:v>-15.5</x:v>
      </x:c>
      <x:c r="F1072" s="34" t="n">
        <x:f>Subsurface_Radargram_Data!E91</x:f>
        <x:v>53.19169552350488</x:v>
      </x:c>
      <x:c r="G1072" s="34" t="n">
        <x:f>Subsurface_Radargram_Data!A91</x:f>
        <x:v>-15.5</x:v>
      </x:c>
      <x:c r="H1072" s="34" t="n">
        <x:f>Subsurface_Radargram_Data!F91</x:f>
        <x:v>178.05527547665494</x:v>
      </x:c>
    </x:row>
    <x:row r="1073">
      <x:c r="A1073" s="34" t="n">
        <x:f>Subsurface_Radargram_Data!A92</x:f>
        <x:v>-15</x:v>
      </x:c>
      <x:c r="B1073" s="34" t="n">
        <x:f>Subsurface_Radargram_Data!C92</x:f>
        <x:v>11.349174391323663</x:v>
      </x:c>
      <x:c r="C1073" s="34" t="n">
        <x:f>Subsurface_Radargram_Data!A92</x:f>
        <x:v>-15</x:v>
      </x:c>
      <x:c r="D1073" s="34" t="n">
        <x:f>Subsurface_Radargram_Data!D92</x:f>
        <x:v>11.849236626605622</x:v>
      </x:c>
      <x:c r="E1073" s="34" t="n">
        <x:f>Subsurface_Radargram_Data!A92</x:f>
        <x:v>-15</x:v>
      </x:c>
      <x:c r="F1073" s="34" t="n">
        <x:f>Subsurface_Radargram_Data!E92</x:f>
        <x:v>53.098698088086074</x:v>
      </x:c>
      <x:c r="G1073" s="34" t="n">
        <x:f>Subsurface_Radargram_Data!A92</x:f>
        <x:v>-15</x:v>
      </x:c>
      <x:c r="H1073" s="34" t="n">
        <x:f>Subsurface_Radargram_Data!F92</x:f>
        <x:v>178.31569032245292</x:v>
      </x:c>
    </x:row>
    <x:row r="1074">
      <x:c r="A1074" s="34" t="n">
        <x:f>Subsurface_Radargram_Data!A93</x:f>
        <x:v>-14.5</x:v>
      </x:c>
      <x:c r="B1074" s="34" t="n">
        <x:f>Subsurface_Radargram_Data!C93</x:f>
        <x:v>11.230651083891141</x:v>
      </x:c>
      <x:c r="C1074" s="34" t="n">
        <x:f>Subsurface_Radargram_Data!A93</x:f>
        <x:v>-14.5</x:v>
      </x:c>
      <x:c r="D1074" s="34" t="n">
        <x:f>Subsurface_Radargram_Data!D93</x:f>
        <x:v>11.735428821724822</x:v>
      </x:c>
      <x:c r="E1074" s="34" t="n">
        <x:f>Subsurface_Radargram_Data!A93</x:f>
        <x:v>-14.5</x:v>
      </x:c>
      <x:c r="F1074" s="34" t="n">
        <x:f>Subsurface_Radargram_Data!E93</x:f>
        <x:v>53.00867758686559</x:v>
      </x:c>
      <x:c r="G1074" s="34" t="n">
        <x:f>Subsurface_Radargram_Data!A93</x:f>
        <x:v>-14.5</x:v>
      </x:c>
      <x:c r="H1074" s="34" t="n">
        <x:f>Subsurface_Radargram_Data!F93</x:f>
        <x:v>178.5913191915579</x:v>
      </x:c>
    </x:row>
    <x:row r="1075">
      <x:c r="A1075" s="34" t="n">
        <x:f>Subsurface_Radargram_Data!A94</x:f>
        <x:v>-14</x:v>
      </x:c>
      <x:c r="B1075" s="34" t="n">
        <x:f>Subsurface_Radargram_Data!C94</x:f>
        <x:v>11.11832212156129</x:v>
      </x:c>
      <x:c r="C1075" s="34" t="n">
        <x:f>Subsurface_Radargram_Data!A94</x:f>
        <x:v>-14</x:v>
      </x:c>
      <x:c r="D1075" s="34" t="n">
        <x:f>Subsurface_Radargram_Data!D94</x:f>
        <x:v>11.634209625118213</x:v>
      </x:c>
      <x:c r="E1075" s="34" t="n">
        <x:f>Subsurface_Radargram_Data!A94</x:f>
        <x:v>-14</x:v>
      </x:c>
      <x:c r="F1075" s="34" t="n">
        <x:f>Subsurface_Radargram_Data!E94</x:f>
        <x:v>52.923463299499616</x:v>
      </x:c>
      <x:c r="G1075" s="34" t="n">
        <x:f>Subsurface_Radargram_Data!A94</x:f>
        <x:v>-14</x:v>
      </x:c>
      <x:c r="H1075" s="34" t="n">
        <x:f>Subsurface_Radargram_Data!F94</x:f>
        <x:v>178.89893764782522</x:v>
      </x:c>
    </x:row>
    <x:row r="1076">
      <x:c r="A1076" s="34" t="n">
        <x:f>Subsurface_Radargram_Data!A95</x:f>
        <x:v>-13.5</x:v>
      </x:c>
      <x:c r="B1076" s="34" t="n">
        <x:f>Subsurface_Radargram_Data!C95</x:f>
        <x:v>11.01309191109043</x:v>
      </x:c>
      <x:c r="C1076" s="34" t="n">
        <x:f>Subsurface_Radargram_Data!A95</x:f>
        <x:v>-13.5</x:v>
      </x:c>
      <x:c r="D1076" s="34" t="n">
        <x:f>Subsurface_Radargram_Data!D95</x:f>
        <x:v>11.554909378968981</x:v>
      </x:c>
      <x:c r="E1076" s="34" t="n">
        <x:f>Subsurface_Radargram_Data!A95</x:f>
        <x:v>-13.5</x:v>
      </x:c>
      <x:c r="F1076" s="34" t="n">
        <x:f>Subsurface_Radargram_Data!E95</x:f>
        <x:v>52.84495164679894</x:v>
      </x:c>
      <x:c r="G1076" s="34" t="n">
        <x:f>Subsurface_Radargram_Data!A95</x:f>
        <x:v>-13.5</x:v>
      </x:c>
      <x:c r="H1076" s="34" t="n">
        <x:f>Subsurface_Radargram_Data!F95</x:f>
        <x:v>179.21291702078796</x:v>
      </x:c>
    </x:row>
    <x:row r="1077">
      <x:c r="A1077" s="34" t="n">
        <x:f>Subsurface_Radargram_Data!A96</x:f>
        <x:v>-13</x:v>
      </x:c>
      <x:c r="B1077" s="34" t="n">
        <x:f>Subsurface_Radargram_Data!C96</x:f>
        <x:v>10.915807704258913</x:v>
      </x:c>
      <x:c r="C1077" s="34" t="n">
        <x:f>Subsurface_Radargram_Data!A96</x:f>
        <x:v>-13</x:v>
      </x:c>
      <x:c r="D1077" s="34" t="n">
        <x:f>Subsurface_Radargram_Data!D96</x:f>
        <x:v>11.506075368317155</x:v>
      </x:c>
      <x:c r="E1077" s="34" t="n">
        <x:f>Subsurface_Radargram_Data!A96</x:f>
        <x:v>-13</x:v>
      </x:c>
      <x:c r="F1077" s="34" t="n">
        <x:f>Subsurface_Radargram_Data!E96</x:f>
        <x:v>52.77507805784559</x:v>
      </x:c>
      <x:c r="G1077" s="34" t="n">
        <x:f>Subsurface_Radargram_Data!A96</x:f>
        <x:v>-13</x:v>
      </x:c>
      <x:c r="H1077" s="34" t="n">
        <x:f>Subsurface_Radargram_Data!F96</x:f>
        <x:v>179.5093724604725</x:v>
      </x:c>
    </x:row>
    <x:row r="1078">
      <x:c r="A1078" s="34" t="n">
        <x:f>Subsurface_Radargram_Data!A97</x:f>
        <x:v>-12.5</x:v>
      </x:c>
      <x:c r="B1078" s="34" t="n">
        <x:f>Subsurface_Radargram_Data!C97</x:f>
        <x:v>10.827252776297955</x:v>
      </x:c>
      <x:c r="C1078" s="34" t="n">
        <x:f>Subsurface_Radargram_Data!A97</x:f>
        <x:v>-12.5</x:v>
      </x:c>
      <x:c r="D1078" s="34" t="n">
        <x:f>Subsurface_Radargram_Data!D97</x:f>
        <x:v>11.482382923177182</x:v>
      </x:c>
      <x:c r="E1078" s="34" t="n">
        <x:f>Subsurface_Radargram_Data!A97</x:f>
        <x:v>-12.5</x:v>
      </x:c>
      <x:c r="F1078" s="34" t="n">
        <x:f>Subsurface_Radargram_Data!E97</x:f>
        <x:v>52.71578801701763</x:v>
      </x:c>
      <x:c r="G1078" s="34" t="n">
        <x:f>Subsurface_Radargram_Data!A97</x:f>
        <x:v>-12.5</x:v>
      </x:c>
      <x:c r="H1078" s="34" t="n">
        <x:f>Subsurface_Radargram_Data!F97</x:f>
        <x:v>179.8118672059323</x:v>
      </x:c>
    </x:row>
    <x:row r="1079">
      <x:c r="A1079" s="34" t="n">
        <x:f>Subsurface_Radargram_Data!A98</x:f>
        <x:v>-12</x:v>
      </x:c>
      <x:c r="B1079" s="34" t="n">
        <x:f>Subsurface_Radargram_Data!C98</x:f>
        <x:v>10.748140119418046</x:v>
      </x:c>
      <x:c r="C1079" s="34" t="n">
        <x:f>Subsurface_Radargram_Data!A98</x:f>
        <x:v>-12</x:v>
      </x:c>
      <x:c r="D1079" s="34" t="n">
        <x:f>Subsurface_Radargram_Data!D98</x:f>
        <x:v>11.471387082687285</x:v>
      </x:c>
      <x:c r="E1079" s="34" t="n">
        <x:f>Subsurface_Radargram_Data!A98</x:f>
        <x:v>-12</x:v>
      </x:c>
      <x:c r="F1079" s="34" t="n">
        <x:f>Subsurface_Radargram_Data!E98</x:f>
        <x:v>52.66900769998341</x:v>
      </x:c>
      <x:c r="G1079" s="34" t="n">
        <x:f>Subsurface_Radargram_Data!A98</x:f>
        <x:v>-12</x:v>
      </x:c>
      <x:c r="H1079" s="34" t="n">
        <x:f>Subsurface_Radargram_Data!F98</x:f>
        <x:v>180.16769164518226</x:v>
      </x:c>
    </x:row>
    <x:row r="1080">
      <x:c r="A1080" s="34" t="n">
        <x:f>Subsurface_Radargram_Data!A99</x:f>
        <x:v>-11.5</x:v>
      </x:c>
      <x:c r="B1080" s="34" t="n">
        <x:f>Subsurface_Radargram_Data!C99</x:f>
        <x:v>10.679106702214893</x:v>
      </x:c>
      <x:c r="C1080" s="34" t="n">
        <x:f>Subsurface_Radargram_Data!A99</x:f>
        <x:v>-11.5</x:v>
      </x:c>
      <x:c r="D1080" s="34" t="n">
        <x:f>Subsurface_Radargram_Data!D99</x:f>
        <x:v>11.501800541545622</x:v>
      </x:c>
      <x:c r="E1080" s="34" t="n">
        <x:f>Subsurface_Radargram_Data!A99</x:f>
        <x:v>-11.5</x:v>
      </x:c>
      <x:c r="F1080" s="34" t="n">
        <x:f>Subsurface_Radargram_Data!E99</x:f>
        <x:v>52.636614616059525</x:v>
      </x:c>
      <x:c r="G1080" s="34" t="n">
        <x:f>Subsurface_Radargram_Data!A99</x:f>
        <x:v>-11.5</x:v>
      </x:c>
      <x:c r="H1080" s="34" t="n">
        <x:f>Subsurface_Radargram_Data!F99</x:f>
        <x:v>180.47881859576074</x:v>
      </x:c>
    </x:row>
    <x:row r="1081">
      <x:c r="A1081" s="34" t="n">
        <x:f>Subsurface_Radargram_Data!A100</x:f>
        <x:v>-11</x:v>
      </x:c>
      <x:c r="B1081" s="34" t="n">
        <x:f>Subsurface_Radargram_Data!C100</x:f>
        <x:v>10.620708341172824</x:v>
      </x:c>
      <x:c r="C1081" s="34" t="n">
        <x:f>Subsurface_Radargram_Data!A100</x:f>
        <x:v>-11</x:v>
      </x:c>
      <x:c r="D1081" s="34" t="n">
        <x:f>Subsurface_Radargram_Data!D100</x:f>
        <x:v>11.550794796189122</x:v>
      </x:c>
      <x:c r="E1081" s="34" t="n">
        <x:f>Subsurface_Radargram_Data!A100</x:f>
        <x:v>-11</x:v>
      </x:c>
      <x:c r="F1081" s="34" t="n">
        <x:f>Subsurface_Radargram_Data!E100</x:f>
        <x:v>52.62040867664199</x:v>
      </x:c>
      <x:c r="G1081" s="34" t="n">
        <x:f>Subsurface_Radargram_Data!A100</x:f>
        <x:v>-11</x:v>
      </x:c>
      <x:c r="H1081" s="34" t="n">
        <x:f>Subsurface_Radargram_Data!F100</x:f>
        <x:v>180.82629673777694</x:v>
      </x:c>
    </x:row>
    <x:row r="1082">
      <x:c r="A1082" s="34" t="n">
        <x:f>Subsurface_Radargram_Data!A101</x:f>
        <x:v>-10.5</x:v>
      </x:c>
      <x:c r="B1082" s="34" t="n">
        <x:f>Subsurface_Radargram_Data!C101</x:f>
        <x:v>10.57341522555727</x:v>
      </x:c>
      <x:c r="C1082" s="34" t="n">
        <x:f>Subsurface_Radargram_Data!A101</x:f>
        <x:v>-10.5</x:v>
      </x:c>
      <x:c r="D1082" s="34" t="n">
        <x:f>Subsurface_Radargram_Data!D101</x:f>
        <x:v>11.628559856131705</x:v>
      </x:c>
      <x:c r="E1082" s="34" t="n">
        <x:f>Subsurface_Radargram_Data!A101</x:f>
        <x:v>-10.5</x:v>
      </x:c>
      <x:c r="F1082" s="34" t="n">
        <x:f>Subsurface_Radargram_Data!E101</x:f>
        <x:v>52.62208410562419</x:v>
      </x:c>
      <x:c r="G1082" s="34" t="n">
        <x:f>Subsurface_Radargram_Data!A101</x:f>
        <x:v>-10.5</x:v>
      </x:c>
      <x:c r="H1082" s="34" t="n">
        <x:f>Subsurface_Radargram_Data!F101</x:f>
        <x:v>181.17425923799036</x:v>
      </x:c>
    </x:row>
    <x:row r="1083">
      <x:c r="A1083" s="34" t="n">
        <x:f>Subsurface_Radargram_Data!A102</x:f>
        <x:v>-10</x:v>
      </x:c>
      <x:c r="B1083" s="34" t="n">
        <x:f>Subsurface_Radargram_Data!C102</x:f>
        <x:v>10.537608131727264</x:v>
      </x:c>
      <x:c r="C1083" s="34" t="n">
        <x:f>Subsurface_Radargram_Data!A102</x:f>
        <x:v>-10</x:v>
      </x:c>
      <x:c r="D1083" s="34" t="n">
        <x:f>Subsurface_Radargram_Data!D102</x:f>
        <x:v>11.730041486604657</x:v>
      </x:c>
      <x:c r="E1083" s="34" t="n">
        <x:f>Subsurface_Radargram_Data!A102</x:f>
        <x:v>-10</x:v>
      </x:c>
      <x:c r="F1083" s="34" t="n">
        <x:f>Subsurface_Radargram_Data!E102</x:f>
        <x:v>52.643202597813215</x:v>
      </x:c>
      <x:c r="G1083" s="34" t="n">
        <x:f>Subsurface_Radargram_Data!A102</x:f>
        <x:v>-10</x:v>
      </x:c>
      <x:c r="H1083" s="34" t="n">
        <x:f>Subsurface_Radargram_Data!F102</x:f>
        <x:v>181.53883166294474</x:v>
      </x:c>
    </x:row>
    <x:row r="1084">
      <x:c r="A1084" s="34" t="n">
        <x:f>Subsurface_Radargram_Data!A103</x:f>
        <x:v>-9.5</x:v>
      </x:c>
      <x:c r="B1084" s="34" t="n">
        <x:f>Subsurface_Radargram_Data!C103</x:f>
        <x:v>10.513575357348097</x:v>
      </x:c>
      <x:c r="C1084" s="34" t="n">
        <x:f>Subsurface_Radargram_Data!A103</x:f>
        <x:v>-9.5</x:v>
      </x:c>
      <x:c r="D1084" s="34" t="n">
        <x:f>Subsurface_Radargram_Data!D103</x:f>
        <x:v>11.856401515004766</x:v>
      </x:c>
      <x:c r="E1084" s="34" t="n">
        <x:f>Subsurface_Radargram_Data!A103</x:f>
        <x:v>-9.5</x:v>
      </x:c>
      <x:c r="F1084" s="34" t="n">
        <x:f>Subsurface_Radargram_Data!E103</x:f>
        <x:v>52.68516811544707</x:v>
      </x:c>
      <x:c r="G1084" s="34" t="n">
        <x:f>Subsurface_Radargram_Data!A103</x:f>
        <x:v>-9.5</x:v>
      </x:c>
      <x:c r="H1084" s="34" t="n">
        <x:f>Subsurface_Radargram_Data!F103</x:f>
        <x:v>181.91302995233184</x:v>
      </x:c>
    </x:row>
    <x:row r="1085">
      <x:c r="A1085" s="34" t="n">
        <x:f>Subsurface_Radargram_Data!A104</x:f>
        <x:v>-9</x:v>
      </x:c>
      <x:c r="B1085" s="34" t="n">
        <x:f>Subsurface_Radargram_Data!C104</x:f>
        <x:v>10.501510400188028</x:v>
      </x:c>
      <x:c r="C1085" s="34" t="n">
        <x:f>Subsurface_Radargram_Data!A104</x:f>
        <x:v>-9</x:v>
      </x:c>
      <x:c r="D1085" s="34" t="n">
        <x:f>Subsurface_Radargram_Data!D104</x:f>
        <x:v>12.012952120862149</x:v>
      </x:c>
      <x:c r="E1085" s="34" t="n">
        <x:f>Subsurface_Radargram_Data!A104</x:f>
        <x:v>-9</x:v>
      </x:c>
      <x:c r="F1085" s="34" t="n">
        <x:f>Subsurface_Radargram_Data!E104</x:f>
        <x:v>52.74920369119536</x:v>
      </x:c>
      <x:c r="G1085" s="34" t="n">
        <x:f>Subsurface_Radargram_Data!A104</x:f>
        <x:v>-9</x:v>
      </x:c>
      <x:c r="H1085" s="34" t="n">
        <x:f>Subsurface_Radargram_Data!F104</x:f>
        <x:v>182.27402002340526</x:v>
      </x:c>
    </x:row>
    <x:row r="1086">
      <x:c r="A1086" s="34" t="n">
        <x:f>Subsurface_Radargram_Data!A105</x:f>
        <x:v>-8.5</x:v>
      </x:c>
      <x:c r="B1086" s="34" t="n">
        <x:f>Subsurface_Radargram_Data!C105</x:f>
        <x:v>10.501510400188028</x:v>
      </x:c>
      <x:c r="C1086" s="34" t="n">
        <x:f>Subsurface_Radargram_Data!A105</x:f>
        <x:v>-8.5</x:v>
      </x:c>
      <x:c r="D1086" s="34" t="n">
        <x:f>Subsurface_Radargram_Data!D105</x:f>
        <x:v>12.178849110026642</x:v>
      </x:c>
      <x:c r="E1086" s="34" t="n">
        <x:f>Subsurface_Radargram_Data!A105</x:f>
        <x:v>-8.5</x:v>
      </x:c>
      <x:c r="F1086" s="34" t="n">
        <x:f>Subsurface_Radargram_Data!E105</x:f>
        <x:v>52.83633057878352</x:v>
      </x:c>
      <x:c r="G1086" s="34" t="n">
        <x:f>Subsurface_Radargram_Data!A105</x:f>
        <x:v>-8.5</x:v>
      </x:c>
      <x:c r="H1086" s="34" t="n">
        <x:f>Subsurface_Radargram_Data!F105</x:f>
        <x:v>182.6892409541461</x:v>
      </x:c>
    </x:row>
    <x:row r="1087">
      <x:c r="A1087" s="34" t="n">
        <x:f>Subsurface_Radargram_Data!A106</x:f>
        <x:v>-8</x:v>
      </x:c>
      <x:c r="B1087" s="34" t="n">
        <x:f>Subsurface_Radargram_Data!C106</x:f>
        <x:v>10.513575357348097</x:v>
      </x:c>
      <x:c r="C1087" s="34" t="n">
        <x:f>Subsurface_Radargram_Data!A106</x:f>
        <x:v>-8</x:v>
      </x:c>
      <x:c r="D1087" s="34" t="n">
        <x:f>Subsurface_Radargram_Data!D106</x:f>
        <x:v>12.383300612394327</x:v>
      </x:c>
      <x:c r="E1087" s="34" t="n">
        <x:f>Subsurface_Radargram_Data!A106</x:f>
        <x:v>-8</x:v>
      </x:c>
      <x:c r="F1087" s="34" t="n">
        <x:f>Subsurface_Radargram_Data!E106</x:f>
        <x:v>52.94735005999193</x:v>
      </x:c>
      <x:c r="G1087" s="34" t="n">
        <x:f>Subsurface_Radargram_Data!A106</x:f>
        <x:v>-8</x:v>
      </x:c>
      <x:c r="H1087" s="34" t="n">
        <x:f>Subsurface_Radargram_Data!F106</x:f>
        <x:v>183.04974332940324</x:v>
      </x:c>
    </x:row>
    <x:row r="1088">
      <x:c r="A1088" s="34" t="n">
        <x:f>Subsurface_Radargram_Data!A107</x:f>
        <x:v>-7.5</x:v>
      </x:c>
      <x:c r="B1088" s="34" t="n">
        <x:f>Subsurface_Radargram_Data!C107</x:f>
        <x:v>10.537608131727264</x:v>
      </x:c>
      <x:c r="C1088" s="34" t="n">
        <x:f>Subsurface_Radargram_Data!A107</x:f>
        <x:v>-7.5</x:v>
      </x:c>
      <x:c r="D1088" s="34" t="n">
        <x:f>Subsurface_Radargram_Data!D107</x:f>
        <x:v>12.597934112875077</x:v>
      </x:c>
      <x:c r="E1088" s="34" t="n">
        <x:f>Subsurface_Radargram_Data!A107</x:f>
        <x:v>-7.5</x:v>
      </x:c>
      <x:c r="F1088" s="34" t="n">
        <x:f>Subsurface_Radargram_Data!E107</x:f>
        <x:v>53.08282817970846</x:v>
      </x:c>
      <x:c r="G1088" s="34" t="n">
        <x:f>Subsurface_Radargram_Data!A107</x:f>
        <x:v>-7.5</x:v>
      </x:c>
      <x:c r="H1088" s="34" t="n">
        <x:f>Subsurface_Radargram_Data!F107</x:f>
        <x:v>183.44699137663565</x:v>
      </x:c>
    </x:row>
    <x:row r="1089">
      <x:c r="A1089" s="34" t="n">
        <x:f>Subsurface_Radargram_Data!A108</x:f>
        <x:v>-7</x:v>
      </x:c>
      <x:c r="B1089" s="34" t="n">
        <x:f>Subsurface_Radargram_Data!C108</x:f>
        <x:v>10.57341522555727</x:v>
      </x:c>
      <x:c r="C1089" s="34" t="n">
        <x:f>Subsurface_Radargram_Data!A108</x:f>
        <x:v>-7</x:v>
      </x:c>
      <x:c r="D1089" s="34" t="n">
        <x:f>Subsurface_Radargram_Data!D108</x:f>
        <x:v>12.819759274198134</x:v>
      </x:c>
      <x:c r="E1089" s="34" t="n">
        <x:f>Subsurface_Radargram_Data!A108</x:f>
        <x:v>-7</x:v>
      </x:c>
      <x:c r="F1089" s="34" t="n">
        <x:f>Subsurface_Radargram_Data!E108</x:f>
        <x:v>53.24308363948805</x:v>
      </x:c>
      <x:c r="G1089" s="34" t="n">
        <x:f>Subsurface_Radargram_Data!A108</x:f>
        <x:v>-7</x:v>
      </x:c>
      <x:c r="H1089" s="34" t="n">
        <x:f>Subsurface_Radargram_Data!F108</x:f>
        <x:v>183.8825963078607</x:v>
      </x:c>
    </x:row>
    <x:row r="1090">
      <x:c r="A1090" s="34" t="n">
        <x:f>Subsurface_Radargram_Data!A109</x:f>
        <x:v>-6.5</x:v>
      </x:c>
      <x:c r="B1090" s="34" t="n">
        <x:f>Subsurface_Radargram_Data!C109</x:f>
        <x:v>10.620708341172824</x:v>
      </x:c>
      <x:c r="C1090" s="34" t="n">
        <x:f>Subsurface_Radargram_Data!A109</x:f>
        <x:v>-6.5</x:v>
      </x:c>
      <x:c r="D1090" s="34" t="n">
        <x:f>Subsurface_Radargram_Data!D109</x:f>
        <x:v>13.075709208052775</x:v>
      </x:c>
      <x:c r="E1090" s="34" t="n">
        <x:f>Subsurface_Radargram_Data!A109</x:f>
        <x:v>-6.5</x:v>
      </x:c>
      <x:c r="F1090" s="34" t="n">
        <x:f>Subsurface_Radargram_Data!E109</x:f>
        <x:v>53.428179035301774</x:v>
      </x:c>
      <x:c r="G1090" s="34" t="n">
        <x:f>Subsurface_Radargram_Data!A109</x:f>
        <x:v>-6.5</x:v>
      </x:c>
      <x:c r="H1090" s="34" t="n">
        <x:f>Subsurface_Radargram_Data!F109</x:f>
        <x:v>184.2525398301557</x:v>
      </x:c>
    </x:row>
    <x:row r="1091">
      <x:c r="A1091" s="34" t="n">
        <x:f>Subsurface_Radargram_Data!A110</x:f>
        <x:v>-6</x:v>
      </x:c>
      <x:c r="B1091" s="34" t="n">
        <x:f>Subsurface_Radargram_Data!C110</x:f>
        <x:v>10.679106702214893</x:v>
      </x:c>
      <x:c r="C1091" s="34" t="n">
        <x:f>Subsurface_Radargram_Data!A110</x:f>
        <x:v>-6</x:v>
      </x:c>
      <x:c r="D1091" s="34" t="n">
        <x:f>Subsurface_Radargram_Data!D110</x:f>
        <x:v>13.334015482247137</x:v>
      </x:c>
      <x:c r="E1091" s="34" t="n">
        <x:f>Subsurface_Radargram_Data!A110</x:f>
        <x:v>-6</x:v>
      </x:c>
      <x:c r="F1091" s="34" t="n">
        <x:f>Subsurface_Radargram_Data!E110</x:f>
        <x:v>53.63791557749561</x:v>
      </x:c>
      <x:c r="G1091" s="34" t="n">
        <x:f>Subsurface_Radargram_Data!A110</x:f>
        <x:v>-6</x:v>
      </x:c>
      <x:c r="H1091" s="34" t="n">
        <x:f>Subsurface_Radargram_Data!F110</x:f>
        <x:v>184.6574923480012</x:v>
      </x:c>
    </x:row>
    <x:row r="1092">
      <x:c r="A1092" s="34" t="n">
        <x:f>Subsurface_Radargram_Data!A111</x:f>
        <x:v>-5.5</x:v>
      </x:c>
      <x:c r="B1092" s="34" t="n">
        <x:f>Subsurface_Radargram_Data!C111</x:f>
        <x:v>10.748140119418046</x:v>
      </x:c>
      <x:c r="C1092" s="34" t="n">
        <x:f>Subsurface_Radargram_Data!A111</x:f>
        <x:v>-5.5</x:v>
      </x:c>
      <x:c r="D1092" s="34" t="n">
        <x:f>Subsurface_Radargram_Data!D111</x:f>
        <x:v>13.6005050970286</x:v>
      </x:c>
      <x:c r="E1092" s="34" t="n">
        <x:f>Subsurface_Radargram_Data!A111</x:f>
        <x:v>-5.5</x:v>
      </x:c>
      <x:c r="F1092" s="34" t="str">
        <x:f>Subsurface_Radargram_Data!E111</x:f>
      </x:c>
      <x:c r="G1092" s="34" t="n">
        <x:f>Subsurface_Radargram_Data!A111</x:f>
        <x:v>-5.5</x:v>
      </x:c>
      <x:c r="H1092" s="34" t="n">
        <x:f>Subsurface_Radargram_Data!F111</x:f>
        <x:v>185.06591487723395</x:v>
      </x:c>
    </x:row>
    <x:row r="1093">
      <x:c r="A1093" s="34" t="n">
        <x:f>Subsurface_Radargram_Data!A112</x:f>
        <x:v>-5</x:v>
      </x:c>
      <x:c r="B1093" s="34" t="n">
        <x:f>Subsurface_Radargram_Data!C112</x:f>
        <x:v>10.827252776297955</x:v>
      </x:c>
      <x:c r="C1093" s="34" t="n">
        <x:f>Subsurface_Radargram_Data!A112</x:f>
        <x:v>-5</x:v>
      </x:c>
      <x:c r="D1093" s="34" t="n">
        <x:f>Subsurface_Radargram_Data!D112</x:f>
        <x:v>13.873180764730014</x:v>
      </x:c>
      <x:c r="E1093" s="34" t="n">
        <x:f>Subsurface_Radargram_Data!A112</x:f>
        <x:v>-5</x:v>
      </x:c>
      <x:c r="F1093" s="34" t="str">
        <x:f>Subsurface_Radargram_Data!E112</x:f>
      </x:c>
      <x:c r="G1093" s="34" t="n">
        <x:f>Subsurface_Radargram_Data!A112</x:f>
        <x:v>-5</x:v>
      </x:c>
      <x:c r="H1093" s="34" t="n">
        <x:f>Subsurface_Radargram_Data!F112</x:f>
        <x:v>185.47317768106453</x:v>
      </x:c>
    </x:row>
    <x:row r="1094">
      <x:c r="A1094" s="34" t="n">
        <x:f>Subsurface_Radargram_Data!A113</x:f>
        <x:v>-4.5</x:v>
      </x:c>
      <x:c r="B1094" s="34" t="n">
        <x:f>Subsurface_Radargram_Data!C113</x:f>
        <x:v>10.915807704258913</x:v>
      </x:c>
      <x:c r="C1094" s="34" t="n">
        <x:f>Subsurface_Radargram_Data!A113</x:f>
        <x:v>-4.5</x:v>
      </x:c>
      <x:c r="D1094" s="34" t="n">
        <x:f>Subsurface_Radargram_Data!D113</x:f>
        <x:v>14.152576323434097</x:v>
      </x:c>
      <x:c r="E1094" s="34" t="n">
        <x:f>Subsurface_Radargram_Data!A113</x:f>
        <x:v>-4.5</x:v>
      </x:c>
      <x:c r="F1094" s="34" t="str">
        <x:f>Subsurface_Radargram_Data!E113</x:f>
      </x:c>
      <x:c r="G1094" s="34" t="n">
        <x:f>Subsurface_Radargram_Data!A113</x:f>
        <x:v>-4.5</x:v>
      </x:c>
      <x:c r="H1094" s="34" t="n">
        <x:f>Subsurface_Radargram_Data!F113</x:f>
        <x:v>185.86547178613756</x:v>
      </x:c>
    </x:row>
    <x:row r="1095">
      <x:c r="A1095" s="34" t="n">
        <x:f>Subsurface_Radargram_Data!A114</x:f>
        <x:v>-4</x:v>
      </x:c>
      <x:c r="B1095" s="34" t="n">
        <x:f>Subsurface_Radargram_Data!C114</x:f>
        <x:v>11.01309191109043</x:v>
      </x:c>
      <x:c r="C1095" s="34" t="n">
        <x:f>Subsurface_Radargram_Data!A114</x:f>
        <x:v>-4</x:v>
      </x:c>
      <x:c r="D1095" s="34" t="n">
        <x:f>Subsurface_Radargram_Data!D114</x:f>
        <x:v>14.434711607130449</x:v>
      </x:c>
      <x:c r="E1095" s="34" t="n">
        <x:f>Subsurface_Radargram_Data!A114</x:f>
        <x:v>-4</x:v>
      </x:c>
      <x:c r="F1095" s="34" t="str">
        <x:f>Subsurface_Radargram_Data!E114</x:f>
      </x:c>
      <x:c r="G1095" s="34" t="n">
        <x:f>Subsurface_Radargram_Data!A114</x:f>
        <x:v>-4</x:v>
      </x:c>
      <x:c r="H1095" s="34" t="n">
        <x:f>Subsurface_Radargram_Data!F114</x:f>
        <x:v>186.2446257435595</x:v>
      </x:c>
    </x:row>
    <x:row r="1096">
      <x:c r="A1096" s="34" t="n">
        <x:f>Subsurface_Radargram_Data!A115</x:f>
        <x:v>-3.5</x:v>
      </x:c>
      <x:c r="B1096" s="34" t="n">
        <x:f>Subsurface_Radargram_Data!C115</x:f>
        <x:v>11.11832212156129</x:v>
      </x:c>
      <x:c r="C1096" s="34" t="n">
        <x:f>Subsurface_Radargram_Data!A115</x:f>
        <x:v>-3.5</x:v>
      </x:c>
      <x:c r="D1096" s="34" t="n">
        <x:f>Subsurface_Radargram_Data!D115</x:f>
        <x:v>14.702304134518254</x:v>
      </x:c>
      <x:c r="E1096" s="34" t="n">
        <x:f>Subsurface_Radargram_Data!A115</x:f>
        <x:v>-3.5</x:v>
      </x:c>
      <x:c r="F1096" s="34" t="str">
        <x:f>Subsurface_Radargram_Data!E115</x:f>
      </x:c>
      <x:c r="G1096" s="34" t="n">
        <x:f>Subsurface_Radargram_Data!A115</x:f>
        <x:v>-3.5</x:v>
      </x:c>
      <x:c r="H1096" s="34" t="n">
        <x:f>Subsurface_Radargram_Data!F115</x:f>
        <x:v>186.65902433286854</x:v>
      </x:c>
    </x:row>
    <x:row r="1097">
      <x:c r="A1097" s="34" t="n">
        <x:f>Subsurface_Radargram_Data!A116</x:f>
        <x:v>-3</x:v>
      </x:c>
      <x:c r="B1097" s="34" t="n">
        <x:f>Subsurface_Radargram_Data!C116</x:f>
        <x:v>11.230651083891141</x:v>
      </x:c>
      <x:c r="C1097" s="34" t="n">
        <x:f>Subsurface_Radargram_Data!A116</x:f>
        <x:v>-3</x:v>
      </x:c>
      <x:c r="D1097" s="34" t="n">
        <x:f>Subsurface_Radargram_Data!D116</x:f>
        <x:v>14.980699567576501</x:v>
      </x:c>
      <x:c r="E1097" s="34" t="n">
        <x:f>Subsurface_Radargram_Data!A116</x:f>
        <x:v>-3</x:v>
      </x:c>
      <x:c r="F1097" s="34" t="str">
        <x:f>Subsurface_Radargram_Data!E116</x:f>
      </x:c>
      <x:c r="G1097" s="34" t="n">
        <x:f>Subsurface_Radargram_Data!A116</x:f>
        <x:v>-3</x:v>
      </x:c>
      <x:c r="H1097" s="34" t="n">
        <x:f>Subsurface_Radargram_Data!F116</x:f>
        <x:v>187.00800986132288</x:v>
      </x:c>
    </x:row>
    <x:row r="1098">
      <x:c r="A1098" s="34" t="n">
        <x:f>Subsurface_Radargram_Data!A117</x:f>
        <x:v>-2.5</x:v>
      </x:c>
      <x:c r="B1098" s="34" t="n">
        <x:f>Subsurface_Radargram_Data!C117</x:f>
        <x:v>11.349174391323663</x:v>
      </x:c>
      <x:c r="C1098" s="34" t="n">
        <x:f>Subsurface_Radargram_Data!A117</x:f>
        <x:v>-2.5</x:v>
      </x:c>
      <x:c r="D1098" s="34" t="n">
        <x:f>Subsurface_Radargram_Data!D117</x:f>
        <x:v>15.24280907375238</x:v>
      </x:c>
      <x:c r="E1098" s="34" t="n">
        <x:f>Subsurface_Radargram_Data!A117</x:f>
        <x:v>-2.5</x:v>
      </x:c>
      <x:c r="F1098" s="34" t="str">
        <x:f>Subsurface_Radargram_Data!E117</x:f>
      </x:c>
      <x:c r="G1098" s="34" t="n">
        <x:f>Subsurface_Radargram_Data!A117</x:f>
        <x:v>-2.5</x:v>
      </x:c>
      <x:c r="H1098" s="34" t="n">
        <x:f>Subsurface_Radargram_Data!F117</x:f>
        <x:v>187.37475513034263</x:v>
      </x:c>
    </x:row>
    <x:row r="1099">
      <x:c r="A1099" s="34" t="n">
        <x:f>Subsurface_Radargram_Data!A118</x:f>
        <x:v>-2</x:v>
      </x:c>
      <x:c r="B1099" s="34" t="n">
        <x:f>Subsurface_Radargram_Data!C118</x:f>
        <x:v>11.472937763877987</x:v>
      </x:c>
      <x:c r="C1099" s="34" t="n">
        <x:f>Subsurface_Radargram_Data!A118</x:f>
        <x:v>-2</x:v>
      </x:c>
      <x:c r="D1099" s="34" t="n">
        <x:f>Subsurface_Radargram_Data!D118</x:f>
        <x:v>15.499254058509585</x:v>
      </x:c>
      <x:c r="E1099" s="34" t="n">
        <x:f>Subsurface_Radargram_Data!A118</x:f>
        <x:v>-2</x:v>
      </x:c>
      <x:c r="F1099" s="34" t="str">
        <x:f>Subsurface_Radargram_Data!E118</x:f>
      </x:c>
      <x:c r="G1099" s="34" t="n">
        <x:f>Subsurface_Radargram_Data!A118</x:f>
        <x:v>-2</x:v>
      </x:c>
      <x:c r="H1099" s="34" t="n">
        <x:f>Subsurface_Radargram_Data!F118</x:f>
        <x:v>187.71090407662348</x:v>
      </x:c>
    </x:row>
    <x:row r="1100">
      <x:c r="A1100" s="34" t="n">
        <x:f>Subsurface_Radargram_Data!A119</x:f>
        <x:v>-1.5</x:v>
      </x:c>
      <x:c r="B1100" s="34" t="n">
        <x:f>Subsurface_Radargram_Data!C119</x:f>
        <x:v>11.600944731649987</x:v>
      </x:c>
      <x:c r="C1100" s="34" t="n">
        <x:f>Subsurface_Radargram_Data!A119</x:f>
        <x:v>-1.5</x:v>
      </x:c>
      <x:c r="D1100" s="34" t="n">
        <x:f>Subsurface_Radargram_Data!D119</x:f>
        <x:v>15.731093031687319</x:v>
      </x:c>
      <x:c r="E1100" s="34" t="n">
        <x:f>Subsurface_Radargram_Data!A119</x:f>
        <x:v>-1.5</x:v>
      </x:c>
      <x:c r="F1100" s="34" t="str">
        <x:f>Subsurface_Radargram_Data!E119</x:f>
      </x:c>
      <x:c r="G1100" s="34" t="n">
        <x:f>Subsurface_Radargram_Data!A119</x:f>
        <x:v>-1.5</x:v>
      </x:c>
      <x:c r="H1100" s="34" t="n">
        <x:f>Subsurface_Radargram_Data!F119</x:f>
        <x:v>188.07216619737875</x:v>
      </x:c>
    </x:row>
    <x:row r="1101">
      <x:c r="A1101" s="34" t="n">
        <x:f>Subsurface_Radargram_Data!A120</x:f>
        <x:v>-1</x:v>
      </x:c>
      <x:c r="B1101" s="34" t="n">
        <x:f>Subsurface_Radargram_Data!C120</x:f>
        <x:v>11.732164657802045</x:v>
      </x:c>
      <x:c r="C1101" s="34" t="n">
        <x:f>Subsurface_Radargram_Data!A120</x:f>
        <x:v>-1</x:v>
      </x:c>
      <x:c r="D1101" s="34" t="n">
        <x:f>Subsurface_Radargram_Data!D120</x:f>
        <x:v>15.952226502738215</x:v>
      </x:c>
      <x:c r="E1101" s="34" t="n">
        <x:f>Subsurface_Radargram_Data!A120</x:f>
        <x:v>-1</x:v>
      </x:c>
      <x:c r="F1101" s="34" t="str">
        <x:f>Subsurface_Radargram_Data!E120</x:f>
      </x:c>
      <x:c r="G1101" s="34" t="n">
        <x:f>Subsurface_Radargram_Data!A120</x:f>
        <x:v>-1</x:v>
      </x:c>
      <x:c r="H1101" s="34" t="n">
        <x:f>Subsurface_Radargram_Data!F120</x:f>
        <x:v>188.40002708568701</x:v>
      </x:c>
    </x:row>
    <x:row r="1102">
      <x:c r="A1102" s="34" t="n">
        <x:f>Subsurface_Radargram_Data!A121</x:f>
        <x:v>-0.5</x:v>
      </x:c>
      <x:c r="B1102" s="34" t="n">
        <x:f>Subsurface_Radargram_Data!C121</x:f>
        <x:v>11.86554103664485</x:v>
      </x:c>
      <x:c r="C1102" s="34" t="n">
        <x:f>Subsurface_Radargram_Data!A121</x:f>
        <x:v>-0.5</x:v>
      </x:c>
      <x:c r="D1102" s="34" t="n">
        <x:f>Subsurface_Radargram_Data!D121</x:f>
        <x:v>16.16441011761666</x:v>
      </x:c>
      <x:c r="E1102" s="34" t="n">
        <x:f>Subsurface_Radargram_Data!A121</x:f>
        <x:v>-0.5</x:v>
      </x:c>
      <x:c r="F1102" s="34" t="str">
        <x:f>Subsurface_Radargram_Data!E121</x:f>
      </x:c>
      <x:c r="G1102" s="34" t="n">
        <x:f>Subsurface_Radargram_Data!A121</x:f>
        <x:v>-0.5</x:v>
      </x:c>
      <x:c r="H1102" s="34" t="n">
        <x:f>Subsurface_Radargram_Data!F121</x:f>
        <x:v>188.6793175003886</x:v>
      </x:c>
    </x:row>
    <x:row r="1103">
      <x:c r="A1103" s="34" t="n">
        <x:f>Subsurface_Radargram_Data!A122</x:f>
        <x:v>0</x:v>
      </x:c>
      <x:c r="B1103" s="34" t="n">
        <x:f>Subsurface_Radargram_Data!C122</x:f>
        <x:v>12</x:v>
      </x:c>
      <x:c r="C1103" s="34" t="n">
        <x:f>Subsurface_Radargram_Data!A122</x:f>
        <x:v>0</x:v>
      </x:c>
      <x:c r="D1103" s="34" t="n">
        <x:f>Subsurface_Radargram_Data!D122</x:f>
        <x:v>16.34165949496012</x:v>
      </x:c>
      <x:c r="E1103" s="34" t="n">
        <x:f>Subsurface_Radargram_Data!A122</x:f>
        <x:v>0</x:v>
      </x:c>
      <x:c r="F1103" s="34" t="str">
        <x:f>Subsurface_Radargram_Data!E122</x:f>
      </x:c>
      <x:c r="G1103" s="34" t="n">
        <x:f>Subsurface_Radargram_Data!A122</x:f>
        <x:v>0</x:v>
      </x:c>
      <x:c r="H1103" s="34" t="n">
        <x:f>Subsurface_Radargram_Data!F122</x:f>
        <x:v>188.99289727752253</x:v>
      </x:c>
    </x:row>
    <x:row r="1104">
      <x:c r="A1104" s="34" t="n">
        <x:f>Subsurface_Radargram_Data!A123</x:f>
        <x:v>0.5</x:v>
      </x:c>
      <x:c r="B1104" s="34" t="n">
        <x:f>Subsurface_Radargram_Data!C123</x:f>
        <x:v>12.13445896335515</x:v>
      </x:c>
      <x:c r="C1104" s="34" t="n">
        <x:f>Subsurface_Radargram_Data!A123</x:f>
        <x:v>0.5</x:v>
      </x:c>
      <x:c r="D1104" s="34" t="n">
        <x:f>Subsurface_Radargram_Data!D123</x:f>
        <x:v>16.493179649616593</x:v>
      </x:c>
      <x:c r="E1104" s="34" t="n">
        <x:f>Subsurface_Radargram_Data!A123</x:f>
        <x:v>0.5</x:v>
      </x:c>
      <x:c r="F1104" s="34" t="str">
        <x:f>Subsurface_Radargram_Data!E123</x:f>
      </x:c>
      <x:c r="G1104" s="34" t="n">
        <x:f>Subsurface_Radargram_Data!A123</x:f>
        <x:v>0.5</x:v>
      </x:c>
      <x:c r="H1104" s="34" t="n">
        <x:f>Subsurface_Radargram_Data!F123</x:f>
        <x:v>189.30148764804642</x:v>
      </x:c>
    </x:row>
    <x:row r="1105">
      <x:c r="A1105" s="34" t="n">
        <x:f>Subsurface_Radargram_Data!A124</x:f>
        <x:v>1</x:v>
      </x:c>
      <x:c r="B1105" s="34" t="n">
        <x:f>Subsurface_Radargram_Data!C124</x:f>
        <x:v>12.267835342197955</x:v>
      </x:c>
      <x:c r="C1105" s="34" t="n">
        <x:f>Subsurface_Radargram_Data!A124</x:f>
        <x:v>1</x:v>
      </x:c>
      <x:c r="D1105" s="34" t="n">
        <x:f>Subsurface_Radargram_Data!D124</x:f>
        <x:v>16.62532449599302</x:v>
      </x:c>
      <x:c r="E1105" s="34" t="n">
        <x:f>Subsurface_Radargram_Data!A124</x:f>
        <x:v>1</x:v>
      </x:c>
      <x:c r="F1105" s="34" t="str">
        <x:f>Subsurface_Radargram_Data!E124</x:f>
      </x:c>
      <x:c r="G1105" s="34" t="n">
        <x:f>Subsurface_Radargram_Data!A124</x:f>
        <x:v>1</x:v>
      </x:c>
      <x:c r="H1105" s="34" t="n">
        <x:f>Subsurface_Radargram_Data!F124</x:f>
        <x:v>189.57688169489833</x:v>
      </x:c>
    </x:row>
    <x:row r="1106">
      <x:c r="A1106" s="34" t="n">
        <x:f>Subsurface_Radargram_Data!A125</x:f>
        <x:v>1.5</x:v>
      </x:c>
      <x:c r="B1106" s="34" t="n">
        <x:f>Subsurface_Radargram_Data!C125</x:f>
        <x:v>12.399055268350013</x:v>
      </x:c>
      <x:c r="C1106" s="34" t="n">
        <x:f>Subsurface_Radargram_Data!A125</x:f>
        <x:v>1.5</x:v>
      </x:c>
      <x:c r="D1106" s="34" t="n">
        <x:f>Subsurface_Radargram_Data!D125</x:f>
        <x:v>16.733106801480393</x:v>
      </x:c>
      <x:c r="E1106" s="34" t="n">
        <x:f>Subsurface_Radargram_Data!A125</x:f>
        <x:v>1.5</x:v>
      </x:c>
      <x:c r="F1106" s="34" t="str">
        <x:f>Subsurface_Radargram_Data!E125</x:f>
      </x:c>
      <x:c r="G1106" s="34" t="n">
        <x:f>Subsurface_Radargram_Data!A125</x:f>
        <x:v>1.5</x:v>
      </x:c>
      <x:c r="H1106" s="34" t="n">
        <x:f>Subsurface_Radargram_Data!F125</x:f>
        <x:v>189.83171090832272</x:v>
      </x:c>
    </x:row>
    <x:row r="1107">
      <x:c r="A1107" s="34" t="n">
        <x:f>Subsurface_Radargram_Data!A126</x:f>
        <x:v>2</x:v>
      </x:c>
      <x:c r="B1107" s="34" t="n">
        <x:f>Subsurface_Radargram_Data!C126</x:f>
        <x:v>12.527062236122013</x:v>
      </x:c>
      <x:c r="C1107" s="34" t="n">
        <x:f>Subsurface_Radargram_Data!A126</x:f>
        <x:v>2</x:v>
      </x:c>
      <x:c r="D1107" s="34" t="n">
        <x:f>Subsurface_Radargram_Data!D126</x:f>
        <x:v>16.812821886486894</x:v>
      </x:c>
      <x:c r="E1107" s="34" t="n">
        <x:f>Subsurface_Radargram_Data!A126</x:f>
        <x:v>2</x:v>
      </x:c>
      <x:c r="F1107" s="34" t="str">
        <x:f>Subsurface_Radargram_Data!E126</x:f>
      </x:c>
      <x:c r="G1107" s="34" t="n">
        <x:f>Subsurface_Radargram_Data!A126</x:f>
        <x:v>2</x:v>
      </x:c>
      <x:c r="H1107" s="34" t="n">
        <x:f>Subsurface_Radargram_Data!F126</x:f>
        <x:v>190.0752958632997</x:v>
      </x:c>
    </x:row>
    <x:row r="1108">
      <x:c r="A1108" s="34" t="n">
        <x:f>Subsurface_Radargram_Data!A127</x:f>
        <x:v>2.5</x:v>
      </x:c>
      <x:c r="B1108" s="34" t="n">
        <x:f>Subsurface_Radargram_Data!C127</x:f>
        <x:v>12.650825608676337</x:v>
      </x:c>
      <x:c r="C1108" s="34" t="n">
        <x:f>Subsurface_Radargram_Data!A127</x:f>
        <x:v>2.5</x:v>
      </x:c>
      <x:c r="D1108" s="34" t="n">
        <x:f>Subsurface_Radargram_Data!D127</x:f>
        <x:v>16.863619223817754</x:v>
      </x:c>
      <x:c r="E1108" s="34" t="n">
        <x:f>Subsurface_Radargram_Data!A127</x:f>
        <x:v>2.5</x:v>
      </x:c>
      <x:c r="F1108" s="34" t="str">
        <x:f>Subsurface_Radargram_Data!E127</x:f>
      </x:c>
      <x:c r="G1108" s="34" t="n">
        <x:f>Subsurface_Radargram_Data!A127</x:f>
        <x:v>2.5</x:v>
      </x:c>
      <x:c r="H1108" s="34" t="n">
        <x:f>Subsurface_Radargram_Data!F127</x:f>
        <x:v>190.3081613562303</x:v>
      </x:c>
    </x:row>
    <x:row r="1109">
      <x:c r="A1109" s="34" t="n">
        <x:f>Subsurface_Radargram_Data!A128</x:f>
        <x:v>3</x:v>
      </x:c>
      <x:c r="B1109" s="34" t="n">
        <x:f>Subsurface_Radargram_Data!C128</x:f>
        <x:v>12.769348916108859</x:v>
      </x:c>
      <x:c r="C1109" s="34" t="n">
        <x:f>Subsurface_Radargram_Data!A128</x:f>
        <x:v>3</x:v>
      </x:c>
      <x:c r="D1109" s="34" t="n">
        <x:f>Subsurface_Radargram_Data!D128</x:f>
        <x:v>16.873144740225232</x:v>
      </x:c>
      <x:c r="E1109" s="34" t="n">
        <x:f>Subsurface_Radargram_Data!A128</x:f>
        <x:v>3</x:v>
      </x:c>
      <x:c r="F1109" s="34" t="str">
        <x:f>Subsurface_Radargram_Data!E128</x:f>
      </x:c>
      <x:c r="G1109" s="34" t="n">
        <x:f>Subsurface_Radargram_Data!A128</x:f>
        <x:v>3</x:v>
      </x:c>
      <x:c r="H1109" s="34" t="n">
        <x:f>Subsurface_Radargram_Data!F128</x:f>
        <x:v>190.57228637028882</x:v>
      </x:c>
    </x:row>
    <x:row r="1110">
      <x:c r="A1110" s="34" t="n">
        <x:f>Subsurface_Radargram_Data!A129</x:f>
        <x:v>3.5</x:v>
      </x:c>
      <x:c r="B1110" s="34" t="n">
        <x:f>Subsurface_Radargram_Data!C129</x:f>
        <x:v>12.88167787843871</x:v>
      </x:c>
      <x:c r="C1110" s="34" t="n">
        <x:f>Subsurface_Radargram_Data!A129</x:f>
        <x:v>3.5</x:v>
      </x:c>
      <x:c r="D1110" s="34" t="n">
        <x:f>Subsurface_Radargram_Data!D129</x:f>
        <x:v>16.873434736351918</x:v>
      </x:c>
      <x:c r="E1110" s="34" t="n">
        <x:f>Subsurface_Radargram_Data!A129</x:f>
        <x:v>3.5</x:v>
      </x:c>
      <x:c r="F1110" s="34" t="str">
        <x:f>Subsurface_Radargram_Data!E129</x:f>
      </x:c>
      <x:c r="G1110" s="34" t="n">
        <x:f>Subsurface_Radargram_Data!A129</x:f>
        <x:v>3.5</x:v>
      </x:c>
      <x:c r="H1110" s="34" t="n">
        <x:f>Subsurface_Radargram_Data!F129</x:f>
        <x:v>190.75545614148373</x:v>
      </x:c>
    </x:row>
    <x:row r="1111">
      <x:c r="A1111" s="34" t="n">
        <x:f>Subsurface_Radargram_Data!A130</x:f>
        <x:v>4</x:v>
      </x:c>
      <x:c r="B1111" s="34" t="n">
        <x:f>Subsurface_Radargram_Data!C130</x:f>
        <x:v>12.98690808890957</x:v>
      </x:c>
      <x:c r="C1111" s="34" t="n">
        <x:f>Subsurface_Radargram_Data!A130</x:f>
        <x:v>4</x:v>
      </x:c>
      <x:c r="D1111" s="34" t="n">
        <x:f>Subsurface_Radargram_Data!D130</x:f>
        <x:v>16.83349232105271</x:v>
      </x:c>
      <x:c r="E1111" s="34" t="n">
        <x:f>Subsurface_Radargram_Data!A130</x:f>
        <x:v>4</x:v>
      </x:c>
      <x:c r="F1111" s="34" t="str">
        <x:f>Subsurface_Radargram_Data!E130</x:f>
      </x:c>
      <x:c r="G1111" s="34" t="n">
        <x:f>Subsurface_Radargram_Data!A130</x:f>
        <x:v>4</x:v>
      </x:c>
      <x:c r="H1111" s="34" t="n">
        <x:f>Subsurface_Radargram_Data!F130</x:f>
        <x:v>190.96720895445915</x:v>
      </x:c>
    </x:row>
    <x:row r="1112">
      <x:c r="A1112" s="34" t="n">
        <x:f>Subsurface_Radargram_Data!A131</x:f>
        <x:v>4.5</x:v>
      </x:c>
      <x:c r="B1112" s="34" t="n">
        <x:f>Subsurface_Radargram_Data!C131</x:f>
        <x:v>13.084192295741087</x:v>
      </x:c>
      <x:c r="C1112" s="34" t="n">
        <x:f>Subsurface_Radargram_Data!A131</x:f>
        <x:v>4.5</x:v>
      </x:c>
      <x:c r="D1112" s="34" t="n">
        <x:f>Subsurface_Radargram_Data!D131</x:f>
        <x:v>16.770991729204585</x:v>
      </x:c>
      <x:c r="E1112" s="34" t="n">
        <x:f>Subsurface_Radargram_Data!A131</x:f>
        <x:v>4.5</x:v>
      </x:c>
      <x:c r="F1112" s="34" t="str">
        <x:f>Subsurface_Radargram_Data!E131</x:f>
      </x:c>
      <x:c r="G1112" s="34" t="n">
        <x:f>Subsurface_Radargram_Data!A131</x:f>
        <x:v>4.5</x:v>
      </x:c>
      <x:c r="H1112" s="34" t="n">
        <x:f>Subsurface_Radargram_Data!F131</x:f>
        <x:v>191.14781990886794</x:v>
      </x:c>
    </x:row>
    <x:row r="1113">
      <x:c r="A1113" s="34" t="n">
        <x:f>Subsurface_Radargram_Data!A132</x:f>
        <x:v>5</x:v>
      </x:c>
      <x:c r="B1113" s="34" t="n">
        <x:f>Subsurface_Radargram_Data!C132</x:f>
        <x:v>13.172747223702045</x:v>
      </x:c>
      <x:c r="C1113" s="34" t="n">
        <x:f>Subsurface_Radargram_Data!A132</x:f>
        <x:v>5</x:v>
      </x:c>
      <x:c r="D1113" s="34" t="n">
        <x:f>Subsurface_Radargram_Data!D132</x:f>
        <x:v>16.670364457554257</x:v>
      </x:c>
      <x:c r="E1113" s="34" t="n">
        <x:f>Subsurface_Radargram_Data!A132</x:f>
        <x:v>5</x:v>
      </x:c>
      <x:c r="F1113" s="34" t="str">
        <x:f>Subsurface_Radargram_Data!E132</x:f>
      </x:c>
      <x:c r="G1113" s="34" t="n">
        <x:f>Subsurface_Radargram_Data!A132</x:f>
        <x:v>5</x:v>
      </x:c>
      <x:c r="H1113" s="34" t="n">
        <x:f>Subsurface_Radargram_Data!F132</x:f>
        <x:v>191.35493416275077</x:v>
      </x:c>
    </x:row>
    <x:row r="1114">
      <x:c r="A1114" s="34" t="n">
        <x:f>Subsurface_Radargram_Data!A133</x:f>
        <x:v>5.5</x:v>
      </x:c>
      <x:c r="B1114" s="34" t="n">
        <x:f>Subsurface_Radargram_Data!C133</x:f>
        <x:v>13.251859880581954</x:v>
      </x:c>
      <x:c r="C1114" s="34" t="n">
        <x:f>Subsurface_Radargram_Data!A133</x:f>
        <x:v>5.5</x:v>
      </x:c>
      <x:c r="D1114" s="34" t="n">
        <x:f>Subsurface_Radargram_Data!D133</x:f>
        <x:v>16.550671488032744</x:v>
      </x:c>
      <x:c r="E1114" s="34" t="n">
        <x:f>Subsurface_Radargram_Data!A133</x:f>
        <x:v>5.5</x:v>
      </x:c>
      <x:c r="F1114" s="34" t="str">
        <x:f>Subsurface_Radargram_Data!E133</x:f>
      </x:c>
      <x:c r="G1114" s="34" t="n">
        <x:f>Subsurface_Radargram_Data!A133</x:f>
        <x:v>5.5</x:v>
      </x:c>
      <x:c r="H1114" s="34" t="n">
        <x:f>Subsurface_Radargram_Data!F133</x:f>
        <x:v>191.5259362046392</x:v>
      </x:c>
    </x:row>
    <x:row r="1115">
      <x:c r="A1115" s="34" t="n">
        <x:f>Subsurface_Radargram_Data!A134</x:f>
        <x:v>6</x:v>
      </x:c>
      <x:c r="B1115" s="34" t="n">
        <x:f>Subsurface_Radargram_Data!C134</x:f>
        <x:v>13.320893297785107</x:v>
      </x:c>
      <x:c r="C1115" s="34" t="n">
        <x:f>Subsurface_Radargram_Data!A134</x:f>
        <x:v>6</x:v>
      </x:c>
      <x:c r="D1115" s="34" t="n">
        <x:f>Subsurface_Radargram_Data!D134</x:f>
        <x:v>16.41011019785758</x:v>
      </x:c>
      <x:c r="E1115" s="34" t="n">
        <x:f>Subsurface_Radargram_Data!A134</x:f>
        <x:v>6</x:v>
      </x:c>
      <x:c r="F1115" s="34" t="str">
        <x:f>Subsurface_Radargram_Data!E134</x:f>
      </x:c>
      <x:c r="G1115" s="34" t="n">
        <x:f>Subsurface_Radargram_Data!A134</x:f>
        <x:v>6</x:v>
      </x:c>
      <x:c r="H1115" s="34" t="n">
        <x:f>Subsurface_Radargram_Data!F134</x:f>
        <x:v>191.6720867379131</x:v>
      </x:c>
    </x:row>
    <x:row r="1116">
      <x:c r="A1116" s="34" t="n">
        <x:f>Subsurface_Radargram_Data!A135</x:f>
        <x:v>6.5</x:v>
      </x:c>
      <x:c r="B1116" s="34" t="n">
        <x:f>Subsurface_Radargram_Data!C135</x:f>
        <x:v>13.379291658827176</x:v>
      </x:c>
      <x:c r="C1116" s="34" t="n">
        <x:f>Subsurface_Radargram_Data!A135</x:f>
        <x:v>6.5</x:v>
      </x:c>
      <x:c r="D1116" s="34" t="n">
        <x:f>Subsurface_Radargram_Data!D135</x:f>
        <x:v>16.247161288138262</x:v>
      </x:c>
      <x:c r="E1116" s="34" t="n">
        <x:f>Subsurface_Radargram_Data!A135</x:f>
        <x:v>6.5</x:v>
      </x:c>
      <x:c r="F1116" s="34" t="str">
        <x:f>Subsurface_Radargram_Data!E135</x:f>
      </x:c>
      <x:c r="G1116" s="34" t="n">
        <x:f>Subsurface_Radargram_Data!A135</x:f>
        <x:v>6.5</x:v>
      </x:c>
      <x:c r="H1116" s="34" t="n">
        <x:f>Subsurface_Radargram_Data!F135</x:f>
        <x:v>191.8044103500156</x:v>
      </x:c>
    </x:row>
    <x:row r="1117">
      <x:c r="A1117" s="34" t="n">
        <x:f>Subsurface_Radargram_Data!A136</x:f>
        <x:v>7</x:v>
      </x:c>
      <x:c r="B1117" s="34" t="n">
        <x:f>Subsurface_Radargram_Data!C136</x:f>
        <x:v>13.42658477444273</x:v>
      </x:c>
      <x:c r="C1117" s="34" t="n">
        <x:f>Subsurface_Radargram_Data!A136</x:f>
        <x:v>7</x:v>
      </x:c>
      <x:c r="D1117" s="34" t="n">
        <x:f>Subsurface_Radargram_Data!D136</x:f>
        <x:v>16.074529479086266</x:v>
      </x:c>
      <x:c r="E1117" s="34" t="n">
        <x:f>Subsurface_Radargram_Data!A136</x:f>
        <x:v>7</x:v>
      </x:c>
      <x:c r="F1117" s="34" t="str">
        <x:f>Subsurface_Radargram_Data!E136</x:f>
      </x:c>
      <x:c r="G1117" s="34" t="n">
        <x:f>Subsurface_Radargram_Data!A136</x:f>
        <x:v>7</x:v>
      </x:c>
      <x:c r="H1117" s="34" t="n">
        <x:f>Subsurface_Radargram_Data!F136</x:f>
        <x:v>191.88479779788975</x:v>
      </x:c>
    </x:row>
    <x:row r="1118">
      <x:c r="A1118" s="34" t="n">
        <x:f>Subsurface_Radargram_Data!A137</x:f>
        <x:v>7.5</x:v>
      </x:c>
      <x:c r="B1118" s="34" t="n">
        <x:f>Subsurface_Radargram_Data!C137</x:f>
        <x:v>13.462391868272736</x:v>
      </x:c>
      <x:c r="C1118" s="34" t="n">
        <x:f>Subsurface_Radargram_Data!A137</x:f>
        <x:v>7.5</x:v>
      </x:c>
      <x:c r="D1118" s="34" t="n">
        <x:f>Subsurface_Radargram_Data!D137</x:f>
        <x:v>15.865712344983017</x:v>
      </x:c>
      <x:c r="E1118" s="34" t="n">
        <x:f>Subsurface_Radargram_Data!A137</x:f>
        <x:v>7.5</x:v>
      </x:c>
      <x:c r="F1118" s="34" t="str">
        <x:f>Subsurface_Radargram_Data!E137</x:f>
      </x:c>
      <x:c r="G1118" s="34" t="n">
        <x:f>Subsurface_Radargram_Data!A137</x:f>
        <x:v>7.5</x:v>
      </x:c>
      <x:c r="H1118" s="34" t="n">
        <x:f>Subsurface_Radargram_Data!F137</x:f>
        <x:v>192.0129046314037</x:v>
      </x:c>
    </x:row>
    <x:row r="1119">
      <x:c r="A1119" s="34" t="n">
        <x:f>Subsurface_Radargram_Data!A138</x:f>
        <x:v>8</x:v>
      </x:c>
      <x:c r="B1119" s="34" t="n">
        <x:f>Subsurface_Radargram_Data!C138</x:f>
        <x:v>13.486424642651903</x:v>
      </x:c>
      <x:c r="C1119" s="34" t="n">
        <x:f>Subsurface_Radargram_Data!A138</x:f>
        <x:v>8</x:v>
      </x:c>
      <x:c r="D1119" s="34" t="n">
        <x:f>Subsurface_Radargram_Data!D138</x:f>
        <x:v>15.654032925709604</x:v>
      </x:c>
      <x:c r="E1119" s="34" t="n">
        <x:f>Subsurface_Radargram_Data!A138</x:f>
        <x:v>8</x:v>
      </x:c>
      <x:c r="F1119" s="34" t="str">
        <x:f>Subsurface_Radargram_Data!E138</x:f>
      </x:c>
      <x:c r="G1119" s="34" t="n">
        <x:f>Subsurface_Radargram_Data!A138</x:f>
        <x:v>8</x:v>
      </x:c>
      <x:c r="H1119" s="34" t="n">
        <x:f>Subsurface_Radargram_Data!F138</x:f>
        <x:v>192.0794234928657</x:v>
      </x:c>
    </x:row>
    <x:row r="1120">
      <x:c r="A1120" s="34" t="n">
        <x:f>Subsurface_Radargram_Data!A139</x:f>
        <x:v>8.5</x:v>
      </x:c>
      <x:c r="B1120" s="34" t="n">
        <x:f>Subsurface_Radargram_Data!C139</x:f>
        <x:v>13.498489599811972</x:v>
      </x:c>
      <x:c r="C1120" s="34" t="n">
        <x:f>Subsurface_Radargram_Data!A139</x:f>
        <x:v>8.5</x:v>
      </x:c>
      <x:c r="D1120" s="34" t="n">
        <x:f>Subsurface_Radargram_Data!D139</x:f>
        <x:v>15.424625610414004</x:v>
      </x:c>
      <x:c r="E1120" s="34" t="n">
        <x:f>Subsurface_Radargram_Data!A139</x:f>
        <x:v>8.5</x:v>
      </x:c>
      <x:c r="F1120" s="34" t="str">
        <x:f>Subsurface_Radargram_Data!E139</x:f>
      </x:c>
      <x:c r="G1120" s="34" t="n">
        <x:f>Subsurface_Radargram_Data!A139</x:f>
        <x:v>8.5</x:v>
      </x:c>
      <x:c r="H1120" s="34" t="n">
        <x:f>Subsurface_Radargram_Data!F139</x:f>
        <x:v>192.1440189249669</x:v>
      </x:c>
    </x:row>
    <x:row r="1121">
      <x:c r="A1121" s="34" t="n">
        <x:f>Subsurface_Radargram_Data!A140</x:f>
        <x:v>9</x:v>
      </x:c>
      <x:c r="B1121" s="34" t="n">
        <x:f>Subsurface_Radargram_Data!C140</x:f>
        <x:v>13.498489599811972</x:v>
      </x:c>
      <x:c r="C1121" s="34" t="n">
        <x:f>Subsurface_Radargram_Data!A140</x:f>
        <x:v>9</x:v>
      </x:c>
      <x:c r="D1121" s="34" t="n">
        <x:f>Subsurface_Radargram_Data!D140</x:f>
        <x:v>15.194323851358178</x:v>
      </x:c>
      <x:c r="E1121" s="34" t="n">
        <x:f>Subsurface_Radargram_Data!A140</x:f>
        <x:v>9</x:v>
      </x:c>
      <x:c r="F1121" s="34" t="str">
        <x:f>Subsurface_Radargram_Data!E140</x:f>
      </x:c>
      <x:c r="G1121" s="34" t="n">
        <x:f>Subsurface_Radargram_Data!A140</x:f>
        <x:v>9</x:v>
      </x:c>
      <x:c r="H1121" s="34" t="n">
        <x:f>Subsurface_Radargram_Data!F140</x:f>
        <x:v>192.15560676214918</x:v>
      </x:c>
    </x:row>
    <x:row r="1122">
      <x:c r="A1122" s="34" t="n">
        <x:f>Subsurface_Radargram_Data!A141</x:f>
        <x:v>9.5</x:v>
      </x:c>
      <x:c r="B1122" s="34" t="n">
        <x:f>Subsurface_Radargram_Data!C141</x:f>
        <x:v>13.486424642651903</x:v>
      </x:c>
      <x:c r="C1122" s="34" t="n">
        <x:f>Subsurface_Radargram_Data!A141</x:f>
        <x:v>9.5</x:v>
      </x:c>
      <x:c r="D1122" s="34" t="n">
        <x:f>Subsurface_Radargram_Data!D141</x:f>
        <x:v>14.95411413142432</x:v>
      </x:c>
      <x:c r="E1122" s="34" t="n">
        <x:f>Subsurface_Radargram_Data!A141</x:f>
        <x:v>9.5</x:v>
      </x:c>
      <x:c r="F1122" s="34" t="str">
        <x:f>Subsurface_Radargram_Data!E141</x:f>
      </x:c>
      <x:c r="G1122" s="34" t="n">
        <x:f>Subsurface_Radargram_Data!A141</x:f>
        <x:v>9.5</x:v>
      </x:c>
      <x:c r="H1122" s="34" t="n">
        <x:f>Subsurface_Radargram_Data!F141</x:f>
        <x:v>192.15365457527682</x:v>
      </x:c>
    </x:row>
    <x:row r="1123">
      <x:c r="A1123" s="34" t="n">
        <x:f>Subsurface_Radargram_Data!A142</x:f>
        <x:v>10</x:v>
      </x:c>
      <x:c r="B1123" s="34" t="n">
        <x:f>Subsurface_Radargram_Data!C142</x:f>
        <x:v>13.462391868272736</x:v>
      </x:c>
      <x:c r="C1123" s="34" t="n">
        <x:f>Subsurface_Radargram_Data!A142</x:f>
        <x:v>10</x:v>
      </x:c>
      <x:c r="D1123" s="34" t="n">
        <x:f>Subsurface_Radargram_Data!D142</x:f>
        <x:v>14.698409339009233</x:v>
      </x:c>
      <x:c r="E1123" s="34" t="n">
        <x:f>Subsurface_Radargram_Data!A142</x:f>
        <x:v>10</x:v>
      </x:c>
      <x:c r="F1123" s="34" t="str">
        <x:f>Subsurface_Radargram_Data!E142</x:f>
      </x:c>
      <x:c r="G1123" s="34" t="n">
        <x:f>Subsurface_Radargram_Data!A142</x:f>
        <x:v>10</x:v>
      </x:c>
      <x:c r="H1123" s="34" t="n">
        <x:f>Subsurface_Radargram_Data!F142</x:f>
        <x:v>192.16561897210306</x:v>
      </x:c>
    </x:row>
    <x:row r="1124">
      <x:c r="A1124" s="34" t="n">
        <x:f>Subsurface_Radargram_Data!A143</x:f>
        <x:v>10.5</x:v>
      </x:c>
      <x:c r="B1124" s="34" t="n">
        <x:f>Subsurface_Radargram_Data!C143</x:f>
        <x:v>13.42658477444273</x:v>
      </x:c>
      <x:c r="C1124" s="34" t="n">
        <x:f>Subsurface_Radargram_Data!A143</x:f>
        <x:v>10.5</x:v>
      </x:c>
      <x:c r="D1124" s="34" t="n">
        <x:f>Subsurface_Radargram_Data!D143</x:f>
        <x:v>14.443186632903982</x:v>
      </x:c>
      <x:c r="E1124" s="34" t="n">
        <x:f>Subsurface_Radargram_Data!A143</x:f>
        <x:v>10.5</x:v>
      </x:c>
      <x:c r="F1124" s="34" t="str">
        <x:f>Subsurface_Radargram_Data!E143</x:f>
      </x:c>
      <x:c r="G1124" s="34" t="n">
        <x:f>Subsurface_Radargram_Data!A143</x:f>
        <x:v>10.5</x:v>
      </x:c>
      <x:c r="H1124" s="34" t="n">
        <x:f>Subsurface_Radargram_Data!F143</x:f>
        <x:v>192.1433636606523</x:v>
      </x:c>
    </x:row>
    <x:row r="1125">
      <x:c r="A1125" s="34" t="n">
        <x:f>Subsurface_Radargram_Data!A144</x:f>
        <x:v>11</x:v>
      </x:c>
      <x:c r="B1125" s="34" t="n">
        <x:f>Subsurface_Radargram_Data!C144</x:f>
        <x:v>13.379291658827176</x:v>
      </x:c>
      <x:c r="C1125" s="34" t="n">
        <x:f>Subsurface_Radargram_Data!A144</x:f>
        <x:v>11</x:v>
      </x:c>
      <x:c r="D1125" s="34" t="n">
        <x:f>Subsurface_Radargram_Data!D144</x:f>
        <x:v>14.197938322271655</x:v>
      </x:c>
      <x:c r="E1125" s="34" t="n">
        <x:f>Subsurface_Radargram_Data!A144</x:f>
        <x:v>11</x:v>
      </x:c>
      <x:c r="F1125" s="34" t="str">
        <x:f>Subsurface_Radargram_Data!E144</x:f>
      </x:c>
      <x:c r="G1125" s="34" t="n">
        <x:f>Subsurface_Radargram_Data!A144</x:f>
        <x:v>11</x:v>
      </x:c>
      <x:c r="H1125" s="34" t="n">
        <x:f>Subsurface_Radargram_Data!F144</x:f>
        <x:v>192.06123995989697</x:v>
      </x:c>
    </x:row>
    <x:row r="1126">
      <x:c r="A1126" s="34" t="n">
        <x:f>Subsurface_Radargram_Data!A145</x:f>
        <x:v>11.5</x:v>
      </x:c>
      <x:c r="B1126" s="34" t="n">
        <x:f>Subsurface_Radargram_Data!C145</x:f>
        <x:v>13.320893297785107</x:v>
      </x:c>
      <x:c r="C1126" s="34" t="n">
        <x:f>Subsurface_Radargram_Data!A145</x:f>
        <x:v>11.5</x:v>
      </x:c>
      <x:c r="D1126" s="34" t="n">
        <x:f>Subsurface_Radargram_Data!D145</x:f>
        <x:v>13.945357369397957</x:v>
      </x:c>
      <x:c r="E1126" s="34" t="n">
        <x:f>Subsurface_Radargram_Data!A145</x:f>
        <x:v>11.5</x:v>
      </x:c>
      <x:c r="F1126" s="34" t="str">
        <x:f>Subsurface_Radargram_Data!E145</x:f>
      </x:c>
      <x:c r="G1126" s="34" t="n">
        <x:f>Subsurface_Radargram_Data!A145</x:f>
        <x:v>11.5</x:v>
      </x:c>
      <x:c r="H1126" s="34" t="n">
        <x:f>Subsurface_Radargram_Data!F145</x:f>
        <x:v>191.98710545335027</x:v>
      </x:c>
    </x:row>
    <x:row r="1127">
      <x:c r="A1127" s="34" t="n">
        <x:f>Subsurface_Radargram_Data!A146</x:f>
        <x:v>12</x:v>
      </x:c>
      <x:c r="B1127" s="34" t="n">
        <x:f>Subsurface_Radargram_Data!C146</x:f>
        <x:v>13.251859880581954</x:v>
      </x:c>
      <x:c r="C1127" s="34" t="n">
        <x:f>Subsurface_Radargram_Data!A146</x:f>
        <x:v>12</x:v>
      </x:c>
      <x:c r="D1127" s="34" t="n">
        <x:f>Subsurface_Radargram_Data!D146</x:f>
        <x:v>13.695158611352284</x:v>
      </x:c>
      <x:c r="E1127" s="34" t="n">
        <x:f>Subsurface_Radargram_Data!A146</x:f>
        <x:v>12</x:v>
      </x:c>
      <x:c r="F1127" s="34" t="str">
        <x:f>Subsurface_Radargram_Data!E146</x:f>
      </x:c>
      <x:c r="G1127" s="34" t="n">
        <x:f>Subsurface_Radargram_Data!A146</x:f>
        <x:v>12</x:v>
      </x:c>
      <x:c r="H1127" s="34" t="n">
        <x:f>Subsurface_Radargram_Data!F146</x:f>
        <x:v>191.8938780501334</x:v>
      </x:c>
    </x:row>
    <x:row r="1128">
      <x:c r="A1128" s="34" t="n">
        <x:f>Subsurface_Radargram_Data!A147</x:f>
        <x:v>12.5</x:v>
      </x:c>
      <x:c r="B1128" s="34" t="n">
        <x:f>Subsurface_Radargram_Data!C147</x:f>
        <x:v>13.172747223702045</x:v>
      </x:c>
      <x:c r="C1128" s="34" t="n">
        <x:f>Subsurface_Radargram_Data!A147</x:f>
        <x:v>12.5</x:v>
      </x:c>
      <x:c r="D1128" s="34" t="n">
        <x:f>Subsurface_Radargram_Data!D147</x:f>
        <x:v>13.460539670139086</x:v>
      </x:c>
      <x:c r="E1128" s="34" t="n">
        <x:f>Subsurface_Radargram_Data!A147</x:f>
        <x:v>12.5</x:v>
      </x:c>
      <x:c r="F1128" s="34" t="str">
        <x:f>Subsurface_Radargram_Data!E147</x:f>
      </x:c>
      <x:c r="G1128" s="34" t="n">
        <x:f>Subsurface_Radargram_Data!A147</x:f>
        <x:v>12.5</x:v>
      </x:c>
      <x:c r="H1128" s="34" t="n">
        <x:f>Subsurface_Radargram_Data!F147</x:f>
        <x:v>191.74186242252117</x:v>
      </x:c>
    </x:row>
    <x:row r="1129">
      <x:c r="A1129" s="34" t="n">
        <x:f>Subsurface_Radargram_Data!A148</x:f>
        <x:v>13</x:v>
      </x:c>
      <x:c r="B1129" s="34" t="n">
        <x:f>Subsurface_Radargram_Data!C148</x:f>
        <x:v>13.084192295741087</x:v>
      </x:c>
      <x:c r="C1129" s="34" t="n">
        <x:f>Subsurface_Radargram_Data!A148</x:f>
        <x:v>13</x:v>
      </x:c>
      <x:c r="D1129" s="34" t="n">
        <x:f>Subsurface_Radargram_Data!D148</x:f>
        <x:v>13.22439952439565</x:v>
      </x:c>
      <x:c r="E1129" s="34" t="n">
        <x:f>Subsurface_Radargram_Data!A148</x:f>
        <x:v>13</x:v>
      </x:c>
      <x:c r="F1129" s="34" t="str">
        <x:f>Subsurface_Radargram_Data!E148</x:f>
      </x:c>
      <x:c r="G1129" s="34" t="n">
        <x:f>Subsurface_Radargram_Data!A148</x:f>
        <x:v>13</x:v>
      </x:c>
      <x:c r="H1129" s="34" t="n">
        <x:f>Subsurface_Radargram_Data!F148</x:f>
        <x:v>191.59693652610935</x:v>
      </x:c>
    </x:row>
    <x:row r="1130">
      <x:c r="A1130" s="34" t="n">
        <x:f>Subsurface_Radargram_Data!A149</x:f>
        <x:v>13.5</x:v>
      </x:c>
      <x:c r="B1130" s="34" t="n">
        <x:f>Subsurface_Radargram_Data!C149</x:f>
        <x:v>12.98690808890957</x:v>
      </x:c>
      <x:c r="C1130" s="34" t="n">
        <x:f>Subsurface_Radargram_Data!A149</x:f>
        <x:v>13.5</x:v>
      </x:c>
      <x:c r="D1130" s="34" t="n">
        <x:f>Subsurface_Radargram_Data!D149</x:f>
        <x:v>12.989112680923652</x:v>
      </x:c>
      <x:c r="E1130" s="34" t="n">
        <x:f>Subsurface_Radargram_Data!A149</x:f>
        <x:v>13.5</x:v>
      </x:c>
      <x:c r="F1130" s="34" t="str">
        <x:f>Subsurface_Radargram_Data!E149</x:f>
      </x:c>
      <x:c r="G1130" s="34" t="n">
        <x:f>Subsurface_Radargram_Data!A149</x:f>
        <x:v>13.5</x:v>
      </x:c>
      <x:c r="H1130" s="34" t="n">
        <x:f>Subsurface_Radargram_Data!F149</x:f>
        <x:v>191.4563057726188</x:v>
      </x:c>
    </x:row>
    <x:row r="1131">
      <x:c r="A1131" s="34" t="n">
        <x:f>Subsurface_Radargram_Data!A150</x:f>
        <x:v>14</x:v>
      </x:c>
      <x:c r="B1131" s="34" t="n">
        <x:f>Subsurface_Radargram_Data!C150</x:f>
        <x:v>12.88167787843871</x:v>
      </x:c>
      <x:c r="C1131" s="34" t="n">
        <x:f>Subsurface_Radargram_Data!A150</x:f>
        <x:v>14</x:v>
      </x:c>
      <x:c r="D1131" s="34" t="n">
        <x:f>Subsurface_Radargram_Data!D150</x:f>
        <x:v>12.774232460360315</x:v>
      </x:c>
      <x:c r="E1131" s="34" t="n">
        <x:f>Subsurface_Radargram_Data!A150</x:f>
        <x:v>14</x:v>
      </x:c>
      <x:c r="F1131" s="34" t="str">
        <x:f>Subsurface_Radargram_Data!E150</x:f>
      </x:c>
      <x:c r="G1131" s="34" t="n">
        <x:f>Subsurface_Radargram_Data!A150</x:f>
        <x:v>14</x:v>
      </x:c>
      <x:c r="H1131" s="34" t="n">
        <x:f>Subsurface_Radargram_Data!F150</x:f>
        <x:v>191.25651764950226</x:v>
      </x:c>
    </x:row>
    <x:row r="1132">
      <x:c r="A1132" s="34" t="n">
        <x:f>Subsurface_Radargram_Data!A151</x:f>
        <x:v>14.5</x:v>
      </x:c>
      <x:c r="B1132" s="34" t="n">
        <x:f>Subsurface_Radargram_Data!C151</x:f>
        <x:v>12.769348916108859</x:v>
      </x:c>
      <x:c r="C1132" s="34" t="n">
        <x:f>Subsurface_Radargram_Data!A151</x:f>
        <x:v>14.5</x:v>
      </x:c>
      <x:c r="D1132" s="34" t="n">
        <x:f>Subsurface_Radargram_Data!D151</x:f>
        <x:v>12.569323266312349</x:v>
      </x:c>
      <x:c r="E1132" s="34" t="n">
        <x:f>Subsurface_Radargram_Data!A151</x:f>
        <x:v>14.5</x:v>
      </x:c>
      <x:c r="F1132" s="34" t="str">
        <x:f>Subsurface_Radargram_Data!E151</x:f>
      </x:c>
      <x:c r="G1132" s="34" t="n">
        <x:f>Subsurface_Radargram_Data!A151</x:f>
        <x:v>14.5</x:v>
      </x:c>
      <x:c r="H1132" s="34" t="n">
        <x:f>Subsurface_Radargram_Data!F151</x:f>
        <x:v>191.03853708137035</x:v>
      </x:c>
    </x:row>
    <x:row r="1133">
      <x:c r="A1133" s="34" t="n">
        <x:f>Subsurface_Radargram_Data!A152</x:f>
        <x:v>15</x:v>
      </x:c>
      <x:c r="B1133" s="34" t="n">
        <x:f>Subsurface_Radargram_Data!C152</x:f>
        <x:v>12.650825608676337</x:v>
      </x:c>
      <x:c r="C1133" s="34" t="n">
        <x:f>Subsurface_Radargram_Data!A152</x:f>
        <x:v>15</x:v>
      </x:c>
      <x:c r="D1133" s="34" t="n">
        <x:f>Subsurface_Radargram_Data!D152</x:f>
        <x:v>12.366549509147946</x:v>
      </x:c>
      <x:c r="E1133" s="34" t="n">
        <x:f>Subsurface_Radargram_Data!A152</x:f>
        <x:v>15</x:v>
      </x:c>
      <x:c r="F1133" s="34" t="str">
        <x:f>Subsurface_Radargram_Data!E152</x:f>
      </x:c>
      <x:c r="G1133" s="34" t="n">
        <x:f>Subsurface_Radargram_Data!A152</x:f>
        <x:v>15</x:v>
      </x:c>
      <x:c r="H1133" s="34" t="n">
        <x:f>Subsurface_Radargram_Data!F152</x:f>
        <x:v>190.83368527335122</x:v>
      </x:c>
    </x:row>
    <x:row r="1134">
      <x:c r="A1134" s="34" t="n">
        <x:f>Subsurface_Radargram_Data!A153</x:f>
        <x:v>15.5</x:v>
      </x:c>
      <x:c r="B1134" s="34" t="n">
        <x:f>Subsurface_Radargram_Data!C153</x:f>
        <x:v>12.527062236122013</x:v>
      </x:c>
      <x:c r="C1134" s="34" t="n">
        <x:f>Subsurface_Radargram_Data!A153</x:f>
        <x:v>15.5</x:v>
      </x:c>
      <x:c r="D1134" s="34" t="n">
        <x:f>Subsurface_Radargram_Data!D153</x:f>
        <x:v>12.181791685570879</x:v>
      </x:c>
      <x:c r="E1134" s="34" t="n">
        <x:f>Subsurface_Radargram_Data!A153</x:f>
        <x:v>15.5</x:v>
      </x:c>
      <x:c r="F1134" s="34" t="str">
        <x:f>Subsurface_Radargram_Data!E153</x:f>
      </x:c>
      <x:c r="G1134" s="34" t="n">
        <x:f>Subsurface_Radargram_Data!A153</x:f>
        <x:v>15.5</x:v>
      </x:c>
      <x:c r="H1134" s="34" t="n">
        <x:f>Subsurface_Radargram_Data!F153</x:f>
        <x:v>190.58974463648593</x:v>
      </x:c>
    </x:row>
    <x:row r="1135">
      <x:c r="A1135" s="34" t="n">
        <x:f>Subsurface_Radargram_Data!A154</x:f>
        <x:v>16</x:v>
      </x:c>
      <x:c r="B1135" s="34" t="n">
        <x:f>Subsurface_Radargram_Data!C154</x:f>
        <x:v>12.399055268350013</x:v>
      </x:c>
      <x:c r="C1135" s="34" t="n">
        <x:f>Subsurface_Radargram_Data!A154</x:f>
        <x:v>16</x:v>
      </x:c>
      <x:c r="D1135" s="34" t="n">
        <x:f>Subsurface_Radargram_Data!D154</x:f>
        <x:v>12.013765366416624</x:v>
      </x:c>
      <x:c r="E1135" s="34" t="n">
        <x:f>Subsurface_Radargram_Data!A154</x:f>
        <x:v>16</x:v>
      </x:c>
      <x:c r="F1135" s="34" t="str">
        <x:f>Subsurface_Radargram_Data!E154</x:f>
      </x:c>
      <x:c r="G1135" s="34" t="n">
        <x:f>Subsurface_Radargram_Data!A154</x:f>
        <x:v>16</x:v>
      </x:c>
      <x:c r="H1135" s="34" t="n">
        <x:f>Subsurface_Radargram_Data!F154</x:f>
        <x:v>190.3140637980437</x:v>
      </x:c>
    </x:row>
    <x:row r="1136">
      <x:c r="A1136" s="34" t="n">
        <x:f>Subsurface_Radargram_Data!A155</x:f>
        <x:v>16.5</x:v>
      </x:c>
      <x:c r="B1136" s="34" t="n">
        <x:f>Subsurface_Radargram_Data!C155</x:f>
        <x:v>12.267835342197955</x:v>
      </x:c>
      <x:c r="C1136" s="34" t="n">
        <x:f>Subsurface_Radargram_Data!A155</x:f>
        <x:v>16.5</x:v>
      </x:c>
      <x:c r="D1136" s="34" t="n">
        <x:f>Subsurface_Radargram_Data!D155</x:f>
        <x:v>11.85953818036684</x:v>
      </x:c>
      <x:c r="E1136" s="34" t="n">
        <x:f>Subsurface_Radargram_Data!A155</x:f>
        <x:v>16.5</x:v>
      </x:c>
      <x:c r="F1136" s="34" t="str">
        <x:f>Subsurface_Radargram_Data!E155</x:f>
      </x:c>
      <x:c r="G1136" s="34" t="n">
        <x:f>Subsurface_Radargram_Data!A155</x:f>
        <x:v>16.5</x:v>
      </x:c>
      <x:c r="H1136" s="34" t="n">
        <x:f>Subsurface_Radargram_Data!F155</x:f>
        <x:v>190.0192788304422</x:v>
      </x:c>
    </x:row>
    <x:row r="1137">
      <x:c r="A1137" s="34" t="n">
        <x:f>Subsurface_Radargram_Data!A156</x:f>
        <x:v>17</x:v>
      </x:c>
      <x:c r="B1137" s="34" t="n">
        <x:f>Subsurface_Radargram_Data!C156</x:f>
        <x:v>12.13445896335515</x:v>
      </x:c>
      <x:c r="C1137" s="34" t="n">
        <x:f>Subsurface_Radargram_Data!A156</x:f>
        <x:v>17</x:v>
      </x:c>
      <x:c r="D1137" s="34" t="n">
        <x:f>Subsurface_Radargram_Data!D156</x:f>
        <x:v>11.714530082976857</x:v>
      </x:c>
      <x:c r="E1137" s="34" t="n">
        <x:f>Subsurface_Radargram_Data!A156</x:f>
        <x:v>17</x:v>
      </x:c>
      <x:c r="F1137" s="34" t="n">
        <x:f>Subsurface_Radargram_Data!E156</x:f>
        <x:v>63.547388021391306</x:v>
      </x:c>
      <x:c r="G1137" s="34" t="n">
        <x:f>Subsurface_Radargram_Data!A156</x:f>
        <x:v>17</x:v>
      </x:c>
      <x:c r="H1137" s="34" t="n">
        <x:f>Subsurface_Radargram_Data!F156</x:f>
        <x:v>189.7233509562466</x:v>
      </x:c>
    </x:row>
    <x:row r="1138">
      <x:c r="A1138" s="34" t="n">
        <x:f>Subsurface_Radargram_Data!A157</x:f>
        <x:v>17.5</x:v>
      </x:c>
      <x:c r="B1138" s="34" t="n">
        <x:f>Subsurface_Radargram_Data!C157</x:f>
        <x:v>12</x:v>
      </x:c>
      <x:c r="C1138" s="34" t="n">
        <x:f>Subsurface_Radargram_Data!A157</x:f>
        <x:v>17.5</x:v>
      </x:c>
      <x:c r="D1138" s="34" t="n">
        <x:f>Subsurface_Radargram_Data!D157</x:f>
        <x:v>11.589519600798809</x:v>
      </x:c>
      <x:c r="E1138" s="34" t="n">
        <x:f>Subsurface_Radargram_Data!A157</x:f>
        <x:v>17.5</x:v>
      </x:c>
      <x:c r="F1138" s="34" t="n">
        <x:f>Subsurface_Radargram_Data!E157</x:f>
        <x:v>63.53355337195066</x:v>
      </x:c>
      <x:c r="G1138" s="34" t="n">
        <x:f>Subsurface_Radargram_Data!A157</x:f>
        <x:v>17.5</x:v>
      </x:c>
      <x:c r="H1138" s="34" t="n">
        <x:f>Subsurface_Radargram_Data!F157</x:f>
        <x:v>189.39008994380833</x:v>
      </x:c>
    </x:row>
    <x:row r="1139">
      <x:c r="A1139" s="34" t="n">
        <x:f>Subsurface_Radargram_Data!A158</x:f>
        <x:v>18</x:v>
      </x:c>
      <x:c r="B1139" s="34" t="n">
        <x:f>Subsurface_Radargram_Data!C158</x:f>
        <x:v>11.86554103664485</x:v>
      </x:c>
      <x:c r="C1139" s="34" t="n">
        <x:f>Subsurface_Radargram_Data!A158</x:f>
        <x:v>18</x:v>
      </x:c>
      <x:c r="D1139" s="34" t="n">
        <x:f>Subsurface_Radargram_Data!D158</x:f>
        <x:v>11.476111237896308</x:v>
      </x:c>
      <x:c r="E1139" s="34" t="n">
        <x:f>Subsurface_Radargram_Data!A158</x:f>
        <x:v>18</x:v>
      </x:c>
      <x:c r="F1139" s="34" t="n">
        <x:f>Subsurface_Radargram_Data!E158</x:f>
        <x:v>63.52566836253827</x:v>
      </x:c>
      <x:c r="G1139" s="34" t="n">
        <x:f>Subsurface_Radargram_Data!A158</x:f>
        <x:v>18</x:v>
      </x:c>
      <x:c r="H1139" s="34" t="n">
        <x:f>Subsurface_Radargram_Data!F158</x:f>
        <x:v>189.05006855655768</x:v>
      </x:c>
    </x:row>
    <x:row r="1140">
      <x:c r="A1140" s="34" t="n">
        <x:f>Subsurface_Radargram_Data!A159</x:f>
        <x:v>18.5</x:v>
      </x:c>
      <x:c r="B1140" s="34" t="n">
        <x:f>Subsurface_Radargram_Data!C159</x:f>
        <x:v>11.732164657802045</x:v>
      </x:c>
      <x:c r="C1140" s="34" t="n">
        <x:f>Subsurface_Radargram_Data!A159</x:f>
        <x:v>18.5</x:v>
      </x:c>
      <x:c r="D1140" s="34" t="n">
        <x:f>Subsurface_Radargram_Data!D159</x:f>
        <x:v>11.372823574048207</x:v>
      </x:c>
      <x:c r="E1140" s="34" t="n">
        <x:f>Subsurface_Radargram_Data!A159</x:f>
        <x:v>18.5</x:v>
      </x:c>
      <x:c r="F1140" s="34" t="n">
        <x:f>Subsurface_Radargram_Data!E159</x:f>
        <x:v>63.52496852932701</x:v>
      </x:c>
      <x:c r="G1140" s="34" t="n">
        <x:f>Subsurface_Radargram_Data!A159</x:f>
        <x:v>18.5</x:v>
      </x:c>
      <x:c r="H1140" s="34" t="n">
        <x:f>Subsurface_Radargram_Data!F159</x:f>
        <x:v>188.7093681449731</x:v>
      </x:c>
    </x:row>
    <x:row r="1141">
      <x:c r="A1141" s="34" t="n">
        <x:f>Subsurface_Radargram_Data!A160</x:f>
        <x:v>19</x:v>
      </x:c>
      <x:c r="B1141" s="34" t="n">
        <x:f>Subsurface_Radargram_Data!C160</x:f>
        <x:v>11.600944731649987</x:v>
      </x:c>
      <x:c r="C1141" s="34" t="n">
        <x:f>Subsurface_Radargram_Data!A160</x:f>
        <x:v>19</x:v>
      </x:c>
      <x:c r="D1141" s="34" t="n">
        <x:f>Subsurface_Radargram_Data!D160</x:f>
        <x:v>11.292313648140093</x:v>
      </x:c>
      <x:c r="E1141" s="34" t="n">
        <x:f>Subsurface_Radargram_Data!A160</x:f>
        <x:v>19</x:v>
      </x:c>
      <x:c r="F1141" s="34" t="n">
        <x:f>Subsurface_Radargram_Data!E160</x:f>
        <x:v>63.53251549462896</x:v>
      </x:c>
      <x:c r="G1141" s="34" t="n">
        <x:f>Subsurface_Radargram_Data!A160</x:f>
        <x:v>19</x:v>
      </x:c>
      <x:c r="H1141" s="34" t="n">
        <x:f>Subsurface_Radargram_Data!F160</x:f>
        <x:v>188.3243492031052</x:v>
      </x:c>
    </x:row>
    <x:row r="1142">
      <x:c r="A1142" s="34" t="n">
        <x:f>Subsurface_Radargram_Data!A161</x:f>
        <x:v>19.5</x:v>
      </x:c>
      <x:c r="B1142" s="34" t="n">
        <x:f>Subsurface_Radargram_Data!C161</x:f>
        <x:v>11.472937763877987</x:v>
      </x:c>
      <x:c r="C1142" s="34" t="n">
        <x:f>Subsurface_Radargram_Data!A161</x:f>
        <x:v>19.5</x:v>
      </x:c>
      <x:c r="D1142" s="34" t="n">
        <x:f>Subsurface_Radargram_Data!D161</x:f>
        <x:v>11.221822348168624</x:v>
      </x:c>
      <x:c r="E1142" s="34" t="n">
        <x:f>Subsurface_Radargram_Data!A161</x:f>
        <x:v>19.5</x:v>
      </x:c>
      <x:c r="F1142" s="34" t="n">
        <x:f>Subsurface_Radargram_Data!E161</x:f>
        <x:v>63.549184822205056</x:v>
      </x:c>
      <x:c r="G1142" s="34" t="n">
        <x:f>Subsurface_Radargram_Data!A161</x:f>
        <x:v>19.5</x:v>
      </x:c>
      <x:c r="H1142" s="34" t="n">
        <x:f>Subsurface_Radargram_Data!F161</x:f>
        <x:v>187.94014875647892</x:v>
      </x:c>
    </x:row>
    <x:row r="1143">
      <x:c r="A1143" s="34" t="n">
        <x:f>Subsurface_Radargram_Data!A162</x:f>
        <x:v>20</x:v>
      </x:c>
      <x:c r="B1143" s="34" t="n">
        <x:f>Subsurface_Radargram_Data!C162</x:f>
        <x:v>11.349174391323663</x:v>
      </x:c>
      <x:c r="C1143" s="34" t="n">
        <x:f>Subsurface_Radargram_Data!A162</x:f>
        <x:v>20</x:v>
      </x:c>
      <x:c r="D1143" s="34" t="n">
        <x:f>Subsurface_Radargram_Data!D162</x:f>
        <x:v>11.162622059100514</x:v>
      </x:c>
      <x:c r="E1143" s="34" t="n">
        <x:f>Subsurface_Radargram_Data!A162</x:f>
        <x:v>20</x:v>
      </x:c>
      <x:c r="F1143" s="34" t="n">
        <x:f>Subsurface_Radargram_Data!E162</x:f>
        <x:v>63.57565629456027</x:v>
      </x:c>
      <x:c r="G1143" s="34" t="n">
        <x:f>Subsurface_Radargram_Data!A162</x:f>
        <x:v>20</x:v>
      </x:c>
      <x:c r="H1143" s="34" t="n">
        <x:f>Subsurface_Radargram_Data!F162</x:f>
        <x:v>187.55266862154326</x:v>
      </x:c>
    </x:row>
    <x:row r="1144">
      <x:c r="A1144" s="34" t="n">
        <x:f>Subsurface_Radargram_Data!A163</x:f>
        <x:v>20.5</x:v>
      </x:c>
      <x:c r="B1144" s="34" t="n">
        <x:f>Subsurface_Radargram_Data!C163</x:f>
        <x:v>11.230651083891141</x:v>
      </x:c>
      <x:c r="C1144" s="34" t="n">
        <x:f>Subsurface_Radargram_Data!A163</x:f>
        <x:v>20.5</x:v>
      </x:c>
      <x:c r="D1144" s="34" t="n">
        <x:f>Subsurface_Radargram_Data!D163</x:f>
        <x:v>11.117085910939823</x:v>
      </x:c>
      <x:c r="E1144" s="34" t="n">
        <x:f>Subsurface_Radargram_Data!A163</x:f>
        <x:v>20.5</x:v>
      </x:c>
      <x:c r="F1144" s="34" t="n">
        <x:f>Subsurface_Radargram_Data!E163</x:f>
        <x:v>63.61240665184315</x:v>
      </x:c>
      <x:c r="G1144" s="34" t="n">
        <x:f>Subsurface_Radargram_Data!A163</x:f>
        <x:v>20.5</x:v>
      </x:c>
      <x:c r="H1144" s="34" t="n">
        <x:f>Subsurface_Radargram_Data!F163</x:f>
        <x:v>187.15388531984638</x:v>
      </x:c>
    </x:row>
    <x:row r="1145">
      <x:c r="A1145" s="34" t="n">
        <x:f>Subsurface_Radargram_Data!A164</x:f>
        <x:v>21</x:v>
      </x:c>
      <x:c r="B1145" s="34" t="n">
        <x:f>Subsurface_Radargram_Data!C164</x:f>
        <x:v>11.11832212156129</x:v>
      </x:c>
      <x:c r="C1145" s="34" t="n">
        <x:f>Subsurface_Radargram_Data!A164</x:f>
        <x:v>21</x:v>
      </x:c>
      <x:c r="D1145" s="34" t="n">
        <x:f>Subsurface_Radargram_Data!D164</x:f>
        <x:v>11.083273722392962</x:v>
      </x:c>
      <x:c r="E1145" s="34" t="n">
        <x:f>Subsurface_Radargram_Data!A164</x:f>
        <x:v>21</x:v>
      </x:c>
      <x:c r="F1145" s="34" t="n">
        <x:f>Subsurface_Radargram_Data!E164</x:f>
        <x:v>63.6597048045248</x:v>
      </x:c>
      <x:c r="G1145" s="34" t="n">
        <x:f>Subsurface_Radargram_Data!A164</x:f>
        <x:v>21</x:v>
      </x:c>
      <x:c r="H1145" s="34" t="n">
        <x:f>Subsurface_Radargram_Data!F164</x:f>
        <x:v>186.7508473890742</x:v>
      </x:c>
    </x:row>
    <x:row r="1146">
      <x:c r="A1146" s="34" t="n">
        <x:f>Subsurface_Radargram_Data!A165</x:f>
        <x:v>21.5</x:v>
      </x:c>
      <x:c r="B1146" s="34" t="n">
        <x:f>Subsurface_Radargram_Data!C165</x:f>
        <x:v>11.01309191109043</x:v>
      </x:c>
      <x:c r="C1146" s="34" t="n">
        <x:f>Subsurface_Radargram_Data!A165</x:f>
        <x:v>21.5</x:v>
      </x:c>
      <x:c r="D1146" s="34" t="n">
        <x:f>Subsurface_Radargram_Data!D165</x:f>
        <x:v>11.064149082000071</x:v>
      </x:c>
      <x:c r="E1146" s="34" t="n">
        <x:f>Subsurface_Radargram_Data!A165</x:f>
        <x:v>21.5</x:v>
      </x:c>
      <x:c r="F1146" s="34" t="n">
        <x:f>Subsurface_Radargram_Data!E165</x:f>
        <x:v>63.71760950787898</x:v>
      </x:c>
      <x:c r="G1146" s="34" t="n">
        <x:f>Subsurface_Radargram_Data!A165</x:f>
        <x:v>21.5</x:v>
      </x:c>
      <x:c r="H1146" s="34" t="n">
        <x:f>Subsurface_Radargram_Data!F165</x:f>
        <x:v>186.33345824555371</x:v>
      </x:c>
    </x:row>
    <x:row r="1147">
      <x:c r="A1147" s="34" t="n">
        <x:f>Subsurface_Radargram_Data!A166</x:f>
        <x:v>22</x:v>
      </x:c>
      <x:c r="B1147" s="34" t="n">
        <x:f>Subsurface_Radargram_Data!C166</x:f>
        <x:v>10.915807704258913</x:v>
      </x:c>
      <x:c r="C1147" s="34" t="n">
        <x:f>Subsurface_Radargram_Data!A166</x:f>
        <x:v>22</x:v>
      </x:c>
      <x:c r="D1147" s="34" t="n">
        <x:f>Subsurface_Radargram_Data!D166</x:f>
        <x:v>11.058268520542958</x:v>
      </x:c>
      <x:c r="E1147" s="34" t="n">
        <x:f>Subsurface_Radargram_Data!A166</x:f>
        <x:v>22</x:v>
      </x:c>
      <x:c r="F1147" s="34" t="n">
        <x:f>Subsurface_Radargram_Data!E166</x:f>
        <x:v>63.78596946557745</x:v>
      </x:c>
      <x:c r="G1147" s="34" t="n">
        <x:f>Subsurface_Radargram_Data!A166</x:f>
        <x:v>22</x:v>
      </x:c>
      <x:c r="H1147" s="34" t="n">
        <x:f>Subsurface_Radargram_Data!F166</x:f>
        <x:v>185.90710011393347</x:v>
      </x:c>
    </x:row>
    <x:row r="1148">
      <x:c r="A1148" s="34" t="n">
        <x:f>Subsurface_Radargram_Data!A167</x:f>
        <x:v>22.5</x:v>
      </x:c>
      <x:c r="B1148" s="34" t="n">
        <x:f>Subsurface_Radargram_Data!C167</x:f>
        <x:v>10.827252776297955</x:v>
      </x:c>
      <x:c r="C1148" s="34" t="n">
        <x:f>Subsurface_Radargram_Data!A167</x:f>
        <x:v>22.5</x:v>
      </x:c>
      <x:c r="D1148" s="34" t="n">
        <x:f>Subsurface_Radargram_Data!D167</x:f>
        <x:v>11.060871859763138</x:v>
      </x:c>
      <x:c r="E1148" s="34" t="n">
        <x:f>Subsurface_Radargram_Data!A167</x:f>
        <x:v>22.5</x:v>
      </x:c>
      <x:c r="F1148" s="34" t="n">
        <x:f>Subsurface_Radargram_Data!E167</x:f>
        <x:v>63.86442581239112</x:v>
      </x:c>
      <x:c r="G1148" s="34" t="n">
        <x:f>Subsurface_Radargram_Data!A167</x:f>
        <x:v>22.5</x:v>
      </x:c>
      <x:c r="H1148" s="34" t="n">
        <x:f>Subsurface_Radargram_Data!F167</x:f>
        <x:v>185.48884625786278</x:v>
      </x:c>
    </x:row>
    <x:row r="1149">
      <x:c r="A1149" s="34" t="n">
        <x:f>Subsurface_Radargram_Data!A168</x:f>
        <x:v>23</x:v>
      </x:c>
      <x:c r="B1149" s="34" t="n">
        <x:f>Subsurface_Radargram_Data!C168</x:f>
        <x:v>10.748140119418046</x:v>
      </x:c>
      <x:c r="C1149" s="34" t="n">
        <x:f>Subsurface_Radargram_Data!A168</x:f>
        <x:v>23</x:v>
      </x:c>
      <x:c r="D1149" s="34" t="n">
        <x:f>Subsurface_Radargram_Data!D168</x:f>
        <x:v>11.076470424173417</x:v>
      </x:c>
      <x:c r="E1149" s="34" t="n">
        <x:f>Subsurface_Radargram_Data!A168</x:f>
        <x:v>23</x:v>
      </x:c>
      <x:c r="F1149" s="34" t="n">
        <x:f>Subsurface_Radargram_Data!E168</x:f>
        <x:v>63.95241691180074</x:v>
      </x:c>
      <x:c r="G1149" s="34" t="n">
        <x:f>Subsurface_Radargram_Data!A168</x:f>
        <x:v>23</x:v>
      </x:c>
      <x:c r="H1149" s="34" t="n">
        <x:f>Subsurface_Radargram_Data!F168</x:f>
        <x:v>185.06342233741938</x:v>
      </x:c>
    </x:row>
    <x:row r="1150">
      <x:c r="A1150" s="34" t="n">
        <x:f>Subsurface_Radargram_Data!A169</x:f>
        <x:v>23.5</x:v>
      </x:c>
      <x:c r="B1150" s="34" t="n">
        <x:f>Subsurface_Radargram_Data!C169</x:f>
        <x:v>10.679106702214893</x:v>
      </x:c>
      <x:c r="C1150" s="34" t="n">
        <x:f>Subsurface_Radargram_Data!A169</x:f>
        <x:v>23.5</x:v>
      </x:c>
      <x:c r="D1150" s="34" t="n">
        <x:f>Subsurface_Radargram_Data!D169</x:f>
        <x:v>11.103323567615266</x:v>
      </x:c>
      <x:c r="E1150" s="34" t="n">
        <x:f>Subsurface_Radargram_Data!A169</x:f>
        <x:v>23.5</x:v>
      </x:c>
      <x:c r="F1150" s="34" t="n">
        <x:f>Subsurface_Radargram_Data!E169</x:f>
        <x:v>64.04918539284387</x:v>
      </x:c>
      <x:c r="G1150" s="34" t="n">
        <x:f>Subsurface_Radargram_Data!A169</x:f>
        <x:v>23.5</x:v>
      </x:c>
      <x:c r="H1150" s="34" t="n">
        <x:f>Subsurface_Radargram_Data!F169</x:f>
        <x:v>184.63754975651935</x:v>
      </x:c>
    </x:row>
    <x:row r="1151">
      <x:c r="A1151" s="34" t="n">
        <x:f>Subsurface_Radargram_Data!A170</x:f>
        <x:v>24</x:v>
      </x:c>
      <x:c r="B1151" s="34" t="n">
        <x:f>Subsurface_Radargram_Data!C170</x:f>
        <x:v>10.620708341172824</x:v>
      </x:c>
      <x:c r="C1151" s="34" t="n">
        <x:f>Subsurface_Radargram_Data!A170</x:f>
        <x:v>24</x:v>
      </x:c>
      <x:c r="D1151" s="34" t="n">
        <x:f>Subsurface_Radargram_Data!D170</x:f>
        <x:v>11.150612031479731</x:v>
      </x:c>
      <x:c r="E1151" s="34" t="n">
        <x:f>Subsurface_Radargram_Data!A170</x:f>
        <x:v>24</x:v>
      </x:c>
      <x:c r="F1151" s="34" t="n">
        <x:f>Subsurface_Radargram_Data!E170</x:f>
        <x:v>64.153787341177</x:v>
      </x:c>
      <x:c r="G1151" s="34" t="n">
        <x:f>Subsurface_Radargram_Data!A170</x:f>
        <x:v>24</x:v>
      </x:c>
      <x:c r="H1151" s="34" t="n">
        <x:f>Subsurface_Radargram_Data!F170</x:f>
        <x:v>184.17984086156616</x:v>
      </x:c>
    </x:row>
    <x:row r="1152">
      <x:c r="A1152" s="34" t="n">
        <x:f>Subsurface_Radargram_Data!A171</x:f>
        <x:v>24.5</x:v>
      </x:c>
      <x:c r="B1152" s="34" t="n">
        <x:f>Subsurface_Radargram_Data!C171</x:f>
        <x:v>10.57341522555727</x:v>
      </x:c>
      <x:c r="C1152" s="34" t="n">
        <x:f>Subsurface_Radargram_Data!A171</x:f>
        <x:v>24.5</x:v>
      </x:c>
      <x:c r="D1152" s="34" t="n">
        <x:f>Subsurface_Radargram_Data!D171</x:f>
        <x:v>11.193185352141537</x:v>
      </x:c>
      <x:c r="E1152" s="34" t="n">
        <x:f>Subsurface_Radargram_Data!A171</x:f>
        <x:v>24.5</x:v>
      </x:c>
      <x:c r="F1152" s="34" t="n">
        <x:f>Subsurface_Radargram_Data!E171</x:f>
        <x:v>64.26510355142348</x:v>
      </x:c>
      <x:c r="G1152" s="34" t="n">
        <x:f>Subsurface_Radargram_Data!A171</x:f>
        <x:v>24.5</x:v>
      </x:c>
      <x:c r="H1152" s="34" t="n">
        <x:f>Subsurface_Radargram_Data!F171</x:f>
        <x:v>183.779175633993</x:v>
      </x:c>
    </x:row>
    <x:row r="1153">
      <x:c r="A1153" s="34" t="n">
        <x:f>Subsurface_Radargram_Data!A172</x:f>
        <x:v>25</x:v>
      </x:c>
      <x:c r="B1153" s="34" t="n">
        <x:f>Subsurface_Radargram_Data!C172</x:f>
        <x:v>10.537608131727264</x:v>
      </x:c>
      <x:c r="C1153" s="34" t="n">
        <x:f>Subsurface_Radargram_Data!A172</x:f>
        <x:v>25</x:v>
      </x:c>
      <x:c r="D1153" s="34" t="n">
        <x:f>Subsurface_Radargram_Data!D172</x:f>
        <x:v>11.261938627171219</x:v>
      </x:c>
      <x:c r="E1153" s="34" t="n">
        <x:f>Subsurface_Radargram_Data!A172</x:f>
        <x:v>25</x:v>
      </x:c>
      <x:c r="F1153" s="34" t="n">
        <x:f>Subsurface_Radargram_Data!E172</x:f>
        <x:v>64.38185274064449</x:v>
      </x:c>
      <x:c r="G1153" s="34" t="n">
        <x:f>Subsurface_Radargram_Data!A172</x:f>
        <x:v>25</x:v>
      </x:c>
      <x:c r="H1153" s="34" t="n">
        <x:f>Subsurface_Radargram_Data!F172</x:f>
        <x:v>183.3283664331558</x:v>
      </x:c>
    </x:row>
    <x:row r="1154">
      <x:c r="A1154" s="34" t="n">
        <x:f>Subsurface_Radargram_Data!A173</x:f>
        <x:v>25.5</x:v>
      </x:c>
      <x:c r="B1154" s="34" t="n">
        <x:f>Subsurface_Radargram_Data!C173</x:f>
        <x:v>10.513575357348097</x:v>
      </x:c>
      <x:c r="C1154" s="34" t="n">
        <x:f>Subsurface_Radargram_Data!A173</x:f>
        <x:v>25.5</x:v>
      </x:c>
      <x:c r="D1154" s="34" t="n">
        <x:f>Subsurface_Radargram_Data!D173</x:f>
        <x:v>11.327754319379249</x:v>
      </x:c>
      <x:c r="E1154" s="34" t="n">
        <x:f>Subsurface_Radargram_Data!A173</x:f>
        <x:v>25.5</x:v>
      </x:c>
      <x:c r="F1154" s="34" t="n">
        <x:f>Subsurface_Radargram_Data!E173</x:f>
        <x:v>64.50260661542801</x:v>
      </x:c>
      <x:c r="G1154" s="34" t="n">
        <x:f>Subsurface_Radargram_Data!A173</x:f>
        <x:v>25.5</x:v>
      </x:c>
      <x:c r="H1154" s="34" t="n">
        <x:f>Subsurface_Radargram_Data!F173</x:f>
        <x:v>182.9303362859524</x:v>
      </x:c>
    </x:row>
    <x:row r="1155">
      <x:c r="A1155" s="34" t="n">
        <x:f>Subsurface_Radargram_Data!A174</x:f>
        <x:v>26</x:v>
      </x:c>
      <x:c r="B1155" s="34" t="n">
        <x:f>Subsurface_Radargram_Data!C174</x:f>
        <x:v>10.501510400188028</x:v>
      </x:c>
      <x:c r="C1155" s="34" t="n">
        <x:f>Subsurface_Radargram_Data!A174</x:f>
        <x:v>26</x:v>
      </x:c>
      <x:c r="D1155" s="34" t="n">
        <x:f>Subsurface_Radargram_Data!D174</x:f>
        <x:v>11.418171815194272</x:v>
      </x:c>
      <x:c r="E1155" s="34" t="n">
        <x:f>Subsurface_Radargram_Data!A174</x:f>
        <x:v>26</x:v>
      </x:c>
      <x:c r="F1155" s="34" t="n">
        <x:f>Subsurface_Radargram_Data!E174</x:f>
        <x:v>64.62580667689143</x:v>
      </x:c>
      <x:c r="G1155" s="34" t="n">
        <x:f>Subsurface_Radargram_Data!A174</x:f>
        <x:v>26</x:v>
      </x:c>
      <x:c r="H1155" s="34" t="n">
        <x:f>Subsurface_Radargram_Data!F174</x:f>
        <x:v>182.48974181398128</x:v>
      </x:c>
    </x:row>
    <x:row r="1156">
      <x:c r="A1156" s="34" t="n">
        <x:f>Subsurface_Radargram_Data!A175</x:f>
        <x:v>26.5</x:v>
      </x:c>
      <x:c r="B1156" s="34" t="n">
        <x:f>Subsurface_Radargram_Data!C175</x:f>
        <x:v>10.501510400188028</x:v>
      </x:c>
      <x:c r="C1156" s="34" t="n">
        <x:f>Subsurface_Radargram_Data!A175</x:f>
        <x:v>26.5</x:v>
      </x:c>
      <x:c r="D1156" s="34" t="n">
        <x:f>Subsurface_Radargram_Data!D175</x:f>
        <x:v>11.520374612053963</x:v>
      </x:c>
      <x:c r="E1156" s="34" t="n">
        <x:f>Subsurface_Radargram_Data!A175</x:f>
        <x:v>26.5</x:v>
      </x:c>
      <x:c r="F1156" s="34" t="n">
        <x:f>Subsurface_Radargram_Data!E175</x:f>
        <x:v>64.74978263816101</x:v>
      </x:c>
      <x:c r="G1156" s="34" t="n">
        <x:f>Subsurface_Radargram_Data!A175</x:f>
        <x:v>26.5</x:v>
      </x:c>
      <x:c r="H1156" s="34" t="n">
        <x:f>Subsurface_Radargram_Data!F175</x:f>
        <x:v>182.05247704854796</x:v>
      </x:c>
    </x:row>
    <x:row r="1157">
      <x:c r="A1157" s="34" t="n">
        <x:f>Subsurface_Radargram_Data!A176</x:f>
        <x:v>27</x:v>
      </x:c>
      <x:c r="B1157" s="34" t="n">
        <x:f>Subsurface_Radargram_Data!C176</x:f>
        <x:v>10.513575357348097</x:v>
      </x:c>
      <x:c r="C1157" s="34" t="n">
        <x:f>Subsurface_Radargram_Data!A176</x:f>
        <x:v>27</x:v>
      </x:c>
      <x:c r="D1157" s="34" t="n">
        <x:f>Subsurface_Radargram_Data!D176</x:f>
        <x:v>11.61903326132532</x:v>
      </x:c>
      <x:c r="E1157" s="34" t="n">
        <x:f>Subsurface_Radargram_Data!A176</x:f>
        <x:v>27</x:v>
      </x:c>
      <x:c r="F1157" s="34" t="n">
        <x:f>Subsurface_Radargram_Data!E176</x:f>
        <x:v>64.87277231709785</x:v>
      </x:c>
      <x:c r="G1157" s="34" t="n">
        <x:f>Subsurface_Radargram_Data!A176</x:f>
        <x:v>27</x:v>
      </x:c>
      <x:c r="H1157" s="34" t="n">
        <x:f>Subsurface_Radargram_Data!F176</x:f>
        <x:v>181.67317569859486</x:v>
      </x:c>
    </x:row>
    <x:row r="1158">
      <x:c r="A1158" s="34" t="n">
        <x:f>Subsurface_Radargram_Data!A177</x:f>
        <x:v>27.5</x:v>
      </x:c>
      <x:c r="B1158" s="34" t="n">
        <x:f>Subsurface_Radargram_Data!C177</x:f>
        <x:v>10.537608131727264</x:v>
      </x:c>
      <x:c r="C1158" s="34" t="n">
        <x:f>Subsurface_Radargram_Data!A177</x:f>
        <x:v>27.5</x:v>
      </x:c>
      <x:c r="D1158" s="34" t="n">
        <x:f>Subsurface_Radargram_Data!D177</x:f>
        <x:v>11.743299583366504</x:v>
      </x:c>
      <x:c r="E1158" s="34" t="n">
        <x:f>Subsurface_Radargram_Data!A177</x:f>
        <x:v>27.5</x:v>
      </x:c>
      <x:c r="F1158" s="34" t="n">
        <x:f>Subsurface_Radargram_Data!E177</x:f>
        <x:v>64.99294285281674</x:v>
      </x:c>
      <x:c r="G1158" s="34" t="n">
        <x:f>Subsurface_Radargram_Data!A177</x:f>
        <x:v>27.5</x:v>
      </x:c>
      <x:c r="H1158" s="34" t="n">
        <x:f>Subsurface_Radargram_Data!F177</x:f>
        <x:v>181.25067874640123</x:v>
      </x:c>
    </x:row>
    <x:row r="1159">
      <x:c r="A1159" s="34" t="n">
        <x:f>Subsurface_Radargram_Data!A178</x:f>
        <x:v>28</x:v>
      </x:c>
      <x:c r="B1159" s="34" t="n">
        <x:f>Subsurface_Radargram_Data!C178</x:f>
        <x:v>10.57341522555727</x:v>
      </x:c>
      <x:c r="C1159" s="34" t="n">
        <x:f>Subsurface_Radargram_Data!A178</x:f>
        <x:v>28</x:v>
      </x:c>
      <x:c r="D1159" s="34" t="n">
        <x:f>Subsurface_Radargram_Data!D178</x:f>
        <x:v>11.872334660313339</x:v>
      </x:c>
      <x:c r="E1159" s="34" t="n">
        <x:f>Subsurface_Radargram_Data!A178</x:f>
        <x:v>28</x:v>
      </x:c>
      <x:c r="F1159" s="34" t="n">
        <x:f>Subsurface_Radargram_Data!E178</x:f>
        <x:v>65.1084130777482</x:v>
      </x:c>
      <x:c r="G1159" s="34" t="n">
        <x:f>Subsurface_Radargram_Data!A178</x:f>
        <x:v>28</x:v>
      </x:c>
      <x:c r="H1159" s="34" t="n">
        <x:f>Subsurface_Radargram_Data!F178</x:f>
        <x:v>180.8586299347382</x:v>
      </x:c>
    </x:row>
    <x:row r="1160">
      <x:c r="A1160" s="34" t="n">
        <x:f>Subsurface_Radargram_Data!A179</x:f>
        <x:v>28.5</x:v>
      </x:c>
      <x:c r="B1160" s="34" t="n">
        <x:f>Subsurface_Radargram_Data!C179</x:f>
        <x:v>10.620708341172824</x:v>
      </x:c>
      <x:c r="C1160" s="34" t="n">
        <x:f>Subsurface_Radargram_Data!A179</x:f>
        <x:v>28.5</x:v>
      </x:c>
      <x:c r="D1160" s="34" t="n">
        <x:f>Subsurface_Radargram_Data!D179</x:f>
        <x:v>12.024436316247574</x:v>
      </x:c>
      <x:c r="E1160" s="34" t="n">
        <x:f>Subsurface_Radargram_Data!A179</x:f>
        <x:v>28.5</x:v>
      </x:c>
      <x:c r="F1160" s="34" t="n">
        <x:f>Subsurface_Radargram_Data!E179</x:f>
        <x:v>65.21727685770217</x:v>
      </x:c>
      <x:c r="G1160" s="34" t="n">
        <x:f>Subsurface_Radargram_Data!A179</x:f>
        <x:v>28.5</x:v>
      </x:c>
      <x:c r="H1160" s="34" t="n">
        <x:f>Subsurface_Radargram_Data!F179</x:f>
        <x:v>180.43347061698594</x:v>
      </x:c>
    </x:row>
    <x:row r="1161">
      <x:c r="A1161" s="34" t="n">
        <x:f>Subsurface_Radargram_Data!A180</x:f>
        <x:v>29</x:v>
      </x:c>
      <x:c r="B1161" s="34" t="n">
        <x:f>Subsurface_Radargram_Data!C180</x:f>
        <x:v>10.679106702214893</x:v>
      </x:c>
      <x:c r="C1161" s="34" t="n">
        <x:f>Subsurface_Radargram_Data!A180</x:f>
        <x:v>29</x:v>
      </x:c>
      <x:c r="D1161" s="34" t="n">
        <x:f>Subsurface_Radargram_Data!D180</x:f>
        <x:v>12.17665074544833</x:v>
      </x:c>
      <x:c r="E1161" s="34" t="n">
        <x:f>Subsurface_Radargram_Data!A180</x:f>
        <x:v>29</x:v>
      </x:c>
      <x:c r="F1161" s="34" t="n">
        <x:f>Subsurface_Radargram_Data!E180</x:f>
        <x:v>65.31762719093531</x:v>
      </x:c>
      <x:c r="G1161" s="34" t="n">
        <x:f>Subsurface_Radargram_Data!A180</x:f>
        <x:v>29</x:v>
      </x:c>
      <x:c r="H1161" s="34" t="n">
        <x:f>Subsurface_Radargram_Data!F180</x:f>
        <x:v>180.05573920427497</x:v>
      </x:c>
    </x:row>
    <x:row r="1162">
      <x:c r="A1162" s="34" t="n">
        <x:f>Subsurface_Radargram_Data!A181</x:f>
        <x:v>29.5</x:v>
      </x:c>
      <x:c r="B1162" s="34" t="n">
        <x:f>Subsurface_Radargram_Data!C181</x:f>
        <x:v>10.748140119418046</x:v>
      </x:c>
      <x:c r="C1162" s="34" t="n">
        <x:f>Subsurface_Radargram_Data!A181</x:f>
        <x:v>29.5</x:v>
      </x:c>
      <x:c r="D1162" s="34" t="n">
        <x:f>Subsurface_Radargram_Data!D181</x:f>
        <x:v>12.343313972018914</x:v>
      </x:c>
      <x:c r="E1162" s="34" t="n">
        <x:f>Subsurface_Radargram_Data!A181</x:f>
        <x:v>29.5</x:v>
      </x:c>
      <x:c r="F1162" s="34" t="n">
        <x:f>Subsurface_Radargram_Data!E181</x:f>
        <x:v>65.40758083417285</x:v>
      </x:c>
      <x:c r="G1162" s="34" t="n">
        <x:f>Subsurface_Radargram_Data!A181</x:f>
        <x:v>29.5</x:v>
      </x:c>
      <x:c r="H1162" s="34" t="n">
        <x:f>Subsurface_Radargram_Data!F181</x:f>
        <x:v>179.67511692285976</x:v>
      </x:c>
    </x:row>
    <x:row r="1163">
      <x:c r="A1163" s="34" t="n">
        <x:f>Subsurface_Radargram_Data!A182</x:f>
        <x:v>30</x:v>
      </x:c>
      <x:c r="B1163" s="34" t="n">
        <x:f>Subsurface_Radargram_Data!C182</x:f>
        <x:v>10.827252776297955</x:v>
      </x:c>
      <x:c r="C1163" s="34" t="n">
        <x:f>Subsurface_Radargram_Data!A182</x:f>
        <x:v>30</x:v>
      </x:c>
      <x:c r="D1163" s="34" t="n">
        <x:f>Subsurface_Radargram_Data!D182</x:f>
        <x:v>12.52844107703034</x:v>
      </x:c>
      <x:c r="E1163" s="34" t="n">
        <x:f>Subsurface_Radargram_Data!A182</x:f>
        <x:v>30</x:v>
      </x:c>
      <x:c r="F1163" s="34" t="n">
        <x:f>Subsurface_Radargram_Data!E182</x:f>
        <x:v>65.48530319968066</x:v>
      </x:c>
      <x:c r="G1163" s="34" t="n">
        <x:f>Subsurface_Radargram_Data!A182</x:f>
        <x:v>30</x:v>
      </x:c>
      <x:c r="H1163" s="34" t="n">
        <x:f>Subsurface_Radargram_Data!F182</x:f>
        <x:v>179.27700873372723</x:v>
      </x:c>
    </x:row>
    <x:row r="1164">
      <x:c r="A1164" s="34" t="n">
        <x:f>Subsurface_Radargram_Data!A183</x:f>
        <x:v>30.5</x:v>
      </x:c>
      <x:c r="B1164" s="34" t="n">
        <x:f>Subsurface_Radargram_Data!C183</x:f>
        <x:v>10.915807704258913</x:v>
      </x:c>
      <x:c r="C1164" s="34" t="n">
        <x:f>Subsurface_Radargram_Data!A183</x:f>
        <x:v>30.5</x:v>
      </x:c>
      <x:c r="D1164" s="34" t="n">
        <x:f>Subsurface_Radargram_Data!D183</x:f>
        <x:v>12.717948848418454</x:v>
      </x:c>
      <x:c r="E1164" s="34" t="n">
        <x:f>Subsurface_Radargram_Data!A183</x:f>
        <x:v>30.5</x:v>
      </x:c>
      <x:c r="F1164" s="34" t="n">
        <x:f>Subsurface_Radargram_Data!E183</x:f>
        <x:v>65.54903324381729</x:v>
      </x:c>
      <x:c r="G1164" s="34" t="n">
        <x:f>Subsurface_Radargram_Data!A183</x:f>
        <x:v>30.5</x:v>
      </x:c>
      <x:c r="H1164" s="34" t="n">
        <x:f>Subsurface_Radargram_Data!F183</x:f>
        <x:v>178.90971123814685</x:v>
      </x:c>
    </x:row>
    <x:row r="1165">
      <x:c r="A1165" s="34" t="n">
        <x:f>Subsurface_Radargram_Data!A184</x:f>
        <x:v>31</x:v>
      </x:c>
      <x:c r="B1165" s="34" t="n">
        <x:f>Subsurface_Radargram_Data!C184</x:f>
        <x:v>11.01309191109043</x:v>
      </x:c>
      <x:c r="C1165" s="34" t="n">
        <x:f>Subsurface_Radargram_Data!A184</x:f>
        <x:v>31</x:v>
      </x:c>
      <x:c r="D1165" s="34" t="n">
        <x:f>Subsurface_Radargram_Data!D184</x:f>
        <x:v>12.926029181540256</x:v>
      </x:c>
      <x:c r="E1165" s="34" t="n">
        <x:f>Subsurface_Radargram_Data!A184</x:f>
        <x:v>31</x:v>
      </x:c>
      <x:c r="F1165" s="34" t="n">
        <x:f>Subsurface_Radargram_Data!E184</x:f>
        <x:v>65.59710804515286</x:v>
      </x:c>
      <x:c r="G1165" s="34" t="n">
        <x:f>Subsurface_Radargram_Data!A184</x:f>
        <x:v>31</x:v>
      </x:c>
      <x:c r="H1165" s="34" t="n">
        <x:f>Subsurface_Radargram_Data!F184</x:f>
        <x:v>178.52205849177082</x:v>
      </x:c>
    </x:row>
    <x:row r="1166">
      <x:c r="A1166" s="34" t="n">
        <x:f>Subsurface_Radargram_Data!A185</x:f>
        <x:v>31.5</x:v>
      </x:c>
      <x:c r="B1166" s="34" t="n">
        <x:f>Subsurface_Radargram_Data!C185</x:f>
        <x:v>11.11832212156129</x:v>
      </x:c>
      <x:c r="C1166" s="34" t="n">
        <x:f>Subsurface_Radargram_Data!A185</x:f>
        <x:v>31.5</x:v>
      </x:c>
      <x:c r="D1166" s="34" t="n">
        <x:f>Subsurface_Radargram_Data!D185</x:f>
        <x:v>13.132605861191797</x:v>
      </x:c>
      <x:c r="E1166" s="34" t="n">
        <x:f>Subsurface_Radargram_Data!A185</x:f>
        <x:v>31.5</x:v>
      </x:c>
      <x:c r="F1166" s="34" t="n">
        <x:f>Subsurface_Radargram_Data!E185</x:f>
        <x:v>65.62798675046476</x:v>
      </x:c>
      <x:c r="G1166" s="34" t="n">
        <x:f>Subsurface_Radargram_Data!A185</x:f>
        <x:v>31.5</x:v>
      </x:c>
      <x:c r="H1166" s="34" t="n">
        <x:f>Subsurface_Radargram_Data!F185</x:f>
        <x:v>178.1822830083325</x:v>
      </x:c>
    </x:row>
    <x:row r="1167">
      <x:c r="A1167" s="34" t="n">
        <x:f>Subsurface_Radargram_Data!A186</x:f>
        <x:v>32</x:v>
      </x:c>
      <x:c r="B1167" s="34" t="n">
        <x:f>Subsurface_Radargram_Data!C186</x:f>
        <x:v>11.230651083891141</x:v>
      </x:c>
      <x:c r="C1167" s="34" t="n">
        <x:f>Subsurface_Radargram_Data!A186</x:f>
        <x:v>32</x:v>
      </x:c>
      <x:c r="D1167" s="34" t="n">
        <x:f>Subsurface_Radargram_Data!D186</x:f>
        <x:v>13.361203536728544</x:v>
      </x:c>
      <x:c r="E1167" s="34" t="n">
        <x:f>Subsurface_Radargram_Data!A186</x:f>
        <x:v>32</x:v>
      </x:c>
      <x:c r="F1167" s="34" t="n">
        <x:f>Subsurface_Radargram_Data!E186</x:f>
        <x:v>65.64027355097991</x:v>
      </x:c>
      <x:c r="G1167" s="34" t="n">
        <x:f>Subsurface_Radargram_Data!A186</x:f>
        <x:v>32</x:v>
      </x:c>
      <x:c r="H1167" s="34" t="n">
        <x:f>Subsurface_Radargram_Data!F186</x:f>
        <x:v>177.8054424863073</x:v>
      </x:c>
    </x:row>
    <x:row r="1168">
      <x:c r="A1168" s="34" t="n">
        <x:f>Subsurface_Radargram_Data!A187</x:f>
        <x:v>32.5</x:v>
      </x:c>
      <x:c r="B1168" s="34" t="n">
        <x:f>Subsurface_Radargram_Data!C187</x:f>
        <x:v>11.349174391323663</x:v>
      </x:c>
      <x:c r="C1168" s="34" t="n">
        <x:f>Subsurface_Radargram_Data!A187</x:f>
        <x:v>32.5</x:v>
      </x:c>
      <x:c r="D1168" s="34" t="n">
        <x:f>Subsurface_Radargram_Data!D187</x:f>
        <x:v>13.59683590322651</x:v>
      </x:c>
      <x:c r="E1168" s="34" t="n">
        <x:f>Subsurface_Radargram_Data!A187</x:f>
        <x:v>32.5</x:v>
      </x:c>
      <x:c r="F1168" s="34" t="n">
        <x:f>Subsurface_Radargram_Data!E187</x:f>
        <x:v>65.63273934038186</x:v>
      </x:c>
      <x:c r="G1168" s="34" t="n">
        <x:f>Subsurface_Radargram_Data!A187</x:f>
        <x:v>32.5</x:v>
      </x:c>
      <x:c r="H1168" s="34" t="n">
        <x:f>Subsurface_Radargram_Data!F187</x:f>
        <x:v>177.44078894128288</x:v>
      </x:c>
    </x:row>
    <x:row r="1169">
      <x:c r="A1169" s="34" t="n">
        <x:f>Subsurface_Radargram_Data!A188</x:f>
        <x:v>33</x:v>
      </x:c>
      <x:c r="B1169" s="34" t="n">
        <x:f>Subsurface_Radargram_Data!C188</x:f>
        <x:v>11.472937763877987</x:v>
      </x:c>
      <x:c r="C1169" s="34" t="n">
        <x:f>Subsurface_Radargram_Data!A188</x:f>
        <x:v>33</x:v>
      </x:c>
      <x:c r="D1169" s="34" t="n">
        <x:f>Subsurface_Radargram_Data!D188</x:f>
        <x:v>13.834881332153214</x:v>
      </x:c>
      <x:c r="E1169" s="34" t="n">
        <x:f>Subsurface_Radargram_Data!A188</x:f>
        <x:v>33</x:v>
      </x:c>
      <x:c r="F1169" s="34" t="n">
        <x:f>Subsurface_Radargram_Data!E188</x:f>
        <x:v>65.6043417014887</x:v>
      </x:c>
      <x:c r="G1169" s="34" t="n">
        <x:f>Subsurface_Radargram_Data!A188</x:f>
        <x:v>33</x:v>
      </x:c>
      <x:c r="H1169" s="34" t="n">
        <x:f>Subsurface_Radargram_Data!F188</x:f>
        <x:v>177.10069244517538</x:v>
      </x:c>
    </x:row>
    <x:row r="1170">
      <x:c r="A1170" s="34" t="n">
        <x:f>Subsurface_Radargram_Data!A189</x:f>
        <x:v>33.5</x:v>
      </x:c>
      <x:c r="B1170" s="34" t="n">
        <x:f>Subsurface_Radargram_Data!C189</x:f>
        <x:v>11.600944731649987</x:v>
      </x:c>
      <x:c r="C1170" s="34" t="n">
        <x:f>Subsurface_Radargram_Data!A189</x:f>
        <x:v>33.5</x:v>
      </x:c>
      <x:c r="D1170" s="34" t="n">
        <x:f>Subsurface_Radargram_Data!D189</x:f>
        <x:v>14.07841712111491</x:v>
      </x:c>
      <x:c r="E1170" s="34" t="n">
        <x:f>Subsurface_Radargram_Data!A189</x:f>
        <x:v>33.5</x:v>
      </x:c>
      <x:c r="F1170" s="34" t="n">
        <x:f>Subsurface_Radargram_Data!E189</x:f>
        <x:v>65.55424287113708</x:v>
      </x:c>
      <x:c r="G1170" s="34" t="n">
        <x:f>Subsurface_Radargram_Data!A189</x:f>
        <x:v>33.5</x:v>
      </x:c>
      <x:c r="H1170" s="34" t="n">
        <x:f>Subsurface_Radargram_Data!F189</x:f>
        <x:v>176.76997123188784</x:v>
      </x:c>
    </x:row>
    <x:row r="1171">
      <x:c r="A1171" s="34" t="n">
        <x:f>Subsurface_Radargram_Data!A190</x:f>
        <x:v>34</x:v>
      </x:c>
      <x:c r="B1171" s="34" t="n">
        <x:f>Subsurface_Radargram_Data!C190</x:f>
        <x:v>11.732164657802045</x:v>
      </x:c>
      <x:c r="C1171" s="34" t="n">
        <x:f>Subsurface_Radargram_Data!A190</x:f>
        <x:v>34</x:v>
      </x:c>
      <x:c r="D1171" s="34" t="n">
        <x:f>Subsurface_Radargram_Data!D190</x:f>
        <x:v>14.332914863935185</x:v>
      </x:c>
      <x:c r="E1171" s="34" t="n">
        <x:f>Subsurface_Radargram_Data!A190</x:f>
        <x:v>34</x:v>
      </x:c>
      <x:c r="F1171" s="34" t="n">
        <x:f>Subsurface_Radargram_Data!E190</x:f>
        <x:v>65.48182534345781</x:v>
      </x:c>
      <x:c r="G1171" s="34" t="n">
        <x:f>Subsurface_Radargram_Data!A190</x:f>
        <x:v>34</x:v>
      </x:c>
      <x:c r="H1171" s="34" t="n">
        <x:f>Subsurface_Radargram_Data!F190</x:f>
        <x:v>176.42447004621403</x:v>
      </x:c>
    </x:row>
    <x:row r="1172">
      <x:c r="A1172" s="34" t="n">
        <x:f>Subsurface_Radargram_Data!A191</x:f>
        <x:v>34.5</x:v>
      </x:c>
      <x:c r="B1172" s="34" t="n">
        <x:f>Subsurface_Radargram_Data!C191</x:f>
        <x:v>11.86554103664485</x:v>
      </x:c>
      <x:c r="C1172" s="34" t="n">
        <x:f>Subsurface_Radargram_Data!A191</x:f>
        <x:v>34.5</x:v>
      </x:c>
      <x:c r="D1172" s="34" t="n">
        <x:f>Subsurface_Radargram_Data!D191</x:f>
        <x:v>14.583193050551364</x:v>
      </x:c>
      <x:c r="E1172" s="34" t="n">
        <x:f>Subsurface_Radargram_Data!A191</x:f>
        <x:v>34.5</x:v>
      </x:c>
      <x:c r="F1172" s="34" t="n">
        <x:f>Subsurface_Radargram_Data!E191</x:f>
        <x:v>65.38670479092697</x:v>
      </x:c>
      <x:c r="G1172" s="34" t="n">
        <x:f>Subsurface_Radargram_Data!A191</x:f>
        <x:v>34.5</x:v>
      </x:c>
      <x:c r="H1172" s="34" t="n">
        <x:f>Subsurface_Radargram_Data!F191</x:f>
        <x:v>176.11175074463824</x:v>
      </x:c>
    </x:row>
    <x:row r="1173">
      <x:c r="A1173" s="34" t="n">
        <x:f>Subsurface_Radargram_Data!A192</x:f>
        <x:v>35</x:v>
      </x:c>
      <x:c r="B1173" s="34" t="n">
        <x:f>Subsurface_Radargram_Data!C192</x:f>
        <x:v>12</x:v>
      </x:c>
      <x:c r="C1173" s="34" t="n">
        <x:f>Subsurface_Radargram_Data!A192</x:f>
        <x:v>35</x:v>
      </x:c>
      <x:c r="D1173" s="34" t="n">
        <x:f>Subsurface_Radargram_Data!D192</x:f>
        <x:v>14.826944147901509</x:v>
      </x:c>
      <x:c r="E1173" s="34" t="n">
        <x:f>Subsurface_Radargram_Data!A192</x:f>
        <x:v>35</x:v>
      </x:c>
      <x:c r="F1173" s="34" t="n">
        <x:f>Subsurface_Radargram_Data!E192</x:f>
        <x:v>65.26874001053905</x:v>
      </x:c>
      <x:c r="G1173" s="34" t="n">
        <x:f>Subsurface_Radargram_Data!A192</x:f>
        <x:v>35</x:v>
      </x:c>
      <x:c r="H1173" s="34" t="n">
        <x:f>Subsurface_Radargram_Data!F192</x:f>
        <x:v>175.83378490857586</x:v>
      </x:c>
    </x:row>
    <x:row r="1174">
      <x:c r="A1174" s="34" t="n">
        <x:f>Subsurface_Radargram_Data!A193</x:f>
        <x:v>35.5</x:v>
      </x:c>
      <x:c r="B1174" s="34" t="n">
        <x:f>Subsurface_Radargram_Data!C193</x:f>
        <x:v>12.13445896335515</x:v>
      </x:c>
      <x:c r="C1174" s="34" t="n">
        <x:f>Subsurface_Radargram_Data!A193</x:f>
        <x:v>35.5</x:v>
      </x:c>
      <x:c r="D1174" s="34" t="n">
        <x:f>Subsurface_Radargram_Data!D193</x:f>
        <x:v>15.071621949948156</x:v>
      </x:c>
      <x:c r="E1174" s="34" t="n">
        <x:f>Subsurface_Radargram_Data!A193</x:f>
        <x:v>35.5</x:v>
      </x:c>
      <x:c r="F1174" s="34" t="n">
        <x:f>Subsurface_Radargram_Data!E193</x:f>
        <x:v>65.1280396390858</x:v>
      </x:c>
      <x:c r="G1174" s="34" t="n">
        <x:f>Subsurface_Radargram_Data!A193</x:f>
        <x:v>35.5</x:v>
      </x:c>
      <x:c r="H1174" s="34" t="n">
        <x:f>Subsurface_Radargram_Data!F193</x:f>
        <x:v>175.55789809101935</x:v>
      </x:c>
    </x:row>
    <x:row r="1175">
      <x:c r="A1175" s="34" t="n">
        <x:f>Subsurface_Radargram_Data!A194</x:f>
        <x:v>36</x:v>
      </x:c>
      <x:c r="B1175" s="34" t="n">
        <x:f>Subsurface_Radargram_Data!C194</x:f>
        <x:v>12.267835342197955</x:v>
      </x:c>
      <x:c r="C1175" s="34" t="n">
        <x:f>Subsurface_Radargram_Data!A194</x:f>
        <x:v>36</x:v>
      </x:c>
      <x:c r="D1175" s="34" t="n">
        <x:f>Subsurface_Radargram_Data!D194</x:f>
        <x:v>15.31567161208274</x:v>
      </x:c>
      <x:c r="E1175" s="34" t="n">
        <x:f>Subsurface_Radargram_Data!A194</x:f>
        <x:v>36</x:v>
      </x:c>
      <x:c r="F1175" s="34" t="n">
        <x:f>Subsurface_Radargram_Data!E194</x:f>
        <x:v>64.96496542639868</x:v>
      </x:c>
      <x:c r="G1175" s="34" t="n">
        <x:f>Subsurface_Radargram_Data!A194</x:f>
        <x:v>36</x:v>
      </x:c>
      <x:c r="H1175" s="34" t="n">
        <x:f>Subsurface_Radargram_Data!F194</x:f>
        <x:v>175.2825268596642</x:v>
      </x:c>
    </x:row>
    <x:row r="1176">
      <x:c r="A1176" s="34" t="n">
        <x:f>Subsurface_Radargram_Data!A195</x:f>
        <x:v>36.5</x:v>
      </x:c>
      <x:c r="B1176" s="34" t="n">
        <x:f>Subsurface_Radargram_Data!C195</x:f>
        <x:v>12.399055268350013</x:v>
      </x:c>
      <x:c r="C1176" s="34" t="n">
        <x:f>Subsurface_Radargram_Data!A195</x:f>
        <x:v>36.5</x:v>
      </x:c>
      <x:c r="D1176" s="34" t="n">
        <x:f>Subsurface_Radargram_Data!D195</x:f>
        <x:v>15.559143008800289</x:v>
      </x:c>
      <x:c r="E1176" s="34" t="n">
        <x:f>Subsurface_Radargram_Data!A195</x:f>
        <x:v>36.5</x:v>
      </x:c>
      <x:c r="F1176" s="34" t="n">
        <x:f>Subsurface_Radargram_Data!E195</x:f>
        <x:v>64.78013190778108</x:v>
      </x:c>
      <x:c r="G1176" s="34" t="n">
        <x:f>Subsurface_Radargram_Data!A195</x:f>
        <x:v>36.5</x:v>
      </x:c>
      <x:c r="H1176" s="34" t="n">
        <x:f>Subsurface_Radargram_Data!F195</x:f>
        <x:v>175.00014575609637</x:v>
      </x:c>
    </x:row>
    <x:row r="1177">
      <x:c r="A1177" s="34" t="n">
        <x:f>Subsurface_Radargram_Data!A196</x:f>
        <x:v>37</x:v>
      </x:c>
      <x:c r="B1177" s="34" t="n">
        <x:f>Subsurface_Radargram_Data!C196</x:f>
        <x:v>12.527062236122013</x:v>
      </x:c>
      <x:c r="C1177" s="34" t="n">
        <x:f>Subsurface_Radargram_Data!A196</x:f>
        <x:v>37</x:v>
      </x:c>
      <x:c r="D1177" s="34" t="n">
        <x:f>Subsurface_Radargram_Data!D196</x:f>
        <x:v>15.784244332471001</x:v>
      </x:c>
      <x:c r="E1177" s="34" t="n">
        <x:f>Subsurface_Radargram_Data!A196</x:f>
        <x:v>37</x:v>
      </x:c>
      <x:c r="F1177" s="34" t="n">
        <x:f>Subsurface_Radargram_Data!E196</x:f>
        <x:v>64.57440237566473</x:v>
      </x:c>
      <x:c r="G1177" s="34" t="n">
        <x:f>Subsurface_Radargram_Data!A196</x:f>
        <x:v>37</x:v>
      </x:c>
      <x:c r="H1177" s="34" t="n">
        <x:f>Subsurface_Radargram_Data!F196</x:f>
        <x:v>174.76541406111815</x:v>
      </x:c>
    </x:row>
    <x:row r="1178">
      <x:c r="A1178" s="34" t="n">
        <x:f>Subsurface_Radargram_Data!A197</x:f>
        <x:v>37.5</x:v>
      </x:c>
      <x:c r="B1178" s="34" t="n">
        <x:f>Subsurface_Radargram_Data!C197</x:f>
        <x:v>12.650825608676337</x:v>
      </x:c>
      <x:c r="C1178" s="34" t="n">
        <x:f>Subsurface_Radargram_Data!A197</x:f>
        <x:v>37.5</x:v>
      </x:c>
      <x:c r="D1178" s="34" t="n">
        <x:f>Subsurface_Radargram_Data!D197</x:f>
        <x:v>15.998197497440234</x:v>
      </x:c>
      <x:c r="E1178" s="34" t="n">
        <x:f>Subsurface_Radargram_Data!A197</x:f>
        <x:v>37.5</x:v>
      </x:c>
      <x:c r="F1178" s="34" t="n">
        <x:f>Subsurface_Radargram_Data!E197</x:f>
        <x:v>64.34888111445791</x:v>
      </x:c>
      <x:c r="G1178" s="34" t="n">
        <x:f>Subsurface_Radargram_Data!A197</x:f>
        <x:v>37.5</x:v>
      </x:c>
      <x:c r="H1178" s="34" t="n">
        <x:f>Subsurface_Radargram_Data!F197</x:f>
        <x:v>174.54527575325662</x:v>
      </x:c>
    </x:row>
    <x:row r="1179">
      <x:c r="A1179" s="34" t="n">
        <x:f>Subsurface_Radargram_Data!A198</x:f>
        <x:v>38</x:v>
      </x:c>
      <x:c r="B1179" s="34" t="n">
        <x:f>Subsurface_Radargram_Data!C198</x:f>
        <x:v>12.769348916108859</x:v>
      </x:c>
      <x:c r="C1179" s="34" t="n">
        <x:f>Subsurface_Radargram_Data!A198</x:f>
        <x:v>38</x:v>
      </x:c>
      <x:c r="D1179" s="34" t="n">
        <x:f>Subsurface_Radargram_Data!D198</x:f>
        <x:v>16.1976998230906</x:v>
      </x:c>
      <x:c r="E1179" s="34" t="n">
        <x:f>Subsurface_Radargram_Data!A198</x:f>
        <x:v>38</x:v>
      </x:c>
      <x:c r="F1179" s="34" t="n">
        <x:f>Subsurface_Radargram_Data!E198</x:f>
        <x:v>64.10490193008049</x:v>
      </x:c>
      <x:c r="G1179" s="34" t="n">
        <x:f>Subsurface_Radargram_Data!A198</x:f>
        <x:v>38</x:v>
      </x:c>
      <x:c r="H1179" s="34" t="n">
        <x:f>Subsurface_Radargram_Data!F198</x:f>
        <x:v>174.34344564147648</x:v>
      </x:c>
    </x:row>
    <x:row r="1180">
      <x:c r="A1180" s="34" t="n">
        <x:f>Subsurface_Radargram_Data!A199</x:f>
        <x:v>38.5</x:v>
      </x:c>
      <x:c r="B1180" s="34" t="n">
        <x:f>Subsurface_Radargram_Data!C199</x:f>
        <x:v>12.88167787843871</x:v>
      </x:c>
      <x:c r="C1180" s="34" t="n">
        <x:f>Subsurface_Radargram_Data!A199</x:f>
        <x:v>38.5</x:v>
      </x:c>
      <x:c r="D1180" s="34" t="n">
        <x:f>Subsurface_Radargram_Data!D199</x:f>
        <x:v>16.394217360689066</x:v>
      </x:c>
      <x:c r="E1180" s="34" t="n">
        <x:f>Subsurface_Radargram_Data!A199</x:f>
        <x:v>38.5</x:v>
      </x:c>
      <x:c r="F1180" s="34" t="n">
        <x:f>Subsurface_Radargram_Data!E199</x:f>
        <x:v>63.84401307510865</x:v>
      </x:c>
      <x:c r="G1180" s="34" t="n">
        <x:f>Subsurface_Radargram_Data!A199</x:f>
        <x:v>38.5</x:v>
      </x:c>
      <x:c r="H1180" s="34" t="n">
        <x:f>Subsurface_Radargram_Data!F199</x:f>
        <x:v>174.1119913329567</x:v>
      </x:c>
    </x:row>
    <x:row r="1181">
      <x:c r="A1181" s="34" t="n">
        <x:f>Subsurface_Radargram_Data!A200</x:f>
        <x:v>39</x:v>
      </x:c>
      <x:c r="B1181" s="34" t="n">
        <x:f>Subsurface_Radargram_Data!C200</x:f>
        <x:v>12.98690808890957</x:v>
      </x:c>
      <x:c r="C1181" s="34" t="n">
        <x:f>Subsurface_Radargram_Data!A200</x:f>
        <x:v>39</x:v>
      </x:c>
      <x:c r="D1181" s="34" t="n">
        <x:f>Subsurface_Radargram_Data!D200</x:f>
        <x:v>16.555044245818262</x:v>
      </x:c>
      <x:c r="E1181" s="34" t="n">
        <x:f>Subsurface_Radargram_Data!A200</x:f>
        <x:v>39</x:v>
      </x:c>
      <x:c r="F1181" s="34" t="n">
        <x:f>Subsurface_Radargram_Data!E200</x:f>
        <x:v>63.567958739990964</x:v>
      </x:c>
      <x:c r="G1181" s="34" t="n">
        <x:f>Subsurface_Radargram_Data!A200</x:f>
        <x:v>39</x:v>
      </x:c>
      <x:c r="H1181" s="34" t="n">
        <x:f>Subsurface_Radargram_Data!F200</x:f>
        <x:v>173.95773896270308</x:v>
      </x:c>
    </x:row>
    <x:row r="1182">
      <x:c r="A1182" s="34" t="n">
        <x:f>Subsurface_Radargram_Data!A201</x:f>
        <x:v>39.5</x:v>
      </x:c>
      <x:c r="B1182" s="34" t="n">
        <x:f>Subsurface_Radargram_Data!C201</x:f>
        <x:v>13.084192295741087</x:v>
      </x:c>
      <x:c r="C1182" s="34" t="n">
        <x:f>Subsurface_Radargram_Data!A201</x:f>
        <x:v>39.5</x:v>
      </x:c>
      <x:c r="D1182" s="34" t="n">
        <x:f>Subsurface_Radargram_Data!D201</x:f>
        <x:v>16.697843074437436</x:v>
      </x:c>
      <x:c r="E1182" s="34" t="n">
        <x:f>Subsurface_Radargram_Data!A201</x:f>
        <x:v>39.5</x:v>
      </x:c>
      <x:c r="F1182" s="34" t="n">
        <x:f>Subsurface_Radargram_Data!E201</x:f>
        <x:v>63.278657348625295</x:v>
      </x:c>
      <x:c r="G1182" s="34" t="n">
        <x:f>Subsurface_Radargram_Data!A201</x:f>
        <x:v>39.5</x:v>
      </x:c>
      <x:c r="H1182" s="34" t="n">
        <x:f>Subsurface_Radargram_Data!F201</x:f>
        <x:v>173.81149831033235</x:v>
      </x:c>
    </x:row>
    <x:row r="1183">
      <x:c r="A1183" s="34" t="n">
        <x:f>Subsurface_Radargram_Data!A202</x:f>
        <x:v>40</x:v>
      </x:c>
      <x:c r="B1183" s="34" t="n">
        <x:f>Subsurface_Radargram_Data!C202</x:f>
        <x:v>13.172747223702045</x:v>
      </x:c>
      <x:c r="C1183" s="34" t="n">
        <x:f>Subsurface_Radargram_Data!A202</x:f>
        <x:v>40</x:v>
      </x:c>
      <x:c r="D1183" s="34" t="n">
        <x:f>Subsurface_Radargram_Data!D202</x:f>
        <x:v>16.823212266690284</x:v>
      </x:c>
      <x:c r="E1183" s="34" t="n">
        <x:f>Subsurface_Radargram_Data!A202</x:f>
        <x:v>40</x:v>
      </x:c>
      <x:c r="F1183" s="34" t="n">
        <x:f>Subsurface_Radargram_Data!E202</x:f>
        <x:v>62.978176960915675</x:v>
      </x:c>
      <x:c r="G1183" s="34" t="n">
        <x:f>Subsurface_Radargram_Data!A202</x:f>
        <x:v>40</x:v>
      </x:c>
      <x:c r="H1183" s="34" t="n">
        <x:f>Subsurface_Radargram_Data!F202</x:f>
        <x:v>173.6641944368427</x:v>
      </x:c>
    </x:row>
    <x:row r="1184">
      <x:c r="A1184" s="34" t="n">
        <x:f>Subsurface_Radargram_Data!A203</x:f>
        <x:v>40.5</x:v>
      </x:c>
      <x:c r="B1184" s="34" t="n">
        <x:f>Subsurface_Radargram_Data!C203</x:f>
        <x:v>13.251859880581954</x:v>
      </x:c>
      <x:c r="C1184" s="34" t="n">
        <x:f>Subsurface_Radargram_Data!A203</x:f>
        <x:v>40.5</x:v>
      </x:c>
      <x:c r="D1184" s="34" t="n">
        <x:f>Subsurface_Radargram_Data!D203</x:f>
        <x:v>16.919938276803965</x:v>
      </x:c>
      <x:c r="E1184" s="34" t="n">
        <x:f>Subsurface_Radargram_Data!A203</x:f>
        <x:v>40.5</x:v>
      </x:c>
      <x:c r="F1184" s="34" t="n">
        <x:f>Subsurface_Radargram_Data!E203</x:f>
        <x:v>62.66870814407275</x:v>
      </x:c>
      <x:c r="G1184" s="34" t="n">
        <x:f>Subsurface_Radargram_Data!A203</x:f>
        <x:v>40.5</x:v>
      </x:c>
      <x:c r="H1184" s="34" t="n">
        <x:f>Subsurface_Radargram_Data!F203</x:f>
        <x:v>173.54860126903804</x:v>
      </x:c>
    </x:row>
    <x:row r="1185">
      <x:c r="A1185" s="34" t="n">
        <x:f>Subsurface_Radargram_Data!A204</x:f>
        <x:v>41</x:v>
      </x:c>
      <x:c r="B1185" s="34" t="n">
        <x:f>Subsurface_Radargram_Data!C204</x:f>
        <x:v>13.320893297785107</x:v>
      </x:c>
      <x:c r="C1185" s="34" t="n">
        <x:f>Subsurface_Radargram_Data!A204</x:f>
        <x:v>41</x:v>
      </x:c>
      <x:c r="D1185" s="34" t="n">
        <x:f>Subsurface_Radargram_Data!D204</x:f>
        <x:v>16.98166337973247</x:v>
      </x:c>
      <x:c r="E1185" s="34" t="n">
        <x:f>Subsurface_Radargram_Data!A204</x:f>
        <x:v>41</x:v>
      </x:c>
      <x:c r="F1185" s="34" t="n">
        <x:f>Subsurface_Radargram_Data!E204</x:f>
        <x:v>62.35253472684293</x:v>
      </x:c>
      <x:c r="G1185" s="34" t="n">
        <x:f>Subsurface_Radargram_Data!A204</x:f>
        <x:v>41</x:v>
      </x:c>
      <x:c r="H1185" s="34" t="n">
        <x:f>Subsurface_Radargram_Data!F204</x:f>
        <x:v>173.48111746870947</x:v>
      </x:c>
    </x:row>
    <x:row r="1186">
      <x:c r="A1186" s="34" t="n">
        <x:f>Subsurface_Radargram_Data!A205</x:f>
        <x:v>41.5</x:v>
      </x:c>
      <x:c r="B1186" s="34" t="n">
        <x:f>Subsurface_Radargram_Data!C205</x:f>
        <x:v>13.379291658827176</x:v>
      </x:c>
      <x:c r="C1186" s="34" t="n">
        <x:f>Subsurface_Radargram_Data!A205</x:f>
        <x:v>41.5</x:v>
      </x:c>
      <x:c r="D1186" s="34" t="n">
        <x:f>Subsurface_Radargram_Data!D205</x:f>
        <x:v>17.024489403095263</x:v>
      </x:c>
      <x:c r="E1186" s="34" t="n">
        <x:f>Subsurface_Radargram_Data!A205</x:f>
        <x:v>41.5</x:v>
      </x:c>
      <x:c r="F1186" s="34" t="n">
        <x:f>Subsurface_Radargram_Data!E205</x:f>
        <x:v>62.03200289522606</x:v>
      </x:c>
      <x:c r="G1186" s="34" t="n">
        <x:f>Subsurface_Radargram_Data!A205</x:f>
        <x:v>41.5</x:v>
      </x:c>
      <x:c r="H1186" s="34" t="n">
        <x:f>Subsurface_Radargram_Data!F205</x:f>
        <x:v>173.40026119266332</x:v>
      </x:c>
    </x:row>
    <x:row r="1187">
      <x:c r="A1187" s="34" t="n">
        <x:f>Subsurface_Radargram_Data!A206</x:f>
        <x:v>42</x:v>
      </x:c>
      <x:c r="B1187" s="34" t="n">
        <x:f>Subsurface_Radargram_Data!C206</x:f>
        <x:v>13.42658477444273</x:v>
      </x:c>
      <x:c r="C1187" s="34" t="n">
        <x:f>Subsurface_Radargram_Data!A206</x:f>
        <x:v>42</x:v>
      </x:c>
      <x:c r="D1187" s="34" t="n">
        <x:f>Subsurface_Radargram_Data!D206</x:f>
        <x:v>17.043696391512455</x:v>
      </x:c>
      <x:c r="E1187" s="34" t="n">
        <x:f>Subsurface_Radargram_Data!A206</x:f>
        <x:v>42</x:v>
      </x:c>
      <x:c r="F1187" s="34" t="n">
        <x:f>Subsurface_Radargram_Data!E206</x:f>
        <x:v>61.70948912347937</x:v>
      </x:c>
      <x:c r="G1187" s="34" t="n">
        <x:f>Subsurface_Radargram_Data!A206</x:f>
        <x:v>42</x:v>
      </x:c>
      <x:c r="H1187" s="34" t="n">
        <x:f>Subsurface_Radargram_Data!F206</x:f>
        <x:v>173.31825522602335</x:v>
      </x:c>
    </x:row>
    <x:row r="1188">
      <x:c r="A1188" s="34" t="n">
        <x:f>Subsurface_Radargram_Data!A207</x:f>
        <x:v>42.5</x:v>
      </x:c>
      <x:c r="B1188" s="34" t="n">
        <x:f>Subsurface_Radargram_Data!C207</x:f>
        <x:v>13.462391868272736</x:v>
      </x:c>
      <x:c r="C1188" s="34" t="n">
        <x:f>Subsurface_Radargram_Data!A207</x:f>
        <x:v>42.5</x:v>
      </x:c>
      <x:c r="D1188" s="34" t="n">
        <x:f>Subsurface_Radargram_Data!D207</x:f>
        <x:v>17.027731376280872</x:v>
      </x:c>
      <x:c r="E1188" s="34" t="n">
        <x:f>Subsurface_Radargram_Data!A207</x:f>
        <x:v>42.5</x:v>
      </x:c>
      <x:c r="F1188" s="34" t="n">
        <x:f>Subsurface_Radargram_Data!E207</x:f>
        <x:v>61.38736745949564</x:v>
      </x:c>
      <x:c r="G1188" s="34" t="n">
        <x:f>Subsurface_Radargram_Data!A207</x:f>
        <x:v>42.5</x:v>
      </x:c>
      <x:c r="H1188" s="34" t="n">
        <x:f>Subsurface_Radargram_Data!F207</x:f>
        <x:v>173.2721574014499</x:v>
      </x:c>
    </x:row>
    <x:row r="1189">
      <x:c r="A1189" s="34" t="n">
        <x:f>Subsurface_Radargram_Data!A208</x:f>
        <x:v>43</x:v>
      </x:c>
      <x:c r="B1189" s="34" t="n">
        <x:f>Subsurface_Radargram_Data!C208</x:f>
        <x:v>13.486424642651903</x:v>
      </x:c>
      <x:c r="C1189" s="34" t="n">
        <x:f>Subsurface_Radargram_Data!A208</x:f>
        <x:v>43</x:v>
      </x:c>
      <x:c r="D1189" s="34" t="n">
        <x:f>Subsurface_Radargram_Data!D208</x:f>
        <x:v>16.981777784824565</x:v>
      </x:c>
      <x:c r="E1189" s="34" t="n">
        <x:f>Subsurface_Radargram_Data!A208</x:f>
        <x:v>43</x:v>
      </x:c>
      <x:c r="F1189" s="34" t="n">
        <x:f>Subsurface_Radargram_Data!E208</x:f>
        <x:v>61.06797669846246</x:v>
      </x:c>
      <x:c r="G1189" s="34" t="n">
        <x:f>Subsurface_Radargram_Data!A208</x:f>
        <x:v>43</x:v>
      </x:c>
      <x:c r="H1189" s="34" t="n">
        <x:f>Subsurface_Radargram_Data!F208</x:f>
        <x:v>173.24144757080543</x:v>
      </x:c>
    </x:row>
    <x:row r="1190">
      <x:c r="A1190" s="34" t="n">
        <x:f>Subsurface_Radargram_Data!A209</x:f>
        <x:v>43.5</x:v>
      </x:c>
      <x:c r="B1190" s="34" t="n">
        <x:f>Subsurface_Radargram_Data!C209</x:f>
        <x:v>13.498489599811972</x:v>
      </x:c>
      <x:c r="C1190" s="34" t="n">
        <x:f>Subsurface_Radargram_Data!A209</x:f>
        <x:v>43.5</x:v>
      </x:c>
      <x:c r="D1190" s="34" t="n">
        <x:f>Subsurface_Radargram_Data!D209</x:f>
        <x:v>16.90168136842663</x:v>
      </x:c>
      <x:c r="E1190" s="34" t="n">
        <x:f>Subsurface_Radargram_Data!A209</x:f>
        <x:v>43.5</x:v>
      </x:c>
      <x:c r="F1190" s="34" t="str">
        <x:f>Subsurface_Radargram_Data!E209</x:f>
      </x:c>
      <x:c r="G1190" s="34" t="n">
        <x:f>Subsurface_Radargram_Data!A209</x:f>
        <x:v>43.5</x:v>
      </x:c>
      <x:c r="H1190" s="34" t="n">
        <x:f>Subsurface_Radargram_Data!F209</x:f>
        <x:v>173.23935384735935</x:v>
      </x:c>
    </x:row>
    <x:row r="1191">
      <x:c r="A1191" s="34" t="n">
        <x:f>Subsurface_Radargram_Data!A210</x:f>
        <x:v>44</x:v>
      </x:c>
      <x:c r="B1191" s="34" t="n">
        <x:f>Subsurface_Radargram_Data!C210</x:f>
        <x:v>13.498489599811972</x:v>
      </x:c>
      <x:c r="C1191" s="34" t="n">
        <x:f>Subsurface_Radargram_Data!A210</x:f>
        <x:v>44</x:v>
      </x:c>
      <x:c r="D1191" s="34" t="n">
        <x:f>Subsurface_Radargram_Data!D210</x:f>
        <x:v>16.79455108350007</x:v>
      </x:c>
      <x:c r="E1191" s="34" t="n">
        <x:f>Subsurface_Radargram_Data!A210</x:f>
        <x:v>44</x:v>
      </x:c>
      <x:c r="F1191" s="34" t="str">
        <x:f>Subsurface_Radargram_Data!E210</x:f>
      </x:c>
      <x:c r="G1191" s="34" t="n">
        <x:f>Subsurface_Radargram_Data!A210</x:f>
        <x:v>44</x:v>
      </x:c>
      <x:c r="H1191" s="34" t="n">
        <x:f>Subsurface_Radargram_Data!F210</x:f>
        <x:v>173.24080207812918</x:v>
      </x:c>
    </x:row>
    <x:row r="1192">
      <x:c r="A1192" s="34" t="n">
        <x:f>Subsurface_Radargram_Data!A211</x:f>
        <x:v>44.5</x:v>
      </x:c>
      <x:c r="B1192" s="34" t="n">
        <x:f>Subsurface_Radargram_Data!C211</x:f>
        <x:v>13.486424642651903</x:v>
      </x:c>
      <x:c r="C1192" s="34" t="n">
        <x:f>Subsurface_Radargram_Data!A211</x:f>
        <x:v>44.5</x:v>
      </x:c>
      <x:c r="D1192" s="34" t="n">
        <x:f>Subsurface_Radargram_Data!D211</x:f>
        <x:v>16.651904840481784</x:v>
      </x:c>
      <x:c r="E1192" s="34" t="n">
        <x:f>Subsurface_Radargram_Data!A211</x:f>
        <x:v>44.5</x:v>
      </x:c>
      <x:c r="F1192" s="34" t="str">
        <x:f>Subsurface_Radargram_Data!E211</x:f>
      </x:c>
      <x:c r="G1192" s="34" t="n">
        <x:f>Subsurface_Radargram_Data!A211</x:f>
        <x:v>44.5</x:v>
      </x:c>
      <x:c r="H1192" s="34" t="n">
        <x:f>Subsurface_Radargram_Data!F211</x:f>
        <x:v>173.27644255142002</x:v>
      </x:c>
    </x:row>
    <x:row r="1193">
      <x:c r="A1193" s="34" t="n">
        <x:f>Subsurface_Radargram_Data!A212</x:f>
        <x:v>45</x:v>
      </x:c>
      <x:c r="B1193" s="34" t="n">
        <x:f>Subsurface_Radargram_Data!C212</x:f>
        <x:v>13.462391868272736</x:v>
      </x:c>
      <x:c r="C1193" s="34" t="n">
        <x:f>Subsurface_Radargram_Data!A212</x:f>
        <x:v>45</x:v>
      </x:c>
      <x:c r="D1193" s="34" t="n">
        <x:f>Subsurface_Radargram_Data!D212</x:f>
        <x:v>16.488547071684334</x:v>
      </x:c>
      <x:c r="E1193" s="34" t="n">
        <x:f>Subsurface_Radargram_Data!A212</x:f>
        <x:v>45</x:v>
      </x:c>
      <x:c r="F1193" s="34" t="str">
        <x:f>Subsurface_Radargram_Data!E212</x:f>
      </x:c>
      <x:c r="G1193" s="34" t="n">
        <x:f>Subsurface_Radargram_Data!A212</x:f>
        <x:v>45</x:v>
      </x:c>
      <x:c r="H1193" s="34" t="n">
        <x:f>Subsurface_Radargram_Data!F212</x:f>
        <x:v>173.2965985631456</x:v>
      </x:c>
    </x:row>
    <x:row r="1194">
      <x:c r="A1194" s="34" t="n">
        <x:f>Subsurface_Radargram_Data!A213</x:f>
        <x:v>45.5</x:v>
      </x:c>
      <x:c r="B1194" s="34" t="n">
        <x:f>Subsurface_Radargram_Data!C213</x:f>
        <x:v>13.42658477444273</x:v>
      </x:c>
      <x:c r="C1194" s="34" t="n">
        <x:f>Subsurface_Radargram_Data!A213</x:f>
        <x:v>45.5</x:v>
      </x:c>
      <x:c r="D1194" s="34" t="n">
        <x:f>Subsurface_Radargram_Data!D213</x:f>
        <x:v>16.306086585295144</x:v>
      </x:c>
      <x:c r="E1194" s="34" t="n">
        <x:f>Subsurface_Radargram_Data!A213</x:f>
        <x:v>45.5</x:v>
      </x:c>
      <x:c r="F1194" s="34" t="str">
        <x:f>Subsurface_Radargram_Data!E213</x:f>
      </x:c>
      <x:c r="G1194" s="34" t="n">
        <x:f>Subsurface_Radargram_Data!A213</x:f>
        <x:v>45.5</x:v>
      </x:c>
      <x:c r="H1194" s="34" t="n">
        <x:f>Subsurface_Radargram_Data!F213</x:f>
        <x:v>173.29895643221312</x:v>
      </x:c>
    </x:row>
    <x:row r="1195">
      <x:c r="A1195" s="34" t="n">
        <x:f>Subsurface_Radargram_Data!A214</x:f>
        <x:v>46</x:v>
      </x:c>
      <x:c r="B1195" s="34" t="n">
        <x:f>Subsurface_Radargram_Data!C214</x:f>
        <x:v>13.379291658827176</x:v>
      </x:c>
      <x:c r="C1195" s="34" t="n">
        <x:f>Subsurface_Radargram_Data!A214</x:f>
        <x:v>46</x:v>
      </x:c>
      <x:c r="D1195" s="34" t="n">
        <x:f>Subsurface_Radargram_Data!D214</x:f>
        <x:v>16.08589550788824</x:v>
      </x:c>
      <x:c r="E1195" s="34" t="n">
        <x:f>Subsurface_Radargram_Data!A214</x:f>
        <x:v>46</x:v>
      </x:c>
      <x:c r="F1195" s="34" t="str">
        <x:f>Subsurface_Radargram_Data!E214</x:f>
      </x:c>
      <x:c r="G1195" s="34" t="n">
        <x:f>Subsurface_Radargram_Data!A214</x:f>
        <x:v>46</x:v>
      </x:c>
      <x:c r="H1195" s="34" t="n">
        <x:f>Subsurface_Radargram_Data!F214</x:f>
        <x:v>173.35319367290685</x:v>
      </x:c>
    </x:row>
    <x:row r="1196">
      <x:c r="A1196" s="34" t="n">
        <x:f>Subsurface_Radargram_Data!A215</x:f>
        <x:v>46.5</x:v>
      </x:c>
      <x:c r="B1196" s="34" t="n">
        <x:f>Subsurface_Radargram_Data!C215</x:f>
        <x:v>13.320893297785107</x:v>
      </x:c>
      <x:c r="C1196" s="34" t="n">
        <x:f>Subsurface_Radargram_Data!A215</x:f>
        <x:v>46.5</x:v>
      </x:c>
      <x:c r="D1196" s="34" t="n">
        <x:f>Subsurface_Radargram_Data!D215</x:f>
        <x:v>15.841482299853174</x:v>
      </x:c>
      <x:c r="E1196" s="34" t="n">
        <x:f>Subsurface_Radargram_Data!A215</x:f>
        <x:v>46.5</x:v>
      </x:c>
      <x:c r="F1196" s="34" t="str">
        <x:f>Subsurface_Radargram_Data!E215</x:f>
      </x:c>
      <x:c r="G1196" s="34" t="n">
        <x:f>Subsurface_Radargram_Data!A215</x:f>
        <x:v>46.5</x:v>
      </x:c>
      <x:c r="H1196" s="34" t="n">
        <x:f>Subsurface_Radargram_Data!F215</x:f>
        <x:v>173.41763969932103</x:v>
      </x:c>
    </x:row>
    <x:row r="1197">
      <x:c r="A1197" s="34" t="n">
        <x:f>Subsurface_Radargram_Data!A216</x:f>
        <x:v>47</x:v>
      </x:c>
      <x:c r="B1197" s="34" t="n">
        <x:f>Subsurface_Radargram_Data!C216</x:f>
        <x:v>13.251859880581954</x:v>
      </x:c>
      <x:c r="C1197" s="34" t="n">
        <x:f>Subsurface_Radargram_Data!A216</x:f>
        <x:v>47</x:v>
      </x:c>
      <x:c r="D1197" s="34" t="n">
        <x:f>Subsurface_Radargram_Data!D216</x:f>
        <x:v>15.582631964163669</x:v>
      </x:c>
      <x:c r="E1197" s="34" t="n">
        <x:f>Subsurface_Radargram_Data!A216</x:f>
        <x:v>47</x:v>
      </x:c>
      <x:c r="F1197" s="34" t="str">
        <x:f>Subsurface_Radargram_Data!E216</x:f>
      </x:c>
      <x:c r="G1197" s="34" t="n">
        <x:f>Subsurface_Radargram_Data!A216</x:f>
        <x:v>47</x:v>
      </x:c>
      <x:c r="H1197" s="34" t="n">
        <x:f>Subsurface_Radargram_Data!F216</x:f>
        <x:v>173.4647332731506</x:v>
      </x:c>
    </x:row>
    <x:row r="1198">
      <x:c r="A1198" s="34" t="n">
        <x:f>Subsurface_Radargram_Data!A217</x:f>
        <x:v>47.5</x:v>
      </x:c>
      <x:c r="B1198" s="34" t="n">
        <x:f>Subsurface_Radargram_Data!C217</x:f>
        <x:v>13.172747223702045</x:v>
      </x:c>
      <x:c r="C1198" s="34" t="n">
        <x:f>Subsurface_Radargram_Data!A217</x:f>
        <x:v>47.5</x:v>
      </x:c>
      <x:c r="D1198" s="34" t="n">
        <x:f>Subsurface_Radargram_Data!D217</x:f>
        <x:v>15.301813178322535</x:v>
      </x:c>
      <x:c r="E1198" s="34" t="n">
        <x:f>Subsurface_Radargram_Data!A217</x:f>
        <x:v>47.5</x:v>
      </x:c>
      <x:c r="F1198" s="34" t="str">
        <x:f>Subsurface_Radargram_Data!E217</x:f>
      </x:c>
      <x:c r="G1198" s="34" t="n">
        <x:f>Subsurface_Radargram_Data!A217</x:f>
        <x:v>47.5</x:v>
      </x:c>
      <x:c r="H1198" s="34" t="n">
        <x:f>Subsurface_Radargram_Data!F217</x:f>
        <x:v>173.52852808800694</x:v>
      </x:c>
    </x:row>
    <x:row r="1199">
      <x:c r="A1199" s="34" t="n">
        <x:f>Subsurface_Radargram_Data!A218</x:f>
        <x:v>48</x:v>
      </x:c>
      <x:c r="B1199" s="34" t="n">
        <x:f>Subsurface_Radargram_Data!C218</x:f>
        <x:v>13.084192295741088</x:v>
      </x:c>
      <x:c r="C1199" s="34" t="n">
        <x:f>Subsurface_Radargram_Data!A218</x:f>
        <x:v>48</x:v>
      </x:c>
      <x:c r="D1199" s="34" t="n">
        <x:f>Subsurface_Radargram_Data!D218</x:f>
        <x:v>15.017699167331232</x:v>
      </x:c>
      <x:c r="E1199" s="34" t="n">
        <x:f>Subsurface_Radargram_Data!A218</x:f>
        <x:v>48</x:v>
      </x:c>
      <x:c r="F1199" s="34" t="str">
        <x:f>Subsurface_Radargram_Data!E218</x:f>
      </x:c>
      <x:c r="G1199" s="34" t="n">
        <x:f>Subsurface_Radargram_Data!A218</x:f>
        <x:v>48</x:v>
      </x:c>
      <x:c r="H1199" s="34" t="n">
        <x:f>Subsurface_Radargram_Data!F218</x:f>
        <x:v>173.552283386974</x:v>
      </x:c>
    </x:row>
    <x:row r="1200">
      <x:c r="A1200" s="34" t="n">
        <x:f>Subsurface_Radargram_Data!A219</x:f>
        <x:v>48.5</x:v>
      </x:c>
      <x:c r="B1200" s="34" t="n">
        <x:f>Subsurface_Radargram_Data!C219</x:f>
        <x:v>12.98690808890957</x:v>
      </x:c>
      <x:c r="C1200" s="34" t="n">
        <x:f>Subsurface_Radargram_Data!A219</x:f>
        <x:v>48.5</x:v>
      </x:c>
      <x:c r="D1200" s="34" t="n">
        <x:f>Subsurface_Radargram_Data!D219</x:f>
        <x:v>14.706336796053296</x:v>
      </x:c>
      <x:c r="E1200" s="34" t="n">
        <x:f>Subsurface_Radargram_Data!A219</x:f>
        <x:v>48.5</x:v>
      </x:c>
      <x:c r="F1200" s="34" t="str">
        <x:f>Subsurface_Radargram_Data!E219</x:f>
      </x:c>
      <x:c r="G1200" s="34" t="n">
        <x:f>Subsurface_Radargram_Data!A219</x:f>
        <x:v>48.5</x:v>
      </x:c>
      <x:c r="H1200" s="34" t="n">
        <x:f>Subsurface_Radargram_Data!F219</x:f>
        <x:v>173.6292700009907</x:v>
      </x:c>
    </x:row>
    <x:row r="1201">
      <x:c r="A1201" s="34" t="n">
        <x:f>Subsurface_Radargram_Data!A220</x:f>
        <x:v>49</x:v>
      </x:c>
      <x:c r="B1201" s="34" t="n">
        <x:f>Subsurface_Radargram_Data!C220</x:f>
        <x:v>12.88167787843871</x:v>
      </x:c>
      <x:c r="C1201" s="34" t="n">
        <x:f>Subsurface_Radargram_Data!A220</x:f>
        <x:v>49</x:v>
      </x:c>
      <x:c r="D1201" s="34" t="n">
        <x:f>Subsurface_Radargram_Data!D220</x:f>
        <x:v>14.386979370763848</x:v>
      </x:c>
      <x:c r="E1201" s="34" t="n">
        <x:f>Subsurface_Radargram_Data!A220</x:f>
        <x:v>49</x:v>
      </x:c>
      <x:c r="F1201" s="34" t="str">
        <x:f>Subsurface_Radargram_Data!E220</x:f>
      </x:c>
      <x:c r="G1201" s="34" t="n">
        <x:f>Subsurface_Radargram_Data!A220</x:f>
        <x:v>49</x:v>
      </x:c>
      <x:c r="H1201" s="34" t="n">
        <x:f>Subsurface_Radargram_Data!F220</x:f>
        <x:v>173.7022389438857</x:v>
      </x:c>
    </x:row>
    <x:row r="1202">
      <x:c r="A1202" s="34" t="n">
        <x:f>Subsurface_Radargram_Data!A221</x:f>
        <x:v>49.5</x:v>
      </x:c>
      <x:c r="B1202" s="34" t="n">
        <x:f>Subsurface_Radargram_Data!C221</x:f>
        <x:v>12.769348916108859</x:v>
      </x:c>
      <x:c r="C1202" s="34" t="n">
        <x:f>Subsurface_Radargram_Data!A221</x:f>
        <x:v>49.5</x:v>
      </x:c>
      <x:c r="D1202" s="34" t="n">
        <x:f>Subsurface_Radargram_Data!D221</x:f>
        <x:v>14.065269905827302</x:v>
      </x:c>
      <x:c r="E1202" s="34" t="n">
        <x:f>Subsurface_Radargram_Data!A221</x:f>
        <x:v>49.5</x:v>
      </x:c>
      <x:c r="F1202" s="34" t="str">
        <x:f>Subsurface_Radargram_Data!E221</x:f>
      </x:c>
      <x:c r="G1202" s="34" t="n">
        <x:f>Subsurface_Radargram_Data!A221</x:f>
        <x:v>49.5</x:v>
      </x:c>
      <x:c r="H1202" s="34" t="n">
        <x:f>Subsurface_Radargram_Data!F221</x:f>
        <x:v>173.76215053676512</x:v>
      </x:c>
    </x:row>
    <x:row r="1203">
      <x:c r="A1203" s="34" t="n">
        <x:f>Subsurface_Radargram_Data!A222</x:f>
        <x:v>50</x:v>
      </x:c>
      <x:c r="B1203" s="34" t="n">
        <x:f>Subsurface_Radargram_Data!C222</x:f>
        <x:v>12.650825608676337</x:v>
      </x:c>
      <x:c r="C1203" s="34" t="n">
        <x:f>Subsurface_Radargram_Data!A222</x:f>
        <x:v>50</x:v>
      </x:c>
      <x:c r="D1203" s="34" t="n">
        <x:f>Subsurface_Radargram_Data!D222</x:f>
        <x:v>13.736129141832397</x:v>
      </x:c>
      <x:c r="E1203" s="34" t="n">
        <x:f>Subsurface_Radargram_Data!A222</x:f>
        <x:v>50</x:v>
      </x:c>
      <x:c r="F1203" s="34" t="str">
        <x:f>Subsurface_Radargram_Data!E222</x:f>
      </x:c>
      <x:c r="G1203" s="34" t="n">
        <x:f>Subsurface_Radargram_Data!A222</x:f>
        <x:v>50</x:v>
      </x:c>
      <x:c r="H1203" s="34" t="n">
        <x:f>Subsurface_Radargram_Data!F222</x:f>
        <x:v>173.8379259216372</x:v>
      </x:c>
    </x:row>
    <x:row r="1204">
      <x:c r="A1204" s="34" t="n">
        <x:f>Subsurface_Radargram_Data!A223</x:f>
        <x:v>50.5</x:v>
      </x:c>
      <x:c r="B1204" s="34" t="n">
        <x:f>Subsurface_Radargram_Data!C223</x:f>
        <x:v>12.527062236122015</x:v>
      </x:c>
      <x:c r="C1204" s="34" t="n">
        <x:f>Subsurface_Radargram_Data!A223</x:f>
        <x:v>50.5</x:v>
      </x:c>
      <x:c r="D1204" s="34" t="n">
        <x:f>Subsurface_Radargram_Data!D223</x:f>
        <x:v>13.416906693626288</x:v>
      </x:c>
      <x:c r="E1204" s="34" t="n">
        <x:f>Subsurface_Radargram_Data!A223</x:f>
        <x:v>50.5</x:v>
      </x:c>
      <x:c r="F1204" s="34" t="str">
        <x:f>Subsurface_Radargram_Data!E223</x:f>
      </x:c>
      <x:c r="G1204" s="34" t="n">
        <x:f>Subsurface_Radargram_Data!A223</x:f>
        <x:v>50.5</x:v>
      </x:c>
      <x:c r="H1204" s="34" t="n">
        <x:f>Subsurface_Radargram_Data!F223</x:f>
        <x:v>173.8802687158138</x:v>
      </x:c>
    </x:row>
    <x:row r="1205">
      <x:c r="A1205" s="34" t="n">
        <x:f>Subsurface_Radargram_Data!A224</x:f>
        <x:v>51</x:v>
      </x:c>
      <x:c r="B1205" s="34" t="n">
        <x:f>Subsurface_Radargram_Data!C224</x:f>
        <x:v>12.399055268350013</x:v>
      </x:c>
      <x:c r="C1205" s="34" t="n">
        <x:f>Subsurface_Radargram_Data!A224</x:f>
        <x:v>51</x:v>
      </x:c>
      <x:c r="D1205" s="34" t="n">
        <x:f>Subsurface_Radargram_Data!D224</x:f>
        <x:v>13.090228036898202</x:v>
      </x:c>
      <x:c r="E1205" s="34" t="n">
        <x:f>Subsurface_Radargram_Data!A224</x:f>
        <x:v>51</x:v>
      </x:c>
      <x:c r="F1205" s="34" t="str">
        <x:f>Subsurface_Radargram_Data!E224</x:f>
      </x:c>
      <x:c r="G1205" s="34" t="n">
        <x:f>Subsurface_Radargram_Data!A224</x:f>
        <x:v>51</x:v>
      </x:c>
      <x:c r="H1205" s="34" t="n">
        <x:f>Subsurface_Radargram_Data!F224</x:f>
        <x:v>173.96154458333908</x:v>
      </x:c>
    </x:row>
    <x:row r="1206">
      <x:c r="A1206" s="34" t="n">
        <x:f>Subsurface_Radargram_Data!A225</x:f>
        <x:v>51.5</x:v>
      </x:c>
      <x:c r="B1206" s="34" t="n">
        <x:f>Subsurface_Radargram_Data!C225</x:f>
        <x:v>12.267835342197955</x:v>
      </x:c>
      <x:c r="C1206" s="34" t="n">
        <x:f>Subsurface_Radargram_Data!A225</x:f>
        <x:v>51.5</x:v>
      </x:c>
      <x:c r="D1206" s="34" t="n">
        <x:f>Subsurface_Radargram_Data!D225</x:f>
        <x:v>12.780547051105831</x:v>
      </x:c>
      <x:c r="E1206" s="34" t="n">
        <x:f>Subsurface_Radargram_Data!A225</x:f>
        <x:v>51.5</x:v>
      </x:c>
      <x:c r="F1206" s="34" t="str">
        <x:f>Subsurface_Radargram_Data!E225</x:f>
      </x:c>
      <x:c r="G1206" s="34" t="n">
        <x:f>Subsurface_Radargram_Data!A225</x:f>
        <x:v>51.5</x:v>
      </x:c>
      <x:c r="H1206" s="34" t="n">
        <x:f>Subsurface_Radargram_Data!F225</x:f>
        <x:v>174.0076871109721</x:v>
      </x:c>
    </x:row>
    <x:row r="1207">
      <x:c r="A1207" s="34" t="n">
        <x:f>Subsurface_Radargram_Data!A226</x:f>
        <x:v>52</x:v>
      </x:c>
      <x:c r="B1207" s="34" t="n">
        <x:f>Subsurface_Radargram_Data!C226</x:f>
        <x:v>12.13445896335515</x:v>
      </x:c>
      <x:c r="C1207" s="34" t="n">
        <x:f>Subsurface_Radargram_Data!A226</x:f>
        <x:v>52</x:v>
      </x:c>
      <x:c r="D1207" s="34" t="n">
        <x:f>Subsurface_Radargram_Data!D226</x:f>
        <x:v>12.473457077498425</x:v>
      </x:c>
      <x:c r="E1207" s="34" t="n">
        <x:f>Subsurface_Radargram_Data!A226</x:f>
        <x:v>52</x:v>
      </x:c>
      <x:c r="F1207" s="34" t="str">
        <x:f>Subsurface_Radargram_Data!E226</x:f>
      </x:c>
      <x:c r="G1207" s="34" t="n">
        <x:f>Subsurface_Radargram_Data!A226</x:f>
        <x:v>52</x:v>
      </x:c>
      <x:c r="H1207" s="34" t="n">
        <x:f>Subsurface_Radargram_Data!F226</x:f>
        <x:v>174.08044713610147</x:v>
      </x:c>
    </x:row>
    <x:row r="1208">
      <x:c r="A1208" s="34" t="n">
        <x:f>Subsurface_Radargram_Data!A227</x:f>
        <x:v>52.5</x:v>
      </x:c>
      <x:c r="B1208" s="34" t="n">
        <x:f>Subsurface_Radargram_Data!C227</x:f>
        <x:v>12</x:v>
      </x:c>
      <x:c r="C1208" s="34" t="n">
        <x:f>Subsurface_Radargram_Data!A227</x:f>
        <x:v>52.5</x:v>
      </x:c>
      <x:c r="D1208" s="34" t="n">
        <x:f>Subsurface_Radargram_Data!D227</x:f>
        <x:v>12.174616017488649</x:v>
      </x:c>
      <x:c r="E1208" s="34" t="n">
        <x:f>Subsurface_Radargram_Data!A227</x:f>
        <x:v>52.5</x:v>
      </x:c>
      <x:c r="F1208" s="34" t="str">
        <x:f>Subsurface_Radargram_Data!E227</x:f>
      </x:c>
      <x:c r="G1208" s="34" t="n">
        <x:f>Subsurface_Radargram_Data!A227</x:f>
        <x:v>52.5</x:v>
      </x:c>
      <x:c r="H1208" s="34" t="n">
        <x:f>Subsurface_Radargram_Data!F227</x:f>
        <x:v>174.17099375217242</x:v>
      </x:c>
    </x:row>
    <x:row r="1209">
      <x:c r="A1209" s="34" t="n">
        <x:f>Subsurface_Radargram_Data!A228</x:f>
        <x:v>53</x:v>
      </x:c>
      <x:c r="B1209" s="34" t="n">
        <x:f>Subsurface_Radargram_Data!C228</x:f>
        <x:v>11.865541036644851</x:v>
      </x:c>
      <x:c r="C1209" s="34" t="n">
        <x:f>Subsurface_Radargram_Data!A228</x:f>
        <x:v>53</x:v>
      </x:c>
      <x:c r="D1209" s="34" t="n">
        <x:f>Subsurface_Radargram_Data!D228</x:f>
        <x:v>11.902745355897315</x:v>
      </x:c>
      <x:c r="E1209" s="34" t="n">
        <x:f>Subsurface_Radargram_Data!A228</x:f>
        <x:v>53</x:v>
      </x:c>
      <x:c r="F1209" s="34" t="str">
        <x:f>Subsurface_Radargram_Data!E228</x:f>
      </x:c>
      <x:c r="G1209" s="34" t="n">
        <x:f>Subsurface_Radargram_Data!A228</x:f>
        <x:v>53</x:v>
      </x:c>
      <x:c r="H1209" s="34" t="n">
        <x:f>Subsurface_Radargram_Data!F228</x:f>
        <x:v>174.22425997698167</x:v>
      </x:c>
    </x:row>
    <x:row r="1210">
      <x:c r="A1210" s="34" t="n">
        <x:f>Subsurface_Radargram_Data!A229</x:f>
        <x:v>53.5</x:v>
      </x:c>
      <x:c r="B1210" s="34" t="n">
        <x:f>Subsurface_Radargram_Data!C229</x:f>
        <x:v>11.732164657802045</x:v>
      </x:c>
      <x:c r="C1210" s="34" t="n">
        <x:f>Subsurface_Radargram_Data!A229</x:f>
        <x:v>53.5</x:v>
      </x:c>
      <x:c r="D1210" s="34" t="n">
        <x:f>Subsurface_Radargram_Data!D229</x:f>
        <x:v>11.639800395716541</x:v>
      </x:c>
      <x:c r="E1210" s="34" t="n">
        <x:f>Subsurface_Radargram_Data!A229</x:f>
        <x:v>53.5</x:v>
      </x:c>
      <x:c r="F1210" s="34" t="str">
        <x:f>Subsurface_Radargram_Data!E229</x:f>
      </x:c>
      <x:c r="G1210" s="34" t="n">
        <x:f>Subsurface_Radargram_Data!A229</x:f>
        <x:v>53.5</x:v>
      </x:c>
      <x:c r="H1210" s="34" t="n">
        <x:f>Subsurface_Radargram_Data!F229</x:f>
        <x:v>174.3131951345992</x:v>
      </x:c>
    </x:row>
    <x:row r="1211">
      <x:c r="A1211" s="34" t="n">
        <x:f>Subsurface_Radargram_Data!A230</x:f>
        <x:v>54</x:v>
      </x:c>
      <x:c r="B1211" s="34" t="n">
        <x:f>Subsurface_Radargram_Data!C230</x:f>
        <x:v>11.600944731649989</x:v>
      </x:c>
      <x:c r="C1211" s="34" t="n">
        <x:f>Subsurface_Radargram_Data!A230</x:f>
        <x:v>54</x:v>
      </x:c>
      <x:c r="D1211" s="34" t="n">
        <x:f>Subsurface_Radargram_Data!D230</x:f>
        <x:v>11.400386321786662</x:v>
      </x:c>
      <x:c r="E1211" s="34" t="n">
        <x:f>Subsurface_Radargram_Data!A230</x:f>
        <x:v>54</x:v>
      </x:c>
      <x:c r="F1211" s="34" t="str">
        <x:f>Subsurface_Radargram_Data!E230</x:f>
      </x:c>
      <x:c r="G1211" s="34" t="n">
        <x:f>Subsurface_Radargram_Data!A230</x:f>
        <x:v>54</x:v>
      </x:c>
      <x:c r="H1211" s="34" t="n">
        <x:f>Subsurface_Radargram_Data!F230</x:f>
        <x:v>174.39566527259512</x:v>
      </x:c>
    </x:row>
    <x:row r="1212">
      <x:c r="A1212" s="34" t="n">
        <x:f>Subsurface_Radargram_Data!A231</x:f>
        <x:v>54.5</x:v>
      </x:c>
      <x:c r="B1212" s="34" t="n">
        <x:f>Subsurface_Radargram_Data!C231</x:f>
        <x:v>11.472937763877987</x:v>
      </x:c>
      <x:c r="C1212" s="34" t="n">
        <x:f>Subsurface_Radargram_Data!A231</x:f>
        <x:v>54.5</x:v>
      </x:c>
      <x:c r="D1212" s="34" t="n">
        <x:f>Subsurface_Radargram_Data!D231</x:f>
        <x:v>11.183035029973272</x:v>
      </x:c>
      <x:c r="E1212" s="34" t="n">
        <x:f>Subsurface_Radargram_Data!A231</x:f>
        <x:v>54.5</x:v>
      </x:c>
      <x:c r="F1212" s="34" t="str">
        <x:f>Subsurface_Radargram_Data!E231</x:f>
      </x:c>
      <x:c r="G1212" s="34" t="n">
        <x:f>Subsurface_Radargram_Data!A231</x:f>
        <x:v>54.5</x:v>
      </x:c>
      <x:c r="H1212" s="34" t="n">
        <x:f>Subsurface_Radargram_Data!F231</x:f>
        <x:v>174.48485170425977</x:v>
      </x:c>
    </x:row>
    <x:row r="1213">
      <x:c r="A1213" s="34" t="n">
        <x:f>Subsurface_Radargram_Data!A232</x:f>
        <x:v>55</x:v>
      </x:c>
      <x:c r="B1213" s="34" t="n">
        <x:f>Subsurface_Radargram_Data!C232</x:f>
        <x:v>11.349174391323663</x:v>
      </x:c>
      <x:c r="C1213" s="34" t="n">
        <x:f>Subsurface_Radargram_Data!A232</x:f>
        <x:v>55</x:v>
      </x:c>
      <x:c r="D1213" s="34" t="n">
        <x:f>Subsurface_Radargram_Data!D232</x:f>
        <x:v>11.000406643402389</x:v>
      </x:c>
      <x:c r="E1213" s="34" t="n">
        <x:f>Subsurface_Radargram_Data!A232</x:f>
        <x:v>55</x:v>
      </x:c>
      <x:c r="F1213" s="34" t="str">
        <x:f>Subsurface_Radargram_Data!E232</x:f>
      </x:c>
      <x:c r="G1213" s="34" t="n">
        <x:f>Subsurface_Radargram_Data!A232</x:f>
        <x:v>55</x:v>
      </x:c>
      <x:c r="H1213" s="34" t="n">
        <x:f>Subsurface_Radargram_Data!F232</x:f>
        <x:v>174.54342616159596</x:v>
      </x:c>
    </x:row>
    <x:row r="1214">
      <x:c r="A1214" s="34" t="n">
        <x:f>Subsurface_Radargram_Data!A233</x:f>
        <x:v>55.5</x:v>
      </x:c>
      <x:c r="B1214" s="34" t="n">
        <x:f>Subsurface_Radargram_Data!C233</x:f>
        <x:v>11.230651083891141</x:v>
      </x:c>
      <x:c r="C1214" s="34" t="n">
        <x:f>Subsurface_Radargram_Data!A233</x:f>
        <x:v>55.5</x:v>
      </x:c>
      <x:c r="D1214" s="34" t="n">
        <x:f>Subsurface_Radargram_Data!D233</x:f>
        <x:v>10.837974676482414</x:v>
      </x:c>
      <x:c r="E1214" s="34" t="n">
        <x:f>Subsurface_Radargram_Data!A233</x:f>
        <x:v>55.5</x:v>
      </x:c>
      <x:c r="F1214" s="34" t="str">
        <x:f>Subsurface_Radargram_Data!E233</x:f>
      </x:c>
      <x:c r="G1214" s="34" t="n">
        <x:f>Subsurface_Radargram_Data!A233</x:f>
        <x:v>55.5</x:v>
      </x:c>
      <x:c r="H1214" s="34" t="n">
        <x:f>Subsurface_Radargram_Data!F233</x:f>
        <x:v>174.6280482120383</x:v>
      </x:c>
    </x:row>
    <x:row r="1215">
      <x:c r="A1215" s="34" t="n">
        <x:f>Subsurface_Radargram_Data!A234</x:f>
        <x:v>56</x:v>
      </x:c>
      <x:c r="B1215" s="34" t="n">
        <x:f>Subsurface_Radargram_Data!C234</x:f>
        <x:v>11.118322121561292</x:v>
      </x:c>
      <x:c r="C1215" s="34" t="n">
        <x:f>Subsurface_Radargram_Data!A234</x:f>
        <x:v>56</x:v>
      </x:c>
      <x:c r="D1215" s="34" t="n">
        <x:f>Subsurface_Radargram_Data!D234</x:f>
        <x:v>10.710560520404908</x:v>
      </x:c>
      <x:c r="E1215" s="34" t="n">
        <x:f>Subsurface_Radargram_Data!A234</x:f>
        <x:v>56</x:v>
      </x:c>
      <x:c r="F1215" s="34" t="str">
        <x:f>Subsurface_Radargram_Data!E234</x:f>
      </x:c>
      <x:c r="G1215" s="34" t="n">
        <x:f>Subsurface_Radargram_Data!A234</x:f>
        <x:v>56</x:v>
      </x:c>
      <x:c r="H1215" s="34" t="n">
        <x:f>Subsurface_Radargram_Data!F234</x:f>
        <x:v>174.691406864685</x:v>
      </x:c>
    </x:row>
    <x:row r="1216">
      <x:c r="A1216" s="34" t="n">
        <x:f>Subsurface_Radargram_Data!A235</x:f>
        <x:v>56.5</x:v>
      </x:c>
      <x:c r="B1216" s="34" t="n">
        <x:f>Subsurface_Radargram_Data!C235</x:f>
        <x:v>11.01309191109043</x:v>
      </x:c>
      <x:c r="C1216" s="34" t="n">
        <x:f>Subsurface_Radargram_Data!A235</x:f>
        <x:v>56.5</x:v>
      </x:c>
      <x:c r="D1216" s="34" t="n">
        <x:f>Subsurface_Radargram_Data!D235</x:f>
        <x:v>10.613801250018454</x:v>
      </x:c>
      <x:c r="E1216" s="34" t="n">
        <x:f>Subsurface_Radargram_Data!A235</x:f>
        <x:v>56.5</x:v>
      </x:c>
      <x:c r="F1216" s="34" t="str">
        <x:f>Subsurface_Radargram_Data!E235</x:f>
      </x:c>
      <x:c r="G1216" s="34" t="n">
        <x:f>Subsurface_Radargram_Data!A235</x:f>
        <x:v>56.5</x:v>
      </x:c>
      <x:c r="H1216" s="34" t="n">
        <x:f>Subsurface_Radargram_Data!F235</x:f>
        <x:v>174.75201388608633</x:v>
      </x:c>
    </x:row>
    <x:row r="1217">
      <x:c r="A1217" s="34" t="n">
        <x:f>Subsurface_Radargram_Data!A236</x:f>
        <x:v>57</x:v>
      </x:c>
      <x:c r="B1217" s="34" t="n">
        <x:f>Subsurface_Radargram_Data!C236</x:f>
        <x:v>10.915807704258913</x:v>
      </x:c>
      <x:c r="C1217" s="34" t="n">
        <x:f>Subsurface_Radargram_Data!A236</x:f>
        <x:v>57</x:v>
      </x:c>
      <x:c r="D1217" s="34" t="n">
        <x:f>Subsurface_Radargram_Data!D236</x:f>
        <x:v>10.552491350082583</x:v>
      </x:c>
      <x:c r="E1217" s="34" t="n">
        <x:f>Subsurface_Radargram_Data!A236</x:f>
        <x:v>57</x:v>
      </x:c>
      <x:c r="F1217" s="34" t="str">
        <x:f>Subsurface_Radargram_Data!E236</x:f>
      </x:c>
      <x:c r="G1217" s="34" t="n">
        <x:f>Subsurface_Radargram_Data!A236</x:f>
        <x:v>57</x:v>
      </x:c>
      <x:c r="H1217" s="34" t="n">
        <x:f>Subsurface_Radargram_Data!F236</x:f>
        <x:v>174.79495796039058</x:v>
      </x:c>
    </x:row>
    <x:row r="1218">
      <x:c r="A1218" s="34" t="n">
        <x:f>Subsurface_Radargram_Data!A237</x:f>
        <x:v>57.5</x:v>
      </x:c>
      <x:c r="B1218" s="34" t="n">
        <x:f>Subsurface_Radargram_Data!C237</x:f>
        <x:v>10.827252776297955</x:v>
      </x:c>
      <x:c r="C1218" s="34" t="n">
        <x:f>Subsurface_Radargram_Data!A237</x:f>
        <x:v>57.5</x:v>
      </x:c>
      <x:c r="D1218" s="34" t="n">
        <x:f>Subsurface_Radargram_Data!D237</x:f>
        <x:v>10.507693418828676</x:v>
      </x:c>
      <x:c r="E1218" s="34" t="n">
        <x:f>Subsurface_Radargram_Data!A237</x:f>
        <x:v>57.5</x:v>
      </x:c>
      <x:c r="F1218" s="34" t="str">
        <x:f>Subsurface_Radargram_Data!E237</x:f>
      </x:c>
      <x:c r="G1218" s="34" t="n">
        <x:f>Subsurface_Radargram_Data!A237</x:f>
        <x:v>57.5</x:v>
      </x:c>
      <x:c r="H1218" s="34" t="n">
        <x:f>Subsurface_Radargram_Data!F237</x:f>
        <x:v>174.8869879041961</x:v>
      </x:c>
    </x:row>
    <x:row r="1219">
      <x:c r="A1219" s="34" t="n">
        <x:f>Subsurface_Radargram_Data!A238</x:f>
        <x:v>58</x:v>
      </x:c>
      <x:c r="B1219" s="34" t="n">
        <x:f>Subsurface_Radargram_Data!C238</x:f>
        <x:v>10.748140119418046</x:v>
      </x:c>
      <x:c r="C1219" s="34" t="n">
        <x:f>Subsurface_Radargram_Data!A238</x:f>
        <x:v>58</x:v>
      </x:c>
      <x:c r="D1219" s="34" t="n">
        <x:f>Subsurface_Radargram_Data!D238</x:f>
        <x:v>10.513326240619643</x:v>
      </x:c>
      <x:c r="E1219" s="34" t="n">
        <x:f>Subsurface_Radargram_Data!A238</x:f>
        <x:v>58</x:v>
      </x:c>
      <x:c r="F1219" s="34" t="str">
        <x:f>Subsurface_Radargram_Data!E238</x:f>
      </x:c>
      <x:c r="G1219" s="34" t="n">
        <x:f>Subsurface_Radargram_Data!A238</x:f>
        <x:v>58</x:v>
      </x:c>
      <x:c r="H1219" s="34" t="n">
        <x:f>Subsurface_Radargram_Data!F238</x:f>
        <x:v>174.9084461456891</x:v>
      </x:c>
    </x:row>
    <x:row r="1220">
      <x:c r="A1220" s="34" t="n">
        <x:f>Subsurface_Radargram_Data!A239</x:f>
        <x:v>58.5</x:v>
      </x:c>
      <x:c r="B1220" s="34" t="n">
        <x:f>Subsurface_Radargram_Data!C239</x:f>
        <x:v>10.679106702214893</x:v>
      </x:c>
      <x:c r="C1220" s="34" t="n">
        <x:f>Subsurface_Radargram_Data!A239</x:f>
        <x:v>58.5</x:v>
      </x:c>
      <x:c r="D1220" s="34" t="n">
        <x:f>Subsurface_Radargram_Data!D239</x:f>
        <x:v>10.539829452026897</x:v>
      </x:c>
      <x:c r="E1220" s="34" t="n">
        <x:f>Subsurface_Radargram_Data!A239</x:f>
        <x:v>58.5</x:v>
      </x:c>
      <x:c r="F1220" s="34" t="str">
        <x:f>Subsurface_Radargram_Data!E239</x:f>
      </x:c>
      <x:c r="G1220" s="34" t="n">
        <x:f>Subsurface_Radargram_Data!A239</x:f>
        <x:v>58.5</x:v>
      </x:c>
      <x:c r="H1220" s="34" t="n">
        <x:f>Subsurface_Radargram_Data!F239</x:f>
        <x:v>174.96045541975292</x:v>
      </x:c>
    </x:row>
    <x:row r="1221">
      <x:c r="A1221" s="34" t="n">
        <x:f>Subsurface_Radargram_Data!A240</x:f>
        <x:v>59</x:v>
      </x:c>
      <x:c r="B1221" s="34" t="n">
        <x:f>Subsurface_Radargram_Data!C240</x:f>
        <x:v>10.620708341172824</x:v>
      </x:c>
      <x:c r="C1221" s="34" t="n">
        <x:f>Subsurface_Radargram_Data!A240</x:f>
        <x:v>59</x:v>
      </x:c>
      <x:c r="D1221" s="34" t="n">
        <x:f>Subsurface_Radargram_Data!D240</x:f>
        <x:v>10.602439699080323</x:v>
      </x:c>
      <x:c r="E1221" s="34" t="n">
        <x:f>Subsurface_Radargram_Data!A240</x:f>
        <x:v>59</x:v>
      </x:c>
      <x:c r="F1221" s="34" t="str">
        <x:f>Subsurface_Radargram_Data!E240</x:f>
      </x:c>
      <x:c r="G1221" s="34" t="n">
        <x:f>Subsurface_Radargram_Data!A240</x:f>
        <x:v>59</x:v>
      </x:c>
      <x:c r="H1221" s="34" t="n">
        <x:f>Subsurface_Radargram_Data!F240</x:f>
        <x:v>174.98598642378494</x:v>
      </x:c>
    </x:row>
    <x:row r="1222">
      <x:c r="A1222" s="34" t="n">
        <x:f>Subsurface_Radargram_Data!A241</x:f>
        <x:v>59.5</x:v>
      </x:c>
      <x:c r="B1222" s="34" t="n">
        <x:f>Subsurface_Radargram_Data!C241</x:f>
        <x:v>10.57341522555727</x:v>
      </x:c>
      <x:c r="C1222" s="34" t="n">
        <x:f>Subsurface_Radargram_Data!A241</x:f>
        <x:v>59.5</x:v>
      </x:c>
      <x:c r="D1222" s="34" t="n">
        <x:f>Subsurface_Radargram_Data!D241</x:f>
        <x:v>10.679993172462208</x:v>
      </x:c>
      <x:c r="E1222" s="34" t="n">
        <x:f>Subsurface_Radargram_Data!A241</x:f>
        <x:v>59.5</x:v>
      </x:c>
      <x:c r="F1222" s="34" t="str">
        <x:f>Subsurface_Radargram_Data!E241</x:f>
      </x:c>
      <x:c r="G1222" s="34" t="n">
        <x:f>Subsurface_Radargram_Data!A241</x:f>
        <x:v>59.5</x:v>
      </x:c>
      <x:c r="H1222" s="34" t="n">
        <x:f>Subsurface_Radargram_Data!F241</x:f>
        <x:v>175.05410386767994</x:v>
      </x:c>
    </x:row>
    <x:row r="1223">
      <x:c r="A1223" s="34" t="n">
        <x:f>Subsurface_Radargram_Data!A242</x:f>
        <x:v>60</x:v>
      </x:c>
      <x:c r="B1223" s="34" t="n">
        <x:f>Subsurface_Radargram_Data!C242</x:f>
        <x:v>10.537608131727264</x:v>
      </x:c>
      <x:c r="C1223" s="34" t="n">
        <x:f>Subsurface_Radargram_Data!A242</x:f>
        <x:v>60</x:v>
      </x:c>
      <x:c r="D1223" s="34" t="n">
        <x:f>Subsurface_Radargram_Data!D242</x:f>
        <x:v>10.801823161458325</x:v>
      </x:c>
      <x:c r="E1223" s="34" t="n">
        <x:f>Subsurface_Radargram_Data!A242</x:f>
        <x:v>60</x:v>
      </x:c>
      <x:c r="F1223" s="34" t="n">
        <x:f>Subsurface_Radargram_Data!E242</x:f>
        <x:v>0</x:v>
      </x:c>
      <x:c r="G1223" s="34" t="n">
        <x:f>Subsurface_Radargram_Data!A242</x:f>
        <x:v>60</x:v>
      </x:c>
      <x:c r="H1223" s="34" t="n">
        <x:f>Subsurface_Radargram_Data!F242</x:f>
        <x:v>175.05589986884888</x:v>
      </x:c>
    </x:row>
    <x:row r="1226" s="73" customFormat="1" ht="15.600000381469727" customHeight="1">
      <x:c r="A1226" s="32" t="inlineStr">
        <x:is>
          <x:t xml:space="preserve">Detectability Margin vs Threshold</x:t>
        </x:is>
      </x:c>
    </x:row>
    <x:row r="1227">
      <x:c r="A1227" s="33" t="inlineStr">
        <x:is>
          <x:t xml:space="preserve">Lens echo margin x</x:t>
        </x:is>
      </x:c>
      <x:c r="B1227" s="33" t="inlineStr">
        <x:is>
          <x:t xml:space="preserve">Lens echo margin</x:t>
        </x:is>
      </x:c>
      <x:c r="C1227" s="33" t="inlineStr">
        <x:is>
          <x:t xml:space="preserve">Ocean echo margin x</x:t>
        </x:is>
      </x:c>
      <x:c r="D1227" s="33" t="inlineStr">
        <x:is>
          <x:t xml:space="preserve">Ocean echo margin</x:t>
        </x:is>
      </x:c>
      <x:c r="E1227" s="33" t="inlineStr">
        <x:is>
          <x:t xml:space="preserve">Zero margin threshold x</x:t>
        </x:is>
      </x:c>
      <x:c r="F1227" s="33" t="inlineStr">
        <x:is>
          <x:t xml:space="preserve">Zero margin threshold</x:t>
        </x:is>
      </x:c>
    </x:row>
    <x:row r="1228">
      <x:c r="A1228" s="34" t="n">
        <x:f>Subsurface_Live_Data!A2</x:f>
        <x:v>-60</x:v>
      </x:c>
      <x:c r="B1228" s="34" t="n">
        <x:f>Subsurface_Live_Data!X2</x:f>
        <x:v>10.952836472302153</x:v>
      </x:c>
      <x:c r="C1228" s="34" t="n">
        <x:f>Subsurface_Live_Data!A2</x:f>
        <x:v>-60</x:v>
      </x:c>
      <x:c r="D1228" s="34" t="n">
        <x:f>Subsurface_Live_Data!Y2</x:f>
        <x:v>11.458819592406535</x:v>
      </x:c>
      <x:c r="E1228" s="34" t="n">
        <x:f>Subsurface_Live_Data!A2</x:f>
        <x:v>-60</x:v>
      </x:c>
      <x:c r="F1228" s="34" t="n">
        <x:f>Subsurface_Live_Data!AA2</x:f>
        <x:v>0</x:v>
      </x:c>
    </x:row>
    <x:row r="1229">
      <x:c r="A1229" s="34" t="n">
        <x:f>Subsurface_Live_Data!A3</x:f>
        <x:v>-59.5</x:v>
      </x:c>
      <x:c r="B1229" s="34" t="n">
        <x:f>Subsurface_Live_Data!X3</x:f>
        <x:v>10.944054447678369</x:v>
      </x:c>
      <x:c r="C1229" s="34" t="n">
        <x:f>Subsurface_Live_Data!A3</x:f>
        <x:v>-59.5</x:v>
      </x:c>
      <x:c r="D1229" s="34" t="n">
        <x:f>Subsurface_Live_Data!Y3</x:f>
        <x:v>11.516671286898948</x:v>
      </x:c>
      <x:c r="E1229" s="34" t="n">
        <x:f>Subsurface_Live_Data!A3</x:f>
        <x:v>-59.5</x:v>
      </x:c>
      <x:c r="F1229" s="34" t="n">
        <x:f>Subsurface_Live_Data!AA3</x:f>
        <x:v>0</x:v>
      </x:c>
    </x:row>
    <x:row r="1230">
      <x:c r="A1230" s="34" t="n">
        <x:f>Subsurface_Live_Data!A4</x:f>
        <x:v>-59</x:v>
      </x:c>
      <x:c r="B1230" s="34" t="n">
        <x:f>Subsurface_Live_Data!X4</x:f>
        <x:v>10.937059523671223</x:v>
      </x:c>
      <x:c r="C1230" s="34" t="n">
        <x:f>Subsurface_Live_Data!A4</x:f>
        <x:v>-59</x:v>
      </x:c>
      <x:c r="D1230" s="34" t="n">
        <x:f>Subsurface_Live_Data!Y4</x:f>
        <x:v>11.526344830412192</x:v>
      </x:c>
      <x:c r="E1230" s="34" t="n">
        <x:f>Subsurface_Live_Data!A4</x:f>
        <x:v>-59</x:v>
      </x:c>
      <x:c r="F1230" s="34" t="n">
        <x:f>Subsurface_Live_Data!AA4</x:f>
        <x:v>0</x:v>
      </x:c>
    </x:row>
    <x:row r="1231">
      <x:c r="A1231" s="34" t="n">
        <x:f>Subsurface_Live_Data!A5</x:f>
        <x:v>-58.5</x:v>
      </x:c>
      <x:c r="B1231" s="34" t="n">
        <x:f>Subsurface_Live_Data!X5</x:f>
        <x:v>10.93194128814892</x:v>
      </x:c>
      <x:c r="C1231" s="34" t="n">
        <x:f>Subsurface_Live_Data!A5</x:f>
        <x:v>-58.5</x:v>
      </x:c>
      <x:c r="D1231" s="34" t="n">
        <x:f>Subsurface_Live_Data!Y5</x:f>
        <x:v>11.453021717594417</x:v>
      </x:c>
      <x:c r="E1231" s="34" t="n">
        <x:f>Subsurface_Live_Data!A5</x:f>
        <x:v>-58.5</x:v>
      </x:c>
      <x:c r="F1231" s="34" t="n">
        <x:f>Subsurface_Live_Data!AA5</x:f>
        <x:v>0</x:v>
      </x:c>
    </x:row>
    <x:row r="1232">
      <x:c r="A1232" s="34" t="n">
        <x:f>Subsurface_Live_Data!A6</x:f>
        <x:v>-58</x:v>
      </x:c>
      <x:c r="B1232" s="34" t="n">
        <x:f>Subsurface_Live_Data!X6</x:f>
        <x:v>10.928797138026908</x:v>
      </x:c>
      <x:c r="C1232" s="34" t="n">
        <x:f>Subsurface_Live_Data!A6</x:f>
        <x:v>-58</x:v>
      </x:c>
      <x:c r="D1232" s="34" t="n">
        <x:f>Subsurface_Live_Data!Y6</x:f>
        <x:v>11.532767729891418</x:v>
      </x:c>
      <x:c r="E1232" s="34" t="n">
        <x:f>Subsurface_Live_Data!A6</x:f>
        <x:v>-58</x:v>
      </x:c>
      <x:c r="F1232" s="34" t="n">
        <x:f>Subsurface_Live_Data!AA6</x:f>
        <x:v>0</x:v>
      </x:c>
    </x:row>
    <x:row r="1233">
      <x:c r="A1233" s="34" t="n">
        <x:f>Subsurface_Live_Data!A7</x:f>
        <x:v>-57.5</x:v>
      </x:c>
      <x:c r="B1233" s="34" t="n">
        <x:f>Subsurface_Live_Data!X7</x:f>
        <x:v>10.927733189025219</x:v>
      </x:c>
      <x:c r="C1233" s="34" t="n">
        <x:f>Subsurface_Live_Data!A7</x:f>
        <x:v>-57.5</x:v>
      </x:c>
      <x:c r="D1233" s="34" t="n">
        <x:f>Subsurface_Live_Data!Y7</x:f>
        <x:v>11.468900738164486</x:v>
      </x:c>
      <x:c r="E1233" s="34" t="n">
        <x:f>Subsurface_Live_Data!A7</x:f>
        <x:v>-57.5</x:v>
      </x:c>
      <x:c r="F1233" s="34" t="n">
        <x:f>Subsurface_Live_Data!AA7</x:f>
        <x:v>0</x:v>
      </x:c>
    </x:row>
    <x:row r="1234">
      <x:c r="A1234" s="34" t="n">
        <x:f>Subsurface_Live_Data!A8</x:f>
        <x:v>-57</x:v>
      </x:c>
      <x:c r="B1234" s="34" t="n">
        <x:f>Subsurface_Live_Data!X8</x:f>
        <x:v>10.92886521758934</x:v>
      </x:c>
      <x:c r="C1234" s="34" t="n">
        <x:f>Subsurface_Live_Data!A8</x:f>
        <x:v>-57</x:v>
      </x:c>
      <x:c r="D1234" s="34" t="n">
        <x:f>Subsurface_Live_Data!Y8</x:f>
        <x:v>11.491498763485254</x:v>
      </x:c>
      <x:c r="E1234" s="34" t="n">
        <x:f>Subsurface_Live_Data!A8</x:f>
        <x:v>-57</x:v>
      </x:c>
      <x:c r="F1234" s="34" t="n">
        <x:f>Subsurface_Live_Data!AA8</x:f>
        <x:v>0</x:v>
      </x:c>
    </x:row>
    <x:row r="1235">
      <x:c r="A1235" s="34" t="n">
        <x:f>Subsurface_Live_Data!A9</x:f>
        <x:v>-56.5</x:v>
      </x:c>
      <x:c r="B1235" s="34" t="n">
        <x:f>Subsurface_Live_Data!X9</x:f>
        <x:v>10.932319624829589</x:v>
      </x:c>
      <x:c r="C1235" s="34" t="n">
        <x:f>Subsurface_Live_Data!A9</x:f>
        <x:v>-56.5</x:v>
      </x:c>
      <x:c r="D1235" s="34" t="n">
        <x:f>Subsurface_Live_Data!Y9</x:f>
        <x:v>11.489844684066966</x:v>
      </x:c>
      <x:c r="E1235" s="34" t="n">
        <x:f>Subsurface_Live_Data!A9</x:f>
        <x:v>-56.5</x:v>
      </x:c>
      <x:c r="F1235" s="34" t="n">
        <x:f>Subsurface_Live_Data!AA9</x:f>
        <x:v>0</x:v>
      </x:c>
    </x:row>
    <x:row r="1236">
      <x:c r="A1236" s="34" t="n">
        <x:f>Subsurface_Live_Data!A10</x:f>
        <x:v>-56</x:v>
      </x:c>
      <x:c r="B1236" s="34" t="n">
        <x:f>Subsurface_Live_Data!X10</x:f>
        <x:v>10.938234410084853</x:v>
      </x:c>
      <x:c r="C1236" s="34" t="n">
        <x:f>Subsurface_Live_Data!A10</x:f>
        <x:v>-56</x:v>
      </x:c>
      <x:c r="D1236" s="34" t="n">
        <x:f>Subsurface_Live_Data!Y10</x:f>
        <x:v>11.393928747671595</x:v>
      </x:c>
      <x:c r="E1236" s="34" t="n">
        <x:f>Subsurface_Live_Data!A10</x:f>
        <x:v>-56</x:v>
      </x:c>
      <x:c r="F1236" s="34" t="n">
        <x:f>Subsurface_Live_Data!AA10</x:f>
        <x:v>0</x:v>
      </x:c>
    </x:row>
    <x:row r="1237">
      <x:c r="A1237" s="34" t="n">
        <x:f>Subsurface_Live_Data!A11</x:f>
        <x:v>-55.5</x:v>
      </x:c>
      <x:c r="B1237" s="34" t="n">
        <x:f>Subsurface_Live_Data!X11</x:f>
        <x:v>10.94676013932515</x:v>
      </x:c>
      <x:c r="C1237" s="34" t="n">
        <x:f>Subsurface_Live_Data!A11</x:f>
        <x:v>-55.5</x:v>
      </x:c>
      <x:c r="D1237" s="34" t="n">
        <x:f>Subsurface_Live_Data!Y11</x:f>
        <x:v>11.435776008351418</x:v>
      </x:c>
      <x:c r="E1237" s="34" t="n">
        <x:f>Subsurface_Live_Data!A11</x:f>
        <x:v>-55.5</x:v>
      </x:c>
      <x:c r="F1237" s="34" t="n">
        <x:f>Subsurface_Live_Data!AA11</x:f>
        <x:v>0</x:v>
      </x:c>
    </x:row>
    <x:row r="1238">
      <x:c r="A1238" s="34" t="n">
        <x:f>Subsurface_Live_Data!A12</x:f>
        <x:v>-55</x:v>
      </x:c>
      <x:c r="B1238" s="34" t="n">
        <x:f>Subsurface_Live_Data!X12</x:f>
        <x:v>10.958060891105639</x:v>
      </x:c>
      <x:c r="C1238" s="34" t="n">
        <x:f>Subsurface_Live_Data!A12</x:f>
        <x:v>-55</x:v>
      </x:c>
      <x:c r="D1238" s="34" t="n">
        <x:f>Subsurface_Live_Data!Y12</x:f>
        <x:v>11.381607957439734</x:v>
      </x:c>
      <x:c r="E1238" s="34" t="n">
        <x:f>Subsurface_Live_Data!A12</x:f>
        <x:v>-55</x:v>
      </x:c>
      <x:c r="F1238" s="34" t="n">
        <x:f>Subsurface_Live_Data!AA12</x:f>
        <x:v>0</x:v>
      </x:c>
    </x:row>
    <x:row r="1239">
      <x:c r="A1239" s="34" t="n">
        <x:f>Subsurface_Live_Data!A13</x:f>
        <x:v>-54.5</x:v>
      </x:c>
      <x:c r="B1239" s="34" t="n">
        <x:f>Subsurface_Live_Data!X13</x:f>
        <x:v>10.972315160214364</x:v>
      </x:c>
      <x:c r="C1239" s="34" t="n">
        <x:f>Subsurface_Live_Data!A13</x:f>
        <x:v>-54.5</x:v>
      </x:c>
      <x:c r="D1239" s="34" t="n">
        <x:f>Subsurface_Live_Data!Y13</x:f>
        <x:v>11.31453847230079</x:v>
      </x:c>
      <x:c r="E1239" s="34" t="n">
        <x:f>Subsurface_Live_Data!A13</x:f>
        <x:v>-54.5</x:v>
      </x:c>
      <x:c r="F1239" s="34" t="n">
        <x:f>Subsurface_Live_Data!AA13</x:f>
        <x:v>0</x:v>
      </x:c>
    </x:row>
    <x:row r="1240">
      <x:c r="A1240" s="34" t="n">
        <x:f>Subsurface_Live_Data!A14</x:f>
        <x:v>-54</x:v>
      </x:c>
      <x:c r="B1240" s="34" t="n">
        <x:f>Subsurface_Live_Data!X14</x:f>
        <x:v>10.989716696566205</x:v>
      </x:c>
      <x:c r="C1240" s="34" t="n">
        <x:f>Subsurface_Live_Data!A14</x:f>
        <x:v>-54</x:v>
      </x:c>
      <x:c r="D1240" s="34" t="n">
        <x:f>Subsurface_Live_Data!Y14</x:f>
        <x:v>11.316762719778644</x:v>
      </x:c>
      <x:c r="E1240" s="34" t="n">
        <x:f>Subsurface_Live_Data!A14</x:f>
        <x:v>-54</x:v>
      </x:c>
      <x:c r="F1240" s="34" t="n">
        <x:f>Subsurface_Live_Data!AA14</x:f>
        <x:v>0</x:v>
      </x:c>
    </x:row>
    <x:row r="1241">
      <x:c r="A1241" s="34" t="n">
        <x:f>Subsurface_Live_Data!A15</x:f>
        <x:v>-53.5</x:v>
      </x:c>
      <x:c r="B1241" s="34" t="n">
        <x:f>Subsurface_Live_Data!X15</x:f>
        <x:v>11.010475254347504</x:v>
      </x:c>
      <x:c r="C1241" s="34" t="n">
        <x:f>Subsurface_Live_Data!A15</x:f>
        <x:v>-53.5</x:v>
      </x:c>
      <x:c r="D1241" s="34" t="n">
        <x:f>Subsurface_Live_Data!Y15</x:f>
        <x:v>11.246216688552309</x:v>
      </x:c>
      <x:c r="E1241" s="34" t="n">
        <x:f>Subsurface_Live_Data!A15</x:f>
        <x:v>-53.5</x:v>
      </x:c>
      <x:c r="F1241" s="34" t="n">
        <x:f>Subsurface_Live_Data!AA15</x:f>
        <x:v>0</x:v>
      </x:c>
    </x:row>
    <x:row r="1242">
      <x:c r="A1242" s="34" t="n">
        <x:f>Subsurface_Live_Data!A16</x:f>
        <x:v>-53</x:v>
      </x:c>
      <x:c r="B1242" s="34" t="n">
        <x:f>Subsurface_Live_Data!X16</x:f>
        <x:v>11.03481722397622</x:v>
      </x:c>
      <x:c r="C1242" s="34" t="n">
        <x:f>Subsurface_Live_Data!A16</x:f>
        <x:v>-53</x:v>
      </x:c>
      <x:c r="D1242" s="34" t="n">
        <x:f>Subsurface_Live_Data!Y16</x:f>
        <x:v>11.23246928941603</x:v>
      </x:c>
      <x:c r="E1242" s="34" t="n">
        <x:f>Subsurface_Live_Data!A16</x:f>
        <x:v>-53</x:v>
      </x:c>
      <x:c r="F1242" s="34" t="n">
        <x:f>Subsurface_Live_Data!AA16</x:f>
        <x:v>0</x:v>
      </x:c>
    </x:row>
    <x:row r="1243">
      <x:c r="A1243" s="34" t="n">
        <x:f>Subsurface_Live_Data!A17</x:f>
        <x:v>-52.5</x:v>
      </x:c>
      <x:c r="B1243" s="34" t="n">
        <x:f>Subsurface_Live_Data!X17</x:f>
        <x:v>11.062986117191173</x:v>
      </x:c>
      <x:c r="C1243" s="34" t="n">
        <x:f>Subsurface_Live_Data!A17</x:f>
        <x:v>-52.5</x:v>
      </x:c>
      <x:c r="D1243" s="34" t="n">
        <x:f>Subsurface_Live_Data!Y17</x:f>
        <x:v>11.20491915673798</x:v>
      </x:c>
      <x:c r="E1243" s="34" t="n">
        <x:f>Subsurface_Live_Data!A17</x:f>
        <x:v>-52.5</x:v>
      </x:c>
      <x:c r="F1243" s="34" t="n">
        <x:f>Subsurface_Live_Data!AA17</x:f>
        <x:v>0</x:v>
      </x:c>
    </x:row>
    <x:row r="1244">
      <x:c r="A1244" s="34" t="n">
        <x:f>Subsurface_Live_Data!A18</x:f>
        <x:v>-52</x:v>
      </x:c>
      <x:c r="B1244" s="34" t="n">
        <x:f>Subsurface_Live_Data!X18</x:f>
        <x:v>11.095242873603311</x:v>
      </x:c>
      <x:c r="C1244" s="34" t="n">
        <x:f>Subsurface_Live_Data!A18</x:f>
        <x:v>-52</x:v>
      </x:c>
      <x:c r="D1244" s="34" t="n">
        <x:f>Subsurface_Live_Data!Y18</x:f>
        <x:v>11.156774948067664</x:v>
      </x:c>
      <x:c r="E1244" s="34" t="n">
        <x:f>Subsurface_Live_Data!A18</x:f>
        <x:v>-52</x:v>
      </x:c>
      <x:c r="F1244" s="34" t="n">
        <x:f>Subsurface_Live_Data!AA18</x:f>
        <x:v>0</x:v>
      </x:c>
    </x:row>
    <x:row r="1245">
      <x:c r="A1245" s="34" t="n">
        <x:f>Subsurface_Live_Data!A19</x:f>
        <x:v>-51.5</x:v>
      </x:c>
      <x:c r="B1245" s="34" t="n">
        <x:f>Subsurface_Live_Data!X19</x:f>
        <x:v>11.131865955426107</x:v>
      </x:c>
      <x:c r="C1245" s="34" t="n">
        <x:f>Subsurface_Live_Data!A19</x:f>
        <x:v>-51.5</x:v>
      </x:c>
      <x:c r="D1245" s="34" t="n">
        <x:f>Subsurface_Live_Data!Y19</x:f>
        <x:v>11.075799003422546</x:v>
      </x:c>
      <x:c r="E1245" s="34" t="n">
        <x:f>Subsurface_Live_Data!A19</x:f>
        <x:v>-51.5</x:v>
      </x:c>
      <x:c r="F1245" s="34" t="n">
        <x:f>Subsurface_Live_Data!AA19</x:f>
        <x:v>0</x:v>
      </x:c>
    </x:row>
    <x:row r="1246">
      <x:c r="A1246" s="34" t="n">
        <x:f>Subsurface_Live_Data!A20</x:f>
        <x:v>-51</x:v>
      </x:c>
      <x:c r="B1246" s="34" t="n">
        <x:f>Subsurface_Live_Data!X20</x:f>
        <x:v>11.173151195946176</x:v>
      </x:c>
      <x:c r="C1246" s="34" t="n">
        <x:f>Subsurface_Live_Data!A20</x:f>
        <x:v>-51</x:v>
      </x:c>
      <x:c r="D1246" s="34" t="n">
        <x:f>Subsurface_Live_Data!Y20</x:f>
        <x:v>11.121293541922824</x:v>
      </x:c>
      <x:c r="E1246" s="34" t="n">
        <x:f>Subsurface_Live_Data!A20</x:f>
        <x:v>-51</x:v>
      </x:c>
      <x:c r="F1246" s="34" t="n">
        <x:f>Subsurface_Live_Data!AA20</x:f>
        <x:v>0</x:v>
      </x:c>
    </x:row>
    <x:row r="1247">
      <x:c r="A1247" s="34" t="n">
        <x:f>Subsurface_Live_Data!A21</x:f>
        <x:v>-50.5</x:v>
      </x:c>
      <x:c r="B1247" s="34" t="n">
        <x:f>Subsurface_Live_Data!X21</x:f>
        <x:v>11.21941136669949</x:v>
      </x:c>
      <x:c r="C1247" s="34" t="n">
        <x:f>Subsurface_Live_Data!A21</x:f>
        <x:v>-50.5</x:v>
      </x:c>
      <x:c r="D1247" s="34" t="n">
        <x:f>Subsurface_Live_Data!Y21</x:f>
        <x:v>11.134869527092249</x:v>
      </x:c>
      <x:c r="E1247" s="34" t="n">
        <x:f>Subsurface_Live_Data!A21</x:f>
        <x:v>-50.5</x:v>
      </x:c>
      <x:c r="F1247" s="34" t="n">
        <x:f>Subsurface_Live_Data!AA21</x:f>
        <x:v>0</x:v>
      </x:c>
    </x:row>
    <x:row r="1248">
      <x:c r="A1248" s="34" t="n">
        <x:f>Subsurface_Live_Data!A22</x:f>
        <x:v>-50</x:v>
      </x:c>
      <x:c r="B1248" s="34" t="n">
        <x:f>Subsurface_Live_Data!X22</x:f>
        <x:v>11.270975428381853</x:v>
      </x:c>
      <x:c r="C1248" s="34" t="n">
        <x:f>Subsurface_Live_Data!A22</x:f>
        <x:v>-50</x:v>
      </x:c>
      <x:c r="D1248" s="34" t="n">
        <x:f>Subsurface_Live_Data!Y22</x:f>
        <x:v>11.034536351926569</x:v>
      </x:c>
      <x:c r="E1248" s="34" t="n">
        <x:f>Subsurface_Live_Data!A22</x:f>
        <x:v>-50</x:v>
      </x:c>
      <x:c r="F1248" s="34" t="n">
        <x:f>Subsurface_Live_Data!AA22</x:f>
        <x:v>0</x:v>
      </x:c>
    </x:row>
    <x:row r="1249">
      <x:c r="A1249" s="34" t="n">
        <x:f>Subsurface_Live_Data!A23</x:f>
        <x:v>-49.5</x:v>
      </x:c>
      <x:c r="B1249" s="34" t="n">
        <x:f>Subsurface_Live_Data!X23</x:f>
        <x:v>11.328187431343508</x:v>
      </x:c>
      <x:c r="C1249" s="34" t="n">
        <x:f>Subsurface_Live_Data!A23</x:f>
        <x:v>-49.5</x:v>
      </x:c>
      <x:c r="D1249" s="34" t="n">
        <x:f>Subsurface_Live_Data!Y23</x:f>
        <x:v>11.100388976915333</x:v>
      </x:c>
      <x:c r="E1249" s="34" t="n">
        <x:f>Subsurface_Live_Data!A23</x:f>
        <x:v>-49.5</x:v>
      </x:c>
      <x:c r="F1249" s="34" t="n">
        <x:f>Subsurface_Live_Data!AA23</x:f>
        <x:v>0</x:v>
      </x:c>
    </x:row>
    <x:row r="1250">
      <x:c r="A1250" s="34" t="n">
        <x:f>Subsurface_Live_Data!A24</x:f>
        <x:v>-49</x:v>
      </x:c>
      <x:c r="B1250" s="34" t="n">
        <x:f>Subsurface_Live_Data!X24</x:f>
        <x:v>11.391405033186537</x:v>
      </x:c>
      <x:c r="C1250" s="34" t="n">
        <x:f>Subsurface_Live_Data!A24</x:f>
        <x:v>-49</x:v>
      </x:c>
      <x:c r="D1250" s="34" t="n">
        <x:f>Subsurface_Live_Data!Y24</x:f>
        <x:v>11.059082032787487</x:v>
      </x:c>
      <x:c r="E1250" s="34" t="n">
        <x:f>Subsurface_Live_Data!A24</x:f>
        <x:v>-49</x:v>
      </x:c>
      <x:c r="F1250" s="34" t="n">
        <x:f>Subsurface_Live_Data!AA24</x:f>
        <x:v>0</x:v>
      </x:c>
    </x:row>
    <x:row r="1251">
      <x:c r="A1251" s="34" t="n">
        <x:f>Subsurface_Live_Data!A25</x:f>
        <x:v>-48.5</x:v>
      </x:c>
      <x:c r="B1251" s="34" t="n">
        <x:f>Subsurface_Live_Data!X25</x:f>
        <x:v>11.460997603583998</x:v>
      </x:c>
      <x:c r="C1251" s="34" t="n">
        <x:f>Subsurface_Live_Data!A25</x:f>
        <x:v>-48.5</x:v>
      </x:c>
      <x:c r="D1251" s="34" t="n">
        <x:f>Subsurface_Live_Data!Y25</x:f>
        <x:v>11.073743837819762</x:v>
      </x:c>
      <x:c r="E1251" s="34" t="n">
        <x:f>Subsurface_Live_Data!A25</x:f>
        <x:v>-48.5</x:v>
      </x:c>
      <x:c r="F1251" s="34" t="n">
        <x:f>Subsurface_Live_Data!AA25</x:f>
        <x:v>0</x:v>
      </x:c>
    </x:row>
    <x:row r="1252">
      <x:c r="A1252" s="34" t="n">
        <x:f>Subsurface_Live_Data!A26</x:f>
        <x:v>-48</x:v>
      </x:c>
      <x:c r="B1252" s="34" t="n">
        <x:f>Subsurface_Live_Data!X26</x:f>
        <x:v>11.537343890039466</x:v>
      </x:c>
      <x:c r="C1252" s="34" t="n">
        <x:f>Subsurface_Live_Data!A26</x:f>
        <x:v>-48</x:v>
      </x:c>
      <x:c r="D1252" s="34" t="n">
        <x:f>Subsurface_Live_Data!Y26</x:f>
        <x:v>11.124377416664593</x:v>
      </x:c>
      <x:c r="E1252" s="34" t="n">
        <x:f>Subsurface_Live_Data!A26</x:f>
        <x:v>-48</x:v>
      </x:c>
      <x:c r="F1252" s="34" t="n">
        <x:f>Subsurface_Live_Data!AA26</x:f>
        <x:v>0</x:v>
      </x:c>
    </x:row>
    <x:row r="1253">
      <x:c r="A1253" s="34" t="n">
        <x:f>Subsurface_Live_Data!A27</x:f>
        <x:v>-47.5</x:v>
      </x:c>
      <x:c r="B1253" s="34" t="n">
        <x:f>Subsurface_Live_Data!X27</x:f>
        <x:v>11.620829222958172</x:v>
      </x:c>
      <x:c r="C1253" s="34" t="n">
        <x:f>Subsurface_Live_Data!A27</x:f>
        <x:v>-47.5</x:v>
      </x:c>
      <x:c r="D1253" s="34" t="n">
        <x:f>Subsurface_Live_Data!Y27</x:f>
        <x:v>11.08394504464011</x:v>
      </x:c>
      <x:c r="E1253" s="34" t="n">
        <x:f>Subsurface_Live_Data!A27</x:f>
        <x:v>-47.5</x:v>
      </x:c>
      <x:c r="F1253" s="34" t="n">
        <x:f>Subsurface_Live_Data!AA27</x:f>
        <x:v>0</x:v>
      </x:c>
    </x:row>
    <x:row r="1254">
      <x:c r="A1254" s="34" t="n">
        <x:f>Subsurface_Live_Data!A28</x:f>
        <x:v>-47</x:v>
      </x:c>
      <x:c r="B1254" s="34" t="n">
        <x:f>Subsurface_Live_Data!X28</x:f>
        <x:v>11.711842244136719</x:v>
      </x:c>
      <x:c r="C1254" s="34" t="n">
        <x:f>Subsurface_Live_Data!A28</x:f>
        <x:v>-47</x:v>
      </x:c>
      <x:c r="D1254" s="34" t="n">
        <x:f>Subsurface_Live_Data!Y28</x:f>
        <x:v>11.120163596120719</x:v>
      </x:c>
      <x:c r="E1254" s="34" t="n">
        <x:f>Subsurface_Live_Data!A28</x:f>
        <x:v>-47</x:v>
      </x:c>
      <x:c r="F1254" s="34" t="n">
        <x:f>Subsurface_Live_Data!AA28</x:f>
        <x:v>0</x:v>
      </x:c>
    </x:row>
    <x:row r="1255">
      <x:c r="A1255" s="34" t="n">
        <x:f>Subsurface_Live_Data!A29</x:f>
        <x:v>-46.5</x:v>
      </x:c>
      <x:c r="B1255" s="34" t="n">
        <x:f>Subsurface_Live_Data!X29</x:f>
        <x:v>11.810771149605472</x:v>
      </x:c>
      <x:c r="C1255" s="34" t="n">
        <x:f>Subsurface_Live_Data!A29</x:f>
        <x:v>-46.5</x:v>
      </x:c>
      <x:c r="D1255" s="34" t="n">
        <x:f>Subsurface_Live_Data!Y29</x:f>
        <x:v>11.11835345536425</x:v>
      </x:c>
      <x:c r="E1255" s="34" t="n">
        <x:f>Subsurface_Live_Data!A29</x:f>
        <x:v>-46.5</x:v>
      </x:c>
      <x:c r="F1255" s="34" t="n">
        <x:f>Subsurface_Live_Data!AA29</x:f>
        <x:v>0</x:v>
      </x:c>
    </x:row>
    <x:row r="1256">
      <x:c r="A1256" s="34" t="n">
        <x:f>Subsurface_Live_Data!A30</x:f>
        <x:v>-46</x:v>
      </x:c>
      <x:c r="B1256" s="34" t="n">
        <x:f>Subsurface_Live_Data!X30</x:f>
        <x:v>11.917999445654289</x:v>
      </x:c>
      <x:c r="C1256" s="34" t="n">
        <x:f>Subsurface_Live_Data!A30</x:f>
        <x:v>-46</x:v>
      </x:c>
      <x:c r="D1256" s="34" t="n">
        <x:f>Subsurface_Live_Data!Y30</x:f>
        <x:v>11.185621601117823</x:v>
      </x:c>
      <x:c r="E1256" s="34" t="n">
        <x:f>Subsurface_Live_Data!A30</x:f>
        <x:v>-46</x:v>
      </x:c>
      <x:c r="F1256" s="34" t="n">
        <x:f>Subsurface_Live_Data!AA30</x:f>
        <x:v>0</x:v>
      </x:c>
    </x:row>
    <x:row r="1257">
      <x:c r="A1257" s="34" t="n">
        <x:f>Subsurface_Live_Data!A31</x:f>
        <x:v>-45.5</x:v>
      </x:c>
      <x:c r="B1257" s="34" t="n">
        <x:f>Subsurface_Live_Data!X31</x:f>
        <x:v>12.033901225786963</x:v>
      </x:c>
      <x:c r="C1257" s="34" t="n">
        <x:f>Subsurface_Live_Data!A31</x:f>
        <x:v>-45.5</x:v>
      </x:c>
      <x:c r="D1257" s="34" t="n">
        <x:f>Subsurface_Live_Data!Y31</x:f>
        <x:v>11.213671211747297</x:v>
      </x:c>
      <x:c r="E1257" s="34" t="n">
        <x:f>Subsurface_Live_Data!A31</x:f>
        <x:v>-45.5</x:v>
      </x:c>
      <x:c r="F1257" s="34" t="n">
        <x:f>Subsurface_Live_Data!AA31</x:f>
        <x:v>0</x:v>
      </x:c>
    </x:row>
    <x:row r="1258">
      <x:c r="A1258" s="34" t="n">
        <x:f>Subsurface_Live_Data!A32</x:f>
        <x:v>-45</x:v>
      </x:c>
      <x:c r="B1258" s="34" t="n">
        <x:f>Subsurface_Live_Data!X32</x:f>
        <x:v>12.15883598619677</x:v>
      </x:c>
      <x:c r="C1258" s="34" t="n">
        <x:f>Subsurface_Live_Data!A32</x:f>
        <x:v>-45</x:v>
      </x:c>
      <x:c r="D1258" s="34" t="n">
        <x:f>Subsurface_Live_Data!Y32</x:f>
        <x:v>11.300860169559684</x:v>
      </x:c>
      <x:c r="E1258" s="34" t="n">
        <x:f>Subsurface_Live_Data!A32</x:f>
        <x:v>-45</x:v>
      </x:c>
      <x:c r="F1258" s="34" t="n">
        <x:f>Subsurface_Live_Data!AA32</x:f>
        <x:v>0</x:v>
      </x:c>
    </x:row>
    <x:row r="1259">
      <x:c r="A1259" s="34" t="n">
        <x:f>Subsurface_Live_Data!A33</x:f>
        <x:v>-44.5</x:v>
      </x:c>
      <x:c r="B1259" s="34" t="n">
        <x:f>Subsurface_Live_Data!X33</x:f>
        <x:v>12.293143008014596</x:v>
      </x:c>
      <x:c r="C1259" s="34" t="n">
        <x:f>Subsurface_Live_Data!A33</x:f>
        <x:v>-44.5</x:v>
      </x:c>
      <x:c r="D1259" s="34" t="n">
        <x:f>Subsurface_Live_Data!Y33</x:f>
        <x:v>11.327057534365636</x:v>
      </x:c>
      <x:c r="E1259" s="34" t="n">
        <x:f>Subsurface_Live_Data!A33</x:f>
        <x:v>-44.5</x:v>
      </x:c>
      <x:c r="F1259" s="34" t="n">
        <x:f>Subsurface_Live_Data!AA33</x:f>
        <x:v>0</x:v>
      </x:c>
    </x:row>
    <x:row r="1260">
      <x:c r="A1260" s="34" t="n">
        <x:f>Subsurface_Live_Data!A34</x:f>
        <x:v>-44</x:v>
      </x:c>
      <x:c r="B1260" s="34" t="n">
        <x:f>Subsurface_Live_Data!X34</x:f>
        <x:v>12.437135345895683</x:v>
      </x:c>
      <x:c r="C1260" s="34" t="n">
        <x:f>Subsurface_Live_Data!A34</x:f>
        <x:v>-44</x:v>
      </x:c>
      <x:c r="D1260" s="34" t="n">
        <x:f>Subsurface_Live_Data!Y34</x:f>
        <x:v>11.328707905104096</x:v>
      </x:c>
      <x:c r="E1260" s="34" t="n">
        <x:f>Subsurface_Live_Data!A34</x:f>
        <x:v>-44</x:v>
      </x:c>
      <x:c r="F1260" s="34" t="n">
        <x:f>Subsurface_Live_Data!AA34</x:f>
        <x:v>0</x:v>
      </x:c>
    </x:row>
    <x:row r="1261">
      <x:c r="A1261" s="34" t="n">
        <x:f>Subsurface_Live_Data!A35</x:f>
        <x:v>-43.5</x:v>
      </x:c>
      <x:c r="B1261" s="34" t="n">
        <x:f>Subsurface_Live_Data!X35</x:f>
        <x:v>12.591093474289067</x:v>
      </x:c>
      <x:c r="C1261" s="34" t="n">
        <x:f>Subsurface_Live_Data!A35</x:f>
        <x:v>-43.5</x:v>
      </x:c>
      <x:c r="D1261" s="34" t="n">
        <x:f>Subsurface_Live_Data!Y35</x:f>
        <x:v>11.277146631645458</x:v>
      </x:c>
      <x:c r="E1261" s="34" t="n">
        <x:f>Subsurface_Live_Data!A35</x:f>
        <x:v>-43.5</x:v>
      </x:c>
      <x:c r="F1261" s="34" t="n">
        <x:f>Subsurface_Live_Data!AA35</x:f>
        <x:v>0</x:v>
      </x:c>
    </x:row>
    <x:row r="1262">
      <x:c r="A1262" s="34" t="n">
        <x:f>Subsurface_Live_Data!A36</x:f>
        <x:v>-43</x:v>
      </x:c>
      <x:c r="B1262" s="34" t="n">
        <x:f>Subsurface_Live_Data!X36</x:f>
        <x:v>12.755258654749312</x:v>
      </x:c>
      <x:c r="C1262" s="34" t="n">
        <x:f>Subsurface_Live_Data!A36</x:f>
        <x:v>-43</x:v>
      </x:c>
      <x:c r="D1262" s="34" t="n">
        <x:f>Subsurface_Live_Data!Y36</x:f>
        <x:v>11.402061786815004</x:v>
      </x:c>
      <x:c r="E1262" s="34" t="n">
        <x:f>Subsurface_Live_Data!A36</x:f>
        <x:v>-43</x:v>
      </x:c>
      <x:c r="F1262" s="34" t="n">
        <x:f>Subsurface_Live_Data!AA36</x:f>
        <x:v>0</x:v>
      </x:c>
    </x:row>
    <x:row r="1263">
      <x:c r="A1263" s="34" t="n">
        <x:f>Subsurface_Live_Data!A37</x:f>
        <x:v>-42.5</x:v>
      </x:c>
      <x:c r="B1263" s="34" t="n">
        <x:f>Subsurface_Live_Data!X37</x:f>
        <x:v>12.9298260996448</x:v>
      </x:c>
      <x:c r="C1263" s="34" t="n">
        <x:f>Subsurface_Live_Data!A37</x:f>
        <x:v>-42.5</x:v>
      </x:c>
      <x:c r="D1263" s="34" t="n">
        <x:f>Subsurface_Live_Data!Y37</x:f>
        <x:v>11.391265289964153</x:v>
      </x:c>
      <x:c r="E1263" s="34" t="n">
        <x:f>Subsurface_Live_Data!A37</x:f>
        <x:v>-42.5</x:v>
      </x:c>
      <x:c r="F1263" s="34" t="n">
        <x:f>Subsurface_Live_Data!AA37</x:f>
        <x:v>0</x:v>
      </x:c>
    </x:row>
    <x:row r="1264">
      <x:c r="A1264" s="34" t="n">
        <x:f>Subsurface_Live_Data!A38</x:f>
        <x:v>-42</x:v>
      </x:c>
      <x:c r="B1264" s="34" t="n">
        <x:f>Subsurface_Live_Data!X38</x:f>
        <x:v>13.114938019306326</x:v>
      </x:c>
      <x:c r="C1264" s="34" t="n">
        <x:f>Subsurface_Live_Data!A38</x:f>
        <x:v>-42</x:v>
      </x:c>
      <x:c r="D1264" s="34" t="n">
        <x:f>Subsurface_Live_Data!Y38</x:f>
        <x:v>11.43323056441237</x:v>
      </x:c>
      <x:c r="E1264" s="34" t="n">
        <x:f>Subsurface_Live_Data!A38</x:f>
        <x:v>-42</x:v>
      </x:c>
      <x:c r="F1264" s="34" t="n">
        <x:f>Subsurface_Live_Data!AA38</x:f>
        <x:v>0</x:v>
      </x:c>
    </x:row>
    <x:row r="1265">
      <x:c r="A1265" s="34" t="n">
        <x:f>Subsurface_Live_Data!A39</x:f>
        <x:v>-41.5</x:v>
      </x:c>
      <x:c r="B1265" s="34" t="n">
        <x:f>Subsurface_Live_Data!X39</x:f>
        <x:v>13.310676650735044</x:v>
      </x:c>
      <x:c r="C1265" s="34" t="n">
        <x:f>Subsurface_Live_Data!A39</x:f>
        <x:v>-41.5</x:v>
      </x:c>
      <x:c r="D1265" s="34" t="n">
        <x:f>Subsurface_Live_Data!Y39</x:f>
        <x:v>11.424076195718278</x:v>
      </x:c>
      <x:c r="E1265" s="34" t="n">
        <x:f>Subsurface_Live_Data!A39</x:f>
        <x:v>-41.5</x:v>
      </x:c>
      <x:c r="F1265" s="34" t="n">
        <x:f>Subsurface_Live_Data!AA39</x:f>
        <x:v>0</x:v>
      </x:c>
    </x:row>
    <x:row r="1266">
      <x:c r="A1266" s="34" t="n">
        <x:f>Subsurface_Live_Data!A40</x:f>
        <x:v>-41</x:v>
      </x:c>
      <x:c r="B1266" s="34" t="n">
        <x:f>Subsurface_Live_Data!X40</x:f>
        <x:v>13.517057376127681</x:v>
      </x:c>
      <x:c r="C1266" s="34" t="n">
        <x:f>Subsurface_Live_Data!A40</x:f>
        <x:v>-41</x:v>
      </x:c>
      <x:c r="D1266" s="34" t="n">
        <x:f>Subsurface_Live_Data!Y40</x:f>
        <x:v>11.395475707488714</x:v>
      </x:c>
      <x:c r="E1266" s="34" t="n">
        <x:f>Subsurface_Live_Data!A40</x:f>
        <x:v>-41</x:v>
      </x:c>
      <x:c r="F1266" s="34" t="n">
        <x:f>Subsurface_Live_Data!AA40</x:f>
        <x:v>0</x:v>
      </x:c>
    </x:row>
    <x:row r="1267">
      <x:c r="A1267" s="34" t="n">
        <x:f>Subsurface_Live_Data!A41</x:f>
        <x:v>-40.5</x:v>
      </x:c>
      <x:c r="B1267" s="34" t="n">
        <x:f>Subsurface_Live_Data!X41</x:f>
        <x:v>13.73402204834725</x:v>
      </x:c>
      <x:c r="C1267" s="34" t="n">
        <x:f>Subsurface_Live_Data!A41</x:f>
        <x:v>-40.5</x:v>
      </x:c>
      <x:c r="D1267" s="34" t="n">
        <x:f>Subsurface_Live_Data!Y41</x:f>
        <x:v>11.326927352897968</x:v>
      </x:c>
      <x:c r="E1267" s="34" t="n">
        <x:f>Subsurface_Live_Data!A41</x:f>
        <x:v>-40.5</x:v>
      </x:c>
      <x:c r="F1267" s="34" t="n">
        <x:f>Subsurface_Live_Data!AA41</x:f>
        <x:v>0</x:v>
      </x:c>
    </x:row>
    <x:row r="1268">
      <x:c r="A1268" s="34" t="n">
        <x:f>Subsurface_Live_Data!A42</x:f>
        <x:v>-40</x:v>
      </x:c>
      <x:c r="B1268" s="34" t="n">
        <x:f>Subsurface_Live_Data!X42</x:f>
        <x:v>13.96143264773784</x:v>
      </x:c>
      <x:c r="C1268" s="34" t="n">
        <x:f>Subsurface_Live_Data!A42</x:f>
        <x:v>-40</x:v>
      </x:c>
      <x:c r="D1268" s="34" t="n">
        <x:f>Subsurface_Live_Data!Y42</x:f>
        <x:v>11.293728085994964</x:v>
      </x:c>
      <x:c r="E1268" s="34" t="n">
        <x:f>Subsurface_Live_Data!A42</x:f>
        <x:v>-40</x:v>
      </x:c>
      <x:c r="F1268" s="34" t="n">
        <x:f>Subsurface_Live_Data!AA42</x:f>
        <x:v>0</x:v>
      </x:c>
    </x:row>
    <x:row r="1269">
      <x:c r="A1269" s="34" t="n">
        <x:f>Subsurface_Live_Data!A43</x:f>
        <x:v>-39.5</x:v>
      </x:c>
      <x:c r="B1269" s="34" t="n">
        <x:f>Subsurface_Live_Data!X43</x:f>
        <x:v>14.199065400032573</x:v>
      </x:c>
      <x:c r="C1269" s="34" t="n">
        <x:f>Subsurface_Live_Data!A43</x:f>
        <x:v>-39.5</x:v>
      </x:c>
      <x:c r="D1269" s="34" t="n">
        <x:f>Subsurface_Live_Data!Y43</x:f>
        <x:v>11.27416274270162</x:v>
      </x:c>
      <x:c r="E1269" s="34" t="n">
        <x:f>Subsurface_Live_Data!A43</x:f>
        <x:v>-39.5</x:v>
      </x:c>
      <x:c r="F1269" s="34" t="n">
        <x:f>Subsurface_Live_Data!AA43</x:f>
        <x:v>0</x:v>
      </x:c>
    </x:row>
    <x:row r="1270">
      <x:c r="A1270" s="34" t="n">
        <x:f>Subsurface_Live_Data!A44</x:f>
        <x:v>-39</x:v>
      </x:c>
      <x:c r="B1270" s="34" t="n">
        <x:f>Subsurface_Live_Data!X44</x:f>
        <x:v>14.446605488232656</x:v>
      </x:c>
      <x:c r="C1270" s="34" t="n">
        <x:f>Subsurface_Live_Data!A44</x:f>
        <x:v>-39</x:v>
      </x:c>
      <x:c r="D1270" s="34" t="n">
        <x:f>Subsurface_Live_Data!Y44</x:f>
        <x:v>11.340040388026814</x:v>
      </x:c>
      <x:c r="E1270" s="34" t="n">
        <x:f>Subsurface_Live_Data!A44</x:f>
        <x:v>-39</x:v>
      </x:c>
      <x:c r="F1270" s="34" t="n">
        <x:f>Subsurface_Live_Data!AA44</x:f>
        <x:v>0</x:v>
      </x:c>
    </x:row>
    <x:row r="1271">
      <x:c r="A1271" s="34" t="n">
        <x:f>Subsurface_Live_Data!A45</x:f>
        <x:v>-38.5</x:v>
      </x:c>
      <x:c r="B1271" s="34" t="n">
        <x:f>Subsurface_Live_Data!X45</x:f>
        <x:v>14.703642491973824</x:v>
      </x:c>
      <x:c r="C1271" s="34" t="n">
        <x:f>Subsurface_Live_Data!A45</x:f>
        <x:v>-38.5</x:v>
      </x:c>
      <x:c r="D1271" s="34" t="n">
        <x:f>Subsurface_Live_Data!Y45</x:f>
        <x:v>11.21882140419359</x:v>
      </x:c>
      <x:c r="E1271" s="34" t="n">
        <x:f>Subsurface_Live_Data!A45</x:f>
        <x:v>-38.5</x:v>
      </x:c>
      <x:c r="F1271" s="34" t="n">
        <x:f>Subsurface_Live_Data!AA45</x:f>
        <x:v>0</x:v>
      </x:c>
    </x:row>
    <x:row r="1272">
      <x:c r="A1272" s="34" t="n">
        <x:f>Subsurface_Live_Data!A46</x:f>
        <x:v>-38</x:v>
      </x:c>
      <x:c r="B1272" s="34" t="n">
        <x:f>Subsurface_Live_Data!X46</x:f>
        <x:v>14.969666685814744</x:v>
      </x:c>
      <x:c r="C1272" s="34" t="n">
        <x:f>Subsurface_Live_Data!A46</x:f>
        <x:v>-38</x:v>
      </x:c>
      <x:c r="D1272" s="34" t="n">
        <x:f>Subsurface_Live_Data!Y46</x:f>
        <x:v>11.25227392903512</x:v>
      </x:c>
      <x:c r="E1272" s="34" t="n">
        <x:f>Subsurface_Live_Data!A46</x:f>
        <x:v>-38</x:v>
      </x:c>
      <x:c r="F1272" s="34" t="n">
        <x:f>Subsurface_Live_Data!AA46</x:f>
        <x:v>0</x:v>
      </x:c>
    </x:row>
    <x:row r="1273">
      <x:c r="A1273" s="34" t="n">
        <x:f>Subsurface_Live_Data!A47</x:f>
        <x:v>-37.5</x:v>
      </x:c>
      <x:c r="B1273" s="34" t="n">
        <x:f>Subsurface_Live_Data!X47</x:f>
        <x:v>15.244066322903215</x:v>
      </x:c>
      <x:c r="C1273" s="34" t="n">
        <x:f>Subsurface_Live_Data!A47</x:f>
        <x:v>-37.5</x:v>
      </x:c>
      <x:c r="D1273" s="34" t="n">
        <x:f>Subsurface_Live_Data!Y47</x:f>
        <x:v>11.092663374976432</x:v>
      </x:c>
      <x:c r="E1273" s="34" t="n">
        <x:f>Subsurface_Live_Data!A47</x:f>
        <x:v>-37.5</x:v>
      </x:c>
      <x:c r="F1273" s="34" t="n">
        <x:f>Subsurface_Live_Data!AA47</x:f>
        <x:v>0</x:v>
      </x:c>
    </x:row>
    <x:row r="1274">
      <x:c r="A1274" s="34" t="n">
        <x:f>Subsurface_Live_Data!A48</x:f>
        <x:v>-37</x:v>
      </x:c>
      <x:c r="B1274" s="34" t="n">
        <x:f>Subsurface_Live_Data!X48</x:f>
        <x:v>15.526126022482643</x:v>
      </x:c>
      <x:c r="C1274" s="34" t="n">
        <x:f>Subsurface_Live_Data!A48</x:f>
        <x:v>-37</x:v>
      </x:c>
      <x:c r="D1274" s="34" t="n">
        <x:f>Subsurface_Live_Data!Y48</x:f>
        <x:v>11.102787840036143</x:v>
      </x:c>
      <x:c r="E1274" s="34" t="n">
        <x:f>Subsurface_Live_Data!A48</x:f>
        <x:v>-37</x:v>
      </x:c>
      <x:c r="F1274" s="34" t="n">
        <x:f>Subsurface_Live_Data!AA48</x:f>
        <x:v>0</x:v>
      </x:c>
    </x:row>
    <x:row r="1275">
      <x:c r="A1275" s="34" t="n">
        <x:f>Subsurface_Live_Data!A49</x:f>
        <x:v>-36.5</x:v>
      </x:c>
      <x:c r="B1275" s="34" t="n">
        <x:f>Subsurface_Live_Data!X49</x:f>
        <x:v>15.815026368645476</x:v>
      </x:c>
      <x:c r="C1275" s="34" t="n">
        <x:f>Subsurface_Live_Data!A49</x:f>
        <x:v>-36.5</x:v>
      </x:c>
      <x:c r="D1275" s="34" t="n">
        <x:f>Subsurface_Live_Data!Y49</x:f>
        <x:v>10.977232703780771</x:v>
      </x:c>
      <x:c r="E1275" s="34" t="n">
        <x:f>Subsurface_Live_Data!A49</x:f>
        <x:v>-36.5</x:v>
      </x:c>
      <x:c r="F1275" s="34" t="n">
        <x:f>Subsurface_Live_Data!AA49</x:f>
        <x:v>0</x:v>
      </x:c>
    </x:row>
    <x:row r="1276">
      <x:c r="A1276" s="34" t="n">
        <x:f>Subsurface_Live_Data!A50</x:f>
        <x:v>-36</x:v>
      </x:c>
      <x:c r="B1276" s="34" t="n">
        <x:f>Subsurface_Live_Data!X50</x:f>
        <x:v>16.10984481364878</x:v>
      </x:c>
      <x:c r="C1276" s="34" t="n">
        <x:f>Subsurface_Live_Data!A50</x:f>
        <x:v>-36</x:v>
      </x:c>
      <x:c r="D1276" s="34" t="n">
        <x:f>Subsurface_Live_Data!Y50</x:f>
        <x:v>10.939810837081076</x:v>
      </x:c>
      <x:c r="E1276" s="34" t="n">
        <x:f>Subsurface_Live_Data!A50</x:f>
        <x:v>-36</x:v>
      </x:c>
      <x:c r="F1276" s="34" t="n">
        <x:f>Subsurface_Live_Data!AA50</x:f>
        <x:v>0</x:v>
      </x:c>
    </x:row>
    <x:row r="1277">
      <x:c r="A1277" s="34" t="n">
        <x:f>Subsurface_Live_Data!A51</x:f>
        <x:v>-35.5</x:v>
      </x:c>
      <x:c r="B1277" s="34" t="n">
        <x:f>Subsurface_Live_Data!X51</x:f>
        <x:v>16.40955796208737</x:v>
      </x:c>
      <x:c r="C1277" s="34" t="n">
        <x:f>Subsurface_Live_Data!A51</x:f>
        <x:v>-35.5</x:v>
      </x:c>
      <x:c r="D1277" s="34" t="n">
        <x:f>Subsurface_Live_Data!Y51</x:f>
        <x:v>10.88898635109949</x:v>
      </x:c>
      <x:c r="E1277" s="34" t="n">
        <x:f>Subsurface_Live_Data!A51</x:f>
        <x:v>-35.5</x:v>
      </x:c>
      <x:c r="F1277" s="34" t="n">
        <x:f>Subsurface_Live_Data!AA51</x:f>
        <x:v>0</x:v>
      </x:c>
    </x:row>
    <x:row r="1278">
      <x:c r="A1278" s="34" t="n">
        <x:f>Subsurface_Live_Data!A52</x:f>
        <x:v>-35</x:v>
      </x:c>
      <x:c r="B1278" s="34" t="n">
        <x:f>Subsurface_Live_Data!X52</x:f>
        <x:v>16.713045292462482</x:v>
      </x:c>
      <x:c r="C1278" s="34" t="n">
        <x:f>Subsurface_Live_Data!A52</x:f>
        <x:v>-35</x:v>
      </x:c>
      <x:c r="D1278" s="34" t="n">
        <x:f>Subsurface_Live_Data!Y52</x:f>
        <x:v>10.907800242211557</x:v>
      </x:c>
      <x:c r="E1278" s="34" t="n">
        <x:f>Subsurface_Live_Data!A52</x:f>
        <x:v>-35</x:v>
      </x:c>
      <x:c r="F1278" s="34" t="n">
        <x:f>Subsurface_Live_Data!AA52</x:f>
        <x:v>0</x:v>
      </x:c>
    </x:row>
    <x:row r="1279">
      <x:c r="A1279" s="34" t="n">
        <x:f>Subsurface_Live_Data!A53</x:f>
        <x:v>-34.5</x:v>
      </x:c>
      <x:c r="B1279" s="34" t="n">
        <x:f>Subsurface_Live_Data!X53</x:f>
        <x:v>17.019094350462716</x:v>
      </x:c>
      <x:c r="C1279" s="34" t="n">
        <x:f>Subsurface_Live_Data!A53</x:f>
        <x:v>-34.5</x:v>
      </x:c>
      <x:c r="D1279" s="34" t="n">
        <x:f>Subsurface_Live_Data!Y53</x:f>
        <x:v>10.75599676424995</x:v>
      </x:c>
      <x:c r="E1279" s="34" t="n">
        <x:f>Subsurface_Live_Data!A53</x:f>
        <x:v>-34.5</x:v>
      </x:c>
      <x:c r="F1279" s="34" t="n">
        <x:f>Subsurface_Live_Data!AA53</x:f>
        <x:v>0</x:v>
      </x:c>
    </x:row>
    <x:row r="1280">
      <x:c r="A1280" s="34" t="n">
        <x:f>Subsurface_Live_Data!A54</x:f>
        <x:v>-34</x:v>
      </x:c>
      <x:c r="B1280" s="34" t="n">
        <x:f>Subsurface_Live_Data!X54</x:f>
        <x:v>17.326407423944126</x:v>
      </x:c>
      <x:c r="C1280" s="34" t="n">
        <x:f>Subsurface_Live_Data!A54</x:f>
        <x:v>-34</x:v>
      </x:c>
      <x:c r="D1280" s="34" t="n">
        <x:f>Subsurface_Live_Data!Y54</x:f>
        <x:v>10.745291711753005</x:v>
      </x:c>
      <x:c r="E1280" s="34" t="n">
        <x:f>Subsurface_Live_Data!A54</x:f>
        <x:v>-34</x:v>
      </x:c>
      <x:c r="F1280" s="34" t="n">
        <x:f>Subsurface_Live_Data!AA54</x:f>
        <x:v>0</x:v>
      </x:c>
    </x:row>
    <x:row r="1281">
      <x:c r="A1281" s="34" t="n">
        <x:f>Subsurface_Live_Data!A55</x:f>
        <x:v>-33.5</x:v>
      </x:c>
      <x:c r="B1281" s="34" t="n">
        <x:f>Subsurface_Live_Data!X55</x:f>
        <x:v>17.633609683589604</x:v>
      </x:c>
      <x:c r="C1281" s="34" t="n">
        <x:f>Subsurface_Live_Data!A55</x:f>
        <x:v>-33.5</x:v>
      </x:c>
      <x:c r="D1281" s="34" t="n">
        <x:f>Subsurface_Live_Data!Y55</x:f>
        <x:v>10.710193895076713</x:v>
      </x:c>
      <x:c r="E1281" s="34" t="n">
        <x:f>Subsurface_Live_Data!A55</x:f>
        <x:v>-33.5</x:v>
      </x:c>
      <x:c r="F1281" s="34" t="n">
        <x:f>Subsurface_Live_Data!AA55</x:f>
        <x:v>0</x:v>
      </x:c>
    </x:row>
    <x:row r="1282">
      <x:c r="A1282" s="34" t="n">
        <x:f>Subsurface_Live_Data!A56</x:f>
        <x:v>-33</x:v>
      </x:c>
      <x:c r="B1282" s="34" t="n">
        <x:f>Subsurface_Live_Data!X56</x:f>
        <x:v>17.939258746045365</x:v>
      </x:c>
      <x:c r="C1282" s="34" t="n">
        <x:f>Subsurface_Live_Data!A56</x:f>
        <x:v>-33</x:v>
      </x:c>
      <x:c r="D1282" s="34" t="n">
        <x:f>Subsurface_Live_Data!Y56</x:f>
        <x:v>10.656567626636402</x:v>
      </x:c>
      <x:c r="E1282" s="34" t="n">
        <x:f>Subsurface_Live_Data!A56</x:f>
        <x:v>-33</x:v>
      </x:c>
      <x:c r="F1282" s="34" t="n">
        <x:f>Subsurface_Live_Data!AA56</x:f>
        <x:v>0</x:v>
      </x:c>
    </x:row>
    <x:row r="1283">
      <x:c r="A1283" s="34" t="n">
        <x:f>Subsurface_Live_Data!A57</x:f>
        <x:v>-32.5</x:v>
      </x:c>
      <x:c r="B1283" s="34" t="n">
        <x:f>Subsurface_Live_Data!X57</x:f>
        <x:v>18.241855588533166</x:v>
      </x:c>
      <x:c r="C1283" s="34" t="n">
        <x:f>Subsurface_Live_Data!A57</x:f>
        <x:v>-32.5</x:v>
      </x:c>
      <x:c r="D1283" s="34" t="n">
        <x:f>Subsurface_Live_Data!Y57</x:f>
        <x:v>10.624684654638372</x:v>
      </x:c>
      <x:c r="E1283" s="34" t="n">
        <x:f>Subsurface_Live_Data!A57</x:f>
        <x:v>-32.5</x:v>
      </x:c>
      <x:c r="F1283" s="34" t="n">
        <x:f>Subsurface_Live_Data!AA57</x:f>
        <x:v>0</x:v>
      </x:c>
    </x:row>
    <x:row r="1284">
      <x:c r="A1284" s="34" t="n">
        <x:f>Subsurface_Live_Data!A58</x:f>
        <x:v>-32</x:v>
      </x:c>
      <x:c r="B1284" s="34" t="n">
        <x:f>Subsurface_Live_Data!X58</x:f>
        <x:v>18.539856716129037</x:v>
      </x:c>
      <x:c r="C1284" s="34" t="n">
        <x:f>Subsurface_Live_Data!A58</x:f>
        <x:v>-32</x:v>
      </x:c>
      <x:c r="D1284" s="34" t="n">
        <x:f>Subsurface_Live_Data!Y58</x:f>
        <x:v>10.675396785439716</x:v>
      </x:c>
      <x:c r="E1284" s="34" t="n">
        <x:f>Subsurface_Live_Data!A58</x:f>
        <x:v>-32</x:v>
      </x:c>
      <x:c r="F1284" s="34" t="n">
        <x:f>Subsurface_Live_Data!AA58</x:f>
        <x:v>0</x:v>
      </x:c>
    </x:row>
    <x:row r="1285">
      <x:c r="A1285" s="34" t="n">
        <x:f>Subsurface_Live_Data!A59</x:f>
        <x:v>-31.5</x:v>
      </x:c>
      <x:c r="B1285" s="34" t="n">
        <x:f>Subsurface_Live_Data!X59</x:f>
        <x:v>18.831687455719347</x:v>
      </x:c>
      <x:c r="C1285" s="34" t="n">
        <x:f>Subsurface_Live_Data!A59</x:f>
        <x:v>-31.5</x:v>
      </x:c>
      <x:c r="D1285" s="34" t="n">
        <x:f>Subsurface_Live_Data!Y59</x:f>
        <x:v>10.623086602121845</x:v>
      </x:c>
      <x:c r="E1285" s="34" t="n">
        <x:f>Subsurface_Live_Data!A59</x:f>
        <x:v>-31.5</x:v>
      </x:c>
      <x:c r="F1285" s="34" t="n">
        <x:f>Subsurface_Live_Data!AA59</x:f>
        <x:v>0</x:v>
      </x:c>
    </x:row>
    <x:row r="1286">
      <x:c r="A1286" s="34" t="n">
        <x:f>Subsurface_Live_Data!A60</x:f>
        <x:v>-31</x:v>
      </x:c>
      <x:c r="B1286" s="34" t="n">
        <x:f>Subsurface_Live_Data!X60</x:f>
        <x:v>19.1157562247491</x:v>
      </x:c>
      <x:c r="C1286" s="34" t="n">
        <x:f>Subsurface_Live_Data!A60</x:f>
        <x:v>-31</x:v>
      </x:c>
      <x:c r="D1286" s="34" t="n">
        <x:f>Subsurface_Live_Data!Y60</x:f>
        <x:v>10.641692875388586</x:v>
      </x:c>
      <x:c r="E1286" s="34" t="n">
        <x:f>Subsurface_Live_Data!A60</x:f>
        <x:v>-31</x:v>
      </x:c>
      <x:c r="F1286" s="34" t="n">
        <x:f>Subsurface_Live_Data!AA60</x:f>
        <x:v>0</x:v>
      </x:c>
    </x:row>
    <x:row r="1287">
      <x:c r="A1287" s="34" t="n">
        <x:f>Subsurface_Live_Data!A61</x:f>
        <x:v>-30.5</x:v>
      </x:c>
      <x:c r="B1287" s="34" t="n">
        <x:f>Subsurface_Live_Data!X61</x:f>
        <x:v>19.39046959891661</x:v>
      </x:c>
      <x:c r="C1287" s="34" t="n">
        <x:f>Subsurface_Live_Data!A61</x:f>
        <x:v>-30.5</x:v>
      </x:c>
      <x:c r="D1287" s="34" t="n">
        <x:f>Subsurface_Live_Data!Y61</x:f>
        <x:v>10.716558090918973</x:v>
      </x:c>
      <x:c r="E1287" s="34" t="n">
        <x:f>Subsurface_Live_Data!A61</x:f>
        <x:v>-30.5</x:v>
      </x:c>
      <x:c r="F1287" s="34" t="n">
        <x:f>Subsurface_Live_Data!AA61</x:f>
        <x:v>0</x:v>
      </x:c>
    </x:row>
    <x:row r="1288">
      <x:c r="A1288" s="34" t="n">
        <x:f>Subsurface_Live_Data!A62</x:f>
        <x:v>-30</x:v>
      </x:c>
      <x:c r="B1288" s="34" t="n">
        <x:f>Subsurface_Live_Data!X62</x:f>
        <x:v>19.654247981576553</x:v>
      </x:c>
      <x:c r="C1288" s="34" t="n">
        <x:f>Subsurface_Live_Data!A62</x:f>
        <x:v>-30</x:v>
      </x:c>
      <x:c r="D1288" s="34" t="n">
        <x:f>Subsurface_Live_Data!Y62</x:f>
        <x:v>10.737289374659099</x:v>
      </x:c>
      <x:c r="E1288" s="34" t="n">
        <x:f>Subsurface_Live_Data!A62</x:f>
        <x:v>-30</x:v>
      </x:c>
      <x:c r="F1288" s="34" t="n">
        <x:f>Subsurface_Live_Data!AA62</x:f>
        <x:v>0</x:v>
      </x:c>
    </x:row>
    <x:row r="1289">
      <x:c r="A1289" s="34" t="n">
        <x:f>Subsurface_Live_Data!A63</x:f>
        <x:v>-29.5</x:v>
      </x:c>
      <x:c r="B1289" s="34" t="n">
        <x:f>Subsurface_Live_Data!X63</x:f>
        <x:v>19.90554165938302</x:v>
      </x:c>
      <x:c r="C1289" s="34" t="n">
        <x:f>Subsurface_Live_Data!A63</x:f>
        <x:v>-29.5</x:v>
      </x:c>
      <x:c r="D1289" s="34" t="n">
        <x:f>Subsurface_Live_Data!Y63</x:f>
        <x:v>10.798582873999244</x:v>
      </x:c>
      <x:c r="E1289" s="34" t="n">
        <x:f>Subsurface_Live_Data!A63</x:f>
        <x:v>-29.5</x:v>
      </x:c>
      <x:c r="F1289" s="34" t="n">
        <x:f>Subsurface_Live_Data!AA63</x:f>
        <x:v>0</x:v>
      </x:c>
    </x:row>
    <x:row r="1290">
      <x:c r="A1290" s="34" t="n">
        <x:f>Subsurface_Live_Data!A64</x:f>
        <x:v>-29</x:v>
      </x:c>
      <x:c r="B1290" s="34" t="n">
        <x:f>Subsurface_Live_Data!X64</x:f>
        <x:v>20.14284701417269</x:v>
      </x:c>
      <x:c r="C1290" s="34" t="n">
        <x:f>Subsurface_Live_Data!A64</x:f>
        <x:v>-29</x:v>
      </x:c>
      <x:c r="D1290" s="34" t="n">
        <x:f>Subsurface_Live_Data!Y64</x:f>
        <x:v>10.791021672156923</x:v>
      </x:c>
      <x:c r="E1290" s="34" t="n">
        <x:f>Subsurface_Live_Data!A64</x:f>
        <x:v>-29</x:v>
      </x:c>
      <x:c r="F1290" s="34" t="n">
        <x:f>Subsurface_Live_Data!AA64</x:f>
        <x:v>0</x:v>
      </x:c>
    </x:row>
    <x:row r="1291">
      <x:c r="A1291" s="34" t="n">
        <x:f>Subsurface_Live_Data!A65</x:f>
        <x:v>-28.5</x:v>
      </x:c>
      <x:c r="B1291" s="34" t="n">
        <x:f>Subsurface_Live_Data!X65</x:f>
        <x:v>20.364722650718612</x:v>
      </x:c>
      <x:c r="C1291" s="34" t="n">
        <x:f>Subsurface_Live_Data!A65</x:f>
        <x:v>-28.5</x:v>
      </x:c>
      <x:c r="D1291" s="34" t="n">
        <x:f>Subsurface_Live_Data!Y65</x:f>
        <x:v>10.902573367276915</x:v>
      </x:c>
      <x:c r="E1291" s="34" t="n">
        <x:f>Subsurface_Live_Data!A65</x:f>
        <x:v>-28.5</x:v>
      </x:c>
      <x:c r="F1291" s="34" t="n">
        <x:f>Subsurface_Live_Data!AA65</x:f>
        <x:v>0</x:v>
      </x:c>
    </x:row>
    <x:row r="1292">
      <x:c r="A1292" s="34" t="n">
        <x:f>Subsurface_Live_Data!A66</x:f>
        <x:v>-28</x:v>
      </x:c>
      <x:c r="B1292" s="34" t="n">
        <x:f>Subsurface_Live_Data!X66</x:f>
        <x:v>20.569805194150767</x:v>
      </x:c>
      <x:c r="C1292" s="34" t="n">
        <x:f>Subsurface_Live_Data!A66</x:f>
        <x:v>-28</x:v>
      </x:c>
      <x:c r="D1292" s="34" t="n">
        <x:f>Subsurface_Live_Data!Y66</x:f>
        <x:v>10.909509279233056</x:v>
      </x:c>
      <x:c r="E1292" s="34" t="n">
        <x:f>Subsurface_Live_Data!A66</x:f>
        <x:v>-28</x:v>
      </x:c>
      <x:c r="F1292" s="34" t="n">
        <x:f>Subsurface_Live_Data!AA66</x:f>
        <x:v>0</x:v>
      </x:c>
    </x:row>
    <x:row r="1293">
      <x:c r="A1293" s="34" t="n">
        <x:f>Subsurface_Live_Data!A67</x:f>
        <x:v>-27.5</x:v>
      </x:c>
      <x:c r="B1293" s="34" t="n">
        <x:f>Subsurface_Live_Data!X67</x:f>
        <x:v>20.756824509810972</x:v>
      </x:c>
      <x:c r="C1293" s="34" t="n">
        <x:f>Subsurface_Live_Data!A67</x:f>
        <x:v>-27.5</x:v>
      </x:c>
      <x:c r="D1293" s="34" t="n">
        <x:f>Subsurface_Live_Data!Y67</x:f>
        <x:v>11.002079179357061</x:v>
      </x:c>
      <x:c r="E1293" s="34" t="n">
        <x:f>Subsurface_Live_Data!A67</x:f>
        <x:v>-27.5</x:v>
      </x:c>
      <x:c r="F1293" s="34" t="n">
        <x:f>Subsurface_Live_Data!AA67</x:f>
        <x:v>0</x:v>
      </x:c>
    </x:row>
    <x:row r="1294">
      <x:c r="A1294" s="34" t="n">
        <x:f>Subsurface_Live_Data!A68</x:f>
        <x:v>-27</x:v>
      </x:c>
      <x:c r="B1294" s="34" t="n">
        <x:f>Subsurface_Live_Data!X68</x:f>
        <x:v>20.924618102244466</x:v>
      </x:c>
      <x:c r="C1294" s="34" t="n">
        <x:f>Subsurface_Live_Data!A68</x:f>
        <x:v>-27</x:v>
      </x:c>
      <x:c r="D1294" s="34" t="n">
        <x:f>Subsurface_Live_Data!Y68</x:f>
        <x:v>11.057880836584204</x:v>
      </x:c>
      <x:c r="E1294" s="34" t="n">
        <x:f>Subsurface_Live_Data!A68</x:f>
        <x:v>-27</x:v>
      </x:c>
      <x:c r="F1294" s="34" t="n">
        <x:f>Subsurface_Live_Data!AA68</x:f>
        <x:v>0</x:v>
      </x:c>
    </x:row>
    <x:row r="1295">
      <x:c r="A1295" s="34" t="n">
        <x:f>Subsurface_Live_Data!A69</x:f>
        <x:v>-26.5</x:v>
      </x:c>
      <x:c r="B1295" s="34" t="n">
        <x:f>Subsurface_Live_Data!X69</x:f>
        <x:v>21.072144458964026</x:v>
      </x:c>
      <x:c r="C1295" s="34" t="n">
        <x:f>Subsurface_Live_Data!A69</x:f>
        <x:v>-26.5</x:v>
      </x:c>
      <x:c r="D1295" s="34" t="n">
        <x:f>Subsurface_Live_Data!Y69</x:f>
        <x:v>11.077875754022791</x:v>
      </x:c>
      <x:c r="E1295" s="34" t="n">
        <x:f>Subsurface_Live_Data!A69</x:f>
        <x:v>-26.5</x:v>
      </x:c>
      <x:c r="F1295" s="34" t="n">
        <x:f>Subsurface_Live_Data!AA69</x:f>
        <x:v>0</x:v>
      </x:c>
    </x:row>
    <x:row r="1296">
      <x:c r="A1296" s="34" t="n">
        <x:f>Subsurface_Live_Data!A70</x:f>
        <x:v>-26</x:v>
      </x:c>
      <x:c r="B1296" s="34" t="n">
        <x:f>Subsurface_Live_Data!X70</x:f>
        <x:v>21.19849511846669</x:v>
      </x:c>
      <x:c r="C1296" s="34" t="n">
        <x:f>Subsurface_Live_Data!A70</x:f>
        <x:v>-26</x:v>
      </x:c>
      <x:c r="D1296" s="34" t="n">
        <x:f>Subsurface_Live_Data!Y70</x:f>
        <x:v>11.185944796017424</x:v>
      </x:c>
      <x:c r="E1296" s="34" t="n">
        <x:f>Subsurface_Live_Data!A70</x:f>
        <x:v>-26</x:v>
      </x:c>
      <x:c r="F1296" s="34" t="n">
        <x:f>Subsurface_Live_Data!AA70</x:f>
        <x:v>0</x:v>
      </x:c>
    </x:row>
    <x:row r="1297">
      <x:c r="A1297" s="34" t="n">
        <x:f>Subsurface_Live_Data!A71</x:f>
        <x:v>-25.5</x:v>
      </x:c>
      <x:c r="B1297" s="34" t="n">
        <x:f>Subsurface_Live_Data!X71</x:f>
        <x:v>21.302905260523154</x:v>
      </x:c>
      <x:c r="C1297" s="34" t="n">
        <x:f>Subsurface_Live_Data!A71</x:f>
        <x:v>-25.5</x:v>
      </x:c>
      <x:c r="D1297" s="34" t="n">
        <x:f>Subsurface_Live_Data!Y71</x:f>
        <x:v>11.214821032610757</x:v>
      </x:c>
      <x:c r="E1297" s="34" t="n">
        <x:f>Subsurface_Live_Data!A71</x:f>
        <x:v>-25.5</x:v>
      </x:c>
      <x:c r="F1297" s="34" t="n">
        <x:f>Subsurface_Live_Data!AA71</x:f>
        <x:v>0</x:v>
      </x:c>
    </x:row>
    <x:row r="1298">
      <x:c r="A1298" s="34" t="n">
        <x:f>Subsurface_Live_Data!A72</x:f>
        <x:v>-25</x:v>
      </x:c>
      <x:c r="B1298" s="34" t="n">
        <x:f>Subsurface_Live_Data!X72</x:f>
        <x:v>21.38476263965948</x:v>
      </x:c>
      <x:c r="C1298" s="34" t="n">
        <x:f>Subsurface_Live_Data!A72</x:f>
        <x:v>-25</x:v>
      </x:c>
      <x:c r="D1298" s="34" t="n">
        <x:f>Subsurface_Live_Data!Y72</x:f>
        <x:v>11.294723484494781</x:v>
      </x:c>
      <x:c r="E1298" s="34" t="n">
        <x:f>Subsurface_Live_Data!A72</x:f>
        <x:v>-25</x:v>
      </x:c>
      <x:c r="F1298" s="34" t="n">
        <x:f>Subsurface_Live_Data!AA72</x:f>
        <x:v>0</x:v>
      </x:c>
    </x:row>
    <x:row r="1299">
      <x:c r="A1299" s="34" t="n">
        <x:f>Subsurface_Live_Data!A73</x:f>
        <x:v>-24.5</x:v>
      </x:c>
      <x:c r="B1299" s="34" t="n">
        <x:f>Subsurface_Live_Data!X73</x:f>
        <x:v>21.443614709558858</x:v>
      </x:c>
      <x:c r="C1299" s="34" t="n">
        <x:f>Subsurface_Live_Data!A73</x:f>
        <x:v>-24.5</x:v>
      </x:c>
      <x:c r="D1299" s="34" t="n">
        <x:f>Subsurface_Live_Data!Y73</x:f>
        <x:v>11.25719126250047</x:v>
      </x:c>
      <x:c r="E1299" s="34" t="n">
        <x:f>Subsurface_Live_Data!A73</x:f>
        <x:v>-24.5</x:v>
      </x:c>
      <x:c r="F1299" s="34" t="n">
        <x:f>Subsurface_Live_Data!AA73</x:f>
        <x:v>0</x:v>
      </x:c>
    </x:row>
    <x:row r="1300">
      <x:c r="A1300" s="34" t="n">
        <x:f>Subsurface_Live_Data!A74</x:f>
        <x:v>-24</x:v>
      </x:c>
      <x:c r="B1300" s="34" t="n">
        <x:f>Subsurface_Live_Data!X74</x:f>
        <x:v>21.479173816272</x:v>
      </x:c>
      <x:c r="C1300" s="34" t="n">
        <x:f>Subsurface_Live_Data!A74</x:f>
        <x:v>-24</x:v>
      </x:c>
      <x:c r="D1300" s="34" t="n">
        <x:f>Subsurface_Live_Data!Y74</x:f>
        <x:v>11.325418971252496</x:v>
      </x:c>
      <x:c r="E1300" s="34" t="n">
        <x:f>Subsurface_Live_Data!A74</x:f>
        <x:v>-24</x:v>
      </x:c>
      <x:c r="F1300" s="34" t="n">
        <x:f>Subsurface_Live_Data!AA74</x:f>
        <x:v>0</x:v>
      </x:c>
    </x:row>
    <x:row r="1301">
      <x:c r="A1301" s="34" t="n">
        <x:f>Subsurface_Live_Data!A75</x:f>
        <x:v>-23.5</x:v>
      </x:c>
      <x:c r="B1301" s="34" t="n">
        <x:f>Subsurface_Live_Data!X75</x:f>
        <x:v>21.491320370993172</x:v>
      </x:c>
      <x:c r="C1301" s="34" t="n">
        <x:f>Subsurface_Live_Data!A75</x:f>
        <x:v>-23.5</x:v>
      </x:c>
      <x:c r="D1301" s="34" t="n">
        <x:f>Subsurface_Live_Data!Y75</x:f>
        <x:v>11.338249939067502</x:v>
      </x:c>
      <x:c r="E1301" s="34" t="n">
        <x:f>Subsurface_Live_Data!A75</x:f>
        <x:v>-23.5</x:v>
      </x:c>
      <x:c r="F1301" s="34" t="n">
        <x:f>Subsurface_Live_Data!AA75</x:f>
        <x:v>0</x:v>
      </x:c>
    </x:row>
    <x:row r="1302">
      <x:c r="A1302" s="34" t="n">
        <x:f>Subsurface_Live_Data!A76</x:f>
        <x:v>-23</x:v>
      </x:c>
      <x:c r="B1302" s="34" t="n">
        <x:f>Subsurface_Live_Data!X76</x:f>
        <x:v>21.48010394801528</x:v>
      </x:c>
      <x:c r="C1302" s="34" t="n">
        <x:f>Subsurface_Live_Data!A76</x:f>
        <x:v>-23</x:v>
      </x:c>
      <x:c r="D1302" s="34" t="n">
        <x:f>Subsurface_Live_Data!Y76</x:f>
        <x:v>11.351691680234389</x:v>
      </x:c>
      <x:c r="E1302" s="34" t="n">
        <x:f>Subsurface_Live_Data!A76</x:f>
        <x:v>-23</x:v>
      </x:c>
      <x:c r="F1302" s="34" t="n">
        <x:f>Subsurface_Live_Data!AA76</x:f>
        <x:v>0</x:v>
      </x:c>
    </x:row>
    <x:row r="1303">
      <x:c r="A1303" s="34" t="n">
        <x:f>Subsurface_Live_Data!A77</x:f>
        <x:v>-22.5</x:v>
      </x:c>
      <x:c r="B1303" s="34" t="n">
        <x:f>Subsurface_Live_Data!X77</x:f>
        <x:v>21.445742289549454</x:v>
      </x:c>
      <x:c r="C1303" s="34" t="n">
        <x:f>Subsurface_Live_Data!A77</x:f>
        <x:v>-22.5</x:v>
      </x:c>
      <x:c r="D1303" s="34" t="n">
        <x:f>Subsurface_Live_Data!Y77</x:f>
        <x:v>11.360313465460159</x:v>
      </x:c>
      <x:c r="E1303" s="34" t="n">
        <x:f>Subsurface_Live_Data!A77</x:f>
        <x:v>-22.5</x:v>
      </x:c>
      <x:c r="F1303" s="34" t="n">
        <x:f>Subsurface_Live_Data!AA77</x:f>
        <x:v>0</x:v>
      </x:c>
    </x:row>
    <x:row r="1304">
      <x:c r="A1304" s="34" t="n">
        <x:f>Subsurface_Live_Data!A78</x:f>
        <x:v>-22</x:v>
      </x:c>
      <x:c r="B1304" s="34" t="n">
        <x:f>Subsurface_Live_Data!X78</x:f>
        <x:v>21.388618235575407</x:v>
      </x:c>
      <x:c r="C1304" s="34" t="n">
        <x:f>Subsurface_Live_Data!A78</x:f>
        <x:v>-22</x:v>
      </x:c>
      <x:c r="D1304" s="34" t="n">
        <x:f>Subsurface_Live_Data!Y78</x:f>
        <x:v>11.272576444408514</x:v>
      </x:c>
      <x:c r="E1304" s="34" t="n">
        <x:f>Subsurface_Live_Data!A78</x:f>
        <x:v>-22</x:v>
      </x:c>
      <x:c r="F1304" s="34" t="n">
        <x:f>Subsurface_Live_Data!AA78</x:f>
        <x:v>0</x:v>
      </x:c>
    </x:row>
    <x:row r="1305">
      <x:c r="A1305" s="34" t="n">
        <x:f>Subsurface_Live_Data!A79</x:f>
        <x:v>-21.5</x:v>
      </x:c>
      <x:c r="B1305" s="34" t="n">
        <x:f>Subsurface_Live_Data!X79</x:f>
        <x:v>21.309274632961195</x:v>
      </x:c>
      <x:c r="C1305" s="34" t="n">
        <x:f>Subsurface_Live_Data!A79</x:f>
        <x:v>-21.5</x:v>
      </x:c>
      <x:c r="D1305" s="34" t="n">
        <x:f>Subsurface_Live_Data!Y79</x:f>
        <x:v>11.247129016783873</x:v>
      </x:c>
      <x:c r="E1305" s="34" t="n">
        <x:f>Subsurface_Live_Data!A79</x:f>
        <x:v>-21.5</x:v>
      </x:c>
      <x:c r="F1305" s="34" t="n">
        <x:f>Subsurface_Live_Data!AA79</x:f>
        <x:v>0</x:v>
      </x:c>
    </x:row>
    <x:row r="1306">
      <x:c r="A1306" s="34" t="n">
        <x:f>Subsurface_Live_Data!A80</x:f>
        <x:v>-21</x:v>
      </x:c>
      <x:c r="B1306" s="34" t="n">
        <x:f>Subsurface_Live_Data!X80</x:f>
        <x:v>21.208407312948705</x:v>
      </x:c>
      <x:c r="C1306" s="34" t="n">
        <x:f>Subsurface_Live_Data!A80</x:f>
        <x:v>-21</x:v>
      </x:c>
      <x:c r="D1306" s="34" t="n">
        <x:f>Subsurface_Live_Data!Y80</x:f>
        <x:v>11.354180722343763</x:v>
      </x:c>
      <x:c r="E1306" s="34" t="n">
        <x:f>Subsurface_Live_Data!A80</x:f>
        <x:v>-21</x:v>
      </x:c>
      <x:c r="F1306" s="34" t="n">
        <x:f>Subsurface_Live_Data!AA80</x:f>
        <x:v>0</x:v>
      </x:c>
    </x:row>
    <x:row r="1307">
      <x:c r="A1307" s="34" t="n">
        <x:f>Subsurface_Live_Data!A81</x:f>
        <x:v>-20.5</x:v>
      </x:c>
      <x:c r="B1307" s="34" t="n">
        <x:f>Subsurface_Live_Data!X81</x:f>
        <x:v>21.08685625897105</x:v>
      </x:c>
      <x:c r="C1307" s="34" t="n">
        <x:f>Subsurface_Live_Data!A81</x:f>
        <x:v>-20.5</x:v>
      </x:c>
      <x:c r="D1307" s="34" t="n">
        <x:f>Subsurface_Live_Data!Y81</x:f>
        <x:v>11.290558893280085</x:v>
      </x:c>
      <x:c r="E1307" s="34" t="n">
        <x:f>Subsurface_Live_Data!A81</x:f>
        <x:v>-20.5</x:v>
      </x:c>
      <x:c r="F1307" s="34" t="n">
        <x:f>Subsurface_Live_Data!AA81</x:f>
        <x:v>0</x:v>
      </x:c>
    </x:row>
    <x:row r="1308">
      <x:c r="A1308" s="34" t="n">
        <x:f>Subsurface_Live_Data!A82</x:f>
        <x:v>-20</x:v>
      </x:c>
      <x:c r="B1308" s="34" t="n">
        <x:f>Subsurface_Live_Data!X82</x:f>
        <x:v>20.94559511693128</x:v>
      </x:c>
      <x:c r="C1308" s="34" t="n">
        <x:f>Subsurface_Live_Data!A82</x:f>
        <x:v>-20</x:v>
      </x:c>
      <x:c r="D1308" s="34" t="n">
        <x:f>Subsurface_Live_Data!Y82</x:f>
        <x:v>11.36069559448277</x:v>
      </x:c>
      <x:c r="E1308" s="34" t="n">
        <x:f>Subsurface_Live_Data!A82</x:f>
        <x:v>-20</x:v>
      </x:c>
      <x:c r="F1308" s="34" t="n">
        <x:f>Subsurface_Live_Data!AA82</x:f>
        <x:v>0</x:v>
      </x:c>
    </x:row>
    <x:row r="1309">
      <x:c r="A1309" s="34" t="n">
        <x:f>Subsurface_Live_Data!A83</x:f>
        <x:v>-19.5</x:v>
      </x:c>
      <x:c r="B1309" s="34" t="n">
        <x:f>Subsurface_Live_Data!X83</x:f>
        <x:v>20.785719226882957</x:v>
      </x:c>
      <x:c r="C1309" s="34" t="n">
        <x:f>Subsurface_Live_Data!A83</x:f>
        <x:v>-19.5</x:v>
      </x:c>
      <x:c r="D1309" s="34" t="n">
        <x:f>Subsurface_Live_Data!Y83</x:f>
        <x:v>11.299339356268206</x:v>
      </x:c>
      <x:c r="E1309" s="34" t="n">
        <x:f>Subsurface_Live_Data!A83</x:f>
        <x:v>-19.5</x:v>
      </x:c>
      <x:c r="F1309" s="34" t="n">
        <x:f>Subsurface_Live_Data!AA83</x:f>
        <x:v>0</x:v>
      </x:c>
    </x:row>
    <x:row r="1310">
      <x:c r="A1310" s="34" t="n">
        <x:f>Subsurface_Live_Data!A84</x:f>
        <x:v>-19</x:v>
      </x:c>
      <x:c r="B1310" s="34" t="n">
        <x:f>Subsurface_Live_Data!X84</x:f>
        <x:v>20.608432377956785</x:v>
      </x:c>
      <x:c r="C1310" s="34" t="n">
        <x:f>Subsurface_Live_Data!A84</x:f>
        <x:v>-19</x:v>
      </x:c>
      <x:c r="D1310" s="34" t="n">
        <x:f>Subsurface_Live_Data!Y84</x:f>
        <x:v>11.318230004173138</x:v>
      </x:c>
      <x:c r="E1310" s="34" t="n">
        <x:f>Subsurface_Live_Data!A84</x:f>
        <x:v>-19</x:v>
      </x:c>
      <x:c r="F1310" s="34" t="n">
        <x:f>Subsurface_Live_Data!AA84</x:f>
        <x:v>0</x:v>
      </x:c>
    </x:row>
    <x:row r="1311">
      <x:c r="A1311" s="34" t="n">
        <x:f>Subsurface_Live_Data!A85</x:f>
        <x:v>-18.5</x:v>
      </x:c>
      <x:c r="B1311" s="34" t="n">
        <x:f>Subsurface_Live_Data!X85</x:f>
        <x:v>20.41503250692276</x:v>
      </x:c>
      <x:c r="C1311" s="34" t="n">
        <x:f>Subsurface_Live_Data!A85</x:f>
        <x:v>-18.5</x:v>
      </x:c>
      <x:c r="D1311" s="34" t="n">
        <x:f>Subsurface_Live_Data!Y85</x:f>
        <x:v>11.393986820829596</x:v>
      </x:c>
      <x:c r="E1311" s="34" t="n">
        <x:f>Subsurface_Live_Data!A85</x:f>
        <x:v>-18.5</x:v>
      </x:c>
      <x:c r="F1311" s="34" t="n">
        <x:f>Subsurface_Live_Data!AA85</x:f>
        <x:v>0</x:v>
      </x:c>
    </x:row>
    <x:row r="1312">
      <x:c r="A1312" s="34" t="n">
        <x:f>Subsurface_Live_Data!A86</x:f>
        <x:v>-18</x:v>
      </x:c>
      <x:c r="B1312" s="34" t="n">
        <x:f>Subsurface_Live_Data!X86</x:f>
        <x:v>20.20689657462812</x:v>
      </x:c>
      <x:c r="C1312" s="34" t="n">
        <x:f>Subsurface_Live_Data!A86</x:f>
        <x:v>-18</x:v>
      </x:c>
      <x:c r="D1312" s="34" t="n">
        <x:f>Subsurface_Live_Data!Y86</x:f>
        <x:v>11.333976608756615</x:v>
      </x:c>
      <x:c r="E1312" s="34" t="n">
        <x:f>Subsurface_Live_Data!A86</x:f>
        <x:v>-18</x:v>
      </x:c>
      <x:c r="F1312" s="34" t="n">
        <x:f>Subsurface_Live_Data!AA86</x:f>
        <x:v>0</x:v>
      </x:c>
    </x:row>
    <x:row r="1313">
      <x:c r="A1313" s="34" t="n">
        <x:f>Subsurface_Live_Data!A87</x:f>
        <x:v>-17.5</x:v>
      </x:c>
      <x:c r="B1313" s="34" t="n">
        <x:f>Subsurface_Live_Data!X87</x:f>
        <x:v>19.985464863493675</x:v>
      </x:c>
      <x:c r="C1313" s="34" t="n">
        <x:f>Subsurface_Live_Data!A87</x:f>
        <x:v>-17.5</x:v>
      </x:c>
      <x:c r="D1313" s="34" t="n">
        <x:f>Subsurface_Live_Data!Y87</x:f>
        <x:v>11.366960963516341</x:v>
      </x:c>
      <x:c r="E1313" s="34" t="n">
        <x:f>Subsurface_Live_Data!A87</x:f>
        <x:v>-17.5</x:v>
      </x:c>
      <x:c r="F1313" s="34" t="n">
        <x:f>Subsurface_Live_Data!AA87</x:f>
        <x:v>0</x:v>
      </x:c>
    </x:row>
    <x:row r="1314">
      <x:c r="A1314" s="34" t="n">
        <x:f>Subsurface_Live_Data!A88</x:f>
        <x:v>-17</x:v>
      </x:c>
      <x:c r="B1314" s="34" t="n">
        <x:f>Subsurface_Live_Data!X88</x:f>
        <x:v>19.7522249431966</x:v>
      </x:c>
      <x:c r="C1314" s="34" t="n">
        <x:f>Subsurface_Live_Data!A88</x:f>
        <x:v>-17</x:v>
      </x:c>
      <x:c r="D1314" s="34" t="n">
        <x:f>Subsurface_Live_Data!Y88</x:f>
        <x:v>11.490555106161587</x:v>
      </x:c>
      <x:c r="E1314" s="34" t="n">
        <x:f>Subsurface_Live_Data!A88</x:f>
        <x:v>-17</x:v>
      </x:c>
      <x:c r="F1314" s="34" t="n">
        <x:f>Subsurface_Live_Data!AA88</x:f>
        <x:v>0</x:v>
      </x:c>
    </x:row>
    <x:row r="1315">
      <x:c r="A1315" s="34" t="n">
        <x:f>Subsurface_Live_Data!A89</x:f>
        <x:v>-16.5</x:v>
      </x:c>
      <x:c r="B1315" s="34" t="n">
        <x:f>Subsurface_Live_Data!X89</x:f>
        <x:v>19.50869555065323</x:v>
      </x:c>
      <x:c r="C1315" s="34" t="n">
        <x:f>Subsurface_Live_Data!A89</x:f>
        <x:v>-16.5</x:v>
      </x:c>
      <x:c r="D1315" s="34" t="n">
        <x:f>Subsurface_Live_Data!Y89</x:f>
        <x:v>11.522826992578295</x:v>
      </x:c>
      <x:c r="E1315" s="34" t="n">
        <x:f>Subsurface_Live_Data!A89</x:f>
        <x:v>-16.5</x:v>
      </x:c>
      <x:c r="F1315" s="34" t="n">
        <x:f>Subsurface_Live_Data!AA89</x:f>
        <x:v>0</x:v>
      </x:c>
    </x:row>
    <x:row r="1316">
      <x:c r="A1316" s="34" t="n">
        <x:f>Subsurface_Live_Data!A90</x:f>
        <x:v>-16</x:v>
      </x:c>
      <x:c r="B1316" s="34" t="n">
        <x:f>Subsurface_Live_Data!X90</x:f>
        <x:v>19.25641062459864</x:v>
      </x:c>
      <x:c r="C1316" s="34" t="n">
        <x:f>Subsurface_Live_Data!A90</x:f>
        <x:v>-16</x:v>
      </x:c>
      <x:c r="D1316" s="34" t="n">
        <x:f>Subsurface_Live_Data!Y90</x:f>
        <x:v>11.468377346074561</x:v>
      </x:c>
      <x:c r="E1316" s="34" t="n">
        <x:f>Subsurface_Live_Data!A90</x:f>
        <x:v>-16</x:v>
      </x:c>
      <x:c r="F1316" s="34" t="n">
        <x:f>Subsurface_Live_Data!AA90</x:f>
        <x:v>0</x:v>
      </x:c>
    </x:row>
    <x:row r="1317">
      <x:c r="A1317" s="34" t="n">
        <x:f>Subsurface_Live_Data!A91</x:f>
        <x:v>-15.5</x:v>
      </x:c>
      <x:c r="B1317" s="34" t="n">
        <x:f>Subsurface_Live_Data!X91</x:f>
        <x:v>18.996903724712443</x:v>
      </x:c>
      <x:c r="C1317" s="34" t="n">
        <x:f>Subsurface_Live_Data!A91</x:f>
        <x:v>-15.5</x:v>
      </x:c>
      <x:c r="D1317" s="34" t="n">
        <x:f>Subsurface_Live_Data!Y91</x:f>
        <x:v>11.56256527893845</x:v>
      </x:c>
      <x:c r="E1317" s="34" t="n">
        <x:f>Subsurface_Live_Data!A91</x:f>
        <x:v>-15.5</x:v>
      </x:c>
      <x:c r="F1317" s="34" t="n">
        <x:f>Subsurface_Live_Data!AA91</x:f>
        <x:v>0</x:v>
      </x:c>
    </x:row>
    <x:row r="1318">
      <x:c r="A1318" s="34" t="n">
        <x:f>Subsurface_Live_Data!A92</x:f>
        <x:v>-15</x:v>
      </x:c>
      <x:c r="B1318" s="34" t="n">
        <x:f>Subsurface_Live_Data!X92</x:f>
        <x:v>18.73169305073707</x:v>
      </x:c>
      <x:c r="C1318" s="34" t="n">
        <x:f>Subsurface_Live_Data!A92</x:f>
        <x:v>-15</x:v>
      </x:c>
      <x:c r="D1318" s="34" t="n">
        <x:f>Subsurface_Live_Data!Y92</x:f>
        <x:v>11.573383574152366</x:v>
      </x:c>
      <x:c r="E1318" s="34" t="n">
        <x:f>Subsurface_Live_Data!A92</x:f>
        <x:v>-15</x:v>
      </x:c>
      <x:c r="F1318" s="34" t="n">
        <x:f>Subsurface_Live_Data!AA92</x:f>
        <x:v>0</x:v>
      </x:c>
    </x:row>
    <x:row r="1319">
      <x:c r="A1319" s="34" t="n">
        <x:f>Subsurface_Live_Data!A93</x:f>
        <x:v>-14.5</x:v>
      </x:c>
      <x:c r="B1319" s="34" t="n">
        <x:f>Subsurface_Live_Data!X93</x:f>
        <x:v>18.462267258839827</x:v>
      </x:c>
      <x:c r="C1319" s="34" t="n">
        <x:f>Subsurface_Live_Data!A93</x:f>
        <x:v>-14.5</x:v>
      </x:c>
      <x:c r="D1319" s="34" t="n">
        <x:f>Subsurface_Live_Data!Y93</x:f>
        <x:v>11.596964229012642</x:v>
      </x:c>
      <x:c r="E1319" s="34" t="n">
        <x:f>Subsurface_Live_Data!A93</x:f>
        <x:v>-14.5</x:v>
      </x:c>
      <x:c r="F1319" s="34" t="n">
        <x:f>Subsurface_Live_Data!AA93</x:f>
        <x:v>0</x:v>
      </x:c>
    </x:row>
    <x:row r="1320">
      <x:c r="A1320" s="34" t="n">
        <x:f>Subsurface_Live_Data!A94</x:f>
        <x:v>-14</x:v>
      </x:c>
      <x:c r="B1320" s="34" t="n">
        <x:f>Subsurface_Live_Data!X94</x:f>
        <x:v>18.19007225112235</x:v>
      </x:c>
      <x:c r="C1320" s="34" t="n">
        <x:f>Subsurface_Live_Data!A94</x:f>
        <x:v>-14</x:v>
      </x:c>
      <x:c r="D1320" s="34" t="n">
        <x:f>Subsurface_Live_Data!Y94</x:f>
        <x:v>11.65303840634082</x:v>
      </x:c>
      <x:c r="E1320" s="34" t="n">
        <x:f>Subsurface_Live_Data!A94</x:f>
        <x:v>-14</x:v>
      </x:c>
      <x:c r="F1320" s="34" t="n">
        <x:f>Subsurface_Live_Data!AA94</x:f>
        <x:v>0</x:v>
      </x:c>
    </x:row>
    <x:row r="1321">
      <x:c r="A1321" s="34" t="n">
        <x:f>Subsurface_Live_Data!A95</x:f>
        <x:v>-13.5</x:v>
      </x:c>
      <x:c r="B1321" s="34" t="n">
        <x:f>Subsurface_Live_Data!X95</x:f>
        <x:v>17.916499090276467</x:v>
      </x:c>
      <x:c r="C1321" s="34" t="n">
        <x:f>Subsurface_Live_Data!A95</x:f>
        <x:v>-13.5</x:v>
      </x:c>
      <x:c r="D1321" s="34" t="n">
        <x:f>Subsurface_Live_Data!Y95</x:f>
        <x:v>11.477996849977245</x:v>
      </x:c>
      <x:c r="E1321" s="34" t="n">
        <x:f>Subsurface_Live_Data!A95</x:f>
        <x:v>-13.5</x:v>
      </x:c>
      <x:c r="F1321" s="34" t="n">
        <x:f>Subsurface_Live_Data!AA95</x:f>
        <x:v>0</x:v>
      </x:c>
    </x:row>
    <x:row r="1322">
      <x:c r="A1322" s="34" t="n">
        <x:f>Subsurface_Live_Data!A96</x:f>
        <x:v>-13</x:v>
      </x:c>
      <x:c r="B1322" s="34" t="n">
        <x:f>Subsurface_Live_Data!X96</x:f>
        <x:v>17.64287316555813</x:v>
      </x:c>
      <x:c r="C1322" s="34" t="n">
        <x:f>Subsurface_Live_Data!A96</x:f>
        <x:v>-13</x:v>
      </x:c>
      <x:c r="D1322" s="34" t="n">
        <x:f>Subsurface_Live_Data!Y96</x:f>
        <x:v>11.379905453939706</x:v>
      </x:c>
      <x:c r="E1322" s="34" t="n">
        <x:f>Subsurface_Live_Data!A96</x:f>
        <x:v>-13</x:v>
      </x:c>
      <x:c r="F1322" s="34" t="n">
        <x:f>Subsurface_Live_Data!AA96</x:f>
        <x:v>0</x:v>
      </x:c>
    </x:row>
    <x:row r="1323">
      <x:c r="A1323" s="34" t="n">
        <x:f>Subsurface_Live_Data!A97</x:f>
        <x:v>-12.5</x:v>
      </x:c>
      <x:c r="B1323" s="34" t="n">
        <x:f>Subsurface_Live_Data!X97</x:f>
        <x:v>17.370444709157717</x:v>
      </x:c>
      <x:c r="C1323" s="34" t="n">
        <x:f>Subsurface_Live_Data!A97</x:f>
        <x:v>-12.5</x:v>
      </x:c>
      <x:c r="D1323" s="34" t="n">
        <x:f>Subsurface_Live_Data!Y97</x:f>
        <x:v>11.289568636877028</x:v>
      </x:c>
      <x:c r="E1323" s="34" t="n">
        <x:f>Subsurface_Live_Data!A97</x:f>
        <x:v>-12.5</x:v>
      </x:c>
      <x:c r="F1323" s="34" t="n">
        <x:f>Subsurface_Live_Data!AA97</x:f>
        <x:v>0</x:v>
      </x:c>
    </x:row>
    <x:row r="1324">
      <x:c r="A1324" s="34" t="n">
        <x:f>Subsurface_Live_Data!A98</x:f>
        <x:v>-12</x:v>
      </x:c>
      <x:c r="B1324" s="34" t="n">
        <x:f>Subsurface_Live_Data!X98</x:f>
        <x:v>17.10038073434223</x:v>
      </x:c>
      <x:c r="C1324" s="34" t="n">
        <x:f>Subsurface_Live_Data!A98</x:f>
        <x:v>-12</x:v>
      </x:c>
      <x:c r="D1324" s="34" t="n">
        <x:f>Subsurface_Live_Data!Y98</x:f>
        <x:v>11.06899877662434</x:v>
      </x:c>
      <x:c r="E1324" s="34" t="n">
        <x:f>Subsurface_Live_Data!A98</x:f>
        <x:v>-12</x:v>
      </x:c>
      <x:c r="F1324" s="34" t="n">
        <x:f>Subsurface_Live_Data!AA98</x:f>
        <x:v>0</x:v>
      </x:c>
    </x:row>
    <x:row r="1325">
      <x:c r="A1325" s="34" t="n">
        <x:f>Subsurface_Live_Data!A99</x:f>
        <x:v>-11.5</x:v>
      </x:c>
      <x:c r="B1325" s="34" t="n">
        <x:f>Subsurface_Live_Data!X99</x:f>
        <x:v>16.83375843907528</x:v>
      </x:c>
      <x:c r="C1325" s="34" t="n">
        <x:f>Subsurface_Live_Data!A99</x:f>
        <x:v>-11.5</x:v>
      </x:c>
      <x:c r="D1325" s="34" t="n">
        <x:f>Subsurface_Live_Data!Y99</x:f>
        <x:v>11.00071227984526</x:v>
      </x:c>
      <x:c r="E1325" s="34" t="n">
        <x:f>Subsurface_Live_Data!A99</x:f>
        <x:v>-11.5</x:v>
      </x:c>
      <x:c r="F1325" s="34" t="n">
        <x:f>Subsurface_Live_Data!AA99</x:f>
        <x:v>0</x:v>
      </x:c>
    </x:row>
    <x:row r="1326">
      <x:c r="A1326" s="34" t="n">
        <x:f>Subsurface_Live_Data!A100</x:f>
        <x:v>-11</x:v>
      </x:c>
      <x:c r="B1326" s="34" t="n">
        <x:f>Subsurface_Live_Data!X100</x:f>
        <x:v>16.571560091795448</x:v>
      </x:c>
      <x:c r="C1326" s="34" t="n">
        <x:f>Subsurface_Live_Data!A100</x:f>
        <x:v>-11</x:v>
      </x:c>
      <x:c r="D1326" s="34" t="n">
        <x:f>Subsurface_Live_Data!Y100</x:f>
        <x:v>10.84878669749451</x:v>
      </x:c>
      <x:c r="E1326" s="34" t="n">
        <x:f>Subsurface_Live_Data!A100</x:f>
        <x:v>-11</x:v>
      </x:c>
      <x:c r="F1326" s="34" t="n">
        <x:f>Subsurface_Live_Data!AA100</x:f>
        <x:v>0</x:v>
      </x:c>
    </x:row>
    <x:row r="1327">
      <x:c r="A1327" s="34" t="n">
        <x:f>Subsurface_Live_Data!A101</x:f>
        <x:v>-10.5</x:v>
      </x:c>
      <x:c r="B1327" s="34" t="n">
        <x:f>Subsurface_Live_Data!X101</x:f>
        <x:v>16.314669390216686</x:v>
      </x:c>
      <x:c r="C1327" s="34" t="n">
        <x:f>Subsurface_Live_Data!A101</x:f>
        <x:v>-10.5</x:v>
      </x:c>
      <x:c r="D1327" s="34" t="n">
        <x:f>Subsurface_Live_Data!Y101</x:f>
        <x:v>10.715600351220239</x:v>
      </x:c>
      <x:c r="E1327" s="34" t="n">
        <x:f>Subsurface_Live_Data!A101</x:f>
        <x:v>-10.5</x:v>
      </x:c>
      <x:c r="F1327" s="34" t="n">
        <x:f>Subsurface_Live_Data!AA101</x:f>
        <x:v>0</x:v>
      </x:c>
    </x:row>
    <x:row r="1328">
      <x:c r="A1328" s="34" t="n">
        <x:f>Subsurface_Live_Data!A102</x:f>
        <x:v>-10</x:v>
      </x:c>
      <x:c r="B1328" s="34" t="n">
        <x:f>Subsurface_Live_Data!X102</x:f>
        <x:v>16.063869259911854</x:v>
      </x:c>
      <x:c r="C1328" s="34" t="n">
        <x:f>Subsurface_Live_Data!A102</x:f>
        <x:v>-10</x:v>
      </x:c>
      <x:c r="D1328" s="34" t="n">
        <x:f>Subsurface_Live_Data!Y102</x:f>
        <x:v>10.552937731266816</x:v>
      </x:c>
      <x:c r="E1328" s="34" t="n">
        <x:f>Subsurface_Live_Data!A102</x:f>
        <x:v>-10</x:v>
      </x:c>
      <x:c r="F1328" s="34" t="n">
        <x:f>Subsurface_Live_Data!AA102</x:f>
        <x:v>0</x:v>
      </x:c>
    </x:row>
    <x:row r="1329">
      <x:c r="A1329" s="34" t="n">
        <x:f>Subsurface_Live_Data!A103</x:f>
        <x:v>-9.5</x:v>
      </x:c>
      <x:c r="B1329" s="34" t="n">
        <x:f>Subsurface_Live_Data!X103</x:f>
        <x:v>15.819841037489528</x:v>
      </x:c>
      <x:c r="C1329" s="34" t="n">
        <x:f>Subsurface_Live_Data!A103</x:f>
        <x:v>-9.5</x:v>
      </x:c>
      <x:c r="D1329" s="34" t="n">
        <x:f>Subsurface_Live_Data!Y103</x:f>
        <x:v>10.37937353917549</x:v>
      </x:c>
      <x:c r="E1329" s="34" t="n">
        <x:f>Subsurface_Live_Data!A103</x:f>
        <x:v>-9.5</x:v>
      </x:c>
      <x:c r="F1329" s="34" t="n">
        <x:f>Subsurface_Live_Data!AA103</x:f>
        <x:v>0</x:v>
      </x:c>
    </x:row>
    <x:row r="1330">
      <x:c r="A1330" s="34" t="n">
        <x:f>Subsurface_Live_Data!A104</x:f>
        <x:v>-9</x:v>
      </x:c>
      <x:c r="B1330" s="34" t="n">
        <x:f>Subsurface_Live_Data!X104</x:f>
        <x:v>15.583164963735317</x:v>
      </x:c>
      <x:c r="C1330" s="34" t="n">
        <x:f>Subsurface_Live_Data!A104</x:f>
        <x:v>-9</x:v>
      </x:c>
      <x:c r="D1330" s="34" t="n">
        <x:f>Subsurface_Live_Data!Y104</x:f>
        <x:v>10.259264306893598</x:v>
      </x:c>
      <x:c r="E1330" s="34" t="n">
        <x:f>Subsurface_Live_Data!A104</x:f>
        <x:v>-9</x:v>
      </x:c>
      <x:c r="F1330" s="34" t="n">
        <x:f>Subsurface_Live_Data!AA104</x:f>
        <x:v>0</x:v>
      </x:c>
    </x:row>
    <x:row r="1331">
      <x:c r="A1331" s="34" t="n">
        <x:f>Subsurface_Live_Data!A105</x:f>
        <x:v>-8.5</x:v>
      </x:c>
      <x:c r="B1331" s="34" t="n">
        <x:f>Subsurface_Live_Data!X105</x:f>
        <x:v>15.354321895441132</x:v>
      </x:c>
      <x:c r="C1331" s="34" t="n">
        <x:f>Subsurface_Live_Data!A105</x:f>
        <x:v>-8.5</x:v>
      </x:c>
      <x:c r="D1331" s="34" t="n">
        <x:f>Subsurface_Live_Data!Y105</x:f>
        <x:v>9.995583270854908</x:v>
      </x:c>
      <x:c r="E1331" s="34" t="n">
        <x:f>Subsurface_Live_Data!A105</x:f>
        <x:v>-8.5</x:v>
      </x:c>
      <x:c r="F1331" s="34" t="n">
        <x:f>Subsurface_Live_Data!AA105</x:f>
        <x:v>0</x:v>
      </x:c>
    </x:row>
    <x:row r="1332">
      <x:c r="A1332" s="34" t="n">
        <x:f>Subsurface_Live_Data!A106</x:f>
        <x:v>-8</x:v>
      </x:c>
      <x:c r="B1332" s="34" t="n">
        <x:f>Subsurface_Live_Data!X106</x:f>
        <x:v>15.13369613098466</x:v>
      </x:c>
      <x:c r="C1332" s="34" t="n">
        <x:f>Subsurface_Live_Data!A106</x:f>
        <x:v>-8</x:v>
      </x:c>
      <x:c r="D1332" s="34" t="n">
        <x:f>Subsurface_Live_Data!Y106</x:f>
        <x:v>9.901768272525374</x:v>
      </x:c>
      <x:c r="E1332" s="34" t="n">
        <x:f>Subsurface_Live_Data!A106</x:f>
        <x:v>-8</x:v>
      </x:c>
      <x:c r="F1332" s="34" t="n">
        <x:f>Subsurface_Live_Data!AA106</x:f>
        <x:v>0</x:v>
      </x:c>
    </x:row>
    <x:row r="1333">
      <x:c r="A1333" s="34" t="n">
        <x:f>Subsurface_Live_Data!A107</x:f>
        <x:v>-7.5</x:v>
      </x:c>
      <x:c r="B1333" s="34" t="n">
        <x:f>Subsurface_Live_Data!X107</x:f>
        <x:v>14.92157923415759</x:v>
      </x:c>
      <x:c r="C1333" s="34" t="n">
        <x:f>Subsurface_Live_Data!A107</x:f>
        <x:v>-7.5</x:v>
      </x:c>
      <x:c r="D1333" s="34" t="n">
        <x:f>Subsurface_Live_Data!Y107</x:f>
        <x:v>9.71108668593208</x:v>
      </x:c>
      <x:c r="E1333" s="34" t="n">
        <x:f>Subsurface_Live_Data!A107</x:f>
        <x:v>-7.5</x:v>
      </x:c>
      <x:c r="F1333" s="34" t="n">
        <x:f>Subsurface_Live_Data!AA107</x:f>
        <x:v>0</x:v>
      </x:c>
    </x:row>
    <x:row r="1334">
      <x:c r="A1334" s="34" t="n">
        <x:f>Subsurface_Live_Data!A108</x:f>
        <x:v>-7</x:v>
      </x:c>
      <x:c r="B1334" s="34" t="n">
        <x:f>Subsurface_Live_Data!X108</x:f>
        <x:v>14.718174733304274</x:v>
      </x:c>
      <x:c r="C1334" s="34" t="n">
        <x:f>Subsurface_Live_Data!A108</x:f>
        <x:v>-7</x:v>
      </x:c>
      <x:c r="D1334" s="34" t="n">
        <x:f>Subsurface_Live_Data!Y108</x:f>
        <x:v>9.416807921530676</x:v>
      </x:c>
      <x:c r="E1334" s="34" t="n">
        <x:f>Subsurface_Live_Data!A108</x:f>
        <x:v>-7</x:v>
      </x:c>
      <x:c r="F1334" s="34" t="n">
        <x:f>Subsurface_Live_Data!AA108</x:f>
        <x:v>0</x:v>
      </x:c>
    </x:row>
    <x:row r="1335">
      <x:c r="A1335" s="34" t="n">
        <x:f>Subsurface_Live_Data!A109</x:f>
        <x:v>-6.5</x:v>
      </x:c>
      <x:c r="B1335" s="34" t="n">
        <x:f>Subsurface_Live_Data!X109</x:f>
        <x:v>14.523603568475075</x:v>
      </x:c>
      <x:c r="C1335" s="34" t="n">
        <x:f>Subsurface_Live_Data!A109</x:f>
        <x:v>-6.5</x:v>
      </x:c>
      <x:c r="D1335" s="34" t="n">
        <x:f>Subsurface_Live_Data!Y109</x:f>
        <x:v>9.317874115560905</x:v>
      </x:c>
      <x:c r="E1335" s="34" t="n">
        <x:f>Subsurface_Live_Data!A109</x:f>
        <x:v>-6.5</x:v>
      </x:c>
      <x:c r="F1335" s="34" t="n">
        <x:f>Subsurface_Live_Data!AA109</x:f>
        <x:v>0</x:v>
      </x:c>
    </x:row>
    <x:row r="1336">
      <x:c r="A1336" s="34" t="n">
        <x:f>Subsurface_Live_Data!A110</x:f>
        <x:v>-6</x:v>
      </x:c>
      <x:c r="B1336" s="34" t="n">
        <x:f>Subsurface_Live_Data!X110</x:f>
        <x:v>14.337910157900254</x:v>
      </x:c>
      <x:c r="C1336" s="34" t="n">
        <x:f>Subsurface_Live_Data!A110</x:f>
        <x:v>-6</x:v>
      </x:c>
      <x:c r="D1336" s="34" t="n">
        <x:f>Subsurface_Live_Data!Y110</x:f>
        <x:v>9.12070150207203</x:v>
      </x:c>
      <x:c r="E1336" s="34" t="n">
        <x:f>Subsurface_Live_Data!A110</x:f>
        <x:v>-6</x:v>
      </x:c>
      <x:c r="F1336" s="34" t="n">
        <x:f>Subsurface_Live_Data!AA110</x:f>
        <x:v>0</x:v>
      </x:c>
    </x:row>
    <x:row r="1337">
      <x:c r="A1337" s="34" t="n">
        <x:f>Subsurface_Live_Data!A111</x:f>
        <x:v>-5.5</x:v>
      </x:c>
      <x:c r="B1337" s="34" t="n">
        <x:f>Subsurface_Live_Data!X111</x:f>
        <x:v>14.161068956467403</x:v>
      </x:c>
      <x:c r="C1337" s="34" t="n">
        <x:f>Subsurface_Live_Data!A111</x:f>
        <x:v>-5.5</x:v>
      </x:c>
      <x:c r="D1337" s="34" t="n">
        <x:f>Subsurface_Live_Data!Y111</x:f>
        <x:v>8.914326917310795</x:v>
      </x:c>
      <x:c r="E1337" s="34" t="n">
        <x:f>Subsurface_Live_Data!A111</x:f>
        <x:v>-5.5</x:v>
      </x:c>
      <x:c r="F1337" s="34" t="n">
        <x:f>Subsurface_Live_Data!AA111</x:f>
        <x:v>0</x:v>
      </x:c>
    </x:row>
    <x:row r="1338">
      <x:c r="A1338" s="34" t="n">
        <x:f>Subsurface_Live_Data!A112</x:f>
        <x:v>-5</x:v>
      </x:c>
      <x:c r="B1338" s="34" t="n">
        <x:f>Subsurface_Live_Data!X112</x:f>
        <x:v>13.992991382799218</x:v>
      </x:c>
      <x:c r="C1338" s="34" t="n">
        <x:f>Subsurface_Live_Data!A112</x:f>
        <x:v>-5</x:v>
      </x:c>
      <x:c r="D1338" s="34" t="n">
        <x:f>Subsurface_Live_Data!Y112</x:f>
        <x:v>8.709851587082419</x:v>
      </x:c>
      <x:c r="E1338" s="34" t="n">
        <x:f>Subsurface_Live_Data!A112</x:f>
        <x:v>-5</x:v>
      </x:c>
      <x:c r="F1338" s="34" t="n">
        <x:f>Subsurface_Live_Data!AA112</x:f>
        <x:v>0</x:v>
      </x:c>
    </x:row>
    <x:row r="1339">
      <x:c r="A1339" s="34" t="n">
        <x:f>Subsurface_Live_Data!A113</x:f>
        <x:v>-4.5</x:v>
      </x:c>
      <x:c r="B1339" s="34" t="n">
        <x:f>Subsurface_Live_Data!X113</x:f>
        <x:v>13.833532997691151</x:v>
      </x:c>
      <x:c r="C1339" s="34" t="n">
        <x:f>Subsurface_Live_Data!A113</x:f>
        <x:v>-4.5</x:v>
      </x:c>
      <x:c r="D1339" s="34" t="n">
        <x:f>Subsurface_Live_Data!Y113</x:f>
        <x:v>8.544905322863741</x:v>
      </x:c>
      <x:c r="E1339" s="34" t="n">
        <x:f>Subsurface_Live_Data!A113</x:f>
        <x:v>-4.5</x:v>
      </x:c>
      <x:c r="F1339" s="34" t="n">
        <x:f>Subsurface_Live_Data!AA113</x:f>
        <x:v>0</x:v>
      </x:c>
    </x:row>
    <x:row r="1340">
      <x:c r="A1340" s="34" t="n">
        <x:f>Subsurface_Live_Data!A114</x:f>
        <x:v>-4</x:v>
      </x:c>
      <x:c r="B1340" s="34" t="n">
        <x:f>Subsurface_Live_Data!X114</x:f>
        <x:v>13.68250082475744</x:v>
      </x:c>
      <x:c r="C1340" s="34" t="n">
        <x:f>Subsurface_Live_Data!A114</x:f>
        <x:v>-4</x:v>
      </x:c>
      <x:c r="D1340" s="34" t="n">
        <x:f>Subsurface_Live_Data!Y114</x:f>
        <x:v>8.411822848461185</x:v>
      </x:c>
      <x:c r="E1340" s="34" t="n">
        <x:f>Subsurface_Live_Data!A114</x:f>
        <x:v>-4</x:v>
      </x:c>
      <x:c r="F1340" s="34" t="n">
        <x:f>Subsurface_Live_Data!AA114</x:f>
        <x:v>0</x:v>
      </x:c>
    </x:row>
    <x:row r="1341">
      <x:c r="A1341" s="34" t="n">
        <x:f>Subsurface_Live_Data!A115</x:f>
        <x:v>-3.5</x:v>
      </x:c>
      <x:c r="B1341" s="34" t="n">
        <x:f>Subsurface_Live_Data!X115</x:f>
        <x:v>13.539660713796572</x:v>
      </x:c>
      <x:c r="C1341" s="34" t="n">
        <x:f>Subsurface_Live_Data!A115</x:f>
        <x:v>-3.5</x:v>
      </x:c>
      <x:c r="D1341" s="34" t="n">
        <x:f>Subsurface_Live_Data!Y115</x:f>
        <x:v>8.168158463866561</x:v>
      </x:c>
      <x:c r="E1341" s="34" t="n">
        <x:f>Subsurface_Live_Data!A115</x:f>
        <x:v>-3.5</x:v>
      </x:c>
      <x:c r="F1341" s="34" t="n">
        <x:f>Subsurface_Live_Data!AA115</x:f>
        <x:v>0</x:v>
      </x:c>
    </x:row>
    <x:row r="1342">
      <x:c r="A1342" s="34" t="n">
        <x:f>Subsurface_Live_Data!A116</x:f>
        <x:v>-3</x:v>
      </x:c>
      <x:c r="B1342" s="34" t="n">
        <x:f>Subsurface_Live_Data!X116</x:f>
        <x:v>13.404744658252852</x:v>
      </x:c>
      <x:c r="C1342" s="34" t="n">
        <x:f>Subsurface_Live_Data!A116</x:f>
        <x:v>-3</x:v>
      </x:c>
      <x:c r="D1342" s="34" t="n">
        <x:f>Subsurface_Live_Data!Y116</x:f>
        <x:v>8.102847555253376</x:v>
      </x:c>
      <x:c r="E1342" s="34" t="n">
        <x:f>Subsurface_Live_Data!A116</x:f>
        <x:v>-3</x:v>
      </x:c>
      <x:c r="F1342" s="34" t="n">
        <x:f>Subsurface_Live_Data!AA116</x:f>
        <x:v>0</x:v>
      </x:c>
    </x:row>
    <x:row r="1343">
      <x:c r="A1343" s="34" t="n">
        <x:f>Subsurface_Live_Data!A117</x:f>
        <x:v>-2.5</x:v>
      </x:c>
      <x:c r="B1343" s="34" t="n">
        <x:f>Subsurface_Live_Data!X117</x:f>
        <x:v>13.27745798983797</x:v>
      </x:c>
      <x:c r="C1343" s="34" t="n">
        <x:f>Subsurface_Live_Data!A117</x:f>
        <x:v>-2.5</x:v>
      </x:c>
      <x:c r="D1343" s="34" t="n">
        <x:f>Subsurface_Live_Data!Y117</x:f>
        <x:v>7.97272555069658</x:v>
      </x:c>
      <x:c r="E1343" s="34" t="n">
        <x:f>Subsurface_Live_Data!A117</x:f>
        <x:v>-2.5</x:v>
      </x:c>
      <x:c r="F1343" s="34" t="n">
        <x:f>Subsurface_Live_Data!AA117</x:f>
        <x:v>0</x:v>
      </x:c>
    </x:row>
    <x:row r="1344">
      <x:c r="A1344" s="34" t="n">
        <x:f>Subsurface_Live_Data!A118</x:f>
        <x:v>-2</x:v>
      </x:c>
      <x:c r="B1344" s="34" t="n">
        <x:f>Subsurface_Live_Data!X118</x:f>
        <x:v>13.157486385502175</x:v>
      </x:c>
      <x:c r="C1344" s="34" t="n">
        <x:f>Subsurface_Live_Data!A118</x:f>
        <x:v>-2</x:v>
      </x:c>
      <x:c r="D1344" s="34" t="n">
        <x:f>Subsurface_Live_Data!Y118</x:f>
        <x:v>7.9153326994303015</x:v>
      </x:c>
      <x:c r="E1344" s="34" t="n">
        <x:f>Subsurface_Live_Data!A118</x:f>
        <x:v>-2</x:v>
      </x:c>
      <x:c r="F1344" s="34" t="n">
        <x:f>Subsurface_Live_Data!AA118</x:f>
        <x:v>0</x:v>
      </x:c>
    </x:row>
    <x:row r="1345">
      <x:c r="A1345" s="34" t="n">
        <x:f>Subsurface_Live_Data!A119</x:f>
        <x:v>-1.5</x:v>
      </x:c>
      <x:c r="B1345" s="34" t="n">
        <x:f>Subsurface_Live_Data!X119</x:f>
        <x:v>13.044502634131028</x:v>
      </x:c>
      <x:c r="C1345" s="34" t="n">
        <x:f>Subsurface_Live_Data!A119</x:f>
        <x:v>-1.5</x:v>
      </x:c>
      <x:c r="D1345" s="34" t="n">
        <x:f>Subsurface_Live_Data!Y119</x:f>
        <x:v>7.7670025372452045</x:v>
      </x:c>
      <x:c r="E1345" s="34" t="n">
        <x:f>Subsurface_Live_Data!A119</x:f>
        <x:v>-1.5</x:v>
      </x:c>
      <x:c r="F1345" s="34" t="n">
        <x:f>Subsurface_Live_Data!AA119</x:f>
        <x:v>0</x:v>
      </x:c>
    </x:row>
    <x:row r="1346">
      <x:c r="A1346" s="34" t="n">
        <x:f>Subsurface_Live_Data!A120</x:f>
        <x:v>-1</x:v>
      </x:c>
      <x:c r="B1346" s="34" t="n">
        <x:f>Subsurface_Live_Data!X120</x:f>
        <x:v>12.938173122224349</x:v>
      </x:c>
      <x:c r="C1346" s="34" t="n">
        <x:f>Subsurface_Live_Data!A120</x:f>
        <x:v>-1</x:v>
      </x:c>
      <x:c r="D1346" s="34" t="n">
        <x:f>Subsurface_Live_Data!Y120</x:f>
        <x:v>7.694701387861457</x:v>
      </x:c>
      <x:c r="E1346" s="34" t="n">
        <x:f>Subsurface_Live_Data!A120</x:f>
        <x:v>-1</x:v>
      </x:c>
      <x:c r="F1346" s="34" t="n">
        <x:f>Subsurface_Live_Data!AA120</x:f>
        <x:v>0</x:v>
      </x:c>
    </x:row>
    <x:row r="1347">
      <x:c r="A1347" s="34" t="n">
        <x:f>Subsurface_Live_Data!A121</x:f>
        <x:v>-0.5</x:v>
      </x:c>
      <x:c r="B1347" s="34" t="n">
        <x:f>Subsurface_Live_Data!X121</x:f>
        <x:v>12.838164009041982</x:v>
      </x:c>
      <x:c r="C1347" s="34" t="n">
        <x:f>Subsurface_Live_Data!A121</x:f>
        <x:v>-0.5</x:v>
      </x:c>
      <x:c r="D1347" s="34" t="n">
        <x:f>Subsurface_Live_Data!Y121</x:f>
        <x:v>7.739958542105505</x:v>
      </x:c>
      <x:c r="E1347" s="34" t="n">
        <x:f>Subsurface_Live_Data!A121</x:f>
        <x:v>-0.5</x:v>
      </x:c>
      <x:c r="F1347" s="34" t="n">
        <x:f>Subsurface_Live_Data!AA121</x:f>
        <x:v>0</x:v>
      </x:c>
    </x:row>
    <x:row r="1348">
      <x:c r="A1348" s="34" t="n">
        <x:f>Subsurface_Live_Data!A122</x:f>
        <x:v>0</x:v>
      </x:c>
      <x:c r="B1348" s="34" t="n">
        <x:f>Subsurface_Live_Data!X122</x:f>
        <x:v>12.744147071951353</x:v>
      </x:c>
      <x:c r="C1348" s="34" t="n">
        <x:f>Subsurface_Live_Data!A122</x:f>
        <x:v>0</x:v>
      </x:c>
      <x:c r="D1348" s="34" t="n">
        <x:f>Subsurface_Live_Data!Y122</x:f>
        <x:v>7.660593900141208</x:v>
      </x:c>
      <x:c r="E1348" s="34" t="n">
        <x:f>Subsurface_Live_Data!A122</x:f>
        <x:v>0</x:v>
      </x:c>
      <x:c r="F1348" s="34" t="n">
        <x:f>Subsurface_Live_Data!AA122</x:f>
        <x:v>0</x:v>
      </x:c>
    </x:row>
    <x:row r="1349">
      <x:c r="A1349" s="34" t="n">
        <x:f>Subsurface_Live_Data!A123</x:f>
        <x:v>0.5</x:v>
      </x:c>
      <x:c r="B1349" s="34" t="n">
        <x:f>Subsurface_Live_Data!X123</x:f>
        <x:v>12.65580521169096</x:v>
      </x:c>
      <x:c r="C1349" s="34" t="n">
        <x:f>Subsurface_Live_Data!A123</x:f>
        <x:v>0.5</x:v>
      </x:c>
      <x:c r="D1349" s="34" t="n">
        <x:f>Subsurface_Live_Data!Y123</x:f>
        <x:v>7.56799385614989</x:v>
      </x:c>
      <x:c r="E1349" s="34" t="n">
        <x:f>Subsurface_Live_Data!A123</x:f>
        <x:v>0.5</x:v>
      </x:c>
      <x:c r="F1349" s="34" t="n">
        <x:f>Subsurface_Live_Data!AA123</x:f>
        <x:v>0</x:v>
      </x:c>
    </x:row>
    <x:row r="1350">
      <x:c r="A1350" s="34" t="n">
        <x:f>Subsurface_Live_Data!A124</x:f>
        <x:v>1</x:v>
      </x:c>
      <x:c r="B1350" s="34" t="n">
        <x:f>Subsurface_Live_Data!X124</x:f>
        <x:v>12.572837614709385</x:v>
      </x:c>
      <x:c r="C1350" s="34" t="n">
        <x:f>Subsurface_Live_Data!A124</x:f>
        <x:v>1</x:v>
      </x:c>
      <x:c r="D1350" s="34" t="n">
        <x:f>Subsurface_Live_Data!Y124</x:f>
        <x:v>7.541546479781566</x:v>
      </x:c>
      <x:c r="E1350" s="34" t="n">
        <x:f>Subsurface_Live_Data!A124</x:f>
        <x:v>1</x:v>
      </x:c>
      <x:c r="F1350" s="34" t="n">
        <x:f>Subsurface_Live_Data!AA124</x:f>
        <x:v>0</x:v>
      </x:c>
    </x:row>
    <x:row r="1351">
      <x:c r="A1351" s="34" t="n">
        <x:f>Subsurface_Live_Data!A125</x:f>
        <x:v>1.5</x:v>
      </x:c>
      <x:c r="B1351" s="34" t="n">
        <x:f>Subsurface_Live_Data!X125</x:f>
        <x:v>12.494964575430025</x:v>
      </x:c>
      <x:c r="C1351" s="34" t="n">
        <x:f>Subsurface_Live_Data!A125</x:f>
        <x:v>1.5</x:v>
      </x:c>
      <x:c r="D1351" s="34" t="n">
        <x:f>Subsurface_Live_Data!Y125</x:f>
        <x:v>7.5424913275554815</x:v>
      </x:c>
      <x:c r="E1351" s="34" t="n">
        <x:f>Subsurface_Live_Data!A125</x:f>
        <x:v>1.5</x:v>
      </x:c>
      <x:c r="F1351" s="34" t="n">
        <x:f>Subsurface_Live_Data!AA125</x:f>
        <x:v>0</x:v>
      </x:c>
    </x:row>
    <x:row r="1352">
      <x:c r="A1352" s="34" t="n">
        <x:f>Subsurface_Live_Data!A126</x:f>
        <x:v>2</x:v>
      </x:c>
      <x:c r="B1352" s="34" t="n">
        <x:f>Subsurface_Live_Data!X126</x:f>
        <x:v>12.421931985047692</x:v>
      </x:c>
      <x:c r="C1352" s="34" t="n">
        <x:f>Subsurface_Live_Data!A126</x:f>
        <x:v>2</x:v>
      </x:c>
      <x:c r="D1352" s="34" t="n">
        <x:f>Subsurface_Live_Data!Y126</x:f>
        <x:v>7.541716023960383</x:v>
      </x:c>
      <x:c r="E1352" s="34" t="n">
        <x:f>Subsurface_Live_Data!A126</x:f>
        <x:v>2</x:v>
      </x:c>
      <x:c r="F1352" s="34" t="n">
        <x:f>Subsurface_Live_Data!AA126</x:f>
        <x:v>0</x:v>
      </x:c>
    </x:row>
    <x:row r="1353">
      <x:c r="A1353" s="34" t="n">
        <x:f>Subsurface_Live_Data!A127</x:f>
        <x:v>2.5</x:v>
      </x:c>
      <x:c r="B1353" s="34" t="n">
        <x:f>Subsurface_Live_Data!X127</x:f>
        <x:v>12.35351549515601</x:v>
      </x:c>
      <x:c r="C1353" s="34" t="n">
        <x:f>Subsurface_Live_Data!A127</x:f>
        <x:v>2.5</x:v>
      </x:c>
      <x:c r="D1353" s="34" t="n">
        <x:f>Subsurface_Live_Data!Y127</x:f>
        <x:v>7.535639746382422</x:v>
      </x:c>
      <x:c r="E1353" s="34" t="n">
        <x:f>Subsurface_Live_Data!A127</x:f>
        <x:v>2.5</x:v>
      </x:c>
      <x:c r="F1353" s="34" t="n">
        <x:f>Subsurface_Live_Data!AA127</x:f>
        <x:v>0</x:v>
      </x:c>
    </x:row>
    <x:row r="1354">
      <x:c r="A1354" s="34" t="n">
        <x:f>Subsurface_Live_Data!A128</x:f>
        <x:v>3</x:v>
      </x:c>
      <x:c r="B1354" s="34" t="n">
        <x:f>Subsurface_Live_Data!X128</x:f>
        <x:v>12.289524364056305</x:v>
      </x:c>
      <x:c r="C1354" s="34" t="n">
        <x:f>Subsurface_Live_Data!A128</x:f>
        <x:v>3</x:v>
      </x:c>
      <x:c r="D1354" s="34" t="n">
        <x:f>Subsurface_Live_Data!Y128</x:f>
        <x:v>7.400773998090436</x:v>
      </x:c>
      <x:c r="E1354" s="34" t="n">
        <x:f>Subsurface_Live_Data!A128</x:f>
        <x:v>3</x:v>
      </x:c>
      <x:c r="F1354" s="34" t="n">
        <x:f>Subsurface_Live_Data!AA128</x:f>
        <x:v>0</x:v>
      </x:c>
    </x:row>
    <x:row r="1355">
      <x:c r="A1355" s="34" t="n">
        <x:f>Subsurface_Live_Data!A129</x:f>
        <x:v>3.5</x:v>
      </x:c>
      <x:c r="B1355" s="34" t="n">
        <x:f>Subsurface_Live_Data!X129</x:f>
        <x:v>12.229804990995248</x:v>
      </x:c>
      <x:c r="C1355" s="34" t="n">
        <x:f>Subsurface_Live_Data!A129</x:f>
        <x:v>3.5</x:v>
      </x:c>
      <x:c r="D1355" s="34" t="n">
        <x:f>Subsurface_Live_Data!Y129</x:f>
        <x:v>7.460025984144565</x:v>
      </x:c>
      <x:c r="E1355" s="34" t="n">
        <x:f>Subsurface_Live_Data!A129</x:f>
        <x:v>3.5</x:v>
      </x:c>
      <x:c r="F1355" s="34" t="n">
        <x:f>Subsurface_Live_Data!AA129</x:f>
        <x:v>0</x:v>
      </x:c>
    </x:row>
    <x:row r="1356">
      <x:c r="A1356" s="34" t="n">
        <x:f>Subsurface_Live_Data!A130</x:f>
        <x:v>4</x:v>
      </x:c>
      <x:c r="B1356" s="34" t="n">
        <x:f>Subsurface_Live_Data!X130</x:f>
        <x:v>12.17424413886716</x:v>
      </x:c>
      <x:c r="C1356" s="34" t="n">
        <x:f>Subsurface_Live_Data!A130</x:f>
        <x:v>4</x:v>
      </x:c>
      <x:c r="D1356" s="34" t="n">
        <x:f>Subsurface_Live_Data!Y130</x:f>
        <x:v>7.394540837486403</x:v>
      </x:c>
      <x:c r="E1356" s="34" t="n">
        <x:f>Subsurface_Live_Data!A130</x:f>
        <x:v>4</x:v>
      </x:c>
      <x:c r="F1356" s="34" t="n">
        <x:f>Subsurface_Live_Data!AA130</x:f>
        <x:v>0</x:v>
      </x:c>
    </x:row>
    <x:row r="1357">
      <x:c r="A1357" s="34" t="n">
        <x:f>Subsurface_Live_Data!A131</x:f>
        <x:v>4.5</x:v>
      </x:c>
      <x:c r="B1357" s="34" t="n">
        <x:f>Subsurface_Live_Data!X131</x:f>
        <x:v>12.122771839219041</x:v>
      </x:c>
      <x:c r="C1357" s="34" t="n">
        <x:f>Subsurface_Live_Data!A131</x:f>
        <x:v>4.5</x:v>
      </x:c>
      <x:c r="D1357" s="34" t="n">
        <x:f>Subsurface_Live_Data!Y131</x:f>
        <x:v>7.375491122166011</x:v>
      </x:c>
      <x:c r="E1357" s="34" t="n">
        <x:f>Subsurface_Live_Data!A131</x:f>
        <x:v>4.5</x:v>
      </x:c>
      <x:c r="F1357" s="34" t="n">
        <x:f>Subsurface_Live_Data!AA131</x:f>
        <x:v>0</x:v>
      </x:c>
    </x:row>
    <x:row r="1358">
      <x:c r="A1358" s="34" t="n">
        <x:f>Subsurface_Live_Data!A132</x:f>
        <x:v>5</x:v>
      </x:c>
      <x:c r="B1358" s="34" t="n">
        <x:f>Subsurface_Live_Data!X132</x:f>
        <x:v>12.075363964906217</x:v>
      </x:c>
      <x:c r="C1358" s="34" t="n">
        <x:f>Subsurface_Live_Data!A132</x:f>
        <x:v>5</x:v>
      </x:c>
      <x:c r="D1358" s="34" t="n">
        <x:f>Subsurface_Live_Data!Y132</x:f>
        <x:v>7.234433387496523</x:v>
      </x:c>
      <x:c r="E1358" s="34" t="n">
        <x:f>Subsurface_Live_Data!A132</x:f>
        <x:v>5</x:v>
      </x:c>
      <x:c r="F1358" s="34" t="n">
        <x:f>Subsurface_Live_Data!AA132</x:f>
        <x:v>0</x:v>
      </x:c>
    </x:row>
    <x:row r="1359">
      <x:c r="A1359" s="34" t="n">
        <x:f>Subsurface_Live_Data!A133</x:f>
        <x:v>5.5</x:v>
      </x:c>
      <x:c r="B1359" s="34" t="n">
        <x:f>Subsurface_Live_Data!X133</x:f>
        <x:v>12.032044445742287</x:v>
      </x:c>
      <x:c r="C1359" s="34" t="n">
        <x:f>Subsurface_Live_Data!A133</x:f>
        <x:v>5.5</x:v>
      </x:c>
      <x:c r="D1359" s="34" t="n">
        <x:f>Subsurface_Live_Data!Y133</x:f>
        <x:v>7.151128040150709</x:v>
      </x:c>
      <x:c r="E1359" s="34" t="n">
        <x:f>Subsurface_Live_Data!A133</x:f>
        <x:v>5.5</x:v>
      </x:c>
      <x:c r="F1359" s="34" t="n">
        <x:f>Subsurface_Live_Data!AA133</x:f>
        <x:v>0</x:v>
      </x:c>
    </x:row>
    <x:row r="1360">
      <x:c r="A1360" s="34" t="n">
        <x:f>Subsurface_Live_Data!A134</x:f>
        <x:v>6</x:v>
      </x:c>
      <x:c r="B1360" s="34" t="n">
        <x:f>Subsurface_Live_Data!X134</x:f>
        <x:v>11.992887091325358</x:v>
      </x:c>
      <x:c r="C1360" s="34" t="n">
        <x:f>Subsurface_Live_Data!A134</x:f>
        <x:v>6</x:v>
      </x:c>
      <x:c r="D1360" s="34" t="n">
        <x:f>Subsurface_Live_Data!Y134</x:f>
        <x:v>7.091622644256596</x:v>
      </x:c>
      <x:c r="E1360" s="34" t="n">
        <x:f>Subsurface_Live_Data!A134</x:f>
        <x:v>6</x:v>
      </x:c>
      <x:c r="F1360" s="34" t="n">
        <x:f>Subsurface_Live_Data!AA134</x:f>
        <x:v>0</x:v>
      </x:c>
    </x:row>
    <x:row r="1361">
      <x:c r="A1361" s="34" t="n">
        <x:f>Subsurface_Live_Data!A135</x:f>
        <x:v>6.5</x:v>
      </x:c>
      <x:c r="B1361" s="34" t="n">
        <x:f>Subsurface_Live_Data!X135</x:f>
        <x:v>11.958016973347988</x:v>
      </x:c>
      <x:c r="C1361" s="34" t="n">
        <x:f>Subsurface_Live_Data!A135</x:f>
        <x:v>6.5</x:v>
      </x:c>
      <x:c r="D1361" s="34" t="n">
        <x:f>Subsurface_Live_Data!Y135</x:f>
        <x:v>7.022772764799129</x:v>
      </x:c>
      <x:c r="E1361" s="34" t="n">
        <x:f>Subsurface_Live_Data!A135</x:f>
        <x:v>6.5</x:v>
      </x:c>
      <x:c r="F1361" s="34" t="n">
        <x:f>Subsurface_Live_Data!AA135</x:f>
        <x:v>0</x:v>
      </x:c>
    </x:row>
    <x:row r="1362">
      <x:c r="A1362" s="34" t="n">
        <x:f>Subsurface_Live_Data!A136</x:f>
        <x:v>7</x:v>
      </x:c>
      <x:c r="B1362" s="34" t="n">
        <x:f>Subsurface_Live_Data!X136</x:f>
        <x:v>11.92761130763381</x:v>
      </x:c>
      <x:c r="C1362" s="34" t="n">
        <x:f>Subsurface_Live_Data!A136</x:f>
        <x:v>7</x:v>
      </x:c>
      <x:c r="D1362" s="34" t="n">
        <x:f>Subsurface_Live_Data!Y136</x:f>
        <x:v>7.053779572031566</x:v>
      </x:c>
      <x:c r="E1362" s="34" t="n">
        <x:f>Subsurface_Live_Data!A136</x:f>
        <x:v>7</x:v>
      </x:c>
      <x:c r="F1362" s="34" t="n">
        <x:f>Subsurface_Live_Data!AA136</x:f>
        <x:v>0</x:v>
      </x:c>
    </x:row>
    <x:row r="1363">
      <x:c r="A1363" s="34" t="n">
        <x:f>Subsurface_Live_Data!A137</x:f>
        <x:v>7.5</x:v>
      </x:c>
      <x:c r="B1363" s="34" t="n">
        <x:f>Subsurface_Live_Data!X137</x:f>
        <x:v>11.901899764489706</x:v>
      </x:c>
      <x:c r="C1363" s="34" t="n">
        <x:f>Subsurface_Live_Data!A137</x:f>
        <x:v>7.5</x:v>
      </x:c>
      <x:c r="D1363" s="34" t="n">
        <x:f>Subsurface_Live_Data!Y137</x:f>
        <x:v>6.895222783514718</x:v>
      </x:c>
      <x:c r="E1363" s="34" t="n">
        <x:f>Subsurface_Live_Data!A137</x:f>
        <x:v>7.5</x:v>
      </x:c>
      <x:c r="F1363" s="34" t="n">
        <x:f>Subsurface_Live_Data!AA137</x:f>
        <x:v>0</x:v>
      </x:c>
    </x:row>
    <x:row r="1364">
      <x:c r="A1364" s="34" t="n">
        <x:f>Subsurface_Live_Data!A138</x:f>
        <x:v>8</x:v>
      </x:c>
      <x:c r="B1364" s="34" t="n">
        <x:f>Subsurface_Live_Data!X138</x:f>
        <x:v>11.88116412538551</x:v>
      </x:c>
      <x:c r="C1364" s="34" t="n">
        <x:f>Subsurface_Live_Data!A138</x:f>
        <x:v>8</x:v>
      </x:c>
      <x:c r="D1364" s="34" t="n">
        <x:f>Subsurface_Live_Data!Y138</x:f>
        <x:v>6.862655815818961</x:v>
      </x:c>
      <x:c r="E1364" s="34" t="n">
        <x:f>Subsurface_Live_Data!A138</x:f>
        <x:v>8</x:v>
      </x:c>
      <x:c r="F1364" s="34" t="n">
        <x:f>Subsurface_Live_Data!AA138</x:f>
        <x:v>0</x:v>
      </x:c>
    </x:row>
    <x:row r="1365">
      <x:c r="A1365" s="34" t="n">
        <x:f>Subsurface_Live_Data!A139</x:f>
        <x:v>8.5</x:v>
      </x:c>
      <x:c r="B1365" s="34" t="n">
        <x:f>Subsurface_Live_Data!X139</x:f>
        <x:v>11.865737195191137</x:v>
      </x:c>
      <x:c r="C1365" s="34" t="n">
        <x:f>Subsurface_Live_Data!A139</x:f>
        <x:v>8.5</x:v>
      </x:c>
      <x:c r="D1365" s="34" t="n">
        <x:f>Subsurface_Live_Data!Y139</x:f>
        <x:v>6.782690265200294</x:v>
      </x:c>
      <x:c r="E1365" s="34" t="n">
        <x:f>Subsurface_Live_Data!A139</x:f>
        <x:v>8.5</x:v>
      </x:c>
      <x:c r="F1365" s="34" t="n">
        <x:f>Subsurface_Live_Data!AA139</x:f>
        <x:v>0</x:v>
      </x:c>
    </x:row>
    <x:row r="1366">
      <x:c r="A1366" s="34" t="n">
        <x:f>Subsurface_Live_Data!A140</x:f>
        <x:v>9</x:v>
      </x:c>
      <x:c r="B1366" s="34" t="n">
        <x:f>Subsurface_Live_Data!X140</x:f>
        <x:v>11.856000872965367</x:v>
      </x:c>
      <x:c r="C1366" s="34" t="n">
        <x:f>Subsurface_Live_Data!A140</x:f>
        <x:v>9</x:v>
      </x:c>
      <x:c r="D1366" s="34" t="n">
        <x:f>Subsurface_Live_Data!Y140</x:f>
        <x:v>6.802640421381554</x:v>
      </x:c>
      <x:c r="E1366" s="34" t="n">
        <x:f>Subsurface_Live_Data!A140</x:f>
        <x:v>9</x:v>
      </x:c>
      <x:c r="F1366" s="34" t="n">
        <x:f>Subsurface_Live_Data!AA140</x:f>
        <x:v>0</x:v>
      </x:c>
    </x:row>
    <x:row r="1367">
      <x:c r="A1367" s="34" t="n">
        <x:f>Subsurface_Live_Data!A141</x:f>
        <x:v>9.5</x:v>
      </x:c>
      <x:c r="B1367" s="34" t="n">
        <x:f>Subsurface_Live_Data!X141</x:f>
        <x:v>11.852383281359785</x:v>
      </x:c>
      <x:c r="C1367" s="34" t="n">
        <x:f>Subsurface_Live_Data!A141</x:f>
        <x:v>9.5</x:v>
      </x:c>
      <x:c r="D1367" s="34" t="n">
        <x:f>Subsurface_Live_Data!Y141</x:f>
        <x:v>6.807868722571676</x:v>
      </x:c>
      <x:c r="E1367" s="34" t="n">
        <x:f>Subsurface_Live_Data!A141</x:f>
        <x:v>9.5</x:v>
      </x:c>
      <x:c r="F1367" s="34" t="n">
        <x:f>Subsurface_Live_Data!AA141</x:f>
        <x:v>0</x:v>
      </x:c>
    </x:row>
    <x:row r="1368">
      <x:c r="A1368" s="34" t="n">
        <x:f>Subsurface_Live_Data!A142</x:f>
        <x:v>10</x:v>
      </x:c>
      <x:c r="B1368" s="34" t="n">
        <x:f>Subsurface_Live_Data!X142</x:f>
        <x:v>11.85535485581405</x:v>
      </x:c>
      <x:c r="C1368" s="34" t="n">
        <x:f>Subsurface_Live_Data!A142</x:f>
        <x:v>10</x:v>
      </x:c>
      <x:c r="D1368" s="34" t="n">
        <x:f>Subsurface_Live_Data!Y142</x:f>
        <x:v>6.718651903261531</x:v>
      </x:c>
      <x:c r="E1368" s="34" t="n">
        <x:f>Subsurface_Live_Data!A142</x:f>
        <x:v>10</x:v>
      </x:c>
      <x:c r="F1368" s="34" t="n">
        <x:f>Subsurface_Live_Data!AA142</x:f>
        <x:v>0</x:v>
      </x:c>
    </x:row>
    <x:row r="1369">
      <x:c r="A1369" s="34" t="n">
        <x:f>Subsurface_Live_Data!A143</x:f>
        <x:v>10.5</x:v>
      </x:c>
      <x:c r="B1369" s="34" t="n">
        <x:f>Subsurface_Live_Data!X143</x:f>
        <x:v>11.865423300555392</x:v>
      </x:c>
      <x:c r="C1369" s="34" t="n">
        <x:f>Subsurface_Live_Data!A143</x:f>
        <x:v>10.5</x:v>
      </x:c>
      <x:c r="D1369" s="34" t="n">
        <x:f>Subsurface_Live_Data!Y143</x:f>
        <x:v>6.67421816878818</x:v>
      </x:c>
      <x:c r="E1369" s="34" t="n">
        <x:f>Subsurface_Live_Data!A143</x:f>
        <x:v>10.5</x:v>
      </x:c>
      <x:c r="F1369" s="34" t="n">
        <x:f>Subsurface_Live_Data!AA143</x:f>
        <x:v>0</x:v>
      </x:c>
    </x:row>
    <x:row r="1370">
      <x:c r="A1370" s="34" t="n">
        <x:f>Subsurface_Live_Data!A144</x:f>
        <x:v>11</x:v>
      </x:c>
      <x:c r="B1370" s="34" t="n">
        <x:f>Subsurface_Live_Data!X144</x:f>
        <x:v>11.883127329566541</x:v>
      </x:c>
      <x:c r="C1370" s="34" t="n">
        <x:f>Subsurface_Live_Data!A144</x:f>
        <x:v>11</x:v>
      </x:c>
      <x:c r="D1370" s="34" t="n">
        <x:f>Subsurface_Live_Data!Y144</x:f>
        <x:v>6.748857559477642</x:v>
      </x:c>
      <x:c r="E1370" s="34" t="n">
        <x:f>Subsurface_Live_Data!A144</x:f>
        <x:v>11</x:v>
      </x:c>
      <x:c r="F1370" s="34" t="n">
        <x:f>Subsurface_Live_Data!AA144</x:f>
        <x:v>0</x:v>
      </x:c>
    </x:row>
    <x:row r="1371">
      <x:c r="A1371" s="34" t="n">
        <x:f>Subsurface_Live_Data!A145</x:f>
        <x:v>11.5</x:v>
      </x:c>
      <x:c r="B1371" s="34" t="n">
        <x:f>Subsurface_Live_Data!X145</x:f>
        <x:v>11.909029127605393</x:v>
      </x:c>
      <x:c r="C1371" s="34" t="n">
        <x:f>Subsurface_Live_Data!A145</x:f>
        <x:v>11.5</x:v>
      </x:c>
      <x:c r="D1371" s="34" t="n">
        <x:f>Subsurface_Live_Data!Y145</x:f>
        <x:v>6.746361374428972</x:v>
      </x:c>
      <x:c r="E1371" s="34" t="n">
        <x:f>Subsurface_Live_Data!A145</x:f>
        <x:v>11.5</x:v>
      </x:c>
      <x:c r="F1371" s="34" t="n">
        <x:f>Subsurface_Live_Data!AA145</x:f>
        <x:v>0</x:v>
      </x:c>
    </x:row>
    <x:row r="1372">
      <x:c r="A1372" s="34" t="n">
        <x:f>Subsurface_Live_Data!A146</x:f>
        <x:v>12</x:v>
      </x:c>
      <x:c r="B1372" s="34" t="n">
        <x:f>Subsurface_Live_Data!X146</x:f>
        <x:v>11.94370548932877</x:v>
      </x:c>
      <x:c r="C1372" s="34" t="n">
        <x:f>Subsurface_Live_Data!A146</x:f>
        <x:v>12</x:v>
      </x:c>
      <x:c r="D1372" s="34" t="n">
        <x:f>Subsurface_Live_Data!Y146</x:f>
        <x:v>6.745472212837484</x:v>
      </x:c>
      <x:c r="E1372" s="34" t="n">
        <x:f>Subsurface_Live_Data!A146</x:f>
        <x:v>12</x:v>
      </x:c>
      <x:c r="F1372" s="34" t="n">
        <x:f>Subsurface_Live_Data!AA146</x:f>
        <x:v>0</x:v>
      </x:c>
    </x:row>
    <x:row r="1373">
      <x:c r="A1373" s="34" t="n">
        <x:f>Subsurface_Live_Data!A147</x:f>
        <x:v>12.5</x:v>
      </x:c>
      <x:c r="B1373" s="34" t="n">
        <x:f>Subsurface_Live_Data!X147</x:f>
        <x:v>11.987737623657246</x:v>
      </x:c>
      <x:c r="C1373" s="34" t="n">
        <x:f>Subsurface_Live_Data!A147</x:f>
        <x:v>12.5</x:v>
      </x:c>
      <x:c r="D1373" s="34" t="n">
        <x:f>Subsurface_Live_Data!Y147</x:f>
        <x:v>6.861592334330737</x:v>
      </x:c>
      <x:c r="E1373" s="34" t="n">
        <x:f>Subsurface_Live_Data!A147</x:f>
        <x:v>12.5</x:v>
      </x:c>
      <x:c r="F1373" s="34" t="n">
        <x:f>Subsurface_Live_Data!AA147</x:f>
        <x:v>0</x:v>
      </x:c>
    </x:row>
    <x:row r="1374">
      <x:c r="A1374" s="34" t="n">
        <x:f>Subsurface_Live_Data!A148</x:f>
        <x:v>13</x:v>
      </x:c>
      <x:c r="B1374" s="34" t="n">
        <x:f>Subsurface_Live_Data!X148</x:f>
        <x:v>12.041699645535047</x:v>
      </x:c>
      <x:c r="C1374" s="34" t="n">
        <x:f>Subsurface_Live_Data!A148</x:f>
        <x:v>13</x:v>
      </x:c>
      <x:c r="D1374" s="34" t="n">
        <x:f>Subsurface_Live_Data!Y148</x:f>
        <x:v>6.904695729184056</x:v>
      </x:c>
      <x:c r="E1374" s="34" t="n">
        <x:f>Subsurface_Live_Data!A148</x:f>
        <x:v>13</x:v>
      </x:c>
      <x:c r="F1374" s="34" t="n">
        <x:f>Subsurface_Live_Data!AA148</x:f>
        <x:v>0</x:v>
      </x:c>
    </x:row>
    <x:row r="1375">
      <x:c r="A1375" s="34" t="n">
        <x:f>Subsurface_Live_Data!A149</x:f>
        <x:v>13.5</x:v>
      </x:c>
      <x:c r="B1375" s="34" t="n">
        <x:f>Subsurface_Live_Data!X149</x:f>
        <x:v>12.106145817725157</x:v>
      </x:c>
      <x:c r="C1375" s="34" t="n">
        <x:f>Subsurface_Live_Data!A149</x:f>
        <x:v>13.5</x:v>
      </x:c>
      <x:c r="D1375" s="34" t="n">
        <x:f>Subsurface_Live_Data!Y149</x:f>
        <x:v>6.883674818100573</x:v>
      </x:c>
      <x:c r="E1375" s="34" t="n">
        <x:f>Subsurface_Live_Data!A149</x:f>
        <x:v>13.5</x:v>
      </x:c>
      <x:c r="F1375" s="34" t="n">
        <x:f>Subsurface_Live_Data!AA149</x:f>
        <x:v>0</x:v>
      </x:c>
    </x:row>
    <x:row r="1376">
      <x:c r="A1376" s="34" t="n">
        <x:f>Subsurface_Live_Data!A150</x:f>
        <x:v>14</x:v>
      </x:c>
      <x:c r="B1376" s="34" t="n">
        <x:f>Subsurface_Live_Data!X150</x:f>
        <x:v>12.181596650470922</x:v>
      </x:c>
      <x:c r="C1376" s="34" t="n">
        <x:f>Subsurface_Live_Data!A150</x:f>
        <x:v>14</x:v>
      </x:c>
      <x:c r="D1376" s="34" t="n">
        <x:f>Subsurface_Live_Data!Y150</x:f>
        <x:v>6.9831401540182725</x:v>
      </x:c>
      <x:c r="E1376" s="34" t="n">
        <x:f>Subsurface_Live_Data!A150</x:f>
        <x:v>14</x:v>
      </x:c>
      <x:c r="F1376" s="34" t="n">
        <x:f>Subsurface_Live_Data!AA150</x:f>
        <x:v>0</x:v>
      </x:c>
    </x:row>
    <x:row r="1377">
      <x:c r="A1377" s="34" t="n">
        <x:f>Subsurface_Live_Data!A151</x:f>
        <x:v>14.5</x:v>
      </x:c>
      <x:c r="B1377" s="34" t="n">
        <x:f>Subsurface_Live_Data!X151</x:f>
        <x:v>12.268524015677329</x:v>
      </x:c>
      <x:c r="C1377" s="34" t="n">
        <x:f>Subsurface_Live_Data!A151</x:f>
        <x:v>14.5</x:v>
      </x:c>
      <x:c r="D1377" s="34" t="n">
        <x:f>Subsurface_Live_Data!Y151</x:f>
        <x:v>7.085612794805691</x:v>
      </x:c>
      <x:c r="E1377" s="34" t="n">
        <x:f>Subsurface_Live_Data!A151</x:f>
        <x:v>14.5</x:v>
      </x:c>
      <x:c r="F1377" s="34" t="n">
        <x:f>Subsurface_Live_Data!AA151</x:f>
        <x:v>0</x:v>
      </x:c>
    </x:row>
    <x:row r="1378">
      <x:c r="A1378" s="34" t="n">
        <x:f>Subsurface_Live_Data!A152</x:f>
        <x:v>15</x:v>
      </x:c>
      <x:c r="B1378" s="34" t="n">
        <x:f>Subsurface_Live_Data!X152</x:f>
        <x:v>12.367335483337293</x:v>
      </x:c>
      <x:c r="C1378" s="34" t="n">
        <x:f>Subsurface_Live_Data!A152</x:f>
        <x:v>15</x:v>
      </x:c>
      <x:c r="D1378" s="34" t="n">
        <x:f>Subsurface_Live_Data!Y152</x:f>
        <x:v>7.101667015848584</x:v>
      </x:c>
      <x:c r="E1378" s="34" t="n">
        <x:f>Subsurface_Live_Data!A152</x:f>
        <x:v>15</x:v>
      </x:c>
      <x:c r="F1378" s="34" t="n">
        <x:f>Subsurface_Live_Data!AA152</x:f>
        <x:v>0</x:v>
      </x:c>
    </x:row>
    <x:row r="1379">
      <x:c r="A1379" s="34" t="n">
        <x:f>Subsurface_Live_Data!A153</x:f>
        <x:v>15.5</x:v>
      </x:c>
      <x:c r="B1379" s="34" t="n">
        <x:f>Subsurface_Live_Data!X153</x:f>
        <x:v>12.478358139583491</x:v>
      </x:c>
      <x:c r="C1379" s="34" t="n">
        <x:f>Subsurface_Live_Data!A153</x:f>
        <x:v>15.5</x:v>
      </x:c>
      <x:c r="D1379" s="34" t="n">
        <x:f>Subsurface_Live_Data!Y153</x:f>
        <x:v>7.1838132042366</x:v>
      </x:c>
      <x:c r="E1379" s="34" t="n">
        <x:f>Subsurface_Live_Data!A153</x:f>
        <x:v>15.5</x:v>
      </x:c>
      <x:c r="F1379" s="34" t="n">
        <x:f>Subsurface_Live_Data!AA153</x:f>
        <x:v>0</x:v>
      </x:c>
    </x:row>
    <x:row r="1380">
      <x:c r="A1380" s="34" t="n">
        <x:f>Subsurface_Live_Data!A154</x:f>
        <x:v>16</x:v>
      </x:c>
      <x:c r="B1380" s="34" t="n">
        <x:f>Subsurface_Live_Data!X154</x:f>
        <x:v>12.601822196067168</x:v>
      </x:c>
      <x:c r="C1380" s="34" t="n">
        <x:f>Subsurface_Live_Data!A154</x:f>
        <x:v>16</x:v>
      </x:c>
      <x:c r="D1380" s="34" t="n">
        <x:f>Subsurface_Live_Data!Y154</x:f>
        <x:v>7.312281132748701</x:v>
      </x:c>
      <x:c r="E1380" s="34" t="n">
        <x:f>Subsurface_Live_Data!A154</x:f>
        <x:v>16</x:v>
      </x:c>
      <x:c r="F1380" s="34" t="n">
        <x:f>Subsurface_Live_Data!AA154</x:f>
        <x:v>0</x:v>
      </x:c>
    </x:row>
    <x:row r="1381">
      <x:c r="A1381" s="34" t="n">
        <x:f>Subsurface_Live_Data!A155</x:f>
        <x:v>16.5</x:v>
      </x:c>
      <x:c r="B1381" s="34" t="n">
        <x:f>Subsurface_Live_Data!X155</x:f>
        <x:v>12.737844747237688</x:v>
      </x:c>
      <x:c r="C1381" s="34" t="n">
        <x:f>Subsurface_Live_Data!A155</x:f>
        <x:v>16.5</x:v>
      </x:c>
      <x:c r="D1381" s="34" t="n">
        <x:f>Subsurface_Live_Data!Y155</x:f>
        <x:v>7.4521231864764985</x:v>
      </x:c>
      <x:c r="E1381" s="34" t="n">
        <x:f>Subsurface_Live_Data!A155</x:f>
        <x:v>16.5</x:v>
      </x:c>
      <x:c r="F1381" s="34" t="n">
        <x:f>Subsurface_Live_Data!AA155</x:f>
        <x:v>0</x:v>
      </x:c>
    </x:row>
    <x:row r="1382">
      <x:c r="A1382" s="34" t="n">
        <x:f>Subsurface_Live_Data!A156</x:f>
        <x:v>17</x:v>
      </x:c>
      <x:c r="B1382" s="34" t="n">
        <x:f>Subsurface_Live_Data!X156</x:f>
        <x:v>12.886414073279667</x:v>
      </x:c>
      <x:c r="C1382" s="34" t="n">
        <x:f>Subsurface_Live_Data!A156</x:f>
        <x:v>17</x:v>
      </x:c>
      <x:c r="D1382" s="34" t="n">
        <x:f>Subsurface_Live_Data!Y156</x:f>
        <x:v>7.553099997733035</x:v>
      </x:c>
      <x:c r="E1382" s="34" t="n">
        <x:f>Subsurface_Live_Data!A156</x:f>
        <x:v>17</x:v>
      </x:c>
      <x:c r="F1382" s="34" t="n">
        <x:f>Subsurface_Live_Data!AA156</x:f>
        <x:v>0</x:v>
      </x:c>
    </x:row>
    <x:row r="1383">
      <x:c r="A1383" s="34" t="n">
        <x:f>Subsurface_Live_Data!A157</x:f>
        <x:v>17.5</x:v>
      </x:c>
      <x:c r="B1383" s="34" t="n">
        <x:f>Subsurface_Live_Data!X157</x:f>
        <x:v>13.047374919676177</x:v>
      </x:c>
      <x:c r="C1383" s="34" t="n">
        <x:f>Subsurface_Live_Data!A157</x:f>
        <x:v>17.5</x:v>
      </x:c>
      <x:c r="D1383" s="34" t="n">
        <x:f>Subsurface_Live_Data!Y157</x:f>
        <x:v>7.7218277215539715</x:v>
      </x:c>
      <x:c r="E1383" s="34" t="n">
        <x:f>Subsurface_Live_Data!A157</x:f>
        <x:v>17.5</x:v>
      </x:c>
      <x:c r="F1383" s="34" t="n">
        <x:f>Subsurface_Live_Data!AA157</x:f>
        <x:v>0</x:v>
      </x:c>
    </x:row>
    <x:row r="1384">
      <x:c r="A1384" s="34" t="n">
        <x:f>Subsurface_Live_Data!A158</x:f>
        <x:v>18</x:v>
      </x:c>
      <x:c r="B1384" s="34" t="n">
        <x:f>Subsurface_Live_Data!X158</x:f>
        <x:v>13.220415207381862</x:v>
      </x:c>
      <x:c r="C1384" s="34" t="n">
        <x:f>Subsurface_Live_Data!A158</x:f>
        <x:v>18</x:v>
      </x:c>
      <x:c r="D1384" s="34" t="n">
        <x:f>Subsurface_Live_Data!Y158</x:f>
        <x:v>7.871789319044858</x:v>
      </x:c>
      <x:c r="E1384" s="34" t="n">
        <x:f>Subsurface_Live_Data!A158</x:f>
        <x:v>18</x:v>
      </x:c>
      <x:c r="F1384" s="34" t="n">
        <x:f>Subsurface_Live_Data!AA158</x:f>
        <x:v>0</x:v>
      </x:c>
    </x:row>
    <x:row r="1385">
      <x:c r="A1385" s="34" t="n">
        <x:f>Subsurface_Live_Data!A159</x:f>
        <x:v>18.5</x:v>
      </x:c>
      <x:c r="B1385" s="34" t="n">
        <x:f>Subsurface_Live_Data!X159</x:f>
        <x:v>13.405054638347647</x:v>
      </x:c>
      <x:c r="C1385" s="34" t="n">
        <x:f>Subsurface_Live_Data!A159</x:f>
        <x:v>18.5</x:v>
      </x:c>
      <x:c r="D1385" s="34" t="n">
        <x:f>Subsurface_Live_Data!Y159</x:f>
        <x:v>7.9874607557263175</x:v>
      </x:c>
      <x:c r="E1385" s="34" t="n">
        <x:f>Subsurface_Live_Data!A159</x:f>
        <x:v>18.5</x:v>
      </x:c>
      <x:c r="F1385" s="34" t="n">
        <x:f>Subsurface_Live_Data!AA159</x:f>
        <x:v>0</x:v>
      </x:c>
    </x:row>
    <x:row r="1386">
      <x:c r="A1386" s="34" t="n">
        <x:f>Subsurface_Live_Data!A160</x:f>
        <x:v>19</x:v>
      </x:c>
      <x:c r="B1386" s="34" t="n">
        <x:f>Subsurface_Live_Data!X160</x:f>
        <x:v>13.600635657852443</x:v>
      </x:c>
      <x:c r="C1386" s="34" t="n">
        <x:f>Subsurface_Live_Data!A160</x:f>
        <x:v>19</x:v>
      </x:c>
      <x:c r="D1386" s="34" t="n">
        <x:f>Subsurface_Live_Data!Y160</x:f>
        <x:v>8.197329884976163</x:v>
      </x:c>
      <x:c r="E1386" s="34" t="n">
        <x:f>Subsurface_Live_Data!A160</x:f>
        <x:v>19</x:v>
      </x:c>
      <x:c r="F1386" s="34" t="n">
        <x:f>Subsurface_Live_Data!AA160</x:f>
        <x:v>0</x:v>
      </x:c>
    </x:row>
    <x:row r="1387">
      <x:c r="A1387" s="34" t="n">
        <x:f>Subsurface_Live_Data!A161</x:f>
        <x:v>19.5</x:v>
      </x:c>
      <x:c r="B1387" s="34" t="n">
        <x:f>Subsurface_Live_Data!X161</x:f>
        <x:v>13.806317216367262</x:v>
      </x:c>
      <x:c r="C1387" s="34" t="n">
        <x:f>Subsurface_Live_Data!A161</x:f>
        <x:v>19.5</x:v>
      </x:c>
      <x:c r="D1387" s="34" t="n">
        <x:f>Subsurface_Live_Data!Y161</x:f>
        <x:v>8.373013417403499</x:v>
      </x:c>
      <x:c r="E1387" s="34" t="n">
        <x:f>Subsurface_Live_Data!A161</x:f>
        <x:v>19.5</x:v>
      </x:c>
      <x:c r="F1387" s="34" t="n">
        <x:f>Subsurface_Live_Data!AA161</x:f>
        <x:v>0</x:v>
      </x:c>
    </x:row>
    <x:row r="1388">
      <x:c r="A1388" s="34" t="n">
        <x:f>Subsurface_Live_Data!A162</x:f>
        <x:v>20</x:v>
      </x:c>
      <x:c r="B1388" s="34" t="n">
        <x:f>Subsurface_Live_Data!X162</x:f>
        <x:v>14.021071738590685</x:v>
      </x:c>
      <x:c r="C1388" s="34" t="n">
        <x:f>Subsurface_Live_Data!A162</x:f>
        <x:v>20</x:v>
      </x:c>
      <x:c r="D1388" s="34" t="n">
        <x:f>Subsurface_Live_Data!Y162</x:f>
        <x:v>8.528719537877315</x:v>
      </x:c>
      <x:c r="E1388" s="34" t="n">
        <x:f>Subsurface_Live_Data!A162</x:f>
        <x:v>20</x:v>
      </x:c>
      <x:c r="F1388" s="34" t="n">
        <x:f>Subsurface_Live_Data!AA162</x:f>
        <x:v>0</x:v>
      </x:c>
    </x:row>
    <x:row r="1389">
      <x:c r="A1389" s="34" t="n">
        <x:f>Subsurface_Live_Data!A163</x:f>
        <x:v>20.5</x:v>
      </x:c>
      <x:c r="B1389" s="34" t="n">
        <x:f>Subsurface_Live_Data!X163</x:f>
        <x:v>14.243685655520402</x:v>
      </x:c>
      <x:c r="C1389" s="34" t="n">
        <x:f>Subsurface_Live_Data!A163</x:f>
        <x:v>20.5</x:v>
      </x:c>
      <x:c r="D1389" s="34" t="n">
        <x:f>Subsurface_Live_Data!Y163</x:f>
        <x:v>8.69009213477819</x:v>
      </x:c>
      <x:c r="E1389" s="34" t="n">
        <x:f>Subsurface_Live_Data!A163</x:f>
        <x:v>20.5</x:v>
      </x:c>
      <x:c r="F1389" s="34" t="n">
        <x:f>Subsurface_Live_Data!AA163</x:f>
        <x:v>0</x:v>
      </x:c>
    </x:row>
    <x:row r="1390">
      <x:c r="A1390" s="34" t="n">
        <x:f>Subsurface_Live_Data!A164</x:f>
        <x:v>21</x:v>
      </x:c>
      <x:c r="B1390" s="34" t="n">
        <x:f>Subsurface_Live_Data!X164</x:f>
        <x:v>14.47276378728047</x:v>
      </x:c>
      <x:c r="C1390" s="34" t="n">
        <x:f>Subsurface_Live_Data!A164</x:f>
        <x:v>21</x:v>
      </x:c>
      <x:c r="D1390" s="34" t="n">
        <x:f>Subsurface_Live_Data!Y164</x:f>
        <x:v>8.839215672583983</x:v>
      </x:c>
      <x:c r="E1390" s="34" t="n">
        <x:f>Subsurface_Live_Data!A164</x:f>
        <x:v>21</x:v>
      </x:c>
      <x:c r="F1390" s="34" t="n">
        <x:f>Subsurface_Live_Data!AA164</x:f>
        <x:v>0</x:v>
      </x:c>
    </x:row>
    <x:row r="1391">
      <x:c r="A1391" s="34" t="n">
        <x:f>Subsurface_Live_Data!A165</x:f>
        <x:v>21.5</x:v>
      </x:c>
      <x:c r="B1391" s="34" t="n">
        <x:f>Subsurface_Live_Data!X165</x:f>
        <x:v>14.706737780922747</x:v>
      </x:c>
      <x:c r="C1391" s="34" t="n">
        <x:f>Subsurface_Live_Data!A165</x:f>
        <x:v>21.5</x:v>
      </x:c>
      <x:c r="D1391" s="34" t="n">
        <x:f>Subsurface_Live_Data!Y165</x:f>
        <x:v>9.007858255554432</x:v>
      </x:c>
      <x:c r="E1391" s="34" t="n">
        <x:f>Subsurface_Live_Data!A165</x:f>
        <x:v>21.5</x:v>
      </x:c>
      <x:c r="F1391" s="34" t="n">
        <x:f>Subsurface_Live_Data!AA165</x:f>
        <x:v>0</x:v>
      </x:c>
    </x:row>
    <x:row r="1392">
      <x:c r="A1392" s="34" t="n">
        <x:f>Subsurface_Live_Data!A166</x:f>
        <x:v>22</x:v>
      </x:c>
      <x:c r="B1392" s="34" t="n">
        <x:f>Subsurface_Live_Data!X166</x:f>
        <x:v>14.943878710290349</x:v>
      </x:c>
      <x:c r="C1392" s="34" t="n">
        <x:f>Subsurface_Live_Data!A166</x:f>
        <x:v>22</x:v>
      </x:c>
      <x:c r="D1392" s="34" t="n">
        <x:f>Subsurface_Live_Data!Y166</x:f>
        <x:v>9.183034296557892</x:v>
      </x:c>
      <x:c r="E1392" s="34" t="n">
        <x:f>Subsurface_Live_Data!A166</x:f>
        <x:v>22</x:v>
      </x:c>
      <x:c r="F1392" s="34" t="n">
        <x:f>Subsurface_Live_Data!AA166</x:f>
        <x:v>0</x:v>
      </x:c>
    </x:row>
    <x:row r="1393">
      <x:c r="A1393" s="34" t="n">
        <x:f>Subsurface_Live_Data!A167</x:f>
        <x:v>22.5</x:v>
      </x:c>
      <x:c r="B1393" s="34" t="n">
        <x:f>Subsurface_Live_Data!X167</x:f>
        <x:v>15.18231383669486</x:v>
      </x:c>
      <x:c r="C1393" s="34" t="n">
        <x:f>Subsurface_Live_Data!A167</x:f>
        <x:v>22.5</x:v>
      </x:c>
      <x:c r="D1393" s="34" t="n">
        <x:f>Subsurface_Live_Data!Y167</x:f>
        <x:v>9.317959401068606</x:v>
      </x:c>
      <x:c r="E1393" s="34" t="n">
        <x:f>Subsurface_Live_Data!A167</x:f>
        <x:v>22.5</x:v>
      </x:c>
      <x:c r="F1393" s="34" t="n">
        <x:f>Subsurface_Live_Data!AA167</x:f>
        <x:v>0</x:v>
      </x:c>
    </x:row>
    <x:row r="1394">
      <x:c r="A1394" s="34" t="n">
        <x:f>Subsurface_Live_Data!A168</x:f>
        <x:v>23</x:v>
      </x:c>
      <x:c r="B1394" s="34" t="n">
        <x:f>Subsurface_Live_Data!X168</x:f>
        <x:v>15.420047412685456</x:v>
      </x:c>
      <x:c r="C1394" s="34" t="n">
        <x:f>Subsurface_Live_Data!A168</x:f>
        <x:v>23</x:v>
      </x:c>
      <x:c r="D1394" s="34" t="n">
        <x:f>Subsurface_Live_Data!Y168</x:f>
        <x:v>9.4595098540631</x:v>
      </x:c>
      <x:c r="E1394" s="34" t="n">
        <x:f>Subsurface_Live_Data!A168</x:f>
        <x:v>23</x:v>
      </x:c>
      <x:c r="F1394" s="34" t="n">
        <x:f>Subsurface_Live_Data!AA168</x:f>
        <x:v>0</x:v>
      </x:c>
    </x:row>
    <x:row r="1395">
      <x:c r="A1395" s="34" t="n">
        <x:f>Subsurface_Live_Data!A169</x:f>
        <x:v>23.5</x:v>
      </x:c>
      <x:c r="B1395" s="34" t="n">
        <x:f>Subsurface_Live_Data!X169</x:f>
        <x:v>15.654985290203484</x:v>
      </x:c>
      <x:c r="C1395" s="34" t="n">
        <x:f>Subsurface_Live_Data!A169</x:f>
        <x:v>23.5</x:v>
      </x:c>
      <x:c r="D1395" s="34" t="n">
        <x:f>Subsurface_Live_Data!Y169</x:f>
        <x:v>9.590918785865725</x:v>
      </x:c>
      <x:c r="E1395" s="34" t="n">
        <x:f>Subsurface_Live_Data!A169</x:f>
        <x:v>23.5</x:v>
      </x:c>
      <x:c r="F1395" s="34" t="n">
        <x:f>Subsurface_Live_Data!AA169</x:f>
        <x:v>0</x:v>
      </x:c>
    </x:row>
    <x:row r="1396">
      <x:c r="A1396" s="34" t="n">
        <x:f>Subsurface_Live_Data!A170</x:f>
        <x:v>24</x:v>
      </x:c>
      <x:c r="B1396" s="34" t="n">
        <x:f>Subsurface_Live_Data!X170</x:f>
        <x:v>15.884962972985548</x:v>
      </x:c>
      <x:c r="C1396" s="34" t="n">
        <x:f>Subsurface_Live_Data!A170</x:f>
        <x:v>24</x:v>
      </x:c>
      <x:c r="D1396" s="34" t="n">
        <x:f>Subsurface_Live_Data!Y170</x:f>
        <x:v>9.805738417495135</x:v>
      </x:c>
      <x:c r="E1396" s="34" t="n">
        <x:f>Subsurface_Live_Data!A170</x:f>
        <x:v>24</x:v>
      </x:c>
      <x:c r="F1396" s="34" t="n">
        <x:f>Subsurface_Live_Data!AA170</x:f>
        <x:v>0</x:v>
      </x:c>
    </x:row>
    <x:row r="1397">
      <x:c r="A1397" s="34" t="n">
        <x:f>Subsurface_Live_Data!A171</x:f>
        <x:v>24.5</x:v>
      </x:c>
      <x:c r="B1397" s="34" t="n">
        <x:f>Subsurface_Live_Data!X171</x:f>
        <x:v>16.107776635553435</x:v>
      </x:c>
      <x:c r="C1397" s="34" t="n">
        <x:f>Subsurface_Live_Data!A171</x:f>
        <x:v>24.5</x:v>
      </x:c>
      <x:c r="D1397" s="34" t="n">
        <x:f>Subsurface_Live_Data!Y171</x:f>
        <x:v>9.849415253345136</x:v>
      </x:c>
      <x:c r="E1397" s="34" t="n">
        <x:f>Subsurface_Live_Data!A171</x:f>
        <x:v>24.5</x:v>
      </x:c>
      <x:c r="F1397" s="34" t="n">
        <x:f>Subsurface_Live_Data!AA171</x:f>
        <x:v>0</x:v>
      </x:c>
    </x:row>
    <x:row r="1398">
      <x:c r="A1398" s="34" t="n">
        <x:f>Subsurface_Live_Data!A172</x:f>
        <x:v>25</x:v>
      </x:c>
      <x:c r="B1398" s="34" t="n">
        <x:f>Subsurface_Live_Data!X172</x:f>
        <x:v>16.321216521980297</x:v>
      </x:c>
      <x:c r="C1398" s="34" t="n">
        <x:f>Subsurface_Live_Data!A172</x:f>
        <x:v>25</x:v>
      </x:c>
      <x:c r="D1398" s="34" t="n">
        <x:f>Subsurface_Live_Data!Y172</x:f>
        <x:v>10.034902348829824</x:v>
      </x:c>
      <x:c r="E1398" s="34" t="n">
        <x:f>Subsurface_Live_Data!A172</x:f>
        <x:v>25</x:v>
      </x:c>
      <x:c r="F1398" s="34" t="n">
        <x:f>Subsurface_Live_Data!AA172</x:f>
        <x:v>0</x:v>
      </x:c>
    </x:row>
    <x:row r="1399">
      <x:c r="A1399" s="34" t="n">
        <x:f>Subsurface_Live_Data!A173</x:f>
        <x:v>25.5</x:v>
      </x:c>
      <x:c r="B1399" s="34" t="n">
        <x:f>Subsurface_Live_Data!X173</x:f>
        <x:v>16.52310204124088</x:v>
      </x:c>
      <x:c r="C1399" s="34" t="n">
        <x:f>Subsurface_Live_Data!A173</x:f>
        <x:v>25.5</x:v>
      </x:c>
      <x:c r="D1399" s="34" t="n">
        <x:f>Subsurface_Live_Data!Y173</x:f>
        <x:v>10.066981506142135</x:v>
      </x:c>
      <x:c r="E1399" s="34" t="n">
        <x:f>Subsurface_Live_Data!A173</x:f>
        <x:v>25.5</x:v>
      </x:c>
      <x:c r="F1399" s="34" t="n">
        <x:f>Subsurface_Live_Data!AA173</x:f>
        <x:v>0</x:v>
      </x:c>
    </x:row>
    <x:row r="1400">
      <x:c r="A1400" s="34" t="n">
        <x:f>Subsurface_Live_Data!A174</x:f>
        <x:v>26</x:v>
      </x:c>
      <x:c r="B1400" s="34" t="n">
        <x:f>Subsurface_Live_Data!X174</x:f>
        <x:v>16.711317796464055</x:v>
      </x:c>
      <x:c r="C1400" s="34" t="n">
        <x:f>Subsurface_Live_Data!A174</x:f>
        <x:v>26</x:v>
      </x:c>
      <x:c r="D1400" s="34" t="n">
        <x:f>Subsurface_Live_Data!Y174</x:f>
        <x:v>10.224287443835998</x:v>
      </x:c>
      <x:c r="E1400" s="34" t="n">
        <x:f>Subsurface_Live_Data!A174</x:f>
        <x:v>26</x:v>
      </x:c>
      <x:c r="F1400" s="34" t="n">
        <x:f>Subsurface_Live_Data!AA174</x:f>
        <x:v>0</x:v>
      </x:c>
    </x:row>
    <x:row r="1401">
      <x:c r="A1401" s="34" t="n">
        <x:f>Subsurface_Live_Data!A175</x:f>
        <x:v>26.5</x:v>
      </x:c>
      <x:c r="B1401" s="34" t="n">
        <x:f>Subsurface_Live_Data!X175</x:f>
        <x:v>16.883849726462984</x:v>
      </x:c>
      <x:c r="C1401" s="34" t="n">
        <x:f>Subsurface_Live_Data!A175</x:f>
        <x:v>26.5</x:v>
      </x:c>
      <x:c r="D1401" s="34" t="n">
        <x:f>Subsurface_Live_Data!Y175</x:f>
        <x:v>10.37661708334823</x:v>
      </x:c>
      <x:c r="E1401" s="34" t="n">
        <x:f>Subsurface_Live_Data!A175</x:f>
        <x:v>26.5</x:v>
      </x:c>
      <x:c r="F1401" s="34" t="n">
        <x:f>Subsurface_Live_Data!AA175</x:f>
        <x:v>0</x:v>
      </x:c>
    </x:row>
    <x:row r="1402">
      <x:c r="A1402" s="34" t="n">
        <x:f>Subsurface_Live_Data!A176</x:f>
        <x:v>27</x:v>
      </x:c>
      <x:c r="B1402" s="34" t="n">
        <x:f>Subsurface_Live_Data!X176</x:f>
        <x:v>17.038820502532076</x:v>
      </x:c>
      <x:c r="C1402" s="34" t="n">
        <x:f>Subsurface_Live_Data!A176</x:f>
        <x:v>27</x:v>
      </x:c>
      <x:c r="D1402" s="34" t="n">
        <x:f>Subsurface_Live_Data!Y176</x:f>
        <x:v>10.368430879881146</x:v>
      </x:c>
      <x:c r="E1402" s="34" t="n">
        <x:f>Subsurface_Live_Data!A176</x:f>
        <x:v>27</x:v>
      </x:c>
      <x:c r="F1402" s="34" t="n">
        <x:f>Subsurface_Live_Data!AA176</x:f>
        <x:v>0</x:v>
      </x:c>
    </x:row>
    <x:row r="1403">
      <x:c r="A1403" s="34" t="n">
        <x:f>Subsurface_Live_Data!A177</x:f>
        <x:v>27.5</x:v>
      </x:c>
      <x:c r="B1403" s="34" t="n">
        <x:f>Subsurface_Live_Data!X177</x:f>
        <x:v>17.174523313870626</x:v>
      </x:c>
      <x:c r="C1403" s="34" t="n">
        <x:f>Subsurface_Live_Data!A177</x:f>
        <x:v>27.5</x:v>
      </x:c>
      <x:c r="D1403" s="34" t="n">
        <x:f>Subsurface_Live_Data!Y177</x:f>
        <x:v>10.49507755232549</x:v>
      </x:c>
      <x:c r="E1403" s="34" t="n">
        <x:f>Subsurface_Live_Data!A177</x:f>
        <x:v>27.5</x:v>
      </x:c>
      <x:c r="F1403" s="34" t="n">
        <x:f>Subsurface_Live_Data!AA177</x:f>
        <x:v>0</x:v>
      </x:c>
    </x:row>
    <x:row r="1404">
      <x:c r="A1404" s="34" t="n">
        <x:f>Subsurface_Live_Data!A178</x:f>
        <x:v>28</x:v>
      </x:c>
      <x:c r="B1404" s="34" t="n">
        <x:f>Subsurface_Live_Data!X178</x:f>
        <x:v>17.289453192387093</x:v>
      </x:c>
      <x:c r="C1404" s="34" t="n">
        <x:f>Subsurface_Live_Data!A178</x:f>
        <x:v>28</x:v>
      </x:c>
      <x:c r="D1404" s="34" t="n">
        <x:f>Subsurface_Live_Data!Y178</x:f>
        <x:v>10.545888705162866</x:v>
      </x:c>
      <x:c r="E1404" s="34" t="n">
        <x:f>Subsurface_Live_Data!A178</x:f>
        <x:v>28</x:v>
      </x:c>
      <x:c r="F1404" s="34" t="n">
        <x:f>Subsurface_Live_Data!AA178</x:f>
        <x:v>0</x:v>
      </x:c>
    </x:row>
    <x:row r="1405">
      <x:c r="A1405" s="34" t="n">
        <x:f>Subsurface_Live_Data!A179</x:f>
        <x:v>28.5</x:v>
      </x:c>
      <x:c r="B1405" s="34" t="n">
        <x:f>Subsurface_Live_Data!X179</x:f>
        <x:v>17.382335072296907</x:v>
      </x:c>
      <x:c r="C1405" s="34" t="n">
        <x:f>Subsurface_Live_Data!A179</x:f>
        <x:v>28.5</x:v>
      </x:c>
      <x:c r="D1405" s="34" t="n">
        <x:f>Subsurface_Live_Data!Y179</x:f>
        <x:v>10.707258668914037</x:v>
      </x:c>
      <x:c r="E1405" s="34" t="n">
        <x:f>Subsurface_Live_Data!A179</x:f>
        <x:v>28.5</x:v>
      </x:c>
      <x:c r="F1405" s="34" t="n">
        <x:f>Subsurface_Live_Data!AA179</x:f>
        <x:v>0</x:v>
      </x:c>
    </x:row>
    <x:row r="1406">
      <x:c r="A1406" s="34" t="n">
        <x:f>Subsurface_Live_Data!A180</x:f>
        <x:v>29</x:v>
      </x:c>
      <x:c r="B1406" s="34" t="n">
        <x:f>Subsurface_Live_Data!X180</x:f>
        <x:v>17.45214785102703</x:v>
      </x:c>
      <x:c r="C1406" s="34" t="n">
        <x:f>Subsurface_Live_Data!A180</x:f>
        <x:v>29</x:v>
      </x:c>
      <x:c r="D1406" s="34" t="n">
        <x:f>Subsurface_Live_Data!Y180</x:f>
        <x:v>10.748425265349454</x:v>
      </x:c>
      <x:c r="E1406" s="34" t="n">
        <x:f>Subsurface_Live_Data!A180</x:f>
        <x:v>29</x:v>
      </x:c>
      <x:c r="F1406" s="34" t="n">
        <x:f>Subsurface_Live_Data!AA180</x:f>
        <x:v>0</x:v>
      </x:c>
    </x:row>
    <x:row r="1407">
      <x:c r="A1407" s="34" t="n">
        <x:f>Subsurface_Live_Data!A181</x:f>
        <x:v>29.5</x:v>
      </x:c>
      <x:c r="B1407" s="34" t="n">
        <x:f>Subsurface_Live_Data!X181</x:f>
        <x:v>17.49814381359621</x:v>
      </x:c>
      <x:c r="C1407" s="34" t="n">
        <x:f>Subsurface_Live_Data!A181</x:f>
        <x:v>29.5</x:v>
      </x:c>
      <x:c r="D1407" s="34" t="n">
        <x:f>Subsurface_Live_Data!Y181</x:f>
        <x:v>10.817307642281186</x:v>
      </x:c>
      <x:c r="E1407" s="34" t="n">
        <x:f>Subsurface_Live_Data!A181</x:f>
        <x:v>29.5</x:v>
      </x:c>
      <x:c r="F1407" s="34" t="n">
        <x:f>Subsurface_Live_Data!AA181</x:f>
        <x:v>0</x:v>
      </x:c>
    </x:row>
    <x:row r="1408">
      <x:c r="A1408" s="34" t="n">
        <x:f>Subsurface_Live_Data!A182</x:f>
        <x:v>30</x:v>
      </x:c>
      <x:c r="B1408" s="34" t="n">
        <x:f>Subsurface_Live_Data!X182</x:f>
        <x:v>17.51986289996337</x:v>
      </x:c>
      <x:c r="C1408" s="34" t="n">
        <x:f>Subsurface_Live_Data!A182</x:f>
        <x:v>30</x:v>
      </x:c>
      <x:c r="D1408" s="34" t="n">
        <x:f>Subsurface_Live_Data!Y182</x:f>
        <x:v>10.9583363927686</x:v>
      </x:c>
      <x:c r="E1408" s="34" t="n">
        <x:f>Subsurface_Live_Data!A182</x:f>
        <x:v>30</x:v>
      </x:c>
      <x:c r="F1408" s="34" t="n">
        <x:f>Subsurface_Live_Data!AA182</x:f>
        <x:v>0</x:v>
      </x:c>
    </x:row>
    <x:row r="1409">
      <x:c r="A1409" s="34" t="n">
        <x:f>Subsurface_Live_Data!A183</x:f>
        <x:v>30.5</x:v>
      </x:c>
      <x:c r="B1409" s="34" t="n">
        <x:f>Subsurface_Live_Data!X183</x:f>
        <x:v>17.517141430038293</x:v>
      </x:c>
      <x:c r="C1409" s="34" t="n">
        <x:f>Subsurface_Live_Data!A183</x:f>
        <x:v>30.5</x:v>
      </x:c>
      <x:c r="D1409" s="34" t="n">
        <x:f>Subsurface_Live_Data!Y183</x:f>
        <x:v>11.033810092530551</x:v>
      </x:c>
      <x:c r="E1409" s="34" t="n">
        <x:f>Subsurface_Live_Data!A183</x:f>
        <x:v>30.5</x:v>
      </x:c>
      <x:c r="F1409" s="34" t="n">
        <x:f>Subsurface_Live_Data!AA183</x:f>
        <x:v>0</x:v>
      </x:c>
    </x:row>
    <x:row r="1410">
      <x:c r="A1410" s="34" t="n">
        <x:f>Subsurface_Live_Data!A184</x:f>
        <x:v>31</x:v>
      </x:c>
      <x:c r="B1410" s="34" t="n">
        <x:f>Subsurface_Live_Data!X184</x:f>
        <x:v>17.490115049590884</x:v>
      </x:c>
      <x:c r="C1410" s="34" t="n">
        <x:f>Subsurface_Live_Data!A184</x:f>
        <x:v>31</x:v>
      </x:c>
      <x:c r="D1410" s="34" t="n">
        <x:f>Subsurface_Live_Data!Y184</x:f>
        <x:v>11.193817246816572</x:v>
      </x:c>
      <x:c r="E1410" s="34" t="n">
        <x:f>Subsurface_Live_Data!A184</x:f>
        <x:v>31</x:v>
      </x:c>
      <x:c r="F1410" s="34" t="n">
        <x:f>Subsurface_Live_Data!AA184</x:f>
        <x:v>0</x:v>
      </x:c>
    </x:row>
    <x:row r="1411">
      <x:c r="A1411" s="34" t="n">
        <x:f>Subsurface_Live_Data!A185</x:f>
        <x:v>31.5</x:v>
      </x:c>
      <x:c r="B1411" s="34" t="n">
        <x:f>Subsurface_Live_Data!X185</x:f>
        <x:v>17.439215817072864</x:v>
      </x:c>
      <x:c r="C1411" s="34" t="n">
        <x:f>Subsurface_Live_Data!A185</x:f>
        <x:v>31.5</x:v>
      </x:c>
      <x:c r="D1411" s="34" t="n">
        <x:f>Subsurface_Live_Data!Y185</x:f>
        <x:v>11.242744641552832</x:v>
      </x:c>
      <x:c r="E1411" s="34" t="n">
        <x:f>Subsurface_Live_Data!A185</x:f>
        <x:v>31.5</x:v>
      </x:c>
      <x:c r="F1411" s="34" t="n">
        <x:f>Subsurface_Live_Data!AA185</x:f>
        <x:v>0</x:v>
      </x:c>
    </x:row>
    <x:row r="1412">
      <x:c r="A1412" s="34" t="n">
        <x:f>Subsurface_Live_Data!A186</x:f>
        <x:v>32</x:v>
      </x:c>
      <x:c r="B1412" s="34" t="n">
        <x:f>Subsurface_Live_Data!X186</x:f>
        <x:v>17.36516351092536</x:v>
      </x:c>
      <x:c r="C1412" s="34" t="n">
        <x:f>Subsurface_Live_Data!A186</x:f>
        <x:v>32</x:v>
      </x:c>
      <x:c r="D1412" s="34" t="n">
        <x:f>Subsurface_Live_Data!Y186</x:f>
        <x:v>11.428225375338407</x:v>
      </x:c>
      <x:c r="E1412" s="34" t="n">
        <x:f>Subsurface_Live_Data!A186</x:f>
        <x:v>32</x:v>
      </x:c>
      <x:c r="F1412" s="34" t="n">
        <x:f>Subsurface_Live_Data!AA186</x:f>
        <x:v>0</x:v>
      </x:c>
    </x:row>
    <x:row r="1413">
      <x:c r="A1413" s="34" t="n">
        <x:f>Subsurface_Live_Data!A187</x:f>
        <x:v>32.5</x:v>
      </x:c>
      <x:c r="B1413" s="34" t="n">
        <x:f>Subsurface_Live_Data!X187</x:f>
        <x:v>17.268951393713433</x:v>
      </x:c>
      <x:c r="C1413" s="34" t="n">
        <x:f>Subsurface_Live_Data!A187</x:f>
        <x:v>32.5</x:v>
      </x:c>
      <x:c r="D1413" s="34" t="n">
        <x:f>Subsurface_Live_Data!Y187</x:f>
        <x:v>11.60935368443424</x:v>
      </x:c>
      <x:c r="E1413" s="34" t="n">
        <x:f>Subsurface_Live_Data!A187</x:f>
        <x:v>32.5</x:v>
      </x:c>
      <x:c r="F1413" s="34" t="n">
        <x:f>Subsurface_Live_Data!AA187</x:f>
        <x:v>0</x:v>
      </x:c>
    </x:row>
    <x:row r="1414">
      <x:c r="A1414" s="34" t="n">
        <x:f>Subsurface_Live_Data!A188</x:f>
        <x:v>33</x:v>
      </x:c>
      <x:c r="B1414" s="34" t="n">
        <x:f>Subsurface_Live_Data!X188</x:f>
        <x:v>17.15182681794999</x:v>
      </x:c>
      <x:c r="C1414" s="34" t="n">
        <x:f>Subsurface_Live_Data!A188</x:f>
        <x:v>33</x:v>
      </x:c>
      <x:c r="D1414" s="34" t="n">
        <x:f>Subsurface_Live_Data!Y188</x:f>
        <x:v>11.751854321649247</x:v>
      </x:c>
      <x:c r="E1414" s="34" t="n">
        <x:f>Subsurface_Live_Data!A188</x:f>
        <x:v>33</x:v>
      </x:c>
      <x:c r="F1414" s="34" t="n">
        <x:f>Subsurface_Live_Data!AA188</x:f>
        <x:v>0</x:v>
      </x:c>
    </x:row>
    <x:row r="1415">
      <x:c r="A1415" s="34" t="n">
        <x:f>Subsurface_Live_Data!A189</x:f>
        <x:v>33.5</x:v>
      </x:c>
      <x:c r="B1415" s="34" t="n">
        <x:f>Subsurface_Live_Data!X189</x:f>
        <x:v>17.015267193642675</x:v>
      </x:c>
      <x:c r="C1415" s="34" t="n">
        <x:f>Subsurface_Live_Data!A189</x:f>
        <x:v>33.5</x:v>
      </x:c>
      <x:c r="D1415" s="34" t="n">
        <x:f>Subsurface_Live_Data!Y189</x:f>
        <x:v>11.901072509591963</x:v>
      </x:c>
      <x:c r="E1415" s="34" t="n">
        <x:f>Subsurface_Live_Data!A189</x:f>
        <x:v>33.5</x:v>
      </x:c>
      <x:c r="F1415" s="34" t="n">
        <x:f>Subsurface_Live_Data!AA189</x:f>
        <x:v>0</x:v>
      </x:c>
    </x:row>
    <x:row r="1416">
      <x:c r="A1416" s="34" t="n">
        <x:f>Subsurface_Live_Data!A190</x:f>
        <x:v>34</x:v>
      </x:c>
      <x:c r="B1416" s="34" t="n">
        <x:f>Subsurface_Live_Data!X190</x:f>
        <x:v>16.86095195487877</x:v>
      </x:c>
      <x:c r="C1416" s="34" t="n">
        <x:f>Subsurface_Live_Data!A190</x:f>
        <x:v>34</x:v>
      </x:c>
      <x:c r="D1416" s="34" t="n">
        <x:f>Subsurface_Live_Data!Y190</x:f>
        <x:v>11.93839405738953</x:v>
      </x:c>
      <x:c r="E1416" s="34" t="n">
        <x:f>Subsurface_Live_Data!A190</x:f>
        <x:v>34</x:v>
      </x:c>
      <x:c r="F1416" s="34" t="n">
        <x:f>Subsurface_Live_Data!AA190</x:f>
        <x:v>0</x:v>
      </x:c>
    </x:row>
    <x:row r="1417">
      <x:c r="A1417" s="34" t="n">
        <x:f>Subsurface_Live_Data!A191</x:f>
        <x:v>34.5</x:v>
      </x:c>
      <x:c r="B1417" s="34" t="n">
        <x:f>Subsurface_Live_Data!X191</x:f>
        <x:v>16.690731258366558</x:v>
      </x:c>
      <x:c r="C1417" s="34" t="n">
        <x:f>Subsurface_Live_Data!A191</x:f>
        <x:v>34.5</x:v>
      </x:c>
      <x:c r="D1417" s="34" t="n">
        <x:f>Subsurface_Live_Data!Y191</x:f>
        <x:v>11.860649470344754</x:v>
      </x:c>
      <x:c r="E1417" s="34" t="n">
        <x:f>Subsurface_Live_Data!A191</x:f>
        <x:v>34.5</x:v>
      </x:c>
      <x:c r="F1417" s="34" t="n">
        <x:f>Subsurface_Live_Data!AA191</x:f>
        <x:v>0</x:v>
      </x:c>
    </x:row>
    <x:row r="1418">
      <x:c r="A1418" s="34" t="n">
        <x:f>Subsurface_Live_Data!A192</x:f>
        <x:v>35</x:v>
      </x:c>
      <x:c r="B1418" s="34" t="n">
        <x:f>Subsurface_Live_Data!X192</x:f>
        <x:v>16.50659221788738</x:v>
      </x:c>
      <x:c r="C1418" s="34" t="n">
        <x:f>Subsurface_Live_Data!A192</x:f>
        <x:v>35</x:v>
      </x:c>
      <x:c r="D1418" s="34" t="n">
        <x:f>Subsurface_Live_Data!Y192</x:f>
        <x:v>11.837722705166932</x:v>
      </x:c>
      <x:c r="E1418" s="34" t="n">
        <x:f>Subsurface_Live_Data!A192</x:f>
        <x:v>35</x:v>
      </x:c>
      <x:c r="F1418" s="34" t="n">
        <x:f>Subsurface_Live_Data!AA192</x:f>
        <x:v>0</x:v>
      </x:c>
    </x:row>
    <x:row r="1419">
      <x:c r="A1419" s="34" t="n">
        <x:f>Subsurface_Live_Data!A193</x:f>
        <x:v>35.5</x:v>
      </x:c>
      <x:c r="B1419" s="34" t="n">
        <x:f>Subsurface_Live_Data!X193</x:f>
        <x:v>16.31062352319572</x:v>
      </x:c>
      <x:c r="C1419" s="34" t="n">
        <x:f>Subsurface_Live_Data!A193</x:f>
        <x:v>35.5</x:v>
      </x:c>
      <x:c r="D1419" s="34" t="n">
        <x:f>Subsurface_Live_Data!Y193</x:f>
        <x:v>11.784094635001594</x:v>
      </x:c>
      <x:c r="E1419" s="34" t="n">
        <x:f>Subsurface_Live_Data!A193</x:f>
        <x:v>35.5</x:v>
      </x:c>
      <x:c r="F1419" s="34" t="n">
        <x:f>Subsurface_Live_Data!AA193</x:f>
        <x:v>0</x:v>
      </x:c>
    </x:row>
    <x:row r="1420">
      <x:c r="A1420" s="34" t="n">
        <x:f>Subsurface_Live_Data!A194</x:f>
        <x:v>36</x:v>
      </x:c>
      <x:c r="B1420" s="34" t="n">
        <x:f>Subsurface_Live_Data!X194</x:f>
        <x:v>16.10497930921013</x:v>
      </x:c>
      <x:c r="C1420" s="34" t="n">
        <x:f>Subsurface_Live_Data!A194</x:f>
        <x:v>36</x:v>
      </x:c>
      <x:c r="D1420" s="34" t="n">
        <x:f>Subsurface_Live_Data!Y194</x:f>
        <x:v>11.694996917271908</x:v>
      </x:c>
      <x:c r="E1420" s="34" t="n">
        <x:f>Subsurface_Live_Data!A194</x:f>
        <x:v>36</x:v>
      </x:c>
      <x:c r="F1420" s="34" t="n">
        <x:f>Subsurface_Live_Data!AA194</x:f>
        <x:v>0</x:v>
      </x:c>
    </x:row>
    <x:row r="1421">
      <x:c r="A1421" s="34" t="n">
        <x:f>Subsurface_Live_Data!A195</x:f>
        <x:v>36.5</x:v>
      </x:c>
      <x:c r="B1421" s="34" t="n">
        <x:f>Subsurface_Live_Data!X195</x:f>
        <x:v>15.891843131608262</x:v>
      </x:c>
      <x:c r="C1421" s="34" t="n">
        <x:f>Subsurface_Live_Data!A195</x:f>
        <x:v>36.5</x:v>
      </x:c>
      <x:c r="D1421" s="34" t="n">
        <x:f>Subsurface_Live_Data!Y195</x:f>
        <x:v>11.550345784684538</x:v>
      </x:c>
      <x:c r="E1421" s="34" t="n">
        <x:f>Subsurface_Live_Data!A195</x:f>
        <x:v>36.5</x:v>
      </x:c>
      <x:c r="F1421" s="34" t="n">
        <x:f>Subsurface_Live_Data!AA195</x:f>
        <x:v>0</x:v>
      </x:c>
    </x:row>
    <x:row r="1422">
      <x:c r="A1422" s="34" t="n">
        <x:f>Subsurface_Live_Data!A196</x:f>
        <x:v>37</x:v>
      </x:c>
      <x:c r="B1422" s="34" t="n">
        <x:f>Subsurface_Live_Data!X196</x:f>
        <x:v>15.673392869438597</x:v>
      </x:c>
      <x:c r="C1422" s="34" t="n">
        <x:f>Subsurface_Live_Data!A196</x:f>
        <x:v>37</x:v>
      </x:c>
      <x:c r="D1422" s="34" t="n">
        <x:f>Subsurface_Live_Data!Y196</x:f>
        <x:v>11.491331845105222</x:v>
      </x:c>
      <x:c r="E1422" s="34" t="n">
        <x:f>Subsurface_Live_Data!A196</x:f>
        <x:v>37</x:v>
      </x:c>
      <x:c r="F1422" s="34" t="n">
        <x:f>Subsurface_Live_Data!AA196</x:f>
        <x:v>0</x:v>
      </x:c>
    </x:row>
    <x:row r="1423">
      <x:c r="A1423" s="34" t="n">
        <x:f>Subsurface_Live_Data!A197</x:f>
        <x:v>37.5</x:v>
      </x:c>
      <x:c r="B1423" s="34" t="n">
        <x:f>Subsurface_Live_Data!X197</x:f>
        <x:v>15.451767316293434</x:v>
      </x:c>
      <x:c r="C1423" s="34" t="n">
        <x:f>Subsurface_Live_Data!A197</x:f>
        <x:v>37.5</x:v>
      </x:c>
      <x:c r="D1423" s="34" t="n">
        <x:f>Subsurface_Live_Data!Y197</x:f>
        <x:v>11.431983824879552</x:v>
      </x:c>
      <x:c r="E1423" s="34" t="n">
        <x:f>Subsurface_Live_Data!A197</x:f>
        <x:v>37.5</x:v>
      </x:c>
      <x:c r="F1423" s="34" t="n">
        <x:f>Subsurface_Live_Data!AA197</x:f>
        <x:v>0</x:v>
      </x:c>
    </x:row>
    <x:row r="1424">
      <x:c r="A1424" s="34" t="n">
        <x:f>Subsurface_Live_Data!A198</x:f>
        <x:v>38</x:v>
      </x:c>
      <x:c r="B1424" s="34" t="n">
        <x:f>Subsurface_Live_Data!X198</x:f>
        <x:v>15.229035141958121</x:v>
      </x:c>
      <x:c r="C1424" s="34" t="n">
        <x:f>Subsurface_Live_Data!A198</x:f>
        <x:v>38</x:v>
      </x:c>
      <x:c r="D1424" s="34" t="n">
        <x:f>Subsurface_Live_Data!Y198</x:f>
        <x:v>11.381749805357828</x:v>
      </x:c>
      <x:c r="E1424" s="34" t="n">
        <x:f>Subsurface_Live_Data!A198</x:f>
        <x:v>38</x:v>
      </x:c>
      <x:c r="F1424" s="34" t="n">
        <x:f>Subsurface_Live_Data!AA198</x:f>
        <x:v>0</x:v>
      </x:c>
    </x:row>
    <x:row r="1425">
      <x:c r="A1425" s="34" t="n">
        <x:f>Subsurface_Live_Data!A199</x:f>
        <x:v>38.5</x:v>
      </x:c>
      <x:c r="B1425" s="34" t="n">
        <x:f>Subsurface_Live_Data!X199</x:f>
        <x:v>15.007166809920385</x:v>
      </x:c>
      <x:c r="C1425" s="34" t="n">
        <x:f>Subsurface_Live_Data!A199</x:f>
        <x:v>38.5</x:v>
      </x:c>
      <x:c r="D1425" s="34" t="n">
        <x:f>Subsurface_Live_Data!Y199</x:f>
        <x:v>11.216378554783745</x:v>
      </x:c>
      <x:c r="E1425" s="34" t="n">
        <x:f>Subsurface_Live_Data!A199</x:f>
        <x:v>38.5</x:v>
      </x:c>
      <x:c r="F1425" s="34" t="n">
        <x:f>Subsurface_Live_Data!AA199</x:f>
        <x:v>0</x:v>
      </x:c>
    </x:row>
    <x:row r="1426">
      <x:c r="A1426" s="34" t="n">
        <x:f>Subsurface_Live_Data!A200</x:f>
        <x:v>39</x:v>
      </x:c>
      <x:c r="B1426" s="34" t="n">
        <x:f>Subsurface_Live_Data!X200</x:f>
        <x:v>14.788009926812329</x:v>
      </x:c>
      <x:c r="C1426" s="34" t="n">
        <x:f>Subsurface_Live_Data!A200</x:f>
        <x:v>39</x:v>
      </x:c>
      <x:c r="D1426" s="34" t="n">
        <x:f>Subsurface_Live_Data!Y200</x:f>
        <x:v>11.212778363095168</x:v>
      </x:c>
      <x:c r="E1426" s="34" t="n">
        <x:f>Subsurface_Live_Data!A200</x:f>
        <x:v>39</x:v>
      </x:c>
      <x:c r="F1426" s="34" t="n">
        <x:f>Subsurface_Live_Data!AA200</x:f>
        <x:v>0</x:v>
      </x:c>
    </x:row>
    <x:row r="1427">
      <x:c r="A1427" s="34" t="n">
        <x:f>Subsurface_Live_Data!A201</x:f>
        <x:v>39.5</x:v>
      </x:c>
      <x:c r="B1427" s="34" t="n">
        <x:f>Subsurface_Live_Data!X201</x:f>
        <x:v>14.573268382162524</x:v>
      </x:c>
      <x:c r="C1427" s="34" t="n">
        <x:f>Subsurface_Live_Data!A201</x:f>
        <x:v>39.5</x:v>
      </x:c>
      <x:c r="D1427" s="34" t="n">
        <x:f>Subsurface_Live_Data!Y201</x:f>
        <x:v>11.191877129614454</x:v>
      </x:c>
      <x:c r="E1427" s="34" t="n">
        <x:f>Subsurface_Live_Data!A201</x:f>
        <x:v>39.5</x:v>
      </x:c>
      <x:c r="F1427" s="34" t="n">
        <x:f>Subsurface_Live_Data!AA201</x:f>
        <x:v>0</x:v>
      </x:c>
    </x:row>
    <x:row r="1428">
      <x:c r="A1428" s="34" t="n">
        <x:f>Subsurface_Live_Data!A202</x:f>
        <x:v>40</x:v>
      </x:c>
      <x:c r="B1428" s="34" t="n">
        <x:f>Subsurface_Live_Data!X202</x:f>
        <x:v>14.364485515226573</x:v>
      </x:c>
      <x:c r="C1428" s="34" t="n">
        <x:f>Subsurface_Live_Data!A202</x:f>
        <x:v>40</x:v>
      </x:c>
      <x:c r="D1428" s="34" t="n">
        <x:f>Subsurface_Live_Data!Y202</x:f>
        <x:v>11.130509105531864</x:v>
      </x:c>
      <x:c r="E1428" s="34" t="n">
        <x:f>Subsurface_Live_Data!A202</x:f>
        <x:v>40</x:v>
      </x:c>
      <x:c r="F1428" s="34" t="n">
        <x:f>Subsurface_Live_Data!AA202</x:f>
        <x:v>0</x:v>
      </x:c>
    </x:row>
    <x:row r="1429">
      <x:c r="A1429" s="34" t="n">
        <x:f>Subsurface_Live_Data!A203</x:f>
        <x:v>40.5</x:v>
      </x:c>
      <x:c r="B1429" s="34" t="n">
        <x:f>Subsurface_Live_Data!X203</x:f>
        <x:v>14.163031424497486</x:v>
      </x:c>
      <x:c r="C1429" s="34" t="n">
        <x:f>Subsurface_Live_Data!A203</x:f>
        <x:v>40.5</x:v>
      </x:c>
      <x:c r="D1429" s="34" t="n">
        <x:f>Subsurface_Live_Data!Y203</x:f>
        <x:v>11.11407848530849</x:v>
      </x:c>
      <x:c r="E1429" s="34" t="n">
        <x:f>Subsurface_Live_Data!A203</x:f>
        <x:v>40.5</x:v>
      </x:c>
      <x:c r="F1429" s="34" t="n">
        <x:f>Subsurface_Live_Data!AA203</x:f>
        <x:v>0</x:v>
      </x:c>
    </x:row>
    <x:row r="1430">
      <x:c r="A1430" s="34" t="n">
        <x:f>Subsurface_Live_Data!A204</x:f>
        <x:v>41</x:v>
      </x:c>
      <x:c r="B1430" s="34" t="n">
        <x:f>Subsurface_Live_Data!X204</x:f>
        <x:v>13.970094418840084</x:v>
      </x:c>
      <x:c r="C1430" s="34" t="n">
        <x:f>Subsurface_Live_Data!A204</x:f>
        <x:v>41</x:v>
      </x:c>
      <x:c r="D1430" s="34" t="n">
        <x:f>Subsurface_Live_Data!Y204</x:f>
        <x:v>11.185679960260906</x:v>
      </x:c>
      <x:c r="E1430" s="34" t="n">
        <x:f>Subsurface_Live_Data!A204</x:f>
        <x:v>41</x:v>
      </x:c>
      <x:c r="F1430" s="34" t="n">
        <x:f>Subsurface_Live_Data!AA204</x:f>
        <x:v>0</x:v>
      </x:c>
    </x:row>
    <x:row r="1431">
      <x:c r="A1431" s="34" t="n">
        <x:f>Subsurface_Live_Data!A205</x:f>
        <x:v>41.5</x:v>
      </x:c>
      <x:c r="B1431" s="34" t="n">
        <x:f>Subsurface_Live_Data!X205</x:f>
        <x:v>13.786676500677693</x:v>
      </x:c>
      <x:c r="C1431" s="34" t="n">
        <x:f>Subsurface_Live_Data!A205</x:f>
        <x:v>41.5</x:v>
      </x:c>
      <x:c r="D1431" s="34" t="n">
        <x:f>Subsurface_Live_Data!Y205</x:f>
        <x:v>11.18671648369235</x:v>
      </x:c>
      <x:c r="E1431" s="34" t="n">
        <x:f>Subsurface_Live_Data!A205</x:f>
        <x:v>41.5</x:v>
      </x:c>
      <x:c r="F1431" s="34" t="n">
        <x:f>Subsurface_Live_Data!AA205</x:f>
        <x:v>0</x:v>
      </x:c>
    </x:row>
    <x:row r="1432">
      <x:c r="A1432" s="34" t="n">
        <x:f>Subsurface_Live_Data!A206</x:f>
        <x:v>42</x:v>
      </x:c>
      <x:c r="B1432" s="34" t="n">
        <x:f>Subsurface_Live_Data!X206</x:f>
        <x:v>13.613592674358344</x:v>
      </x:c>
      <x:c r="C1432" s="34" t="n">
        <x:f>Subsurface_Live_Data!A206</x:f>
        <x:v>42</x:v>
      </x:c>
      <x:c r="D1432" s="34" t="n">
        <x:f>Subsurface_Live_Data!Y206</x:f>
        <x:v>11.14969854878342</x:v>
      </x:c>
      <x:c r="E1432" s="34" t="n">
        <x:f>Subsurface_Live_Data!A206</x:f>
        <x:v>42</x:v>
      </x:c>
      <x:c r="F1432" s="34" t="n">
        <x:f>Subsurface_Live_Data!AA206</x:f>
        <x:v>0</x:v>
      </x:c>
    </x:row>
    <x:row r="1433">
      <x:c r="A1433" s="34" t="n">
        <x:f>Subsurface_Live_Data!A207</x:f>
        <x:v>42.5</x:v>
      </x:c>
      <x:c r="B1433" s="34" t="n">
        <x:f>Subsurface_Live_Data!X207</x:f>
        <x:v>13.451473789172098</x:v>
      </x:c>
      <x:c r="C1433" s="34" t="n">
        <x:f>Subsurface_Live_Data!A207</x:f>
        <x:v>42.5</x:v>
      </x:c>
      <x:c r="D1433" s="34" t="n">
        <x:f>Subsurface_Live_Data!Y207</x:f>
        <x:v>11.171603960827213</x:v>
      </x:c>
      <x:c r="E1433" s="34" t="n">
        <x:f>Subsurface_Live_Data!A207</x:f>
        <x:v>42.5</x:v>
      </x:c>
      <x:c r="F1433" s="34" t="n">
        <x:f>Subsurface_Live_Data!AA207</x:f>
        <x:v>0</x:v>
      </x:c>
    </x:row>
    <x:row r="1434">
      <x:c r="A1434" s="34" t="n">
        <x:f>Subsurface_Live_Data!A208</x:f>
        <x:v>43</x:v>
      </x:c>
      <x:c r="B1434" s="34" t="n">
        <x:f>Subsurface_Live_Data!X208</x:f>
        <x:v>13.300772558215034</x:v>
      </x:c>
      <x:c r="C1434" s="34" t="n">
        <x:f>Subsurface_Live_Data!A208</x:f>
        <x:v>43</x:v>
      </x:c>
      <x:c r="D1434" s="34" t="n">
        <x:f>Subsurface_Live_Data!Y208</x:f>
        <x:v>11.200315953272892</x:v>
      </x:c>
      <x:c r="E1434" s="34" t="n">
        <x:f>Subsurface_Live_Data!A208</x:f>
        <x:v>43</x:v>
      </x:c>
      <x:c r="F1434" s="34" t="n">
        <x:f>Subsurface_Live_Data!AA208</x:f>
        <x:v>0</x:v>
      </x:c>
    </x:row>
    <x:row r="1435">
      <x:c r="A1435" s="34" t="n">
        <x:f>Subsurface_Live_Data!A209</x:f>
        <x:v>43.5</x:v>
      </x:c>
      <x:c r="B1435" s="34" t="n">
        <x:f>Subsurface_Live_Data!X209</x:f>
        <x:v>13.161772342423362</x:v>
      </x:c>
      <x:c r="C1435" s="34" t="n">
        <x:f>Subsurface_Live_Data!A209</x:f>
        <x:v>43.5</x:v>
      </x:c>
      <x:c r="D1435" s="34" t="n">
        <x:f>Subsurface_Live_Data!Y209</x:f>
        <x:v>11.271272202033003</x:v>
      </x:c>
      <x:c r="E1435" s="34" t="n">
        <x:f>Subsurface_Live_Data!A209</x:f>
        <x:v>43.5</x:v>
      </x:c>
      <x:c r="F1435" s="34" t="n">
        <x:f>Subsurface_Live_Data!AA209</x:f>
        <x:v>0</x:v>
      </x:c>
    </x:row>
    <x:row r="1436">
      <x:c r="A1436" s="34" t="n">
        <x:f>Subsurface_Live_Data!A210</x:f>
        <x:v>44</x:v>
      </x:c>
      <x:c r="B1436" s="34" t="n">
        <x:f>Subsurface_Live_Data!X210</x:f>
        <x:v>13.034598253959842</x:v>
      </x:c>
      <x:c r="C1436" s="34" t="n">
        <x:f>Subsurface_Live_Data!A210</x:f>
        <x:v>44</x:v>
      </x:c>
      <x:c r="D1436" s="34" t="n">
        <x:f>Subsurface_Live_Data!Y210</x:f>
        <x:v>11.320754618324706</x:v>
      </x:c>
      <x:c r="E1436" s="34" t="n">
        <x:f>Subsurface_Live_Data!A210</x:f>
        <x:v>44</x:v>
      </x:c>
      <x:c r="F1436" s="34" t="n">
        <x:f>Subsurface_Live_Data!AA210</x:f>
        <x:v>0</x:v>
      </x:c>
    </x:row>
    <x:row r="1437">
      <x:c r="A1437" s="34" t="n">
        <x:f>Subsurface_Live_Data!A211</x:f>
        <x:v>44.5</x:v>
      </x:c>
      <x:c r="B1437" s="34" t="n">
        <x:f>Subsurface_Live_Data!X211</x:f>
        <x:v>12.91923011440398</x:v>
      </x:c>
      <x:c r="C1437" s="34" t="n">
        <x:f>Subsurface_Live_Data!A211</x:f>
        <x:v>44.5</x:v>
      </x:c>
      <x:c r="D1437" s="34" t="n">
        <x:f>Subsurface_Live_Data!Y211</x:f>
        <x:v>11.429535420606243</x:v>
      </x:c>
      <x:c r="E1437" s="34" t="n">
        <x:f>Subsurface_Live_Data!A211</x:f>
        <x:v>44.5</x:v>
      </x:c>
      <x:c r="F1437" s="34" t="n">
        <x:f>Subsurface_Live_Data!AA211</x:f>
        <x:v>0</x:v>
      </x:c>
    </x:row>
    <x:row r="1438">
      <x:c r="A1438" s="34" t="n">
        <x:f>Subsurface_Live_Data!A212</x:f>
        <x:v>45</x:v>
      </x:c>
      <x:c r="B1438" s="34" t="n">
        <x:f>Subsurface_Live_Data!X212</x:f>
        <x:v>12.815516799978347</x:v>
      </x:c>
      <x:c r="C1438" s="34" t="n">
        <x:f>Subsurface_Live_Data!A212</x:f>
        <x:v>45</x:v>
      </x:c>
      <x:c r="D1438" s="34" t="n">
        <x:f>Subsurface_Live_Data!Y212</x:f>
        <x:v>11.470320501270635</x:v>
      </x:c>
      <x:c r="E1438" s="34" t="n">
        <x:f>Subsurface_Live_Data!A212</x:f>
        <x:v>45</x:v>
      </x:c>
      <x:c r="F1438" s="34" t="n">
        <x:f>Subsurface_Live_Data!AA212</x:f>
        <x:v>0</x:v>
      </x:c>
    </x:row>
    <x:row r="1439">
      <x:c r="A1439" s="34" t="n">
        <x:f>Subsurface_Live_Data!A213</x:f>
        <x:v>45.5</x:v>
      </x:c>
      <x:c r="B1439" s="34" t="n">
        <x:f>Subsurface_Live_Data!X213</x:f>
        <x:v>12.723191516948411</x:v>
      </x:c>
      <x:c r="C1439" s="34" t="n">
        <x:f>Subsurface_Live_Data!A213</x:f>
        <x:v>45.5</x:v>
      </x:c>
      <x:c r="D1439" s="34" t="n">
        <x:f>Subsurface_Live_Data!Y213</x:f>
        <x:v>11.438626787830351</x:v>
      </x:c>
      <x:c r="E1439" s="34" t="n">
        <x:f>Subsurface_Live_Data!A213</x:f>
        <x:v>45.5</x:v>
      </x:c>
      <x:c r="F1439" s="34" t="n">
        <x:f>Subsurface_Live_Data!AA213</x:f>
        <x:v>0</x:v>
      </x:c>
    </x:row>
    <x:row r="1440">
      <x:c r="A1440" s="34" t="n">
        <x:f>Subsurface_Live_Data!A214</x:f>
        <x:v>46</x:v>
      </x:c>
      <x:c r="B1440" s="34" t="n">
        <x:f>Subsurface_Live_Data!X214</x:f>
        <x:v>12.641887573591617</x:v>
      </x:c>
      <x:c r="C1440" s="34" t="n">
        <x:f>Subsurface_Live_Data!A214</x:f>
        <x:v>46</x:v>
      </x:c>
      <x:c r="D1440" s="34" t="n">
        <x:f>Subsurface_Live_Data!Y214</x:f>
        <x:v>11.516594789611446</x:v>
      </x:c>
      <x:c r="E1440" s="34" t="n">
        <x:f>Subsurface_Live_Data!A214</x:f>
        <x:v>46</x:v>
      </x:c>
      <x:c r="F1440" s="34" t="n">
        <x:f>Subsurface_Live_Data!AA214</x:f>
        <x:v>0</x:v>
      </x:c>
    </x:row>
    <x:row r="1441">
      <x:c r="A1441" s="34" t="n">
        <x:f>Subsurface_Live_Data!A215</x:f>
        <x:v>46.5</x:v>
      </x:c>
      <x:c r="B1441" s="34" t="n">
        <x:f>Subsurface_Live_Data!X215</x:f>
        <x:v>12.571154248696168</x:v>
      </x:c>
      <x:c r="C1441" s="34" t="n">
        <x:f>Subsurface_Live_Data!A215</x:f>
        <x:v>46.5</x:v>
      </x:c>
      <x:c r="D1441" s="34" t="n">
        <x:f>Subsurface_Live_Data!Y215</x:f>
        <x:v>11.597893991821792</x:v>
      </x:c>
      <x:c r="E1441" s="34" t="n">
        <x:f>Subsurface_Live_Data!A215</x:f>
        <x:v>46.5</x:v>
      </x:c>
      <x:c r="F1441" s="34" t="n">
        <x:f>Subsurface_Live_Data!AA215</x:f>
        <x:v>0</x:v>
      </x:c>
    </x:row>
    <x:row r="1442">
      <x:c r="A1442" s="34" t="n">
        <x:f>Subsurface_Live_Data!A216</x:f>
        <x:v>47</x:v>
      </x:c>
      <x:c r="B1442" s="34" t="n">
        <x:f>Subsurface_Live_Data!X216</x:f>
        <x:v>12.510472398211881</x:v>
      </x:c>
      <x:c r="C1442" s="34" t="n">
        <x:f>Subsurface_Live_Data!A216</x:f>
        <x:v>47</x:v>
      </x:c>
      <x:c r="D1442" s="34" t="n">
        <x:f>Subsurface_Live_Data!Y216</x:f>
        <x:v>11.612814287331389</x:v>
      </x:c>
      <x:c r="E1442" s="34" t="n">
        <x:f>Subsurface_Live_Data!A216</x:f>
        <x:v>47</x:v>
      </x:c>
      <x:c r="F1442" s="34" t="n">
        <x:f>Subsurface_Live_Data!AA216</x:f>
        <x:v>0</x:v>
      </x:c>
    </x:row>
    <x:row r="1443">
      <x:c r="A1443" s="34" t="n">
        <x:f>Subsurface_Live_Data!A217</x:f>
        <x:v>47.5</x:v>
      </x:c>
      <x:c r="B1443" s="34" t="n">
        <x:f>Subsurface_Live_Data!X217</x:f>
        <x:v>12.459269489167632</x:v>
      </x:c>
      <x:c r="C1443" s="34" t="n">
        <x:f>Subsurface_Live_Data!A217</x:f>
        <x:v>47.5</x:v>
      </x:c>
      <x:c r="D1443" s="34" t="n">
        <x:f>Subsurface_Live_Data!Y217</x:f>
        <x:v>11.6513602656484</x:v>
      </x:c>
      <x:c r="E1443" s="34" t="n">
        <x:f>Subsurface_Live_Data!A217</x:f>
        <x:v>47.5</x:v>
      </x:c>
      <x:c r="F1443" s="34" t="n">
        <x:f>Subsurface_Live_Data!AA217</x:f>
        <x:v>0</x:v>
      </x:c>
    </x:row>
    <x:row r="1444">
      <x:c r="A1444" s="34" t="n">
        <x:f>Subsurface_Live_Data!A218</x:f>
        <x:v>48</x:v>
      </x:c>
      <x:c r="B1444" s="34" t="n">
        <x:f>Subsurface_Live_Data!X218</x:f>
        <x:v>12.416933801065781</x:v>
      </x:c>
      <x:c r="C1444" s="34" t="n">
        <x:f>Subsurface_Live_Data!A218</x:f>
        <x:v>48</x:v>
      </x:c>
      <x:c r="D1444" s="34" t="n">
        <x:f>Subsurface_Live_Data!Y218</x:f>
        <x:v>11.5683049111747</x:v>
      </x:c>
      <x:c r="E1444" s="34" t="n">
        <x:f>Subsurface_Live_Data!A218</x:f>
        <x:v>48</x:v>
      </x:c>
      <x:c r="F1444" s="34" t="n">
        <x:f>Subsurface_Live_Data!AA218</x:f>
        <x:v>0</x:v>
      </x:c>
    </x:row>
    <x:row r="1445">
      <x:c r="A1445" s="34" t="n">
        <x:f>Subsurface_Live_Data!A219</x:f>
        <x:v>48.5</x:v>
      </x:c>
      <x:c r="B1445" s="34" t="n">
        <x:f>Subsurface_Live_Data!X219</x:f>
        <x:v>12.38282758756344</x:v>
      </x:c>
      <x:c r="C1445" s="34" t="n">
        <x:f>Subsurface_Live_Data!A219</x:f>
        <x:v>48.5</x:v>
      </x:c>
      <x:c r="D1445" s="34" t="n">
        <x:f>Subsurface_Live_Data!Y219</x:f>
        <x:v>11.607183879978301</x:v>
      </x:c>
      <x:c r="E1445" s="34" t="n">
        <x:f>Subsurface_Live_Data!A219</x:f>
        <x:v>48.5</x:v>
      </x:c>
      <x:c r="F1445" s="34" t="n">
        <x:f>Subsurface_Live_Data!AA219</x:f>
        <x:v>0</x:v>
      </x:c>
    </x:row>
    <x:row r="1446">
      <x:c r="A1446" s="34" t="n">
        <x:f>Subsurface_Live_Data!A220</x:f>
        <x:v>49</x:v>
      </x:c>
      <x:c r="B1446" s="34" t="n">
        <x:f>Subsurface_Live_Data!X220</x:f>
        <x:v>12.356299043447024</x:v>
      </x:c>
      <x:c r="C1446" s="34" t="n">
        <x:f>Subsurface_Live_Data!A220</x:f>
        <x:v>49</x:v>
      </x:c>
      <x:c r="D1446" s="34" t="n">
        <x:f>Subsurface_Live_Data!Y220</x:f>
        <x:v>11.62151981749269</x:v>
      </x:c>
      <x:c r="E1446" s="34" t="n">
        <x:f>Subsurface_Live_Data!A220</x:f>
        <x:v>49</x:v>
      </x:c>
      <x:c r="F1446" s="34" t="n">
        <x:f>Subsurface_Live_Data!AA220</x:f>
        <x:v>0</x:v>
      </x:c>
    </x:row>
    <x:row r="1447">
      <x:c r="A1447" s="34" t="n">
        <x:f>Subsurface_Live_Data!A221</x:f>
        <x:v>49.5</x:v>
      </x:c>
      <x:c r="B1447" s="34" t="n">
        <x:f>Subsurface_Live_Data!X221</x:f>
        <x:v>12.336692972042016</x:v>
      </x:c>
      <x:c r="C1447" s="34" t="n">
        <x:f>Subsurface_Live_Data!A221</x:f>
        <x:v>49.5</x:v>
      </x:c>
      <x:c r="D1447" s="34" t="n">
        <x:f>Subsurface_Live_Data!Y221</x:f>
        <x:v>11.589782425933791</x:v>
      </x:c>
      <x:c r="E1447" s="34" t="n">
        <x:f>Subsurface_Live_Data!A221</x:f>
        <x:v>49.5</x:v>
      </x:c>
      <x:c r="F1447" s="34" t="n">
        <x:f>Subsurface_Live_Data!AA221</x:f>
        <x:v>0</x:v>
      </x:c>
    </x:row>
    <x:row r="1448">
      <x:c r="A1448" s="34" t="n">
        <x:f>Subsurface_Live_Data!A222</x:f>
        <x:v>50</x:v>
      </x:c>
      <x:c r="B1448" s="34" t="n">
        <x:f>Subsurface_Live_Data!X222</x:f>
        <x:v>12.323360094900039</x:v>
      </x:c>
      <x:c r="C1448" s="34" t="n">
        <x:f>Subsurface_Live_Data!A222</x:f>
        <x:v>50</x:v>
      </x:c>
      <x:c r="D1448" s="34" t="n">
        <x:f>Subsurface_Live_Data!Y222</x:f>
        <x:v>11.588823991701751</x:v>
      </x:c>
      <x:c r="E1448" s="34" t="n">
        <x:f>Subsurface_Live_Data!A222</x:f>
        <x:v>50</x:v>
      </x:c>
      <x:c r="F1448" s="34" t="n">
        <x:f>Subsurface_Live_Data!AA222</x:f>
        <x:v>0</x:v>
      </x:c>
    </x:row>
    <x:row r="1449">
      <x:c r="A1449" s="34" t="n">
        <x:f>Subsurface_Live_Data!A223</x:f>
        <x:v>50.5</x:v>
      </x:c>
      <x:c r="B1449" s="34" t="n">
        <x:f>Subsurface_Live_Data!X223</x:f>
        <x:v>12.315664987796254</x:v>
      </x:c>
      <x:c r="C1449" s="34" t="n">
        <x:f>Subsurface_Live_Data!A223</x:f>
        <x:v>50.5</x:v>
      </x:c>
      <x:c r="D1449" s="34" t="n">
        <x:f>Subsurface_Live_Data!Y223</x:f>
        <x:v>11.492818451770304</x:v>
      </x:c>
      <x:c r="E1449" s="34" t="n">
        <x:f>Subsurface_Live_Data!A223</x:f>
        <x:v>50.5</x:v>
      </x:c>
      <x:c r="F1449" s="34" t="n">
        <x:f>Subsurface_Live_Data!AA223</x:f>
        <x:v>0</x:v>
      </x:c>
    </x:row>
    <x:row r="1450">
      <x:c r="A1450" s="34" t="n">
        <x:f>Subsurface_Live_Data!A224</x:f>
        <x:v>51</x:v>
      </x:c>
      <x:c r="B1450" s="34" t="n">
        <x:f>Subsurface_Live_Data!X224</x:f>
        <x:v>12.312992663984872</x:v>
      </x:c>
      <x:c r="C1450" s="34" t="n">
        <x:f>Subsurface_Live_Data!A224</x:f>
        <x:v>51</x:v>
      </x:c>
      <x:c r="D1450" s="34" t="n">
        <x:f>Subsurface_Live_Data!Y224</x:f>
        <x:v>11.491202636761741</x:v>
      </x:c>
      <x:c r="E1450" s="34" t="n">
        <x:f>Subsurface_Live_Data!A224</x:f>
        <x:v>51</x:v>
      </x:c>
      <x:c r="F1450" s="34" t="n">
        <x:f>Subsurface_Live_Data!AA224</x:f>
        <x:v>0</x:v>
      </x:c>
    </x:row>
    <x:row r="1451">
      <x:c r="A1451" s="34" t="n">
        <x:f>Subsurface_Live_Data!A225</x:f>
        <x:v>51.5</x:v>
      </x:c>
      <x:c r="B1451" s="34" t="n">
        <x:f>Subsurface_Live_Data!X225</x:f>
        <x:v>12.314753856825817</x:v>
      </x:c>
      <x:c r="C1451" s="34" t="n">
        <x:f>Subsurface_Live_Data!A225</x:f>
        <x:v>51.5</x:v>
      </x:c>
      <x:c r="D1451" s="34" t="n">
        <x:f>Subsurface_Live_Data!Y225</x:f>
        <x:v>11.393955472999828</x:v>
      </x:c>
      <x:c r="E1451" s="34" t="n">
        <x:f>Subsurface_Live_Data!A225</x:f>
        <x:v>51.5</x:v>
      </x:c>
      <x:c r="F1451" s="34" t="n">
        <x:f>Subsurface_Live_Data!AA225</x:f>
        <x:v>0</x:v>
      </x:c>
    </x:row>
    <x:row r="1452">
      <x:c r="A1452" s="34" t="n">
        <x:f>Subsurface_Live_Data!A226</x:f>
        <x:v>52</x:v>
      </x:c>
      <x:c r="B1452" s="34" t="n">
        <x:f>Subsurface_Live_Data!X226</x:f>
        <x:v>12.320389079111493</x:v>
      </x:c>
      <x:c r="C1452" s="34" t="n">
        <x:f>Subsurface_Live_Data!A226</x:f>
        <x:v>52</x:v>
      </x:c>
      <x:c r="D1452" s="34" t="n">
        <x:f>Subsurface_Live_Data!Y226</x:f>
        <x:v>11.36298445980163</x:v>
      </x:c>
      <x:c r="E1452" s="34" t="n">
        <x:f>Subsurface_Live_Data!A226</x:f>
        <x:v>52</x:v>
      </x:c>
      <x:c r="F1452" s="34" t="n">
        <x:f>Subsurface_Live_Data!AA226</x:f>
        <x:v>0</x:v>
      </x:c>
    </x:row>
    <x:row r="1453">
      <x:c r="A1453" s="34" t="n">
        <x:f>Subsurface_Live_Data!A227</x:f>
        <x:v>52.5</x:v>
      </x:c>
      <x:c r="B1453" s="34" t="n">
        <x:f>Subsurface_Live_Data!X227</x:f>
        <x:v>12.32937155573159</x:v>
      </x:c>
      <x:c r="C1453" s="34" t="n">
        <x:f>Subsurface_Live_Data!A227</x:f>
        <x:v>52.5</x:v>
      </x:c>
      <x:c r="D1453" s="34" t="n">
        <x:f>Subsurface_Live_Data!Y227</x:f>
        <x:v>11.377275918171264</x:v>
      </x:c>
      <x:c r="E1453" s="34" t="n">
        <x:f>Subsurface_Live_Data!A227</x:f>
        <x:v>52.5</x:v>
      </x:c>
      <x:c r="F1453" s="34" t="n">
        <x:f>Subsurface_Live_Data!AA227</x:f>
        <x:v>0</x:v>
      </x:c>
    </x:row>
    <x:row r="1454">
      <x:c r="A1454" s="34" t="n">
        <x:f>Subsurface_Live_Data!A228</x:f>
        <x:v>53</x:v>
      </x:c>
      <x:c r="B1454" s="34" t="n">
        <x:f>Subsurface_Live_Data!X228</x:f>
        <x:v>12.341209139964242</x:v>
      </x:c>
      <x:c r="C1454" s="34" t="n">
        <x:f>Subsurface_Live_Data!A228</x:f>
        <x:v>53</x:v>
      </x:c>
      <x:c r="D1454" s="34" t="n">
        <x:f>Subsurface_Live_Data!Y228</x:f>
        <x:v>11.295974951950484</x:v>
      </x:c>
      <x:c r="E1454" s="34" t="n">
        <x:f>Subsurface_Live_Data!A228</x:f>
        <x:v>53</x:v>
      </x:c>
      <x:c r="F1454" s="34" t="n">
        <x:f>Subsurface_Live_Data!AA228</x:f>
        <x:v>0</x:v>
      </x:c>
    </x:row>
    <x:row r="1455">
      <x:c r="A1455" s="34" t="n">
        <x:f>Subsurface_Live_Data!A229</x:f>
        <x:v>53.5</x:v>
      </x:c>
      <x:c r="B1455" s="34" t="n">
        <x:f>Subsurface_Live_Data!X229</x:f>
        <x:v>12.355445332087811</x:v>
      </x:c>
      <x:c r="C1455" s="34" t="n">
        <x:f>Subsurface_Live_Data!A229</x:f>
        <x:v>53.5</x:v>
      </x:c>
      <x:c r="D1455" s="34" t="n">
        <x:f>Subsurface_Live_Data!Y229</x:f>
        <x:v>11.309919447269799</x:v>
      </x:c>
      <x:c r="E1455" s="34" t="n">
        <x:f>Subsurface_Live_Data!A229</x:f>
        <x:v>53.5</x:v>
      </x:c>
      <x:c r="F1455" s="34" t="n">
        <x:f>Subsurface_Live_Data!AA229</x:f>
        <x:v>0</x:v>
      </x:c>
    </x:row>
    <x:row r="1456">
      <x:c r="A1456" s="34" t="n">
        <x:f>Subsurface_Live_Data!A230</x:f>
        <x:v>54</x:v>
      </x:c>
      <x:c r="B1456" s="34" t="n">
        <x:f>Subsurface_Live_Data!X230</x:f>
        <x:v>12.371659522707134</x:v>
      </x:c>
      <x:c r="C1456" s="34" t="n">
        <x:f>Subsurface_Live_Data!A230</x:f>
        <x:v>54</x:v>
      </x:c>
      <x:c r="D1456" s="34" t="n">
        <x:f>Subsurface_Live_Data!Y230</x:f>
        <x:v>11.311688458769659</x:v>
      </x:c>
      <x:c r="E1456" s="34" t="n">
        <x:f>Subsurface_Live_Data!A230</x:f>
        <x:v>54</x:v>
      </x:c>
      <x:c r="F1456" s="34" t="n">
        <x:f>Subsurface_Live_Data!AA230</x:f>
        <x:v>0</x:v>
      </x:c>
    </x:row>
    <x:row r="1457">
      <x:c r="A1457" s="34" t="n">
        <x:f>Subsurface_Live_Data!A231</x:f>
        <x:v>54.5</x:v>
      </x:c>
      <x:c r="B1457" s="34" t="n">
        <x:f>Subsurface_Live_Data!X231</x:f>
        <x:v>12.389466582804019</x:v>
      </x:c>
      <x:c r="C1457" s="34" t="n">
        <x:f>Subsurface_Live_Data!A231</x:f>
        <x:v>54.5</x:v>
      </x:c>
      <x:c r="D1457" s="34" t="n">
        <x:f>Subsurface_Live_Data!Y231</x:f>
        <x:v>11.337150160353666</x:v>
      </x:c>
      <x:c r="E1457" s="34" t="n">
        <x:f>Subsurface_Live_Data!A231</x:f>
        <x:v>54.5</x:v>
      </x:c>
      <x:c r="F1457" s="34" t="n">
        <x:f>Subsurface_Live_Data!AA231</x:f>
        <x:v>0</x:v>
      </x:c>
    </x:row>
    <x:row r="1458">
      <x:c r="A1458" s="34" t="n">
        <x:f>Subsurface_Live_Data!A232</x:f>
        <x:v>55</x:v>
      </x:c>
      <x:c r="B1458" s="34" t="n">
        <x:f>Subsurface_Live_Data!X232</x:f>
        <x:v>12.408515918722863</x:v>
      </x:c>
      <x:c r="C1458" s="34" t="n">
        <x:f>Subsurface_Live_Data!A232</x:f>
        <x:v>55</x:v>
      </x:c>
      <x:c r="D1458" s="34" t="n">
        <x:f>Subsurface_Live_Data!Y232</x:f>
        <x:v>11.291231271539914</x:v>
      </x:c>
      <x:c r="E1458" s="34" t="n">
        <x:f>Subsurface_Live_Data!A232</x:f>
        <x:v>55</x:v>
      </x:c>
      <x:c r="F1458" s="34" t="n">
        <x:f>Subsurface_Live_Data!AA232</x:f>
        <x:v>0</x:v>
      </x:c>
    </x:row>
    <x:row r="1459">
      <x:c r="A1459" s="34" t="n">
        <x:f>Subsurface_Live_Data!A233</x:f>
        <x:v>55.5</x:v>
      </x:c>
      <x:c r="B1459" s="34" t="n">
        <x:f>Subsurface_Live_Data!X233</x:f>
        <x:v>12.4284901037703</x:v>
      </x:c>
      <x:c r="C1459" s="34" t="n">
        <x:f>Subsurface_Live_Data!A233</x:f>
        <x:v>55.5</x:v>
      </x:c>
      <x:c r="D1459" s="34" t="n">
        <x:f>Subsurface_Live_Data!Y233</x:f>
        <x:v>11.322347833630666</x:v>
      </x:c>
      <x:c r="E1459" s="34" t="n">
        <x:f>Subsurface_Live_Data!A233</x:f>
        <x:v>55.5</x:v>
      </x:c>
      <x:c r="F1459" s="34" t="n">
        <x:f>Subsurface_Live_Data!AA233</x:f>
        <x:v>0</x:v>
      </x:c>
    </x:row>
    <x:row r="1460">
      <x:c r="A1460" s="34" t="n">
        <x:f>Subsurface_Live_Data!A234</x:f>
        <x:v>56</x:v>
      </x:c>
      <x:c r="B1460" s="34" t="n">
        <x:f>Subsurface_Live_Data!X234</x:f>
        <x:v>12.449103189508605</x:v>
      </x:c>
      <x:c r="C1460" s="34" t="n">
        <x:f>Subsurface_Live_Data!A234</x:f>
        <x:v>56</x:v>
      </x:c>
      <x:c r="D1460" s="34" t="n">
        <x:f>Subsurface_Live_Data!Y234</x:f>
        <x:v>11.309429167380237</x:v>
      </x:c>
      <x:c r="E1460" s="34" t="n">
        <x:f>Subsurface_Live_Data!A234</x:f>
        <x:v>56</x:v>
      </x:c>
      <x:c r="F1460" s="34" t="n">
        <x:f>Subsurface_Live_Data!AA234</x:f>
        <x:v>0</x:v>
      </x:c>
    </x:row>
    <x:row r="1461">
      <x:c r="A1461" s="34" t="n">
        <x:f>Subsurface_Live_Data!A235</x:f>
        <x:v>56.5</x:v>
      </x:c>
      <x:c r="B1461" s="34" t="n">
        <x:f>Subsurface_Live_Data!X235</x:f>
        <x:v>12.47009878978264</x:v>
      </x:c>
      <x:c r="C1461" s="34" t="n">
        <x:f>Subsurface_Live_Data!A235</x:f>
        <x:v>56.5</x:v>
      </x:c>
      <x:c r="D1461" s="34" t="n">
        <x:f>Subsurface_Live_Data!Y235</x:f>
        <x:v>11.301898613026317</x:v>
      </x:c>
      <x:c r="E1461" s="34" t="n">
        <x:f>Subsurface_Live_Data!A235</x:f>
        <x:v>56.5</x:v>
      </x:c>
      <x:c r="F1461" s="34" t="n">
        <x:f>Subsurface_Live_Data!AA235</x:f>
        <x:v>0</x:v>
      </x:c>
    </x:row>
    <x:row r="1462">
      <x:c r="A1462" s="34" t="n">
        <x:f>Subsurface_Live_Data!A236</x:f>
        <x:v>57</x:v>
      </x:c>
      <x:c r="B1462" s="34" t="n">
        <x:f>Subsurface_Live_Data!X236</x:f>
        <x:v>12.491248019609515</x:v>
      </x:c>
      <x:c r="C1462" s="34" t="n">
        <x:f>Subsurface_Live_Data!A236</x:f>
        <x:v>57</x:v>
      </x:c>
      <x:c r="D1462" s="34" t="n">
        <x:f>Subsurface_Live_Data!Y236</x:f>
        <x:v>11.262492360753157</x:v>
      </x:c>
      <x:c r="E1462" s="34" t="n">
        <x:f>Subsurface_Live_Data!A236</x:f>
        <x:v>57</x:v>
      </x:c>
      <x:c r="F1462" s="34" t="n">
        <x:f>Subsurface_Live_Data!AA236</x:f>
        <x:v>0</x:v>
      </x:c>
    </x:row>
    <x:row r="1463">
      <x:c r="A1463" s="34" t="n">
        <x:f>Subsurface_Live_Data!A237</x:f>
        <x:v>57.5</x:v>
      </x:c>
      <x:c r="B1463" s="34" t="n">
        <x:f>Subsurface_Live_Data!X237</x:f>
        <x:v>12.512347359779255</x:v>
      </x:c>
      <x:c r="C1463" s="34" t="n">
        <x:f>Subsurface_Live_Data!A237</x:f>
        <x:v>57.5</x:v>
      </x:c>
      <x:c r="D1463" s="34" t="n">
        <x:f>Subsurface_Live_Data!Y237</x:f>
        <x:v>11.365470361125247</x:v>
      </x:c>
      <x:c r="E1463" s="34" t="n">
        <x:f>Subsurface_Live_Data!A237</x:f>
        <x:v>57.5</x:v>
      </x:c>
      <x:c r="F1463" s="34" t="n">
        <x:f>Subsurface_Live_Data!AA237</x:f>
        <x:v>0</x:v>
      </x:c>
    </x:row>
    <x:row r="1464">
      <x:c r="A1464" s="34" t="n">
        <x:f>Subsurface_Live_Data!A238</x:f>
        <x:v>58</x:v>
      </x:c>
      <x:c r="B1464" s="34" t="n">
        <x:f>Subsurface_Live_Data!X238</x:f>
        <x:v>12.533216506787511</x:v>
      </x:c>
      <x:c r="C1464" s="34" t="n">
        <x:f>Subsurface_Live_Data!A238</x:f>
        <x:v>58</x:v>
      </x:c>
      <x:c r="D1464" s="34" t="n">
        <x:f>Subsurface_Live_Data!Y238</x:f>
        <x:v>11.301970156879626</x:v>
      </x:c>
      <x:c r="E1464" s="34" t="n">
        <x:f>Subsurface_Live_Data!A238</x:f>
        <x:v>58</x:v>
      </x:c>
      <x:c r="F1464" s="34" t="n">
        <x:f>Subsurface_Live_Data!AA238</x:f>
        <x:v>0</x:v>
      </x:c>
    </x:row>
    <x:row r="1465">
      <x:c r="A1465" s="34" t="n">
        <x:f>Subsurface_Live_Data!A239</x:f>
        <x:v>58.5</x:v>
      </x:c>
      <x:c r="B1465" s="34" t="n">
        <x:f>Subsurface_Live_Data!X239</x:f>
        <x:v>12.553696256893964</x:v>
      </x:c>
      <x:c r="C1465" s="34" t="n">
        <x:f>Subsurface_Live_Data!A239</x:f>
        <x:v>58.5</x:v>
      </x:c>
      <x:c r="D1465" s="34" t="n">
        <x:f>Subsurface_Live_Data!Y239</x:f>
        <x:v>11.335147442684978</x:v>
      </x:c>
      <x:c r="E1465" s="34" t="n">
        <x:f>Subsurface_Live_Data!A239</x:f>
        <x:v>58.5</x:v>
      </x:c>
      <x:c r="F1465" s="34" t="n">
        <x:f>Subsurface_Live_Data!AA239</x:f>
        <x:v>0</x:v>
      </x:c>
    </x:row>
    <x:row r="1466">
      <x:c r="A1466" s="34" t="n">
        <x:f>Subsurface_Live_Data!A240</x:f>
        <x:v>59</x:v>
      </x:c>
      <x:c r="B1466" s="34" t="n">
        <x:f>Subsurface_Live_Data!X240</x:f>
        <x:v>12.573646462939188</x:v>
      </x:c>
      <x:c r="C1466" s="34" t="n">
        <x:f>Subsurface_Live_Data!A240</x:f>
        <x:v>59</x:v>
      </x:c>
      <x:c r="D1466" s="34" t="n">
        <x:f>Subsurface_Live_Data!Y240</x:f>
        <x:v>11.318243607930299</x:v>
      </x:c>
      <x:c r="E1466" s="34" t="n">
        <x:f>Subsurface_Live_Data!A240</x:f>
        <x:v>59</x:v>
      </x:c>
      <x:c r="F1466" s="34" t="n">
        <x:f>Subsurface_Live_Data!AA240</x:f>
        <x:v>0</x:v>
      </x:c>
    </x:row>
    <x:row r="1467">
      <x:c r="A1467" s="34" t="n">
        <x:f>Subsurface_Live_Data!A241</x:f>
        <x:v>59.5</x:v>
      </x:c>
      <x:c r="B1467" s="34" t="n">
        <x:f>Subsurface_Live_Data!X241</x:f>
        <x:v>12.592944093252214</x:v>
      </x:c>
      <x:c r="C1467" s="34" t="n">
        <x:f>Subsurface_Live_Data!A241</x:f>
        <x:v>59.5</x:v>
      </x:c>
      <x:c r="D1467" s="34" t="n">
        <x:f>Subsurface_Live_Data!Y241</x:f>
        <x:v>11.431150496537299</x:v>
      </x:c>
      <x:c r="E1467" s="34" t="n">
        <x:f>Subsurface_Live_Data!A241</x:f>
        <x:v>59.5</x:v>
      </x:c>
      <x:c r="F1467" s="34" t="n">
        <x:f>Subsurface_Live_Data!AA241</x:f>
        <x:v>0</x:v>
      </x:c>
    </x:row>
    <x:row r="1468">
      <x:c r="A1468" s="34" t="n">
        <x:f>Subsurface_Live_Data!A242</x:f>
        <x:v>60</x:v>
      </x:c>
      <x:c r="B1468" s="34" t="n">
        <x:f>Subsurface_Live_Data!X242</x:f>
        <x:v>12.611481413668415</x:v>
      </x:c>
      <x:c r="C1468" s="34" t="n">
        <x:f>Subsurface_Live_Data!A242</x:f>
        <x:v>60</x:v>
      </x:c>
      <x:c r="D1468" s="34" t="n">
        <x:f>Subsurface_Live_Data!Y242</x:f>
        <x:v>11.392478642603344</x:v>
      </x:c>
      <x:c r="E1468" s="34" t="n">
        <x:f>Subsurface_Live_Data!A242</x:f>
        <x:v>60</x:v>
      </x:c>
      <x:c r="F1468" s="34" t="n">
        <x:f>Subsurface_Live_Data!AA242</x:f>
        <x:v>0</x:v>
      </x:c>
    </x:row>
    <x:row r="1471" s="73" customFormat="1" ht="15.600000381469727" customHeight="1">
      <x:c r="A1471" s="32" t="inlineStr">
        <x:is>
          <x:t xml:space="preserve">Reflection Strength by Material / Interface</x:t>
        </x:is>
      </x:c>
    </x:row>
    <x:row r="1472" s="73" customFormat="1" ht="27.600000381469727" customHeight="1">
      <x:c r="A1472" s="33" t="inlineStr">
        <x:is>
          <x:t xml:space="preserve">Material/interface strength x</x:t>
        </x:is>
      </x:c>
      <x:c r="B1472" s="33" t="inlineStr">
        <x:is>
          <x:t xml:space="preserve">Material/interface strength</x:t>
        </x:is>
      </x:c>
    </x:row>
    <x:row r="1473">
      <x:c r="A1473" s="34" t="n">
        <x:f>Subsurface_Materials_Evidence!G2</x:f>
        <x:v>1</x:v>
      </x:c>
      <x:c r="B1473" s="34" t="n">
        <x:f>Subsurface_Materials_Evidence!H2</x:f>
        <x:v>-18</x:v>
      </x:c>
    </x:row>
    <x:row r="1474">
      <x:c r="A1474" s="34" t="n">
        <x:f>Subsurface_Materials_Evidence!G3</x:f>
        <x:v>2</x:v>
      </x:c>
      <x:c r="B1474" s="34" t="n">
        <x:f>Subsurface_Materials_Evidence!H3</x:f>
        <x:v>-14</x:v>
      </x:c>
    </x:row>
    <x:row r="1475">
      <x:c r="A1475" s="34" t="n">
        <x:f>Subsurface_Materials_Evidence!G4</x:f>
        <x:v>3</x:v>
      </x:c>
      <x:c r="B1475" s="34" t="n">
        <x:f>Subsurface_Materials_Evidence!H4</x:f>
        <x:v>-10</x:v>
      </x:c>
    </x:row>
    <x:row r="1476">
      <x:c r="A1476" s="34" t="n">
        <x:f>Subsurface_Materials_Evidence!G5</x:f>
        <x:v>4</x:v>
      </x:c>
      <x:c r="B1476" s="34" t="n">
        <x:f>Subsurface_Materials_Evidence!H5</x:f>
        <x:v>-6</x:v>
      </x:c>
    </x:row>
    <x:row r="1477">
      <x:c r="A1477" s="34" t="n">
        <x:f>Subsurface_Materials_Evidence!G6</x:f>
        <x:v>5</x:v>
      </x:c>
      <x:c r="B1477" s="34" t="n">
        <x:f>Subsurface_Materials_Evidence!H6</x:f>
        <x:v>-2</x:v>
      </x:c>
    </x:row>
    <x:row r="1490" s="73" customFormat="1" ht="15.600000381469727" customHeight="1">
      <x:c r="A1490" s="32" t="inlineStr">
        <x:is>
          <x:t xml:space="preserve">Cross-Instrument Evidence Score</x:t>
        </x:is>
      </x:c>
    </x:row>
    <x:row r="1491">
      <x:c r="A1491" s="33" t="inlineStr">
        <x:is>
          <x:t xml:space="preserve">Evidence support score x</x:t>
        </x:is>
      </x:c>
      <x:c r="B1491" s="33" t="inlineStr">
        <x:is>
          <x:t xml:space="preserve">Evidence support score</x:t>
        </x:is>
      </x:c>
    </x:row>
    <x:row r="1492">
      <x:c r="A1492" s="34" t="n">
        <x:f>Subsurface_Materials_Evidence!I10</x:f>
        <x:v>1</x:v>
      </x:c>
      <x:c r="B1492" s="34" t="n">
        <x:f>Subsurface_Materials_Evidence!J10</x:f>
        <x:v>55</x:v>
      </x:c>
    </x:row>
    <x:row r="1493">
      <x:c r="A1493" s="34" t="n">
        <x:f>Subsurface_Materials_Evidence!I11</x:f>
        <x:v>2</x:v>
      </x:c>
      <x:c r="B1493" s="34" t="n">
        <x:f>Subsurface_Materials_Evidence!J11</x:f>
        <x:v>35</x:v>
      </x:c>
    </x:row>
    <x:row r="1494">
      <x:c r="A1494" s="34" t="n">
        <x:f>Subsurface_Materials_Evidence!I12</x:f>
        <x:v>3</x:v>
      </x:c>
      <x:c r="B1494" s="34" t="n">
        <x:f>Subsurface_Materials_Evidence!J12</x:f>
        <x:v>40</x:v>
      </x:c>
    </x:row>
    <x:row r="1495">
      <x:c r="A1495" s="34" t="n">
        <x:f>Subsurface_Materials_Evidence!I13</x:f>
        <x:v>4</x:v>
      </x:c>
      <x:c r="B1495" s="34" t="n">
        <x:f>Subsurface_Materials_Evidence!J13</x:f>
        <x:v>50</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24" style="73" customWidth="1"/>
    <x:col min="3" max="3" width="36" style="73" customWidth="1"/>
    <x:col min="4" max="4" width="32" style="73" customWidth="1"/>
    <x:col min="5" max="5" width="38" style="73" customWidth="1"/>
    <x:col min="6" max="6" width="4" style="73" customWidth="1"/>
    <x:col min="7" max="7" width="12" style="73" customWidth="1"/>
    <x:col min="8" max="8" width="24" style="73" customWidth="1"/>
    <x:col min="9" max="10" width="30" style="73" customWidth="1"/>
    <x:col min="11" max="11" width="12" style="73" customWidth="1"/>
    <x:col min="12" max="13" width="32" style="73" customWidth="1"/>
    <x:col min="14" max="14" width="44" style="73" customWidth="1"/>
    <x:col min="15" max="15" width="4" style="73" customWidth="1"/>
    <x:col min="16" max="16" width="12" style="73" customWidth="1"/>
    <x:col min="17" max="17" width="20" style="73" customWidth="1"/>
    <x:col min="18" max="18" width="28" style="73" customWidth="1"/>
    <x:col min="19" max="19" width="20" style="73" customWidth="1"/>
    <x:col min="20" max="20" width="28" style="73" customWidth="1"/>
    <x:col min="21" max="21" width="4" style="73" customWidth="1"/>
    <x:col min="22" max="22" width="12" style="73" customWidth="1"/>
    <x:col min="23" max="23" width="22" style="73" customWidth="1"/>
    <x:col min="24" max="24" width="4" style="73" customWidth="1"/>
    <x:col min="25" max="25" width="12" style="73" customWidth="1"/>
    <x:col min="26" max="26" width="24" style="73" customWidth="1"/>
    <x:col min="27" max="27" width="36" style="73" customWidth="1"/>
    <x:col min="28" max="28" width="32" style="73" customWidth="1"/>
  </x:cols>
  <x:sheetData>
    <x:row r="1" s="73" customFormat="1" ht="26.25" customHeight="1">
      <x:c r="A1" s="2" t="inlineStr">
        <x:is>
          <x:t xml:space="preserve">x (km)</x:t>
        </x:is>
      </x:c>
      <x:c r="B1" s="2" t="inlineStr">
        <x:is>
          <x:t xml:space="preserve">Zero-depth nadir reference (0 m)</x:t>
        </x:is>
      </x:c>
      <x:c r="C1" s="2" t="inlineStr">
        <x:is>
          <x:t xml:space="preserve">Constant-altitude off-nadir reading (m)</x:t>
        </x:is>
      </x:c>
      <x:c r="D1" s="2" t="inlineStr">
        <x:is>
          <x:t xml:space="preserve">Parabolic flat-surface reading (m)</x:t>
        </x:is>
      </x:c>
      <x:c r="E1" s="2" t="inlineStr">
        <x:is>
          <x:t xml:space="preserve">Parabolic topography-adjusted reading (m)</x:t>
        </x:is>
      </x:c>
      <x:c r="G1" s="2" t="inlineStr">
        <x:is>
          <x:t xml:space="preserve">x (km)</x:t>
        </x:is>
      </x:c>
      <x:c r="H1" s="2" t="inlineStr">
        <x:is>
          <x:t xml:space="preserve">Reference floor (generated topography, m)</x:t>
        </x:is>
      </x:c>
      <x:c r="I1" s="2" t="inlineStr">
        <x:is>
          <x:t xml:space="preserve">Off-nadir target topography height (m)</x:t>
        </x:is>
      </x:c>
      <x:c r="J1" s="2" t="inlineStr">
        <x:is>
          <x:t xml:space="preserve">Nadir topography height (m)</x:t>
        </x:is>
      </x:c>
      <x:c r="K1" s="2" t="inlineStr">
        <x:is>
          <x:t xml:space="preserve">x (km)</x:t>
        </x:is>
      </x:c>
      <x:c r="L1" s="2" t="inlineStr">
        <x:is>
          <x:t xml:space="preserve">Off-nadir target surface height (m)</x:t>
        </x:is>
      </x:c>
      <x:c r="M1" s="2" t="inlineStr">
        <x:is>
          <x:t xml:space="preserve">Nadir surface height (m)</x:t>
        </x:is>
      </x:c>
      <x:c r="N1" s="2" t="inlineStr">
        <x:is>
          <x:t xml:space="preserve">Off-nadir satellite apparent surface height equivalent (m)</x:t>
        </x:is>
      </x:c>
      <x:c r="P1" s="2" t="inlineStr">
        <x:is>
          <x:t xml:space="preserve">x (km)</x:t>
        </x:is>
      </x:c>
      <x:c r="Q1" s="2" t="inlineStr">
        <x:is>
          <x:t xml:space="preserve">Flat-geometry VHF Doppler (Hz)</x:t>
        </x:is>
      </x:c>
      <x:c r="R1" s="2" t="inlineStr">
        <x:is>
          <x:t xml:space="preserve">Topography-adjusted VHF Doppler (Hz)</x:t>
        </x:is>
      </x:c>
      <x:c r="S1" s="2" t="inlineStr">
        <x:is>
          <x:t xml:space="preserve">Flat-geometry HF Doppler (Hz)</x:t>
        </x:is>
      </x:c>
      <x:c r="T1" s="2" t="inlineStr">
        <x:is>
          <x:t xml:space="preserve">Topography-adjusted HF Doppler (Hz)</x:t>
        </x:is>
      </x:c>
      <x:c r="V1" s="2" t="inlineStr">
        <x:is>
          <x:t xml:space="preserve">x (km)</x:t>
        </x:is>
      </x:c>
      <x:c r="W1" s="2" t="inlineStr">
        <x:is>
          <x:t xml:space="preserve">Altitude rise above z0 (km)</x:t>
        </x:is>
      </x:c>
      <x:c r="Y1" s="2" t="inlineStr">
        <x:is>
          <x:t xml:space="preserve">x (km)</x:t>
        </x:is>
      </x:c>
      <x:c r="Z1" s="2" t="inlineStr">
        <x:is>
          <x:t xml:space="preserve">Zero-depth nadir reference (0 m)</x:t>
        </x:is>
      </x:c>
      <x:c r="AA1" s="2" t="inlineStr">
        <x:is>
          <x:t xml:space="preserve">Flat ground + constant satellite altitude reading (m)</x:t>
        </x:is>
      </x:c>
      <x:c r="AB1" s="2" t="inlineStr">
        <x:is>
          <x:t xml:space="preserve">Flat ground + parabolic satellite path reading (m)</x:t>
        </x:is>
      </x:c>
    </x:row>
    <x:row r="2">
      <x:c r="A2" s="9" t="n">
        <x:f>Model_Data!A2</x:f>
        <x:v>-60</x:v>
      </x:c>
      <x:c r="B2" s="9" t="n">
        <x:f>0</x:f>
        <x:v>0</x:v>
      </x:c>
      <x:c r="C2" s="9" t="n">
        <x:f>((SQRT((Inputs!$C$52+Inputs!$C$5)^2+Inputs!$C$52^2-2*(Inputs!$C$52+Inputs!$C$5)*Inputs!$C$52*COS(SQRT((Model_Data!A2)^2+Inputs!$C$6^2)/Inputs!$C$52))-Inputs!$C$5)*1000/Inputs!$C$12)</x:f>
        <x:v>3696.432026065829</x:v>
      </x:c>
      <x:c r="D2" s="9" t="n">
        <x:f>Model_Data!F2</x:f>
        <x:v>3667.825190313778</x:v>
      </x:c>
      <x:c r="E2" s="9" t="n">
        <x:f>Model_Data!AC2</x:f>
        <x:v>3603.6304870607873</x:v>
      </x:c>
      <x:c r="F2" s="10" t="n"/>
      <x:c r="G2" s="9" t="n">
        <x:f>Model_Data!A2</x:f>
        <x:v>-60</x:v>
      </x:c>
      <x:c r="H2" s="9" t="n">
        <x:f>Model_Data!Y2</x:f>
        <x:v>119.42638570504096</x:v>
      </x:c>
      <x:c r="I2" s="9" t="n">
        <x:f>Model_Data!Y2</x:f>
        <x:v>119.42638570504096</x:v>
      </x:c>
      <x:c r="J2" s="9" t="n">
        <x:f>Model_Data!X2</x:f>
        <x:v>2.7642790376402013</x:v>
      </x:c>
      <x:c r="K2" s="9" t="n">
        <x:f>Model_Data!A2</x:f>
        <x:v>-60</x:v>
      </x:c>
      <x:c r="L2" s="9" t="n">
        <x:f>Model_Data!Y2</x:f>
        <x:v>119.42638570504096</x:v>
      </x:c>
      <x:c r="M2" s="9" t="n">
        <x:f>Model_Data!X2</x:f>
        <x:v>2.7642790376402013</x:v>
      </x:c>
      <x:c r="N2" s="9" t="n">
        <x:f>-(Model_Data!AC2-Model_Data!F2)*Inputs!$C$12</x:f>
        <x:v>114.26657179032331</x:v>
      </x:c>
      <x:c r="O2" s="10" t="n"/>
      <x:c r="P2" s="9" t="n">
        <x:f>Model_Data!A2</x:f>
        <x:v>-60</x:v>
      </x:c>
      <x:c r="Q2" s="9" t="n">
        <x:f>Model_Data!P2</x:f>
        <x:v>502.89823360690207</x:v>
      </x:c>
      <x:c r="R2" s="9" t="n">
        <x:f>Model_Data!AM2</x:f>
        <x:v>475.6182314496982</x:v>
      </x:c>
      <x:c r="S2" s="9" t="n">
        <x:f>Model_Data!Q2</x:f>
        <x:v>75.51024528632163</x:v>
      </x:c>
      <x:c r="T2" s="9" t="n">
        <x:f>Model_Data!AN2</x:f>
        <x:v>71.41414886632106</x:v>
      </x:c>
      <x:c r="U2" s="10" t="n"/>
      <x:c r="V2" s="9" t="n">
        <x:f>Model_Data!A2</x:f>
        <x:v>-60</x:v>
      </x:c>
      <x:c r="W2" s="9" t="n">
        <x:f>Model_Data!B2-Inputs!$C$5</x:f>
        <x:v>4</x:v>
      </x:c>
      <x:c r="X2" s="10" t="n"/>
      <x:c r="Y2" s="9" t="n">
        <x:f>Model_Data!A2</x:f>
        <x:v>-60</x:v>
      </x:c>
      <x:c r="Z2" s="9" t="n">
        <x:f>0</x:f>
        <x:v>0</x:v>
      </x:c>
      <x:c r="AA2" s="9" t="n">
        <x:f>((SQRT((Inputs!$C$52+Inputs!$C$5)^2+Inputs!$C$52^2-2*(Inputs!$C$52+Inputs!$C$5)*Inputs!$C$52*COS(SQRT((Model_Data!A2)^2+Inputs!$C$6^2)/Inputs!$C$52))-Inputs!$C$5)*1000/Inputs!$C$12)</x:f>
        <x:v>3696.432026065829</x:v>
      </x:c>
      <x:c r="AB2" s="9" t="n">
        <x:f>Model_Data!F2</x:f>
        <x:v>3667.825190313778</x:v>
      </x:c>
    </x:row>
    <x:row r="3">
      <x:c r="A3" s="9" t="n">
        <x:f>Model_Data!A3</x:f>
        <x:v>-59.5</x:v>
      </x:c>
      <x:c r="B3" s="9" t="n">
        <x:f>0</x:f>
        <x:v>0</x:v>
      </x:c>
      <x:c r="C3" s="9" t="n">
        <x:f>((SQRT((Inputs!$C$52+Inputs!$C$5)^2+Inputs!$C$52^2-2*(Inputs!$C$52+Inputs!$C$5)*Inputs!$C$52*COS(SQRT((Model_Data!A3)^2+Inputs!$C$6^2)/Inputs!$C$52))-Inputs!$C$5)*1000/Inputs!$C$12)</x:f>
        <x:v>3644.581524995093</x:v>
      </x:c>
      <x:c r="D3" s="9" t="n">
        <x:f>Model_Data!F3</x:f>
        <x:v>3616.8326009242887</x:v>
      </x:c>
      <x:c r="E3" s="9" t="n">
        <x:f>Model_Data!AC3</x:f>
        <x:v>3566.910840729097</x:v>
      </x:c>
      <x:c r="F3" s="10" t="n"/>
      <x:c r="G3" s="9" t="n">
        <x:f>Model_Data!A3</x:f>
        <x:v>-59.5</x:v>
      </x:c>
      <x:c r="H3" s="9" t="n">
        <x:f>Model_Data!Y3</x:f>
        <x:v>110.69606493723512</x:v>
      </x:c>
      <x:c r="I3" s="9" t="n">
        <x:f>Model_Data!Y3</x:f>
        <x:v>110.69606493723512</x:v>
      </x:c>
      <x:c r="J3" s="9" t="n">
        <x:f>Model_Data!X3</x:f>
        <x:v>19.645117006397193</x:v>
      </x:c>
      <x:c r="K3" s="9" t="n">
        <x:f>Model_Data!A3</x:f>
        <x:v>-59.5</x:v>
      </x:c>
      <x:c r="L3" s="9" t="n">
        <x:f>Model_Data!Y3</x:f>
        <x:v>110.69606493723512</x:v>
      </x:c>
      <x:c r="M3" s="9" t="n">
        <x:f>Model_Data!X3</x:f>
        <x:v>19.645117006397193</x:v>
      </x:c>
      <x:c r="N3" s="9" t="n">
        <x:f>-(Model_Data!AC3-Model_Data!F3)*Inputs!$C$12</x:f>
        <x:v>88.86073314744147</x:v>
      </x:c>
      <x:c r="O3" s="10" t="n"/>
      <x:c r="P3" s="9" t="n">
        <x:f>Model_Data!A3</x:f>
        <x:v>-59.5</x:v>
      </x:c>
      <x:c r="Q3" s="9" t="n">
        <x:f>Model_Data!P3</x:f>
        <x:v>500.86301291985365</x:v>
      </x:c>
      <x:c r="R3" s="9" t="n">
        <x:f>Model_Data!AM3</x:f>
        <x:v>490.87300120691</x:v>
      </x:c>
      <x:c r="S3" s="9" t="n">
        <x:f>Model_Data!Q3</x:f>
        <x:v>75.20465659457263</x:v>
      </x:c>
      <x:c r="T3" s="9" t="n">
        <x:f>Model_Data!AN3</x:f>
        <x:v>73.70465483587238</x:v>
      </x:c>
      <x:c r="U3" s="10" t="n"/>
      <x:c r="V3" s="9" t="n">
        <x:f>Model_Data!A3</x:f>
        <x:v>-59.5</x:v>
      </x:c>
      <x:c r="W3" s="9" t="n">
        <x:f>Model_Data!B3-Inputs!$C$5</x:f>
        <x:v>3.9336111111111336</x:v>
      </x:c>
      <x:c r="X3" s="10" t="n"/>
      <x:c r="Y3" s="9" t="n">
        <x:f>Model_Data!A3</x:f>
        <x:v>-59.5</x:v>
      </x:c>
      <x:c r="Z3" s="9" t="n">
        <x:f>0</x:f>
        <x:v>0</x:v>
      </x:c>
      <x:c r="AA3" s="9" t="n">
        <x:f>((SQRT((Inputs!$C$52+Inputs!$C$5)^2+Inputs!$C$52^2-2*(Inputs!$C$52+Inputs!$C$5)*Inputs!$C$52*COS(SQRT((Model_Data!A3)^2+Inputs!$C$6^2)/Inputs!$C$52))-Inputs!$C$5)*1000/Inputs!$C$12)</x:f>
        <x:v>3644.581524995093</x:v>
      </x:c>
      <x:c r="AB3" s="9" t="n">
        <x:f>Model_Data!F3</x:f>
        <x:v>3616.8326009242887</x:v>
      </x:c>
    </x:row>
    <x:row r="4">
      <x:c r="A4" s="9" t="n">
        <x:f>Model_Data!A4</x:f>
        <x:v>-59</x:v>
      </x:c>
      <x:c r="B4" s="9" t="n">
        <x:f>0</x:f>
        <x:v>0</x:v>
      </x:c>
      <x:c r="C4" s="9" t="n">
        <x:f>((SQRT((Inputs!$C$52+Inputs!$C$5)^2+Inputs!$C$52^2-2*(Inputs!$C$52+Inputs!$C$5)*Inputs!$C$52*COS(SQRT((Model_Data!A4)^2+Inputs!$C$6^2)/Inputs!$C$52))-Inputs!$C$5)*1000/Inputs!$C$12)</x:f>
        <x:v>3593.153081902788</x:v>
      </x:c>
      <x:c r="D4" s="9" t="n">
        <x:f>Model_Data!F4</x:f>
        <x:v>3566.242515677423</x:v>
      </x:c>
      <x:c r="E4" s="9" t="n">
        <x:f>Model_Data!AC4</x:f>
        <x:v>3508.4803554787663</x:v>
      </x:c>
      <x:c r="F4" s="10" t="n"/>
      <x:c r="G4" s="9" t="n">
        <x:f>Model_Data!A4</x:f>
        <x:v>-59</x:v>
      </x:c>
      <x:c r="H4" s="9" t="n">
        <x:f>Model_Data!Y4</x:f>
        <x:v>112.99219424849355</x:v>
      </x:c>
      <x:c r="I4" s="9" t="n">
        <x:f>Model_Data!Y4</x:f>
        <x:v>112.99219424849355</x:v>
      </x:c>
      <x:c r="J4" s="9" t="n">
        <x:f>Model_Data!X4</x:f>
        <x:v>7.970448353767724</x:v>
      </x:c>
      <x:c r="K4" s="9" t="n">
        <x:f>Model_Data!A4</x:f>
        <x:v>-59</x:v>
      </x:c>
      <x:c r="L4" s="9" t="n">
        <x:f>Model_Data!Y4</x:f>
        <x:v>112.99219424849355</x:v>
      </x:c>
      <x:c r="M4" s="9" t="n">
        <x:f>Model_Data!X4</x:f>
        <x:v>7.970448353767724</x:v>
      </x:c>
      <x:c r="N4" s="9" t="n">
        <x:f>-(Model_Data!AC4-Model_Data!F4)*Inputs!$C$12</x:f>
        <x:v>102.81664515360875</x:v>
      </x:c>
      <x:c r="O4" s="10" t="n"/>
      <x:c r="P4" s="9" t="n">
        <x:f>Model_Data!A4</x:f>
        <x:v>-59</x:v>
      </x:c>
      <x:c r="Q4" s="9" t="n">
        <x:f>Model_Data!P4</x:f>
        <x:v>496.7909104278988</x:v>
      </x:c>
      <x:c r="R4" s="9" t="n">
        <x:f>Model_Data!AM4</x:f>
        <x:v>534.0602149449296</x:v>
      </x:c>
      <x:c r="S4" s="9" t="n">
        <x:f>Model_Data!Q4</x:f>
        <x:v>74.59322979397881</x:v>
      </x:c>
      <x:c r="T4" s="9" t="n">
        <x:f>Model_Data!AN4</x:f>
        <x:v>80.18922146320266</x:v>
      </x:c>
      <x:c r="U4" s="10" t="n"/>
      <x:c r="V4" s="9" t="n">
        <x:f>Model_Data!A4</x:f>
        <x:v>-59</x:v>
      </x:c>
      <x:c r="W4" s="9" t="n">
        <x:f>Model_Data!B4-Inputs!$C$5</x:f>
        <x:v>3.8677777777778033</x:v>
      </x:c>
      <x:c r="X4" s="10" t="n"/>
      <x:c r="Y4" s="9" t="n">
        <x:f>Model_Data!A4</x:f>
        <x:v>-59</x:v>
      </x:c>
      <x:c r="Z4" s="9" t="n">
        <x:f>0</x:f>
        <x:v>0</x:v>
      </x:c>
      <x:c r="AA4" s="9" t="n">
        <x:f>((SQRT((Inputs!$C$52+Inputs!$C$5)^2+Inputs!$C$52^2-2*(Inputs!$C$52+Inputs!$C$5)*Inputs!$C$52*COS(SQRT((Model_Data!A4)^2+Inputs!$C$6^2)/Inputs!$C$52))-Inputs!$C$5)*1000/Inputs!$C$12)</x:f>
        <x:v>3593.153081902788</x:v>
      </x:c>
      <x:c r="AB4" s="9" t="n">
        <x:f>Model_Data!F4</x:f>
        <x:v>3566.242515677423</x:v>
      </x:c>
    </x:row>
    <x:row r="5">
      <x:c r="A5" s="9" t="n">
        <x:f>Model_Data!A5</x:f>
        <x:v>-58.5</x:v>
      </x:c>
      <x:c r="B5" s="9" t="n">
        <x:f>0</x:f>
        <x:v>0</x:v>
      </x:c>
      <x:c r="C5" s="9" t="n">
        <x:f>((SQRT((Inputs!$C$52+Inputs!$C$5)^2+Inputs!$C$52^2-2*(Inputs!$C$52+Inputs!$C$5)*Inputs!$C$52*COS(SQRT((Model_Data!A5)^2+Inputs!$C$6^2)/Inputs!$C$52))-Inputs!$C$5)*1000/Inputs!$C$12)</x:f>
        <x:v>3542.1469873423243</x:v>
      </x:c>
      <x:c r="D5" s="9" t="n">
        <x:f>Model_Data!F5</x:f>
        <x:v>3516.055517830855</x:v>
      </x:c>
      <x:c r="E5" s="9" t="n">
        <x:f>Model_Data!AC5</x:f>
        <x:v>3454.2286347351014</x:v>
      </x:c>
      <x:c r="F5" s="10" t="n"/>
      <x:c r="G5" s="9" t="n">
        <x:f>Model_Data!A5</x:f>
        <x:v>-58.5</x:v>
      </x:c>
      <x:c r="H5" s="9" t="n">
        <x:f>Model_Data!Y5</x:f>
        <x:v>134.3858310571132</x:v>
      </x:c>
      <x:c r="I5" s="9" t="n">
        <x:f>Model_Data!Y5</x:f>
        <x:v>134.3858310571132</x:v>
      </x:c>
      <x:c r="J5" s="9" t="n">
        <x:f>Model_Data!X5</x:f>
        <x:v>21.747313566550197</x:v>
      </x:c>
      <x:c r="K5" s="9" t="n">
        <x:f>Model_Data!A5</x:f>
        <x:v>-58.5</x:v>
      </x:c>
      <x:c r="L5" s="9" t="n">
        <x:f>Model_Data!Y5</x:f>
        <x:v>134.3858310571132</x:v>
      </x:c>
      <x:c r="M5" s="9" t="n">
        <x:f>Model_Data!X5</x:f>
        <x:v>21.747313566550197</x:v>
      </x:c>
      <x:c r="N5" s="9" t="n">
        <x:f>-(Model_Data!AC5-Model_Data!F5)*Inputs!$C$12</x:f>
        <x:v>110.05185191044141</x:v>
      </x:c>
      <x:c r="O5" s="10" t="n"/>
      <x:c r="P5" s="9" t="n">
        <x:f>Model_Data!A5</x:f>
        <x:v>-58.5</x:v>
      </x:c>
      <x:c r="Q5" s="9" t="n">
        <x:f>Model_Data!P5</x:f>
        <x:v>492.71549658133154</x:v>
      </x:c>
      <x:c r="R5" s="9" t="n">
        <x:f>Model_Data!AM5</x:f>
        <x:v>503.9209462031067</x:v>
      </x:c>
      <x:c r="S5" s="9" t="n">
        <x:f>Model_Data!Q5</x:f>
        <x:v>73.98130579299273</x:v>
      </x:c>
      <x:c r="T5" s="9" t="n">
        <x:f>Model_Data!AN5</x:f>
        <x:v>75.66380573620222</x:v>
      </x:c>
      <x:c r="U5" s="10" t="n"/>
      <x:c r="V5" s="9" t="n">
        <x:f>Model_Data!A5</x:f>
        <x:v>-58.5</x:v>
      </x:c>
      <x:c r="W5" s="9" t="n">
        <x:f>Model_Data!B5-Inputs!$C$5</x:f>
        <x:v>3.802500000000009</x:v>
      </x:c>
      <x:c r="X5" s="10" t="n"/>
      <x:c r="Y5" s="9" t="n">
        <x:f>Model_Data!A5</x:f>
        <x:v>-58.5</x:v>
      </x:c>
      <x:c r="Z5" s="9" t="n">
        <x:f>0</x:f>
        <x:v>0</x:v>
      </x:c>
      <x:c r="AA5" s="9" t="n">
        <x:f>((SQRT((Inputs!$C$52+Inputs!$C$5)^2+Inputs!$C$52^2-2*(Inputs!$C$52+Inputs!$C$5)*Inputs!$C$52*COS(SQRT((Model_Data!A5)^2+Inputs!$C$6^2)/Inputs!$C$52))-Inputs!$C$5)*1000/Inputs!$C$12)</x:f>
        <x:v>3542.1469873423243</x:v>
      </x:c>
      <x:c r="AB5" s="9" t="n">
        <x:f>Model_Data!F5</x:f>
        <x:v>3516.055517830855</x:v>
      </x:c>
    </x:row>
    <x:row r="6">
      <x:c r="A6" s="9" t="n">
        <x:f>Model_Data!A6</x:f>
        <x:v>-58</x:v>
      </x:c>
      <x:c r="B6" s="9" t="n">
        <x:f>0</x:f>
        <x:v>0</x:v>
      </x:c>
      <x:c r="C6" s="9" t="n">
        <x:f>((SQRT((Inputs!$C$52+Inputs!$C$5)^2+Inputs!$C$52^2-2*(Inputs!$C$52+Inputs!$C$5)*Inputs!$C$52*COS(SQRT((Model_Data!A6)^2+Inputs!$C$6^2)/Inputs!$C$52))-Inputs!$C$5)*1000/Inputs!$C$12)</x:f>
        <x:v>3491.563529741107</x:v>
      </x:c>
      <x:c r="D6" s="9" t="n">
        <x:f>Model_Data!F6</x:f>
        <x:v>3466.2721868216477</x:v>
      </x:c>
      <x:c r="E6" s="9" t="n">
        <x:f>Model_Data!AC6</x:f>
        <x:v>3418.000509309314</x:v>
      </x:c>
      <x:c r="F6" s="10" t="n"/>
      <x:c r="G6" s="9" t="n">
        <x:f>Model_Data!A6</x:f>
        <x:v>-58</x:v>
      </x:c>
      <x:c r="H6" s="9" t="n">
        <x:f>Model_Data!Y6</x:f>
        <x:v>120.06952906780961</x:v>
      </x:c>
      <x:c r="I6" s="9" t="n">
        <x:f>Model_Data!Y6</x:f>
        <x:v>120.06952906780961</x:v>
      </x:c>
      <x:c r="J6" s="9" t="n">
        <x:f>Model_Data!X6</x:f>
        <x:v>31.86691354901535</x:v>
      </x:c>
      <x:c r="K6" s="9" t="n">
        <x:f>Model_Data!A6</x:f>
        <x:v>-58</x:v>
      </x:c>
      <x:c r="L6" s="9" t="n">
        <x:f>Model_Data!Y6</x:f>
        <x:v>120.06952906780961</x:v>
      </x:c>
      <x:c r="M6" s="9" t="n">
        <x:f>Model_Data!X6</x:f>
        <x:v>31.86691354901535</x:v>
      </x:c>
      <x:c r="N6" s="9" t="n">
        <x:f>-(Model_Data!AC6-Model_Data!F6)*Inputs!$C$12</x:f>
        <x:v>85.92358597195373</x:v>
      </x:c>
      <x:c r="O6" s="10" t="n"/>
      <x:c r="P6" s="9" t="n">
        <x:f>Model_Data!A6</x:f>
        <x:v>-58</x:v>
      </x:c>
      <x:c r="Q6" s="9" t="n">
        <x:f>Model_Data!P6</x:f>
        <x:v>488.63679323794713</x:v>
      </x:c>
      <x:c r="R6" s="9" t="n">
        <x:f>Model_Data!AM6</x:f>
        <x:v>495.8407751602863</x:v>
      </x:c>
      <x:c r="S6" s="9" t="n">
        <x:f>Model_Data!Q6</x:f>
        <x:v>73.36888787356564</x:v>
      </x:c>
      <x:c r="T6" s="9" t="n">
        <x:f>Model_Data!AN6</x:f>
        <x:v>74.45056684088384</x:v>
      </x:c>
      <x:c r="U6" s="10" t="n"/>
      <x:c r="V6" s="9" t="n">
        <x:f>Model_Data!A6</x:f>
        <x:v>-58</x:v>
      </x:c>
      <x:c r="W6" s="9" t="n">
        <x:f>Model_Data!B6-Inputs!$C$5</x:f>
        <x:v>3.737777777777751</x:v>
      </x:c>
      <x:c r="X6" s="10" t="n"/>
      <x:c r="Y6" s="9" t="n">
        <x:f>Model_Data!A6</x:f>
        <x:v>-58</x:v>
      </x:c>
      <x:c r="Z6" s="9" t="n">
        <x:f>0</x:f>
        <x:v>0</x:v>
      </x:c>
      <x:c r="AA6" s="9" t="n">
        <x:f>((SQRT((Inputs!$C$52+Inputs!$C$5)^2+Inputs!$C$52^2-2*(Inputs!$C$52+Inputs!$C$5)*Inputs!$C$52*COS(SQRT((Model_Data!A6)^2+Inputs!$C$6^2)/Inputs!$C$52))-Inputs!$C$5)*1000/Inputs!$C$12)</x:f>
        <x:v>3491.563529741107</x:v>
      </x:c>
      <x:c r="AB6" s="9" t="n">
        <x:f>Model_Data!F6</x:f>
        <x:v>3466.2721868216477</x:v>
      </x:c>
    </x:row>
    <x:row r="7">
      <x:c r="A7" s="9" t="n">
        <x:f>Model_Data!A7</x:f>
        <x:v>-57.5</x:v>
      </x:c>
      <x:c r="B7" s="9" t="n">
        <x:f>0</x:f>
        <x:v>0</x:v>
      </x:c>
      <x:c r="C7" s="9" t="n">
        <x:f>((SQRT((Inputs!$C$52+Inputs!$C$5)^2+Inputs!$C$52^2-2*(Inputs!$C$52+Inputs!$C$5)*Inputs!$C$52*COS(SQRT((Model_Data!A7)^2+Inputs!$C$6^2)/Inputs!$C$52))-Inputs!$C$5)*1000/Inputs!$C$12)</x:f>
        <x:v>3441.4029953902796</x:v>
      </x:c>
      <x:c r="D7" s="9" t="n">
        <x:f>Model_Data!F7</x:f>
        <x:v>3416.8930982326565</x:v>
      </x:c>
      <x:c r="E7" s="9" t="n">
        <x:f>Model_Data!AC7</x:f>
        <x:v>3359.74966750766</x:v>
      </x:c>
      <x:c r="F7" s="10" t="n"/>
      <x:c r="G7" s="9" t="n">
        <x:f>Model_Data!A7</x:f>
        <x:v>-57.5</x:v>
      </x:c>
      <x:c r="H7" s="9" t="n">
        <x:f>Model_Data!Y7</x:f>
        <x:v>138.90151425445745</x:v>
      </x:c>
      <x:c r="I7" s="9" t="n">
        <x:f>Model_Data!Y7</x:f>
        <x:v>138.90151425445745</x:v>
      </x:c>
      <x:c r="J7" s="9" t="n">
        <x:f>Model_Data!X7</x:f>
        <x:v>34.58634748797326</x:v>
      </x:c>
      <x:c r="K7" s="9" t="n">
        <x:f>Model_Data!A7</x:f>
        <x:v>-57.5</x:v>
      </x:c>
      <x:c r="L7" s="9" t="n">
        <x:f>Model_Data!Y7</x:f>
        <x:v>138.90151425445745</x:v>
      </x:c>
      <x:c r="M7" s="9" t="n">
        <x:f>Model_Data!X7</x:f>
        <x:v>34.58634748797326</x:v>
      </x:c>
      <x:c r="N7" s="9" t="n">
        <x:f>-(Model_Data!AC7-Model_Data!F7)*Inputs!$C$12</x:f>
        <x:v>101.71530669049378</x:v>
      </x:c>
      <x:c r="O7" s="10" t="n"/>
      <x:c r="P7" s="9" t="n">
        <x:f>Model_Data!A7</x:f>
        <x:v>-57.5</x:v>
      </x:c>
      <x:c r="Q7" s="9" t="n">
        <x:f>Model_Data!P7</x:f>
        <x:v>484.554822402788</x:v>
      </x:c>
      <x:c r="R7" s="9" t="n">
        <x:f>Model_Data!AM7</x:f>
        <x:v>511.9766582025477</x:v>
      </x:c>
      <x:c r="S7" s="9" t="n">
        <x:f>Model_Data!Q7</x:f>
        <x:v>72.75597933975796</x:v>
      </x:c>
      <x:c r="T7" s="9" t="n">
        <x:f>Model_Data!AN7</x:f>
        <x:v>76.87337210248465</x:v>
      </x:c>
      <x:c r="U7" s="10" t="n"/>
      <x:c r="V7" s="9" t="n">
        <x:f>Model_Data!A7</x:f>
        <x:v>-57.5</x:v>
      </x:c>
      <x:c r="W7" s="9" t="n">
        <x:f>Model_Data!B7-Inputs!$C$5</x:f>
        <x:v>3.673611111111086</x:v>
      </x:c>
      <x:c r="X7" s="10" t="n"/>
      <x:c r="Y7" s="9" t="n">
        <x:f>Model_Data!A7</x:f>
        <x:v>-57.5</x:v>
      </x:c>
      <x:c r="Z7" s="9" t="n">
        <x:f>0</x:f>
        <x:v>0</x:v>
      </x:c>
      <x:c r="AA7" s="9" t="n">
        <x:f>((SQRT((Inputs!$C$52+Inputs!$C$5)^2+Inputs!$C$52^2-2*(Inputs!$C$52+Inputs!$C$5)*Inputs!$C$52*COS(SQRT((Model_Data!A7)^2+Inputs!$C$6^2)/Inputs!$C$52))-Inputs!$C$5)*1000/Inputs!$C$12)</x:f>
        <x:v>3441.4029953902796</x:v>
      </x:c>
      <x:c r="AB7" s="9" t="n">
        <x:f>Model_Data!F7</x:f>
        <x:v>3416.8930982326565</x:v>
      </x:c>
    </x:row>
    <x:row r="8">
      <x:c r="A8" s="9" t="n">
        <x:f>Model_Data!A8</x:f>
        <x:v>-57</x:v>
      </x:c>
      <x:c r="B8" s="9" t="n">
        <x:f>0</x:f>
        <x:v>0</x:v>
      </x:c>
      <x:c r="C8" s="9" t="n">
        <x:f>((SQRT((Inputs!$C$52+Inputs!$C$5)^2+Inputs!$C$52^2-2*(Inputs!$C$52+Inputs!$C$5)*Inputs!$C$52*COS(SQRT((Model_Data!A8)^2+Inputs!$C$6^2)/Inputs!$C$52))-Inputs!$C$5)*1000/Inputs!$C$12)</x:f>
        <x:v>3391.6656684345407</x:v>
      </x:c>
      <x:c r="D8" s="9" t="n">
        <x:f>Model_Data!F8</x:f>
        <x:v>3367.918823774454</x:v>
      </x:c>
      <x:c r="E8" s="9" t="n">
        <x:f>Model_Data!AC8</x:f>
        <x:v>3323.2624957644234</x:v>
      </x:c>
      <x:c r="F8" s="10" t="n"/>
      <x:c r="G8" s="9" t="n">
        <x:f>Model_Data!A8</x:f>
        <x:v>-57</x:v>
      </x:c>
      <x:c r="H8" s="9" t="n">
        <x:f>Model_Data!Y8</x:f>
        <x:v>137.46604725484156</x:v>
      </x:c>
      <x:c r="I8" s="9" t="n">
        <x:f>Model_Data!Y8</x:f>
        <x:v>137.46604725484156</x:v>
      </x:c>
      <x:c r="J8" s="9" t="n">
        <x:f>Model_Data!X8</x:f>
        <x:v>55.44088303799376</x:v>
      </x:c>
      <x:c r="K8" s="9" t="n">
        <x:f>Model_Data!A8</x:f>
        <x:v>-57</x:v>
      </x:c>
      <x:c r="L8" s="9" t="n">
        <x:f>Model_Data!Y8</x:f>
        <x:v>137.46604725484156</x:v>
      </x:c>
      <x:c r="M8" s="9" t="n">
        <x:f>Model_Data!X8</x:f>
        <x:v>55.44088303799376</x:v>
      </x:c>
      <x:c r="N8" s="9" t="n">
        <x:f>-(Model_Data!AC8-Model_Data!F8)*Inputs!$C$12</x:f>
        <x:v>79.4882638578541</x:v>
      </x:c>
      <x:c r="O8" s="10" t="n"/>
      <x:c r="P8" s="9" t="n">
        <x:f>Model_Data!A8</x:f>
        <x:v>-57</x:v>
      </x:c>
      <x:c r="Q8" s="9" t="n">
        <x:f>Model_Data!P8</x:f>
        <x:v>480.4696062107723</x:v>
      </x:c>
      <x:c r="R8" s="9" t="n">
        <x:f>Model_Data!AM8</x:f>
        <x:v>484.5983430347587</x:v>
      </x:c>
      <x:c r="S8" s="9" t="n">
        <x:f>Model_Data!Q8</x:f>
        <x:v>72.14258351513098</x:v>
      </x:c>
      <x:c r="T8" s="9" t="n">
        <x:f>Model_Data!AN8</x:f>
        <x:v>72.762513969183</x:v>
      </x:c>
      <x:c r="U8" s="10" t="n"/>
      <x:c r="V8" s="9" t="n">
        <x:f>Model_Data!A8</x:f>
        <x:v>-57</x:v>
      </x:c>
      <x:c r="W8" s="9" t="n">
        <x:f>Model_Data!B8-Inputs!$C$5</x:f>
        <x:v>3.6100000000000136</x:v>
      </x:c>
      <x:c r="X8" s="10" t="n"/>
      <x:c r="Y8" s="9" t="n">
        <x:f>Model_Data!A8</x:f>
        <x:v>-57</x:v>
      </x:c>
      <x:c r="Z8" s="9" t="n">
        <x:f>0</x:f>
        <x:v>0</x:v>
      </x:c>
      <x:c r="AA8" s="9" t="n">
        <x:f>((SQRT((Inputs!$C$52+Inputs!$C$5)^2+Inputs!$C$52^2-2*(Inputs!$C$52+Inputs!$C$5)*Inputs!$C$52*COS(SQRT((Model_Data!A8)^2+Inputs!$C$6^2)/Inputs!$C$52))-Inputs!$C$5)*1000/Inputs!$C$12)</x:f>
        <x:v>3391.6656684345407</x:v>
      </x:c>
      <x:c r="AB8" s="9" t="n">
        <x:f>Model_Data!F8</x:f>
        <x:v>3367.918823774454</x:v>
      </x:c>
    </x:row>
    <x:row r="9">
      <x:c r="A9" s="9" t="n">
        <x:f>Model_Data!A9</x:f>
        <x:v>-56.5</x:v>
      </x:c>
      <x:c r="B9" s="9" t="n">
        <x:f>0</x:f>
        <x:v>0</x:v>
      </x:c>
      <x:c r="C9" s="9" t="n">
        <x:f>((SQRT((Inputs!$C$52+Inputs!$C$5)^2+Inputs!$C$52^2-2*(Inputs!$C$52+Inputs!$C$5)*Inputs!$C$52*COS(SQRT((Model_Data!A9)^2+Inputs!$C$6^2)/Inputs!$C$52))-Inputs!$C$5)*1000/Inputs!$C$12)</x:f>
        <x:v>3342.3518308690136</x:v>
      </x:c>
      <x:c r="D9" s="9" t="n">
        <x:f>Model_Data!F9</x:f>
        <x:v>3319.3499312578997</x:v>
      </x:c>
      <x:c r="E9" s="9" t="n">
        <x:f>Model_Data!AC9</x:f>
        <x:v>3273.531691137369</x:v>
      </x:c>
      <x:c r="F9" s="10" t="n"/>
      <x:c r="G9" s="9" t="n">
        <x:f>Model_Data!A9</x:f>
        <x:v>-56.5</x:v>
      </x:c>
      <x:c r="H9" s="9" t="n">
        <x:f>Model_Data!Y9</x:f>
        <x:v>141.4558244940569</x:v>
      </x:c>
      <x:c r="I9" s="9" t="n">
        <x:f>Model_Data!Y9</x:f>
        <x:v>141.4558244940569</x:v>
      </x:c>
      <x:c r="J9" s="9" t="n">
        <x:f>Model_Data!X9</x:f>
        <x:v>57.32564727891993</x:v>
      </x:c>
      <x:c r="K9" s="9" t="n">
        <x:f>Model_Data!A9</x:f>
        <x:v>-56.5</x:v>
      </x:c>
      <x:c r="L9" s="9" t="n">
        <x:f>Model_Data!Y9</x:f>
        <x:v>141.4558244940569</x:v>
      </x:c>
      <x:c r="M9" s="9" t="n">
        <x:f>Model_Data!X9</x:f>
        <x:v>57.32564727891993</x:v>
      </x:c>
      <x:c r="N9" s="9" t="n">
        <x:f>-(Model_Data!AC9-Model_Data!F9)*Inputs!$C$12</x:f>
        <x:v>81.55646741454491</x:v>
      </x:c>
      <x:c r="O9" s="10" t="n"/>
      <x:c r="P9" s="9" t="n">
        <x:f>Model_Data!A9</x:f>
        <x:v>-56.5</x:v>
      </x:c>
      <x:c r="Q9" s="9" t="n">
        <x:f>Model_Data!P9</x:f>
        <x:v>476.38116695534336</x:v>
      </x:c>
      <x:c r="R9" s="9" t="n">
        <x:f>Model_Data!AM9</x:f>
        <x:v>523.0828149337867</x:v>
      </x:c>
      <x:c r="S9" s="9" t="n">
        <x:f>Model_Data!Q9</x:f>
        <x:v>71.52870374704855</x:v>
      </x:c>
      <x:c r="T9" s="9" t="n">
        <x:f>Model_Data!AN9</x:f>
        <x:v>78.54096320327129</x:v>
      </x:c>
      <x:c r="U9" s="10" t="n"/>
      <x:c r="V9" s="9" t="n">
        <x:f>Model_Data!A9</x:f>
        <x:v>-56.5</x:v>
      </x:c>
      <x:c r="W9" s="9" t="n">
        <x:f>Model_Data!B9-Inputs!$C$5</x:f>
        <x:v>3.5469444444444207</x:v>
      </x:c>
      <x:c r="X9" s="10" t="n"/>
      <x:c r="Y9" s="9" t="n">
        <x:f>Model_Data!A9</x:f>
        <x:v>-56.5</x:v>
      </x:c>
      <x:c r="Z9" s="9" t="n">
        <x:f>0</x:f>
        <x:v>0</x:v>
      </x:c>
      <x:c r="AA9" s="9" t="n">
        <x:f>((SQRT((Inputs!$C$52+Inputs!$C$5)^2+Inputs!$C$52^2-2*(Inputs!$C$52+Inputs!$C$5)*Inputs!$C$52*COS(SQRT((Model_Data!A9)^2+Inputs!$C$6^2)/Inputs!$C$52))-Inputs!$C$5)*1000/Inputs!$C$12)</x:f>
        <x:v>3342.3518308690136</x:v>
      </x:c>
      <x:c r="AB9" s="9" t="n">
        <x:f>Model_Data!F9</x:f>
        <x:v>3319.3499312578997</x:v>
      </x:c>
    </x:row>
    <x:row r="10">
      <x:c r="A10" s="9" t="n">
        <x:f>Model_Data!A10</x:f>
        <x:v>-56</x:v>
      </x:c>
      <x:c r="B10" s="9" t="n">
        <x:f>0</x:f>
        <x:v>0</x:v>
      </x:c>
      <x:c r="C10" s="9" t="n">
        <x:f>((SQRT((Inputs!$C$52+Inputs!$C$5)^2+Inputs!$C$52^2-2*(Inputs!$C$52+Inputs!$C$5)*Inputs!$C$52*COS(SQRT((Model_Data!A10)^2+Inputs!$C$6^2)/Inputs!$C$52))-Inputs!$C$5)*1000/Inputs!$C$12)</x:f>
        <x:v>3293.461762529603</x:v>
      </x:c>
      <x:c r="D10" s="9" t="n">
        <x:f>Model_Data!F10</x:f>
        <x:v>3271.186984565748</x:v>
      </x:c>
      <x:c r="E10" s="9" t="n">
        <x:f>Model_Data!AC10</x:f>
        <x:v>3213.570069661035</x:v>
      </x:c>
      <x:c r="F10" s="10" t="n"/>
      <x:c r="G10" s="9" t="n">
        <x:f>Model_Data!A10</x:f>
        <x:v>-56</x:v>
      </x:c>
      <x:c r="H10" s="9" t="n">
        <x:f>Model_Data!Y10</x:f>
        <x:v>167.1152389347629</x:v>
      </x:c>
      <x:c r="I10" s="9" t="n">
        <x:f>Model_Data!Y10</x:f>
        <x:v>167.1152389347629</x:v>
      </x:c>
      <x:c r="J10" s="9" t="n">
        <x:f>Model_Data!X10</x:f>
        <x:v>61.55956835196879</x:v>
      </x:c>
      <x:c r="K10" s="9" t="n">
        <x:f>Model_Data!A10</x:f>
        <x:v>-56</x:v>
      </x:c>
      <x:c r="L10" s="9" t="n">
        <x:f>Model_Data!Y10</x:f>
        <x:v>167.1152389347629</x:v>
      </x:c>
      <x:c r="M10" s="9" t="n">
        <x:f>Model_Data!X10</x:f>
        <x:v>61.55956835196879</x:v>
      </x:c>
      <x:c r="N10" s="9" t="n">
        <x:f>-(Model_Data!AC10-Model_Data!F10)*Inputs!$C$12</x:f>
        <x:v>102.55810853038871</x:v>
      </x:c>
      <x:c r="O10" s="10" t="n"/>
      <x:c r="P10" s="9" t="n">
        <x:f>Model_Data!A10</x:f>
        <x:v>-56</x:v>
      </x:c>
      <x:c r="Q10" s="9" t="n">
        <x:f>Model_Data!P10</x:f>
        <x:v>472.2895270569097</x:v>
      </x:c>
      <x:c r="R10" s="9" t="n">
        <x:f>Model_Data!AM10</x:f>
        <x:v>502.4626690393234</x:v>
      </x:c>
      <x:c r="S10" s="9" t="n">
        <x:f>Model_Data!Q10</x:f>
        <x:v>70.9143434019384</x:v>
      </x:c>
      <x:c r="T10" s="9" t="n">
        <x:f>Model_Data!AN10</x:f>
        <x:v>75.44484520109961</x:v>
      </x:c>
      <x:c r="U10" s="10" t="n"/>
      <x:c r="V10" s="9" t="n">
        <x:f>Model_Data!A10</x:f>
        <x:v>-56</x:v>
      </x:c>
      <x:c r="W10" s="9" t="n">
        <x:f>Model_Data!B10-Inputs!$C$5</x:f>
        <x:v>3.4844444444444207</x:v>
      </x:c>
      <x:c r="X10" s="10" t="n"/>
      <x:c r="Y10" s="9" t="n">
        <x:f>Model_Data!A10</x:f>
        <x:v>-56</x:v>
      </x:c>
      <x:c r="Z10" s="9" t="n">
        <x:f>0</x:f>
        <x:v>0</x:v>
      </x:c>
      <x:c r="AA10" s="9" t="n">
        <x:f>((SQRT((Inputs!$C$52+Inputs!$C$5)^2+Inputs!$C$52^2-2*(Inputs!$C$52+Inputs!$C$5)*Inputs!$C$52*COS(SQRT((Model_Data!A10)^2+Inputs!$C$6^2)/Inputs!$C$52))-Inputs!$C$5)*1000/Inputs!$C$12)</x:f>
        <x:v>3293.461762529603</x:v>
      </x:c>
      <x:c r="AB10" s="9" t="n">
        <x:f>Model_Data!F10</x:f>
        <x:v>3271.186984565748</x:v>
      </x:c>
    </x:row>
    <x:row r="11">
      <x:c r="A11" s="9" t="n">
        <x:f>Model_Data!A11</x:f>
        <x:v>-55.5</x:v>
      </x:c>
      <x:c r="B11" s="9" t="n">
        <x:f>0</x:f>
        <x:v>0</x:v>
      </x:c>
      <x:c r="C11" s="9" t="n">
        <x:f>((SQRT((Inputs!$C$52+Inputs!$C$5)^2+Inputs!$C$52^2-2*(Inputs!$C$52+Inputs!$C$5)*Inputs!$C$52*COS(SQRT((Model_Data!A11)^2+Inputs!$C$6^2)/Inputs!$C$52))-Inputs!$C$5)*1000/Inputs!$C$12)</x:f>
        <x:v>3244.995741083732</x:v>
      </x:c>
      <x:c r="D11" s="9" t="n">
        <x:f>Model_Data!F11</x:f>
        <x:v>3223.4305436364602</x:v>
      </x:c>
      <x:c r="E11" s="9" t="n">
        <x:f>Model_Data!AC11</x:f>
        <x:v>3156.4396749474286</x:v>
      </x:c>
      <x:c r="F11" s="10" t="n"/>
      <x:c r="G11" s="9" t="n">
        <x:f>Model_Data!A11</x:f>
        <x:v>-55.5</x:v>
      </x:c>
      <x:c r="H11" s="9" t="n">
        <x:f>Model_Data!Y11</x:f>
        <x:v>160.57943103446084</x:v>
      </x:c>
      <x:c r="I11" s="9" t="n">
        <x:f>Model_Data!Y11</x:f>
        <x:v>160.57943103446084</x:v>
      </x:c>
      <x:c r="J11" s="9" t="n">
        <x:f>Model_Data!X11</x:f>
        <x:v>38.49658216595124</x:v>
      </x:c>
      <x:c r="K11" s="9" t="n">
        <x:f>Model_Data!A11</x:f>
        <x:v>-55.5</x:v>
      </x:c>
      <x:c r="L11" s="9" t="n">
        <x:f>Model_Data!Y11</x:f>
        <x:v>160.57943103446084</x:v>
      </x:c>
      <x:c r="M11" s="9" t="n">
        <x:f>Model_Data!X11</x:f>
        <x:v>38.49658216595124</x:v>
      </x:c>
      <x:c r="N11" s="9" t="n">
        <x:f>-(Model_Data!AC11-Model_Data!F11)*Inputs!$C$12</x:f>
        <x:v>119.2437462664764</x:v>
      </x:c>
      <x:c r="O11" s="10" t="n"/>
      <x:c r="P11" s="9" t="n">
        <x:f>Model_Data!A11</x:f>
        <x:v>-55.5</x:v>
      </x:c>
      <x:c r="Q11" s="9" t="n">
        <x:f>Model_Data!P11</x:f>
        <x:v>468.1947090801259</x:v>
      </x:c>
      <x:c r="R11" s="9" t="n">
        <x:f>Model_Data!AM11</x:f>
        <x:v>482.4716566618008</x:v>
      </x:c>
      <x:c r="S11" s="9" t="n">
        <x:f>Model_Data!Q11</x:f>
        <x:v>70.29950586788678</x:v>
      </x:c>
      <x:c r="T11" s="9" t="n">
        <x:f>Model_Data!AN11</x:f>
        <x:v>72.44319169096109</x:v>
      </x:c>
      <x:c r="U11" s="10" t="n"/>
      <x:c r="V11" s="9" t="n">
        <x:f>Model_Data!A11</x:f>
        <x:v>-55.5</x:v>
      </x:c>
      <x:c r="W11" s="9" t="n">
        <x:f>Model_Data!B11-Inputs!$C$5</x:f>
        <x:v>3.4225000000000136</x:v>
      </x:c>
      <x:c r="X11" s="10" t="n"/>
      <x:c r="Y11" s="9" t="n">
        <x:f>Model_Data!A11</x:f>
        <x:v>-55.5</x:v>
      </x:c>
      <x:c r="Z11" s="9" t="n">
        <x:f>0</x:f>
        <x:v>0</x:v>
      </x:c>
      <x:c r="AA11" s="9" t="n">
        <x:f>((SQRT((Inputs!$C$52+Inputs!$C$5)^2+Inputs!$C$52^2-2*(Inputs!$C$52+Inputs!$C$5)*Inputs!$C$52*COS(SQRT((Model_Data!A11)^2+Inputs!$C$6^2)/Inputs!$C$52))-Inputs!$C$5)*1000/Inputs!$C$12)</x:f>
        <x:v>3244.995741083732</x:v>
      </x:c>
      <x:c r="AB11" s="9" t="n">
        <x:f>Model_Data!F11</x:f>
        <x:v>3223.4305436364602</x:v>
      </x:c>
    </x:row>
    <x:row r="12">
      <x:c r="A12" s="9" t="n">
        <x:f>Model_Data!A12</x:f>
        <x:v>-55</x:v>
      </x:c>
      <x:c r="B12" s="9" t="n">
        <x:f>0</x:f>
        <x:v>0</x:v>
      </x:c>
      <x:c r="C12" s="9" t="n">
        <x:f>((SQRT((Inputs!$C$52+Inputs!$C$5)^2+Inputs!$C$52^2-2*(Inputs!$C$52+Inputs!$C$5)*Inputs!$C$52*COS(SQRT((Model_Data!A12)^2+Inputs!$C$6^2)/Inputs!$C$52))-Inputs!$C$5)*1000/Inputs!$C$12)</x:f>
        <x:v>3196.954042025839</x:v>
      </x:c>
      <x:c r="D12" s="9" t="n">
        <x:f>Model_Data!F12</x:f>
        <x:v>3176.081164429937</x:v>
      </x:c>
      <x:c r="E12" s="9" t="n">
        <x:f>Model_Data!AC12</x:f>
        <x:v>3104.997561514674</x:v>
      </x:c>
      <x:c r="F12" s="10" t="n"/>
      <x:c r="G12" s="9" t="n">
        <x:f>Model_Data!A12</x:f>
        <x:v>-55</x:v>
      </x:c>
      <x:c r="H12" s="9" t="n">
        <x:f>Model_Data!Y12</x:f>
        <x:v>176.10976359434375</x:v>
      </x:c>
      <x:c r="I12" s="9" t="n">
        <x:f>Model_Data!Y12</x:f>
        <x:v>176.10976359434375</x:v>
      </x:c>
      <x:c r="J12" s="9" t="n">
        <x:f>Model_Data!X12</x:f>
        <x:v>46.51195593176057</x:v>
      </x:c>
      <x:c r="K12" s="9" t="n">
        <x:f>Model_Data!A12</x:f>
        <x:v>-55</x:v>
      </x:c>
      <x:c r="L12" s="9" t="n">
        <x:f>Model_Data!Y12</x:f>
        <x:v>176.10976359434375</x:v>
      </x:c>
      <x:c r="M12" s="9" t="n">
        <x:f>Model_Data!X12</x:f>
        <x:v>46.51195593176057</x:v>
      </x:c>
      <x:c r="N12" s="9" t="n">
        <x:f>-(Model_Data!AC12-Model_Data!F12)*Inputs!$C$12</x:f>
        <x:v>126.52881318916792</x:v>
      </x:c>
      <x:c r="O12" s="10" t="n"/>
      <x:c r="P12" s="9" t="n">
        <x:f>Model_Data!A12</x:f>
        <x:v>-55</x:v>
      </x:c>
      <x:c r="Q12" s="9" t="n">
        <x:f>Model_Data!P12</x:f>
        <x:v>464.0967357390764</x:v>
      </x:c>
      <x:c r="R12" s="9" t="n">
        <x:f>Model_Data!AM12</x:f>
        <x:v>517.4251021308919</x:v>
      </x:c>
      <x:c r="S12" s="9" t="n">
        <x:f>Model_Data!Q12</x:f>
        <x:v>69.68419455541688</x:v>
      </x:c>
      <x:c r="T12" s="9" t="n">
        <x:f>Model_Data!AN12</x:f>
        <x:v>77.6914567764102</x:v>
      </x:c>
      <x:c r="U12" s="10" t="n"/>
      <x:c r="V12" s="9" t="n">
        <x:f>Model_Data!A12</x:f>
        <x:v>-55</x:v>
      </x:c>
      <x:c r="W12" s="9" t="n">
        <x:f>Model_Data!B12-Inputs!$C$5</x:f>
        <x:v>3.361111111111086</x:v>
      </x:c>
      <x:c r="X12" s="10" t="n"/>
      <x:c r="Y12" s="9" t="n">
        <x:f>Model_Data!A12</x:f>
        <x:v>-55</x:v>
      </x:c>
      <x:c r="Z12" s="9" t="n">
        <x:f>0</x:f>
        <x:v>0</x:v>
      </x:c>
      <x:c r="AA12" s="9" t="n">
        <x:f>((SQRT((Inputs!$C$52+Inputs!$C$5)^2+Inputs!$C$52^2-2*(Inputs!$C$52+Inputs!$C$5)*Inputs!$C$52*COS(SQRT((Model_Data!A12)^2+Inputs!$C$6^2)/Inputs!$C$52))-Inputs!$C$5)*1000/Inputs!$C$12)</x:f>
        <x:v>3196.954042025839</x:v>
      </x:c>
      <x:c r="AB12" s="9" t="n">
        <x:f>Model_Data!F12</x:f>
        <x:v>3176.081164429937</x:v>
      </x:c>
    </x:row>
    <x:row r="13">
      <x:c r="A13" s="9" t="n">
        <x:f>Model_Data!A13</x:f>
        <x:v>-54.5</x:v>
      </x:c>
      <x:c r="B13" s="9" t="n">
        <x:f>0</x:f>
        <x:v>0</x:v>
      </x:c>
      <x:c r="C13" s="9" t="n">
        <x:f>((SQRT((Inputs!$C$52+Inputs!$C$5)^2+Inputs!$C$52^2-2*(Inputs!$C$52+Inputs!$C$5)*Inputs!$C$52*COS(SQRT((Model_Data!A13)^2+Inputs!$C$6^2)/Inputs!$C$52))-Inputs!$C$5)*1000/Inputs!$C$12)</x:f>
        <x:v>3149.336938669558</x:v>
      </x:c>
      <x:c r="D13" s="9" t="n">
        <x:f>Model_Data!F13</x:f>
        <x:v>3129.139398909123</x:v>
      </x:c>
      <x:c r="E13" s="9" t="n">
        <x:f>Model_Data!AC13</x:f>
        <x:v>3049.759700025837</x:v>
      </x:c>
      <x:c r="F13" s="10" t="n"/>
      <x:c r="G13" s="9" t="n">
        <x:f>Model_Data!A13</x:f>
        <x:v>-54.5</x:v>
      </x:c>
      <x:c r="H13" s="9" t="n">
        <x:f>Model_Data!Y13</x:f>
        <x:v>194.40953580817023</x:v>
      </x:c>
      <x:c r="I13" s="9" t="n">
        <x:f>Model_Data!Y13</x:f>
        <x:v>194.40953580817023</x:v>
      </x:c>
      <x:c r="J13" s="9" t="n">
        <x:f>Model_Data!X13</x:f>
        <x:v>49.77469341509185</x:v>
      </x:c>
      <x:c r="K13" s="9" t="n">
        <x:f>Model_Data!A13</x:f>
        <x:v>-54.5</x:v>
      </x:c>
      <x:c r="L13" s="9" t="n">
        <x:f>Model_Data!Y13</x:f>
        <x:v>194.40953580817023</x:v>
      </x:c>
      <x:c r="M13" s="9" t="n">
        <x:f>Model_Data!X13</x:f>
        <x:v>49.77469341509185</x:v>
      </x:c>
      <x:c r="N13" s="9" t="n">
        <x:f>-(Model_Data!AC13-Model_Data!F13)*Inputs!$C$12</x:f>
        <x:v>141.29586401224904</x:v>
      </x:c>
      <x:c r="O13" s="10" t="n"/>
      <x:c r="P13" s="9" t="n">
        <x:f>Model_Data!A13</x:f>
        <x:v>-54.5</x:v>
      </x:c>
      <x:c r="Q13" s="9" t="n">
        <x:f>Model_Data!P13</x:f>
        <x:v>459.9956298745383</x:v>
      </x:c>
      <x:c r="R13" s="9" t="n">
        <x:f>Model_Data!AM13</x:f>
        <x:v>492.04615879461926</x:v>
      </x:c>
      <x:c r="S13" s="9" t="n">
        <x:f>Model_Data!Q13</x:f>
        <x:v>69.06841289407483</x:v>
      </x:c>
      <x:c r="T13" s="9" t="n">
        <x:f>Model_Data!AN13</x:f>
        <x:v>73.88080462381672</x:v>
      </x:c>
      <x:c r="U13" s="10" t="n"/>
      <x:c r="V13" s="9" t="n">
        <x:f>Model_Data!A13</x:f>
        <x:v>-54.5</x:v>
      </x:c>
      <x:c r="W13" s="9" t="n">
        <x:f>Model_Data!B13-Inputs!$C$5</x:f>
        <x:v>3.300277777777751</x:v>
      </x:c>
      <x:c r="X13" s="10" t="n"/>
      <x:c r="Y13" s="9" t="n">
        <x:f>Model_Data!A13</x:f>
        <x:v>-54.5</x:v>
      </x:c>
      <x:c r="Z13" s="9" t="n">
        <x:f>0</x:f>
        <x:v>0</x:v>
      </x:c>
      <x:c r="AA13" s="9" t="n">
        <x:f>((SQRT((Inputs!$C$52+Inputs!$C$5)^2+Inputs!$C$52^2-2*(Inputs!$C$52+Inputs!$C$5)*Inputs!$C$52*COS(SQRT((Model_Data!A13)^2+Inputs!$C$6^2)/Inputs!$C$52))-Inputs!$C$5)*1000/Inputs!$C$12)</x:f>
        <x:v>3149.336938669558</x:v>
      </x:c>
      <x:c r="AB13" s="9" t="n">
        <x:f>Model_Data!F13</x:f>
        <x:v>3129.139398909123</x:v>
      </x:c>
    </x:row>
    <x:row r="14">
      <x:c r="A14" s="9" t="n">
        <x:f>Model_Data!A14</x:f>
        <x:v>-54</x:v>
      </x:c>
      <x:c r="B14" s="9" t="n">
        <x:f>0</x:f>
        <x:v>0</x:v>
      </x:c>
      <x:c r="C14" s="9" t="n">
        <x:f>((SQRT((Inputs!$C$52+Inputs!$C$5)^2+Inputs!$C$52^2-2*(Inputs!$C$52+Inputs!$C$5)*Inputs!$C$52*COS(SQRT((Model_Data!A14)^2+Inputs!$C$6^2)/Inputs!$C$52))-Inputs!$C$5)*1000/Inputs!$C$12)</x:f>
        <x:v>3102.1447021381323</x:v>
      </x:c>
      <x:c r="D14" s="9" t="n">
        <x:f>Model_Data!F14</x:f>
        <x:v>3082.60579501392</x:v>
      </x:c>
      <x:c r="E14" s="9" t="n">
        <x:f>Model_Data!AC14</x:f>
        <x:v>2995.4391289303594</x:v>
      </x:c>
      <x:c r="F14" s="10" t="n"/>
      <x:c r="G14" s="9" t="n">
        <x:f>Model_Data!A14</x:f>
        <x:v>-54</x:v>
      </x:c>
      <x:c r="H14" s="9" t="n">
        <x:f>Model_Data!Y14</x:f>
        <x:v>196.39629745562698</x:v>
      </x:c>
      <x:c r="I14" s="9" t="n">
        <x:f>Model_Data!Y14</x:f>
        <x:v>196.39629745562698</x:v>
      </x:c>
      <x:c r="J14" s="9" t="n">
        <x:f>Model_Data!X14</x:f>
        <x:v>37.91568406723211</x:v>
      </x:c>
      <x:c r="K14" s="9" t="n">
        <x:f>Model_Data!A14</x:f>
        <x:v>-54</x:v>
      </x:c>
      <x:c r="L14" s="9" t="n">
        <x:f>Model_Data!Y14</x:f>
        <x:v>196.39629745562698</x:v>
      </x:c>
      <x:c r="M14" s="9" t="n">
        <x:f>Model_Data!X14</x:f>
        <x:v>37.91568406723211</x:v>
      </x:c>
      <x:c r="N14" s="9" t="n">
        <x:f>-(Model_Data!AC14-Model_Data!F14)*Inputs!$C$12</x:f>
        <x:v>155.15666562873824</x:v>
      </x:c>
      <x:c r="O14" s="10" t="n"/>
      <x:c r="P14" s="9" t="n">
        <x:f>Model_Data!A14</x:f>
        <x:v>-54</x:v>
      </x:c>
      <x:c r="Q14" s="9" t="n">
        <x:f>Model_Data!P14</x:f>
        <x:v>455.89141447326256</x:v>
      </x:c>
      <x:c r="R14" s="9" t="n">
        <x:f>Model_Data!AM14</x:f>
        <x:v>488.51245490695874</x:v>
      </x:c>
      <x:c r="S14" s="9" t="n">
        <x:f>Model_Data!Q14</x:f>
        <x:v>68.45216433532471</x:v>
      </x:c>
      <x:c r="T14" s="9" t="n">
        <x:f>Model_Data!AN14</x:f>
        <x:v>73.35021845449832</x:v>
      </x:c>
      <x:c r="U14" s="10" t="n"/>
      <x:c r="V14" s="9" t="n">
        <x:f>Model_Data!A14</x:f>
        <x:v>-54</x:v>
      </x:c>
      <x:c r="W14" s="9" t="n">
        <x:f>Model_Data!B14-Inputs!$C$5</x:f>
        <x:v>3.240000000000009</x:v>
      </x:c>
      <x:c r="X14" s="10" t="n"/>
      <x:c r="Y14" s="9" t="n">
        <x:f>Model_Data!A14</x:f>
        <x:v>-54</x:v>
      </x:c>
      <x:c r="Z14" s="9" t="n">
        <x:f>0</x:f>
        <x:v>0</x:v>
      </x:c>
      <x:c r="AA14" s="9" t="n">
        <x:f>((SQRT((Inputs!$C$52+Inputs!$C$5)^2+Inputs!$C$52^2-2*(Inputs!$C$52+Inputs!$C$5)*Inputs!$C$52*COS(SQRT((Model_Data!A14)^2+Inputs!$C$6^2)/Inputs!$C$52))-Inputs!$C$5)*1000/Inputs!$C$12)</x:f>
        <x:v>3102.1447021381323</x:v>
      </x:c>
      <x:c r="AB14" s="9" t="n">
        <x:f>Model_Data!F14</x:f>
        <x:v>3082.60579501392</x:v>
      </x:c>
    </x:row>
    <x:row r="15">
      <x:c r="A15" s="9" t="n">
        <x:f>Model_Data!A15</x:f>
        <x:v>-53.5</x:v>
      </x:c>
      <x:c r="B15" s="9" t="n">
        <x:f>0</x:f>
        <x:v>0</x:v>
      </x:c>
      <x:c r="C15" s="9" t="n">
        <x:f>((SQRT((Inputs!$C$52+Inputs!$C$5)^2+Inputs!$C$52^2-2*(Inputs!$C$52+Inputs!$C$5)*Inputs!$C$52*COS(SQRT((Model_Data!A15)^2+Inputs!$C$6^2)/Inputs!$C$52))-Inputs!$C$5)*1000/Inputs!$C$12)</x:f>
        <x:v>3055.3776013572988</x:v>
      </x:c>
      <x:c r="D15" s="9" t="n">
        <x:f>Model_Data!F15</x:f>
        <x:v>3036.480896636179</x:v>
      </x:c>
      <x:c r="E15" s="9" t="n">
        <x:f>Model_Data!AC15</x:f>
        <x:v>2945.383696993052</x:v>
      </x:c>
      <x:c r="F15" s="10" t="n"/>
      <x:c r="G15" s="9" t="n">
        <x:f>Model_Data!A15</x:f>
        <x:v>-53.5</x:v>
      </x:c>
      <x:c r="H15" s="9" t="n">
        <x:f>Model_Data!Y15</x:f>
        <x:v>215.04504497494062</x:v>
      </x:c>
      <x:c r="I15" s="9" t="n">
        <x:f>Model_Data!Y15</x:f>
        <x:v>215.04504497494062</x:v>
      </x:c>
      <x:c r="J15" s="9" t="n">
        <x:f>Model_Data!X15</x:f>
        <x:v>49.305692333608725</x:v>
      </x:c>
      <x:c r="K15" s="9" t="n">
        <x:f>Model_Data!A15</x:f>
        <x:v>-53.5</x:v>
      </x:c>
      <x:c r="L15" s="9" t="n">
        <x:f>Model_Data!Y15</x:f>
        <x:v>215.04504497494062</x:v>
      </x:c>
      <x:c r="M15" s="9" t="n">
        <x:f>Model_Data!X15</x:f>
        <x:v>49.305692333608725</x:v>
      </x:c>
      <x:c r="N15" s="9" t="n">
        <x:f>-(Model_Data!AC15-Model_Data!F15)*Inputs!$C$12</x:f>
        <x:v>162.15301536476557</x:v>
      </x:c>
      <x:c r="O15" s="10" t="n"/>
      <x:c r="P15" s="9" t="n">
        <x:f>Model_Data!A15</x:f>
        <x:v>-53.5</x:v>
      </x:c>
      <x:c r="Q15" s="9" t="n">
        <x:f>Model_Data!P15</x:f>
        <x:v>451.7841126563326</x:v>
      </x:c>
      <x:c r="R15" s="9" t="n">
        <x:f>Model_Data!AM15</x:f>
        <x:v>489.52310187305557</x:v>
      </x:c>
      <x:c r="S15" s="9" t="n">
        <x:f>Model_Data!Q15</x:f>
        <x:v>67.8354523508007</x:v>
      </x:c>
      <x:c r="T15" s="9" t="n">
        <x:f>Model_Data!AN15</x:f>
        <x:v>73.50196724820655</x:v>
      </x:c>
      <x:c r="U15" s="10" t="n"/>
      <x:c r="V15" s="9" t="n">
        <x:f>Model_Data!A15</x:f>
        <x:v>-53.5</x:v>
      </x:c>
      <x:c r="W15" s="9" t="n">
        <x:f>Model_Data!B15-Inputs!$C$5</x:f>
        <x:v>3.1802777777778033</x:v>
      </x:c>
      <x:c r="X15" s="10" t="n"/>
      <x:c r="Y15" s="9" t="n">
        <x:f>Model_Data!A15</x:f>
        <x:v>-53.5</x:v>
      </x:c>
      <x:c r="Z15" s="9" t="n">
        <x:f>0</x:f>
        <x:v>0</x:v>
      </x:c>
      <x:c r="AA15" s="9" t="n">
        <x:f>((SQRT((Inputs!$C$52+Inputs!$C$5)^2+Inputs!$C$52^2-2*(Inputs!$C$52+Inputs!$C$5)*Inputs!$C$52*COS(SQRT((Model_Data!A15)^2+Inputs!$C$6^2)/Inputs!$C$52))-Inputs!$C$5)*1000/Inputs!$C$12)</x:f>
        <x:v>3055.3776013572988</x:v>
      </x:c>
      <x:c r="AB15" s="9" t="n">
        <x:f>Model_Data!F15</x:f>
        <x:v>3036.480896636179</x:v>
      </x:c>
    </x:row>
    <x:row r="16">
      <x:c r="A16" s="9" t="n">
        <x:f>Model_Data!A16</x:f>
        <x:v>-53</x:v>
      </x:c>
      <x:c r="B16" s="9" t="n">
        <x:f>0</x:f>
        <x:v>0</x:v>
      </x:c>
      <x:c r="C16" s="9" t="n">
        <x:f>((SQRT((Inputs!$C$52+Inputs!$C$5)^2+Inputs!$C$52^2-2*(Inputs!$C$52+Inputs!$C$5)*Inputs!$C$52*COS(SQRT((Model_Data!A16)^2+Inputs!$C$6^2)/Inputs!$C$52))-Inputs!$C$5)*1000/Inputs!$C$12)</x:f>
        <x:v>3009.035903051642</x:v>
      </x:c>
      <x:c r="D16" s="9" t="n">
        <x:f>Model_Data!F16</x:f>
        <x:v>2990.7652435974414</x:v>
      </x:c>
      <x:c r="E16" s="9" t="n">
        <x:f>Model_Data!AC16</x:f>
        <x:v>2899.9240125451734</x:v>
      </x:c>
      <x:c r="F16" s="10" t="n"/>
      <x:c r="G16" s="9" t="n">
        <x:f>Model_Data!A16</x:f>
        <x:v>-53</x:v>
      </x:c>
      <x:c r="H16" s="9" t="n">
        <x:f>Model_Data!Y16</x:f>
        <x:v>220.27863667842527</x:v>
      </x:c>
      <x:c r="I16" s="9" t="n">
        <x:f>Model_Data!Y16</x:f>
        <x:v>220.27863667842527</x:v>
      </x:c>
      <x:c r="J16" s="9" t="n">
        <x:f>Model_Data!X16</x:f>
        <x:v>54.9618266833629</x:v>
      </x:c>
      <x:c r="K16" s="9" t="n">
        <x:f>Model_Data!A16</x:f>
        <x:v>-53</x:v>
      </x:c>
      <x:c r="L16" s="9" t="n">
        <x:f>Model_Data!Y16</x:f>
        <x:v>220.27863667842527</x:v>
      </x:c>
      <x:c r="M16" s="9" t="n">
        <x:f>Model_Data!X16</x:f>
        <x:v>54.9618266833629</x:v>
      </x:c>
      <x:c r="N16" s="9" t="n">
        <x:f>-(Model_Data!AC16-Model_Data!F16)*Inputs!$C$12</x:f>
        <x:v>161.6973912730372</x:v>
      </x:c>
      <x:c r="O16" s="10" t="n"/>
      <x:c r="P16" s="9" t="n">
        <x:f>Model_Data!A16</x:f>
        <x:v>-53</x:v>
      </x:c>
      <x:c r="Q16" s="9" t="n">
        <x:f>Model_Data!P16</x:f>
        <x:v>447.67374769307935</x:v>
      </x:c>
      <x:c r="R16" s="9" t="n">
        <x:f>Model_Data!AM16</x:f>
        <x:v>468.99927804070103</x:v>
      </x:c>
      <x:c r="S16" s="9" t="n">
        <x:f>Model_Data!Q16</x:f>
        <x:v>67.2182804343963</x:v>
      </x:c>
      <x:c r="T16" s="9" t="n">
        <x:f>Model_Data!AN16</x:f>
        <x:v>70.42031201812328</x:v>
      </x:c>
      <x:c r="U16" s="10" t="n"/>
      <x:c r="V16" s="9" t="n">
        <x:f>Model_Data!A16</x:f>
        <x:v>-53</x:v>
      </x:c>
      <x:c r="W16" s="9" t="n">
        <x:f>Model_Data!B16-Inputs!$C$5</x:f>
        <x:v>3.1211111111111336</x:v>
      </x:c>
      <x:c r="X16" s="10" t="n"/>
      <x:c r="Y16" s="9" t="n">
        <x:f>Model_Data!A16</x:f>
        <x:v>-53</x:v>
      </x:c>
      <x:c r="Z16" s="9" t="n">
        <x:f>0</x:f>
        <x:v>0</x:v>
      </x:c>
      <x:c r="AA16" s="9" t="n">
        <x:f>((SQRT((Inputs!$C$52+Inputs!$C$5)^2+Inputs!$C$52^2-2*(Inputs!$C$52+Inputs!$C$5)*Inputs!$C$52*COS(SQRT((Model_Data!A16)^2+Inputs!$C$6^2)/Inputs!$C$52))-Inputs!$C$5)*1000/Inputs!$C$12)</x:f>
        <x:v>3009.035903051642</x:v>
      </x:c>
      <x:c r="AB16" s="9" t="n">
        <x:f>Model_Data!F16</x:f>
        <x:v>2990.7652435974414</x:v>
      </x:c>
    </x:row>
    <x:row r="17">
      <x:c r="A17" s="9" t="n">
        <x:f>Model_Data!A17</x:f>
        <x:v>-52.5</x:v>
      </x:c>
      <x:c r="B17" s="9" t="n">
        <x:f>0</x:f>
        <x:v>0</x:v>
      </x:c>
      <x:c r="C17" s="9" t="n">
        <x:f>((SQRT((Inputs!$C$52+Inputs!$C$5)^2+Inputs!$C$52^2-2*(Inputs!$C$52+Inputs!$C$5)*Inputs!$C$52*COS(SQRT((Model_Data!A17)^2+Inputs!$C$6^2)/Inputs!$C$52))-Inputs!$C$5)*1000/Inputs!$C$12)</x:f>
        <x:v>2963.1198717330712</x:v>
      </x:c>
      <x:c r="D17" s="9" t="n">
        <x:f>Model_Data!F17</x:f>
        <x:v>2945.459371619116</x:v>
      </x:c>
      <x:c r="E17" s="9" t="n">
        <x:f>Model_Data!AC17</x:f>
        <x:v>2842.7213801928137</x:v>
      </x:c>
      <x:c r="F17" s="10" t="n"/>
      <x:c r="G17" s="9" t="n">
        <x:f>Model_Data!A17</x:f>
        <x:v>-52.5</x:v>
      </x:c>
      <x:c r="H17" s="9" t="n">
        <x:f>Model_Data!Y17</x:f>
        <x:v>228.48571186718385</x:v>
      </x:c>
      <x:c r="I17" s="9" t="n">
        <x:f>Model_Data!Y17</x:f>
        <x:v>228.48571186718385</x:v>
      </x:c>
      <x:c r="J17" s="9" t="n">
        <x:f>Model_Data!X17</x:f>
        <x:v>41.913539426844665</x:v>
      </x:c>
      <x:c r="K17" s="9" t="n">
        <x:f>Model_Data!A17</x:f>
        <x:v>-52.5</x:v>
      </x:c>
      <x:c r="L17" s="9" t="n">
        <x:f>Model_Data!Y17</x:f>
        <x:v>228.48571186718385</x:v>
      </x:c>
      <x:c r="M17" s="9" t="n">
        <x:f>Model_Data!X17</x:f>
        <x:v>41.913539426844665</x:v>
      </x:c>
      <x:c r="N17" s="9" t="n">
        <x:f>-(Model_Data!AC17-Model_Data!F17)*Inputs!$C$12</x:f>
        <x:v>182.8736247388183</x:v>
      </x:c>
      <x:c r="O17" s="10" t="n"/>
      <x:c r="P17" s="9" t="n">
        <x:f>Model_Data!A17</x:f>
        <x:v>-52.5</x:v>
      </x:c>
      <x:c r="Q17" s="9" t="n">
        <x:f>Model_Data!P17</x:f>
        <x:v>443.56034297125007</x:v>
      </x:c>
      <x:c r="R17" s="9" t="n">
        <x:f>Model_Data!AM17</x:f>
        <x:v>476.7410332173313</x:v>
      </x:c>
      <x:c r="S17" s="9" t="n">
        <x:f>Model_Data!Q17</x:f>
        <x:v>66.6006520977853</x:v>
      </x:c>
      <x:c r="T17" s="9" t="n">
        <x:f>Model_Data!AN17</x:f>
        <x:v>71.58273772032001</x:v>
      </x:c>
      <x:c r="U17" s="10" t="n"/>
      <x:c r="V17" s="9" t="n">
        <x:f>Model_Data!A17</x:f>
        <x:v>-52.5</x:v>
      </x:c>
      <x:c r="W17" s="9" t="n">
        <x:f>Model_Data!B17-Inputs!$C$5</x:f>
        <x:v>3.0625</x:v>
      </x:c>
      <x:c r="X17" s="10" t="n"/>
      <x:c r="Y17" s="9" t="n">
        <x:f>Model_Data!A17</x:f>
        <x:v>-52.5</x:v>
      </x:c>
      <x:c r="Z17" s="9" t="n">
        <x:f>0</x:f>
        <x:v>0</x:v>
      </x:c>
      <x:c r="AA17" s="9" t="n">
        <x:f>((SQRT((Inputs!$C$52+Inputs!$C$5)^2+Inputs!$C$52^2-2*(Inputs!$C$52+Inputs!$C$5)*Inputs!$C$52*COS(SQRT((Model_Data!A17)^2+Inputs!$C$6^2)/Inputs!$C$52))-Inputs!$C$5)*1000/Inputs!$C$12)</x:f>
        <x:v>2963.1198717330712</x:v>
      </x:c>
      <x:c r="AB17" s="9" t="n">
        <x:f>Model_Data!F17</x:f>
        <x:v>2945.459371619116</x:v>
      </x:c>
    </x:row>
    <x:row r="18">
      <x:c r="A18" s="9" t="n">
        <x:f>Model_Data!A18</x:f>
        <x:v>-52</x:v>
      </x:c>
      <x:c r="B18" s="9" t="n">
        <x:f>0</x:f>
        <x:v>0</x:v>
      </x:c>
      <x:c r="C18" s="9" t="n">
        <x:f>((SQRT((Inputs!$C$52+Inputs!$C$5)^2+Inputs!$C$52^2-2*(Inputs!$C$52+Inputs!$C$5)*Inputs!$C$52*COS(SQRT((Model_Data!A18)^2+Inputs!$C$6^2)/Inputs!$C$52))-Inputs!$C$5)*1000/Inputs!$C$12)</x:f>
        <x:v>2917.629769696665</x:v>
      </x:c>
      <x:c r="D18" s="9" t="n">
        <x:f>Model_Data!F18</x:f>
        <x:v>2900.5638123107237</x:v>
      </x:c>
      <x:c r="E18" s="9" t="n">
        <x:f>Model_Data!AC18</x:f>
        <x:v>2791.9189216850345</x:v>
      </x:c>
      <x:c r="F18" s="10" t="n"/>
      <x:c r="G18" s="9" t="n">
        <x:f>Model_Data!A18</x:f>
        <x:v>-52</x:v>
      </x:c>
      <x:c r="H18" s="9" t="n">
        <x:f>Model_Data!Y18</x:f>
        <x:v>241.24392327938918</x:v>
      </x:c>
      <x:c r="I18" s="9" t="n">
        <x:f>Model_Data!Y18</x:f>
        <x:v>241.24392327938918</x:v>
      </x:c>
      <x:c r="J18" s="9" t="n">
        <x:f>Model_Data!X18</x:f>
        <x:v>44.0092440465048</x:v>
      </x:c>
      <x:c r="K18" s="9" t="n">
        <x:f>Model_Data!A18</x:f>
        <x:v>-52</x:v>
      </x:c>
      <x:c r="L18" s="9" t="n">
        <x:f>Model_Data!Y18</x:f>
        <x:v>241.24392327938918</x:v>
      </x:c>
      <x:c r="M18" s="9" t="n">
        <x:f>Model_Data!X18</x:f>
        <x:v>44.0092440465048</x:v>
      </x:c>
      <x:c r="N18" s="9" t="n">
        <x:f>-(Model_Data!AC18-Model_Data!F18)*Inputs!$C$12</x:f>
        <x:v>193.38790531372675</x:v>
      </x:c>
      <x:c r="O18" s="10" t="n"/>
      <x:c r="P18" s="9" t="n">
        <x:f>Model_Data!A18</x:f>
        <x:v>-52</x:v>
      </x:c>
      <x:c r="Q18" s="9" t="n">
        <x:f>Model_Data!P18</x:f>
        <x:v>439.4439220161985</x:v>
      </x:c>
      <x:c r="R18" s="9" t="n">
        <x:f>Model_Data!AM18</x:f>
        <x:v>491.44939474927014</x:v>
      </x:c>
      <x:c r="S18" s="9" t="n">
        <x:f>Model_Data!Q18</x:f>
        <x:v>65.98257087330308</x:v>
      </x:c>
      <x:c r="T18" s="9" t="n">
        <x:f>Model_Data!AN18</x:f>
        <x:v>73.79120041280333</x:v>
      </x:c>
      <x:c r="U18" s="10" t="n"/>
      <x:c r="V18" s="9" t="n">
        <x:f>Model_Data!A18</x:f>
        <x:v>-52</x:v>
      </x:c>
      <x:c r="W18" s="9" t="n">
        <x:f>Model_Data!B18-Inputs!$C$5</x:f>
        <x:v>3.0044444444444594</x:v>
      </x:c>
      <x:c r="X18" s="10" t="n"/>
      <x:c r="Y18" s="9" t="n">
        <x:f>Model_Data!A18</x:f>
        <x:v>-52</x:v>
      </x:c>
      <x:c r="Z18" s="9" t="n">
        <x:f>0</x:f>
        <x:v>0</x:v>
      </x:c>
      <x:c r="AA18" s="9" t="n">
        <x:f>((SQRT((Inputs!$C$52+Inputs!$C$5)^2+Inputs!$C$52^2-2*(Inputs!$C$52+Inputs!$C$5)*Inputs!$C$52*COS(SQRT((Model_Data!A18)^2+Inputs!$C$6^2)/Inputs!$C$52))-Inputs!$C$5)*1000/Inputs!$C$12)</x:f>
        <x:v>2917.629769696665</x:v>
      </x:c>
      <x:c r="AB18" s="9" t="n">
        <x:f>Model_Data!F18</x:f>
        <x:v>2900.5638123107237</x:v>
      </x:c>
    </x:row>
    <x:row r="19">
      <x:c r="A19" s="9" t="n">
        <x:f>Model_Data!A19</x:f>
        <x:v>-51.5</x:v>
      </x:c>
      <x:c r="B19" s="9" t="n">
        <x:f>0</x:f>
        <x:v>0</x:v>
      </x:c>
      <x:c r="C19" s="9" t="n">
        <x:f>((SQRT((Inputs!$C$52+Inputs!$C$5)^2+Inputs!$C$52^2-2*(Inputs!$C$52+Inputs!$C$5)*Inputs!$C$52*COS(SQRT((Model_Data!A19)^2+Inputs!$C$6^2)/Inputs!$C$52))-Inputs!$C$5)*1000/Inputs!$C$12)</x:f>
        <x:v>2872.5658570103246</x:v>
      </x:c>
      <x:c r="D19" s="9" t="n">
        <x:f>Model_Data!F19</x:f>
        <x:v>2856.0790931333977</x:v>
      </x:c>
      <x:c r="E19" s="9" t="n">
        <x:f>Model_Data!AC19</x:f>
        <x:v>2729.787539571201</x:v>
      </x:c>
      <x:c r="F19" s="10" t="n"/>
      <x:c r="G19" s="9" t="n">
        <x:f>Model_Data!A19</x:f>
        <x:v>-51.5</x:v>
      </x:c>
      <x:c r="H19" s="9" t="n">
        <x:f>Model_Data!Y19</x:f>
        <x:v>261.3961473371179</x:v>
      </x:c>
      <x:c r="I19" s="9" t="n">
        <x:f>Model_Data!Y19</x:f>
        <x:v>261.3961473371179</x:v>
      </x:c>
      <x:c r="J19" s="9" t="n">
        <x:f>Model_Data!X19</x:f>
        <x:v>32.491619283106324</x:v>
      </x:c>
      <x:c r="K19" s="9" t="n">
        <x:f>Model_Data!A19</x:f>
        <x:v>-51.5</x:v>
      </x:c>
      <x:c r="L19" s="9" t="n">
        <x:f>Model_Data!Y19</x:f>
        <x:v>261.3961473371179</x:v>
      </x:c>
      <x:c r="M19" s="9" t="n">
        <x:f>Model_Data!X19</x:f>
        <x:v>32.491619283106324</x:v>
      </x:c>
      <x:c r="N19" s="9" t="n">
        <x:f>-(Model_Data!AC19-Model_Data!F19)*Inputs!$C$12</x:f>
        <x:v>224.79896534071048</x:v>
      </x:c>
      <x:c r="O19" s="10" t="n"/>
      <x:c r="P19" s="9" t="n">
        <x:f>Model_Data!A19</x:f>
        <x:v>-51.5</x:v>
      </x:c>
      <x:c r="Q19" s="9" t="n">
        <x:f>Model_Data!P19</x:f>
        <x:v>435.32450851025715</x:v>
      </x:c>
      <x:c r="R19" s="9" t="n">
        <x:f>Model_Data!AM19</x:f>
        <x:v>452.40092921339965</x:v>
      </x:c>
      <x:c r="S19" s="9" t="n">
        <x:f>Model_Data!Q19</x:f>
        <x:v>65.36404031685544</x:v>
      </x:c>
      <x:c r="T19" s="9" t="n">
        <x:f>Model_Data!AN19</x:f>
        <x:v>67.92806744945942</x:v>
      </x:c>
      <x:c r="U19" s="10" t="n"/>
      <x:c r="V19" s="9" t="n">
        <x:f>Model_Data!A19</x:f>
        <x:v>-51.5</x:v>
      </x:c>
      <x:c r="W19" s="9" t="n">
        <x:f>Model_Data!B19-Inputs!$C$5</x:f>
        <x:v>2.946944444444455</x:v>
      </x:c>
      <x:c r="X19" s="10" t="n"/>
      <x:c r="Y19" s="9" t="n">
        <x:f>Model_Data!A19</x:f>
        <x:v>-51.5</x:v>
      </x:c>
      <x:c r="Z19" s="9" t="n">
        <x:f>0</x:f>
        <x:v>0</x:v>
      </x:c>
      <x:c r="AA19" s="9" t="n">
        <x:f>((SQRT((Inputs!$C$52+Inputs!$C$5)^2+Inputs!$C$52^2-2*(Inputs!$C$52+Inputs!$C$5)*Inputs!$C$52*COS(SQRT((Model_Data!A19)^2+Inputs!$C$6^2)/Inputs!$C$52))-Inputs!$C$5)*1000/Inputs!$C$12)</x:f>
        <x:v>2872.5658570103246</x:v>
      </x:c>
      <x:c r="AB19" s="9" t="n">
        <x:f>Model_Data!F19</x:f>
        <x:v>2856.0790931333977</x:v>
      </x:c>
    </x:row>
    <x:row r="20">
      <x:c r="A20" s="9" t="n">
        <x:f>Model_Data!A20</x:f>
        <x:v>-51</x:v>
      </x:c>
      <x:c r="B20" s="9" t="n">
        <x:f>0</x:f>
        <x:v>0</x:v>
      </x:c>
      <x:c r="C20" s="9" t="n">
        <x:f>((SQRT((Inputs!$C$52+Inputs!$C$5)^2+Inputs!$C$52^2-2*(Inputs!$C$52+Inputs!$C$5)*Inputs!$C$52*COS(SQRT((Model_Data!A20)^2+Inputs!$C$6^2)/Inputs!$C$52))-Inputs!$C$5)*1000/Inputs!$C$12)</x:f>
        <x:v>2827.928391510338</x:v>
      </x:c>
      <x:c r="D20" s="9" t="n">
        <x:f>Model_Data!F20</x:f>
        <x:v>2812.005737381264</x:v>
      </x:c>
      <x:c r="E20" s="9" t="n">
        <x:f>Model_Data!AC20</x:f>
        <x:v>2694.611863385233</x:v>
      </x:c>
      <x:c r="F20" s="10" t="n"/>
      <x:c r="G20" s="9" t="n">
        <x:f>Model_Data!A20</x:f>
        <x:v>-51</x:v>
      </x:c>
      <x:c r="H20" s="9" t="n">
        <x:f>Model_Data!Y20</x:f>
        <x:v>251.96732827517536</x:v>
      </x:c>
      <x:c r="I20" s="9" t="n">
        <x:f>Model_Data!Y20</x:f>
        <x:v>251.96732827517536</x:v>
      </x:c>
      <x:c r="J20" s="9" t="n">
        <x:f>Model_Data!X20</x:f>
        <x:v>39.10881658677256</x:v>
      </x:c>
      <x:c r="K20" s="9" t="n">
        <x:f>Model_Data!A20</x:f>
        <x:v>-51</x:v>
      </x:c>
      <x:c r="L20" s="9" t="n">
        <x:f>Model_Data!Y20</x:f>
        <x:v>251.96732827517536</x:v>
      </x:c>
      <x:c r="M20" s="9" t="n">
        <x:f>Model_Data!X20</x:f>
        <x:v>39.10881658677256</x:v>
      </x:c>
      <x:c r="N20" s="9" t="n">
        <x:f>-(Model_Data!AC20-Model_Data!F20)*Inputs!$C$12</x:f>
        <x:v>208.9610957129357</x:v>
      </x:c>
      <x:c r="O20" s="10" t="n"/>
      <x:c r="P20" s="9" t="n">
        <x:f>Model_Data!A20</x:f>
        <x:v>-51</x:v>
      </x:c>
      <x:c r="Q20" s="9" t="n">
        <x:f>Model_Data!P20</x:f>
        <x:v>431.2021262460803</x:v>
      </x:c>
      <x:c r="R20" s="9" t="n">
        <x:f>Model_Data!AM20</x:f>
        <x:v>413.01562584203566</x:v>
      </x:c>
      <x:c r="S20" s="9" t="n">
        <x:f>Model_Data!Q20</x:f>
        <x:v>64.74506400091296</x:v>
      </x:c>
      <x:c r="T20" s="9" t="n">
        <x:f>Model_Data!AN20</x:f>
        <x:v>62.01435823453989</x:v>
      </x:c>
      <x:c r="U20" s="10" t="n"/>
      <x:c r="V20" s="9" t="n">
        <x:f>Model_Data!A20</x:f>
        <x:v>-51</x:v>
      </x:c>
      <x:c r="W20" s="9" t="n">
        <x:f>Model_Data!B20-Inputs!$C$5</x:f>
        <x:v>2.8899999999999864</x:v>
      </x:c>
      <x:c r="X20" s="10" t="n"/>
      <x:c r="Y20" s="9" t="n">
        <x:f>Model_Data!A20</x:f>
        <x:v>-51</x:v>
      </x:c>
      <x:c r="Z20" s="9" t="n">
        <x:f>0</x:f>
        <x:v>0</x:v>
      </x:c>
      <x:c r="AA20" s="9" t="n">
        <x:f>((SQRT((Inputs!$C$52+Inputs!$C$5)^2+Inputs!$C$52^2-2*(Inputs!$C$52+Inputs!$C$5)*Inputs!$C$52*COS(SQRT((Model_Data!A20)^2+Inputs!$C$6^2)/Inputs!$C$52))-Inputs!$C$5)*1000/Inputs!$C$12)</x:f>
        <x:v>2827.928391510338</x:v>
      </x:c>
      <x:c r="AB20" s="9" t="n">
        <x:f>Model_Data!F20</x:f>
        <x:v>2812.005737381264</x:v>
      </x:c>
    </x:row>
    <x:row r="21">
      <x:c r="A21" s="9" t="n">
        <x:f>Model_Data!A21</x:f>
        <x:v>-50.5</x:v>
      </x:c>
      <x:c r="B21" s="9" t="n">
        <x:f>0</x:f>
        <x:v>0</x:v>
      </x:c>
      <x:c r="C21" s="9" t="n">
        <x:f>((SQRT((Inputs!$C$52+Inputs!$C$5)^2+Inputs!$C$52^2-2*(Inputs!$C$52+Inputs!$C$5)*Inputs!$C$52*COS(SQRT((Model_Data!A21)^2+Inputs!$C$6^2)/Inputs!$C$52))-Inputs!$C$5)*1000/Inputs!$C$12)</x:f>
        <x:v>2783.717628794319</x:v>
      </x:c>
      <x:c r="D21" s="9" t="n">
        <x:f>Model_Data!F21</x:f>
        <x:v>2768.3442641612314</x:v>
      </x:c>
      <x:c r="E21" s="9" t="n">
        <x:f>Model_Data!AC21</x:f>
        <x:v>2657.148651706692</x:v>
      </x:c>
      <x:c r="F21" s="10" t="n"/>
      <x:c r="G21" s="9" t="n">
        <x:f>Model_Data!A21</x:f>
        <x:v>-50.5</x:v>
      </x:c>
      <x:c r="H21" s="9" t="n">
        <x:f>Model_Data!Y21</x:f>
        <x:v>249.7278681272967</x:v>
      </x:c>
      <x:c r="I21" s="9" t="n">
        <x:f>Model_Data!Y21</x:f>
        <x:v>249.7278681272967</x:v>
      </x:c>
      <x:c r="J21" s="9" t="n">
        <x:f>Model_Data!X21</x:f>
        <x:v>47.99583170220943</x:v>
      </x:c>
      <x:c r="K21" s="9" t="n">
        <x:f>Model_Data!A21</x:f>
        <x:v>-50.5</x:v>
      </x:c>
      <x:c r="L21" s="9" t="n">
        <x:f>Model_Data!Y21</x:f>
        <x:v>249.7278681272967</x:v>
      </x:c>
      <x:c r="M21" s="9" t="n">
        <x:f>Model_Data!X21</x:f>
        <x:v>47.99583170220943</x:v>
      </x:c>
      <x:c r="N21" s="9" t="n">
        <x:f>-(Model_Data!AC21-Model_Data!F21)*Inputs!$C$12</x:f>
        <x:v>197.92819016908035</x:v>
      </x:c>
      <x:c r="O21" s="10" t="n"/>
      <x:c r="P21" s="9" t="n">
        <x:f>Model_Data!A21</x:f>
        <x:v>-50.5</x:v>
      </x:c>
      <x:c r="Q21" s="9" t="n">
        <x:f>Model_Data!P21</x:f>
        <x:v>427.0767991610228</x:v>
      </x:c>
      <x:c r="R21" s="9" t="n">
        <x:f>Model_Data!AM21</x:f>
        <x:v>461.5402613873812</x:v>
      </x:c>
      <x:c r="S21" s="9" t="n">
        <x:f>Model_Data!Q21</x:f>
        <x:v>64.1256455196731</x:v>
      </x:c>
      <x:c r="T21" s="9" t="n">
        <x:f>Model_Data!AN21</x:f>
        <x:v>69.30033954765484</x:v>
      </x:c>
      <x:c r="U21" s="10" t="n"/>
      <x:c r="V21" s="9" t="n">
        <x:f>Model_Data!A21</x:f>
        <x:v>-50.5</x:v>
      </x:c>
      <x:c r="W21" s="9" t="n">
        <x:f>Model_Data!B21-Inputs!$C$5</x:f>
        <x:v>2.833611111111111</x:v>
      </x:c>
      <x:c r="X21" s="10" t="n"/>
      <x:c r="Y21" s="9" t="n">
        <x:f>Model_Data!A21</x:f>
        <x:v>-50.5</x:v>
      </x:c>
      <x:c r="Z21" s="9" t="n">
        <x:f>0</x:f>
        <x:v>0</x:v>
      </x:c>
      <x:c r="AA21" s="9" t="n">
        <x:f>((SQRT((Inputs!$C$52+Inputs!$C$5)^2+Inputs!$C$52^2-2*(Inputs!$C$52+Inputs!$C$5)*Inputs!$C$52*COS(SQRT((Model_Data!A21)^2+Inputs!$C$6^2)/Inputs!$C$52))-Inputs!$C$5)*1000/Inputs!$C$12)</x:f>
        <x:v>2783.717628794319</x:v>
      </x:c>
      <x:c r="AB21" s="9" t="n">
        <x:f>Model_Data!F21</x:f>
        <x:v>2768.3442641612314</x:v>
      </x:c>
    </x:row>
    <x:row r="22">
      <x:c r="A22" s="9" t="n">
        <x:f>Model_Data!A22</x:f>
        <x:v>-50</x:v>
      </x:c>
      <x:c r="B22" s="9" t="n">
        <x:f>0</x:f>
        <x:v>0</x:v>
      </x:c>
      <x:c r="C22" s="9" t="n">
        <x:f>((SQRT((Inputs!$C$52+Inputs!$C$5)^2+Inputs!$C$52^2-2*(Inputs!$C$52+Inputs!$C$5)*Inputs!$C$52*COS(SQRT((Model_Data!A22)^2+Inputs!$C$6^2)/Inputs!$C$52))-Inputs!$C$5)*1000/Inputs!$C$12)</x:f>
        <x:v>2739.9338222122688</x:v>
      </x:c>
      <x:c r="D22" s="9" t="n">
        <x:f>Model_Data!F22</x:f>
        <x:v>2725.0951883624866</x:v>
      </x:c>
      <x:c r="E22" s="9" t="n">
        <x:f>Model_Data!AC22</x:f>
        <x:v>2589.94060604409</x:v>
      </x:c>
      <x:c r="F22" s="10" t="n"/>
      <x:c r="G22" s="9" t="n">
        <x:f>Model_Data!A22</x:f>
        <x:v>-50</x:v>
      </x:c>
      <x:c r="H22" s="9" t="n">
        <x:f>Model_Data!Y22</x:f>
        <x:v>273.71504099052385</x:v>
      </x:c>
      <x:c r="I22" s="9" t="n">
        <x:f>Model_Data!Y22</x:f>
        <x:v>273.71504099052385</x:v>
      </x:c>
      <x:c r="J22" s="9" t="n">
        <x:f>Model_Data!X22</x:f>
        <x:v>29.034419664389077</x:v>
      </x:c>
      <x:c r="K22" s="9" t="n">
        <x:f>Model_Data!A22</x:f>
        <x:v>-50</x:v>
      </x:c>
      <x:c r="L22" s="9" t="n">
        <x:f>Model_Data!Y22</x:f>
        <x:v>273.71504099052385</x:v>
      </x:c>
      <x:c r="M22" s="9" t="n">
        <x:f>Model_Data!X22</x:f>
        <x:v>29.034419664389077</x:v>
      </x:c>
      <x:c r="N22" s="9" t="n">
        <x:f>-(Model_Data!AC22-Model_Data!F22)*Inputs!$C$12</x:f>
        <x:v>240.57515652674573</x:v>
      </x:c>
      <x:c r="O22" s="10" t="n"/>
      <x:c r="P22" s="9" t="n">
        <x:f>Model_Data!A22</x:f>
        <x:v>-50</x:v>
      </x:c>
      <x:c r="Q22" s="9" t="n">
        <x:f>Model_Data!P22</x:f>
        <x:v>422.9485513214968</x:v>
      </x:c>
      <x:c r="R22" s="9" t="n">
        <x:f>Model_Data!AM22</x:f>
        <x:v>437.62067462375853</x:v>
      </x:c>
      <x:c r="S22" s="9" t="n">
        <x:f>Model_Data!Q22</x:f>
        <x:v>63.50578848671123</x:v>
      </x:c>
      <x:c r="T22" s="9" t="n">
        <x:f>Model_Data!AN22</x:f>
        <x:v>65.70881000356735</x:v>
      </x:c>
      <x:c r="U22" s="10" t="n"/>
      <x:c r="V22" s="9" t="n">
        <x:f>Model_Data!A22</x:f>
        <x:v>-50</x:v>
      </x:c>
      <x:c r="W22" s="9" t="n">
        <x:f>Model_Data!B22-Inputs!$C$5</x:f>
        <x:v>2.7777777777777715</x:v>
      </x:c>
      <x:c r="X22" s="10" t="n"/>
      <x:c r="Y22" s="9" t="n">
        <x:f>Model_Data!A22</x:f>
        <x:v>-50</x:v>
      </x:c>
      <x:c r="Z22" s="9" t="n">
        <x:f>0</x:f>
        <x:v>0</x:v>
      </x:c>
      <x:c r="AA22" s="9" t="n">
        <x:f>((SQRT((Inputs!$C$52+Inputs!$C$5)^2+Inputs!$C$52^2-2*(Inputs!$C$52+Inputs!$C$5)*Inputs!$C$52*COS(SQRT((Model_Data!A22)^2+Inputs!$C$6^2)/Inputs!$C$52))-Inputs!$C$5)*1000/Inputs!$C$12)</x:f>
        <x:v>2739.9338222122688</x:v>
      </x:c>
      <x:c r="AB22" s="9" t="n">
        <x:f>Model_Data!F22</x:f>
        <x:v>2725.0951883624866</x:v>
      </x:c>
    </x:row>
    <x:row r="23">
      <x:c r="A23" s="9" t="n">
        <x:f>Model_Data!A23</x:f>
        <x:v>-49.5</x:v>
      </x:c>
      <x:c r="B23" s="9" t="n">
        <x:f>0</x:f>
        <x:v>0</x:v>
      </x:c>
      <x:c r="C23" s="9" t="n">
        <x:f>((SQRT((Inputs!$C$52+Inputs!$C$5)^2+Inputs!$C$52^2-2*(Inputs!$C$52+Inputs!$C$5)*Inputs!$C$52*COS(SQRT((Model_Data!A23)^2+Inputs!$C$6^2)/Inputs!$C$52))-Inputs!$C$5)*1000/Inputs!$C$12)</x:f>
        <x:v>2696.577222862134</x:v>
      </x:c>
      <x:c r="D23" s="9" t="n">
        <x:f>Model_Data!F23</x:f>
        <x:v>2682.2590206416526</x:v>
      </x:c>
      <x:c r="E23" s="9" t="n">
        <x:f>Model_Data!AC23</x:f>
        <x:v>2568.107626458024</x:v>
      </x:c>
      <x:c r="F23" s="10" t="n"/>
      <x:c r="G23" s="9" t="n">
        <x:f>Model_Data!A23</x:f>
        <x:v>-49.5</x:v>
      </x:c>
      <x:c r="H23" s="9" t="n">
        <x:f>Model_Data!Y23</x:f>
        <x:v>258.91748425644914</x:v>
      </x:c>
      <x:c r="I23" s="9" t="n">
        <x:f>Model_Data!Y23</x:f>
        <x:v>258.91748425644914</x:v>
      </x:c>
      <x:c r="J23" s="9" t="n">
        <x:f>Model_Data!X23</x:f>
        <x:v>51.90461728837901</x:v>
      </x:c>
      <x:c r="K23" s="9" t="n">
        <x:f>Model_Data!A23</x:f>
        <x:v>-49.5</x:v>
      </x:c>
      <x:c r="L23" s="9" t="n">
        <x:f>Model_Data!Y23</x:f>
        <x:v>258.91748425644914</x:v>
      </x:c>
      <x:c r="M23" s="9" t="n">
        <x:f>Model_Data!X23</x:f>
        <x:v>51.90461728837901</x:v>
      </x:c>
      <x:c r="N23" s="9" t="n">
        <x:f>-(Model_Data!AC23-Model_Data!F23)*Inputs!$C$12</x:f>
        <x:v>203.18948164685924</x:v>
      </x:c>
      <x:c r="O23" s="10" t="n"/>
      <x:c r="P23" s="9" t="n">
        <x:f>Model_Data!A23</x:f>
        <x:v>-49.5</x:v>
      </x:c>
      <x:c r="Q23" s="9" t="n">
        <x:f>Model_Data!P23</x:f>
        <x:v>418.81740692178937</x:v>
      </x:c>
      <x:c r="R23" s="9" t="n">
        <x:f>Model_Data!AM23</x:f>
        <x:v>411.2584073795915</x:v>
      </x:c>
      <x:c r="S23" s="9" t="n">
        <x:f>Model_Data!Q23</x:f>
        <x:v>62.88549653480322</x:v>
      </x:c>
      <x:c r="T23" s="9" t="n">
        <x:f>Model_Data!AN23</x:f>
        <x:v>61.75051161855729</x:v>
      </x:c>
      <x:c r="U23" s="10" t="n"/>
      <x:c r="V23" s="9" t="n">
        <x:f>Model_Data!A23</x:f>
        <x:v>-49.5</x:v>
      </x:c>
      <x:c r="W23" s="9" t="n">
        <x:f>Model_Data!B23-Inputs!$C$5</x:f>
        <x:v>2.722500000000025</x:v>
      </x:c>
      <x:c r="X23" s="10" t="n"/>
      <x:c r="Y23" s="9" t="n">
        <x:f>Model_Data!A23</x:f>
        <x:v>-49.5</x:v>
      </x:c>
      <x:c r="Z23" s="9" t="n">
        <x:f>0</x:f>
        <x:v>0</x:v>
      </x:c>
      <x:c r="AA23" s="9" t="n">
        <x:f>((SQRT((Inputs!$C$52+Inputs!$C$5)^2+Inputs!$C$52^2-2*(Inputs!$C$52+Inputs!$C$5)*Inputs!$C$52*COS(SQRT((Model_Data!A23)^2+Inputs!$C$6^2)/Inputs!$C$52))-Inputs!$C$5)*1000/Inputs!$C$12)</x:f>
        <x:v>2696.577222862134</x:v>
      </x:c>
      <x:c r="AB23" s="9" t="n">
        <x:f>Model_Data!F23</x:f>
        <x:v>2682.2590206416526</x:v>
      </x:c>
    </x:row>
    <x:row r="24">
      <x:c r="A24" s="9" t="n">
        <x:f>Model_Data!A24</x:f>
        <x:v>-49</x:v>
      </x:c>
      <x:c r="B24" s="9" t="n">
        <x:f>0</x:f>
        <x:v>0</x:v>
      </x:c>
      <x:c r="C24" s="9" t="n">
        <x:f>((SQRT((Inputs!$C$52+Inputs!$C$5)^2+Inputs!$C$52^2-2*(Inputs!$C$52+Inputs!$C$5)*Inputs!$C$52*COS(SQRT((Model_Data!A24)^2+Inputs!$C$6^2)/Inputs!$C$52))-Inputs!$C$5)*1000/Inputs!$C$12)</x:f>
        <x:v>2653.6480795811526</x:v>
      </x:c>
      <x:c r="D24" s="9" t="n">
        <x:f>Model_Data!F24</x:f>
        <x:v>2639.8362673927654</x:v>
      </x:c>
      <x:c r="E24" s="9" t="n">
        <x:f>Model_Data!AC24</x:f>
        <x:v>2513.295706475305</x:v>
      </x:c>
      <x:c r="F24" s="10" t="n"/>
      <x:c r="G24" s="9" t="n">
        <x:f>Model_Data!A24</x:f>
        <x:v>-49</x:v>
      </x:c>
      <x:c r="H24" s="9" t="n">
        <x:f>Model_Data!Y24</x:f>
        <x:v>268.7927966209557</x:v>
      </x:c>
      <x:c r="I24" s="9" t="n">
        <x:f>Model_Data!Y24</x:f>
        <x:v>268.7927966209557</x:v>
      </x:c>
      <x:c r="J24" s="9" t="n">
        <x:f>Model_Data!X24</x:f>
        <x:v>39.64300304421553</x:v>
      </x:c>
      <x:c r="K24" s="9" t="n">
        <x:f>Model_Data!A24</x:f>
        <x:v>-49</x:v>
      </x:c>
      <x:c r="L24" s="9" t="n">
        <x:f>Model_Data!Y24</x:f>
        <x:v>268.7927966209557</x:v>
      </x:c>
      <x:c r="M24" s="9" t="n">
        <x:f>Model_Data!X24</x:f>
        <x:v>39.64300304421553</x:v>
      </x:c>
      <x:c r="N24" s="9" t="n">
        <x:f>-(Model_Data!AC24-Model_Data!F24)*Inputs!$C$12</x:f>
        <x:v>225.24219843307955</x:v>
      </x:c>
      <x:c r="O24" s="10" t="n"/>
      <x:c r="P24" s="9" t="n">
        <x:f>Model_Data!A24</x:f>
        <x:v>-49</x:v>
      </x:c>
      <x:c r="Q24" s="9" t="n">
        <x:f>Model_Data!P24</x:f>
        <x:v>414.6833903003426</x:v>
      </x:c>
      <x:c r="R24" s="9" t="n">
        <x:f>Model_Data!AM24</x:f>
        <x:v>425.2262899141897</x:v>
      </x:c>
      <x:c r="S24" s="9" t="n">
        <x:f>Model_Data!Q24</x:f>
        <x:v>62.26477331836976</x:v>
      </x:c>
      <x:c r="T24" s="9" t="n">
        <x:f>Model_Data!AN24</x:f>
        <x:v>63.847791278406866</x:v>
      </x:c>
      <x:c r="U24" s="10" t="n"/>
      <x:c r="V24" s="9" t="n">
        <x:f>Model_Data!A24</x:f>
        <x:v>-49</x:v>
      </x:c>
      <x:c r="W24" s="9" t="n">
        <x:f>Model_Data!B24-Inputs!$C$5</x:f>
        <x:v>2.667777777777758</x:v>
      </x:c>
      <x:c r="X24" s="10" t="n"/>
      <x:c r="Y24" s="9" t="n">
        <x:f>Model_Data!A24</x:f>
        <x:v>-49</x:v>
      </x:c>
      <x:c r="Z24" s="9" t="n">
        <x:f>0</x:f>
        <x:v>0</x:v>
      </x:c>
      <x:c r="AA24" s="9" t="n">
        <x:f>((SQRT((Inputs!$C$52+Inputs!$C$5)^2+Inputs!$C$52^2-2*(Inputs!$C$52+Inputs!$C$5)*Inputs!$C$52*COS(SQRT((Model_Data!A24)^2+Inputs!$C$6^2)/Inputs!$C$52))-Inputs!$C$5)*1000/Inputs!$C$12)</x:f>
        <x:v>2653.6480795811526</x:v>
      </x:c>
      <x:c r="AB24" s="9" t="n">
        <x:f>Model_Data!F24</x:f>
        <x:v>2639.8362673927654</x:v>
      </x:c>
    </x:row>
    <x:row r="25">
      <x:c r="A25" s="9" t="n">
        <x:f>Model_Data!A25</x:f>
        <x:v>-48.5</x:v>
      </x:c>
      <x:c r="B25" s="9" t="n">
        <x:f>0</x:f>
        <x:v>0</x:v>
      </x:c>
      <x:c r="C25" s="9" t="n">
        <x:f>((SQRT((Inputs!$C$52+Inputs!$C$5)^2+Inputs!$C$52^2-2*(Inputs!$C$52+Inputs!$C$5)*Inputs!$C$52*COS(SQRT((Model_Data!A25)^2+Inputs!$C$6^2)/Inputs!$C$52))-Inputs!$C$5)*1000/Inputs!$C$12)</x:f>
        <x:v>2611.146638936885</x:v>
      </x:c>
      <x:c r="D25" s="9" t="n">
        <x:f>Model_Data!F25</x:f>
        <x:v>2597.8274307266115</x:v>
      </x:c>
      <x:c r="E25" s="9" t="n">
        <x:f>Model_Data!AC25</x:f>
        <x:v>2473.471222295946</x:v>
      </x:c>
      <x:c r="F25" s="10" t="n"/>
      <x:c r="G25" s="9" t="n">
        <x:f>Model_Data!A25</x:f>
        <x:v>-48.5</x:v>
      </x:c>
      <x:c r="H25" s="9" t="n">
        <x:f>Model_Data!Y25</x:f>
        <x:v>265.4824606971943</x:v>
      </x:c>
      <x:c r="I25" s="9" t="n">
        <x:f>Model_Data!Y25</x:f>
        <x:v>265.4824606971943</x:v>
      </x:c>
      <x:c r="J25" s="9" t="n">
        <x:f>Model_Data!X25</x:f>
        <x:v>40.329360187280464</x:v>
      </x:c>
      <x:c r="K25" s="9" t="n">
        <x:f>Model_Data!A25</x:f>
        <x:v>-48.5</x:v>
      </x:c>
      <x:c r="L25" s="9" t="n">
        <x:f>Model_Data!Y25</x:f>
        <x:v>265.4824606971943</x:v>
      </x:c>
      <x:c r="M25" s="9" t="n">
        <x:f>Model_Data!X25</x:f>
        <x:v>40.329360187280464</x:v>
      </x:c>
      <x:c r="N25" s="9" t="n">
        <x:f>-(Model_Data!AC25-Model_Data!F25)*Inputs!$C$12</x:f>
        <x:v>221.3540510065845</x:v>
      </x:c>
      <x:c r="O25" s="10" t="n"/>
      <x:c r="P25" s="9" t="n">
        <x:f>Model_Data!A25</x:f>
        <x:v>-48.5</x:v>
      </x:c>
      <x:c r="Q25" s="9" t="n">
        <x:f>Model_Data!P25</x:f>
        <x:v>410.54652591110425</x:v>
      </x:c>
      <x:c r="R25" s="9" t="n">
        <x:f>Model_Data!AM25</x:f>
        <x:v>386.8337905608314</x:v>
      </x:c>
      <x:c r="S25" s="9" t="n">
        <x:f>Model_Data!Q25</x:f>
        <x:v>61.64362250917482</x:v>
      </x:c>
      <x:c r="T25" s="9" t="n">
        <x:f>Model_Data!AN25</x:f>
        <x:v>58.083151735860575</x:v>
      </x:c>
      <x:c r="U25" s="10" t="n"/>
      <x:c r="V25" s="9" t="n">
        <x:f>Model_Data!A25</x:f>
        <x:v>-48.5</x:v>
      </x:c>
      <x:c r="W25" s="9" t="n">
        <x:f>Model_Data!B25-Inputs!$C$5</x:f>
        <x:v>2.6136111111110836</x:v>
      </x:c>
      <x:c r="X25" s="10" t="n"/>
      <x:c r="Y25" s="9" t="n">
        <x:f>Model_Data!A25</x:f>
        <x:v>-48.5</x:v>
      </x:c>
      <x:c r="Z25" s="9" t="n">
        <x:f>0</x:f>
        <x:v>0</x:v>
      </x:c>
      <x:c r="AA25" s="9" t="n">
        <x:f>((SQRT((Inputs!$C$52+Inputs!$C$5)^2+Inputs!$C$52^2-2*(Inputs!$C$52+Inputs!$C$5)*Inputs!$C$52*COS(SQRT((Model_Data!A25)^2+Inputs!$C$6^2)/Inputs!$C$52))-Inputs!$C$5)*1000/Inputs!$C$12)</x:f>
        <x:v>2611.146638936885</x:v>
      </x:c>
      <x:c r="AB25" s="9" t="n">
        <x:f>Model_Data!F25</x:f>
        <x:v>2597.8274307266115</x:v>
      </x:c>
    </x:row>
    <x:row r="26">
      <x:c r="A26" s="9" t="n">
        <x:f>Model_Data!A26</x:f>
        <x:v>-48</x:v>
      </x:c>
      <x:c r="B26" s="9" t="n">
        <x:f>0</x:f>
        <x:v>0</x:v>
      </x:c>
      <x:c r="C26" s="9" t="n">
        <x:f>((SQRT((Inputs!$C$52+Inputs!$C$5)^2+Inputs!$C$52^2-2*(Inputs!$C$52+Inputs!$C$5)*Inputs!$C$52*COS(SQRT((Model_Data!A26)^2+Inputs!$C$6^2)/Inputs!$C$52))-Inputs!$C$5)*1000/Inputs!$C$12)</x:f>
        <x:v>2569.073145227782</x:v>
      </x:c>
      <x:c r="D26" s="9" t="n">
        <x:f>Model_Data!F26</x:f>
        <x:v>2556.233008450807</x:v>
      </x:c>
      <x:c r="E26" s="9" t="n">
        <x:f>Model_Data!AC26</x:f>
        <x:v>2447.0264422273603</x:v>
      </x:c>
      <x:c r="F26" s="10" t="n"/>
      <x:c r="G26" s="9" t="n">
        <x:f>Model_Data!A26</x:f>
        <x:v>-48</x:v>
      </x:c>
      <x:c r="H26" s="9" t="n">
        <x:f>Model_Data!Y26</x:f>
        <x:v>253.6370227527636</x:v>
      </x:c>
      <x:c r="I26" s="9" t="n">
        <x:f>Model_Data!Y26</x:f>
        <x:v>253.6370227527636</x:v>
      </x:c>
      <x:c r="J26" s="9" t="n">
        <x:f>Model_Data!X26</x:f>
        <x:v>55.67705400563339</x:v>
      </x:c>
      <x:c r="K26" s="9" t="n">
        <x:f>Model_Data!A26</x:f>
        <x:v>-48</x:v>
      </x:c>
      <x:c r="L26" s="9" t="n">
        <x:f>Model_Data!Y26</x:f>
        <x:v>253.6370227527636</x:v>
      </x:c>
      <x:c r="M26" s="9" t="n">
        <x:f>Model_Data!X26</x:f>
        <x:v>55.67705400563339</x:v>
      </x:c>
      <x:c r="N26" s="9" t="n">
        <x:f>-(Model_Data!AC26-Model_Data!F26)*Inputs!$C$12</x:f>
        <x:v>194.38768787773526</x:v>
      </x:c>
      <x:c r="O26" s="10" t="n"/>
      <x:c r="P26" s="9" t="n">
        <x:f>Model_Data!A26</x:f>
        <x:v>-48</x:v>
      </x:c>
      <x:c r="Q26" s="9" t="n">
        <x:f>Model_Data!P26</x:f>
        <x:v>406.40683834462834</x:v>
      </x:c>
      <x:c r="R26" s="9" t="n">
        <x:f>Model_Data!AM26</x:f>
        <x:v>402.2937246757465</x:v>
      </x:c>
      <x:c r="S26" s="9" t="n">
        <x:f>Model_Data!Q26</x:f>
        <x:v>61.02204779949375</x:v>
      </x:c>
      <x:c r="T26" s="9" t="n">
        <x:f>Model_Data!AN26</x:f>
        <x:v>60.404463164526504</x:v>
      </x:c>
      <x:c r="U26" s="10" t="n"/>
      <x:c r="V26" s="9" t="n">
        <x:f>Model_Data!A26</x:f>
        <x:v>-48</x:v>
      </x:c>
      <x:c r="W26" s="9" t="n">
        <x:f>Model_Data!B26-Inputs!$C$5</x:f>
        <x:v>2.5600000000000023</x:v>
      </x:c>
      <x:c r="X26" s="10" t="n"/>
      <x:c r="Y26" s="9" t="n">
        <x:f>Model_Data!A26</x:f>
        <x:v>-48</x:v>
      </x:c>
      <x:c r="Z26" s="9" t="n">
        <x:f>0</x:f>
        <x:v>0</x:v>
      </x:c>
      <x:c r="AA26" s="9" t="n">
        <x:f>((SQRT((Inputs!$C$52+Inputs!$C$5)^2+Inputs!$C$52^2-2*(Inputs!$C$52+Inputs!$C$5)*Inputs!$C$52*COS(SQRT((Model_Data!A26)^2+Inputs!$C$6^2)/Inputs!$C$52))-Inputs!$C$5)*1000/Inputs!$C$12)</x:f>
        <x:v>2569.073145227782</x:v>
      </x:c>
      <x:c r="AB26" s="9" t="n">
        <x:f>Model_Data!F26</x:f>
        <x:v>2556.233008450807</x:v>
      </x:c>
    </x:row>
    <x:row r="27">
      <x:c r="A27" s="9" t="n">
        <x:f>Model_Data!A27</x:f>
        <x:v>-47.5</x:v>
      </x:c>
      <x:c r="B27" s="9" t="n">
        <x:f>0</x:f>
        <x:v>0</x:v>
      </x:c>
      <x:c r="C27" s="9" t="n">
        <x:f>((SQRT((Inputs!$C$52+Inputs!$C$5)^2+Inputs!$C$52^2-2*(Inputs!$C$52+Inputs!$C$5)*Inputs!$C$52*COS(SQRT((Model_Data!A27)^2+Inputs!$C$6^2)/Inputs!$C$52))-Inputs!$C$5)*1000/Inputs!$C$12)</x:f>
        <x:v>2527.427840468437</x:v>
      </x:c>
      <x:c r="D27" s="9" t="n">
        <x:f>Model_Data!F27</x:f>
        <x:v>2515.0534940419116</x:v>
      </x:c>
      <x:c r="E27" s="9" t="n">
        <x:f>Model_Data!AC27</x:f>
        <x:v>2399.8075637243774</x:v>
      </x:c>
      <x:c r="F27" s="10" t="n"/>
      <x:c r="G27" s="9" t="n">
        <x:f>Model_Data!A27</x:f>
        <x:v>-47.5</x:v>
      </x:c>
      <x:c r="H27" s="9" t="n">
        <x:f>Model_Data!Y27</x:f>
        <x:v>262.7548434853875</x:v>
      </x:c>
      <x:c r="I27" s="9" t="n">
        <x:f>Model_Data!Y27</x:f>
        <x:v>262.7548434853875</x:v>
      </x:c>
      <x:c r="J27" s="9" t="n">
        <x:f>Model_Data!X27</x:f>
        <x:v>53.974959185609514</x:v>
      </x:c>
      <x:c r="K27" s="9" t="n">
        <x:f>Model_Data!A27</x:f>
        <x:v>-47.5</x:v>
      </x:c>
      <x:c r="L27" s="9" t="n">
        <x:f>Model_Data!Y27</x:f>
        <x:v>262.7548434853875</x:v>
      </x:c>
      <x:c r="M27" s="9" t="n">
        <x:f>Model_Data!X27</x:f>
        <x:v>53.974959185609514</x:v>
      </x:c>
      <x:c r="N27" s="9" t="n">
        <x:f>-(Model_Data!AC27-Model_Data!F27)*Inputs!$C$12</x:f>
        <x:v>205.13775596521089</x:v>
      </x:c>
      <x:c r="O27" s="10" t="n"/>
      <x:c r="P27" s="9" t="n">
        <x:f>Model_Data!A27</x:f>
        <x:v>-47.5</x:v>
      </x:c>
      <x:c r="Q27" s="9" t="n">
        <x:f>Model_Data!P27</x:f>
        <x:v>402.26435232361837</x:v>
      </x:c>
      <x:c r="R27" s="9" t="n">
        <x:f>Model_Data!AM27</x:f>
        <x:v>402.8830502902565</x:v>
      </x:c>
      <x:c r="S27" s="9" t="n">
        <x:f>Model_Data!Q27</x:f>
        <x:v>60.400052901444205</x:v>
      </x:c>
      <x:c r="T27" s="9" t="n">
        <x:f>Model_Data!AN27</x:f>
        <x:v>60.49295049403251</x:v>
      </x:c>
      <x:c r="U27" s="10" t="n"/>
      <x:c r="V27" s="9" t="n">
        <x:f>Model_Data!A27</x:f>
        <x:v>-47.5</x:v>
      </x:c>
      <x:c r="W27" s="9" t="n">
        <x:f>Model_Data!B27-Inputs!$C$5</x:f>
        <x:v>2.506944444444457</x:v>
      </x:c>
      <x:c r="X27" s="10" t="n"/>
      <x:c r="Y27" s="9" t="n">
        <x:f>Model_Data!A27</x:f>
        <x:v>-47.5</x:v>
      </x:c>
      <x:c r="Z27" s="9" t="n">
        <x:f>0</x:f>
        <x:v>0</x:v>
      </x:c>
      <x:c r="AA27" s="9" t="n">
        <x:f>((SQRT((Inputs!$C$52+Inputs!$C$5)^2+Inputs!$C$52^2-2*(Inputs!$C$52+Inputs!$C$5)*Inputs!$C$52*COS(SQRT((Model_Data!A27)^2+Inputs!$C$6^2)/Inputs!$C$52))-Inputs!$C$5)*1000/Inputs!$C$12)</x:f>
        <x:v>2527.427840468437</x:v>
      </x:c>
      <x:c r="AB27" s="9" t="n">
        <x:f>Model_Data!F27</x:f>
        <x:v>2515.0534940419116</x:v>
      </x:c>
    </x:row>
    <x:row r="28">
      <x:c r="A28" s="9" t="n">
        <x:f>Model_Data!A28</x:f>
        <x:v>-47</x:v>
      </x:c>
      <x:c r="B28" s="9" t="n">
        <x:f>0</x:f>
        <x:v>0</x:v>
      </x:c>
      <x:c r="C28" s="9" t="n">
        <x:f>((SQRT((Inputs!$C$52+Inputs!$C$5)^2+Inputs!$C$52^2-2*(Inputs!$C$52+Inputs!$C$5)*Inputs!$C$52*COS(SQRT((Model_Data!A28)^2+Inputs!$C$6^2)/Inputs!$C$52))-Inputs!$C$5)*1000/Inputs!$C$12)</x:f>
        <x:v>2486.2109643863873</x:v>
      </x:c>
      <x:c r="D28" s="9" t="n">
        <x:f>Model_Data!F28</x:f>
        <x:v>2474.289376626815</x:v>
      </x:c>
      <x:c r="E28" s="9" t="n">
        <x:f>Model_Data!AC28</x:f>
        <x:v>2367.9759017028027</x:v>
      </x:c>
      <x:c r="F28" s="10" t="n"/>
      <x:c r="G28" s="9" t="n">
        <x:f>Model_Data!A28</x:f>
        <x:v>-47</x:v>
      </x:c>
      <x:c r="H28" s="9" t="n">
        <x:f>Model_Data!Y28</x:f>
        <x:v>253.91481019774176</x:v>
      </x:c>
      <x:c r="I28" s="9" t="n">
        <x:f>Model_Data!Y28</x:f>
        <x:v>253.91481019774176</x:v>
      </x:c>
      <x:c r="J28" s="9" t="n">
        <x:f>Model_Data!X28</x:f>
        <x:v>61.213442747759345</x:v>
      </x:c>
      <x:c r="K28" s="9" t="n">
        <x:f>Model_Data!A28</x:f>
        <x:v>-47</x:v>
      </x:c>
      <x:c r="L28" s="9" t="n">
        <x:f>Model_Data!Y28</x:f>
        <x:v>253.91481019774176</x:v>
      </x:c>
      <x:c r="M28" s="9" t="n">
        <x:f>Model_Data!X28</x:f>
        <x:v>61.213442747759345</x:v>
      </x:c>
      <x:c r="N28" s="9" t="n">
        <x:f>-(Model_Data!AC28-Model_Data!F28)*Inputs!$C$12</x:f>
        <x:v>189.23798536474155</x:v>
      </x:c>
      <x:c r="O28" s="10" t="n"/>
      <x:c r="P28" s="9" t="n">
        <x:f>Model_Data!A28</x:f>
        <x:v>-47</x:v>
      </x:c>
      <x:c r="Q28" s="9" t="n">
        <x:f>Model_Data!P28</x:f>
        <x:v>398.1190926891031</x:v>
      </x:c>
      <x:c r="R28" s="9" t="n">
        <x:f>Model_Data!AM28</x:f>
        <x:v>384.0870449747854</x:v>
      </x:c>
      <x:c r="S28" s="9" t="n">
        <x:f>Model_Data!Q28</x:f>
        <x:v>59.77764154491039</x:v>
      </x:c>
      <x:c r="T28" s="9" t="n">
        <x:f>Model_Data!AN28</x:f>
        <x:v>57.67072747369151</x:v>
      </x:c>
      <x:c r="U28" s="10" t="n"/>
      <x:c r="V28" s="9" t="n">
        <x:f>Model_Data!A28</x:f>
        <x:v>-47</x:v>
      </x:c>
      <x:c r="W28" s="9" t="n">
        <x:f>Model_Data!B28-Inputs!$C$5</x:f>
        <x:v>2.454444444444448</x:v>
      </x:c>
      <x:c r="X28" s="10" t="n"/>
      <x:c r="Y28" s="9" t="n">
        <x:f>Model_Data!A28</x:f>
        <x:v>-47</x:v>
      </x:c>
      <x:c r="Z28" s="9" t="n">
        <x:f>0</x:f>
        <x:v>0</x:v>
      </x:c>
      <x:c r="AA28" s="9" t="n">
        <x:f>((SQRT((Inputs!$C$52+Inputs!$C$5)^2+Inputs!$C$52^2-2*(Inputs!$C$52+Inputs!$C$5)*Inputs!$C$52*COS(SQRT((Model_Data!A28)^2+Inputs!$C$6^2)/Inputs!$C$52))-Inputs!$C$5)*1000/Inputs!$C$12)</x:f>
        <x:v>2486.2109643863873</x:v>
      </x:c>
      <x:c r="AB28" s="9" t="n">
        <x:f>Model_Data!F28</x:f>
        <x:v>2474.289376626815</x:v>
      </x:c>
    </x:row>
    <x:row r="29">
      <x:c r="A29" s="9" t="n">
        <x:f>Model_Data!A29</x:f>
        <x:v>-46.5</x:v>
      </x:c>
      <x:c r="B29" s="9" t="n">
        <x:f>0</x:f>
        <x:v>0</x:v>
      </x:c>
      <x:c r="C29" s="9" t="n">
        <x:f>((SQRT((Inputs!$C$52+Inputs!$C$5)^2+Inputs!$C$52^2-2*(Inputs!$C$52+Inputs!$C$5)*Inputs!$C$52*COS(SQRT((Model_Data!A29)^2+Inputs!$C$6^2)/Inputs!$C$52))-Inputs!$C$5)*1000/Inputs!$C$12)</x:f>
        <x:v>2445.4227544159553</x:v>
      </x:c>
      <x:c r="D29" s="9" t="n">
        <x:f>Model_Data!F29</x:f>
        <x:v>2433.941140959773</x:v>
      </x:c>
      <x:c r="E29" s="9" t="n">
        <x:f>Model_Data!AC29</x:f>
        <x:v>2325.619306900203</x:v>
      </x:c>
      <x:c r="F29" s="10" t="n"/>
      <x:c r="G29" s="9" t="n">
        <x:f>Model_Data!A29</x:f>
        <x:v>-46.5</x:v>
      </x:c>
      <x:c r="H29" s="9" t="n">
        <x:f>Model_Data!Y29</x:f>
        <x:v>253.748238320312</x:v>
      </x:c>
      <x:c r="I29" s="9" t="n">
        <x:f>Model_Data!Y29</x:f>
        <x:v>253.748238320312</x:v>
      </x:c>
      <x:c r="J29" s="9" t="n">
        <x:f>Model_Data!X29</x:f>
        <x:v>57.529820703344</x:v>
      </x:c>
      <x:c r="K29" s="9" t="n">
        <x:f>Model_Data!A29</x:f>
        <x:v>-46.5</x:v>
      </x:c>
      <x:c r="L29" s="9" t="n">
        <x:f>Model_Data!Y29</x:f>
        <x:v>253.748238320312</x:v>
      </x:c>
      <x:c r="M29" s="9" t="n">
        <x:f>Model_Data!X29</x:f>
        <x:v>57.529820703344</x:v>
      </x:c>
      <x:c r="N29" s="9" t="n">
        <x:f>-(Model_Data!AC29-Model_Data!F29)*Inputs!$C$12</x:f>
        <x:v>192.8128646260345</x:v>
      </x:c>
      <x:c r="O29" s="10" t="n"/>
      <x:c r="P29" s="9" t="n">
        <x:f>Model_Data!A29</x:f>
        <x:v>-46.5</x:v>
      </x:c>
      <x:c r="Q29" s="9" t="n">
        <x:f>Model_Data!P29</x:f>
        <x:v>393.9710844109868</x:v>
      </x:c>
      <x:c r="R29" s="9" t="n">
        <x:f>Model_Data!AM29</x:f>
        <x:v>368.08092998808206</x:v>
      </x:c>
      <x:c r="S29" s="9" t="n">
        <x:f>Model_Data!Q29</x:f>
        <x:v>59.15481747912715</x:v>
      </x:c>
      <x:c r="T29" s="9" t="n">
        <x:f>Model_Data!AN29</x:f>
        <x:v>55.26740690511743</x:v>
      </x:c>
      <x:c r="U29" s="10" t="n"/>
      <x:c r="V29" s="9" t="n">
        <x:f>Model_Data!A29</x:f>
        <x:v>-46.5</x:v>
      </x:c>
      <x:c r="W29" s="9" t="n">
        <x:f>Model_Data!B29-Inputs!$C$5</x:f>
        <x:v>2.402499999999975</x:v>
      </x:c>
      <x:c r="X29" s="10" t="n"/>
      <x:c r="Y29" s="9" t="n">
        <x:f>Model_Data!A29</x:f>
        <x:v>-46.5</x:v>
      </x:c>
      <x:c r="Z29" s="9" t="n">
        <x:f>0</x:f>
        <x:v>0</x:v>
      </x:c>
      <x:c r="AA29" s="9" t="n">
        <x:f>((SQRT((Inputs!$C$52+Inputs!$C$5)^2+Inputs!$C$52^2-2*(Inputs!$C$52+Inputs!$C$5)*Inputs!$C$52*COS(SQRT((Model_Data!A29)^2+Inputs!$C$6^2)/Inputs!$C$52))-Inputs!$C$5)*1000/Inputs!$C$12)</x:f>
        <x:v>2445.4227544159553</x:v>
      </x:c>
      <x:c r="AB29" s="9" t="n">
        <x:f>Model_Data!F29</x:f>
        <x:v>2433.941140959773</x:v>
      </x:c>
    </x:row>
    <x:row r="30">
      <x:c r="A30" s="9" t="n">
        <x:f>Model_Data!A30</x:f>
        <x:v>-46</x:v>
      </x:c>
      <x:c r="B30" s="9" t="n">
        <x:f>0</x:f>
        <x:v>0</x:v>
      </x:c>
      <x:c r="C30" s="9" t="n">
        <x:f>((SQRT((Inputs!$C$52+Inputs!$C$5)^2+Inputs!$C$52^2-2*(Inputs!$C$52+Inputs!$C$5)*Inputs!$C$52*COS(SQRT((Model_Data!A30)^2+Inputs!$C$6^2)/Inputs!$C$52))-Inputs!$C$5)*1000/Inputs!$C$12)</x:f>
        <x:v>2405.063445691157</x:v>
      </x:c>
      <x:c r="D30" s="9" t="n">
        <x:f>Model_Data!F30</x:f>
        <x:v>2394.0092674001216</x:v>
      </x:c>
      <x:c r="E30" s="9" t="n">
        <x:f>Model_Data!AC30</x:f>
        <x:v>2290.2281095656335</x:v>
      </x:c>
      <x:c r="F30" s="10" t="n"/>
      <x:c r="G30" s="9" t="n">
        <x:f>Model_Data!A30</x:f>
        <x:v>-46</x:v>
      </x:c>
      <x:c r="H30" s="9" t="n">
        <x:f>Model_Data!Y30</x:f>
        <x:v>237.40469511010875</x:v>
      </x:c>
      <x:c r="I30" s="9" t="n">
        <x:f>Model_Data!Y30</x:f>
        <x:v>237.40469511010875</x:v>
      </x:c>
      <x:c r="J30" s="9" t="n">
        <x:f>Model_Data!X30</x:f>
        <x:v>49.53962065283257</x:v>
      </x:c>
      <x:c r="K30" s="9" t="n">
        <x:f>Model_Data!A30</x:f>
        <x:v>-46</x:v>
      </x:c>
      <x:c r="L30" s="9" t="n">
        <x:f>Model_Data!Y30</x:f>
        <x:v>237.40469511010875</x:v>
      </x:c>
      <x:c r="M30" s="9" t="n">
        <x:f>Model_Data!X30</x:f>
        <x:v>49.53962065283257</x:v>
      </x:c>
      <x:c r="N30" s="9" t="n">
        <x:f>-(Model_Data!AC30-Model_Data!F30)*Inputs!$C$12</x:f>
        <x:v>184.73046094538884</x:v>
      </x:c>
      <x:c r="O30" s="10" t="n"/>
      <x:c r="P30" s="9" t="n">
        <x:f>Model_Data!A30</x:f>
        <x:v>-46</x:v>
      </x:c>
      <x:c r="Q30" s="9" t="n">
        <x:f>Model_Data!P30</x:f>
        <x:v>389.8203525829558</x:v>
      </x:c>
      <x:c r="R30" s="9" t="n">
        <x:f>Model_Data!AM30</x:f>
        <x:v>352.54798840351214</x:v>
      </x:c>
      <x:c r="S30" s="9" t="n">
        <x:f>Model_Data!Q30</x:f>
        <x:v>58.531584471915295</x:v>
      </x:c>
      <x:c r="T30" s="9" t="n">
        <x:f>Model_Data!AN30</x:f>
        <x:v>52.935133393920744</x:v>
      </x:c>
      <x:c r="U30" s="10" t="n"/>
      <x:c r="V30" s="9" t="n">
        <x:f>Model_Data!A30</x:f>
        <x:v>-46</x:v>
      </x:c>
      <x:c r="W30" s="9" t="n">
        <x:f>Model_Data!B30-Inputs!$C$5</x:f>
        <x:v>2.351111111111095</x:v>
      </x:c>
      <x:c r="X30" s="10" t="n"/>
      <x:c r="Y30" s="9" t="n">
        <x:f>Model_Data!A30</x:f>
        <x:v>-46</x:v>
      </x:c>
      <x:c r="Z30" s="9" t="n">
        <x:f>0</x:f>
        <x:v>0</x:v>
      </x:c>
      <x:c r="AA30" s="9" t="n">
        <x:f>((SQRT((Inputs!$C$52+Inputs!$C$5)^2+Inputs!$C$52^2-2*(Inputs!$C$52+Inputs!$C$5)*Inputs!$C$52*COS(SQRT((Model_Data!A30)^2+Inputs!$C$6^2)/Inputs!$C$52))-Inputs!$C$5)*1000/Inputs!$C$12)</x:f>
        <x:v>2405.063445691157</x:v>
      </x:c>
      <x:c r="AB30" s="9" t="n">
        <x:f>Model_Data!F30</x:f>
        <x:v>2394.0092674001216</x:v>
      </x:c>
    </x:row>
    <x:row r="31">
      <x:c r="A31" s="9" t="n">
        <x:f>Model_Data!A31</x:f>
        <x:v>-45.5</x:v>
      </x:c>
      <x:c r="B31" s="9" t="n">
        <x:f>0</x:f>
        <x:v>0</x:v>
      </x:c>
      <x:c r="C31" s="9" t="n">
        <x:f>((SQRT((Inputs!$C$52+Inputs!$C$5)^2+Inputs!$C$52^2-2*(Inputs!$C$52+Inputs!$C$5)*Inputs!$C$52*COS(SQRT((Model_Data!A31)^2+Inputs!$C$6^2)/Inputs!$C$52))-Inputs!$C$5)*1000/Inputs!$C$12)</x:f>
        <x:v>2365.133271037878</x:v>
      </x:c>
      <x:c r="D31" s="9" t="n">
        <x:f>Model_Data!F31</x:f>
        <x:v>2354.494231891164</x:v>
      </x:c>
      <x:c r="E31" s="9" t="n">
        <x:f>Model_Data!AC31</x:f>
        <x:v>2247.660221099539</x:v>
      </x:c>
      <x:c r="F31" s="10" t="n"/>
      <x:c r="G31" s="9" t="n">
        <x:f>Model_Data!A31</x:f>
        <x:v>-45.5</x:v>
      </x:c>
      <x:c r="H31" s="9" t="n">
        <x:f>Model_Data!Y31</x:f>
        <x:v>230.03534200748854</x:v>
      </x:c>
      <x:c r="I31" s="9" t="n">
        <x:f>Model_Data!Y31</x:f>
        <x:v>230.03534200748854</x:v>
      </x:c>
      <x:c r="J31" s="9" t="n">
        <x:f>Model_Data!X31</x:f>
        <x:v>36.8829185081177</x:v>
      </x:c>
      <x:c r="K31" s="9" t="n">
        <x:f>Model_Data!A31</x:f>
        <x:v>-45.5</x:v>
      </x:c>
      <x:c r="L31" s="9" t="n">
        <x:f>Model_Data!Y31</x:f>
        <x:v>230.03534200748854</x:v>
      </x:c>
      <x:c r="M31" s="9" t="n">
        <x:f>Model_Data!X31</x:f>
        <x:v>36.8829185081177</x:v>
      </x:c>
      <x:c r="N31" s="9" t="n">
        <x:f>-(Model_Data!AC31-Model_Data!F31)*Inputs!$C$12</x:f>
        <x:v>190.16453920909274</x:v>
      </x:c>
      <x:c r="O31" s="10" t="n"/>
      <x:c r="P31" s="9" t="n">
        <x:f>Model_Data!A31</x:f>
        <x:v>-45.5</x:v>
      </x:c>
      <x:c r="Q31" s="9" t="n">
        <x:f>Model_Data!P31</x:f>
        <x:v>385.6669224382131</x:v>
      </x:c>
      <x:c r="R31" s="9" t="n">
        <x:f>Model_Data!AM31</x:f>
        <x:v>340.6814882529943</x:v>
      </x:c>
      <x:c r="S31" s="9" t="n">
        <x:f>Model_Data!Q31</x:f>
        <x:v>57.90794631204401</x:v>
      </x:c>
      <x:c r="T31" s="9" t="n">
        <x:f>Model_Data!AN31</x:f>
        <x:v>51.15337661456371</x:v>
      </x:c>
      <x:c r="U31" s="10" t="n"/>
      <x:c r="V31" s="9" t="n">
        <x:f>Model_Data!A31</x:f>
        <x:v>-45.5</x:v>
      </x:c>
      <x:c r="W31" s="9" t="n">
        <x:f>Model_Data!B31-Inputs!$C$5</x:f>
        <x:v>2.300277777777751</x:v>
      </x:c>
      <x:c r="X31" s="10" t="n"/>
      <x:c r="Y31" s="9" t="n">
        <x:f>Model_Data!A31</x:f>
        <x:v>-45.5</x:v>
      </x:c>
      <x:c r="Z31" s="9" t="n">
        <x:f>0</x:f>
        <x:v>0</x:v>
      </x:c>
      <x:c r="AA31" s="9" t="n">
        <x:f>((SQRT((Inputs!$C$52+Inputs!$C$5)^2+Inputs!$C$52^2-2*(Inputs!$C$52+Inputs!$C$5)*Inputs!$C$52*COS(SQRT((Model_Data!A31)^2+Inputs!$C$6^2)/Inputs!$C$52))-Inputs!$C$5)*1000/Inputs!$C$12)</x:f>
        <x:v>2365.133271037878</x:v>
      </x:c>
      <x:c r="AB31" s="9" t="n">
        <x:f>Model_Data!F31</x:f>
        <x:v>2354.494231891164</x:v>
      </x:c>
    </x:row>
    <x:row r="32">
      <x:c r="A32" s="9" t="n">
        <x:f>Model_Data!A32</x:f>
        <x:v>-45</x:v>
      </x:c>
      <x:c r="B32" s="9" t="n">
        <x:f>0</x:f>
        <x:v>0</x:v>
      </x:c>
      <x:c r="C32" s="9" t="n">
        <x:f>((SQRT((Inputs!$C$52+Inputs!$C$5)^2+Inputs!$C$52^2-2*(Inputs!$C$52+Inputs!$C$5)*Inputs!$C$52*COS(SQRT((Model_Data!A32)^2+Inputs!$C$6^2)/Inputs!$C$52))-Inputs!$C$5)*1000/Inputs!$C$12)</x:f>
        <x:v>2325.6324609706467</x:v>
      </x:c>
      <x:c r="D32" s="9" t="n">
        <x:f>Model_Data!F32</x:f>
        <x:v>2315.3965059322627</x:v>
      </x:c>
      <x:c r="E32" s="9" t="n">
        <x:f>Model_Data!AC32</x:f>
        <x:v>2225.758861618264</x:v>
      </x:c>
      <x:c r="F32" s="10" t="n"/>
      <x:c r="G32" s="9" t="n">
        <x:f>Model_Data!A32</x:f>
        <x:v>-45</x:v>
      </x:c>
      <x:c r="H32" s="9" t="n">
        <x:f>Model_Data!Y32</x:f>
        <x:v>208.8220272535724</x:v>
      </x:c>
      <x:c r="I32" s="9" t="n">
        <x:f>Model_Data!Y32</x:f>
        <x:v>208.8220272535724</x:v>
      </x:c>
      <x:c r="J32" s="9" t="n">
        <x:f>Model_Data!X32</x:f>
        <x:v>46.59917835352822</x:v>
      </x:c>
      <x:c r="K32" s="9" t="n">
        <x:f>Model_Data!A32</x:f>
        <x:v>-45</x:v>
      </x:c>
      <x:c r="L32" s="9" t="n">
        <x:f>Model_Data!Y32</x:f>
        <x:v>208.8220272535724</x:v>
      </x:c>
      <x:c r="M32" s="9" t="n">
        <x:f>Model_Data!X32</x:f>
        <x:v>46.59917835352822</x:v>
      </x:c>
      <x:c r="N32" s="9" t="n">
        <x:f>-(Model_Data!AC32-Model_Data!F32)*Inputs!$C$12</x:f>
        <x:v>159.55500687891796</x:v>
      </x:c>
      <x:c r="O32" s="10" t="n"/>
      <x:c r="P32" s="9" t="n">
        <x:f>Model_Data!A32</x:f>
        <x:v>-45</x:v>
      </x:c>
      <x:c r="Q32" s="9" t="n">
        <x:f>Model_Data!P32</x:f>
        <x:v>381.5108193193737</x:v>
      </x:c>
      <x:c r="R32" s="9" t="n">
        <x:f>Model_Data!AM32</x:f>
        <x:v>336.8433451087185</x:v>
      </x:c>
      <x:c r="S32" s="9" t="n">
        <x:f>Model_Data!Q32</x:f>
        <x:v>57.28390680471077</x:v>
      </x:c>
      <x:c r="T32" s="9" t="n">
        <x:f>Model_Data!AN32</x:f>
        <x:v>50.57707884515293</x:v>
      </x:c>
      <x:c r="U32" s="10" t="n"/>
      <x:c r="V32" s="9" t="n">
        <x:f>Model_Data!A32</x:f>
        <x:v>-45</x:v>
      </x:c>
      <x:c r="W32" s="9" t="n">
        <x:f>Model_Data!B32-Inputs!$C$5</x:f>
        <x:v>2.25</x:v>
      </x:c>
      <x:c r="X32" s="10" t="n"/>
      <x:c r="Y32" s="9" t="n">
        <x:f>Model_Data!A32</x:f>
        <x:v>-45</x:v>
      </x:c>
      <x:c r="Z32" s="9" t="n">
        <x:f>0</x:f>
        <x:v>0</x:v>
      </x:c>
      <x:c r="AA32" s="9" t="n">
        <x:f>((SQRT((Inputs!$C$52+Inputs!$C$5)^2+Inputs!$C$52^2-2*(Inputs!$C$52+Inputs!$C$5)*Inputs!$C$52*COS(SQRT((Model_Data!A32)^2+Inputs!$C$6^2)/Inputs!$C$52))-Inputs!$C$5)*1000/Inputs!$C$12)</x:f>
        <x:v>2325.6324609706467</x:v>
      </x:c>
      <x:c r="AB32" s="9" t="n">
        <x:f>Model_Data!F32</x:f>
        <x:v>2315.3965059322627</x:v>
      </x:c>
    </x:row>
    <x:row r="33">
      <x:c r="A33" s="9" t="n">
        <x:f>Model_Data!A33</x:f>
        <x:v>-44.5</x:v>
      </x:c>
      <x:c r="B33" s="9" t="n">
        <x:f>0</x:f>
        <x:v>0</x:v>
      </x:c>
      <x:c r="C33" s="9" t="n">
        <x:f>((SQRT((Inputs!$C$52+Inputs!$C$5)^2+Inputs!$C$52^2-2*(Inputs!$C$52+Inputs!$C$5)*Inputs!$C$52*COS(SQRT((Model_Data!A33)^2+Inputs!$C$6^2)/Inputs!$C$52))-Inputs!$C$5)*1000/Inputs!$C$12)</x:f>
        <x:v>2286.561243682292</x:v>
      </x:c>
      <x:c r="D33" s="9" t="n">
        <x:f>Model_Data!F33</x:f>
        <x:v>2276.7165565683313</x:v>
      </x:c>
      <x:c r="E33" s="9" t="n">
        <x:f>Model_Data!AC33</x:f>
        <x:v>2180.5283722308945</x:v>
      </x:c>
      <x:c r="F33" s="10" t="n"/>
      <x:c r="G33" s="9" t="n">
        <x:f>Model_Data!A33</x:f>
        <x:v>-44.5</x:v>
      </x:c>
      <x:c r="H33" s="9" t="n">
        <x:f>Model_Data!Y33</x:f>
        <x:v>201.66422960156285</x:v>
      </x:c>
      <x:c r="I33" s="9" t="n">
        <x:f>Model_Data!Y33</x:f>
        <x:v>201.66422960156285</x:v>
      </x:c>
      <x:c r="J33" s="9" t="n">
        <x:f>Model_Data!X33</x:f>
        <x:v>27.91531821493412</x:v>
      </x:c>
      <x:c r="K33" s="9" t="n">
        <x:f>Model_Data!A33</x:f>
        <x:v>-44.5</x:v>
      </x:c>
      <x:c r="L33" s="9" t="n">
        <x:f>Model_Data!Y33</x:f>
        <x:v>201.66422960156285</x:v>
      </x:c>
      <x:c r="M33" s="9" t="n">
        <x:f>Model_Data!X33</x:f>
        <x:v>27.91531821493412</x:v>
      </x:c>
      <x:c r="N33" s="9" t="n">
        <x:f>-(Model_Data!AC33-Model_Data!F33)*Inputs!$C$12</x:f>
        <x:v>171.21496812063737</x:v>
      </x:c>
      <x:c r="O33" s="10" t="n"/>
      <x:c r="P33" s="9" t="n">
        <x:f>Model_Data!A33</x:f>
        <x:v>-44.5</x:v>
      </x:c>
      <x:c r="Q33" s="9" t="n">
        <x:f>Model_Data!P33</x:f>
        <x:v>377.3520686901975</x:v>
      </x:c>
      <x:c r="R33" s="9" t="n">
        <x:f>Model_Data!AM33</x:f>
        <x:v>363.7355827749161</x:v>
      </x:c>
      <x:c r="S33" s="9" t="n">
        <x:f>Model_Data!Q33</x:f>
        <x:v>56.65946977330293</x:v>
      </x:c>
      <x:c r="T33" s="9" t="n">
        <x:f>Model_Data!AN33</x:f>
        <x:v>54.614952368606026</x:v>
      </x:c>
      <x:c r="U33" s="10" t="n"/>
      <x:c r="V33" s="9" t="n">
        <x:f>Model_Data!A33</x:f>
        <x:v>-44.5</x:v>
      </x:c>
      <x:c r="W33" s="9" t="n">
        <x:f>Model_Data!B33-Inputs!$C$5</x:f>
        <x:v>2.200277777777785</x:v>
      </x:c>
      <x:c r="X33" s="10" t="n"/>
      <x:c r="Y33" s="9" t="n">
        <x:f>Model_Data!A33</x:f>
        <x:v>-44.5</x:v>
      </x:c>
      <x:c r="Z33" s="9" t="n">
        <x:f>0</x:f>
        <x:v>0</x:v>
      </x:c>
      <x:c r="AA33" s="9" t="n">
        <x:f>((SQRT((Inputs!$C$52+Inputs!$C$5)^2+Inputs!$C$52^2-2*(Inputs!$C$52+Inputs!$C$5)*Inputs!$C$52*COS(SQRT((Model_Data!A33)^2+Inputs!$C$6^2)/Inputs!$C$52))-Inputs!$C$5)*1000/Inputs!$C$12)</x:f>
        <x:v>2286.561243682292</x:v>
      </x:c>
      <x:c r="AB33" s="9" t="n">
        <x:f>Model_Data!F33</x:f>
        <x:v>2276.7165565683313</x:v>
      </x:c>
    </x:row>
    <x:row r="34">
      <x:c r="A34" s="9" t="n">
        <x:f>Model_Data!A34</x:f>
        <x:v>-44</x:v>
      </x:c>
      <x:c r="B34" s="9" t="n">
        <x:f>0</x:f>
        <x:v>0</x:v>
      </x:c>
      <x:c r="C34" s="9" t="n">
        <x:f>((SQRT((Inputs!$C$52+Inputs!$C$5)^2+Inputs!$C$52^2-2*(Inputs!$C$52+Inputs!$C$5)*Inputs!$C$52*COS(SQRT((Model_Data!A34)^2+Inputs!$C$6^2)/Inputs!$C$52))-Inputs!$C$5)*1000/Inputs!$C$12)</x:f>
        <x:v>2247.9198450390527</x:v>
      </x:c>
      <x:c r="D34" s="9" t="n">
        <x:f>Model_Data!F34</x:f>
        <x:v>2238.4548463578362</x:v>
      </x:c>
      <x:c r="E34" s="9" t="n">
        <x:f>Model_Data!AC34</x:f>
        <x:v>2137.995020781874</x:v>
      </x:c>
      <x:c r="F34" s="10" t="n"/>
      <x:c r="G34" s="9" t="n">
        <x:f>Model_Data!A34</x:f>
        <x:v>-44</x:v>
      </x:c>
      <x:c r="H34" s="9" t="n">
        <x:f>Model_Data!Y34</x:f>
        <x:v>200.11672258234324</x:v>
      </x:c>
      <x:c r="I34" s="9" t="n">
        <x:f>Model_Data!Y34</x:f>
        <x:v>200.11672258234324</x:v>
      </x:c>
      <x:c r="J34" s="9" t="n">
        <x:f>Model_Data!X34</x:f>
        <x:v>18.82539201019003</x:v>
      </x:c>
      <x:c r="K34" s="9" t="n">
        <x:f>Model_Data!A34</x:f>
        <x:v>-44</x:v>
      </x:c>
      <x:c r="L34" s="9" t="n">
        <x:f>Model_Data!Y34</x:f>
        <x:v>200.11672258234324</x:v>
      </x:c>
      <x:c r="M34" s="9" t="n">
        <x:f>Model_Data!X34</x:f>
        <x:v>18.82539201019003</x:v>
      </x:c>
      <x:c r="N34" s="9" t="n">
        <x:f>-(Model_Data!AC34-Model_Data!F34)*Inputs!$C$12</x:f>
        <x:v>178.81848952521315</x:v>
      </x:c>
      <x:c r="O34" s="10" t="n"/>
      <x:c r="P34" s="9" t="n">
        <x:f>Model_Data!A34</x:f>
        <x:v>-44</x:v>
      </x:c>
      <x:c r="Q34" s="9" t="n">
        <x:f>Model_Data!P34</x:f>
        <x:v>373.1906961457753</x:v>
      </x:c>
      <x:c r="R34" s="9" t="n">
        <x:f>Model_Data!AM34</x:f>
        <x:v>387.84031539016723</x:v>
      </x:c>
      <x:c r="S34" s="9" t="n">
        <x:f>Model_Data!Q34</x:f>
        <x:v>56.034639060927226</x:v>
      </x:c>
      <x:c r="T34" s="9" t="n">
        <x:f>Model_Data!AN34</x:f>
        <x:v>58.2342815901152</x:v>
      </x:c>
      <x:c r="U34" s="10" t="n"/>
      <x:c r="V34" s="9" t="n">
        <x:f>Model_Data!A34</x:f>
        <x:v>-44</x:v>
      </x:c>
      <x:c r="W34" s="9" t="n">
        <x:f>Model_Data!B34-Inputs!$C$5</x:f>
        <x:v>2.1511111111111063</x:v>
      </x:c>
      <x:c r="X34" s="10" t="n"/>
      <x:c r="Y34" s="9" t="n">
        <x:f>Model_Data!A34</x:f>
        <x:v>-44</x:v>
      </x:c>
      <x:c r="Z34" s="9" t="n">
        <x:f>0</x:f>
        <x:v>0</x:v>
      </x:c>
      <x:c r="AA34" s="9" t="n">
        <x:f>((SQRT((Inputs!$C$52+Inputs!$C$5)^2+Inputs!$C$52^2-2*(Inputs!$C$52+Inputs!$C$5)*Inputs!$C$52*COS(SQRT((Model_Data!A34)^2+Inputs!$C$6^2)/Inputs!$C$52))-Inputs!$C$5)*1000/Inputs!$C$12)</x:f>
        <x:v>2247.9198450390527</x:v>
      </x:c>
      <x:c r="AB34" s="9" t="n">
        <x:f>Model_Data!F34</x:f>
        <x:v>2238.4548463578362</x:v>
      </x:c>
    </x:row>
    <x:row r="35">
      <x:c r="A35" s="9" t="n">
        <x:f>Model_Data!A35</x:f>
        <x:v>-43.5</x:v>
      </x:c>
      <x:c r="B35" s="9" t="n">
        <x:f>0</x:f>
        <x:v>0</x:v>
      </x:c>
      <x:c r="C35" s="9" t="n">
        <x:f>((SQRT((Inputs!$C$52+Inputs!$C$5)^2+Inputs!$C$52^2-2*(Inputs!$C$52+Inputs!$C$5)*Inputs!$C$52*COS(SQRT((Model_Data!A35)^2+Inputs!$C$6^2)/Inputs!$C$52))-Inputs!$C$5)*1000/Inputs!$C$12)</x:f>
        <x:v>2209.708488578056</x:v>
      </x:c>
      <x:c r="D35" s="9" t="n">
        <x:f>Model_Data!F35</x:f>
        <x:v>2200.611833358587</x:v>
      </x:c>
      <x:c r="E35" s="9" t="n">
        <x:f>Model_Data!AC35</x:f>
        <x:v>2096.268299107758</x:v>
      </x:c>
      <x:c r="F35" s="10" t="n"/>
      <x:c r="G35" s="9" t="n">
        <x:f>Model_Data!A35</x:f>
        <x:v>-43.5</x:v>
      </x:c>
      <x:c r="H35" s="9" t="n">
        <x:f>Model_Data!Y35</x:f>
        <x:v>210.8483953416035</x:v>
      </x:c>
      <x:c r="I35" s="9" t="n">
        <x:f>Model_Data!Y35</x:f>
        <x:v>210.8483953416035</x:v>
      </x:c>
      <x:c r="J35" s="9" t="n">
        <x:f>Model_Data!X35</x:f>
        <x:v>22.55480739682735</x:v>
      </x:c>
      <x:c r="K35" s="9" t="n">
        <x:f>Model_Data!A35</x:f>
        <x:v>-43.5</x:v>
      </x:c>
      <x:c r="L35" s="9" t="n">
        <x:f>Model_Data!Y35</x:f>
        <x:v>210.8483953416035</x:v>
      </x:c>
      <x:c r="M35" s="9" t="n">
        <x:f>Model_Data!X35</x:f>
        <x:v>22.55480739682735</x:v>
      </x:c>
      <x:c r="N35" s="9" t="n">
        <x:f>-(Model_Data!AC35-Model_Data!F35)*Inputs!$C$12</x:f>
        <x:v>185.73149096647512</x:v>
      </x:c>
      <x:c r="O35" s="10" t="n"/>
      <x:c r="P35" s="9" t="n">
        <x:f>Model_Data!A35</x:f>
        <x:v>-43.5</x:v>
      </x:c>
      <x:c r="Q35" s="9" t="n">
        <x:f>Model_Data!P35</x:f>
        <x:v>369.0267273985228</x:v>
      </x:c>
      <x:c r="R35" s="9" t="n">
        <x:f>Model_Data!AM35</x:f>
        <x:v>338.2382872227936</x:v>
      </x:c>
      <x:c r="S35" s="9" t="n">
        <x:f>Model_Data!Q35</x:f>
        <x:v>55.40941852830673</x:v>
      </x:c>
      <x:c r="T35" s="9" t="n">
        <x:f>Model_Data!AN35</x:f>
        <x:v>50.78652961303207</x:v>
      </x:c>
      <x:c r="U35" s="10" t="n"/>
      <x:c r="V35" s="9" t="n">
        <x:f>Model_Data!A35</x:f>
        <x:v>-43.5</x:v>
      </x:c>
      <x:c r="W35" s="9" t="n">
        <x:f>Model_Data!B35-Inputs!$C$5</x:f>
        <x:v>2.1025000000000205</x:v>
      </x:c>
      <x:c r="X35" s="10" t="n"/>
      <x:c r="Y35" s="9" t="n">
        <x:f>Model_Data!A35</x:f>
        <x:v>-43.5</x:v>
      </x:c>
      <x:c r="Z35" s="9" t="n">
        <x:f>0</x:f>
        <x:v>0</x:v>
      </x:c>
      <x:c r="AA35" s="9" t="n">
        <x:f>((SQRT((Inputs!$C$52+Inputs!$C$5)^2+Inputs!$C$52^2-2*(Inputs!$C$52+Inputs!$C$5)*Inputs!$C$52*COS(SQRT((Model_Data!A35)^2+Inputs!$C$6^2)/Inputs!$C$52))-Inputs!$C$5)*1000/Inputs!$C$12)</x:f>
        <x:v>2209.708488578056</x:v>
      </x:c>
      <x:c r="AB35" s="9" t="n">
        <x:f>Model_Data!F35</x:f>
        <x:v>2200.611833358587</x:v>
      </x:c>
    </x:row>
    <x:row r="36">
      <x:c r="A36" s="9" t="n">
        <x:f>Model_Data!A36</x:f>
        <x:v>-43</x:v>
      </x:c>
      <x:c r="B36" s="9" t="n">
        <x:f>0</x:f>
        <x:v>0</x:v>
      </x:c>
      <x:c r="C36" s="9" t="n">
        <x:f>((SQRT((Inputs!$C$52+Inputs!$C$5)^2+Inputs!$C$52^2-2*(Inputs!$C$52+Inputs!$C$5)*Inputs!$C$52*COS(SQRT((Model_Data!A36)^2+Inputs!$C$6^2)/Inputs!$C$52))-Inputs!$C$5)*1000/Inputs!$C$12)</x:f>
        <x:v>2171.9273954940345</x:v>
      </x:c>
      <x:c r="D36" s="9" t="n">
        <x:f>Model_Data!F36</x:f>
        <x:v>2163.1879711008464</x:v>
      </x:c>
      <x:c r="E36" s="9" t="n">
        <x:f>Model_Data!AC36</x:f>
        <x:v>2065.038355490313</x:v>
      </x:c>
      <x:c r="F36" s="10" t="n"/>
      <x:c r="G36" s="9" t="n">
        <x:f>Model_Data!A36</x:f>
        <x:v>-43</x:v>
      </x:c>
      <x:c r="H36" s="9" t="n">
        <x:f>Model_Data!Y36</x:f>
        <x:v>180.5581841932563</x:v>
      </x:c>
      <x:c r="I36" s="9" t="n">
        <x:f>Model_Data!Y36</x:f>
        <x:v>180.5581841932563</x:v>
      </x:c>
      <x:c r="J36" s="9" t="n">
        <x:f>Model_Data!X36</x:f>
        <x:v>3.69479063881065</x:v>
      </x:c>
      <x:c r="K36" s="9" t="n">
        <x:f>Model_Data!A36</x:f>
        <x:v>-43</x:v>
      </x:c>
      <x:c r="L36" s="9" t="n">
        <x:f>Model_Data!Y36</x:f>
        <x:v>180.5581841932563</x:v>
      </x:c>
      <x:c r="M36" s="9" t="n">
        <x:f>Model_Data!X36</x:f>
        <x:v>3.69479063881065</x:v>
      </x:c>
      <x:c r="N36" s="9" t="n">
        <x:f>-(Model_Data!AC36-Model_Data!F36)*Inputs!$C$12</x:f>
        <x:v>174.70631578674983</x:v>
      </x:c>
      <x:c r="O36" s="10" t="n"/>
      <x:c r="P36" s="9" t="n">
        <x:f>Model_Data!A36</x:f>
        <x:v>-43</x:v>
      </x:c>
      <x:c r="Q36" s="9" t="n">
        <x:f>Model_Data!P36</x:f>
        <x:v>364.8601882793628</x:v>
      </x:c>
      <x:c r="R36" s="9" t="n">
        <x:f>Model_Data!AM36</x:f>
        <x:v>318.9536821423644</x:v>
      </x:c>
      <x:c r="S36" s="9" t="n">
        <x:f>Model_Data!Q36</x:f>
        <x:v>54.78381205395838</x:v>
      </x:c>
      <x:c r="T36" s="9" t="n">
        <x:f>Model_Data!AN36</x:f>
        <x:v>47.89094326461929</x:v>
      </x:c>
      <x:c r="U36" s="10" t="n"/>
      <x:c r="V36" s="9" t="n">
        <x:f>Model_Data!A36</x:f>
        <x:v>-43</x:v>
      </x:c>
      <x:c r="W36" s="9" t="n">
        <x:f>Model_Data!B36-Inputs!$C$5</x:f>
        <x:v>2.0544444444444707</x:v>
      </x:c>
      <x:c r="X36" s="10" t="n"/>
      <x:c r="Y36" s="9" t="n">
        <x:f>Model_Data!A36</x:f>
        <x:v>-43</x:v>
      </x:c>
      <x:c r="Z36" s="9" t="n">
        <x:f>0</x:f>
        <x:v>0</x:v>
      </x:c>
      <x:c r="AA36" s="9" t="n">
        <x:f>((SQRT((Inputs!$C$52+Inputs!$C$5)^2+Inputs!$C$52^2-2*(Inputs!$C$52+Inputs!$C$5)*Inputs!$C$52*COS(SQRT((Model_Data!A36)^2+Inputs!$C$6^2)/Inputs!$C$52))-Inputs!$C$5)*1000/Inputs!$C$12)</x:f>
        <x:v>2171.9273954940345</x:v>
      </x:c>
      <x:c r="AB36" s="9" t="n">
        <x:f>Model_Data!F36</x:f>
        <x:v>2163.1879711008464</x:v>
      </x:c>
    </x:row>
    <x:row r="37">
      <x:c r="A37" s="9" t="n">
        <x:f>Model_Data!A37</x:f>
        <x:v>-42.5</x:v>
      </x:c>
      <x:c r="B37" s="9" t="n">
        <x:f>0</x:f>
        <x:v>0</x:v>
      </x:c>
      <x:c r="C37" s="9" t="n">
        <x:f>((SQRT((Inputs!$C$52+Inputs!$C$5)^2+Inputs!$C$52^2-2*(Inputs!$C$52+Inputs!$C$5)*Inputs!$C$52*COS(SQRT((Model_Data!A37)^2+Inputs!$C$6^2)/Inputs!$C$52))-Inputs!$C$5)*1000/Inputs!$C$12)</x:f>
        <x:v>2134.576784639611</x:v>
      </x:c>
      <x:c r="D37" s="9" t="n">
        <x:f>Model_Data!F37</x:f>
        <x:v>2126.18370857261</x:v>
      </x:c>
      <x:c r="E37" s="9" t="n">
        <x:f>Model_Data!AC37</x:f>
        <x:v>2030.612257711164</x:v>
      </x:c>
      <x:c r="F37" s="10" t="n"/>
      <x:c r="G37" s="9" t="n">
        <x:f>Model_Data!A37</x:f>
        <x:v>-42.5</x:v>
      </x:c>
      <x:c r="H37" s="9" t="n">
        <x:f>Model_Data!Y37</x:f>
        <x:v>181.7291755177202</x:v>
      </x:c>
      <x:c r="I37" s="9" t="n">
        <x:f>Model_Data!Y37</x:f>
        <x:v>181.7291755177202</x:v>
      </x:c>
      <x:c r="J37" s="9" t="n">
        <x:f>Model_Data!X37</x:f>
        <x:v>9.477549494288523</x:v>
      </x:c>
      <x:c r="K37" s="9" t="n">
        <x:f>Model_Data!A37</x:f>
        <x:v>-42.5</x:v>
      </x:c>
      <x:c r="L37" s="9" t="n">
        <x:f>Model_Data!Y37</x:f>
        <x:v>181.7291755177202</x:v>
      </x:c>
      <x:c r="M37" s="9" t="n">
        <x:f>Model_Data!X37</x:f>
        <x:v>9.477549494288523</x:v>
      </x:c>
      <x:c r="N37" s="9" t="n">
        <x:f>-(Model_Data!AC37-Model_Data!F37)*Inputs!$C$12</x:f>
        <x:v>170.11718253337432</x:v>
      </x:c>
      <x:c r="O37" s="10" t="n"/>
      <x:c r="P37" s="9" t="n">
        <x:f>Model_Data!A37</x:f>
        <x:v>-42.5</x:v>
      </x:c>
      <x:c r="Q37" s="9" t="n">
        <x:f>Model_Data!P37</x:f>
        <x:v>360.6911047401809</x:v>
      </x:c>
      <x:c r="R37" s="9" t="n">
        <x:f>Model_Data!AM37</x:f>
        <x:v>345.1024300021345</x:v>
      </x:c>
      <x:c r="S37" s="9" t="n">
        <x:f>Model_Data!Q37</x:f>
        <x:v>54.1578235345617</x:v>
      </x:c>
      <x:c r="T37" s="9" t="n">
        <x:f>Model_Data!AN37</x:f>
        <x:v>51.81718168200218</x:v>
      </x:c>
      <x:c r="U37" s="10" t="n"/>
      <x:c r="V37" s="9" t="n">
        <x:f>Model_Data!A37</x:f>
        <x:v>-42.5</x:v>
      </x:c>
      <x:c r="W37" s="9" t="n">
        <x:f>Model_Data!B37-Inputs!$C$5</x:f>
        <x:v>2.006944444444457</x:v>
      </x:c>
      <x:c r="X37" s="10" t="n"/>
      <x:c r="Y37" s="9" t="n">
        <x:f>Model_Data!A37</x:f>
        <x:v>-42.5</x:v>
      </x:c>
      <x:c r="Z37" s="9" t="n">
        <x:f>0</x:f>
        <x:v>0</x:v>
      </x:c>
      <x:c r="AA37" s="9" t="n">
        <x:f>((SQRT((Inputs!$C$52+Inputs!$C$5)^2+Inputs!$C$52^2-2*(Inputs!$C$52+Inputs!$C$5)*Inputs!$C$52*COS(SQRT((Model_Data!A37)^2+Inputs!$C$6^2)/Inputs!$C$52))-Inputs!$C$5)*1000/Inputs!$C$12)</x:f>
        <x:v>2134.576784639611</x:v>
      </x:c>
      <x:c r="AB37" s="9" t="n">
        <x:f>Model_Data!F37</x:f>
        <x:v>2126.18370857261</x:v>
      </x:c>
    </x:row>
    <x:row r="38">
      <x:c r="A38" s="9" t="n">
        <x:f>Model_Data!A38</x:f>
        <x:v>-42</x:v>
      </x:c>
      <x:c r="B38" s="9" t="n">
        <x:f>0</x:f>
        <x:v>0</x:v>
      </x:c>
      <x:c r="C38" s="9" t="n">
        <x:f>((SQRT((Inputs!$C$52+Inputs!$C$5)^2+Inputs!$C$52^2-2*(Inputs!$C$52+Inputs!$C$5)*Inputs!$C$52*COS(SQRT((Model_Data!A38)^2+Inputs!$C$6^2)/Inputs!$C$52))-Inputs!$C$5)*1000/Inputs!$C$12)</x:f>
        <x:v>2097.656872513326</x:v>
      </x:c>
      <x:c r="D38" s="9" t="n">
        <x:f>Model_Data!F38</x:f>
        <x:v>2089.5994901917893</x:v>
      </x:c>
      <x:c r="E38" s="9" t="n">
        <x:f>Model_Data!AC38</x:f>
        <x:v>1989.964946236575</x:v>
      </x:c>
      <x:c r="F38" s="10" t="n"/>
      <x:c r="G38" s="9" t="n">
        <x:f>Model_Data!A38</x:f>
        <x:v>-42</x:v>
      </x:c>
      <x:c r="H38" s="9" t="n">
        <x:f>Model_Data!Y38</x:f>
        <x:v>170.62817299697477</x:v>
      </x:c>
      <x:c r="I38" s="9" t="n">
        <x:f>Model_Data!Y38</x:f>
        <x:v>170.62817299697477</x:v>
      </x:c>
      <x:c r="J38" s="9" t="n">
        <x:f>Model_Data!X38</x:f>
        <x:v>-8.691303525994272</x:v>
      </x:c>
      <x:c r="K38" s="9" t="n">
        <x:f>Model_Data!A38</x:f>
        <x:v>-42</x:v>
      </x:c>
      <x:c r="L38" s="9" t="n">
        <x:f>Model_Data!Y38</x:f>
        <x:v>170.62817299697477</x:v>
      </x:c>
      <x:c r="M38" s="9" t="n">
        <x:f>Model_Data!X38</x:f>
        <x:v>-8.691303525994272</x:v>
      </x:c>
      <x:c r="N38" s="9" t="n">
        <x:f>-(Model_Data!AC38-Model_Data!F38)*Inputs!$C$12</x:f>
        <x:v>177.3494882402813</x:v>
      </x:c>
      <x:c r="O38" s="10" t="n"/>
      <x:c r="P38" s="9" t="n">
        <x:f>Model_Data!A38</x:f>
        <x:v>-42</x:v>
      </x:c>
      <x:c r="Q38" s="9" t="n">
        <x:f>Model_Data!P38</x:f>
        <x:v>356.5195028526432</x:v>
      </x:c>
      <x:c r="R38" s="9" t="n">
        <x:f>Model_Data!AM38</x:f>
        <x:v>340.27294612515107</x:v>
      </x:c>
      <x:c r="S38" s="9" t="n">
        <x:f>Model_Data!Q38</x:f>
        <x:v>53.531456884781264</x:v>
      </x:c>
      <x:c r="T38" s="9" t="n">
        <x:f>Model_Data!AN38</x:f>
        <x:v>51.09203395272539</x:v>
      </x:c>
      <x:c r="U38" s="10" t="n"/>
      <x:c r="V38" s="9" t="n">
        <x:f>Model_Data!A38</x:f>
        <x:v>-42</x:v>
      </x:c>
      <x:c r="W38" s="9" t="n">
        <x:f>Model_Data!B38-Inputs!$C$5</x:f>
        <x:v>1.9599999999999795</x:v>
      </x:c>
      <x:c r="X38" s="10" t="n"/>
      <x:c r="Y38" s="9" t="n">
        <x:f>Model_Data!A38</x:f>
        <x:v>-42</x:v>
      </x:c>
      <x:c r="Z38" s="9" t="n">
        <x:f>0</x:f>
        <x:v>0</x:v>
      </x:c>
      <x:c r="AA38" s="9" t="n">
        <x:f>((SQRT((Inputs!$C$52+Inputs!$C$5)^2+Inputs!$C$52^2-2*(Inputs!$C$52+Inputs!$C$5)*Inputs!$C$52*COS(SQRT((Model_Data!A38)^2+Inputs!$C$6^2)/Inputs!$C$52))-Inputs!$C$5)*1000/Inputs!$C$12)</x:f>
        <x:v>2097.656872513326</x:v>
      </x:c>
      <x:c r="AB38" s="9" t="n">
        <x:f>Model_Data!F38</x:f>
        <x:v>2089.5994901917893</x:v>
      </x:c>
    </x:row>
    <x:row r="39">
      <x:c r="A39" s="9" t="n">
        <x:f>Model_Data!A39</x:f>
        <x:v>-41.5</x:v>
      </x:c>
      <x:c r="B39" s="9" t="n">
        <x:f>0</x:f>
        <x:v>0</x:v>
      </x:c>
      <x:c r="C39" s="9" t="n">
        <x:f>((SQRT((Inputs!$C$52+Inputs!$C$5)^2+Inputs!$C$52^2-2*(Inputs!$C$52+Inputs!$C$5)*Inputs!$C$52*COS(SQRT((Model_Data!A39)^2+Inputs!$C$6^2)/Inputs!$C$52))-Inputs!$C$5)*1000/Inputs!$C$12)</x:f>
        <x:v>2061.1678732608475</x:v>
      </x:c>
      <x:c r="D39" s="9" t="n">
        <x:f>Model_Data!F39</x:f>
        <x:v>2053.4357557919698</x:v>
      </x:c>
      <x:c r="E39" s="9" t="n">
        <x:f>Model_Data!AC39</x:f>
        <x:v>1949.3721661921122</x:v>
      </x:c>
      <x:c r="F39" s="10" t="n"/>
      <x:c r="G39" s="9" t="n">
        <x:f>Model_Data!A39</x:f>
        <x:v>-41.5</x:v>
      </x:c>
      <x:c r="H39" s="9" t="n">
        <x:f>Model_Data!Y39</x:f>
        <x:v>171.38557913735212</x:v>
      </x:c>
      <x:c r="I39" s="9" t="n">
        <x:f>Model_Data!Y39</x:f>
        <x:v>171.38557913735212</x:v>
      </x:c>
      <x:c r="J39" s="9" t="n">
        <x:f>Model_Data!X39</x:f>
        <x:v>-15.792555414769886</x:v>
      </x:c>
      <x:c r="K39" s="9" t="n">
        <x:f>Model_Data!A39</x:f>
        <x:v>-41.5</x:v>
      </x:c>
      <x:c r="L39" s="9" t="n">
        <x:f>Model_Data!Y39</x:f>
        <x:v>171.38557913735212</x:v>
      </x:c>
      <x:c r="M39" s="9" t="n">
        <x:f>Model_Data!X39</x:f>
        <x:v>-15.792555414769886</x:v>
      </x:c>
      <x:c r="N39" s="9" t="n">
        <x:f>-(Model_Data!AC39-Model_Data!F39)*Inputs!$C$12</x:f>
        <x:v>185.23318948774644</x:v>
      </x:c>
      <x:c r="O39" s="10" t="n"/>
      <x:c r="P39" s="9" t="n">
        <x:f>Model_Data!A39</x:f>
        <x:v>-41.5</x:v>
      </x:c>
      <x:c r="Q39" s="9" t="n">
        <x:f>Model_Data!P39</x:f>
        <x:v>352.3454087967366</x:v>
      </x:c>
      <x:c r="R39" s="9" t="n">
        <x:f>Model_Data!AM39</x:f>
        <x:v>362.0055736474569</x:v>
      </x:c>
      <x:c r="S39" s="9" t="n">
        <x:f>Model_Data!Q39</x:f>
        <x:v>52.90471603554604</x:v>
      </x:c>
      <x:c r="T39" s="9" t="n">
        <x:f>Model_Data!AN39</x:f>
        <x:v>54.3551912383569</x:v>
      </x:c>
      <x:c r="U39" s="10" t="n"/>
      <x:c r="V39" s="9" t="n">
        <x:f>Model_Data!A39</x:f>
        <x:v>-41.5</x:v>
      </x:c>
      <x:c r="W39" s="9" t="n">
        <x:f>Model_Data!B39-Inputs!$C$5</x:f>
        <x:v>1.913611111111095</x:v>
      </x:c>
      <x:c r="X39" s="10" t="n"/>
      <x:c r="Y39" s="9" t="n">
        <x:f>Model_Data!A39</x:f>
        <x:v>-41.5</x:v>
      </x:c>
      <x:c r="Z39" s="9" t="n">
        <x:f>0</x:f>
        <x:v>0</x:v>
      </x:c>
      <x:c r="AA39" s="9" t="n">
        <x:f>((SQRT((Inputs!$C$52+Inputs!$C$5)^2+Inputs!$C$52^2-2*(Inputs!$C$52+Inputs!$C$5)*Inputs!$C$52*COS(SQRT((Model_Data!A39)^2+Inputs!$C$6^2)/Inputs!$C$52))-Inputs!$C$5)*1000/Inputs!$C$12)</x:f>
        <x:v>2061.1678732608475</x:v>
      </x:c>
      <x:c r="AB39" s="9" t="n">
        <x:f>Model_Data!F39</x:f>
        <x:v>2053.4357557919698</x:v>
      </x:c>
    </x:row>
    <x:row r="40">
      <x:c r="A40" s="9" t="n">
        <x:f>Model_Data!A40</x:f>
        <x:v>-41</x:v>
      </x:c>
      <x:c r="B40" s="9" t="n">
        <x:f>0</x:f>
        <x:v>0</x:v>
      </x:c>
      <x:c r="C40" s="9" t="n">
        <x:f>((SQRT((Inputs!$C$52+Inputs!$C$5)^2+Inputs!$C$52^2-2*(Inputs!$C$52+Inputs!$C$5)*Inputs!$C$52*COS(SQRT((Model_Data!A40)^2+Inputs!$C$6^2)/Inputs!$C$52))-Inputs!$C$5)*1000/Inputs!$C$12)</x:f>
        <x:v>2025.1099986616898</x:v>
      </x:c>
      <x:c r="D40" s="9" t="n">
        <x:f>Model_Data!F40</x:f>
        <x:v>2017.6929405986523</x:v>
      </x:c>
      <x:c r="E40" s="9" t="n">
        <x:f>Model_Data!AC40</x:f>
        <x:v>1909.5007750128811</x:v>
      </x:c>
      <x:c r="F40" s="10" t="n"/>
      <x:c r="G40" s="9" t="n">
        <x:f>Model_Data!A40</x:f>
        <x:v>-41</x:v>
      </x:c>
      <x:c r="H40" s="9" t="n">
        <x:f>Model_Data!Y40</x:f>
        <x:v>176.66624192778235</x:v>
      </x:c>
      <x:c r="I40" s="9" t="n">
        <x:f>Model_Data!Y40</x:f>
        <x:v>176.66624192778235</x:v>
      </x:c>
      <x:c r="J40" s="9" t="n">
        <x:f>Model_Data!X40</x:f>
        <x:v>-17.886266996681616</x:v>
      </x:c>
      <x:c r="K40" s="9" t="n">
        <x:f>Model_Data!A40</x:f>
        <x:v>-41</x:v>
      </x:c>
      <x:c r="L40" s="9" t="n">
        <x:f>Model_Data!Y40</x:f>
        <x:v>176.66624192778235</x:v>
      </x:c>
      <x:c r="M40" s="9" t="n">
        <x:f>Model_Data!X40</x:f>
        <x:v>-17.886266996681616</x:v>
      </x:c>
      <x:c r="N40" s="9" t="n">
        <x:f>-(Model_Data!AC40-Model_Data!F40)*Inputs!$C$12</x:f>
        <x:v>192.58205474267263</x:v>
      </x:c>
      <x:c r="O40" s="10" t="n"/>
      <x:c r="P40" s="9" t="n">
        <x:f>Model_Data!A40</x:f>
        <x:v>-41</x:v>
      </x:c>
      <x:c r="Q40" s="9" t="n">
        <x:f>Model_Data!P40</x:f>
        <x:v>348.16884888314235</x:v>
      </x:c>
      <x:c r="R40" s="9" t="n">
        <x:f>Model_Data!AM40</x:f>
        <x:v>379.704203482288</x:v>
      </x:c>
      <x:c r="S40" s="9" t="n">
        <x:f>Model_Data!Q40</x:f>
        <x:v>52.27760493740877</x:v>
      </x:c>
      <x:c r="T40" s="9" t="n">
        <x:f>Model_Data!AN40</x:f>
        <x:v>57.01264316550871</x:v>
      </x:c>
      <x:c r="U40" s="10" t="n"/>
      <x:c r="V40" s="9" t="n">
        <x:f>Model_Data!A40</x:f>
        <x:v>-41</x:v>
      </x:c>
      <x:c r="W40" s="9" t="n">
        <x:f>Model_Data!B40-Inputs!$C$5</x:f>
        <x:v>1.8677777777778033</x:v>
      </x:c>
      <x:c r="X40" s="10" t="n"/>
      <x:c r="Y40" s="9" t="n">
        <x:f>Model_Data!A40</x:f>
        <x:v>-41</x:v>
      </x:c>
      <x:c r="Z40" s="9" t="n">
        <x:f>0</x:f>
        <x:v>0</x:v>
      </x:c>
      <x:c r="AA40" s="9" t="n">
        <x:f>((SQRT((Inputs!$C$52+Inputs!$C$5)^2+Inputs!$C$52^2-2*(Inputs!$C$52+Inputs!$C$5)*Inputs!$C$52*COS(SQRT((Model_Data!A40)^2+Inputs!$C$6^2)/Inputs!$C$52))-Inputs!$C$5)*1000/Inputs!$C$12)</x:f>
        <x:v>2025.1099986616898</x:v>
      </x:c>
      <x:c r="AB40" s="9" t="n">
        <x:f>Model_Data!F40</x:f>
        <x:v>2017.6929405986523</x:v>
      </x:c>
    </x:row>
    <x:row r="41">
      <x:c r="A41" s="9" t="n">
        <x:f>Model_Data!A41</x:f>
        <x:v>-40.5</x:v>
      </x:c>
      <x:c r="B41" s="9" t="n">
        <x:f>0</x:f>
        <x:v>0</x:v>
      </x:c>
      <x:c r="C41" s="9" t="n">
        <x:f>((SQRT((Inputs!$C$52+Inputs!$C$5)^2+Inputs!$C$52^2-2*(Inputs!$C$52+Inputs!$C$5)*Inputs!$C$52*COS(SQRT((Model_Data!A41)^2+Inputs!$C$6^2)/Inputs!$C$52))-Inputs!$C$5)*1000/Inputs!$C$12)</x:f>
        <x:v>1989.483458127327</x:v>
      </x:c>
      <x:c r="D41" s="9" t="n">
        <x:f>Model_Data!F41</x:f>
        <x:v>1982.3714752072171</x:v>
      </x:c>
      <x:c r="E41" s="9" t="n">
        <x:f>Model_Data!AC41</x:f>
        <x:v>1867.656189717457</x:v>
      </x:c>
      <x:c r="F41" s="10" t="n"/>
      <x:c r="G41" s="9" t="n">
        <x:f>Model_Data!A41</x:f>
        <x:v>-40.5</x:v>
      </x:c>
      <x:c r="H41" s="9" t="n">
        <x:f>Model_Data!Y41</x:f>
        <x:v>191.24651788731785</x:v>
      </x:c>
      <x:c r="I41" s="9" t="n">
        <x:f>Model_Data!Y41</x:f>
        <x:v>191.24651788731785</x:v>
      </x:c>
      <x:c r="J41" s="9" t="n">
        <x:f>Model_Data!X41</x:f>
        <x:v>-15.042977474303433</x:v>
      </x:c>
      <x:c r="K41" s="9" t="n">
        <x:f>Model_Data!A41</x:f>
        <x:v>-40.5</x:v>
      </x:c>
      <x:c r="L41" s="9" t="n">
        <x:f>Model_Data!Y41</x:f>
        <x:v>191.24651788731785</x:v>
      </x:c>
      <x:c r="M41" s="9" t="n">
        <x:f>Model_Data!X41</x:f>
        <x:v>-15.042977474303433</x:v>
      </x:c>
      <x:c r="N41" s="9" t="n">
        <x:f>-(Model_Data!AC41-Model_Data!F41)*Inputs!$C$12</x:f>
        <x:v>204.19320817177308</x:v>
      </x:c>
      <x:c r="O41" s="10" t="n"/>
      <x:c r="P41" s="9" t="n">
        <x:f>Model_Data!A41</x:f>
        <x:v>-40.5</x:v>
      </x:c>
      <x:c r="Q41" s="9" t="n">
        <x:f>Model_Data!P41</x:f>
        <x:v>343.98984952458704</x:v>
      </x:c>
      <x:c r="R41" s="9" t="n">
        <x:f>Model_Data!AM41</x:f>
        <x:v>377.3350791899247</x:v>
      </x:c>
      <x:c r="S41" s="9" t="n">
        <x:f>Model_Data!Q41</x:f>
        <x:v>51.65012755624431</x:v>
      </x:c>
      <x:c r="T41" s="9" t="n">
        <x:f>Model_Data!AN41</x:f>
        <x:v>56.656918797286</x:v>
      </x:c>
      <x:c r="U41" s="10" t="n"/>
      <x:c r="V41" s="9" t="n">
        <x:f>Model_Data!A41</x:f>
        <x:v>-40.5</x:v>
      </x:c>
      <x:c r="W41" s="9" t="n">
        <x:f>Model_Data!B41-Inputs!$C$5</x:f>
        <x:v>1.822499999999991</x:v>
      </x:c>
      <x:c r="X41" s="10" t="n"/>
      <x:c r="Y41" s="9" t="n">
        <x:f>Model_Data!A41</x:f>
        <x:v>-40.5</x:v>
      </x:c>
      <x:c r="Z41" s="9" t="n">
        <x:f>0</x:f>
        <x:v>0</x:v>
      </x:c>
      <x:c r="AA41" s="9" t="n">
        <x:f>((SQRT((Inputs!$C$52+Inputs!$C$5)^2+Inputs!$C$52^2-2*(Inputs!$C$52+Inputs!$C$5)*Inputs!$C$52*COS(SQRT((Model_Data!A41)^2+Inputs!$C$6^2)/Inputs!$C$52))-Inputs!$C$5)*1000/Inputs!$C$12)</x:f>
        <x:v>1989.483458127327</x:v>
      </x:c>
      <x:c r="AB41" s="9" t="n">
        <x:f>Model_Data!F41</x:f>
        <x:v>1982.3714752072171</x:v>
      </x:c>
    </x:row>
    <x:row r="42">
      <x:c r="A42" s="9" t="n">
        <x:f>Model_Data!A42</x:f>
        <x:v>-40</x:v>
      </x:c>
      <x:c r="B42" s="9" t="n">
        <x:f>0</x:f>
        <x:v>0</x:v>
      </x:c>
      <x:c r="C42" s="9" t="n">
        <x:f>((SQRT((Inputs!$C$52+Inputs!$C$5)^2+Inputs!$C$52^2-2*(Inputs!$C$52+Inputs!$C$5)*Inputs!$C$52*COS(SQRT((Model_Data!A42)^2+Inputs!$C$6^2)/Inputs!$C$52))-Inputs!$C$5)*1000/Inputs!$C$12)</x:f>
        <x:v>1954.2884586951907</x:v>
      </x:c>
      <x:c r="D42" s="9" t="n">
        <x:f>Model_Data!F42</x:f>
        <x:v>1947.4717855689696</x:v>
      </x:c>
      <x:c r="E42" s="9" t="n">
        <x:f>Model_Data!AC42</x:f>
        <x:v>1820.073882562747</x:v>
      </x:c>
      <x:c r="F42" s="10" t="n"/>
      <x:c r="G42" s="9" t="n">
        <x:f>Model_Data!A42</x:f>
        <x:v>-40</x:v>
      </x:c>
      <x:c r="H42" s="9" t="n">
        <x:f>Model_Data!Y42</x:f>
        <x:v>197.66557297497732</x:v>
      </x:c>
      <x:c r="I42" s="9" t="n">
        <x:f>Model_Data!Y42</x:f>
        <x:v>197.66557297497732</x:v>
      </x:c>
      <x:c r="J42" s="9" t="n">
        <x:f>Model_Data!X42</x:f>
        <x:v>-31.231711064274894</x:v>
      </x:c>
      <x:c r="K42" s="9" t="n">
        <x:f>Model_Data!A42</x:f>
        <x:v>-40</x:v>
      </x:c>
      <x:c r="L42" s="9" t="n">
        <x:f>Model_Data!Y42</x:f>
        <x:v>197.66557297497732</x:v>
      </x:c>
      <x:c r="M42" s="9" t="n">
        <x:f>Model_Data!X42</x:f>
        <x:v>-31.231711064274894</x:v>
      </x:c>
      <x:c r="N42" s="9" t="n">
        <x:f>-(Model_Data!AC42-Model_Data!F42)*Inputs!$C$12</x:f>
        <x:v>226.7682673510762</x:v>
      </x:c>
      <x:c r="O42" s="10" t="n"/>
      <x:c r="P42" s="9" t="n">
        <x:f>Model_Data!A42</x:f>
        <x:v>-40</x:v>
      </x:c>
      <x:c r="Q42" s="9" t="n">
        <x:f>Model_Data!P42</x:f>
        <x:v>339.80843724993974</x:v>
      </x:c>
      <x:c r="R42" s="9" t="n">
        <x:f>Model_Data!AM42</x:f>
        <x:v>355.33588521439015</x:v>
      </x:c>
      <x:c r="S42" s="9" t="n">
        <x:f>Model_Data!Q42</x:f>
        <x:v>51.02228787536633</x:v>
      </x:c>
      <x:c r="T42" s="9" t="n">
        <x:f>Model_Data!AN42</x:f>
        <x:v>53.3537365186772</x:v>
      </x:c>
      <x:c r="U42" s="10" t="n"/>
      <x:c r="V42" s="9" t="n">
        <x:f>Model_Data!A42</x:f>
        <x:v>-40</x:v>
      </x:c>
      <x:c r="W42" s="9" t="n">
        <x:f>Model_Data!B42-Inputs!$C$5</x:f>
        <x:v>1.7777777777777715</x:v>
      </x:c>
      <x:c r="X42" s="10" t="n"/>
      <x:c r="Y42" s="9" t="n">
        <x:f>Model_Data!A42</x:f>
        <x:v>-40</x:v>
      </x:c>
      <x:c r="Z42" s="9" t="n">
        <x:f>0</x:f>
        <x:v>0</x:v>
      </x:c>
      <x:c r="AA42" s="9" t="n">
        <x:f>((SQRT((Inputs!$C$52+Inputs!$C$5)^2+Inputs!$C$52^2-2*(Inputs!$C$52+Inputs!$C$5)*Inputs!$C$52*COS(SQRT((Model_Data!A42)^2+Inputs!$C$6^2)/Inputs!$C$52))-Inputs!$C$5)*1000/Inputs!$C$12)</x:f>
        <x:v>1954.2884586951907</x:v>
      </x:c>
      <x:c r="AB42" s="9" t="n">
        <x:f>Model_Data!F42</x:f>
        <x:v>1947.4717855689696</x:v>
      </x:c>
    </x:row>
    <x:row r="43">
      <x:c r="A43" s="9" t="n">
        <x:f>Model_Data!A43</x:f>
        <x:v>-39.5</x:v>
      </x:c>
      <x:c r="B43" s="9" t="n">
        <x:f>0</x:f>
        <x:v>0</x:v>
      </x:c>
      <x:c r="C43" s="9" t="n">
        <x:f>((SQRT((Inputs!$C$52+Inputs!$C$5)^2+Inputs!$C$52^2-2*(Inputs!$C$52+Inputs!$C$5)*Inputs!$C$52*COS(SQRT((Model_Data!A43)^2+Inputs!$C$6^2)/Inputs!$C$52))-Inputs!$C$5)*1000/Inputs!$C$12)</x:f>
        <x:v>1919.5252050223141</x:v>
      </x:c>
      <x:c r="D43" s="9" t="n">
        <x:f>Model_Data!F43</x:f>
        <x:v>1912.9942929643466</x:v>
      </x:c>
      <x:c r="E43" s="9" t="n">
        <x:f>Model_Data!AC43</x:f>
        <x:v>1782.6032609411293</x:v>
      </x:c>
      <x:c r="F43" s="10" t="n"/>
      <x:c r="G43" s="9" t="n">
        <x:f>Model_Data!A43</x:f>
        <x:v>-39.5</x:v>
      </x:c>
      <x:c r="H43" s="9" t="n">
        <x:f>Model_Data!Y43</x:f>
        <x:v>200.98178735327417</x:v>
      </x:c>
      <x:c r="I43" s="9" t="n">
        <x:f>Model_Data!Y43</x:f>
        <x:v>200.98178735327417</x:v>
      </x:c>
      <x:c r="J43" s="9" t="n">
        <x:f>Model_Data!X43</x:f>
        <x:v>-33.241151326098546</x:v>
      </x:c>
      <x:c r="K43" s="9" t="n">
        <x:f>Model_Data!A43</x:f>
        <x:v>-39.5</x:v>
      </x:c>
      <x:c r="L43" s="9" t="n">
        <x:f>Model_Data!Y43</x:f>
        <x:v>200.98178735327417</x:v>
      </x:c>
      <x:c r="M43" s="9" t="n">
        <x:f>Model_Data!X43</x:f>
        <x:v>-33.241151326098546</x:v>
      </x:c>
      <x:c r="N43" s="9" t="n">
        <x:f>-(Model_Data!AC43-Model_Data!F43)*Inputs!$C$12</x:f>
        <x:v>232.0960370013269</x:v>
      </x:c>
      <x:c r="O43" s="10" t="n"/>
      <x:c r="P43" s="9" t="n">
        <x:f>Model_Data!A43</x:f>
        <x:v>-39.5</x:v>
      </x:c>
      <x:c r="Q43" s="9" t="n">
        <x:f>Model_Data!P43</x:f>
        <x:v>335.62463871039654</x:v>
      </x:c>
      <x:c r="R43" s="9" t="n">
        <x:f>Model_Data!AM43</x:f>
        <x:v>314.96723845502856</x:v>
      </x:c>
      <x:c r="S43" s="9" t="n">
        <x:f>Model_Data!Q43</x:f>
        <x:v>50.39408989645594</x:v>
      </x:c>
      <x:c r="T43" s="9" t="n">
        <x:f>Model_Data!AN43</x:f>
        <x:v>47.29237814640069</x:v>
      </x:c>
      <x:c r="U43" s="10" t="n"/>
      <x:c r="V43" s="9" t="n">
        <x:f>Model_Data!A43</x:f>
        <x:v>-39.5</x:v>
      </x:c>
      <x:c r="W43" s="9" t="n">
        <x:f>Model_Data!B43-Inputs!$C$5</x:f>
        <x:v>1.7336111111110881</x:v>
      </x:c>
      <x:c r="X43" s="10" t="n"/>
      <x:c r="Y43" s="9" t="n">
        <x:f>Model_Data!A43</x:f>
        <x:v>-39.5</x:v>
      </x:c>
      <x:c r="Z43" s="9" t="n">
        <x:f>0</x:f>
        <x:v>0</x:v>
      </x:c>
      <x:c r="AA43" s="9" t="n">
        <x:f>((SQRT((Inputs!$C$52+Inputs!$C$5)^2+Inputs!$C$52^2-2*(Inputs!$C$52+Inputs!$C$5)*Inputs!$C$52*COS(SQRT((Model_Data!A43)^2+Inputs!$C$6^2)/Inputs!$C$52))-Inputs!$C$5)*1000/Inputs!$C$12)</x:f>
        <x:v>1919.5252050223141</x:v>
      </x:c>
      <x:c r="AB43" s="9" t="n">
        <x:f>Model_Data!F43</x:f>
        <x:v>1912.9942929643466</x:v>
      </x:c>
    </x:row>
    <x:row r="44">
      <x:c r="A44" s="9" t="n">
        <x:f>Model_Data!A44</x:f>
        <x:v>-39</x:v>
      </x:c>
      <x:c r="B44" s="9" t="n">
        <x:f>0</x:f>
        <x:v>0</x:v>
      </x:c>
      <x:c r="C44" s="9" t="n">
        <x:f>((SQRT((Inputs!$C$52+Inputs!$C$5)^2+Inputs!$C$52^2-2*(Inputs!$C$52+Inputs!$C$5)*Inputs!$C$52*COS(SQRT((Model_Data!A44)^2+Inputs!$C$6^2)/Inputs!$C$52))-Inputs!$C$5)*1000/Inputs!$C$12)</x:f>
        <x:v>1885.1938993782433</x:v>
      </x:c>
      <x:c r="D44" s="9" t="n">
        <x:f>Model_Data!F44</x:f>
        <x:v>1878.9394139868214</x:v>
      </x:c>
      <x:c r="E44" s="9" t="n">
        <x:f>Model_Data!AC44</x:f>
        <x:v>1758.3518395529575</x:v>
      </x:c>
      <x:c r="F44" s="10" t="n"/>
      <x:c r="G44" s="9" t="n">
        <x:f>Model_Data!A44</x:f>
        <x:v>-39</x:v>
      </x:c>
      <x:c r="H44" s="9" t="n">
        <x:f>Model_Data!Y44</x:f>
        <x:v>184.54420924136062</x:v>
      </x:c>
      <x:c r="I44" s="9" t="n">
        <x:f>Model_Data!Y44</x:f>
        <x:v>184.54420924136062</x:v>
      </x:c>
      <x:c r="J44" s="9" t="n">
        <x:f>Model_Data!X44</x:f>
        <x:v>-32.02020136507765</x:v>
      </x:c>
      <x:c r="K44" s="9" t="n">
        <x:f>Model_Data!A44</x:f>
        <x:v>-39</x:v>
      </x:c>
      <x:c r="L44" s="9" t="n">
        <x:f>Model_Data!Y44</x:f>
        <x:v>184.54420924136062</x:v>
      </x:c>
      <x:c r="M44" s="9" t="n">
        <x:f>Model_Data!X44</x:f>
        <x:v>-32.02020136507765</x:v>
      </x:c>
      <x:c r="N44" s="9" t="n">
        <x:f>-(Model_Data!AC44-Model_Data!F44)*Inputs!$C$12</x:f>
        <x:v>214.64588249227774</x:v>
      </x:c>
      <x:c r="O44" s="10" t="n"/>
      <x:c r="P44" s="9" t="n">
        <x:f>Model_Data!A44</x:f>
        <x:v>-39</x:v>
      </x:c>
      <x:c r="Q44" s="9" t="n">
        <x:f>Model_Data!P44</x:f>
        <x:v>331.4384806597445</x:v>
      </x:c>
      <x:c r="R44" s="9" t="n">
        <x:f>Model_Data!AM44</x:f>
        <x:v>348.4273363549619</x:v>
      </x:c>
      <x:c r="S44" s="9" t="n">
        <x:f>Model_Data!Q44</x:f>
        <x:v>49.76553763659828</x:v>
      </x:c>
      <x:c r="T44" s="9" t="n">
        <x:f>Model_Data!AN44</x:f>
        <x:v>52.3164168701144</x:v>
      </x:c>
      <x:c r="U44" s="10" t="n"/>
      <x:c r="V44" s="9" t="n">
        <x:f>Model_Data!A44</x:f>
        <x:v>-39</x:v>
      </x:c>
      <x:c r="W44" s="9" t="n">
        <x:f>Model_Data!B44-Inputs!$C$5</x:f>
        <x:v>1.6899999999999977</x:v>
      </x:c>
      <x:c r="X44" s="10" t="n"/>
      <x:c r="Y44" s="9" t="n">
        <x:f>Model_Data!A44</x:f>
        <x:v>-39</x:v>
      </x:c>
      <x:c r="Z44" s="9" t="n">
        <x:f>0</x:f>
        <x:v>0</x:v>
      </x:c>
      <x:c r="AA44" s="9" t="n">
        <x:f>((SQRT((Inputs!$C$52+Inputs!$C$5)^2+Inputs!$C$52^2-2*(Inputs!$C$52+Inputs!$C$5)*Inputs!$C$52*COS(SQRT((Model_Data!A44)^2+Inputs!$C$6^2)/Inputs!$C$52))-Inputs!$C$5)*1000/Inputs!$C$12)</x:f>
        <x:v>1885.1938993782433</x:v>
      </x:c>
      <x:c r="AB44" s="9" t="n">
        <x:f>Model_Data!F44</x:f>
        <x:v>1878.9394139868214</x:v>
      </x:c>
    </x:row>
    <x:row r="45">
      <x:c r="A45" s="9" t="n">
        <x:f>Model_Data!A45</x:f>
        <x:v>-38.5</x:v>
      </x:c>
      <x:c r="B45" s="9" t="n">
        <x:f>0</x:f>
        <x:v>0</x:v>
      </x:c>
      <x:c r="C45" s="9" t="n">
        <x:f>((SQRT((Inputs!$C$52+Inputs!$C$5)^2+Inputs!$C$52^2-2*(Inputs!$C$52+Inputs!$C$5)*Inputs!$C$52*COS(SQRT((Model_Data!A45)^2+Inputs!$C$6^2)/Inputs!$C$52))-Inputs!$C$5)*1000/Inputs!$C$12)</x:f>
        <x:v>1851.2947416406298</x:v>
      </x:c>
      <x:c r="D45" s="9" t="n">
        <x:f>Model_Data!F45</x:f>
        <x:v>1845.3075605229446</x:v>
      </x:c>
      <x:c r="E45" s="9" t="n">
        <x:f>Model_Data!AC45</x:f>
        <x:v>1708.3590747742153</x:v>
      </x:c>
      <x:c r="F45" s="10" t="n"/>
      <x:c r="G45" s="9" t="n">
        <x:f>Model_Data!A45</x:f>
        <x:v>-38.5</x:v>
      </x:c>
      <x:c r="H45" s="9" t="n">
        <x:f>Model_Data!Y45</x:f>
        <x:v>211.63430992610967</x:v>
      </x:c>
      <x:c r="I45" s="9" t="n">
        <x:f>Model_Data!Y45</x:f>
        <x:v>211.63430992610967</x:v>
      </x:c>
      <x:c r="J45" s="9" t="n">
        <x:f>Model_Data!X45</x:f>
        <x:v>-34.295384147954024</x:v>
      </x:c>
      <x:c r="K45" s="9" t="n">
        <x:f>Model_Data!A45</x:f>
        <x:v>-38.5</x:v>
      </x:c>
      <x:c r="L45" s="9" t="n">
        <x:f>Model_Data!Y45</x:f>
        <x:v>211.63430992610967</x:v>
      </x:c>
      <x:c r="M45" s="9" t="n">
        <x:f>Model_Data!X45</x:f>
        <x:v>-34.295384147954024</x:v>
      </x:c>
      <x:c r="N45" s="9" t="n">
        <x:f>-(Model_Data!AC45-Model_Data!F45)*Inputs!$C$12</x:f>
        <x:v>243.76830463273825</x:v>
      </x:c>
      <x:c r="O45" s="10" t="n"/>
      <x:c r="P45" s="9" t="n">
        <x:f>Model_Data!A45</x:f>
        <x:v>-38.5</x:v>
      </x:c>
      <x:c r="Q45" s="9" t="n">
        <x:f>Model_Data!P45</x:f>
        <x:v>327.2499899624563</x:v>
      </x:c>
      <x:c r="R45" s="9" t="n">
        <x:f>Model_Data!AM45</x:f>
        <x:v>356.4903792555924</x:v>
      </x:c>
      <x:c r="S45" s="9" t="n">
        <x:f>Model_Data!Q45</x:f>
        <x:v>49.13663512949795</x:v>
      </x:c>
      <x:c r="T45" s="9" t="n">
        <x:f>Model_Data!AN45</x:f>
        <x:v>53.527083972311175</x:v>
      </x:c>
      <x:c r="U45" s="10" t="n"/>
      <x:c r="V45" s="9" t="n">
        <x:f>Model_Data!A45</x:f>
        <x:v>-38.5</x:v>
      </x:c>
      <x:c r="W45" s="9" t="n">
        <x:f>Model_Data!B45-Inputs!$C$5</x:f>
        <x:v>1.6469444444444434</x:v>
      </x:c>
      <x:c r="X45" s="10" t="n"/>
      <x:c r="Y45" s="9" t="n">
        <x:f>Model_Data!A45</x:f>
        <x:v>-38.5</x:v>
      </x:c>
      <x:c r="Z45" s="9" t="n">
        <x:f>0</x:f>
        <x:v>0</x:v>
      </x:c>
      <x:c r="AA45" s="9" t="n">
        <x:f>((SQRT((Inputs!$C$52+Inputs!$C$5)^2+Inputs!$C$52^2-2*(Inputs!$C$52+Inputs!$C$5)*Inputs!$C$52*COS(SQRT((Model_Data!A45)^2+Inputs!$C$6^2)/Inputs!$C$52))-Inputs!$C$5)*1000/Inputs!$C$12)</x:f>
        <x:v>1851.2947416406298</x:v>
      </x:c>
      <x:c r="AB45" s="9" t="n">
        <x:f>Model_Data!F45</x:f>
        <x:v>1845.3075605229446</x:v>
      </x:c>
    </x:row>
    <x:row r="46">
      <x:c r="A46" s="9" t="n">
        <x:f>Model_Data!A46</x:f>
        <x:v>-38</x:v>
      </x:c>
      <x:c r="B46" s="9" t="n">
        <x:f>0</x:f>
        <x:v>0</x:v>
      </x:c>
      <x:c r="C46" s="9" t="n">
        <x:f>((SQRT((Inputs!$C$52+Inputs!$C$5)^2+Inputs!$C$52^2-2*(Inputs!$C$52+Inputs!$C$5)*Inputs!$C$52*COS(SQRT((Model_Data!A46)^2+Inputs!$C$6^2)/Inputs!$C$52))-Inputs!$C$5)*1000/Inputs!$C$12)</x:f>
        <x:v>1817.8279292902807</x:v>
      </x:c>
      <x:c r="D46" s="9" t="n">
        <x:f>Model_Data!F46</x:f>
        <x:v>1812.0991397334715</x:v>
      </x:c>
      <x:c r="E46" s="9" t="n">
        <x:f>Model_Data!AC46</x:f>
        <x:v>1687.3472838363</x:v>
      </x:c>
      <x:c r="F46" s="10" t="n"/>
      <x:c r="G46" s="9" t="n">
        <x:f>Model_Data!A46</x:f>
        <x:v>-38</x:v>
      </x:c>
      <x:c r="H46" s="9" t="n">
        <x:f>Model_Data!Y46</x:f>
        <x:v>202.93658014849487</x:v>
      </x:c>
      <x:c r="I46" s="9" t="n">
        <x:f>Model_Data!Y46</x:f>
        <x:v>202.93658014849487</x:v>
      </x:c>
      <x:c r="J46" s="9" t="n">
        <x:f>Model_Data!X46</x:f>
        <x:v>-21.15737906152213</x:v>
      </x:c>
      <x:c r="K46" s="9" t="n">
        <x:f>Model_Data!A46</x:f>
        <x:v>-38</x:v>
      </x:c>
      <x:c r="L46" s="9" t="n">
        <x:f>Model_Data!Y46</x:f>
        <x:v>202.93658014849487</x:v>
      </x:c>
      <x:c r="M46" s="9" t="n">
        <x:f>Model_Data!X46</x:f>
        <x:v>-21.15737906152213</x:v>
      </x:c>
      <x:c r="N46" s="9" t="n">
        <x:f>-(Model_Data!AC46-Model_Data!F46)*Inputs!$C$12</x:f>
        <x:v>222.05830349696524</x:v>
      </x:c>
      <x:c r="O46" s="10" t="n"/>
      <x:c r="P46" s="9" t="n">
        <x:f>Model_Data!A46</x:f>
        <x:v>-38</x:v>
      </x:c>
      <x:c r="Q46" s="9" t="n">
        <x:f>Model_Data!P46</x:f>
        <x:v>323.0591935966004</x:v>
      </x:c>
      <x:c r="R46" s="9" t="n">
        <x:f>Model_Data!AM46</x:f>
        <x:v>366.83142083111306</x:v>
      </x:c>
      <x:c r="S46" s="9" t="n">
        <x:f>Model_Data!Q46</x:f>
        <x:v>48.507386425915975</x:v>
      </x:c>
      <x:c r="T46" s="9" t="n">
        <x:f>Model_Data!AN46</x:f>
        <x:v>55.07979291758455</x:v>
      </x:c>
      <x:c r="U46" s="10" t="n"/>
      <x:c r="V46" s="9" t="n">
        <x:f>Model_Data!A46</x:f>
        <x:v>-38</x:v>
      </x:c>
      <x:c r="W46" s="9" t="n">
        <x:f>Model_Data!B46-Inputs!$C$5</x:f>
        <x:v>1.6044444444444252</x:v>
      </x:c>
      <x:c r="X46" s="10" t="n"/>
      <x:c r="Y46" s="9" t="n">
        <x:f>Model_Data!A46</x:f>
        <x:v>-38</x:v>
      </x:c>
      <x:c r="Z46" s="9" t="n">
        <x:f>0</x:f>
        <x:v>0</x:v>
      </x:c>
      <x:c r="AA46" s="9" t="n">
        <x:f>((SQRT((Inputs!$C$52+Inputs!$C$5)^2+Inputs!$C$52^2-2*(Inputs!$C$52+Inputs!$C$5)*Inputs!$C$52*COS(SQRT((Model_Data!A46)^2+Inputs!$C$6^2)/Inputs!$C$52))-Inputs!$C$5)*1000/Inputs!$C$12)</x:f>
        <x:v>1817.8279292902807</x:v>
      </x:c>
      <x:c r="AB46" s="9" t="n">
        <x:f>Model_Data!F46</x:f>
        <x:v>1812.0991397334715</x:v>
      </x:c>
    </x:row>
    <x:row r="47">
      <x:c r="A47" s="9" t="n">
        <x:f>Model_Data!A47</x:f>
        <x:v>-37.5</x:v>
      </x:c>
      <x:c r="B47" s="9" t="n">
        <x:f>0</x:f>
        <x:v>0</x:v>
      </x:c>
      <x:c r="C47" s="9" t="n">
        <x:f>((SQRT((Inputs!$C$52+Inputs!$C$5)^2+Inputs!$C$52^2-2*(Inputs!$C$52+Inputs!$C$5)*Inputs!$C$52*COS(SQRT((Model_Data!A47)^2+Inputs!$C$6^2)/Inputs!$C$52))-Inputs!$C$5)*1000/Inputs!$C$12)</x:f>
        <x:v>1784.7936574050277</x:v>
      </x:c>
      <x:c r="D47" s="9" t="n">
        <x:f>Model_Data!F47</x:f>
        <x:v>1779.3145540322525</x:v>
      </x:c>
      <x:c r="E47" s="9" t="n">
        <x:f>Model_Data!AC47</x:f>
        <x:v>1635.7617595487268</x:v>
      </x:c>
      <x:c r="F47" s="10" t="n"/>
      <x:c r="G47" s="9" t="n">
        <x:f>Model_Data!A47</x:f>
        <x:v>-37.5</x:v>
      </x:c>
      <x:c r="H47" s="9" t="n">
        <x:f>Model_Data!Y47</x:f>
        <x:v>239.1871485288169</x:v>
      </x:c>
      <x:c r="I47" s="9" t="n">
        <x:f>Model_Data!Y47</x:f>
        <x:v>239.1871485288169</x:v>
      </x:c>
      <x:c r="J47" s="9" t="n">
        <x:f>Model_Data!X47</x:f>
        <x:v>-18.69341167436205</x:v>
      </x:c>
      <x:c r="K47" s="9" t="n">
        <x:f>Model_Data!A47</x:f>
        <x:v>-37.5</x:v>
      </x:c>
      <x:c r="L47" s="9" t="n">
        <x:f>Model_Data!Y47</x:f>
        <x:v>239.1871485288169</x:v>
      </x:c>
      <x:c r="M47" s="9" t="n">
        <x:f>Model_Data!X47</x:f>
        <x:v>-18.69341167436205</x:v>
      </x:c>
      <x:c r="N47" s="9" t="n">
        <x:f>-(Model_Data!AC47-Model_Data!F47)*Inputs!$C$12</x:f>
        <x:v>255.52397418067585</x:v>
      </x:c>
      <x:c r="O47" s="10" t="n"/>
      <x:c r="P47" s="9" t="n">
        <x:f>Model_Data!A47</x:f>
        <x:v>-37.5</x:v>
      </x:c>
      <x:c r="Q47" s="9" t="n">
        <x:f>Model_Data!P47</x:f>
        <x:v>318.8661186490208</x:v>
      </x:c>
      <x:c r="R47" s="9" t="n">
        <x:f>Model_Data!AM47</x:f>
        <x:v>371.67029926577015</x:v>
      </x:c>
      <x:c r="S47" s="9" t="n">
        <x:f>Model_Data!Q47</x:f>
        <x:v>47.87779559294607</x:v>
      </x:c>
      <x:c r="T47" s="9" t="n">
        <x:f>Model_Data!AN47</x:f>
        <x:v>55.80635124110663</x:v>
      </x:c>
      <x:c r="U47" s="10" t="n"/>
      <x:c r="V47" s="9" t="n">
        <x:f>Model_Data!A47</x:f>
        <x:v>-37.5</x:v>
      </x:c>
      <x:c r="W47" s="9" t="n">
        <x:f>Model_Data!B47-Inputs!$C$5</x:f>
        <x:v>1.5625</x:v>
      </x:c>
      <x:c r="X47" s="10" t="n"/>
      <x:c r="Y47" s="9" t="n">
        <x:f>Model_Data!A47</x:f>
        <x:v>-37.5</x:v>
      </x:c>
      <x:c r="Z47" s="9" t="n">
        <x:f>0</x:f>
        <x:v>0</x:v>
      </x:c>
      <x:c r="AA47" s="9" t="n">
        <x:f>((SQRT((Inputs!$C$52+Inputs!$C$5)^2+Inputs!$C$52^2-2*(Inputs!$C$52+Inputs!$C$5)*Inputs!$C$52*COS(SQRT((Model_Data!A47)^2+Inputs!$C$6^2)/Inputs!$C$52))-Inputs!$C$5)*1000/Inputs!$C$12)</x:f>
        <x:v>1784.7936574050277</x:v>
      </x:c>
      <x:c r="AB47" s="9" t="n">
        <x:f>Model_Data!F47</x:f>
        <x:v>1779.3145540322525</x:v>
      </x:c>
    </x:row>
    <x:row r="48">
      <x:c r="A48" s="9" t="n">
        <x:f>Model_Data!A48</x:f>
        <x:v>-37</x:v>
      </x:c>
      <x:c r="B48" s="9" t="n">
        <x:f>0</x:f>
        <x:v>0</x:v>
      </x:c>
      <x:c r="C48" s="9" t="n">
        <x:f>((SQRT((Inputs!$C$52+Inputs!$C$5)^2+Inputs!$C$52^2-2*(Inputs!$C$52+Inputs!$C$5)*Inputs!$C$52*COS(SQRT((Model_Data!A48)^2+Inputs!$C$6^2)/Inputs!$C$52))-Inputs!$C$5)*1000/Inputs!$C$12)</x:f>
        <x:v>1752.1921186527331</x:v>
      </x:c>
      <x:c r="D48" s="9" t="n">
        <x:f>Model_Data!F48</x:f>
        <x:v>1746.9542010692446</x:v>
      </x:c>
      <x:c r="E48" s="9" t="n">
        <x:f>Model_Data!AC48</x:f>
        <x:v>1601.0321785376766</x:v>
      </x:c>
      <x:c r="F48" s="10" t="n"/>
      <x:c r="G48" s="9" t="n">
        <x:f>Model_Data!A48</x:f>
        <x:v>-37</x:v>
      </x:c>
      <x:c r="H48" s="9" t="n">
        <x:f>Model_Data!Y48</x:f>
        <x:v>236.18872035541293</x:v>
      </x:c>
      <x:c r="I48" s="9" t="n">
        <x:f>Model_Data!Y48</x:f>
        <x:v>236.18872035541293</x:v>
      </x:c>
      <x:c r="J48" s="9" t="n">
        <x:f>Model_Data!X48</x:f>
        <x:v>-25.83766278531854</x:v>
      </x:c>
      <x:c r="K48" s="9" t="n">
        <x:f>Model_Data!A48</x:f>
        <x:v>-37</x:v>
      </x:c>
      <x:c r="L48" s="9" t="n">
        <x:f>Model_Data!Y48</x:f>
        <x:v>236.18872035541293</x:v>
      </x:c>
      <x:c r="M48" s="9" t="n">
        <x:f>Model_Data!X48</x:f>
        <x:v>-25.83766278531854</x:v>
      </x:c>
      <x:c r="N48" s="9" t="n">
        <x:f>-(Model_Data!AC48-Model_Data!F48)*Inputs!$C$12</x:f>
        <x:v>259.74120010619106</x:v>
      </x:c>
      <x:c r="O48" s="10" t="n"/>
      <x:c r="P48" s="9" t="n">
        <x:f>Model_Data!A48</x:f>
        <x:v>-37</x:v>
      </x:c>
      <x:c r="Q48" s="9" t="n">
        <x:f>Model_Data!P48</x:f>
        <x:v>314.6707923143367</x:v>
      </x:c>
      <x:c r="R48" s="9" t="n">
        <x:f>Model_Data!AM48</x:f>
        <x:v>355.48139120546693</x:v>
      </x:c>
      <x:c r="S48" s="9" t="n">
        <x:f>Model_Data!Q48</x:f>
        <x:v>47.247866713864376</x:v>
      </x:c>
      <x:c r="T48" s="9" t="n">
        <x:f>Model_Data!AN48</x:f>
        <x:v>53.37558426508513</x:v>
      </x:c>
      <x:c r="U48" s="10" t="n"/>
      <x:c r="V48" s="9" t="n">
        <x:f>Model_Data!A48</x:f>
        <x:v>-37</x:v>
      </x:c>
      <x:c r="W48" s="9" t="n">
        <x:f>Model_Data!B48-Inputs!$C$5</x:f>
        <x:v>1.5211111111111109</x:v>
      </x:c>
      <x:c r="X48" s="10" t="n"/>
      <x:c r="Y48" s="9" t="n">
        <x:f>Model_Data!A48</x:f>
        <x:v>-37</x:v>
      </x:c>
      <x:c r="Z48" s="9" t="n">
        <x:f>0</x:f>
        <x:v>0</x:v>
      </x:c>
      <x:c r="AA48" s="9" t="n">
        <x:f>((SQRT((Inputs!$C$52+Inputs!$C$5)^2+Inputs!$C$52^2-2*(Inputs!$C$52+Inputs!$C$5)*Inputs!$C$52*COS(SQRT((Model_Data!A48)^2+Inputs!$C$6^2)/Inputs!$C$52))-Inputs!$C$5)*1000/Inputs!$C$12)</x:f>
        <x:v>1752.1921186527331</x:v>
      </x:c>
      <x:c r="AB48" s="9" t="n">
        <x:f>Model_Data!F48</x:f>
        <x:v>1746.9542010692446</x:v>
      </x:c>
    </x:row>
    <x:row r="49">
      <x:c r="A49" s="9" t="n">
        <x:f>Model_Data!A49</x:f>
        <x:v>-36.5</x:v>
      </x:c>
      <x:c r="B49" s="9" t="n">
        <x:f>0</x:f>
        <x:v>0</x:v>
      </x:c>
      <x:c r="C49" s="9" t="n">
        <x:f>((SQRT((Inputs!$C$52+Inputs!$C$5)^2+Inputs!$C$52^2-2*(Inputs!$C$52+Inputs!$C$5)*Inputs!$C$52*COS(SQRT((Model_Data!A49)^2+Inputs!$C$6^2)/Inputs!$C$52))-Inputs!$C$5)*1000/Inputs!$C$12)</x:f>
        <x:v>1720.0235032886708</x:v>
      </x:c>
      <x:c r="D49" s="9" t="n">
        <x:f>Model_Data!F49</x:f>
        <x:v>1715.0184737096579</x:v>
      </x:c>
      <x:c r="E49" s="9" t="n">
        <x:f>Model_Data!AC49</x:f>
        <x:v>1555.532393857713</x:v>
      </x:c>
      <x:c r="F49" s="10" t="n"/>
      <x:c r="G49" s="9" t="n">
        <x:f>Model_Data!A49</x:f>
        <x:v>-36.5</x:v>
      </x:c>
      <x:c r="H49" s="9" t="n">
        <x:f>Model_Data!Y49</x:f>
        <x:v>264.8535608975177</x:v>
      </x:c>
      <x:c r="I49" s="9" t="n">
        <x:f>Model_Data!Y49</x:f>
        <x:v>264.8535608975177</x:v>
      </x:c>
      <x:c r="J49" s="9" t="n">
        <x:f>Model_Data!X49</x:f>
        <x:v>-21.548035323184823</x:v>
      </x:c>
      <x:c r="K49" s="9" t="n">
        <x:f>Model_Data!A49</x:f>
        <x:v>-36.5</x:v>
      </x:c>
      <x:c r="L49" s="9" t="n">
        <x:f>Model_Data!Y49</x:f>
        <x:v>264.8535608975177</x:v>
      </x:c>
      <x:c r="M49" s="9" t="n">
        <x:f>Model_Data!X49</x:f>
        <x:v>-21.548035323184823</x:v>
      </x:c>
      <x:c r="N49" s="9" t="n">
        <x:f>-(Model_Data!AC49-Model_Data!F49)*Inputs!$C$12</x:f>
        <x:v>283.88522213646183</x:v>
      </x:c>
      <x:c r="O49" s="10" t="n"/>
      <x:c r="P49" s="9" t="n">
        <x:f>Model_Data!A49</x:f>
        <x:v>-36.5</x:v>
      </x:c>
      <x:c r="Q49" s="9" t="n">
        <x:f>Model_Data!P49</x:f>
        <x:v>310.4732418857566</x:v>
      </x:c>
      <x:c r="R49" s="9" t="n">
        <x:f>Model_Data!AM49</x:f>
        <x:v>369.34297482257534</x:v>
      </x:c>
      <x:c r="S49" s="9" t="n">
        <x:f>Model_Data!Q49</x:f>
        <x:v>46.61760388675024</x:v>
      </x:c>
      <x:c r="T49" s="9" t="n">
        <x:f>Model_Data!AN49</x:f>
        <x:v>55.45690312651282</x:v>
      </x:c>
      <x:c r="U49" s="10" t="n"/>
      <x:c r="V49" s="9" t="n">
        <x:f>Model_Data!A49</x:f>
        <x:v>-36.5</x:v>
      </x:c>
      <x:c r="W49" s="9" t="n">
        <x:f>Model_Data!B49-Inputs!$C$5</x:f>
        <x:v>1.4802777777777578</x:v>
      </x:c>
      <x:c r="X49" s="10" t="n"/>
      <x:c r="Y49" s="9" t="n">
        <x:f>Model_Data!A49</x:f>
        <x:v>-36.5</x:v>
      </x:c>
      <x:c r="Z49" s="9" t="n">
        <x:f>0</x:f>
        <x:v>0</x:v>
      </x:c>
      <x:c r="AA49" s="9" t="n">
        <x:f>((SQRT((Inputs!$C$52+Inputs!$C$5)^2+Inputs!$C$52^2-2*(Inputs!$C$52+Inputs!$C$5)*Inputs!$C$52*COS(SQRT((Model_Data!A49)^2+Inputs!$C$6^2)/Inputs!$C$52))-Inputs!$C$5)*1000/Inputs!$C$12)</x:f>
        <x:v>1720.0235032886708</x:v>
      </x:c>
      <x:c r="AB49" s="9" t="n">
        <x:f>Model_Data!F49</x:f>
        <x:v>1715.0184737096579</x:v>
      </x:c>
    </x:row>
    <x:row r="50">
      <x:c r="A50" s="9" t="n">
        <x:f>Model_Data!A50</x:f>
        <x:v>-36</x:v>
      </x:c>
      <x:c r="B50" s="9" t="n">
        <x:f>0</x:f>
        <x:v>0</x:v>
      </x:c>
      <x:c r="C50" s="9" t="n">
        <x:f>((SQRT((Inputs!$C$52+Inputs!$C$5)^2+Inputs!$C$52^2-2*(Inputs!$C$52+Inputs!$C$5)*Inputs!$C$52*COS(SQRT((Model_Data!A50)^2+Inputs!$C$6^2)/Inputs!$C$52))-Inputs!$C$5)*1000/Inputs!$C$12)</x:f>
        <x:v>1688.2879991473199</x:v>
      </x:c>
      <x:c r="D50" s="9" t="n">
        <x:f>Model_Data!F50</x:f>
        <x:v>1683.507760020096</x:v>
      </x:c>
      <x:c r="E50" s="9" t="n">
        <x:f>Model_Data!AC50</x:f>
        <x:v>1530.1460843949208</x:v>
      </x:c>
      <x:c r="F50" s="10" t="n"/>
      <x:c r="G50" s="9" t="n">
        <x:f>Model_Data!A50</x:f>
        <x:v>-36</x:v>
      </x:c>
      <x:c r="H50" s="9" t="n">
        <x:f>Model_Data!Y50</x:f>
        <x:v>273.24610443212225</x:v>
      </x:c>
      <x:c r="I50" s="9" t="n">
        <x:f>Model_Data!Y50</x:f>
        <x:v>273.24610443212225</x:v>
      </x:c>
      <x:c r="J50" s="9" t="n">
        <x:f>Model_Data!X50</x:f>
        <x:v>-2.286662206392558</x:v>
      </x:c>
      <x:c r="K50" s="9" t="n">
        <x:f>Model_Data!A50</x:f>
        <x:v>-36</x:v>
      </x:c>
      <x:c r="L50" s="9" t="n">
        <x:f>Model_Data!Y50</x:f>
        <x:v>273.24610443212225</x:v>
      </x:c>
      <x:c r="M50" s="9" t="n">
        <x:f>Model_Data!X50</x:f>
        <x:v>-2.286662206392558</x:v>
      </x:c>
      <x:c r="N50" s="9" t="n">
        <x:f>-(Model_Data!AC50-Model_Data!F50)*Inputs!$C$12</x:f>
        <x:v>272.9837826128118</x:v>
      </x:c>
      <x:c r="O50" s="10" t="n"/>
      <x:c r="P50" s="9" t="n">
        <x:f>Model_Data!A50</x:f>
        <x:v>-36</x:v>
      </x:c>
      <x:c r="Q50" s="9" t="n">
        <x:f>Model_Data!P50</x:f>
        <x:v>306.2734947710851</x:v>
      </x:c>
      <x:c r="R50" s="9" t="n">
        <x:f>Model_Data!AM50</x:f>
        <x:v>338.2824754723515</x:v>
      </x:c>
      <x:c r="S50" s="9" t="n">
        <x:f>Model_Data!Q50</x:f>
        <x:v>45.987011226889656</x:v>
      </x:c>
      <x:c r="T50" s="9" t="n">
        <x:f>Model_Data!AN50</x:f>
        <x:v>50.79316448533807</x:v>
      </x:c>
      <x:c r="U50" s="10" t="n"/>
      <x:c r="V50" s="9" t="n">
        <x:f>Model_Data!A50</x:f>
        <x:v>-36</x:v>
      </x:c>
      <x:c r="W50" s="9" t="n">
        <x:f>Model_Data!B50-Inputs!$C$5</x:f>
        <x:v>1.4399999999999977</x:v>
      </x:c>
      <x:c r="X50" s="10" t="n"/>
      <x:c r="Y50" s="9" t="n">
        <x:f>Model_Data!A50</x:f>
        <x:v>-36</x:v>
      </x:c>
      <x:c r="Z50" s="9" t="n">
        <x:f>0</x:f>
        <x:v>0</x:v>
      </x:c>
      <x:c r="AA50" s="9" t="n">
        <x:f>((SQRT((Inputs!$C$52+Inputs!$C$5)^2+Inputs!$C$52^2-2*(Inputs!$C$52+Inputs!$C$5)*Inputs!$C$52*COS(SQRT((Model_Data!A50)^2+Inputs!$C$6^2)/Inputs!$C$52))-Inputs!$C$5)*1000/Inputs!$C$12)</x:f>
        <x:v>1688.2879991473199</x:v>
      </x:c>
      <x:c r="AB50" s="9" t="n">
        <x:f>Model_Data!F50</x:f>
        <x:v>1683.507760020096</x:v>
      </x:c>
    </x:row>
    <x:row r="51">
      <x:c r="A51" s="9" t="n">
        <x:f>Model_Data!A51</x:f>
        <x:v>-35.5</x:v>
      </x:c>
      <x:c r="B51" s="9" t="n">
        <x:f>0</x:f>
        <x:v>0</x:v>
      </x:c>
      <x:c r="C51" s="9" t="n">
        <x:f>((SQRT((Inputs!$C$52+Inputs!$C$5)^2+Inputs!$C$52^2-2*(Inputs!$C$52+Inputs!$C$5)*Inputs!$C$52*COS(SQRT((Model_Data!A51)^2+Inputs!$C$6^2)/Inputs!$C$52))-Inputs!$C$5)*1000/Inputs!$C$12)</x:f>
        <x:v>1656.9857916385645</x:v>
      </x:c>
      <x:c r="D51" s="9" t="n">
        <x:f>Model_Data!F51</x:f>
        <x:v>1652.4224432422736</x:v>
      </x:c>
      <x:c r="E51" s="9" t="n">
        <x:f>Model_Data!AC51</x:f>
        <x:v>1493.4467288531112</x:v>
      </x:c>
      <x:c r="F51" s="10" t="n"/>
      <x:c r="G51" s="9" t="n">
        <x:f>Model_Data!A51</x:f>
        <x:v>-35.5</x:v>
      </x:c>
      <x:c r="H51" s="9" t="n">
        <x:f>Model_Data!Y51</x:f>
        <x:v>284.9525044867838</x:v>
      </x:c>
      <x:c r="I51" s="9" t="n">
        <x:f>Model_Data!Y51</x:f>
        <x:v>284.9525044867838</x:v>
      </x:c>
      <x:c r="J51" s="9" t="n">
        <x:f>Model_Data!X51</x:f>
        <x:v>-0.6339718611461809</x:v>
      </x:c>
      <x:c r="K51" s="9" t="n">
        <x:f>Model_Data!A51</x:f>
        <x:v>-35.5</x:v>
      </x:c>
      <x:c r="L51" s="9" t="n">
        <x:f>Model_Data!Y51</x:f>
        <x:v>284.9525044867838</x:v>
      </x:c>
      <x:c r="M51" s="9" t="n">
        <x:f>Model_Data!X51</x:f>
        <x:v>-0.6339718611461809</x:v>
      </x:c>
      <x:c r="N51" s="9" t="n">
        <x:f>-(Model_Data!AC51-Model_Data!F51)*Inputs!$C$12</x:f>
        <x:v>282.97677161270923</x:v>
      </x:c>
      <x:c r="O51" s="10" t="n"/>
      <x:c r="P51" s="9" t="n">
        <x:f>Model_Data!A51</x:f>
        <x:v>-35.5</x:v>
      </x:c>
      <x:c r="Q51" s="9" t="n">
        <x:f>Model_Data!P51</x:f>
        <x:v>302.0715784808999</x:v>
      </x:c>
      <x:c r="R51" s="9" t="n">
        <x:f>Model_Data!AM51</x:f>
        <x:v>314.05984233133495</x:v>
      </x:c>
      <x:c r="S51" s="9" t="n">
        <x:f>Model_Data!Q51</x:f>
        <x:v>45.356092864999994</x:v>
      </x:c>
      <x:c r="T51" s="9" t="n">
        <x:f>Model_Data!AN51</x:f>
        <x:v>47.15613248218243</x:v>
      </x:c>
      <x:c r="U51" s="10" t="n"/>
      <x:c r="V51" s="9" t="n">
        <x:f>Model_Data!A51</x:f>
        <x:v>-35.5</x:v>
      </x:c>
      <x:c r="W51" s="9" t="n">
        <x:f>Model_Data!B51-Inputs!$C$5</x:f>
        <x:v>1.4002777777777737</x:v>
      </x:c>
      <x:c r="X51" s="10" t="n"/>
      <x:c r="Y51" s="9" t="n">
        <x:f>Model_Data!A51</x:f>
        <x:v>-35.5</x:v>
      </x:c>
      <x:c r="Z51" s="9" t="n">
        <x:f>0</x:f>
        <x:v>0</x:v>
      </x:c>
      <x:c r="AA51" s="9" t="n">
        <x:f>((SQRT((Inputs!$C$52+Inputs!$C$5)^2+Inputs!$C$52^2-2*(Inputs!$C$52+Inputs!$C$5)*Inputs!$C$52*COS(SQRT((Model_Data!A51)^2+Inputs!$C$6^2)/Inputs!$C$52))-Inputs!$C$5)*1000/Inputs!$C$12)</x:f>
        <x:v>1656.9857916385645</x:v>
      </x:c>
      <x:c r="AB51" s="9" t="n">
        <x:f>Model_Data!F51</x:f>
        <x:v>1652.4224432422736</x:v>
      </x:c>
    </x:row>
    <x:row r="52">
      <x:c r="A52" s="9" t="n">
        <x:f>Model_Data!A52</x:f>
        <x:v>-35</x:v>
      </x:c>
      <x:c r="B52" s="9" t="n">
        <x:f>0</x:f>
        <x:v>0</x:v>
      </x:c>
      <x:c r="C52" s="9" t="n">
        <x:f>((SQRT((Inputs!$C$52+Inputs!$C$5)^2+Inputs!$C$52^2-2*(Inputs!$C$52+Inputs!$C$5)*Inputs!$C$52*COS(SQRT((Model_Data!A52)^2+Inputs!$C$6^2)/Inputs!$C$52))-Inputs!$C$5)*1000/Inputs!$C$12)</x:f>
        <x:v>1626.1170637436685</x:v>
      </x:c>
      <x:c r="D52" s="9" t="n">
        <x:f>Model_Data!F52</x:f>
        <x:v>1621.7629017832137</x:v>
      </x:c>
      <x:c r="E52" s="9" t="n">
        <x:f>Model_Data!AC52</x:f>
        <x:v>1460.022275353615</x:v>
      </x:c>
      <x:c r="F52" s="10" t="n"/>
      <x:c r="G52" s="9" t="n">
        <x:f>Model_Data!A52</x:f>
        <x:v>-35</x:v>
      </x:c>
      <x:c r="H52" s="9" t="n">
        <x:f>Model_Data!Y52</x:f>
        <x:v>280.71344003946786</x:v>
      </x:c>
      <x:c r="I52" s="9" t="n">
        <x:f>Model_Data!Y52</x:f>
        <x:v>280.71344003946786</x:v>
      </x:c>
      <x:c r="J52" s="9" t="n">
        <x:f>Model_Data!X52</x:f>
        <x:v>-9.708529731781153</x:v>
      </x:c>
      <x:c r="K52" s="9" t="n">
        <x:f>Model_Data!A52</x:f>
        <x:v>-35</x:v>
      </x:c>
      <x:c r="L52" s="9" t="n">
        <x:f>Model_Data!Y52</x:f>
        <x:v>280.71344003946786</x:v>
      </x:c>
      <x:c r="M52" s="9" t="n">
        <x:f>Model_Data!X52</x:f>
        <x:v>-9.708529731781153</x:v>
      </x:c>
      <x:c r="N52" s="9" t="n">
        <x:f>-(Model_Data!AC52-Model_Data!F52)*Inputs!$C$12</x:f>
        <x:v>287.8983150446857</x:v>
      </x:c>
      <x:c r="O52" s="10" t="n"/>
      <x:c r="P52" s="9" t="n">
        <x:f>Model_Data!A52</x:f>
        <x:v>-35</x:v>
      </x:c>
      <x:c r="Q52" s="9" t="n">
        <x:f>Model_Data!P52</x:f>
        <x:v>297.8675206210937</x:v>
      </x:c>
      <x:c r="R52" s="9" t="n">
        <x:f>Model_Data!AM52</x:f>
        <x:v>347.75645538547906</x:v>
      </x:c>
      <x:c r="S52" s="9" t="n">
        <x:f>Model_Data!Q52</x:f>
        <x:v>44.72485294611017</x:v>
      </x:c>
      <x:c r="T52" s="9" t="n">
        <x:f>Model_Data!AN52</x:f>
        <x:v>52.21568399181368</x:v>
      </x:c>
      <x:c r="U52" s="10" t="n"/>
      <x:c r="V52" s="9" t="n">
        <x:f>Model_Data!A52</x:f>
        <x:v>-35</x:v>
      </x:c>
      <x:c r="W52" s="9" t="n">
        <x:f>Model_Data!B52-Inputs!$C$5</x:f>
        <x:v>1.3611111111110858</x:v>
      </x:c>
      <x:c r="X52" s="10" t="n"/>
      <x:c r="Y52" s="9" t="n">
        <x:f>Model_Data!A52</x:f>
        <x:v>-35</x:v>
      </x:c>
      <x:c r="Z52" s="9" t="n">
        <x:f>0</x:f>
        <x:v>0</x:v>
      </x:c>
      <x:c r="AA52" s="9" t="n">
        <x:f>((SQRT((Inputs!$C$52+Inputs!$C$5)^2+Inputs!$C$52^2-2*(Inputs!$C$52+Inputs!$C$5)*Inputs!$C$52*COS(SQRT((Model_Data!A52)^2+Inputs!$C$6^2)/Inputs!$C$52))-Inputs!$C$5)*1000/Inputs!$C$12)</x:f>
        <x:v>1626.1170637436685</x:v>
      </x:c>
      <x:c r="AB52" s="9" t="n">
        <x:f>Model_Data!F52</x:f>
        <x:v>1621.7629017832137</x:v>
      </x:c>
    </x:row>
    <x:row r="53">
      <x:c r="A53" s="9" t="n">
        <x:f>Model_Data!A53</x:f>
        <x:v>-34.5</x:v>
      </x:c>
      <x:c r="B53" s="9" t="n">
        <x:f>0</x:f>
        <x:v>0</x:v>
      </x:c>
      <x:c r="C53" s="9" t="n">
        <x:f>((SQRT((Inputs!$C$52+Inputs!$C$5)^2+Inputs!$C$52^2-2*(Inputs!$C$52+Inputs!$C$5)*Inputs!$C$52*COS(SQRT((Model_Data!A53)^2+Inputs!$C$6^2)/Inputs!$C$52))-Inputs!$C$5)*1000/Inputs!$C$12)</x:f>
        <x:v>1595.6819960061448</x:v>
      </x:c>
      <x:c r="D53" s="9" t="n">
        <x:f>Model_Data!F53</x:f>
        <x:v>1591.5295091914868</x:v>
      </x:c>
      <x:c r="E53" s="9" t="n">
        <x:f>Model_Data!AC53</x:f>
        <x:v>1409.8536469408293</x:v>
      </x:c>
      <x:c r="F53" s="10" t="n"/>
      <x:c r="G53" s="9" t="n">
        <x:f>Model_Data!A53</x:f>
        <x:v>-34.5</x:v>
      </x:c>
      <x:c r="H53" s="9" t="n">
        <x:f>Model_Data!Y53</x:f>
        <x:v>316.314878049505</x:v>
      </x:c>
      <x:c r="I53" s="9" t="n">
        <x:f>Model_Data!Y53</x:f>
        <x:v>316.314878049505</x:v>
      </x:c>
      <x:c r="J53" s="9" t="n">
        <x:f>Model_Data!X53</x:f>
        <x:v>-9.85965082687293</x:v>
      </x:c>
      <x:c r="K53" s="9" t="n">
        <x:f>Model_Data!A53</x:f>
        <x:v>-34.5</x:v>
      </x:c>
      <x:c r="L53" s="9" t="n">
        <x:f>Model_Data!Y53</x:f>
        <x:v>316.314878049505</x:v>
      </x:c>
      <x:c r="M53" s="9" t="n">
        <x:f>Model_Data!X53</x:f>
        <x:v>-9.85965082687293</x:v>
      </x:c>
      <x:c r="N53" s="9" t="n">
        <x:f>-(Model_Data!AC53-Model_Data!F53)*Inputs!$C$12</x:f>
        <x:v>323.3830348061703</x:v>
      </x:c>
      <x:c r="O53" s="10" t="n"/>
      <x:c r="P53" s="9" t="n">
        <x:f>Model_Data!A53</x:f>
        <x:v>-34.5</x:v>
      </x:c>
      <x:c r="Q53" s="9" t="n">
        <x:f>Model_Data!P53</x:f>
        <x:v>293.66134891224647</x:v>
      </x:c>
      <x:c r="R53" s="9" t="n">
        <x:f>Model_Data!AM53</x:f>
        <x:v>355.1955134131276</x:v>
      </x:c>
      <x:c r="S53" s="9" t="n">
        <x:f>Model_Data!Q53</x:f>
        <x:v>44.09329563246944</x:v>
      </x:c>
      <x:c r="T53" s="9" t="n">
        <x:f>Model_Data!AN53</x:f>
        <x:v>53.33265967164079</x:v>
      </x:c>
      <x:c r="U53" s="10" t="n"/>
      <x:c r="V53" s="9" t="n">
        <x:f>Model_Data!A53</x:f>
        <x:v>-34.5</x:v>
      </x:c>
      <x:c r="W53" s="9" t="n">
        <x:f>Model_Data!B53-Inputs!$C$5</x:f>
        <x:v>1.322499999999991</x:v>
      </x:c>
      <x:c r="X53" s="10" t="n"/>
      <x:c r="Y53" s="9" t="n">
        <x:f>Model_Data!A53</x:f>
        <x:v>-34.5</x:v>
      </x:c>
      <x:c r="Z53" s="9" t="n">
        <x:f>0</x:f>
        <x:v>0</x:v>
      </x:c>
      <x:c r="AA53" s="9" t="n">
        <x:f>((SQRT((Inputs!$C$52+Inputs!$C$5)^2+Inputs!$C$52^2-2*(Inputs!$C$52+Inputs!$C$5)*Inputs!$C$52*COS(SQRT((Model_Data!A53)^2+Inputs!$C$6^2)/Inputs!$C$52))-Inputs!$C$5)*1000/Inputs!$C$12)</x:f>
        <x:v>1595.6819960061448</x:v>
      </x:c>
      <x:c r="AB53" s="9" t="n">
        <x:f>Model_Data!F53</x:f>
        <x:v>1591.5295091914868</x:v>
      </x:c>
    </x:row>
    <x:row r="54">
      <x:c r="A54" s="9" t="n">
        <x:f>Model_Data!A54</x:f>
        <x:v>-34</x:v>
      </x:c>
      <x:c r="B54" s="9" t="n">
        <x:f>0</x:f>
        <x:v>0</x:v>
      </x:c>
      <x:c r="C54" s="9" t="n">
        <x:f>((SQRT((Inputs!$C$52+Inputs!$C$5)^2+Inputs!$C$52^2-2*(Inputs!$C$52+Inputs!$C$5)*Inputs!$C$52*COS(SQRT((Model_Data!A54)^2+Inputs!$C$6^2)/Inputs!$C$52))-Inputs!$C$5)*1000/Inputs!$C$12)</x:f>
        <x:v>1565.6807665318488</x:v>
      </x:c>
      <x:c r="D54" s="9" t="n">
        <x:f>Model_Data!F54</x:f>
        <x:v>1561.7226341407977</x:v>
      </x:c>
      <x:c r="E54" s="9" t="n">
        <x:f>Model_Data!AC54</x:f>
        <x:v>1383.9611627288964</x:v>
      </x:c>
      <x:c r="F54" s="10" t="n"/>
      <x:c r="G54" s="9" t="n">
        <x:f>Model_Data!A54</x:f>
        <x:v>-34</x:v>
      </x:c>
      <x:c r="H54" s="9" t="n">
        <x:f>Model_Data!Y54</x:f>
        <x:v>319.4152549266823</x:v>
      </x:c>
      <x:c r="I54" s="9" t="n">
        <x:f>Model_Data!Y54</x:f>
        <x:v>319.4152549266823</x:v>
      </x:c>
      <x:c r="J54" s="9" t="n">
        <x:f>Model_Data!X54</x:f>
        <x:v>0.233219012771956</x:v>
      </x:c>
      <x:c r="K54" s="9" t="n">
        <x:f>Model_Data!A54</x:f>
        <x:v>-34</x:v>
      </x:c>
      <x:c r="L54" s="9" t="n">
        <x:f>Model_Data!Y54</x:f>
        <x:v>319.4152549266823</x:v>
      </x:c>
      <x:c r="M54" s="9" t="n">
        <x:f>Model_Data!X54</x:f>
        <x:v>0.233219012771956</x:v>
      </x:c>
      <x:c r="N54" s="9" t="n">
        <x:f>-(Model_Data!AC54-Model_Data!F54)*Inputs!$C$12</x:f>
        <x:v>316.4154191131843</x:v>
      </x:c>
      <x:c r="O54" s="10" t="n"/>
      <x:c r="P54" s="9" t="n">
        <x:f>Model_Data!A54</x:f>
        <x:v>-34</x:v>
      </x:c>
      <x:c r="Q54" s="9" t="n">
        <x:f>Model_Data!P54</x:f>
        <x:v>289.4530911666152</x:v>
      </x:c>
      <x:c r="R54" s="9" t="n">
        <x:f>Model_Data!AM54</x:f>
        <x:v>308.8603249510925</x:v>
      </x:c>
      <x:c r="S54" s="9" t="n">
        <x:f>Model_Data!Q54</x:f>
        <x:v>43.46142510009238</x:v>
      </x:c>
      <x:c r="T54" s="9" t="n">
        <x:f>Model_Data!AN54</x:f>
        <x:v>46.375424166830705</x:v>
      </x:c>
      <x:c r="U54" s="10" t="n"/>
      <x:c r="V54" s="9" t="n">
        <x:f>Model_Data!A54</x:f>
        <x:v>-34</x:v>
      </x:c>
      <x:c r="W54" s="9" t="n">
        <x:f>Model_Data!B54-Inputs!$C$5</x:f>
        <x:v>1.284444444444432</x:v>
      </x:c>
      <x:c r="X54" s="10" t="n"/>
      <x:c r="Y54" s="9" t="n">
        <x:f>Model_Data!A54</x:f>
        <x:v>-34</x:v>
      </x:c>
      <x:c r="Z54" s="9" t="n">
        <x:f>0</x:f>
        <x:v>0</x:v>
      </x:c>
      <x:c r="AA54" s="9" t="n">
        <x:f>((SQRT((Inputs!$C$52+Inputs!$C$5)^2+Inputs!$C$52^2-2*(Inputs!$C$52+Inputs!$C$5)*Inputs!$C$52*COS(SQRT((Model_Data!A54)^2+Inputs!$C$6^2)/Inputs!$C$52))-Inputs!$C$5)*1000/Inputs!$C$12)</x:f>
        <x:v>1565.6807665318488</x:v>
      </x:c>
      <x:c r="AB54" s="9" t="n">
        <x:f>Model_Data!F54</x:f>
        <x:v>1561.7226341407977</x:v>
      </x:c>
    </x:row>
    <x:row r="55">
      <x:c r="A55" s="9" t="n">
        <x:f>Model_Data!A55</x:f>
        <x:v>-33.5</x:v>
      </x:c>
      <x:c r="B55" s="9" t="n">
        <x:f>0</x:f>
        <x:v>0</x:v>
      </x:c>
      <x:c r="C55" s="9" t="n">
        <x:f>((SQRT((Inputs!$C$52+Inputs!$C$5)^2+Inputs!$C$52^2-2*(Inputs!$C$52+Inputs!$C$5)*Inputs!$C$52*COS(SQRT((Model_Data!A55)^2+Inputs!$C$6^2)/Inputs!$C$52))-Inputs!$C$5)*1000/Inputs!$C$12)</x:f>
        <x:v>1536.1135509787923</x:v>
      </x:c>
      <x:c r="D55" s="9" t="n">
        <x:f>Model_Data!F55</x:f>
        <x:v>1532.3426404141778</x:v>
      </x:c>
      <x:c r="E55" s="9" t="n">
        <x:f>Model_Data!AC55</x:f>
        <x:v>1354.166960904519</x:v>
      </x:c>
      <x:c r="F55" s="10" t="n"/>
      <x:c r="G55" s="9" t="n">
        <x:f>Model_Data!A55</x:f>
        <x:v>-33.5</x:v>
      </x:c>
      <x:c r="H55" s="9" t="n">
        <x:f>Model_Data!Y55</x:f>
        <x:v>328.4448057508986</x:v>
      </x:c>
      <x:c r="I55" s="9" t="n">
        <x:f>Model_Data!Y55</x:f>
        <x:v>328.4448057508986</x:v>
      </x:c>
      <x:c r="J55" s="9" t="n">
        <x:f>Model_Data!X55</x:f>
        <x:v>8.500195567439437</x:v>
      </x:c>
      <x:c r="K55" s="9" t="n">
        <x:f>Model_Data!A55</x:f>
        <x:v>-33.5</x:v>
      </x:c>
      <x:c r="L55" s="9" t="n">
        <x:f>Model_Data!Y55</x:f>
        <x:v>328.4448057508986</x:v>
      </x:c>
      <x:c r="M55" s="9" t="n">
        <x:f>Model_Data!X55</x:f>
        <x:v>8.500195567439437</x:v>
      </x:c>
      <x:c r="N55" s="9" t="n">
        <x:f>-(Model_Data!AC55-Model_Data!F55)*Inputs!$C$12</x:f>
        <x:v>317.15270952719254</x:v>
      </x:c>
      <x:c r="O55" s="10" t="n"/>
      <x:c r="P55" s="9" t="n">
        <x:f>Model_Data!A55</x:f>
        <x:v>-33.5</x:v>
      </x:c>
      <x:c r="Q55" s="9" t="n">
        <x:f>Model_Data!P55</x:f>
        <x:v>285.24277529395476</x:v>
      </x:c>
      <x:c r="R55" s="9" t="n">
        <x:f>Model_Data!AM55</x:f>
        <x:v>321.33106228302495</x:v>
      </x:c>
      <x:c r="S55" s="9" t="n">
        <x:f>Model_Data!Q55</x:f>
        <x:v>42.82924553963285</x:v>
      </x:c>
      <x:c r="T55" s="9" t="n">
        <x:f>Model_Data!AN55</x:f>
        <x:v>48.24790724970345</x:v>
      </x:c>
      <x:c r="U55" s="10" t="n"/>
      <x:c r="V55" s="9" t="n">
        <x:f>Model_Data!A55</x:f>
        <x:v>-33.5</x:v>
      </x:c>
      <x:c r="W55" s="9" t="n">
        <x:f>Model_Data!B55-Inputs!$C$5</x:f>
        <x:v>1.2469444444444662</x:v>
      </x:c>
      <x:c r="X55" s="10" t="n"/>
      <x:c r="Y55" s="9" t="n">
        <x:f>Model_Data!A55</x:f>
        <x:v>-33.5</x:v>
      </x:c>
      <x:c r="Z55" s="9" t="n">
        <x:f>0</x:f>
        <x:v>0</x:v>
      </x:c>
      <x:c r="AA55" s="9" t="n">
        <x:f>((SQRT((Inputs!$C$52+Inputs!$C$5)^2+Inputs!$C$52^2-2*(Inputs!$C$52+Inputs!$C$5)*Inputs!$C$52*COS(SQRT((Model_Data!A55)^2+Inputs!$C$6^2)/Inputs!$C$52))-Inputs!$C$5)*1000/Inputs!$C$12)</x:f>
        <x:v>1536.1135509787923</x:v>
      </x:c>
      <x:c r="AB55" s="9" t="n">
        <x:f>Model_Data!F55</x:f>
        <x:v>1532.3426404141778</x:v>
      </x:c>
    </x:row>
    <x:row r="56">
      <x:c r="A56" s="9" t="n">
        <x:f>Model_Data!A56</x:f>
        <x:v>-33</x:v>
      </x:c>
      <x:c r="B56" s="9" t="n">
        <x:f>0</x:f>
        <x:v>0</x:v>
      </x:c>
      <x:c r="C56" s="9" t="n">
        <x:f>((SQRT((Inputs!$C$52+Inputs!$C$5)^2+Inputs!$C$52^2-2*(Inputs!$C$52+Inputs!$C$5)*Inputs!$C$52*COS(SQRT((Model_Data!A56)^2+Inputs!$C$6^2)/Inputs!$C$52))-Inputs!$C$5)*1000/Inputs!$C$12)</x:f>
        <x:v>1506.9805225566647</x:v>
      </x:c>
      <x:c r="D56" s="9" t="n">
        <x:f>Model_Data!F56</x:f>
        <x:v>1503.3898868855904</x:v>
      </x:c>
      <x:c r="E56" s="9" t="n">
        <x:f>Model_Data!AC56</x:f>
        <x:v>1320.064693134566</x:v>
      </x:c>
      <x:c r="F56" s="10" t="n"/>
      <x:c r="G56" s="9" t="n">
        <x:f>Model_Data!A56</x:f>
        <x:v>-33</x:v>
      </x:c>
      <x:c r="H56" s="9" t="n">
        <x:f>Model_Data!Y56</x:f>
        <x:v>342.0571204684842</x:v>
      </x:c>
      <x:c r="I56" s="9" t="n">
        <x:f>Model_Data!Y56</x:f>
        <x:v>342.0571204684842</x:v>
      </x:c>
      <x:c r="J56" s="9" t="n">
        <x:f>Model_Data!X56</x:f>
        <x:v>12.884972617306985</x:v>
      </x:c>
      <x:c r="K56" s="9" t="n">
        <x:f>Model_Data!A56</x:f>
        <x:v>-33</x:v>
      </x:c>
      <x:c r="L56" s="9" t="n">
        <x:f>Model_Data!Y56</x:f>
        <x:v>342.0571204684842</x:v>
      </x:c>
      <x:c r="M56" s="9" t="n">
        <x:f>Model_Data!X56</x:f>
        <x:v>12.884972617306985</x:v>
      </x:c>
      <x:c r="N56" s="9" t="n">
        <x:f>-(Model_Data!AC56-Model_Data!F56)*Inputs!$C$12</x:f>
        <x:v>326.31884487682356</x:v>
      </x:c>
      <x:c r="O56" s="10" t="n"/>
      <x:c r="P56" s="9" t="n">
        <x:f>Model_Data!A56</x:f>
        <x:v>-33</x:v>
      </x:c>
      <x:c r="Q56" s="9" t="n">
        <x:f>Model_Data!P56</x:f>
        <x:v>281.0304293043373</x:v>
      </x:c>
      <x:c r="R56" s="9" t="n">
        <x:f>Model_Data!AM56</x:f>
        <x:v>316.859491910418</x:v>
      </x:c>
      <x:c r="S56" s="9" t="n">
        <x:f>Model_Data!Q56</x:f>
        <x:v>42.196761156807405</x:v>
      </x:c>
      <x:c r="T56" s="9" t="n">
        <x:f>Model_Data!AN56</x:f>
        <x:v>47.57650028684955</x:v>
      </x:c>
      <x:c r="U56" s="10" t="n"/>
      <x:c r="V56" s="9" t="n">
        <x:f>Model_Data!A56</x:f>
        <x:v>-33</x:v>
      </x:c>
      <x:c r="W56" s="9" t="n">
        <x:f>Model_Data!B56-Inputs!$C$5</x:f>
        <x:v>1.2099999999999795</x:v>
      </x:c>
      <x:c r="X56" s="10" t="n"/>
      <x:c r="Y56" s="9" t="n">
        <x:f>Model_Data!A56</x:f>
        <x:v>-33</x:v>
      </x:c>
      <x:c r="Z56" s="9" t="n">
        <x:f>0</x:f>
        <x:v>0</x:v>
      </x:c>
      <x:c r="AA56" s="9" t="n">
        <x:f>((SQRT((Inputs!$C$52+Inputs!$C$5)^2+Inputs!$C$52^2-2*(Inputs!$C$52+Inputs!$C$5)*Inputs!$C$52*COS(SQRT((Model_Data!A56)^2+Inputs!$C$6^2)/Inputs!$C$52))-Inputs!$C$5)*1000/Inputs!$C$12)</x:f>
        <x:v>1506.9805225566647</x:v>
      </x:c>
      <x:c r="AB56" s="9" t="n">
        <x:f>Model_Data!F56</x:f>
        <x:v>1503.3898868855904</x:v>
      </x:c>
    </x:row>
    <x:row r="57">
      <x:c r="A57" s="9" t="n">
        <x:f>Model_Data!A57</x:f>
        <x:v>-32.5</x:v>
      </x:c>
      <x:c r="B57" s="9" t="n">
        <x:f>0</x:f>
        <x:v>0</x:v>
      </x:c>
      <x:c r="C57" s="9" t="n">
        <x:f>((SQRT((Inputs!$C$52+Inputs!$C$5)^2+Inputs!$C$52^2-2*(Inputs!$C$52+Inputs!$C$5)*Inputs!$C$52*COS(SQRT((Model_Data!A57)^2+Inputs!$C$6^2)/Inputs!$C$52))-Inputs!$C$5)*1000/Inputs!$C$12)</x:f>
        <x:v>1478.281852017923</x:v>
      </x:c>
      <x:c r="D57" s="9" t="n">
        <x:f>Model_Data!F57</x:f>
        <x:v>1474.864727503037</x:v>
      </x:c>
      <x:c r="E57" s="9" t="n">
        <x:f>Model_Data!AC57</x:f>
        <x:v>1287.309018256957</x:v>
      </x:c>
      <x:c r="F57" s="10" t="n"/>
      <x:c r="G57" s="9" t="n">
        <x:f>Model_Data!A57</x:f>
        <x:v>-32.5</x:v>
      </x:c>
      <x:c r="H57" s="9" t="n">
        <x:f>Model_Data!Y57</x:f>
        <x:v>350.9183412247295</x:v>
      </x:c>
      <x:c r="I57" s="9" t="n">
        <x:f>Model_Data!Y57</x:f>
        <x:v>350.9183412247295</x:v>
      </x:c>
      <x:c r="J57" s="9" t="n">
        <x:f>Model_Data!X57</x:f>
        <x:v>14.196906765365963</x:v>
      </x:c>
      <x:c r="K57" s="9" t="n">
        <x:f>Model_Data!A57</x:f>
        <x:v>-32.5</x:v>
      </x:c>
      <x:c r="L57" s="9" t="n">
        <x:f>Model_Data!Y57</x:f>
        <x:v>350.9183412247295</x:v>
      </x:c>
      <x:c r="M57" s="9" t="n">
        <x:f>Model_Data!X57</x:f>
        <x:v>14.196906765365963</x:v>
      </x:c>
      <x:c r="N57" s="9" t="n">
        <x:f>-(Model_Data!AC57-Model_Data!F57)*Inputs!$C$12</x:f>
        <x:v>333.84916245802265</x:v>
      </x:c>
      <x:c r="O57" s="10" t="n"/>
      <x:c r="P57" s="9" t="n">
        <x:f>Model_Data!A57</x:f>
        <x:v>-32.5</x:v>
      </x:c>
      <x:c r="Q57" s="9" t="n">
        <x:f>Model_Data!P57</x:f>
        <x:v>276.81608131206303</x:v>
      </x:c>
      <x:c r="R57" s="9" t="n">
        <x:f>Model_Data!AM57</x:f>
        <x:v>275.1765872350006</x:v>
      </x:c>
      <x:c r="S57" s="9" t="n">
        <x:f>Model_Data!Q57</x:f>
        <x:v>41.56397617298244</x:v>
      </x:c>
      <x:c r="T57" s="9" t="n">
        <x:f>Model_Data!AN57</x:f>
        <x:v>41.31780589114124</x:v>
      </x:c>
      <x:c r="U57" s="10" t="n"/>
      <x:c r="V57" s="9" t="n">
        <x:f>Model_Data!A57</x:f>
        <x:v>-32.5</x:v>
      </x:c>
      <x:c r="W57" s="9" t="n">
        <x:f>Model_Data!B57-Inputs!$C$5</x:f>
        <x:v>1.1736111111110858</x:v>
      </x:c>
      <x:c r="X57" s="10" t="n"/>
      <x:c r="Y57" s="9" t="n">
        <x:f>Model_Data!A57</x:f>
        <x:v>-32.5</x:v>
      </x:c>
      <x:c r="Z57" s="9" t="n">
        <x:f>0</x:f>
        <x:v>0</x:v>
      </x:c>
      <x:c r="AA57" s="9" t="n">
        <x:f>((SQRT((Inputs!$C$52+Inputs!$C$5)^2+Inputs!$C$52^2-2*(Inputs!$C$52+Inputs!$C$5)*Inputs!$C$52*COS(SQRT((Model_Data!A57)^2+Inputs!$C$6^2)/Inputs!$C$52))-Inputs!$C$5)*1000/Inputs!$C$12)</x:f>
        <x:v>1478.281852017923</x:v>
      </x:c>
      <x:c r="AB57" s="9" t="n">
        <x:f>Model_Data!F57</x:f>
        <x:v>1474.864727503037</x:v>
      </x:c>
    </x:row>
    <x:row r="58">
      <x:c r="A58" s="9" t="n">
        <x:f>Model_Data!A58</x:f>
        <x:v>-32</x:v>
      </x:c>
      <x:c r="B58" s="9" t="n">
        <x:f>0</x:f>
        <x:v>0</x:v>
      </x:c>
      <x:c r="C58" s="9" t="n">
        <x:f>((SQRT((Inputs!$C$52+Inputs!$C$5)^2+Inputs!$C$52^2-2*(Inputs!$C$52+Inputs!$C$5)*Inputs!$C$52*COS(SQRT((Model_Data!A58)^2+Inputs!$C$6^2)/Inputs!$C$52))-Inputs!$C$5)*1000/Inputs!$C$12)</x:f>
        <x:v>1450.017707656291</x:v>
      </x:c>
      <x:c r="D58" s="9" t="n">
        <x:f>Model_Data!F58</x:f>
        <x:v>1446.7675112688235</x:v>
      </x:c>
      <x:c r="E58" s="9" t="n">
        <x:f>Model_Data!AC58</x:f>
        <x:v>1259.9987994430683</x:v>
      </x:c>
      <x:c r="F58" s="10" t="n"/>
      <x:c r="G58" s="9" t="n">
        <x:f>Model_Data!A58</x:f>
        <x:v>-32</x:v>
      </x:c>
      <x:c r="H58" s="9" t="n">
        <x:f>Model_Data!Y58</x:f>
        <x:v>340.91681406553505</x:v>
      </x:c>
      <x:c r="I58" s="9" t="n">
        <x:f>Model_Data!Y58</x:f>
        <x:v>340.91681406553505</x:v>
      </x:c>
      <x:c r="J58" s="9" t="n">
        <x:f>Model_Data!X58</x:f>
        <x:v>5.730826646134426</x:v>
      </x:c>
      <x:c r="K58" s="9" t="n">
        <x:f>Model_Data!A58</x:f>
        <x:v>-32</x:v>
      </x:c>
      <x:c r="L58" s="9" t="n">
        <x:f>Model_Data!Y58</x:f>
        <x:v>340.91681406553505</x:v>
      </x:c>
      <x:c r="M58" s="9" t="n">
        <x:f>Model_Data!X58</x:f>
        <x:v>5.730826646134426</x:v>
      </x:c>
      <x:c r="N58" s="9" t="n">
        <x:f>-(Model_Data!AC58-Model_Data!F58)*Inputs!$C$12</x:f>
        <x:v>332.44830704984423</x:v>
      </x:c>
      <x:c r="O58" s="10" t="n"/>
      <x:c r="P58" s="9" t="n">
        <x:f>Model_Data!A58</x:f>
        <x:v>-32</x:v>
      </x:c>
      <x:c r="Q58" s="9" t="n">
        <x:f>Model_Data!P58</x:f>
        <x:v>272.599759519926</x:v>
      </x:c>
      <x:c r="R58" s="9" t="n">
        <x:f>Model_Data!AM58</x:f>
        <x:v>279.49268607053455</x:v>
      </x:c>
      <x:c r="S58" s="9" t="n">
        <x:f>Model_Data!Q58</x:f>
        <x:v>40.930894822811716</x:v>
      </x:c>
      <x:c r="T58" s="9" t="n">
        <x:f>Model_Data!AN58</x:f>
        <x:v>41.965868779359546</x:v>
      </x:c>
      <x:c r="U58" s="10" t="n"/>
      <x:c r="V58" s="9" t="n">
        <x:f>Model_Data!A58</x:f>
        <x:v>-32</x:v>
      </x:c>
      <x:c r="W58" s="9" t="n">
        <x:f>Model_Data!B58-Inputs!$C$5</x:f>
        <x:v>1.137777777777785</x:v>
      </x:c>
      <x:c r="X58" s="10" t="n"/>
      <x:c r="Y58" s="9" t="n">
        <x:f>Model_Data!A58</x:f>
        <x:v>-32</x:v>
      </x:c>
      <x:c r="Z58" s="9" t="n">
        <x:f>0</x:f>
        <x:v>0</x:v>
      </x:c>
      <x:c r="AA58" s="9" t="n">
        <x:f>((SQRT((Inputs!$C$52+Inputs!$C$5)^2+Inputs!$C$52^2-2*(Inputs!$C$52+Inputs!$C$5)*Inputs!$C$52*COS(SQRT((Model_Data!A58)^2+Inputs!$C$6^2)/Inputs!$C$52))-Inputs!$C$5)*1000/Inputs!$C$12)</x:f>
        <x:v>1450.017707656291</x:v>
      </x:c>
      <x:c r="AB58" s="9" t="n">
        <x:f>Model_Data!F58</x:f>
        <x:v>1446.7675112688235</x:v>
      </x:c>
    </x:row>
    <x:row r="59">
      <x:c r="A59" s="9" t="n">
        <x:f>Model_Data!A59</x:f>
        <x:v>-31.5</x:v>
      </x:c>
      <x:c r="B59" s="9" t="n">
        <x:f>0</x:f>
        <x:v>0</x:v>
      </x:c>
      <x:c r="C59" s="9" t="n">
        <x:f>((SQRT((Inputs!$C$52+Inputs!$C$5)^2+Inputs!$C$52^2-2*(Inputs!$C$52+Inputs!$C$5)*Inputs!$C$52*COS(SQRT((Model_Data!A59)^2+Inputs!$C$6^2)/Inputs!$C$52))-Inputs!$C$5)*1000/Inputs!$C$12)</x:f>
        <x:v>1422.1882553000517</x:v>
      </x:c>
      <x:c r="D59" s="9" t="n">
        <x:f>Model_Data!F59</x:f>
        <x:v>1419.0985822283808</x:v>
      </x:c>
      <x:c r="E59" s="9" t="n">
        <x:f>Model_Data!AC59</x:f>
        <x:v>1226.3691826767422</x:v>
      </x:c>
      <x:c r="F59" s="10" t="n"/>
      <x:c r="G59" s="9" t="n">
        <x:f>Model_Data!A59</x:f>
        <x:v>-31.5</x:v>
      </x:c>
      <x:c r="H59" s="9" t="n">
        <x:f>Model_Data!Y59</x:f>
        <x:v>355.15219987006986</x:v>
      </x:c>
      <x:c r="I59" s="9" t="n">
        <x:f>Model_Data!Y59</x:f>
        <x:v>355.15219987006986</x:v>
      </x:c>
      <x:c r="J59" s="9" t="n">
        <x:f>Model_Data!X59</x:f>
        <x:v>9.295817115602365</x:v>
      </x:c>
      <x:c r="K59" s="9" t="n">
        <x:f>Model_Data!A59</x:f>
        <x:v>-31.5</x:v>
      </x:c>
      <x:c r="L59" s="9" t="n">
        <x:f>Model_Data!Y59</x:f>
        <x:v>355.15219987006986</x:v>
      </x:c>
      <x:c r="M59" s="9" t="n">
        <x:f>Model_Data!X59</x:f>
        <x:v>9.295817115602365</x:v>
      </x:c>
      <x:c r="N59" s="9" t="n">
        <x:f>-(Model_Data!AC59-Model_Data!F59)*Inputs!$C$12</x:f>
        <x:v>343.0583312019167</x:v>
      </x:c>
      <x:c r="O59" s="10" t="n"/>
      <x:c r="P59" s="9" t="n">
        <x:f>Model_Data!A59</x:f>
        <x:v>-31.5</x:v>
      </x:c>
      <x:c r="Q59" s="9" t="n">
        <x:f>Model_Data!P59</x:f>
        <x:v>268.38149222203356</x:v>
      </x:c>
      <x:c r="R59" s="9" t="n">
        <x:f>Model_Data!AM59</x:f>
        <x:v>288.14417854828207</x:v>
      </x:c>
      <x:c r="S59" s="9" t="n">
        <x:f>Model_Data!Q59</x:f>
        <x:v>40.29752135465969</x:v>
      </x:c>
      <x:c r="T59" s="9" t="n">
        <x:f>Model_Data!AN59</x:f>
        <x:v>43.26489167391623</x:v>
      </x:c>
      <x:c r="U59" s="10" t="n"/>
      <x:c r="V59" s="9" t="n">
        <x:f>Model_Data!A59</x:f>
        <x:v>-31.5</x:v>
      </x:c>
      <x:c r="W59" s="9" t="n">
        <x:f>Model_Data!B59-Inputs!$C$5</x:f>
        <x:v>1.1025000000000205</x:v>
      </x:c>
      <x:c r="X59" s="10" t="n"/>
      <x:c r="Y59" s="9" t="n">
        <x:f>Model_Data!A59</x:f>
        <x:v>-31.5</x:v>
      </x:c>
      <x:c r="Z59" s="9" t="n">
        <x:f>0</x:f>
        <x:v>0</x:v>
      </x:c>
      <x:c r="AA59" s="9" t="n">
        <x:f>((SQRT((Inputs!$C$52+Inputs!$C$5)^2+Inputs!$C$52^2-2*(Inputs!$C$52+Inputs!$C$5)*Inputs!$C$52*COS(SQRT((Model_Data!A59)^2+Inputs!$C$6^2)/Inputs!$C$52))-Inputs!$C$5)*1000/Inputs!$C$12)</x:f>
        <x:v>1422.1882553000517</x:v>
      </x:c>
      <x:c r="AB59" s="9" t="n">
        <x:f>Model_Data!F59</x:f>
        <x:v>1419.0985822283808</x:v>
      </x:c>
    </x:row>
    <x:row r="60">
      <x:c r="A60" s="9" t="n">
        <x:f>Model_Data!A60</x:f>
        <x:v>-31</x:v>
      </x:c>
      <x:c r="B60" s="9" t="n">
        <x:f>0</x:f>
        <x:v>0</x:v>
      </x:c>
      <x:c r="C60" s="9" t="n">
        <x:f>((SQRT((Inputs!$C$52+Inputs!$C$5)^2+Inputs!$C$52^2-2*(Inputs!$C$52+Inputs!$C$5)*Inputs!$C$52*COS(SQRT((Model_Data!A60)^2+Inputs!$C$6^2)/Inputs!$C$52))-Inputs!$C$5)*1000/Inputs!$C$12)</x:f>
        <x:v>1394.7936583071323</x:v>
      </x:c>
      <x:c r="D60" s="9" t="n">
        <x:f>Model_Data!F60</x:f>
        <x:v>1391.8582794492854</x:v>
      </x:c>
      <x:c r="E60" s="9" t="n">
        <x:f>Model_Data!AC60</x:f>
        <x:v>1187.5209787047736</x:v>
      </x:c>
      <x:c r="F60" s="10" t="n"/>
      <x:c r="G60" s="9" t="n">
        <x:f>Model_Data!A60</x:f>
        <x:v>-31</x:v>
      </x:c>
      <x:c r="H60" s="9" t="n">
        <x:f>Model_Data!Y60</x:f>
        <x:v>353.2610093246909</x:v>
      </x:c>
      <x:c r="I60" s="9" t="n">
        <x:f>Model_Data!Y60</x:f>
        <x:v>353.2610093246909</x:v>
      </x:c>
      <x:c r="J60" s="9" t="n">
        <x:f>Model_Data!X60</x:f>
        <x:v>-13.189582675327635</x:v>
      </x:c>
      <x:c r="K60" s="9" t="n">
        <x:f>Model_Data!A60</x:f>
        <x:v>-31</x:v>
      </x:c>
      <x:c r="L60" s="9" t="n">
        <x:f>Model_Data!Y60</x:f>
        <x:v>353.2610093246909</x:v>
      </x:c>
      <x:c r="M60" s="9" t="n">
        <x:f>Model_Data!X60</x:f>
        <x:v>-13.189582675327635</x:v>
      </x:c>
      <x:c r="N60" s="9" t="n">
        <x:f>-(Model_Data!AC60-Model_Data!F60)*Inputs!$C$12</x:f>
        <x:v>363.72039532523104</x:v>
      </x:c>
      <x:c r="O60" s="10" t="n"/>
      <x:c r="P60" s="9" t="n">
        <x:f>Model_Data!A60</x:f>
        <x:v>-31</x:v>
      </x:c>
      <x:c r="Q60" s="9" t="n">
        <x:f>Model_Data!P60</x:f>
        <x:v>264.16130781663014</x:v>
      </x:c>
      <x:c r="R60" s="9" t="n">
        <x:f>Model_Data!AM60</x:f>
        <x:v>238.13849277175905</x:v>
      </x:c>
      <x:c r="S60" s="9" t="n">
        <x:f>Model_Data!Q60</x:f>
        <x:v>39.663860032527054</x:v>
      </x:c>
      <x:c r="T60" s="9" t="n">
        <x:f>Model_Data!AN60</x:f>
        <x:v>35.75653044621007</x:v>
      </x:c>
      <x:c r="U60" s="10" t="n"/>
      <x:c r="V60" s="9" t="n">
        <x:f>Model_Data!A60</x:f>
        <x:v>-31</x:v>
      </x:c>
      <x:c r="W60" s="9" t="n">
        <x:f>Model_Data!B60-Inputs!$C$5</x:f>
        <x:v>1.067777777777792</x:v>
      </x:c>
      <x:c r="X60" s="10" t="n"/>
      <x:c r="Y60" s="9" t="n">
        <x:f>Model_Data!A60</x:f>
        <x:v>-31</x:v>
      </x:c>
      <x:c r="Z60" s="9" t="n">
        <x:f>0</x:f>
        <x:v>0</x:v>
      </x:c>
      <x:c r="AA60" s="9" t="n">
        <x:f>((SQRT((Inputs!$C$52+Inputs!$C$5)^2+Inputs!$C$52^2-2*(Inputs!$C$52+Inputs!$C$5)*Inputs!$C$52*COS(SQRT((Model_Data!A60)^2+Inputs!$C$6^2)/Inputs!$C$52))-Inputs!$C$5)*1000/Inputs!$C$12)</x:f>
        <x:v>1394.7936583071323</x:v>
      </x:c>
      <x:c r="AB60" s="9" t="n">
        <x:f>Model_Data!F60</x:f>
        <x:v>1391.8582794492854</x:v>
      </x:c>
    </x:row>
    <x:row r="61">
      <x:c r="A61" s="9" t="n">
        <x:f>Model_Data!A61</x:f>
        <x:v>-30.5</x:v>
      </x:c>
      <x:c r="B61" s="9" t="n">
        <x:f>0</x:f>
        <x:v>0</x:v>
      </x:c>
      <x:c r="C61" s="9" t="n">
        <x:f>((SQRT((Inputs!$C$52+Inputs!$C$5)^2+Inputs!$C$52^2-2*(Inputs!$C$52+Inputs!$C$5)*Inputs!$C$52*COS(SQRT((Model_Data!A61)^2+Inputs!$C$6^2)/Inputs!$C$52))-Inputs!$C$5)*1000/Inputs!$C$12)</x:f>
        <x:v>1367.8340775619401</x:v>
      </x:c>
      <x:c r="D61" s="9" t="n">
        <x:f>Model_Data!F61</x:f>
        <x:v>1365.0469370056433</x:v>
      </x:c>
      <x:c r="E61" s="9" t="n">
        <x:f>Model_Data!AC61</x:f>
        <x:v>1172.0372701785657</x:v>
      </x:c>
      <x:c r="F61" s="10" t="n"/>
      <x:c r="G61" s="9" t="n">
        <x:f>Model_Data!A61</x:f>
        <x:v>-30.5</x:v>
      </x:c>
      <x:c r="H61" s="9" t="n">
        <x:f>Model_Data!Y61</x:f>
        <x:v>338.6571544092517</x:v>
      </x:c>
      <x:c r="I61" s="9" t="n">
        <x:f>Model_Data!Y61</x:f>
        <x:v>338.6571544092517</x:v>
      </x:c>
      <x:c r="J61" s="9" t="n">
        <x:f>Model_Data!X61</x:f>
        <x:v>-7.467318037700602</x:v>
      </x:c>
      <x:c r="K61" s="9" t="n">
        <x:f>Model_Data!A61</x:f>
        <x:v>-30.5</x:v>
      </x:c>
      <x:c r="L61" s="9" t="n">
        <x:f>Model_Data!Y61</x:f>
        <x:v>338.6571544092517</x:v>
      </x:c>
      <x:c r="M61" s="9" t="n">
        <x:f>Model_Data!X61</x:f>
        <x:v>-7.467318037700602</x:v>
      </x:c>
      <x:c r="N61" s="9" t="n">
        <x:f>-(Model_Data!AC61-Model_Data!F61)*Inputs!$C$12</x:f>
        <x:v>343.5572069521981</x:v>
      </x:c>
      <x:c r="O61" s="10" t="n"/>
      <x:c r="P61" s="9" t="n">
        <x:f>Model_Data!A61</x:f>
        <x:v>-30.5</x:v>
      </x:c>
      <x:c r="Q61" s="9" t="n">
        <x:f>Model_Data!P61</x:f>
        <x:v>259.939234788817</x:v>
      </x:c>
      <x:c r="R61" s="9" t="n">
        <x:f>Model_Data!AM61</x:f>
        <x:v>234.24333788807417</x:v>
      </x:c>
      <x:c r="S61" s="9" t="n">
        <x:f>Model_Data!Q61</x:f>
        <x:v>39.02991513345601</x:v>
      </x:c>
      <x:c r="T61" s="9" t="n">
        <x:f>Model_Data!AN61</x:f>
        <x:v>35.17167235556669</x:v>
      </x:c>
      <x:c r="U61" s="10" t="n"/>
      <x:c r="V61" s="9" t="n">
        <x:f>Model_Data!A61</x:f>
        <x:v>-30.5</x:v>
      </x:c>
      <x:c r="W61" s="9" t="n">
        <x:f>Model_Data!B61-Inputs!$C$5</x:f>
        <x:v>1.0336111111110995</x:v>
      </x:c>
      <x:c r="X61" s="10" t="n"/>
      <x:c r="Y61" s="9" t="n">
        <x:f>Model_Data!A61</x:f>
        <x:v>-30.5</x:v>
      </x:c>
      <x:c r="Z61" s="9" t="n">
        <x:f>0</x:f>
        <x:v>0</x:v>
      </x:c>
      <x:c r="AA61" s="9" t="n">
        <x:f>((SQRT((Inputs!$C$52+Inputs!$C$5)^2+Inputs!$C$52^2-2*(Inputs!$C$52+Inputs!$C$5)*Inputs!$C$52*COS(SQRT((Model_Data!A61)^2+Inputs!$C$6^2)/Inputs!$C$52))-Inputs!$C$5)*1000/Inputs!$C$12)</x:f>
        <x:v>1367.8340775619401</x:v>
      </x:c>
      <x:c r="AB61" s="9" t="n">
        <x:f>Model_Data!F61</x:f>
        <x:v>1365.0469370056433</x:v>
      </x:c>
    </x:row>
    <x:row r="62">
      <x:c r="A62" s="9" t="n">
        <x:f>Model_Data!A62</x:f>
        <x:v>-30</x:v>
      </x:c>
      <x:c r="B62" s="9" t="n">
        <x:f>0</x:f>
        <x:v>0</x:v>
      </x:c>
      <x:c r="C62" s="9" t="n">
        <x:f>((SQRT((Inputs!$C$52+Inputs!$C$5)^2+Inputs!$C$52^2-2*(Inputs!$C$52+Inputs!$C$5)*Inputs!$C$52*COS(SQRT((Model_Data!A62)^2+Inputs!$C$6^2)/Inputs!$C$52))-Inputs!$C$5)*1000/Inputs!$C$12)</x:f>
        <x:v>1341.3096714700305</x:v>
      </x:c>
      <x:c r="D62" s="9" t="n">
        <x:f>Model_Data!F62</x:f>
        <x:v>1338.6648839632076</x:v>
      </x:c>
      <x:c r="E62" s="9" t="n">
        <x:f>Model_Data!AC62</x:f>
        <x:v>1140.9183160302812</x:v>
      </x:c>
      <x:c r="F62" s="10" t="n"/>
      <x:c r="G62" s="9" t="n">
        <x:f>Model_Data!A62</x:f>
        <x:v>-30</x:v>
      </x:c>
      <x:c r="H62" s="9" t="n">
        <x:f>Model_Data!Y62</x:f>
        <x:v>336.97644838088075</x:v>
      </x:c>
      <x:c r="I62" s="9" t="n">
        <x:f>Model_Data!Y62</x:f>
        <x:v>336.97644838088075</x:v>
      </x:c>
      <x:c r="J62" s="9" t="n">
        <x:f>Model_Data!X62</x:f>
        <x:v>-17.51801383367469</x:v>
      </x:c>
      <x:c r="K62" s="9" t="n">
        <x:f>Model_Data!A62</x:f>
        <x:v>-30</x:v>
      </x:c>
      <x:c r="L62" s="9" t="n">
        <x:f>Model_Data!Y62</x:f>
        <x:v>336.97644838088075</x:v>
      </x:c>
      <x:c r="M62" s="9" t="n">
        <x:f>Model_Data!X62</x:f>
        <x:v>-17.51801383367469</x:v>
      </x:c>
      <x:c r="N62" s="9" t="n">
        <x:f>-(Model_Data!AC62-Model_Data!F62)*Inputs!$C$12</x:f>
        <x:v>351.988890920609</x:v>
      </x:c>
      <x:c r="O62" s="10" t="n"/>
      <x:c r="P62" s="9" t="n">
        <x:f>Model_Data!A62</x:f>
        <x:v>-30</x:v>
      </x:c>
      <x:c r="Q62" s="9" t="n">
        <x:f>Model_Data!P62</x:f>
        <x:v>255.71530170509504</x:v>
      </x:c>
      <x:c r="R62" s="9" t="n">
        <x:f>Model_Data!AM62</x:f>
        <x:v>236.16063340596156</x:v>
      </x:c>
      <x:c r="S62" s="9" t="n">
        <x:f>Model_Data!Q62</x:f>
        <x:v>38.39569094671097</x:v>
      </x:c>
      <x:c r="T62" s="9" t="n">
        <x:f>Model_Data!AN62</x:f>
        <x:v>35.4595545654597</x:v>
      </x:c>
      <x:c r="U62" s="10" t="n"/>
      <x:c r="V62" s="9" t="n">
        <x:f>Model_Data!A62</x:f>
        <x:v>-30</x:v>
      </x:c>
      <x:c r="W62" s="9" t="n">
        <x:f>Model_Data!B62-Inputs!$C$5</x:f>
        <x:v>1</x:v>
      </x:c>
      <x:c r="X62" s="10" t="n"/>
      <x:c r="Y62" s="9" t="n">
        <x:f>Model_Data!A62</x:f>
        <x:v>-30</x:v>
      </x:c>
      <x:c r="Z62" s="9" t="n">
        <x:f>0</x:f>
        <x:v>0</x:v>
      </x:c>
      <x:c r="AA62" s="9" t="n">
        <x:f>((SQRT((Inputs!$C$52+Inputs!$C$5)^2+Inputs!$C$52^2-2*(Inputs!$C$52+Inputs!$C$5)*Inputs!$C$52*COS(SQRT((Model_Data!A62)^2+Inputs!$C$6^2)/Inputs!$C$52))-Inputs!$C$5)*1000/Inputs!$C$12)</x:f>
        <x:v>1341.3096714700305</x:v>
      </x:c>
      <x:c r="AB62" s="9" t="n">
        <x:f>Model_Data!F62</x:f>
        <x:v>1338.6648839632076</x:v>
      </x:c>
    </x:row>
    <x:row r="63">
      <x:c r="A63" s="9" t="n">
        <x:f>Model_Data!A63</x:f>
        <x:v>-29.5</x:v>
      </x:c>
      <x:c r="B63" s="9" t="n">
        <x:f>0</x:f>
        <x:v>0</x:v>
      </x:c>
      <x:c r="C63" s="9" t="n">
        <x:f>((SQRT((Inputs!$C$52+Inputs!$C$5)^2+Inputs!$C$52^2-2*(Inputs!$C$52+Inputs!$C$5)*Inputs!$C$52*COS(SQRT((Model_Data!A63)^2+Inputs!$C$6^2)/Inputs!$C$52))-Inputs!$C$5)*1000/Inputs!$C$12)</x:f>
        <x:v>1315.2205959528692</x:v>
      </x:c>
      <x:c r="D63" s="9" t="n">
        <x:f>Model_Data!F63</x:f>
        <x:v>1312.7124443657435</x:v>
      </x:c>
      <x:c r="E63" s="9" t="n">
        <x:f>Model_Data!AC63</x:f>
        <x:v>1110.444972722315</x:v>
      </x:c>
      <x:c r="F63" s="10" t="n"/>
      <x:c r="G63" s="9" t="n">
        <x:f>Model_Data!A63</x:f>
        <x:v>-29.5</x:v>
      </x:c>
      <x:c r="H63" s="9" t="n">
        <x:f>Model_Data!Y63</x:f>
        <x:v>326.24732503276135</x:v>
      </x:c>
      <x:c r="I63" s="9" t="n">
        <x:f>Model_Data!Y63</x:f>
        <x:v>326.24732503276135</x:v>
      </x:c>
      <x:c r="J63" s="9" t="n">
        <x:f>Model_Data!X63</x:f>
        <x:v>-36.167878297776255</x:v>
      </x:c>
      <x:c r="K63" s="9" t="n">
        <x:f>Model_Data!A63</x:f>
        <x:v>-29.5</x:v>
      </x:c>
      <x:c r="L63" s="9" t="n">
        <x:f>Model_Data!Y63</x:f>
        <x:v>326.24732503276135</x:v>
      </x:c>
      <x:c r="M63" s="9" t="n">
        <x:f>Model_Data!X63</x:f>
        <x:v>-36.167878297776255</x:v>
      </x:c>
      <x:c r="N63" s="9" t="n">
        <x:f>-(Model_Data!AC63-Model_Data!F63)*Inputs!$C$12</x:f>
        <x:v>360.03609952530275</x:v>
      </x:c>
      <x:c r="O63" s="10" t="n"/>
      <x:c r="P63" s="9" t="n">
        <x:f>Model_Data!A63</x:f>
        <x:v>-29.5</x:v>
      </x:c>
      <x:c r="Q63" s="9" t="n">
        <x:f>Model_Data!P63</x:f>
        <x:v>251.4895372385581</x:v>
      </x:c>
      <x:c r="R63" s="9" t="n">
        <x:f>Model_Data!AM63</x:f>
        <x:v>243.54226020022907</x:v>
      </x:c>
      <x:c r="S63" s="9" t="n">
        <x:f>Model_Data!Q63</x:f>
        <x:v>37.76119177756128</x:v>
      </x:c>
      <x:c r="T63" s="9" t="n">
        <x:f>Model_Data!AN63</x:f>
        <x:v>36.56790693697133</x:v>
      </x:c>
      <x:c r="U63" s="10" t="n"/>
      <x:c r="V63" s="9" t="n">
        <x:f>Model_Data!A63</x:f>
        <x:v>-29.5</x:v>
      </x:c>
      <x:c r="W63" s="9" t="n">
        <x:f>Model_Data!B63-Inputs!$C$5</x:f>
        <x:v>0.9669444444444366</x:v>
      </x:c>
      <x:c r="X63" s="10" t="n"/>
      <x:c r="Y63" s="9" t="n">
        <x:f>Model_Data!A63</x:f>
        <x:v>-29.5</x:v>
      </x:c>
      <x:c r="Z63" s="9" t="n">
        <x:f>0</x:f>
        <x:v>0</x:v>
      </x:c>
      <x:c r="AA63" s="9" t="n">
        <x:f>((SQRT((Inputs!$C$52+Inputs!$C$5)^2+Inputs!$C$52^2-2*(Inputs!$C$52+Inputs!$C$5)*Inputs!$C$52*COS(SQRT((Model_Data!A63)^2+Inputs!$C$6^2)/Inputs!$C$52))-Inputs!$C$5)*1000/Inputs!$C$12)</x:f>
        <x:v>1315.2205959528692</x:v>
      </x:c>
      <x:c r="AB63" s="9" t="n">
        <x:f>Model_Data!F63</x:f>
        <x:v>1312.7124443657435</x:v>
      </x:c>
    </x:row>
    <x:row r="64">
      <x:c r="A64" s="9" t="n">
        <x:f>Model_Data!A64</x:f>
        <x:v>-29</x:v>
      </x:c>
      <x:c r="B64" s="9" t="n">
        <x:f>0</x:f>
        <x:v>0</x:v>
      </x:c>
      <x:c r="C64" s="9" t="n">
        <x:f>((SQRT((Inputs!$C$52+Inputs!$C$5)^2+Inputs!$C$52^2-2*(Inputs!$C$52+Inputs!$C$5)*Inputs!$C$52*COS(SQRT((Model_Data!A64)^2+Inputs!$C$6^2)/Inputs!$C$52))-Inputs!$C$5)*1000/Inputs!$C$12)</x:f>
        <x:v>1289.5670044428514</x:v>
      </x:c>
      <x:c r="D64" s="9" t="n">
        <x:f>Model_Data!F64</x:f>
        <x:v>1287.1899372112048</x:v>
      </x:c>
      <x:c r="E64" s="9" t="n">
        <x:f>Model_Data!AC64</x:f>
        <x:v>1089.2305828887531</x:v>
      </x:c>
      <x:c r="F64" s="10" t="n"/>
      <x:c r="G64" s="9" t="n">
        <x:f>Model_Data!A64</x:f>
        <x:v>-29</x:v>
      </x:c>
      <x:c r="H64" s="9" t="n">
        <x:f>Model_Data!Y64</x:f>
        <x:v>331.8773601232655</x:v>
      </x:c>
      <x:c r="I64" s="9" t="n">
        <x:f>Model_Data!Y64</x:f>
        <x:v>331.8773601232655</x:v>
      </x:c>
      <x:c r="J64" s="9" t="n">
        <x:f>Model_Data!X64</x:f>
        <x:v>-22.86382175599607</x:v>
      </x:c>
      <x:c r="K64" s="9" t="n">
        <x:f>Model_Data!A64</x:f>
        <x:v>-29</x:v>
      </x:c>
      <x:c r="L64" s="9" t="n">
        <x:f>Model_Data!Y64</x:f>
        <x:v>331.8773601232655</x:v>
      </x:c>
      <x:c r="M64" s="9" t="n">
        <x:f>Model_Data!X64</x:f>
        <x:v>-22.86382175599607</x:v>
      </x:c>
      <x:c r="N64" s="9" t="n">
        <x:f>-(Model_Data!AC64-Model_Data!F64)*Inputs!$C$12</x:f>
        <x:v>352.3676506939639</x:v>
      </x:c>
      <x:c r="O64" s="10" t="n"/>
      <x:c r="P64" s="9" t="n">
        <x:f>Model_Data!A64</x:f>
        <x:v>-29</x:v>
      </x:c>
      <x:c r="Q64" s="9" t="n">
        <x:f>Model_Data!P64</x:f>
        <x:v>247.26197014497302</x:v>
      </x:c>
      <x:c r="R64" s="9" t="n">
        <x:f>Model_Data!AM64</x:f>
        <x:v>221.97951412254042</x:v>
      </x:c>
      <x:c r="S64" s="9" t="n">
        <x:f>Model_Data!Q64</x:f>
        <x:v>37.12642194368964</x:v>
      </x:c>
      <x:c r="T64" s="9" t="n">
        <x:f>Model_Data!AN64</x:f>
        <x:v>33.33025737575682</x:v>
      </x:c>
      <x:c r="U64" s="10" t="n"/>
      <x:c r="V64" s="9" t="n">
        <x:f>Model_Data!A64</x:f>
        <x:v>-29</x:v>
      </x:c>
      <x:c r="W64" s="9" t="n">
        <x:f>Model_Data!B64-Inputs!$C$5</x:f>
        <x:v>0.9344444444444662</x:v>
      </x:c>
      <x:c r="X64" s="10" t="n"/>
      <x:c r="Y64" s="9" t="n">
        <x:f>Model_Data!A64</x:f>
        <x:v>-29</x:v>
      </x:c>
      <x:c r="Z64" s="9" t="n">
        <x:f>0</x:f>
        <x:v>0</x:v>
      </x:c>
      <x:c r="AA64" s="9" t="n">
        <x:f>((SQRT((Inputs!$C$52+Inputs!$C$5)^2+Inputs!$C$52^2-2*(Inputs!$C$52+Inputs!$C$5)*Inputs!$C$52*COS(SQRT((Model_Data!A64)^2+Inputs!$C$6^2)/Inputs!$C$52))-Inputs!$C$5)*1000/Inputs!$C$12)</x:f>
        <x:v>1289.5670044428514</x:v>
      </x:c>
      <x:c r="AB64" s="9" t="n">
        <x:f>Model_Data!F64</x:f>
        <x:v>1287.1899372112048</x:v>
      </x:c>
    </x:row>
    <x:row r="65">
      <x:c r="A65" s="9" t="n">
        <x:f>Model_Data!A65</x:f>
        <x:v>-28.5</x:v>
      </x:c>
      <x:c r="B65" s="9" t="n">
        <x:f>0</x:f>
        <x:v>0</x:v>
      </x:c>
      <x:c r="C65" s="9" t="n">
        <x:f>((SQRT((Inputs!$C$52+Inputs!$C$5)^2+Inputs!$C$52^2-2*(Inputs!$C$52+Inputs!$C$5)*Inputs!$C$52*COS(SQRT((Model_Data!A65)^2+Inputs!$C$6^2)/Inputs!$C$52))-Inputs!$C$5)*1000/Inputs!$C$12)</x:f>
        <x:v>1264.3490478827257</x:v>
      </x:c>
      <x:c r="D65" s="9" t="n">
        <x:f>Model_Data!F65</x:f>
        <x:v>1262.09767644656</x:v>
      </x:c>
      <x:c r="E65" s="9" t="n">
        <x:f>Model_Data!AC65</x:f>
        <x:v>1072.3234850230751</x:v>
      </x:c>
      <x:c r="F65" s="10" t="n"/>
      <x:c r="G65" s="9" t="n">
        <x:f>Model_Data!A65</x:f>
        <x:v>-28.5</x:v>
      </x:c>
      <x:c r="H65" s="9" t="n">
        <x:f>Model_Data!Y65</x:f>
        <x:v>310.24247262167495</x:v>
      </x:c>
      <x:c r="I65" s="9" t="n">
        <x:f>Model_Data!Y65</x:f>
        <x:v>310.24247262167495</x:v>
      </x:c>
      <x:c r="J65" s="9" t="n">
        <x:f>Model_Data!X65</x:f>
        <x:v>-29.731374520275047</x:v>
      </x:c>
      <x:c r="K65" s="9" t="n">
        <x:f>Model_Data!A65</x:f>
        <x:v>-28.5</x:v>
      </x:c>
      <x:c r="L65" s="9" t="n">
        <x:f>Model_Data!Y65</x:f>
        <x:v>310.24247262167495</x:v>
      </x:c>
      <x:c r="M65" s="9" t="n">
        <x:f>Model_Data!X65</x:f>
        <x:v>-29.731374520275047</x:v>
      </x:c>
      <x:c r="N65" s="9" t="n">
        <x:f>-(Model_Data!AC65-Model_Data!F65)*Inputs!$C$12</x:f>
        <x:v>337.79806073380297</x:v>
      </x:c>
      <x:c r="O65" s="10" t="n"/>
      <x:c r="P65" s="9" t="n">
        <x:f>Model_Data!A65</x:f>
        <x:v>-28.5</x:v>
      </x:c>
      <x:c r="Q65" s="9" t="n">
        <x:f>Model_Data!P65</x:f>
        <x:v>243.03262925423041</x:v>
      </x:c>
      <x:c r="R65" s="9" t="n">
        <x:f>Model_Data!AM65</x:f>
        <x:v>213.6323248183544</x:v>
      </x:c>
      <x:c r="S65" s="9" t="n">
        <x:f>Model_Data!Q65</x:f>
        <x:v>36.491385773908476</x:v>
      </x:c>
      <x:c r="T65" s="9" t="n">
        <x:f>Model_Data!AN65</x:f>
        <x:v>32.07692564840156</x:v>
      </x:c>
      <x:c r="U65" s="10" t="n"/>
      <x:c r="V65" s="9" t="n">
        <x:f>Model_Data!A65</x:f>
        <x:v>-28.5</x:v>
      </x:c>
      <x:c r="W65" s="9" t="n">
        <x:f>Model_Data!B65-Inputs!$C$5</x:f>
        <x:v>0.902499999999975</x:v>
      </x:c>
      <x:c r="X65" s="10" t="n"/>
      <x:c r="Y65" s="9" t="n">
        <x:f>Model_Data!A65</x:f>
        <x:v>-28.5</x:v>
      </x:c>
      <x:c r="Z65" s="9" t="n">
        <x:f>0</x:f>
        <x:v>0</x:v>
      </x:c>
      <x:c r="AA65" s="9" t="n">
        <x:f>((SQRT((Inputs!$C$52+Inputs!$C$5)^2+Inputs!$C$52^2-2*(Inputs!$C$52+Inputs!$C$5)*Inputs!$C$52*COS(SQRT((Model_Data!A65)^2+Inputs!$C$6^2)/Inputs!$C$52))-Inputs!$C$5)*1000/Inputs!$C$12)</x:f>
        <x:v>1264.3490478827257</x:v>
      </x:c>
      <x:c r="AB65" s="9" t="n">
        <x:f>Model_Data!F65</x:f>
        <x:v>1262.09767644656</x:v>
      </x:c>
    </x:row>
    <x:row r="66">
      <x:c r="A66" s="9" t="n">
        <x:f>Model_Data!A66</x:f>
        <x:v>-28</x:v>
      </x:c>
      <x:c r="B66" s="9" t="n">
        <x:f>0</x:f>
        <x:v>0</x:v>
      </x:c>
      <x:c r="C66" s="9" t="n">
        <x:f>((SQRT((Inputs!$C$52+Inputs!$C$5)^2+Inputs!$C$52^2-2*(Inputs!$C$52+Inputs!$C$5)*Inputs!$C$52*COS(SQRT((Model_Data!A66)^2+Inputs!$C$6^2)/Inputs!$C$52))-Inputs!$C$5)*1000/Inputs!$C$12)</x:f>
        <x:v>1239.5668747174202</x:v>
      </x:c>
      <x:c r="D66" s="9" t="n">
        <x:f>Model_Data!F66</x:f>
        <x:v>1237.4359709468442</x:v>
      </x:c>
      <x:c r="E66" s="9" t="n">
        <x:f>Model_Data!AC66</x:f>
        <x:v>1032.8594782824728</x:v>
      </x:c>
      <x:c r="F66" s="10" t="n"/>
      <x:c r="G66" s="9" t="n">
        <x:f>Model_Data!A66</x:f>
        <x:v>-28</x:v>
      </x:c>
      <x:c r="H66" s="9" t="n">
        <x:f>Model_Data!Y66</x:f>
        <x:v>313.2831784265769</x:v>
      </x:c>
      <x:c r="I66" s="9" t="n">
        <x:f>Model_Data!Y66</x:f>
        <x:v>313.2831784265769</x:v>
      </x:c>
      <x:c r="J66" s="9" t="n">
        <x:f>Model_Data!X66</x:f>
        <x:v>-53.01751827704016</x:v>
      </x:c>
      <x:c r="K66" s="9" t="n">
        <x:f>Model_Data!A66</x:f>
        <x:v>-28</x:v>
      </x:c>
      <x:c r="L66" s="9" t="n">
        <x:f>Model_Data!Y66</x:f>
        <x:v>313.2831784265769</x:v>
      </x:c>
      <x:c r="M66" s="9" t="n">
        <x:f>Model_Data!X66</x:f>
        <x:v>-53.01751827704016</x:v>
      </x:c>
      <x:c r="N66" s="9" t="n">
        <x:f>-(Model_Data!AC66-Model_Data!F66)*Inputs!$C$12</x:f>
        <x:v>364.14615694258123</x:v>
      </x:c>
      <x:c r="O66" s="10" t="n"/>
      <x:c r="P66" s="9" t="n">
        <x:f>Model_Data!A66</x:f>
        <x:v>-28</x:v>
      </x:c>
      <x:c r="Q66" s="9" t="n">
        <x:f>Model_Data!P66</x:f>
        <x:v>238.80154350054</x:v>
      </x:c>
      <x:c r="R66" s="9" t="n">
        <x:f>Model_Data!AM66</x:f>
        <x:v>217.6420816668724</x:v>
      </x:c>
      <x:c r="S66" s="9" t="n">
        <x:f>Model_Data!Q66</x:f>
        <x:v>35.8560876126937</x:v>
      </x:c>
      <x:c r="T66" s="9" t="n">
        <x:f>Model_Data!AN66</x:f>
        <x:v>32.678991241272136</x:v>
      </x:c>
      <x:c r="U66" s="10" t="n"/>
      <x:c r="V66" s="9" t="n">
        <x:f>Model_Data!A66</x:f>
        <x:v>-28</x:v>
      </x:c>
      <x:c r="W66" s="9" t="n">
        <x:f>Model_Data!B66-Inputs!$C$5</x:f>
        <x:v>0.8711111111111336</x:v>
      </x:c>
      <x:c r="X66" s="10" t="n"/>
      <x:c r="Y66" s="9" t="n">
        <x:f>Model_Data!A66</x:f>
        <x:v>-28</x:v>
      </x:c>
      <x:c r="Z66" s="9" t="n">
        <x:f>0</x:f>
        <x:v>0</x:v>
      </x:c>
      <x:c r="AA66" s="9" t="n">
        <x:f>((SQRT((Inputs!$C$52+Inputs!$C$5)^2+Inputs!$C$52^2-2*(Inputs!$C$52+Inputs!$C$5)*Inputs!$C$52*COS(SQRT((Model_Data!A66)^2+Inputs!$C$6^2)/Inputs!$C$52))-Inputs!$C$5)*1000/Inputs!$C$12)</x:f>
        <x:v>1239.5668747174202</x:v>
      </x:c>
      <x:c r="AB66" s="9" t="n">
        <x:f>Model_Data!F66</x:f>
        <x:v>1237.4359709468442</x:v>
      </x:c>
    </x:row>
    <x:row r="67">
      <x:c r="A67" s="9" t="n">
        <x:f>Model_Data!A67</x:f>
        <x:v>-27.5</x:v>
      </x:c>
      <x:c r="B67" s="9" t="n">
        <x:f>0</x:f>
        <x:v>0</x:v>
      </x:c>
      <x:c r="C67" s="9" t="n">
        <x:f>((SQRT((Inputs!$C$52+Inputs!$C$5)^2+Inputs!$C$52^2-2*(Inputs!$C$52+Inputs!$C$5)*Inputs!$C$52*COS(SQRT((Model_Data!A67)^2+Inputs!$C$6^2)/Inputs!$C$52))-Inputs!$C$5)*1000/Inputs!$C$12)</x:f>
        <x:v>1215.2206308890595</x:v>
      </x:c>
      <x:c r="D67" s="9" t="n">
        <x:f>Model_Data!F67</x:f>
        <x:v>1213.2051244995746</x:v>
      </x:c>
      <x:c r="E67" s="9" t="n">
        <x:f>Model_Data!AC67</x:f>
        <x:v>1012.1584343218391</x:v>
      </x:c>
      <x:c r="F67" s="10" t="n"/>
      <x:c r="G67" s="9" t="n">
        <x:f>Model_Data!A67</x:f>
        <x:v>-27.5</x:v>
      </x:c>
      <x:c r="H67" s="9" t="n">
        <x:f>Model_Data!Y67</x:f>
        <x:v>296.8437612590685</x:v>
      </x:c>
      <x:c r="I67" s="9" t="n">
        <x:f>Model_Data!Y67</x:f>
        <x:v>296.8437612590685</x:v>
      </x:c>
      <x:c r="J67" s="9" t="n">
        <x:f>Model_Data!X67</x:f>
        <x:v>-63.02108594889231</x:v>
      </x:c>
      <x:c r="K67" s="9" t="n">
        <x:f>Model_Data!A67</x:f>
        <x:v>-27.5</x:v>
      </x:c>
      <x:c r="L67" s="9" t="n">
        <x:f>Model_Data!Y67</x:f>
        <x:v>296.8437612590685</x:v>
      </x:c>
      <x:c r="M67" s="9" t="n">
        <x:f>Model_Data!X67</x:f>
        <x:v>-63.02108594889231</x:v>
      </x:c>
      <x:c r="N67" s="9" t="n">
        <x:f>-(Model_Data!AC67-Model_Data!F67)*Inputs!$C$12</x:f>
        <x:v>357.8631085163692</x:v>
      </x:c>
      <x:c r="O67" s="10" t="n"/>
      <x:c r="P67" s="9" t="n">
        <x:f>Model_Data!A67</x:f>
        <x:v>-27.5</x:v>
      </x:c>
      <x:c r="Q67" s="9" t="n">
        <x:f>Model_Data!P67</x:f>
        <x:v>234.56874188968868</x:v>
      </x:c>
      <x:c r="R67" s="9" t="n">
        <x:f>Model_Data!AM67</x:f>
        <x:v>196.6495314187341</x:v>
      </x:c>
      <x:c r="S67" s="9" t="n">
        <x:f>Model_Data!Q67</x:f>
        <x:v>35.22053181526857</x:v>
      </x:c>
      <x:c r="T67" s="9" t="n">
        <x:f>Model_Data!AN67</x:f>
        <x:v>29.5269566694796</x:v>
      </x:c>
      <x:c r="U67" s="10" t="n"/>
      <x:c r="V67" s="9" t="n">
        <x:f>Model_Data!A67</x:f>
        <x:v>-27.5</x:v>
      </x:c>
      <x:c r="W67" s="9" t="n">
        <x:f>Model_Data!B67-Inputs!$C$5</x:f>
        <x:v>0.8402777777777715</x:v>
      </x:c>
      <x:c r="X67" s="10" t="n"/>
      <x:c r="Y67" s="9" t="n">
        <x:f>Model_Data!A67</x:f>
        <x:v>-27.5</x:v>
      </x:c>
      <x:c r="Z67" s="9" t="n">
        <x:f>0</x:f>
        <x:v>0</x:v>
      </x:c>
      <x:c r="AA67" s="9" t="n">
        <x:f>((SQRT((Inputs!$C$52+Inputs!$C$5)^2+Inputs!$C$52^2-2*(Inputs!$C$52+Inputs!$C$5)*Inputs!$C$52*COS(SQRT((Model_Data!A67)^2+Inputs!$C$6^2)/Inputs!$C$52))-Inputs!$C$5)*1000/Inputs!$C$12)</x:f>
        <x:v>1215.2206308890595</x:v>
      </x:c>
      <x:c r="AB67" s="9" t="n">
        <x:f>Model_Data!F67</x:f>
        <x:v>1213.2051244995746</x:v>
      </x:c>
    </x:row>
    <x:row r="68">
      <x:c r="A68" s="9" t="n">
        <x:f>Model_Data!A68</x:f>
        <x:v>-27</x:v>
      </x:c>
      <x:c r="B68" s="9" t="n">
        <x:f>0</x:f>
        <x:v>0</x:v>
      </x:c>
      <x:c r="C68" s="9" t="n">
        <x:f>((SQRT((Inputs!$C$52+Inputs!$C$5)^2+Inputs!$C$52^2-2*(Inputs!$C$52+Inputs!$C$5)*Inputs!$C$52*COS(SQRT((Model_Data!A68)^2+Inputs!$C$6^2)/Inputs!$C$52))-Inputs!$C$5)*1000/Inputs!$C$12)</x:f>
        <x:v>1191.3104598367102</x:v>
      </x:c>
      <x:c r="D68" s="9" t="n">
        <x:f>Model_Data!F68</x:f>
        <x:v>1189.4054357952016</x:v>
      </x:c>
      <x:c r="E68" s="9" t="n">
        <x:f>Model_Data!AC68</x:f>
        <x:v>988.7870810731198</x:v>
      </x:c>
      <x:c r="F68" s="10" t="n"/>
      <x:c r="G68" s="9" t="n">
        <x:f>Model_Data!A68</x:f>
        <x:v>-27</x:v>
      </x:c>
      <x:c r="H68" s="9" t="n">
        <x:f>Model_Data!Y68</x:f>
        <x:v>289.34226854097847</x:v>
      </x:c>
      <x:c r="I68" s="9" t="n">
        <x:f>Model_Data!Y68</x:f>
        <x:v>289.34226854097847</x:v>
      </x:c>
      <x:c r="J68" s="9" t="n">
        <x:f>Model_Data!X68</x:f>
        <x:v>-69.67153928411518</x:v>
      </x:c>
      <x:c r="K68" s="9" t="n">
        <x:f>Model_Data!A68</x:f>
        <x:v>-27</x:v>
      </x:c>
      <x:c r="L68" s="9" t="n">
        <x:f>Model_Data!Y68</x:f>
        <x:v>289.34226854097847</x:v>
      </x:c>
      <x:c r="M68" s="9" t="n">
        <x:f>Model_Data!X68</x:f>
        <x:v>-69.67153928411518</x:v>
      </x:c>
      <x:c r="N68" s="9" t="n">
        <x:f>-(Model_Data!AC68-Model_Data!F68)*Inputs!$C$12</x:f>
        <x:v>357.1006714053056</x:v>
      </x:c>
      <x:c r="O68" s="10" t="n"/>
      <x:c r="P68" s="9" t="n">
        <x:f>Model_Data!A68</x:f>
        <x:v>-27</x:v>
      </x:c>
      <x:c r="Q68" s="9" t="n">
        <x:f>Model_Data!P68</x:f>
        <x:v>230.3342535144111</x:v>
      </x:c>
      <x:c r="R68" s="9" t="n">
        <x:f>Model_Data!AM68</x:f>
        <x:v>220.46869172654624</x:v>
      </x:c>
      <x:c r="S68" s="9" t="n">
        <x:f>Model_Data!Q68</x:f>
        <x:v>34.58472274991158</x:v>
      </x:c>
      <x:c r="T68" s="9" t="n">
        <x:f>Model_Data!AN68</x:f>
        <x:v>33.10340716614809</x:v>
      </x:c>
      <x:c r="U68" s="10" t="n"/>
      <x:c r="V68" s="9" t="n">
        <x:f>Model_Data!A68</x:f>
        <x:v>-27</x:v>
      </x:c>
      <x:c r="W68" s="9" t="n">
        <x:f>Model_Data!B68-Inputs!$C$5</x:f>
        <x:v>0.8100000000000023</x:v>
      </x:c>
      <x:c r="X68" s="10" t="n"/>
      <x:c r="Y68" s="9" t="n">
        <x:f>Model_Data!A68</x:f>
        <x:v>-27</x:v>
      </x:c>
      <x:c r="Z68" s="9" t="n">
        <x:f>0</x:f>
        <x:v>0</x:v>
      </x:c>
      <x:c r="AA68" s="9" t="n">
        <x:f>((SQRT((Inputs!$C$52+Inputs!$C$5)^2+Inputs!$C$52^2-2*(Inputs!$C$52+Inputs!$C$5)*Inputs!$C$52*COS(SQRT((Model_Data!A68)^2+Inputs!$C$6^2)/Inputs!$C$52))-Inputs!$C$5)*1000/Inputs!$C$12)</x:f>
        <x:v>1191.3104598367102</x:v>
      </x:c>
      <x:c r="AB68" s="9" t="n">
        <x:f>Model_Data!F68</x:f>
        <x:v>1189.4054357952016</x:v>
      </x:c>
    </x:row>
    <x:row r="69">
      <x:c r="A69" s="9" t="n">
        <x:f>Model_Data!A69</x:f>
        <x:v>-26.5</x:v>
      </x:c>
      <x:c r="B69" s="9" t="n">
        <x:f>0</x:f>
        <x:v>0</x:v>
      </x:c>
      <x:c r="C69" s="9" t="n">
        <x:f>((SQRT((Inputs!$C$52+Inputs!$C$5)^2+Inputs!$C$52^2-2*(Inputs!$C$52+Inputs!$C$5)*Inputs!$C$52*COS(SQRT((Model_Data!A69)^2+Inputs!$C$6^2)/Inputs!$C$52))-Inputs!$C$5)*1000/Inputs!$C$12)</x:f>
        <x:v>1167.83650249044</x:v>
      </x:c>
      <x:c r="D69" s="9" t="n">
        <x:f>Model_Data!F69</x:f>
        <x:v>1166.0371984060328</x:v>
      </x:c>
      <x:c r="E69" s="9" t="n">
        <x:f>Model_Data!AC69</x:f>
        <x:v>959.9723295977628</x:v>
      </x:c>
      <x:c r="F69" s="10" t="n"/>
      <x:c r="G69" s="9" t="n">
        <x:f>Model_Data!A69</x:f>
        <x:v>-26.5</x:v>
      </x:c>
      <x:c r="H69" s="9" t="n">
        <x:f>Model_Data!Y69</x:f>
        <x:v>290.55977847508683</x:v>
      </x:c>
      <x:c r="I69" s="9" t="n">
        <x:f>Model_Data!Y69</x:f>
        <x:v>290.55977847508683</x:v>
      </x:c>
      <x:c r="J69" s="9" t="n">
        <x:f>Model_Data!X69</x:f>
        <x:v>-78.11942002863731</x:v>
      </x:c>
      <x:c r="K69" s="9" t="n">
        <x:f>Model_Data!A69</x:f>
        <x:v>-26.5</x:v>
      </x:c>
      <x:c r="L69" s="9" t="n">
        <x:f>Model_Data!Y69</x:f>
        <x:v>290.55977847508683</x:v>
      </x:c>
      <x:c r="M69" s="9" t="n">
        <x:f>Model_Data!X69</x:f>
        <x:v>-78.11942002863731</x:v>
      </x:c>
      <x:c r="N69" s="9" t="n">
        <x:f>-(Model_Data!AC69-Model_Data!F69)*Inputs!$C$12</x:f>
        <x:v>366.79546647872047</x:v>
      </x:c>
      <x:c r="O69" s="10" t="n"/>
      <x:c r="P69" s="9" t="n">
        <x:f>Model_Data!A69</x:f>
        <x:v>-26.5</x:v>
      </x:c>
      <x:c r="Q69" s="9" t="n">
        <x:f>Model_Data!P69</x:f>
        <x:v>226.0981075584823</x:v>
      </x:c>
      <x:c r="R69" s="9" t="n">
        <x:f>Model_Data!AM69</x:f>
        <x:v>198.23751812764385</x:v>
      </x:c>
      <x:c r="S69" s="9" t="n">
        <x:f>Model_Data!Q69</x:f>
        <x:v>33.94866479857092</x:v>
      </x:c>
      <x:c r="T69" s="9" t="n">
        <x:f>Model_Data!AN69</x:f>
        <x:v>29.765393112258838</x:v>
      </x:c>
      <x:c r="U69" s="10" t="n"/>
      <x:c r="V69" s="9" t="n">
        <x:f>Model_Data!A69</x:f>
        <x:v>-26.5</x:v>
      </x:c>
      <x:c r="W69" s="9" t="n">
        <x:f>Model_Data!B69-Inputs!$C$5</x:f>
        <x:v>0.7802777777777692</x:v>
      </x:c>
      <x:c r="X69" s="10" t="n"/>
      <x:c r="Y69" s="9" t="n">
        <x:f>Model_Data!A69</x:f>
        <x:v>-26.5</x:v>
      </x:c>
      <x:c r="Z69" s="9" t="n">
        <x:f>0</x:f>
        <x:v>0</x:v>
      </x:c>
      <x:c r="AA69" s="9" t="n">
        <x:f>((SQRT((Inputs!$C$52+Inputs!$C$5)^2+Inputs!$C$52^2-2*(Inputs!$C$52+Inputs!$C$5)*Inputs!$C$52*COS(SQRT((Model_Data!A69)^2+Inputs!$C$6^2)/Inputs!$C$52))-Inputs!$C$5)*1000/Inputs!$C$12)</x:f>
        <x:v>1167.83650249044</x:v>
      </x:c>
      <x:c r="AB69" s="9" t="n">
        <x:f>Model_Data!F69</x:f>
        <x:v>1166.0371984060328</x:v>
      </x:c>
    </x:row>
    <x:row r="70">
      <x:c r="A70" s="9" t="n">
        <x:f>Model_Data!A70</x:f>
        <x:v>-26</x:v>
      </x:c>
      <x:c r="B70" s="9" t="n">
        <x:f>0</x:f>
        <x:v>0</x:v>
      </x:c>
      <x:c r="C70" s="9" t="n">
        <x:f>((SQRT((Inputs!$C$52+Inputs!$C$5)^2+Inputs!$C$52^2-2*(Inputs!$C$52+Inputs!$C$5)*Inputs!$C$52*COS(SQRT((Model_Data!A70)^2+Inputs!$C$6^2)/Inputs!$C$52))-Inputs!$C$5)*1000/Inputs!$C$12)</x:f>
        <x:v>1144.7988972650598</x:v>
      </x:c>
      <x:c r="D70" s="9" t="n">
        <x:f>Model_Data!F70</x:f>
        <x:v>1143.1007007754386</x:v>
      </x:c>
      <x:c r="E70" s="9" t="n">
        <x:f>Model_Data!AC70</x:f>
        <x:v>945.2412860862692</x:v>
      </x:c>
      <x:c r="F70" s="10" t="n"/>
      <x:c r="G70" s="9" t="n">
        <x:f>Model_Data!A70</x:f>
        <x:v>-26</x:v>
      </x:c>
      <x:c r="H70" s="9" t="n">
        <x:f>Model_Data!Y70</x:f>
        <x:v>271.74352983421755</x:v>
      </x:c>
      <x:c r="I70" s="9" t="n">
        <x:f>Model_Data!Y70</x:f>
        <x:v>271.74352983421755</x:v>
      </x:c>
      <x:c r="J70" s="9" t="n">
        <x:f>Model_Data!X70</x:f>
        <x:v>-82.17349441978894</x:v>
      </x:c>
      <x:c r="K70" s="9" t="n">
        <x:f>Model_Data!A70</x:f>
        <x:v>-26</x:v>
      </x:c>
      <x:c r="L70" s="9" t="n">
        <x:f>Model_Data!Y70</x:f>
        <x:v>271.74352983421755</x:v>
      </x:c>
      <x:c r="M70" s="9" t="n">
        <x:f>Model_Data!X70</x:f>
        <x:v>-82.17349441978894</x:v>
      </x:c>
      <x:c r="N70" s="9" t="n">
        <x:f>-(Model_Data!AC70-Model_Data!F70)*Inputs!$C$12</x:f>
        <x:v>352.18975814672154</x:v>
      </x:c>
      <x:c r="O70" s="10" t="n"/>
      <x:c r="P70" s="9" t="n">
        <x:f>Model_Data!A70</x:f>
        <x:v>-26</x:v>
      </x:c>
      <x:c r="Q70" s="9" t="n">
        <x:f>Model_Data!P70</x:f>
        <x:v>221.86033326770485</x:v>
      </x:c>
      <x:c r="R70" s="9" t="n">
        <x:f>Model_Data!AM70</x:f>
        <x:v>192.02568655455252</x:v>
      </x:c>
      <x:c r="S70" s="9" t="n">
        <x:f>Model_Data!Q70</x:f>
        <x:v>33.31236235250824</x:v>
      </x:c>
      <x:c r="T70" s="9" t="n">
        <x:f>Model_Data!AN70</x:f>
        <x:v>28.83268566885173</x:v>
      </x:c>
      <x:c r="U70" s="10" t="n"/>
      <x:c r="V70" s="9" t="n">
        <x:f>Model_Data!A70</x:f>
        <x:v>-26</x:v>
      </x:c>
      <x:c r="W70" s="9" t="n">
        <x:f>Model_Data!B70-Inputs!$C$5</x:f>
        <x:v>0.751111111111129</x:v>
      </x:c>
      <x:c r="X70" s="10" t="n"/>
      <x:c r="Y70" s="9" t="n">
        <x:f>Model_Data!A70</x:f>
        <x:v>-26</x:v>
      </x:c>
      <x:c r="Z70" s="9" t="n">
        <x:f>0</x:f>
        <x:v>0</x:v>
      </x:c>
      <x:c r="AA70" s="9" t="n">
        <x:f>((SQRT((Inputs!$C$52+Inputs!$C$5)^2+Inputs!$C$52^2-2*(Inputs!$C$52+Inputs!$C$5)*Inputs!$C$52*COS(SQRT((Model_Data!A70)^2+Inputs!$C$6^2)/Inputs!$C$52))-Inputs!$C$5)*1000/Inputs!$C$12)</x:f>
        <x:v>1144.7988972650598</x:v>
      </x:c>
      <x:c r="AB70" s="9" t="n">
        <x:f>Model_Data!F70</x:f>
        <x:v>1143.1007007754386</x:v>
      </x:c>
    </x:row>
    <x:row r="71">
      <x:c r="A71" s="9" t="n">
        <x:f>Model_Data!A71</x:f>
        <x:v>-25.5</x:v>
      </x:c>
      <x:c r="B71" s="9" t="n">
        <x:f>0</x:f>
        <x:v>0</x:v>
      </x:c>
      <x:c r="C71" s="9" t="n">
        <x:f>((SQRT((Inputs!$C$52+Inputs!$C$5)^2+Inputs!$C$52^2-2*(Inputs!$C$52+Inputs!$C$5)*Inputs!$C$52*COS(SQRT((Model_Data!A71)^2+Inputs!$C$6^2)/Inputs!$C$52))-Inputs!$C$5)*1000/Inputs!$C$12)</x:f>
        <x:v>1122.1977800602508</x:v>
      </x:c>
      <x:c r="D71" s="9" t="n">
        <x:f>Model_Data!F71</x:f>
        <x:v>1120.5962262068354</x:v>
      </x:c>
      <x:c r="E71" s="9" t="n">
        <x:f>Model_Data!AC71</x:f>
        <x:v>910.288625491318</x:v>
      </x:c>
      <x:c r="F71" s="10" t="n"/>
      <x:c r="G71" s="9" t="n">
        <x:f>Model_Data!A71</x:f>
        <x:v>-25.5</x:v>
      </x:c>
      <x:c r="H71" s="9" t="n">
        <x:f>Model_Data!Y71</x:f>
        <x:v>271.72277085410076</x:v>
      </x:c>
      <x:c r="I71" s="9" t="n">
        <x:f>Model_Data!Y71</x:f>
        <x:v>271.72277085410076</x:v>
      </x:c>
      <x:c r="J71" s="9" t="n">
        <x:f>Model_Data!X71</x:f>
        <x:v>-104.31813701930129</x:v>
      </x:c>
      <x:c r="K71" s="9" t="n">
        <x:f>Model_Data!A71</x:f>
        <x:v>-25.5</x:v>
      </x:c>
      <x:c r="L71" s="9" t="n">
        <x:f>Model_Data!Y71</x:f>
        <x:v>271.72277085410076</x:v>
      </x:c>
      <x:c r="M71" s="9" t="n">
        <x:f>Model_Data!X71</x:f>
        <x:v>-104.31813701930129</x:v>
      </x:c>
      <x:c r="N71" s="9" t="n">
        <x:f>-(Model_Data!AC71-Model_Data!F71)*Inputs!$C$12</x:f>
        <x:v>374.3475292736208</x:v>
      </x:c>
      <x:c r="O71" s="10" t="n"/>
      <x:c r="P71" s="9" t="n">
        <x:f>Model_Data!A71</x:f>
        <x:v>-25.5</x:v>
      </x:c>
      <x:c r="Q71" s="9" t="n">
        <x:f>Model_Data!P71</x:f>
        <x:v>217.6209599799222</x:v>
      </x:c>
      <x:c r="R71" s="9" t="n">
        <x:f>Model_Data!AM71</x:f>
        <x:v>199.48475681912896</x:v>
      </x:c>
      <x:c r="S71" s="9" t="n">
        <x:f>Model_Data!Q71</x:f>
        <x:v>32.67581981680514</x:v>
      </x:c>
      <x:c r="T71" s="9" t="n">
        <x:f>Model_Data!AN71</x:f>
        <x:v>29.952666189058405</x:v>
      </x:c>
      <x:c r="U71" s="10" t="n"/>
      <x:c r="V71" s="9" t="n">
        <x:f>Model_Data!A71</x:f>
        <x:v>-25.5</x:v>
      </x:c>
      <x:c r="W71" s="9" t="n">
        <x:f>Model_Data!B71-Inputs!$C$5</x:f>
        <x:v>0.722500000000025</x:v>
      </x:c>
      <x:c r="X71" s="10" t="n"/>
      <x:c r="Y71" s="9" t="n">
        <x:f>Model_Data!A71</x:f>
        <x:v>-25.5</x:v>
      </x:c>
      <x:c r="Z71" s="9" t="n">
        <x:f>0</x:f>
        <x:v>0</x:v>
      </x:c>
      <x:c r="AA71" s="9" t="n">
        <x:f>((SQRT((Inputs!$C$52+Inputs!$C$5)^2+Inputs!$C$52^2-2*(Inputs!$C$52+Inputs!$C$5)*Inputs!$C$52*COS(SQRT((Model_Data!A71)^2+Inputs!$C$6^2)/Inputs!$C$52))-Inputs!$C$5)*1000/Inputs!$C$12)</x:f>
        <x:v>1122.1977800602508</x:v>
      </x:c>
      <x:c r="AB71" s="9" t="n">
        <x:f>Model_Data!F71</x:f>
        <x:v>1120.5962262068354</x:v>
      </x:c>
    </x:row>
    <x:row r="72">
      <x:c r="A72" s="9" t="n">
        <x:f>Model_Data!A72</x:f>
        <x:v>-25</x:v>
      </x:c>
      <x:c r="B72" s="9" t="n">
        <x:f>0</x:f>
        <x:v>0</x:v>
      </x:c>
      <x:c r="C72" s="9" t="n">
        <x:f>((SQRT((Inputs!$C$52+Inputs!$C$5)^2+Inputs!$C$52^2-2*(Inputs!$C$52+Inputs!$C$5)*Inputs!$C$52*COS(SQRT((Model_Data!A72)^2+Inputs!$C$6^2)/Inputs!$C$52))-Inputs!$C$5)*1000/Inputs!$C$12)</x:f>
        <x:v>1100.033284253411</x:v>
      </x:c>
      <x:c r="D72" s="9" t="n">
        <x:f>Model_Data!F72</x:f>
        <x:v>1098.5240528424165</x:v>
      </x:c>
      <x:c r="E72" s="9" t="n">
        <x:f>Model_Data!AC72</x:f>
        <x:v>898.3925288901809</x:v>
      </x:c>
      <x:c r="F72" s="10" t="n"/>
      <x:c r="G72" s="9" t="n">
        <x:f>Model_Data!A72</x:f>
        <x:v>-25</x:v>
      </x:c>
      <x:c r="H72" s="9" t="n">
        <x:f>Model_Data!Y72</x:f>
        <x:v>260.2713841318971</x:v>
      </x:c>
      <x:c r="I72" s="9" t="n">
        <x:f>Model_Data!Y72</x:f>
        <x:v>260.2713841318971</x:v>
      </x:c>
      <x:c r="J72" s="9" t="n">
        <x:f>Model_Data!X72</x:f>
        <x:v>-97.55297588358108</x:v>
      </x:c>
      <x:c r="K72" s="9" t="n">
        <x:f>Model_Data!A72</x:f>
        <x:v>-25</x:v>
      </x:c>
      <x:c r="L72" s="9" t="n">
        <x:f>Model_Data!Y72</x:f>
        <x:v>260.2713841318971</x:v>
      </x:c>
      <x:c r="M72" s="9" t="n">
        <x:f>Model_Data!X72</x:f>
        <x:v>-97.55297588358108</x:v>
      </x:c>
      <x:c r="N72" s="9" t="n">
        <x:f>-(Model_Data!AC72-Model_Data!F72)*Inputs!$C$12</x:f>
        <x:v>356.2341126349794</x:v>
      </x:c>
      <x:c r="O72" s="10" t="n"/>
      <x:c r="P72" s="9" t="n">
        <x:f>Model_Data!A72</x:f>
        <x:v>-25</x:v>
      </x:c>
      <x:c r="Q72" s="9" t="n">
        <x:f>Model_Data!P72</x:f>
        <x:v>213.38001711119432</x:v>
      </x:c>
      <x:c r="R72" s="9" t="n">
        <x:f>Model_Data!AM72</x:f>
        <x:v>221.0725897208249</x:v>
      </x:c>
      <x:c r="S72" s="9" t="n">
        <x:f>Model_Data!Q72</x:f>
        <x:v>32.03904160828744</x:v>
      </x:c>
      <x:c r="T72" s="9" t="n">
        <x:f>Model_Data!AN72</x:f>
        <x:v>33.194082540664404</x:v>
      </x:c>
      <x:c r="U72" s="10" t="n"/>
      <x:c r="V72" s="9" t="n">
        <x:f>Model_Data!A72</x:f>
        <x:v>-25</x:v>
      </x:c>
      <x:c r="W72" s="9" t="n">
        <x:f>Model_Data!B72-Inputs!$C$5</x:f>
        <x:v>0.6944444444444571</x:v>
      </x:c>
      <x:c r="X72" s="10" t="n"/>
      <x:c r="Y72" s="9" t="n">
        <x:f>Model_Data!A72</x:f>
        <x:v>-25</x:v>
      </x:c>
      <x:c r="Z72" s="9" t="n">
        <x:f>0</x:f>
        <x:v>0</x:v>
      </x:c>
      <x:c r="AA72" s="9" t="n">
        <x:f>((SQRT((Inputs!$C$52+Inputs!$C$5)^2+Inputs!$C$52^2-2*(Inputs!$C$52+Inputs!$C$5)*Inputs!$C$52*COS(SQRT((Model_Data!A72)^2+Inputs!$C$6^2)/Inputs!$C$52))-Inputs!$C$5)*1000/Inputs!$C$12)</x:f>
        <x:v>1100.033284253411</x:v>
      </x:c>
      <x:c r="AB72" s="9" t="n">
        <x:f>Model_Data!F72</x:f>
        <x:v>1098.5240528424165</x:v>
      </x:c>
    </x:row>
    <x:row r="73">
      <x:c r="A73" s="9" t="n">
        <x:f>Model_Data!A73</x:f>
        <x:v>-24.5</x:v>
      </x:c>
      <x:c r="B73" s="9" t="n">
        <x:f>0</x:f>
        <x:v>0</x:v>
      </x:c>
      <x:c r="C73" s="9" t="n">
        <x:f>((SQRT((Inputs!$C$52+Inputs!$C$5)^2+Inputs!$C$52^2-2*(Inputs!$C$52+Inputs!$C$5)*Inputs!$C$52*COS(SQRT((Model_Data!A73)^2+Inputs!$C$6^2)/Inputs!$C$52))-Inputs!$C$5)*1000/Inputs!$C$12)</x:f>
        <x:v>1078.3055406969088</x:v>
      </x:c>
      <x:c r="D73" s="9" t="n">
        <x:f>Model_Data!F73</x:f>
        <x:v>1076.8844536568934</x:v>
      </x:c>
      <x:c r="E73" s="9" t="n">
        <x:f>Model_Data!AC73</x:f>
        <x:v>858.6523869969701</x:v>
      </x:c>
      <x:c r="F73" s="10" t="n"/>
      <x:c r="G73" s="9" t="n">
        <x:f>Model_Data!A73</x:f>
        <x:v>-24.5</x:v>
      </x:c>
      <x:c r="H73" s="9" t="n">
        <x:f>Model_Data!Y73</x:f>
        <x:v>276.49363528949897</x:v>
      </x:c>
      <x:c r="I73" s="9" t="n">
        <x:f>Model_Data!Y73</x:f>
        <x:v>276.49363528949897</x:v>
      </x:c>
      <x:c r="J73" s="9" t="n">
        <x:f>Model_Data!X73</x:f>
        <x:v>-113.61582851930044</x:v>
      </x:c>
      <x:c r="K73" s="9" t="n">
        <x:f>Model_Data!A73</x:f>
        <x:v>-24.5</x:v>
      </x:c>
      <x:c r="L73" s="9" t="n">
        <x:f>Model_Data!Y73</x:f>
        <x:v>276.49363528949897</x:v>
      </x:c>
      <x:c r="M73" s="9" t="n">
        <x:f>Model_Data!X73</x:f>
        <x:v>-113.61582851930044</x:v>
      </x:c>
      <x:c r="N73" s="9" t="n">
        <x:f>-(Model_Data!AC73-Model_Data!F73)*Inputs!$C$12</x:f>
        <x:v>388.4530786546634</x:v>
      </x:c>
      <x:c r="O73" s="10" t="n"/>
      <x:c r="P73" s="9" t="n">
        <x:f>Model_Data!A73</x:f>
        <x:v>-24.5</x:v>
      </x:c>
      <x:c r="Q73" s="9" t="n">
        <x:f>Model_Data!P73</x:f>
        <x:v>209.13753414824896</x:v>
      </x:c>
      <x:c r="R73" s="9" t="n">
        <x:f>Model_Data!AM73</x:f>
        <x:v>222.45043993452782</x:v>
      </x:c>
      <x:c r="S73" s="9" t="n">
        <x:f>Model_Data!Q73</x:f>
        <x:v>31.402032154391737</x:v>
      </x:c>
      <x:c r="T73" s="9" t="n">
        <x:f>Model_Data!AN73</x:f>
        <x:v>33.40096695713631</x:v>
      </x:c>
      <x:c r="U73" s="10" t="n"/>
      <x:c r="V73" s="9" t="n">
        <x:f>Model_Data!A73</x:f>
        <x:v>-24.5</x:v>
      </x:c>
      <x:c r="W73" s="9" t="n">
        <x:f>Model_Data!B73-Inputs!$C$5</x:f>
        <x:v>0.6669444444444252</x:v>
      </x:c>
      <x:c r="X73" s="10" t="n"/>
      <x:c r="Y73" s="9" t="n">
        <x:f>Model_Data!A73</x:f>
        <x:v>-24.5</x:v>
      </x:c>
      <x:c r="Z73" s="9" t="n">
        <x:f>0</x:f>
        <x:v>0</x:v>
      </x:c>
      <x:c r="AA73" s="9" t="n">
        <x:f>((SQRT((Inputs!$C$52+Inputs!$C$5)^2+Inputs!$C$52^2-2*(Inputs!$C$52+Inputs!$C$5)*Inputs!$C$52*COS(SQRT((Model_Data!A73)^2+Inputs!$C$6^2)/Inputs!$C$52))-Inputs!$C$5)*1000/Inputs!$C$12)</x:f>
        <x:v>1078.3055406969088</x:v>
      </x:c>
      <x:c r="AB73" s="9" t="n">
        <x:f>Model_Data!F73</x:f>
        <x:v>1076.8844536568934</x:v>
      </x:c>
    </x:row>
    <x:row r="74">
      <x:c r="A74" s="9" t="n">
        <x:f>Model_Data!A74</x:f>
        <x:v>-24</x:v>
      </x:c>
      <x:c r="B74" s="9" t="n">
        <x:f>0</x:f>
        <x:v>0</x:v>
      </x:c>
      <x:c r="C74" s="9" t="n">
        <x:f>((SQRT((Inputs!$C$52+Inputs!$C$5)^2+Inputs!$C$52^2-2*(Inputs!$C$52+Inputs!$C$5)*Inputs!$C$52*COS(SQRT((Model_Data!A74)^2+Inputs!$C$6^2)/Inputs!$C$52))-Inputs!$C$5)*1000/Inputs!$C$12)</x:f>
        <x:v>1057.0146777139</x:v>
      </x:c>
      <x:c r="D74" s="9" t="n">
        <x:f>Model_Data!F74</x:f>
        <x:v>1055.6776964389417</x:v>
      </x:c>
      <x:c r="E74" s="9" t="n">
        <x:f>Model_Data!AC74</x:f>
        <x:v>843.0427302732248</x:v>
      </x:c>
      <x:c r="F74" s="10" t="n"/>
      <x:c r="G74" s="9" t="n">
        <x:f>Model_Data!A74</x:f>
        <x:v>-24</x:v>
      </x:c>
      <x:c r="H74" s="9" t="n">
        <x:f>Model_Data!Y74</x:f>
        <x:v>268.5791759815676</x:v>
      </x:c>
      <x:c r="I74" s="9" t="n">
        <x:f>Model_Data!Y74</x:f>
        <x:v>268.5791759815676</x:v>
      </x:c>
      <x:c r="J74" s="9" t="n">
        <x:f>Model_Data!X74</x:f>
        <x:v>-111.48853690711687</x:v>
      </x:c>
      <x:c r="K74" s="9" t="n">
        <x:f>Model_Data!A74</x:f>
        <x:v>-24</x:v>
      </x:c>
      <x:c r="L74" s="9" t="n">
        <x:f>Model_Data!Y74</x:f>
        <x:v>268.5791759815676</x:v>
      </x:c>
      <x:c r="M74" s="9" t="n">
        <x:f>Model_Data!X74</x:f>
        <x:v>-111.48853690711687</x:v>
      </x:c>
      <x:c r="N74" s="9" t="n">
        <x:f>-(Model_Data!AC74-Model_Data!F74)*Inputs!$C$12</x:f>
        <x:v>378.490239774976</x:v>
      </x:c>
      <x:c r="O74" s="10" t="n"/>
      <x:c r="P74" s="9" t="n">
        <x:f>Model_Data!A74</x:f>
        <x:v>-24</x:v>
      </x:c>
      <x:c r="Q74" s="9" t="n">
        <x:f>Model_Data!P74</x:f>
        <x:v>204.89354065312</x:v>
      </x:c>
      <x:c r="R74" s="9" t="n">
        <x:f>Model_Data!AM74</x:f>
        <x:v>200.92529767707674</x:v>
      </x:c>
      <x:c r="S74" s="9" t="n">
        <x:f>Model_Data!Q74</x:f>
        <x:v>30.764795893861866</x:v>
      </x:c>
      <x:c r="T74" s="9" t="n">
        <x:f>Model_Data!AN74</x:f>
        <x:v>30.16896361517669</x:v>
      </x:c>
      <x:c r="U74" s="10" t="n"/>
      <x:c r="V74" s="9" t="n">
        <x:f>Model_Data!A74</x:f>
        <x:v>-24</x:v>
      </x:c>
      <x:c r="W74" s="9" t="n">
        <x:f>Model_Data!B74-Inputs!$C$5</x:f>
        <x:v>0.6399999999999864</x:v>
      </x:c>
      <x:c r="X74" s="10" t="n"/>
      <x:c r="Y74" s="9" t="n">
        <x:f>Model_Data!A74</x:f>
        <x:v>-24</x:v>
      </x:c>
      <x:c r="Z74" s="9" t="n">
        <x:f>0</x:f>
        <x:v>0</x:v>
      </x:c>
      <x:c r="AA74" s="9" t="n">
        <x:f>((SQRT((Inputs!$C$52+Inputs!$C$5)^2+Inputs!$C$52^2-2*(Inputs!$C$52+Inputs!$C$5)*Inputs!$C$52*COS(SQRT((Model_Data!A74)^2+Inputs!$C$6^2)/Inputs!$C$52))-Inputs!$C$5)*1000/Inputs!$C$12)</x:f>
        <x:v>1057.0146777139</x:v>
      </x:c>
      <x:c r="AB74" s="9" t="n">
        <x:f>Model_Data!F74</x:f>
        <x:v>1055.6776964389417</x:v>
      </x:c>
    </x:row>
    <x:row r="75">
      <x:c r="A75" s="9" t="n">
        <x:f>Model_Data!A75</x:f>
        <x:v>-23.5</x:v>
      </x:c>
      <x:c r="B75" s="9" t="n">
        <x:f>0</x:f>
        <x:v>0</x:v>
      </x:c>
      <x:c r="C75" s="9" t="n">
        <x:f>((SQRT((Inputs!$C$52+Inputs!$C$5)^2+Inputs!$C$52^2-2*(Inputs!$C$52+Inputs!$C$5)*Inputs!$C$52*COS(SQRT((Model_Data!A75)^2+Inputs!$C$6^2)/Inputs!$C$52))-Inputs!$C$5)*1000/Inputs!$C$12)</x:f>
        <x:v>1036.1608210971144</x:v>
      </x:c>
      <x:c r="D75" s="9" t="n">
        <x:f>Model_Data!F75</x:f>
        <x:v>1034.9040437833773</x:v>
      </x:c>
      <x:c r="E75" s="9" t="n">
        <x:f>Model_Data!AC75</x:f>
        <x:v>811.3036357936002</x:v>
      </x:c>
      <x:c r="F75" s="10" t="n"/>
      <x:c r="G75" s="9" t="n">
        <x:f>Model_Data!A75</x:f>
        <x:v>-23.5</x:v>
      </x:c>
      <x:c r="H75" s="9" t="n">
        <x:f>Model_Data!Y75</x:f>
        <x:v>273.93459884711217</x:v>
      </x:c>
      <x:c r="I75" s="9" t="n">
        <x:f>Model_Data!Y75</x:f>
        <x:v>273.93459884711217</x:v>
      </x:c>
      <x:c r="J75" s="9" t="n">
        <x:f>Model_Data!X75</x:f>
        <x:v>-125.65162794647964</x:v>
      </x:c>
      <x:c r="K75" s="9" t="n">
        <x:f>Model_Data!A75</x:f>
        <x:v>-23.5</x:v>
      </x:c>
      <x:c r="L75" s="9" t="n">
        <x:f>Model_Data!Y75</x:f>
        <x:v>273.93459884711217</x:v>
      </x:c>
      <x:c r="M75" s="9" t="n">
        <x:f>Model_Data!X75</x:f>
        <x:v>-125.65162794647964</x:v>
      </x:c>
      <x:c r="N75" s="9" t="n">
        <x:f>-(Model_Data!AC75-Model_Data!F75)*Inputs!$C$12</x:f>
        <x:v>398.0087262218034</x:v>
      </x:c>
      <x:c r="O75" s="10" t="n"/>
      <x:c r="P75" s="9" t="n">
        <x:f>Model_Data!A75</x:f>
        <x:v>-23.5</x:v>
      </x:c>
      <x:c r="Q75" s="9" t="n">
        <x:f>Model_Data!P75</x:f>
        <x:v>200.64806626696736</x:v>
      </x:c>
      <x:c r="R75" s="9" t="n">
        <x:f>Model_Data!AM75</x:f>
        <x:v>218.20922536780927</x:v>
      </x:c>
      <x:c r="S75" s="9" t="n">
        <x:f>Model_Data!Q75</x:f>
        <x:v>30.12733727732243</x:v>
      </x:c>
      <x:c r="T75" s="9" t="n">
        <x:f>Model_Data!AN75</x:f>
        <x:v>32.764147953124514</x:v>
      </x:c>
      <x:c r="U75" s="10" t="n"/>
      <x:c r="V75" s="9" t="n">
        <x:f>Model_Data!A75</x:f>
        <x:v>-23.5</x:v>
      </x:c>
      <x:c r="W75" s="9" t="n">
        <x:f>Model_Data!B75-Inputs!$C$5</x:f>
        <x:v>0.6136111111110836</x:v>
      </x:c>
      <x:c r="X75" s="10" t="n"/>
      <x:c r="Y75" s="9" t="n">
        <x:f>Model_Data!A75</x:f>
        <x:v>-23.5</x:v>
      </x:c>
      <x:c r="Z75" s="9" t="n">
        <x:f>0</x:f>
        <x:v>0</x:v>
      </x:c>
      <x:c r="AA75" s="9" t="n">
        <x:f>((SQRT((Inputs!$C$52+Inputs!$C$5)^2+Inputs!$C$52^2-2*(Inputs!$C$52+Inputs!$C$5)*Inputs!$C$52*COS(SQRT((Model_Data!A75)^2+Inputs!$C$6^2)/Inputs!$C$52))-Inputs!$C$5)*1000/Inputs!$C$12)</x:f>
        <x:v>1036.1608210971144</x:v>
      </x:c>
      <x:c r="AB75" s="9" t="n">
        <x:f>Model_Data!F75</x:f>
        <x:v>1034.9040437833773</x:v>
      </x:c>
    </x:row>
    <x:row r="76">
      <x:c r="A76" s="9" t="n">
        <x:f>Model_Data!A76</x:f>
        <x:v>-23</x:v>
      </x:c>
      <x:c r="B76" s="9" t="n">
        <x:f>0</x:f>
        <x:v>0</x:v>
      </x:c>
      <x:c r="C76" s="9" t="n">
        <x:f>((SQRT((Inputs!$C$52+Inputs!$C$5)^2+Inputs!$C$52^2-2*(Inputs!$C$52+Inputs!$C$5)*Inputs!$C$52*COS(SQRT((Model_Data!A76)^2+Inputs!$C$6^2)/Inputs!$C$52))-Inputs!$C$5)*1000/Inputs!$C$12)</x:f>
        <x:v>1015.7440940999775</x:v>
      </x:c>
      <x:c r="D76" s="9" t="n">
        <x:f>Model_Data!F76</x:f>
        <x:v>1014.5637530711654</x:v>
      </x:c>
      <x:c r="E76" s="9" t="n">
        <x:f>Model_Data!AC76</x:f>
        <x:v>783.9327322012089</x:v>
      </x:c>
      <x:c r="F76" s="10" t="n"/>
      <x:c r="G76" s="9" t="n">
        <x:f>Model_Data!A76</x:f>
        <x:v>-23</x:v>
      </x:c>
      <x:c r="H76" s="9" t="n">
        <x:f>Model_Data!Y76</x:f>
        <x:v>279.55588840773</x:v>
      </x:c>
      <x:c r="I76" s="9" t="n">
        <x:f>Model_Data!Y76</x:f>
        <x:v>279.55588840773</x:v>
      </x:c>
      <x:c r="J76" s="9" t="n">
        <x:f>Model_Data!X76</x:f>
        <x:v>-132.5457898426781</x:v>
      </x:c>
      <x:c r="K76" s="9" t="n">
        <x:f>Model_Data!A76</x:f>
        <x:v>-23</x:v>
      </x:c>
      <x:c r="L76" s="9" t="n">
        <x:f>Model_Data!Y76</x:f>
        <x:v>279.55588840773</x:v>
      </x:c>
      <x:c r="M76" s="9" t="n">
        <x:f>Model_Data!X76</x:f>
        <x:v>-132.5457898426781</x:v>
      </x:c>
      <x:c r="N76" s="9" t="n">
        <x:f>-(Model_Data!AC76-Model_Data!F76)*Inputs!$C$12</x:f>
        <x:v>410.5232171485226</x:v>
      </x:c>
      <x:c r="O76" s="10" t="n"/>
      <x:c r="P76" s="9" t="n">
        <x:f>Model_Data!A76</x:f>
        <x:v>-23</x:v>
      </x:c>
      <x:c r="Q76" s="9" t="n">
        <x:f>Model_Data!P76</x:f>
        <x:v>196.40114070170966</x:v>
      </x:c>
      <x:c r="R76" s="9" t="n">
        <x:f>Model_Data!AM76</x:f>
        <x:v>216.80914002981808</x:v>
      </x:c>
      <x:c r="S76" s="9" t="n">
        <x:f>Model_Data!Q76</x:f>
        <x:v>29.489660766022475</x:v>
      </x:c>
      <x:c r="T76" s="9" t="n">
        <x:f>Model_Data!AN76</x:f>
        <x:v>32.553924929402115</x:v>
      </x:c>
      <x:c r="U76" s="10" t="n"/>
      <x:c r="V76" s="9" t="n">
        <x:f>Model_Data!A76</x:f>
        <x:v>-23</x:v>
      </x:c>
      <x:c r="W76" s="9" t="n">
        <x:f>Model_Data!B76-Inputs!$C$5</x:f>
        <x:v>0.5877777777777737</x:v>
      </x:c>
      <x:c r="X76" s="10" t="n"/>
      <x:c r="Y76" s="9" t="n">
        <x:f>Model_Data!A76</x:f>
        <x:v>-23</x:v>
      </x:c>
      <x:c r="Z76" s="9" t="n">
        <x:f>0</x:f>
        <x:v>0</x:v>
      </x:c>
      <x:c r="AA76" s="9" t="n">
        <x:f>((SQRT((Inputs!$C$52+Inputs!$C$5)^2+Inputs!$C$52^2-2*(Inputs!$C$52+Inputs!$C$5)*Inputs!$C$52*COS(SQRT((Model_Data!A76)^2+Inputs!$C$6^2)/Inputs!$C$52))-Inputs!$C$5)*1000/Inputs!$C$12)</x:f>
        <x:v>1015.7440940999775</x:v>
      </x:c>
      <x:c r="AB76" s="9" t="n">
        <x:f>Model_Data!F76</x:f>
        <x:v>1014.5637530711654</x:v>
      </x:c>
    </x:row>
    <x:row r="77">
      <x:c r="A77" s="9" t="n">
        <x:f>Model_Data!A77</x:f>
        <x:v>-22.5</x:v>
      </x:c>
      <x:c r="B77" s="9" t="n">
        <x:f>0</x:f>
        <x:v>0</x:v>
      </x:c>
      <x:c r="C77" s="9" t="n">
        <x:f>((SQRT((Inputs!$C$52+Inputs!$C$5)^2+Inputs!$C$52^2-2*(Inputs!$C$52+Inputs!$C$5)*Inputs!$C$52*COS(SQRT((Model_Data!A77)^2+Inputs!$C$6^2)/Inputs!$C$52))-Inputs!$C$5)*1000/Inputs!$C$12)</x:f>
        <x:v>995.7646174390374</x:v>
      </x:c>
      <x:c r="D77" s="9" t="n">
        <x:f>Model_Data!F77</x:f>
        <x:v>994.6570764645656</x:v>
      </x:c>
      <x:c r="E77" s="9" t="n">
        <x:f>Model_Data!AC77</x:f>
        <x:v>756.7879503186583</x:v>
      </x:c>
      <x:c r="F77" s="10" t="n"/>
      <x:c r="G77" s="9" t="n">
        <x:f>Model_Data!A77</x:f>
        <x:v>-22.5</x:v>
      </x:c>
      <x:c r="H77" s="9" t="n">
        <x:f>Model_Data!Y77</x:f>
        <x:v>286.69936407981004</x:v>
      </x:c>
      <x:c r="I77" s="9" t="n">
        <x:f>Model_Data!Y77</x:f>
        <x:v>286.69936407981004</x:v>
      </x:c>
      <x:c r="J77" s="9" t="n">
        <x:f>Model_Data!X77</x:f>
        <x:v>-138.29494668428998</x:v>
      </x:c>
      <x:c r="K77" s="9" t="n">
        <x:f>Model_Data!A77</x:f>
        <x:v>-22.5</x:v>
      </x:c>
      <x:c r="L77" s="9" t="n">
        <x:f>Model_Data!Y77</x:f>
        <x:v>286.69936407981004</x:v>
      </x:c>
      <x:c r="M77" s="9" t="n">
        <x:f>Model_Data!X77</x:f>
        <x:v>-138.29494668428998</x:v>
      </x:c>
      <x:c r="N77" s="9" t="n">
        <x:f>-(Model_Data!AC77-Model_Data!F77)*Inputs!$C$12</x:f>
        <x:v>423.40704453971506</x:v>
      </x:c>
      <x:c r="O77" s="10" t="n"/>
      <x:c r="P77" s="9" t="n">
        <x:f>Model_Data!A77</x:f>
        <x:v>-22.5</x:v>
      </x:c>
      <x:c r="Q77" s="9" t="n">
        <x:f>Model_Data!P77</x:f>
        <x:v>192.15279373456724</x:v>
      </x:c>
      <x:c r="R77" s="9" t="n">
        <x:f>Model_Data!AM77</x:f>
        <x:v>251.21183481469416</x:v>
      </x:c>
      <x:c r="S77" s="9" t="n">
        <x:f>Model_Data!Q77</x:f>
        <x:v>28.851770831016104</x:v>
      </x:c>
      <x:c r="T77" s="9" t="n">
        <x:f>Model_Data!AN77</x:f>
        <x:v>37.71949471692105</x:v>
      </x:c>
      <x:c r="U77" s="10" t="n"/>
      <x:c r="V77" s="9" t="n">
        <x:f>Model_Data!A77</x:f>
        <x:v>-22.5</x:v>
      </x:c>
      <x:c r="W77" s="9" t="n">
        <x:f>Model_Data!B77-Inputs!$C$5</x:f>
        <x:v>0.5625</x:v>
      </x:c>
      <x:c r="X77" s="10" t="n"/>
      <x:c r="Y77" s="9" t="n">
        <x:f>Model_Data!A77</x:f>
        <x:v>-22.5</x:v>
      </x:c>
      <x:c r="Z77" s="9" t="n">
        <x:f>0</x:f>
        <x:v>0</x:v>
      </x:c>
      <x:c r="AA77" s="9" t="n">
        <x:f>((SQRT((Inputs!$C$52+Inputs!$C$5)^2+Inputs!$C$52^2-2*(Inputs!$C$52+Inputs!$C$5)*Inputs!$C$52*COS(SQRT((Model_Data!A77)^2+Inputs!$C$6^2)/Inputs!$C$52))-Inputs!$C$5)*1000/Inputs!$C$12)</x:f>
        <x:v>995.7646174390374</x:v>
      </x:c>
      <x:c r="AB77" s="9" t="n">
        <x:f>Model_Data!F77</x:f>
        <x:v>994.6570764645656</x:v>
      </x:c>
    </x:row>
    <x:row r="78">
      <x:c r="A78" s="9" t="n">
        <x:f>Model_Data!A78</x:f>
        <x:v>-22</x:v>
      </x:c>
      <x:c r="B78" s="9" t="n">
        <x:f>0</x:f>
        <x:v>0</x:v>
      </x:c>
      <x:c r="C78" s="9" t="n">
        <x:f>((SQRT((Inputs!$C$52+Inputs!$C$5)^2+Inputs!$C$52^2-2*(Inputs!$C$52+Inputs!$C$5)*Inputs!$C$52*COS(SQRT((Model_Data!A78)^2+Inputs!$C$6^2)/Inputs!$C$52))-Inputs!$C$5)*1000/Inputs!$C$12)</x:f>
        <x:v>976.222509285854</x:v>
      </x:c>
      <x:c r="D78" s="9" t="n">
        <x:f>Model_Data!F78</x:f>
        <x:v>975.1842608890905</x:v>
      </x:c>
      <x:c r="E78" s="9" t="n">
        <x:f>Model_Data!AC78</x:f>
        <x:v>717.3255213802904</x:v>
      </x:c>
      <x:c r="F78" s="10" t="n"/>
      <x:c r="G78" s="9" t="n">
        <x:f>Model_Data!A78</x:f>
        <x:v>-22</x:v>
      </x:c>
      <x:c r="H78" s="9" t="n">
        <x:f>Model_Data!Y78</x:f>
        <x:v>316.60820817766927</x:v>
      </x:c>
      <x:c r="I78" s="9" t="n">
        <x:f>Model_Data!Y78</x:f>
        <x:v>316.60820817766927</x:v>
      </x:c>
      <x:c r="J78" s="9" t="n">
        <x:f>Model_Data!X78</x:f>
        <x:v>-144.0992283446906</x:v>
      </x:c>
      <x:c r="K78" s="9" t="n">
        <x:f>Model_Data!A78</x:f>
        <x:v>-22</x:v>
      </x:c>
      <x:c r="L78" s="9" t="n">
        <x:f>Model_Data!Y78</x:f>
        <x:v>316.60820817766927</x:v>
      </x:c>
      <x:c r="M78" s="9" t="n">
        <x:f>Model_Data!X78</x:f>
        <x:v>-144.0992283446906</x:v>
      </x:c>
      <x:c r="N78" s="9" t="n">
        <x:f>-(Model_Data!AC78-Model_Data!F78)*Inputs!$C$12</x:f>
        <x:v>458.9885563256642</x:v>
      </x:c>
      <x:c r="O78" s="10" t="n"/>
      <x:c r="P78" s="9" t="n">
        <x:f>Model_Data!A78</x:f>
        <x:v>-22</x:v>
      </x:c>
      <x:c r="Q78" s="9" t="n">
        <x:f>Model_Data!P78</x:f>
        <x:v>187.90305521988557</x:v>
      </x:c>
      <x:c r="R78" s="9" t="n">
        <x:f>Model_Data!AM78</x:f>
        <x:v>260.81096796797283</x:v>
      </x:c>
      <x:c r="S78" s="9" t="n">
        <x:f>Model_Data!Q78</x:f>
        <x:v>28.213671954937777</x:v>
      </x:c>
      <x:c r="T78" s="9" t="n">
        <x:f>Model_Data!AN78</x:f>
        <x:v>39.16080600119712</x:v>
      </x:c>
      <x:c r="U78" s="10" t="n"/>
      <x:c r="V78" s="9" t="n">
        <x:f>Model_Data!A78</x:f>
        <x:v>-22</x:v>
      </x:c>
      <x:c r="W78" s="9" t="n">
        <x:f>Model_Data!B78-Inputs!$C$5</x:f>
        <x:v>0.5377777777777624</x:v>
      </x:c>
      <x:c r="X78" s="10" t="n"/>
      <x:c r="Y78" s="9" t="n">
        <x:f>Model_Data!A78</x:f>
        <x:v>-22</x:v>
      </x:c>
      <x:c r="Z78" s="9" t="n">
        <x:f>0</x:f>
        <x:v>0</x:v>
      </x:c>
      <x:c r="AA78" s="9" t="n">
        <x:f>((SQRT((Inputs!$C$52+Inputs!$C$5)^2+Inputs!$C$52^2-2*(Inputs!$C$52+Inputs!$C$5)*Inputs!$C$52*COS(SQRT((Model_Data!A78)^2+Inputs!$C$6^2)/Inputs!$C$52))-Inputs!$C$5)*1000/Inputs!$C$12)</x:f>
        <x:v>976.222509285854</x:v>
      </x:c>
      <x:c r="AB78" s="9" t="n">
        <x:f>Model_Data!F78</x:f>
        <x:v>975.1842608890905</x:v>
      </x:c>
    </x:row>
    <x:row r="79">
      <x:c r="A79" s="9" t="n">
        <x:f>Model_Data!A79</x:f>
        <x:v>-21.5</x:v>
      </x:c>
      <x:c r="B79" s="9" t="n">
        <x:f>0</x:f>
        <x:v>0</x:v>
      </x:c>
      <x:c r="C79" s="9" t="n">
        <x:f>((SQRT((Inputs!$C$52+Inputs!$C$5)^2+Inputs!$C$52^2-2*(Inputs!$C$52+Inputs!$C$5)*Inputs!$C$52*COS(SQRT((Model_Data!A79)^2+Inputs!$C$6^2)/Inputs!$C$52))-Inputs!$C$5)*1000/Inputs!$C$12)</x:f>
        <x:v>957.1178852667437</x:v>
      </x:c>
      <x:c r="D79" s="9" t="n">
        <x:f>Model_Data!F79</x:f>
        <x:v>956.1455480243712</x:v>
      </x:c>
      <x:c r="E79" s="9" t="n">
        <x:f>Model_Data!AC79</x:f>
        <x:v>682.2050471951474</x:v>
      </x:c>
      <x:c r="F79" s="10" t="n"/>
      <x:c r="G79" s="9" t="n">
        <x:f>Model_Data!A79</x:f>
        <x:v>-21.5</x:v>
      </x:c>
      <x:c r="H79" s="9" t="n">
        <x:f>Model_Data!Y79</x:f>
        <x:v>332.44947759769417</x:v>
      </x:c>
      <x:c r="I79" s="9" t="n">
        <x:f>Model_Data!Y79</x:f>
        <x:v>332.44947759769417</x:v>
      </x:c>
      <x:c r="J79" s="9" t="n">
        <x:f>Model_Data!X79</x:f>
        <x:v>-156.9345481530768</x:v>
      </x:c>
      <x:c r="K79" s="9" t="n">
        <x:f>Model_Data!A79</x:f>
        <x:v>-21.5</x:v>
      </x:c>
      <x:c r="L79" s="9" t="n">
        <x:f>Model_Data!Y79</x:f>
        <x:v>332.44947759769417</x:v>
      </x:c>
      <x:c r="M79" s="9" t="n">
        <x:f>Model_Data!X79</x:f>
        <x:v>-156.9345481530768</x:v>
      </x:c>
      <x:c r="N79" s="9" t="n">
        <x:f>-(Model_Data!AC79-Model_Data!F79)*Inputs!$C$12</x:f>
        <x:v>487.61409147601853</x:v>
      </x:c>
      <x:c r="O79" s="10" t="n"/>
      <x:c r="P79" s="9" t="n">
        <x:f>Model_Data!A79</x:f>
        <x:v>-21.5</x:v>
      </x:c>
      <x:c r="Q79" s="9" t="n">
        <x:f>Model_Data!P79</x:f>
        <x:v>183.65195507121825</x:v>
      </x:c>
      <x:c r="R79" s="9" t="n">
        <x:f>Model_Data!AM79</x:f>
        <x:v>185.84239228039223</x:v>
      </x:c>
      <x:c r="S79" s="9" t="n">
        <x:f>Model_Data!Q79</x:f>
        <x:v>27.575368629312052</x:v>
      </x:c>
      <x:c r="T79" s="9" t="n">
        <x:f>Model_Data!AN79</x:f>
        <x:v>27.904263105164002</x:v>
      </x:c>
      <x:c r="U79" s="10" t="n"/>
      <x:c r="V79" s="9" t="n">
        <x:f>Model_Data!A79</x:f>
        <x:v>-21.5</x:v>
      </x:c>
      <x:c r="W79" s="9" t="n">
        <x:f>Model_Data!B79-Inputs!$C$5</x:f>
        <x:v>0.5136111111111177</x:v>
      </x:c>
      <x:c r="X79" s="10" t="n"/>
      <x:c r="Y79" s="9" t="n">
        <x:f>Model_Data!A79</x:f>
        <x:v>-21.5</x:v>
      </x:c>
      <x:c r="Z79" s="9" t="n">
        <x:f>0</x:f>
        <x:v>0</x:v>
      </x:c>
      <x:c r="AA79" s="9" t="n">
        <x:f>((SQRT((Inputs!$C$52+Inputs!$C$5)^2+Inputs!$C$52^2-2*(Inputs!$C$52+Inputs!$C$5)*Inputs!$C$52*COS(SQRT((Model_Data!A79)^2+Inputs!$C$6^2)/Inputs!$C$52))-Inputs!$C$5)*1000/Inputs!$C$12)</x:f>
        <x:v>957.1178852667437</x:v>
      </x:c>
      <x:c r="AB79" s="9" t="n">
        <x:f>Model_Data!F79</x:f>
        <x:v>956.1455480243712</x:v>
      </x:c>
    </x:row>
    <x:row r="80">
      <x:c r="A80" s="9" t="n">
        <x:f>Model_Data!A80</x:f>
        <x:v>-21</x:v>
      </x:c>
      <x:c r="B80" s="9" t="n">
        <x:f>0</x:f>
        <x:v>0</x:v>
      </x:c>
      <x:c r="C80" s="9" t="n">
        <x:f>((SQRT((Inputs!$C$52+Inputs!$C$5)^2+Inputs!$C$52^2-2*(Inputs!$C$52+Inputs!$C$5)*Inputs!$C$52*COS(SQRT((Model_Data!A80)^2+Inputs!$C$6^2)/Inputs!$C$52))-Inputs!$C$5)*1000/Inputs!$C$12)</x:f>
        <x:v>938.450858456998</x:v>
      </x:c>
      <x:c r="D80" s="9" t="n">
        <x:f>Model_Data!F80</x:f>
        <x:v>937.5411742925972</x:v>
      </x:c>
      <x:c r="E80" s="9" t="n">
        <x:f>Model_Data!AC80</x:f>
        <x:v>679.880330945034</x:v>
      </x:c>
      <x:c r="F80" s="10" t="n"/>
      <x:c r="G80" s="9" t="n">
        <x:f>Model_Data!A80</x:f>
        <x:v>-21</x:v>
      </x:c>
      <x:c r="H80" s="9" t="n">
        <x:f>Model_Data!Y80</x:f>
        <x:v>317.91812880175183</x:v>
      </x:c>
      <x:c r="I80" s="9" t="n">
        <x:f>Model_Data!Y80</x:f>
        <x:v>317.91812880175183</x:v>
      </x:c>
      <x:c r="J80" s="9" t="n">
        <x:f>Model_Data!X80</x:f>
        <x:v>-142.37794992196604</x:v>
      </x:c>
      <x:c r="K80" s="9" t="n">
        <x:f>Model_Data!A80</x:f>
        <x:v>-21</x:v>
      </x:c>
      <x:c r="L80" s="9" t="n">
        <x:f>Model_Data!Y80</x:f>
        <x:v>317.91812880175183</x:v>
      </x:c>
      <x:c r="M80" s="9" t="n">
        <x:f>Model_Data!X80</x:f>
        <x:v>-142.37794992196604</x:v>
      </x:c>
      <x:c r="N80" s="9" t="n">
        <x:f>-(Model_Data!AC80-Model_Data!F80)*Inputs!$C$12</x:f>
        <x:v>458.63630115866266</x:v>
      </x:c>
      <x:c r="O80" s="10" t="n"/>
      <x:c r="P80" s="9" t="n">
        <x:f>Model_Data!A80</x:f>
        <x:v>-21</x:v>
      </x:c>
      <x:c r="Q80" s="9" t="n">
        <x:f>Model_Data!P80</x:f>
        <x:v>179.3995232830639</x:v>
      </x:c>
      <x:c r="R80" s="9" t="n">
        <x:f>Model_Data!AM80</x:f>
        <x:v>196.90678698616466</x:v>
      </x:c>
      <x:c r="S80" s="9" t="n">
        <x:f>Model_Data!Q80</x:f>
        <x:v>26.936865357817403</x:v>
      </x:c>
      <x:c r="T80" s="9" t="n">
        <x:f>Model_Data!AN80</x:f>
        <x:v>29.565583631556258</x:v>
      </x:c>
      <x:c r="U80" s="10" t="n"/>
      <x:c r="V80" s="9" t="n">
        <x:f>Model_Data!A80</x:f>
        <x:v>-21</x:v>
      </x:c>
      <x:c r="W80" s="9" t="n">
        <x:f>Model_Data!B80-Inputs!$C$5</x:f>
        <x:v>0.4900000000000091</x:v>
      </x:c>
      <x:c r="X80" s="10" t="n"/>
      <x:c r="Y80" s="9" t="n">
        <x:f>Model_Data!A80</x:f>
        <x:v>-21</x:v>
      </x:c>
      <x:c r="Z80" s="9" t="n">
        <x:f>0</x:f>
        <x:v>0</x:v>
      </x:c>
      <x:c r="AA80" s="9" t="n">
        <x:f>((SQRT((Inputs!$C$52+Inputs!$C$5)^2+Inputs!$C$52^2-2*(Inputs!$C$52+Inputs!$C$5)*Inputs!$C$52*COS(SQRT((Model_Data!A80)^2+Inputs!$C$6^2)/Inputs!$C$52))-Inputs!$C$5)*1000/Inputs!$C$12)</x:f>
        <x:v>938.450858456998</x:v>
      </x:c>
      <x:c r="AB80" s="9" t="n">
        <x:f>Model_Data!F80</x:f>
        <x:v>937.5411742925972</x:v>
      </x:c>
    </x:row>
    <x:row r="81">
      <x:c r="A81" s="9" t="n">
        <x:f>Model_Data!A81</x:f>
        <x:v>-20.5</x:v>
      </x:c>
      <x:c r="B81" s="9" t="n">
        <x:f>0</x:f>
        <x:v>0</x:v>
      </x:c>
      <x:c r="C81" s="9" t="n">
        <x:f>((SQRT((Inputs!$C$52+Inputs!$C$5)^2+Inputs!$C$52^2-2*(Inputs!$C$52+Inputs!$C$5)*Inputs!$C$52*COS(SQRT((Model_Data!A81)^2+Inputs!$C$6^2)/Inputs!$C$52))-Inputs!$C$5)*1000/Inputs!$C$12)</x:f>
        <x:v>920.2215393788732</x:v>
      </x:c>
      <x:c r="D81" s="9" t="n">
        <x:f>Model_Data!F81</x:f>
        <x:v>919.3713708416556</x:v>
      </x:c>
      <x:c r="E81" s="9" t="n">
        <x:f>Model_Data!AC81</x:f>
        <x:v>648.4879729465623</x:v>
      </x:c>
      <x:c r="F81" s="10" t="n"/>
      <x:c r="G81" s="9" t="n">
        <x:f>Model_Data!A81</x:f>
        <x:v>-20.5</x:v>
      </x:c>
      <x:c r="H81" s="9" t="n">
        <x:f>Model_Data!Y81</x:f>
        <x:v>343.37986587370784</x:v>
      </x:c>
      <x:c r="I81" s="9" t="n">
        <x:f>Model_Data!Y81</x:f>
        <x:v>343.37986587370784</x:v>
      </x:c>
      <x:c r="J81" s="9" t="n">
        <x:f>Model_Data!X81</x:f>
        <x:v>-140.5508651158499</x:v>
      </x:c>
      <x:c r="K81" s="9" t="n">
        <x:f>Model_Data!A81</x:f>
        <x:v>-20.5</x:v>
      </x:c>
      <x:c r="L81" s="9" t="n">
        <x:f>Model_Data!Y81</x:f>
        <x:v>343.37986587370784</x:v>
      </x:c>
      <x:c r="M81" s="9" t="n">
        <x:f>Model_Data!X81</x:f>
        <x:v>-140.5508651158499</x:v>
      </x:c>
      <x:c r="N81" s="9" t="n">
        <x:f>-(Model_Data!AC81-Model_Data!F81)*Inputs!$C$12</x:f>
        <x:v>482.172448253266</x:v>
      </x:c>
      <x:c r="O81" s="10" t="n"/>
      <x:c r="P81" s="9" t="n">
        <x:f>Model_Data!A81</x:f>
        <x:v>-20.5</x:v>
      </x:c>
      <x:c r="Q81" s="9" t="n">
        <x:f>Model_Data!P81</x:f>
        <x:v>175.14578990121663</x:v>
      </x:c>
      <x:c r="R81" s="9" t="n">
        <x:f>Model_Data!AM81</x:f>
        <x:v>207.46841210884668</x:v>
      </x:c>
      <x:c r="S81" s="9" t="n">
        <x:f>Model_Data!Q81</x:f>
        <x:v>26.298166651834332</x:v>
      </x:c>
      <x:c r="T81" s="9" t="n">
        <x:f>Model_Data!AN81</x:f>
        <x:v>31.15141322955656</x:v>
      </x:c>
      <x:c r="U81" s="10" t="n"/>
      <x:c r="V81" s="9" t="n">
        <x:f>Model_Data!A81</x:f>
        <x:v>-20.5</x:v>
      </x:c>
      <x:c r="W81" s="9" t="n">
        <x:f>Model_Data!B81-Inputs!$C$5</x:f>
        <x:v>0.4669444444444366</x:v>
      </x:c>
      <x:c r="X81" s="10" t="n"/>
      <x:c r="Y81" s="9" t="n">
        <x:f>Model_Data!A81</x:f>
        <x:v>-20.5</x:v>
      </x:c>
      <x:c r="Z81" s="9" t="n">
        <x:f>0</x:f>
        <x:v>0</x:v>
      </x:c>
      <x:c r="AA81" s="9" t="n">
        <x:f>((SQRT((Inputs!$C$52+Inputs!$C$5)^2+Inputs!$C$52^2-2*(Inputs!$C$52+Inputs!$C$5)*Inputs!$C$52*COS(SQRT((Model_Data!A81)^2+Inputs!$C$6^2)/Inputs!$C$52))-Inputs!$C$5)*1000/Inputs!$C$12)</x:f>
        <x:v>920.2215393788732</x:v>
      </x:c>
      <x:c r="AB81" s="9" t="n">
        <x:f>Model_Data!F81</x:f>
        <x:v>919.3713708416556</x:v>
      </x:c>
    </x:row>
    <x:row r="82">
      <x:c r="A82" s="9" t="n">
        <x:f>Model_Data!A82</x:f>
        <x:v>-20</x:v>
      </x:c>
      <x:c r="B82" s="9" t="n">
        <x:f>0</x:f>
        <x:v>0</x:v>
      </x:c>
      <x:c r="C82" s="9" t="n">
        <x:f>((SQRT((Inputs!$C$52+Inputs!$C$5)^2+Inputs!$C$52^2-2*(Inputs!$C$52+Inputs!$C$5)*Inputs!$C$52*COS(SQRT((Model_Data!A82)^2+Inputs!$C$6^2)/Inputs!$C$52))-Inputs!$C$5)*1000/Inputs!$C$12)</x:f>
        <x:v>902.4300359989069</x:v>
      </x:c>
      <x:c r="D82" s="9" t="n">
        <x:f>Model_Data!F82</x:f>
        <x:v>901.6363635438846</x:v>
      </x:c>
      <x:c r="E82" s="9" t="n">
        <x:f>Model_Data!AC82</x:f>
        <x:v>630.4070309665113</x:v>
      </x:c>
      <x:c r="F82" s="10" t="n"/>
      <x:c r="G82" s="9" t="n">
        <x:f>Model_Data!A82</x:f>
        <x:v>-20</x:v>
      </x:c>
      <x:c r="H82" s="9" t="n">
        <x:f>Model_Data!Y82</x:f>
        <x:v>338.15830709992554</x:v>
      </x:c>
      <x:c r="I82" s="9" t="n">
        <x:f>Model_Data!Y82</x:f>
        <x:v>338.15830709992554</x:v>
      </x:c>
      <x:c r="J82" s="9" t="n">
        <x:f>Model_Data!X82</x:f>
        <x:v>-146.32822187126578</x:v>
      </x:c>
      <x:c r="K82" s="9" t="n">
        <x:f>Model_Data!A82</x:f>
        <x:v>-20</x:v>
      </x:c>
      <x:c r="L82" s="9" t="n">
        <x:f>Model_Data!Y82</x:f>
        <x:v>338.15830709992554</x:v>
      </x:c>
      <x:c r="M82" s="9" t="n">
        <x:f>Model_Data!X82</x:f>
        <x:v>-146.32822187126578</x:v>
      </x:c>
      <x:c r="N82" s="9" t="n">
        <x:f>-(Model_Data!AC82-Model_Data!F82)*Inputs!$C$12</x:f>
        <x:v>482.7882119877244</x:v>
      </x:c>
      <x:c r="O82" s="10" t="n"/>
      <x:c r="P82" s="9" t="n">
        <x:f>Model_Data!A82</x:f>
        <x:v>-20</x:v>
      </x:c>
      <x:c r="Q82" s="9" t="n">
        <x:f>Model_Data!P82</x:f>
        <x:v>170.89078503895507</x:v>
      </x:c>
      <x:c r="R82" s="9" t="n">
        <x:f>Model_Data!AM82</x:f>
        <x:v>203.53163798381502</x:v>
      </x:c>
      <x:c r="S82" s="9" t="n">
        <x:f>Model_Data!Q82</x:f>
        <x:v>25.65927703287614</x:v>
      </x:c>
      <x:c r="T82" s="9" t="n">
        <x:f>Model_Data!AN82</x:f>
        <x:v>30.560306003575832</x:v>
      </x:c>
      <x:c r="U82" s="10" t="n"/>
      <x:c r="V82" s="9" t="n">
        <x:f>Model_Data!A82</x:f>
        <x:v>-20</x:v>
      </x:c>
      <x:c r="W82" s="9" t="n">
        <x:f>Model_Data!B82-Inputs!$C$5</x:f>
        <x:v>0.4444444444444571</x:v>
      </x:c>
      <x:c r="X82" s="10" t="n"/>
      <x:c r="Y82" s="9" t="n">
        <x:f>Model_Data!A82</x:f>
        <x:v>-20</x:v>
      </x:c>
      <x:c r="Z82" s="9" t="n">
        <x:f>0</x:f>
        <x:v>0</x:v>
      </x:c>
      <x:c r="AA82" s="9" t="n">
        <x:f>((SQRT((Inputs!$C$52+Inputs!$C$5)^2+Inputs!$C$52^2-2*(Inputs!$C$52+Inputs!$C$5)*Inputs!$C$52*COS(SQRT((Model_Data!A82)^2+Inputs!$C$6^2)/Inputs!$C$52))-Inputs!$C$5)*1000/Inputs!$C$12)</x:f>
        <x:v>902.4300359989069</x:v>
      </x:c>
      <x:c r="AB82" s="9" t="n">
        <x:f>Model_Data!F82</x:f>
        <x:v>901.6363635438846</x:v>
      </x:c>
    </x:row>
    <x:row r="83">
      <x:c r="A83" s="9" t="n">
        <x:f>Model_Data!A83</x:f>
        <x:v>-19.5</x:v>
      </x:c>
      <x:c r="B83" s="9" t="n">
        <x:f>0</x:f>
        <x:v>0</x:v>
      </x:c>
      <x:c r="C83" s="9" t="n">
        <x:f>((SQRT((Inputs!$C$52+Inputs!$C$5)^2+Inputs!$C$52^2-2*(Inputs!$C$52+Inputs!$C$5)*Inputs!$C$52*COS(SQRT((Model_Data!A83)^2+Inputs!$C$6^2)/Inputs!$C$52))-Inputs!$C$5)*1000/Inputs!$C$12)</x:f>
        <x:v>885.0764537237027</x:v>
      </x:c>
      <x:c r="D83" s="9" t="n">
        <x:f>Model_Data!F83</x:f>
        <x:v>884.3363729737207</x:v>
      </x:c>
      <x:c r="E83" s="9" t="n">
        <x:f>Model_Data!AC83</x:f>
        <x:v>602.2743199644198</x:v>
      </x:c>
      <x:c r="F83" s="10" t="n"/>
      <x:c r="G83" s="9" t="n">
        <x:f>Model_Data!A83</x:f>
        <x:v>-19.5</x:v>
      </x:c>
      <x:c r="H83" s="9" t="n">
        <x:f>Model_Data!Y83</x:f>
        <x:v>363.81454233496186</x:v>
      </x:c>
      <x:c r="I83" s="9" t="n">
        <x:f>Model_Data!Y83</x:f>
        <x:v>363.81454233496186</x:v>
      </x:c>
      <x:c r="J83" s="9" t="n">
        <x:f>Model_Data!X83</x:f>
        <x:v>-140.0483381286437</x:v>
      </x:c>
      <x:c r="K83" s="9" t="n">
        <x:f>Model_Data!A83</x:f>
        <x:v>-19.5</x:v>
      </x:c>
      <x:c r="L83" s="9" t="n">
        <x:f>Model_Data!Y83</x:f>
        <x:v>363.81454233496186</x:v>
      </x:c>
      <x:c r="M83" s="9" t="n">
        <x:f>Model_Data!X83</x:f>
        <x:v>-140.0483381286437</x:v>
      </x:c>
      <x:c r="N83" s="9" t="n">
        <x:f>-(Model_Data!AC83-Model_Data!F83)*Inputs!$C$12</x:f>
        <x:v>502.0704543565557</x:v>
      </x:c>
      <x:c r="O83" s="10" t="n"/>
      <x:c r="P83" s="9" t="n">
        <x:f>Model_Data!A83</x:f>
        <x:v>-19.5</x:v>
      </x:c>
      <x:c r="Q83" s="9" t="n">
        <x:f>Model_Data!P83</x:f>
        <x:v>166.6345388791342</x:v>
      </x:c>
      <x:c r="R83" s="9" t="n">
        <x:f>Model_Data!AM83</x:f>
        <x:v>219.32626696361694</x:v>
      </x:c>
      <x:c r="S83" s="9" t="n">
        <x:f>Model_Data!Q83</x:f>
        <x:v>25.020201032903035</x:v>
      </x:c>
      <x:c r="T83" s="9" t="n">
        <x:f>Model_Data!AN83</x:f>
        <x:v>32.931871916459</x:v>
      </x:c>
      <x:c r="U83" s="10" t="n"/>
      <x:c r="V83" s="9" t="n">
        <x:f>Model_Data!A83</x:f>
        <x:v>-19.5</x:v>
      </x:c>
      <x:c r="W83" s="9" t="n">
        <x:f>Model_Data!B83-Inputs!$C$5</x:f>
        <x:v>0.42250000000001364</x:v>
      </x:c>
      <x:c r="X83" s="10" t="n"/>
      <x:c r="Y83" s="9" t="n">
        <x:f>Model_Data!A83</x:f>
        <x:v>-19.5</x:v>
      </x:c>
      <x:c r="Z83" s="9" t="n">
        <x:f>0</x:f>
        <x:v>0</x:v>
      </x:c>
      <x:c r="AA83" s="9" t="n">
        <x:f>((SQRT((Inputs!$C$52+Inputs!$C$5)^2+Inputs!$C$52^2-2*(Inputs!$C$52+Inputs!$C$5)*Inputs!$C$52*COS(SQRT((Model_Data!A83)^2+Inputs!$C$6^2)/Inputs!$C$52))-Inputs!$C$5)*1000/Inputs!$C$12)</x:f>
        <x:v>885.0764537237027</x:v>
      </x:c>
      <x:c r="AB83" s="9" t="n">
        <x:f>Model_Data!F83</x:f>
        <x:v>884.3363729737207</x:v>
      </x:c>
    </x:row>
    <x:row r="84">
      <x:c r="A84" s="9" t="n">
        <x:f>Model_Data!A84</x:f>
        <x:v>-19</x:v>
      </x:c>
      <x:c r="B84" s="9" t="n">
        <x:f>0</x:f>
        <x:v>0</x:v>
      </x:c>
      <x:c r="C84" s="9" t="n">
        <x:f>((SQRT((Inputs!$C$52+Inputs!$C$5)^2+Inputs!$C$52^2-2*(Inputs!$C$52+Inputs!$C$5)*Inputs!$C$52*COS(SQRT((Model_Data!A84)^2+Inputs!$C$6^2)/Inputs!$C$52))-Inputs!$C$5)*1000/Inputs!$C$12)</x:f>
        <x:v>868.1608953972801</x:v>
      </x:c>
      <x:c r="D84" s="9" t="n">
        <x:f>Model_Data!F84</x:f>
        <x:v>867.4716144056217</x:v>
      </x:c>
      <x:c r="E84" s="9" t="n">
        <x:f>Model_Data!AC84</x:f>
        <x:v>578.5526013330914</x:v>
      </x:c>
      <x:c r="F84" s="10" t="n"/>
      <x:c r="G84" s="9" t="n">
        <x:f>Model_Data!A84</x:f>
        <x:v>-19</x:v>
      </x:c>
      <x:c r="H84" s="9" t="n">
        <x:f>Model_Data!Y84</x:f>
        <x:v>371.18641988344854</x:v>
      </x:c>
      <x:c r="I84" s="9" t="n">
        <x:f>Model_Data!Y84</x:f>
        <x:v>371.18641988344854</x:v>
      </x:c>
      <x:c r="J84" s="9" t="n">
        <x:f>Model_Data!X84</x:f>
        <x:v>-144.88352309984418</x:v>
      </x:c>
      <x:c r="K84" s="9" t="n">
        <x:f>Model_Data!A84</x:f>
        <x:v>-19</x:v>
      </x:c>
      <x:c r="L84" s="9" t="n">
        <x:f>Model_Data!Y84</x:f>
        <x:v>371.18641988344854</x:v>
      </x:c>
      <x:c r="M84" s="9" t="n">
        <x:f>Model_Data!X84</x:f>
        <x:v>-144.88352309984418</x:v>
      </x:c>
      <x:c r="N84" s="9" t="n">
        <x:f>-(Model_Data!AC84-Model_Data!F84)*Inputs!$C$12</x:f>
        <x:v>514.275843269104</x:v>
      </x:c>
      <x:c r="O84" s="10" t="n"/>
      <x:c r="P84" s="9" t="n">
        <x:f>Model_Data!A84</x:f>
        <x:v>-19</x:v>
      </x:c>
      <x:c r="Q84" s="9" t="n">
        <x:f>Model_Data!P84</x:f>
        <x:v>162.37708165526783</x:v>
      </x:c>
      <x:c r="R84" s="9" t="n">
        <x:f>Model_Data!AM84</x:f>
        <x:v>165.46845659795508</x:v>
      </x:c>
      <x:c r="S84" s="9" t="n">
        <x:f>Model_Data!Q84</x:f>
        <x:v>24.38094319148166</x:v>
      </x:c>
      <x:c r="T84" s="9" t="n">
        <x:f>Model_Data!AN84</x:f>
        <x:v>24.84511360329656</x:v>
      </x:c>
      <x:c r="U84" s="10" t="n"/>
      <x:c r="V84" s="9" t="n">
        <x:f>Model_Data!A84</x:f>
        <x:v>-19</x:v>
      </x:c>
      <x:c r="W84" s="9" t="n">
        <x:f>Model_Data!B84-Inputs!$C$5</x:f>
        <x:v>0.4011111111111063</x:v>
      </x:c>
      <x:c r="X84" s="10" t="n"/>
      <x:c r="Y84" s="9" t="n">
        <x:f>Model_Data!A84</x:f>
        <x:v>-19</x:v>
      </x:c>
      <x:c r="Z84" s="9" t="n">
        <x:f>0</x:f>
        <x:v>0</x:v>
      </x:c>
      <x:c r="AA84" s="9" t="n">
        <x:f>((SQRT((Inputs!$C$52+Inputs!$C$5)^2+Inputs!$C$52^2-2*(Inputs!$C$52+Inputs!$C$5)*Inputs!$C$52*COS(SQRT((Model_Data!A84)^2+Inputs!$C$6^2)/Inputs!$C$52))-Inputs!$C$5)*1000/Inputs!$C$12)</x:f>
        <x:v>868.1608953972801</x:v>
      </x:c>
      <x:c r="AB84" s="9" t="n">
        <x:f>Model_Data!F84</x:f>
        <x:v>867.4716144056217</x:v>
      </x:c>
    </x:row>
    <x:row r="85">
      <x:c r="A85" s="9" t="n">
        <x:f>Model_Data!A85</x:f>
        <x:v>-18.5</x:v>
      </x:c>
      <x:c r="B85" s="9" t="n">
        <x:f>0</x:f>
        <x:v>0</x:v>
      </x:c>
      <x:c r="C85" s="9" t="n">
        <x:f>((SQRT((Inputs!$C$52+Inputs!$C$5)^2+Inputs!$C$52^2-2*(Inputs!$C$52+Inputs!$C$5)*Inputs!$C$52*COS(SQRT((Model_Data!A85)^2+Inputs!$C$6^2)/Inputs!$C$52))-Inputs!$C$5)*1000/Inputs!$C$12)</x:f>
        <x:v>851.6834612977212</x:v>
      </x:c>
      <x:c r="D85" s="9" t="n">
        <x:f>Model_Data!F85</x:f>
        <x:v>851.0422977982597</x:v>
      </x:c>
      <x:c r="E85" s="9" t="n">
        <x:f>Model_Data!AC85</x:f>
        <x:v>569.7962915220157</x:v>
      </x:c>
      <x:c r="F85" s="10" t="n"/>
      <x:c r="G85" s="9" t="n">
        <x:f>Model_Data!A85</x:f>
        <x:v>-18.5</x:v>
      </x:c>
      <x:c r="H85" s="9" t="n">
        <x:f>Model_Data!Y85</x:f>
        <x:v>365.6884368087795</x:v>
      </x:c>
      <x:c r="I85" s="9" t="n">
        <x:f>Model_Data!Y85</x:f>
        <x:v>365.6884368087795</x:v>
      </x:c>
      <x:c r="J85" s="9" t="n">
        <x:f>Model_Data!X85</x:f>
        <x:v>-136.66366560462208</x:v>
      </x:c>
      <x:c r="K85" s="9" t="n">
        <x:f>Model_Data!A85</x:f>
        <x:v>-18.5</x:v>
      </x:c>
      <x:c r="L85" s="9" t="n">
        <x:f>Model_Data!Y85</x:f>
        <x:v>365.6884368087795</x:v>
      </x:c>
      <x:c r="M85" s="9" t="n">
        <x:f>Model_Data!X85</x:f>
        <x:v>-136.66366560462208</x:v>
      </x:c>
      <x:c r="N85" s="9" t="n">
        <x:f>-(Model_Data!AC85-Model_Data!F85)*Inputs!$C$12</x:f>
        <x:v>500.6178911717143</x:v>
      </x:c>
      <x:c r="O85" s="10" t="n"/>
      <x:c r="P85" s="9" t="n">
        <x:f>Model_Data!A85</x:f>
        <x:v>-18.5</x:v>
      </x:c>
      <x:c r="Q85" s="9" t="n">
        <x:f>Model_Data!P85</x:f>
        <x:v>158.1184436692638</x:v>
      </x:c>
      <x:c r="R85" s="9" t="n">
        <x:f>Model_Data!AM85</x:f>
        <x:v>191.40687485714807</x:v>
      </x:c>
      <x:c r="S85" s="9" t="n">
        <x:f>Model_Data!Q85</x:f>
        <x:v>23.74150805844802</x:v>
      </x:c>
      <x:c r="T85" s="9" t="n">
        <x:f>Model_Data!AN85</x:f>
        <x:v>28.739770999571785</x:v>
      </x:c>
      <x:c r="U85" s="10" t="n"/>
      <x:c r="V85" s="9" t="n">
        <x:f>Model_Data!A85</x:f>
        <x:v>-18.5</x:v>
      </x:c>
      <x:c r="W85" s="9" t="n">
        <x:f>Model_Data!B85-Inputs!$C$5</x:f>
        <x:v>0.3802777777777919</x:v>
      </x:c>
      <x:c r="X85" s="10" t="n"/>
      <x:c r="Y85" s="9" t="n">
        <x:f>Model_Data!A85</x:f>
        <x:v>-18.5</x:v>
      </x:c>
      <x:c r="Z85" s="9" t="n">
        <x:f>0</x:f>
        <x:v>0</x:v>
      </x:c>
      <x:c r="AA85" s="9" t="n">
        <x:f>((SQRT((Inputs!$C$52+Inputs!$C$5)^2+Inputs!$C$52^2-2*(Inputs!$C$52+Inputs!$C$5)*Inputs!$C$52*COS(SQRT((Model_Data!A85)^2+Inputs!$C$6^2)/Inputs!$C$52))-Inputs!$C$5)*1000/Inputs!$C$12)</x:f>
        <x:v>851.6834612977212</x:v>
      </x:c>
      <x:c r="AB85" s="9" t="n">
        <x:f>Model_Data!F85</x:f>
        <x:v>851.0422977982597</x:v>
      </x:c>
    </x:row>
    <x:row r="86">
      <x:c r="A86" s="9" t="n">
        <x:f>Model_Data!A86</x:f>
        <x:v>-18</x:v>
      </x:c>
      <x:c r="B86" s="9" t="n">
        <x:f>0</x:f>
        <x:v>0</x:v>
      </x:c>
      <x:c r="C86" s="9" t="n">
        <x:f>((SQRT((Inputs!$C$52+Inputs!$C$5)^2+Inputs!$C$52^2-2*(Inputs!$C$52+Inputs!$C$5)*Inputs!$C$52*COS(SQRT((Model_Data!A86)^2+Inputs!$C$6^2)/Inputs!$C$52))-Inputs!$C$5)*1000/Inputs!$C$12)</x:f>
        <x:v>835.6442491352863</x:v>
      </x:c>
      <x:c r="D86" s="9" t="n">
        <x:f>Model_Data!F86</x:f>
        <x:v>835.0486277864097</x:v>
      </x:c>
      <x:c r="E86" s="9" t="n">
        <x:f>Model_Data!AC86</x:f>
        <x:v>532.0597578781808</x:v>
      </x:c>
      <x:c r="F86" s="10" t="n"/>
      <x:c r="G86" s="9" t="n">
        <x:f>Model_Data!A86</x:f>
        <x:v>-18</x:v>
      </x:c>
      <x:c r="H86" s="9" t="n">
        <x:f>Model_Data!Y86</x:f>
        <x:v>392.0220541536099</x:v>
      </x:c>
      <x:c r="I86" s="9" t="n">
        <x:f>Model_Data!Y86</x:f>
        <x:v>392.0220541536099</x:v>
      </x:c>
      <x:c r="J86" s="9" t="n">
        <x:f>Model_Data!X86</x:f>
        <x:v>-149.12259877495586</x:v>
      </x:c>
      <x:c r="K86" s="9" t="n">
        <x:f>Model_Data!A86</x:f>
        <x:v>-18</x:v>
      </x:c>
      <x:c r="L86" s="9" t="n">
        <x:f>Model_Data!Y86</x:f>
        <x:v>392.0220541536099</x:v>
      </x:c>
      <x:c r="M86" s="9" t="n">
        <x:f>Model_Data!X86</x:f>
        <x:v>-149.12259877495586</x:v>
      </x:c>
      <x:c r="N86" s="9" t="n">
        <x:f>-(Model_Data!AC86-Model_Data!F86)*Inputs!$C$12</x:f>
        <x:v>539.3201884366475</x:v>
      </x:c>
      <x:c r="O86" s="10" t="n"/>
      <x:c r="P86" s="9" t="n">
        <x:f>Model_Data!A86</x:f>
        <x:v>-18</x:v>
      </x:c>
      <x:c r="Q86" s="9" t="n">
        <x:f>Model_Data!P86</x:f>
        <x:v>153.85865527787246</x:v>
      </x:c>
      <x:c r="R86" s="9" t="n">
        <x:f>Model_Data!AM86</x:f>
        <x:v>203.94346546299857</x:v>
      </x:c>
      <x:c r="S86" s="9" t="n">
        <x:f>Model_Data!Q86</x:f>
        <x:v>23.101900191872744</x:v>
      </x:c>
      <x:c r="T86" s="9" t="n">
        <x:f>Model_Data!AN86</x:f>
        <x:v>30.6221419614112</x:v>
      </x:c>
      <x:c r="U86" s="10" t="n"/>
      <x:c r="V86" s="9" t="n">
        <x:f>Model_Data!A86</x:f>
        <x:v>-18</x:v>
      </x:c>
      <x:c r="W86" s="9" t="n">
        <x:f>Model_Data!B86-Inputs!$C$5</x:f>
        <x:v>0.36000000000001364</x:v>
      </x:c>
      <x:c r="X86" s="10" t="n"/>
      <x:c r="Y86" s="9" t="n">
        <x:f>Model_Data!A86</x:f>
        <x:v>-18</x:v>
      </x:c>
      <x:c r="Z86" s="9" t="n">
        <x:f>0</x:f>
        <x:v>0</x:v>
      </x:c>
      <x:c r="AA86" s="9" t="n">
        <x:f>((SQRT((Inputs!$C$52+Inputs!$C$5)^2+Inputs!$C$52^2-2*(Inputs!$C$52+Inputs!$C$5)*Inputs!$C$52*COS(SQRT((Model_Data!A86)^2+Inputs!$C$6^2)/Inputs!$C$52))-Inputs!$C$5)*1000/Inputs!$C$12)</x:f>
        <x:v>835.6442491352863</x:v>
      </x:c>
      <x:c r="AB86" s="9" t="n">
        <x:f>Model_Data!F86</x:f>
        <x:v>835.0486277864097</x:v>
      </x:c>
    </x:row>
    <x:row r="87">
      <x:c r="A87" s="9" t="n">
        <x:f>Model_Data!A87</x:f>
        <x:v>-17.5</x:v>
      </x:c>
      <x:c r="B87" s="9" t="n">
        <x:f>0</x:f>
        <x:v>0</x:v>
      </x:c>
      <x:c r="C87" s="9" t="n">
        <x:f>((SQRT((Inputs!$C$52+Inputs!$C$5)^2+Inputs!$C$52^2-2*(Inputs!$C$52+Inputs!$C$5)*Inputs!$C$52*COS(SQRT((Model_Data!A87)^2+Inputs!$C$6^2)/Inputs!$C$52))-Inputs!$C$5)*1000/Inputs!$C$12)</x:f>
        <x:v>820.0433540484541</x:v>
      </x:c>
      <x:c r="D87" s="9" t="n">
        <x:f>Model_Data!F87</x:f>
        <x:v>819.4908036698047</x:v>
      </x:c>
      <x:c r="E87" s="9" t="n">
        <x:f>Model_Data!AC87</x:f>
        <x:v>519.3052068102525</x:v>
      </x:c>
      <x:c r="F87" s="10" t="n"/>
      <x:c r="G87" s="9" t="n">
        <x:f>Model_Data!A87</x:f>
        <x:v>-17.5</x:v>
      </x:c>
      <x:c r="H87" s="9" t="n">
        <x:f>Model_Data!Y87</x:f>
        <x:v>397.07097057156574</x:v>
      </x:c>
      <x:c r="I87" s="9" t="n">
        <x:f>Model_Data!Y87</x:f>
        <x:v>397.07097057156574</x:v>
      </x:c>
      <x:c r="J87" s="9" t="n">
        <x:f>Model_Data!X87</x:f>
        <x:v>-139.0731304771746</x:v>
      </x:c>
      <x:c r="K87" s="9" t="n">
        <x:f>Model_Data!A87</x:f>
        <x:v>-17.5</x:v>
      </x:c>
      <x:c r="L87" s="9" t="n">
        <x:f>Model_Data!Y87</x:f>
        <x:v>397.07097057156574</x:v>
      </x:c>
      <x:c r="M87" s="9" t="n">
        <x:f>Model_Data!X87</x:f>
        <x:v>-139.0731304771746</x:v>
      </x:c>
      <x:c r="N87" s="9" t="n">
        <x:f>-(Model_Data!AC87-Model_Data!F87)*Inputs!$C$12</x:f>
        <x:v>534.330362410003</x:v>
      </x:c>
      <x:c r="O87" s="10" t="n"/>
      <x:c r="P87" s="9" t="n">
        <x:f>Model_Data!A87</x:f>
        <x:v>-17.5</x:v>
      </x:c>
      <x:c r="Q87" s="9" t="n">
        <x:f>Model_Data!P87</x:f>
        <x:v>149.59774689641563</x:v>
      </x:c>
      <x:c r="R87" s="9" t="n">
        <x:f>Model_Data!AM87</x:f>
        <x:v>132.74258327064672</x:v>
      </x:c>
      <x:c r="S87" s="9" t="n">
        <x:f>Model_Data!Q87</x:f>
        <x:v>22.462124158620966</x:v>
      </x:c>
      <x:c r="T87" s="9" t="n">
        <x:f>Model_Data!AN87</x:f>
        <x:v>19.931318809406417</x:v>
      </x:c>
      <x:c r="U87" s="10" t="n"/>
      <x:c r="V87" s="9" t="n">
        <x:f>Model_Data!A87</x:f>
        <x:v>-17.5</x:v>
      </x:c>
      <x:c r="W87" s="9" t="n">
        <x:f>Model_Data!B87-Inputs!$C$5</x:f>
        <x:v>0.34027777777777146</x:v>
      </x:c>
      <x:c r="X87" s="10" t="n"/>
      <x:c r="Y87" s="9" t="n">
        <x:f>Model_Data!A87</x:f>
        <x:v>-17.5</x:v>
      </x:c>
      <x:c r="Z87" s="9" t="n">
        <x:f>0</x:f>
        <x:v>0</x:v>
      </x:c>
      <x:c r="AA87" s="9" t="n">
        <x:f>((SQRT((Inputs!$C$52+Inputs!$C$5)^2+Inputs!$C$52^2-2*(Inputs!$C$52+Inputs!$C$5)*Inputs!$C$52*COS(SQRT((Model_Data!A87)^2+Inputs!$C$6^2)/Inputs!$C$52))-Inputs!$C$5)*1000/Inputs!$C$12)</x:f>
        <x:v>820.0433540484541</x:v>
      </x:c>
      <x:c r="AB87" s="9" t="n">
        <x:f>Model_Data!F87</x:f>
        <x:v>819.4908036698047</x:v>
      </x:c>
    </x:row>
    <x:row r="88">
      <x:c r="A88" s="9" t="n">
        <x:f>Model_Data!A88</x:f>
        <x:v>-17</x:v>
      </x:c>
      <x:c r="B88" s="9" t="n">
        <x:f>0</x:f>
        <x:v>0</x:v>
      </x:c>
      <x:c r="C88" s="9" t="n">
        <x:f>((SQRT((Inputs!$C$52+Inputs!$C$5)^2+Inputs!$C$52^2-2*(Inputs!$C$52+Inputs!$C$5)*Inputs!$C$52*COS(SQRT((Model_Data!A88)^2+Inputs!$C$6^2)/Inputs!$C$52))-Inputs!$C$5)*1000/Inputs!$C$12)</x:f>
        <x:v>804.8808686017826</x:v>
      </x:c>
      <x:c r="D88" s="9" t="n">
        <x:f>Model_Data!F88</x:f>
        <x:v>804.3690194036186</x:v>
      </x:c>
      <x:c r="E88" s="9" t="n">
        <x:f>Model_Data!AC88</x:f>
        <x:v>520.4522433395757</x:v>
      </x:c>
      <x:c r="F88" s="10" t="n"/>
      <x:c r="G88" s="9" t="n">
        <x:f>Model_Data!A88</x:f>
        <x:v>-17</x:v>
      </x:c>
      <x:c r="H88" s="9" t="n">
        <x:f>Model_Data!Y88</x:f>
        <x:v>381.37310246850825</x:v>
      </x:c>
      <x:c r="I88" s="9" t="n">
        <x:f>Model_Data!Y88</x:f>
        <x:v>381.37310246850825</x:v>
      </x:c>
      <x:c r="J88" s="9" t="n">
        <x:f>Model_Data!X88</x:f>
        <x:v>-125.70874899839603</x:v>
      </x:c>
      <x:c r="K88" s="9" t="n">
        <x:f>Model_Data!A88</x:f>
        <x:v>-17</x:v>
      </x:c>
      <x:c r="L88" s="9" t="n">
        <x:f>Model_Data!Y88</x:f>
        <x:v>381.37310246850825</x:v>
      </x:c>
      <x:c r="M88" s="9" t="n">
        <x:f>Model_Data!X88</x:f>
        <x:v>-125.70874899839603</x:v>
      </x:c>
      <x:c r="N88" s="9" t="n">
        <x:f>-(Model_Data!AC88-Model_Data!F88)*Inputs!$C$12</x:f>
        <x:v>505.37186139399637</x:v>
      </x:c>
      <x:c r="O88" s="10" t="n"/>
      <x:c r="P88" s="9" t="n">
        <x:f>Model_Data!A88</x:f>
        <x:v>-17</x:v>
      </x:c>
      <x:c r="Q88" s="9" t="n">
        <x:f>Model_Data!P88</x:f>
        <x:v>145.33574898605366</x:v>
      </x:c>
      <x:c r="R88" s="9" t="n">
        <x:f>Model_Data!AM88</x:f>
        <x:v>129.62617697667156</x:v>
      </x:c>
      <x:c r="S88" s="9" t="n">
        <x:f>Model_Data!Q88</x:f>
        <x:v>21.82218453244049</x:v>
      </x:c>
      <x:c r="T88" s="9" t="n">
        <x:f>Model_Data!AN88</x:f>
        <x:v>19.463389936437174</x:v>
      </x:c>
      <x:c r="U88" s="10" t="n"/>
      <x:c r="V88" s="9" t="n">
        <x:f>Model_Data!A88</x:f>
        <x:v>-17</x:v>
      </x:c>
      <x:c r="W88" s="9" t="n">
        <x:f>Model_Data!B88-Inputs!$C$5</x:f>
        <x:v>0.3211111111111222</x:v>
      </x:c>
      <x:c r="X88" s="10" t="n"/>
      <x:c r="Y88" s="9" t="n">
        <x:f>Model_Data!A88</x:f>
        <x:v>-17</x:v>
      </x:c>
      <x:c r="Z88" s="9" t="n">
        <x:f>0</x:f>
        <x:v>0</x:v>
      </x:c>
      <x:c r="AA88" s="9" t="n">
        <x:f>((SQRT((Inputs!$C$52+Inputs!$C$5)^2+Inputs!$C$52^2-2*(Inputs!$C$52+Inputs!$C$5)*Inputs!$C$52*COS(SQRT((Model_Data!A88)^2+Inputs!$C$6^2)/Inputs!$C$52))-Inputs!$C$5)*1000/Inputs!$C$12)</x:f>
        <x:v>804.8808686017826</x:v>
      </x:c>
      <x:c r="AB88" s="9" t="n">
        <x:f>Model_Data!F88</x:f>
        <x:v>804.3690194036186</x:v>
      </x:c>
    </x:row>
    <x:row r="89">
      <x:c r="A89" s="9" t="n">
        <x:f>Model_Data!A89</x:f>
        <x:v>-16.5</x:v>
      </x:c>
      <x:c r="B89" s="9" t="n">
        <x:f>0</x:f>
        <x:v>0</x:v>
      </x:c>
      <x:c r="C89" s="9" t="n">
        <x:f>((SQRT((Inputs!$C$52+Inputs!$C$5)^2+Inputs!$C$52^2-2*(Inputs!$C$52+Inputs!$C$5)*Inputs!$C$52*COS(SQRT((Model_Data!A89)^2+Inputs!$C$6^2)/Inputs!$C$52))-Inputs!$C$5)*1000/Inputs!$C$12)</x:f>
        <x:v>790.1568827831939</x:v>
      </x:c>
      <x:c r="D89" s="9" t="n">
        <x:f>Model_Data!F89</x:f>
        <x:v>789.6834635919838</x:v>
      </x:c>
      <x:c r="E89" s="9" t="n">
        <x:f>Model_Data!AC89</x:f>
        <x:v>503.5557315698924</x:v>
      </x:c>
      <x:c r="F89" s="10" t="n"/>
      <x:c r="G89" s="9" t="n">
        <x:f>Model_Data!A89</x:f>
        <x:v>-16.5</x:v>
      </x:c>
      <x:c r="H89" s="9" t="n">
        <x:f>Model_Data!Y89</x:f>
        <x:v>387.1431058674635</x:v>
      </x:c>
      <x:c r="I89" s="9" t="n">
        <x:f>Model_Data!Y89</x:f>
        <x:v>387.1431058674635</x:v>
      </x:c>
      <x:c r="J89" s="9" t="n">
        <x:f>Model_Data!X89</x:f>
        <x:v>-123.86861357235706</x:v>
      </x:c>
      <x:c r="K89" s="9" t="n">
        <x:f>Model_Data!A89</x:f>
        <x:v>-16.5</x:v>
      </x:c>
      <x:c r="L89" s="9" t="n">
        <x:f>Model_Data!Y89</x:f>
        <x:v>387.1431058674635</x:v>
      </x:c>
      <x:c r="M89" s="9" t="n">
        <x:f>Model_Data!X89</x:f>
        <x:v>-123.86861357235706</x:v>
      </x:c>
      <x:c r="N89" s="9" t="n">
        <x:f>-(Model_Data!AC89-Model_Data!F89)*Inputs!$C$12</x:f>
        <x:v>509.3073629993228</x:v>
      </x:c>
      <x:c r="O89" s="10" t="n"/>
      <x:c r="P89" s="9" t="n">
        <x:f>Model_Data!A89</x:f>
        <x:v>-16.5</x:v>
      </x:c>
      <x:c r="Q89" s="9" t="n">
        <x:f>Model_Data!P89</x:f>
        <x:v>141.07269207324862</x:v>
      </x:c>
      <x:c r="R89" s="9" t="n">
        <x:f>Model_Data!AM89</x:f>
        <x:v>192.02559108462083</x:v>
      </x:c>
      <x:c r="S89" s="9" t="n">
        <x:f>Model_Data!Q89</x:f>
        <x:v>21.18208589688418</x:v>
      </x:c>
      <x:c r="T89" s="9" t="n">
        <x:f>Model_Data!AN89</x:f>
        <x:v>28.832671334027154</x:v>
      </x:c>
      <x:c r="U89" s="10" t="n"/>
      <x:c r="V89" s="9" t="n">
        <x:f>Model_Data!A89</x:f>
        <x:v>-16.5</x:v>
      </x:c>
      <x:c r="W89" s="9" t="n">
        <x:f>Model_Data!B89-Inputs!$C$5</x:f>
        <x:v>0.3025000000000091</x:v>
      </x:c>
      <x:c r="X89" s="10" t="n"/>
      <x:c r="Y89" s="9" t="n">
        <x:f>Model_Data!A89</x:f>
        <x:v>-16.5</x:v>
      </x:c>
      <x:c r="Z89" s="9" t="n">
        <x:f>0</x:f>
        <x:v>0</x:v>
      </x:c>
      <x:c r="AA89" s="9" t="n">
        <x:f>((SQRT((Inputs!$C$52+Inputs!$C$5)^2+Inputs!$C$52^2-2*(Inputs!$C$52+Inputs!$C$5)*Inputs!$C$52*COS(SQRT((Model_Data!A89)^2+Inputs!$C$6^2)/Inputs!$C$52))-Inputs!$C$5)*1000/Inputs!$C$12)</x:f>
        <x:v>790.1568827831939</x:v>
      </x:c>
      <x:c r="AB89" s="9" t="n">
        <x:f>Model_Data!F89</x:f>
        <x:v>789.6834635919838</x:v>
      </x:c>
    </x:row>
    <x:row r="90">
      <x:c r="A90" s="9" t="n">
        <x:f>Model_Data!A90</x:f>
        <x:v>-16</x:v>
      </x:c>
      <x:c r="B90" s="9" t="n">
        <x:f>0</x:f>
        <x:v>0</x:v>
      </x:c>
      <x:c r="C90" s="9" t="n">
        <x:f>((SQRT((Inputs!$C$52+Inputs!$C$5)^2+Inputs!$C$52^2-2*(Inputs!$C$52+Inputs!$C$5)*Inputs!$C$52*COS(SQRT((Model_Data!A90)^2+Inputs!$C$6^2)/Inputs!$C$52))-Inputs!$C$5)*1000/Inputs!$C$12)</x:f>
        <x:v>775.8714840006216</x:v>
      </x:c>
      <x:c r="D90" s="9" t="n">
        <x:f>Model_Data!F90</x:f>
        <x:v>775.4343194715455</x:v>
      </x:c>
      <x:c r="E90" s="9" t="n">
        <x:f>Model_Data!AC90</x:f>
        <x:v>489.48541596475576</x:v>
      </x:c>
      <x:c r="F90" s="10" t="n"/>
      <x:c r="G90" s="9" t="n">
        <x:f>Model_Data!A90</x:f>
        <x:v>-16</x:v>
      </x:c>
      <x:c r="H90" s="9" t="n">
        <x:f>Model_Data!Y90</x:f>
        <x:v>413.2956148642764</x:v>
      </x:c>
      <x:c r="I90" s="9" t="n">
        <x:f>Model_Data!Y90</x:f>
        <x:v>413.2956148642764</x:v>
      </x:c>
      <x:c r="J90" s="9" t="n">
        <x:f>Model_Data!X90</x:f>
        <x:v>-97.48037396441562</x:v>
      </x:c>
      <x:c r="K90" s="9" t="n">
        <x:f>Model_Data!A90</x:f>
        <x:v>-16</x:v>
      </x:c>
      <x:c r="L90" s="9" t="n">
        <x:f>Model_Data!Y90</x:f>
        <x:v>413.2956148642764</x:v>
      </x:c>
      <x:c r="M90" s="9" t="n">
        <x:f>Model_Data!X90</x:f>
        <x:v>-97.48037396441562</x:v>
      </x:c>
      <x:c r="N90" s="9" t="n">
        <x:f>-(Model_Data!AC90-Model_Data!F90)*Inputs!$C$12</x:f>
        <x:v>508.98904824208563</x:v>
      </x:c>
      <x:c r="O90" s="10" t="n"/>
      <x:c r="P90" s="9" t="n">
        <x:f>Model_Data!A90</x:f>
        <x:v>-16</x:v>
      </x:c>
      <x:c r="Q90" s="9" t="n">
        <x:f>Model_Data!P90</x:f>
        <x:v>136.80860673657662</x:v>
      </x:c>
      <x:c r="R90" s="9" t="n">
        <x:f>Model_Data!AM90</x:f>
        <x:v>165.6403437944391</x:v>
      </x:c>
      <x:c r="S90" s="9" t="n">
        <x:f>Model_Data!Q90</x:f>
        <x:v>20.541832843329825</x:v>
      </x:c>
      <x:c r="T90" s="9" t="n">
        <x:f>Model_Data!AN90</x:f>
        <x:v>24.870922491657524</x:v>
      </x:c>
      <x:c r="U90" s="10" t="n"/>
      <x:c r="V90" s="9" t="n">
        <x:f>Model_Data!A90</x:f>
        <x:v>-16</x:v>
      </x:c>
      <x:c r="W90" s="9" t="n">
        <x:f>Model_Data!B90-Inputs!$C$5</x:f>
        <x:v>0.28444444444443207</x:v>
      </x:c>
      <x:c r="X90" s="10" t="n"/>
      <x:c r="Y90" s="9" t="n">
        <x:f>Model_Data!A90</x:f>
        <x:v>-16</x:v>
      </x:c>
      <x:c r="Z90" s="9" t="n">
        <x:f>0</x:f>
        <x:v>0</x:v>
      </x:c>
      <x:c r="AA90" s="9" t="n">
        <x:f>((SQRT((Inputs!$C$52+Inputs!$C$5)^2+Inputs!$C$52^2-2*(Inputs!$C$52+Inputs!$C$5)*Inputs!$C$52*COS(SQRT((Model_Data!A90)^2+Inputs!$C$6^2)/Inputs!$C$52))-Inputs!$C$5)*1000/Inputs!$C$12)</x:f>
        <x:v>775.8714840006216</x:v>
      </x:c>
      <x:c r="AB90" s="9" t="n">
        <x:f>Model_Data!F90</x:f>
        <x:v>775.4343194715455</x:v>
      </x:c>
    </x:row>
    <x:row r="91">
      <x:c r="A91" s="9" t="n">
        <x:f>Model_Data!A91</x:f>
        <x:v>-15.5</x:v>
      </x:c>
      <x:c r="B91" s="9" t="n">
        <x:f>0</x:f>
        <x:v>0</x:v>
      </x:c>
      <x:c r="C91" s="9" t="n">
        <x:f>((SQRT((Inputs!$C$52+Inputs!$C$5)^2+Inputs!$C$52^2-2*(Inputs!$C$52+Inputs!$C$5)*Inputs!$C$52*COS(SQRT((Model_Data!A91)^2+Inputs!$C$6^2)/Inputs!$C$52))-Inputs!$C$5)*1000/Inputs!$C$12)</x:f>
        <x:v>762.0247570816274</x:v>
      </x:c>
      <x:c r="D91" s="9" t="n">
        <x:f>Model_Data!F91</x:f>
        <x:v>761.6217649095123</x:v>
      </x:c>
      <x:c r="E91" s="9" t="n">
        <x:f>Model_Data!AC91</x:f>
        <x:v>473.54552063489956</x:v>
      </x:c>
      <x:c r="F91" s="10" t="n"/>
      <x:c r="G91" s="9" t="n">
        <x:f>Model_Data!A91</x:f>
        <x:v>-15.5</x:v>
      </x:c>
      <x:c r="H91" s="9" t="n">
        <x:f>Model_Data!Y91</x:f>
        <x:v>405.1793484681727</x:v>
      </x:c>
      <x:c r="I91" s="9" t="n">
        <x:f>Model_Data!Y91</x:f>
        <x:v>405.1793484681727</x:v>
      </x:c>
      <x:c r="J91" s="9" t="n">
        <x:f>Model_Data!X91</x:f>
        <x:v>-109.31712972071381</x:v>
      </x:c>
      <x:c r="K91" s="9" t="n">
        <x:f>Model_Data!A91</x:f>
        <x:v>-15.5</x:v>
      </x:c>
      <x:c r="L91" s="9" t="n">
        <x:f>Model_Data!Y91</x:f>
        <x:v>405.1793484681727</x:v>
      </x:c>
      <x:c r="M91" s="9" t="n">
        <x:f>Model_Data!X91</x:f>
        <x:v>-109.31712972071381</x:v>
      </x:c>
      <x:c r="N91" s="9" t="n">
        <x:f>-(Model_Data!AC91-Model_Data!F91)*Inputs!$C$12</x:f>
        <x:v>512.7757148088107</x:v>
      </x:c>
      <x:c r="O91" s="10" t="n"/>
      <x:c r="P91" s="9" t="n">
        <x:f>Model_Data!A91</x:f>
        <x:v>-15.5</x:v>
      </x:c>
      <x:c r="Q91" s="9" t="n">
        <x:f>Model_Data!P91</x:f>
        <x:v>132.5435235945406</x:v>
      </x:c>
      <x:c r="R91" s="9" t="n">
        <x:f>Model_Data!AM91</x:f>
        <x:v>137.95639615773325</x:v>
      </x:c>
      <x:c r="S91" s="9" t="n">
        <x:f>Model_Data!Q91</x:f>
        <x:v>19.901429969150243</x:v>
      </x:c>
      <x:c r="T91" s="9" t="n">
        <x:f>Model_Data!AN91</x:f>
        <x:v>20.714173597257247</x:v>
      </x:c>
      <x:c r="U91" s="10" t="n"/>
      <x:c r="V91" s="9" t="n">
        <x:f>Model_Data!A91</x:f>
        <x:v>-15.5</x:v>
      </x:c>
      <x:c r="W91" s="9" t="n">
        <x:f>Model_Data!B91-Inputs!$C$5</x:f>
        <x:v>0.266944444444448</x:v>
      </x:c>
      <x:c r="X91" s="10" t="n"/>
      <x:c r="Y91" s="9" t="n">
        <x:f>Model_Data!A91</x:f>
        <x:v>-15.5</x:v>
      </x:c>
      <x:c r="Z91" s="9" t="n">
        <x:f>0</x:f>
        <x:v>0</x:v>
      </x:c>
      <x:c r="AA91" s="9" t="n">
        <x:f>((SQRT((Inputs!$C$52+Inputs!$C$5)^2+Inputs!$C$52^2-2*(Inputs!$C$52+Inputs!$C$5)*Inputs!$C$52*COS(SQRT((Model_Data!A91)^2+Inputs!$C$6^2)/Inputs!$C$52))-Inputs!$C$5)*1000/Inputs!$C$12)</x:f>
        <x:v>762.0247570816274</x:v>
      </x:c>
      <x:c r="AB91" s="9" t="n">
        <x:f>Model_Data!F91</x:f>
        <x:v>761.6217649095123</x:v>
      </x:c>
    </x:row>
    <x:row r="92">
      <x:c r="A92" s="9" t="n">
        <x:f>Model_Data!A92</x:f>
        <x:v>-15</x:v>
      </x:c>
      <x:c r="B92" s="9" t="n">
        <x:f>0</x:f>
        <x:v>0</x:v>
      </x:c>
      <x:c r="C92" s="9" t="n">
        <x:f>((SQRT((Inputs!$C$52+Inputs!$C$5)^2+Inputs!$C$52^2-2*(Inputs!$C$52+Inputs!$C$5)*Inputs!$C$52*COS(SQRT((Model_Data!A92)^2+Inputs!$C$6^2)/Inputs!$C$52))-Inputs!$C$5)*1000/Inputs!$C$12)</x:f>
        <x:v>748.6167842668547</x:v>
      </x:c>
      <x:c r="D92" s="9" t="n">
        <x:f>Model_Data!F92</x:f>
        <x:v>748.2459723916826</x:v>
      </x:c>
      <x:c r="E92" s="9" t="n">
        <x:f>Model_Data!AC92</x:f>
        <x:v>464.32067539217184</x:v>
      </x:c>
      <x:c r="F92" s="10" t="n"/>
      <x:c r="G92" s="9" t="n">
        <x:f>Model_Data!A92</x:f>
        <x:v>-15</x:v>
      </x:c>
      <x:c r="H92" s="9" t="n">
        <x:f>Model_Data!Y92</x:f>
        <x:v>416.63024006091615</x:v>
      </x:c>
      <x:c r="I92" s="9" t="n">
        <x:f>Model_Data!Y92</x:f>
        <x:v>416.63024006091615</x:v>
      </x:c>
      <x:c r="J92" s="9" t="n">
        <x:f>Model_Data!X92</x:f>
        <x:v>-90.49530902944495</x:v>
      </x:c>
      <x:c r="K92" s="9" t="n">
        <x:f>Model_Data!A92</x:f>
        <x:v>-15</x:v>
      </x:c>
      <x:c r="L92" s="9" t="n">
        <x:f>Model_Data!Y92</x:f>
        <x:v>416.63024006091615</x:v>
      </x:c>
      <x:c r="M92" s="9" t="n">
        <x:f>Model_Data!X92</x:f>
        <x:v>-90.49530902944495</x:v>
      </x:c>
      <x:c r="N92" s="9" t="n">
        <x:f>-(Model_Data!AC92-Model_Data!F92)*Inputs!$C$12</x:f>
        <x:v>505.38702865912916</x:v>
      </x:c>
      <x:c r="O92" s="10" t="n"/>
      <x:c r="P92" s="9" t="n">
        <x:f>Model_Data!A92</x:f>
        <x:v>-15</x:v>
      </x:c>
      <x:c r="Q92" s="9" t="n">
        <x:f>Model_Data!P92</x:f>
        <x:v>128.2774733243059</x:v>
      </x:c>
      <x:c r="R92" s="9" t="n">
        <x:f>Model_Data!AM92</x:f>
        <x:v>160.4549174724525</x:v>
      </x:c>
      <x:c r="S92" s="9" t="n">
        <x:f>Model_Data!Q92</x:f>
        <x:v>19.260881880526412</x:v>
      </x:c>
      <x:c r="T92" s="9" t="n">
        <x:f>Model_Data!AN92</x:f>
        <x:v>24.092329950818698</x:v>
      </x:c>
      <x:c r="U92" s="10" t="n"/>
      <x:c r="V92" s="9" t="n">
        <x:f>Model_Data!A92</x:f>
        <x:v>-15</x:v>
      </x:c>
      <x:c r="W92" s="9" t="n">
        <x:f>Model_Data!B92-Inputs!$C$5</x:f>
        <x:v>0.25</x:v>
      </x:c>
      <x:c r="X92" s="10" t="n"/>
      <x:c r="Y92" s="9" t="n">
        <x:f>Model_Data!A92</x:f>
        <x:v>-15</x:v>
      </x:c>
      <x:c r="Z92" s="9" t="n">
        <x:f>0</x:f>
        <x:v>0</x:v>
      </x:c>
      <x:c r="AA92" s="9" t="n">
        <x:f>((SQRT((Inputs!$C$52+Inputs!$C$5)^2+Inputs!$C$52^2-2*(Inputs!$C$52+Inputs!$C$5)*Inputs!$C$52*COS(SQRT((Model_Data!A92)^2+Inputs!$C$6^2)/Inputs!$C$52))-Inputs!$C$5)*1000/Inputs!$C$12)</x:f>
        <x:v>748.6167842668547</x:v>
      </x:c>
      <x:c r="AB92" s="9" t="n">
        <x:f>Model_Data!F92</x:f>
        <x:v>748.2459723916826</x:v>
      </x:c>
    </x:row>
    <x:row r="93">
      <x:c r="A93" s="9" t="n">
        <x:f>Model_Data!A93</x:f>
        <x:v>-14.5</x:v>
      </x:c>
      <x:c r="B93" s="9" t="n">
        <x:f>0</x:f>
        <x:v>0</x:v>
      </x:c>
      <x:c r="C93" s="9" t="n">
        <x:f>((SQRT((Inputs!$C$52+Inputs!$C$5)^2+Inputs!$C$52^2-2*(Inputs!$C$52+Inputs!$C$5)*Inputs!$C$52*COS(SQRT((Model_Data!A93)^2+Inputs!$C$6^2)/Inputs!$C$52))-Inputs!$C$5)*1000/Inputs!$C$12)</x:f>
        <x:v>735.6476452129021</x:v>
      </x:c>
      <x:c r="D93" s="9" t="n">
        <x:f>Model_Data!F93</x:f>
        <x:v>735.3071090138205</x:v>
      </x:c>
      <x:c r="E93" s="9" t="n">
        <x:f>Model_Data!AC93</x:f>
        <x:v>448.6655514253325</x:v>
      </x:c>
      <x:c r="F93" s="10" t="n"/>
      <x:c r="G93" s="9" t="n">
        <x:f>Model_Data!A93</x:f>
        <x:v>-14.5</x:v>
      </x:c>
      <x:c r="H93" s="9" t="n">
        <x:f>Model_Data!Y93</x:f>
        <x:v>425.31373753688456</x:v>
      </x:c>
      <x:c r="I93" s="9" t="n">
        <x:f>Model_Data!Y93</x:f>
        <x:v>425.31373753688456</x:v>
      </x:c>
      <x:c r="J93" s="9" t="n">
        <x:f>Model_Data!X93</x:f>
        <x:v>-86.65248482679937</x:v>
      </x:c>
      <x:c r="K93" s="9" t="n">
        <x:f>Model_Data!A93</x:f>
        <x:v>-14.5</x:v>
      </x:c>
      <x:c r="L93" s="9" t="n">
        <x:f>Model_Data!Y93</x:f>
        <x:v>425.31373753688456</x:v>
      </x:c>
      <x:c r="M93" s="9" t="n">
        <x:f>Model_Data!X93</x:f>
        <x:v>-86.65248482679937</x:v>
      </x:c>
      <x:c r="N93" s="9" t="n">
        <x:f>-(Model_Data!AC93-Model_Data!F93)*Inputs!$C$12</x:f>
        <x:v>510.22197250750867</x:v>
      </x:c>
      <x:c r="O93" s="10" t="n"/>
      <x:c r="P93" s="9" t="n">
        <x:f>Model_Data!A93</x:f>
        <x:v>-14.5</x:v>
      </x:c>
      <x:c r="Q93" s="9" t="n">
        <x:f>Model_Data!P93</x:f>
        <x:v>124.0104866564252</x:v>
      </x:c>
      <x:c r="R93" s="9" t="n">
        <x:f>Model_Data!AM93</x:f>
        <x:v>131.00044031953075</x:v>
      </x:c>
      <x:c r="S93" s="9" t="n">
        <x:f>Model_Data!Q93</x:f>
        <x:v>18.62019319165544</x:v>
      </x:c>
      <x:c r="T93" s="9" t="n">
        <x:f>Model_Data!AN93</x:f>
        <x:v>19.669735783713328</x:v>
      </x:c>
      <x:c r="U93" s="10" t="n"/>
      <x:c r="V93" s="9" t="n">
        <x:f>Model_Data!A93</x:f>
        <x:v>-14.5</x:v>
      </x:c>
      <x:c r="W93" s="9" t="n">
        <x:f>Model_Data!B93-Inputs!$C$5</x:f>
        <x:v>0.23361111111108812</x:v>
      </x:c>
      <x:c r="X93" s="10" t="n"/>
      <x:c r="Y93" s="9" t="n">
        <x:f>Model_Data!A93</x:f>
        <x:v>-14.5</x:v>
      </x:c>
      <x:c r="Z93" s="9" t="n">
        <x:f>0</x:f>
        <x:v>0</x:v>
      </x:c>
      <x:c r="AA93" s="9" t="n">
        <x:f>((SQRT((Inputs!$C$52+Inputs!$C$5)^2+Inputs!$C$52^2-2*(Inputs!$C$52+Inputs!$C$5)*Inputs!$C$52*COS(SQRT((Model_Data!A93)^2+Inputs!$C$6^2)/Inputs!$C$52))-Inputs!$C$5)*1000/Inputs!$C$12)</x:f>
        <x:v>735.6476452129021</x:v>
      </x:c>
      <x:c r="AB93" s="9" t="n">
        <x:f>Model_Data!F93</x:f>
        <x:v>735.3071090138205</x:v>
      </x:c>
    </x:row>
    <x:row r="94">
      <x:c r="A94" s="9" t="n">
        <x:f>Model_Data!A94</x:f>
        <x:v>-14</x:v>
      </x:c>
      <x:c r="B94" s="9" t="n">
        <x:f>0</x:f>
        <x:v>0</x:v>
      </x:c>
      <x:c r="C94" s="9" t="n">
        <x:f>((SQRT((Inputs!$C$52+Inputs!$C$5)^2+Inputs!$C$52^2-2*(Inputs!$C$52+Inputs!$C$5)*Inputs!$C$52*COS(SQRT((Model_Data!A94)^2+Inputs!$C$6^2)/Inputs!$C$52))-Inputs!$C$5)*1000/Inputs!$C$12)</x:f>
        <x:v>723.1174169847241</x:v>
      </x:c>
      <x:c r="D94" s="9" t="n">
        <x:f>Model_Data!F94</x:f>
        <x:v>722.8053364714383</x:v>
      </x:c>
      <x:c r="E94" s="9" t="n">
        <x:f>Model_Data!AC94</x:f>
        <x:v>439.86914925204763</x:v>
      </x:c>
      <x:c r="F94" s="10" t="n"/>
      <x:c r="G94" s="9" t="n">
        <x:f>Model_Data!A94</x:f>
        <x:v>-14</x:v>
      </x:c>
      <x:c r="H94" s="9" t="n">
        <x:f>Model_Data!Y94</x:f>
        <x:v>420.9575928892744</x:v>
      </x:c>
      <x:c r="I94" s="9" t="n">
        <x:f>Model_Data!Y94</x:f>
        <x:v>420.9575928892744</x:v>
      </x:c>
      <x:c r="J94" s="9" t="n">
        <x:f>Model_Data!X94</x:f>
        <x:v>-84.36597258140502</x:v>
      </x:c>
      <x:c r="K94" s="9" t="n">
        <x:f>Model_Data!A94</x:f>
        <x:v>-14</x:v>
      </x:c>
      <x:c r="L94" s="9" t="n">
        <x:f>Model_Data!Y94</x:f>
        <x:v>420.9575928892744</x:v>
      </x:c>
      <x:c r="M94" s="9" t="n">
        <x:f>Model_Data!X94</x:f>
        <x:v>-84.36597258140502</x:v>
      </x:c>
      <x:c r="N94" s="9" t="n">
        <x:f>-(Model_Data!AC94-Model_Data!F94)*Inputs!$C$12</x:f>
        <x:v>503.6264132505154</x:v>
      </x:c>
      <x:c r="O94" s="10" t="n"/>
      <x:c r="P94" s="9" t="n">
        <x:f>Model_Data!A94</x:f>
        <x:v>-14</x:v>
      </x:c>
      <x:c r="Q94" s="9" t="n">
        <x:f>Model_Data!P94</x:f>
        <x:v>119.7425943531016</x:v>
      </x:c>
      <x:c r="R94" s="9" t="n">
        <x:f>Model_Data!AM94</x:f>
        <x:v>109.40700518340236</x:v>
      </x:c>
      <x:c r="S94" s="9" t="n">
        <x:f>Model_Data!Q94</x:f>
        <x:v>17.979368521486727</x:v>
      </x:c>
      <x:c r="T94" s="9" t="n">
        <x:f>Model_Data!AN94</x:f>
        <x:v>16.427478255766122</x:v>
      </x:c>
      <x:c r="U94" s="10" t="n"/>
      <x:c r="V94" s="9" t="n">
        <x:f>Model_Data!A94</x:f>
        <x:v>-14</x:v>
      </x:c>
      <x:c r="W94" s="9" t="n">
        <x:f>Model_Data!B94-Inputs!$C$5</x:f>
        <x:v>0.2177777777777692</x:v>
      </x:c>
      <x:c r="X94" s="10" t="n"/>
      <x:c r="Y94" s="9" t="n">
        <x:f>Model_Data!A94</x:f>
        <x:v>-14</x:v>
      </x:c>
      <x:c r="Z94" s="9" t="n">
        <x:f>0</x:f>
        <x:v>0</x:v>
      </x:c>
      <x:c r="AA94" s="9" t="n">
        <x:f>((SQRT((Inputs!$C$52+Inputs!$C$5)^2+Inputs!$C$52^2-2*(Inputs!$C$52+Inputs!$C$5)*Inputs!$C$52*COS(SQRT((Model_Data!A94)^2+Inputs!$C$6^2)/Inputs!$C$52))-Inputs!$C$5)*1000/Inputs!$C$12)</x:f>
        <x:v>723.1174169847241</x:v>
      </x:c>
      <x:c r="AB94" s="9" t="n">
        <x:f>Model_Data!F94</x:f>
        <x:v>722.8053364714383</x:v>
      </x:c>
    </x:row>
    <x:row r="95">
      <x:c r="A95" s="9" t="n">
        <x:f>Model_Data!A95</x:f>
        <x:v>-13.5</x:v>
      </x:c>
      <x:c r="B95" s="9" t="n">
        <x:f>0</x:f>
        <x:v>0</x:v>
      </x:c>
      <x:c r="C95" s="9" t="n">
        <x:f>((SQRT((Inputs!$C$52+Inputs!$C$5)^2+Inputs!$C$52^2-2*(Inputs!$C$52+Inputs!$C$5)*Inputs!$C$52*COS(SQRT((Model_Data!A95)^2+Inputs!$C$6^2)/Inputs!$C$52))-Inputs!$C$5)*1000/Inputs!$C$12)</x:f>
        <x:v>711.0261740581527</x:v>
      </x:c>
      <x:c r="D95" s="9" t="n">
        <x:f>Model_Data!F95</x:f>
        <x:v>710.7408110589965</x:v>
      </x:c>
      <x:c r="E95" s="9" t="n">
        <x:f>Model_Data!AC95</x:f>
        <x:v>442.1218226414712</x:v>
      </x:c>
      <x:c r="F95" s="10" t="n"/>
      <x:c r="G95" s="9" t="n">
        <x:f>Model_Data!A95</x:f>
        <x:v>-13.5</x:v>
      </x:c>
      <x:c r="H95" s="9" t="n">
        <x:f>Model_Data!Y95</x:f>
        <x:v>418.7700178970381</x:v>
      </x:c>
      <x:c r="I95" s="9" t="n">
        <x:f>Model_Data!Y95</x:f>
        <x:v>418.7700178970381</x:v>
      </x:c>
      <x:c r="J95" s="9" t="n">
        <x:f>Model_Data!X95</x:f>
        <x:v>-61.03205493353448</x:v>
      </x:c>
      <x:c r="K95" s="9" t="n">
        <x:f>Model_Data!A95</x:f>
        <x:v>-13.5</x:v>
      </x:c>
      <x:c r="L95" s="9" t="n">
        <x:f>Model_Data!Y95</x:f>
        <x:v>418.7700178970381</x:v>
      </x:c>
      <x:c r="M95" s="9" t="n">
        <x:f>Model_Data!X95</x:f>
        <x:v>-61.03205493353448</x:v>
      </x:c>
      <x:c r="N95" s="9" t="n">
        <x:f>-(Model_Data!AC95-Model_Data!F95)*Inputs!$C$12</x:f>
        <x:v>478.14179938319506</x:v>
      </x:c>
      <x:c r="O95" s="10" t="n"/>
      <x:c r="P95" s="9" t="n">
        <x:f>Model_Data!A95</x:f>
        <x:v>-13.5</x:v>
      </x:c>
      <x:c r="Q95" s="9" t="n">
        <x:f>Model_Data!P95</x:f>
        <x:v>115.4738272234681</x:v>
      </x:c>
      <x:c r="R95" s="9" t="n">
        <x:f>Model_Data!AM95</x:f>
        <x:v>134.57088687846408</x:v>
      </x:c>
      <x:c r="S95" s="9" t="n">
        <x:f>Model_Data!Q95</x:f>
        <x:v>17.338412496016232</x:v>
      </x:c>
      <x:c r="T95" s="9" t="n">
        <x:f>Model_Data!AN95</x:f>
        <x:v>20.205838870640253</x:v>
      </x:c>
      <x:c r="U95" s="10" t="n"/>
      <x:c r="V95" s="9" t="n">
        <x:f>Model_Data!A95</x:f>
        <x:v>-13.5</x:v>
      </x:c>
      <x:c r="W95" s="9" t="n">
        <x:f>Model_Data!B95-Inputs!$C$5</x:f>
        <x:v>0.20249999999998636</x:v>
      </x:c>
      <x:c r="X95" s="10" t="n"/>
      <x:c r="Y95" s="9" t="n">
        <x:f>Model_Data!A95</x:f>
        <x:v>-13.5</x:v>
      </x:c>
      <x:c r="Z95" s="9" t="n">
        <x:f>0</x:f>
        <x:v>0</x:v>
      </x:c>
      <x:c r="AA95" s="9" t="n">
        <x:f>((SQRT((Inputs!$C$52+Inputs!$C$5)^2+Inputs!$C$52^2-2*(Inputs!$C$52+Inputs!$C$5)*Inputs!$C$52*COS(SQRT((Model_Data!A95)^2+Inputs!$C$6^2)/Inputs!$C$52))-Inputs!$C$5)*1000/Inputs!$C$12)</x:f>
        <x:v>711.0261740581527</x:v>
      </x:c>
      <x:c r="AB95" s="9" t="n">
        <x:f>Model_Data!F95</x:f>
        <x:v>710.7408110589965</x:v>
      </x:c>
    </x:row>
    <x:row r="96">
      <x:c r="A96" s="9" t="n">
        <x:f>Model_Data!A96</x:f>
        <x:v>-13</x:v>
      </x:c>
      <x:c r="B96" s="9" t="n">
        <x:f>0</x:f>
        <x:v>0</x:v>
      </x:c>
      <x:c r="C96" s="9" t="n">
        <x:f>((SQRT((Inputs!$C$52+Inputs!$C$5)^2+Inputs!$C$52^2-2*(Inputs!$C$52+Inputs!$C$5)*Inputs!$C$52*COS(SQRT((Model_Data!A96)^2+Inputs!$C$6^2)/Inputs!$C$52))-Inputs!$C$5)*1000/Inputs!$C$12)</x:f>
        <x:v>699.3739883142141</x:v>
      </x:c>
      <x:c r="D96" s="9" t="n">
        <x:f>Model_Data!F96</x:f>
        <x:v>699.1136836541939</x:v>
      </x:c>
      <x:c r="E96" s="9" t="n">
        <x:f>Model_Data!AC96</x:f>
        <x:v>420.8616961385702</x:v>
      </x:c>
      <x:c r="F96" s="10" t="n"/>
      <x:c r="G96" s="9" t="n">
        <x:f>Model_Data!A96</x:f>
        <x:v>-13</x:v>
      </x:c>
      <x:c r="H96" s="9" t="n">
        <x:f>Model_Data!Y96</x:f>
        <x:v>432.8844458249992</x:v>
      </x:c>
      <x:c r="I96" s="9" t="n">
        <x:f>Model_Data!Y96</x:f>
        <x:v>432.8844458249992</x:v>
      </x:c>
      <x:c r="J96" s="9" t="n">
        <x:f>Model_Data!X96</x:f>
        <x:v>-64.09243482429542</x:v>
      </x:c>
      <x:c r="K96" s="9" t="n">
        <x:f>Model_Data!A96</x:f>
        <x:v>-13</x:v>
      </x:c>
      <x:c r="L96" s="9" t="n">
        <x:f>Model_Data!Y96</x:f>
        <x:v>432.8844458249992</x:v>
      </x:c>
      <x:c r="M96" s="9" t="n">
        <x:f>Model_Data!X96</x:f>
        <x:v>-64.09243482429542</x:v>
      </x:c>
      <x:c r="N96" s="9" t="n">
        <x:f>-(Model_Data!AC96-Model_Data!F96)*Inputs!$C$12</x:f>
        <x:v>495.2885377778102</x:v>
      </x:c>
      <x:c r="O96" s="10" t="n"/>
      <x:c r="P96" s="9" t="n">
        <x:f>Model_Data!A96</x:f>
        <x:v>-13</x:v>
      </x:c>
      <x:c r="Q96" s="9" t="n">
        <x:f>Model_Data!P96</x:f>
        <x:v>111.20421613486542</x:v>
      </x:c>
      <x:c r="R96" s="9" t="n">
        <x:f>Model_Data!AM96</x:f>
        <x:v>159.26135976260412</x:v>
      </x:c>
      <x:c r="S96" s="9" t="n">
        <x:f>Model_Data!Q96</x:f>
        <x:v>16.697329749979794</x:v>
      </x:c>
      <x:c r="T96" s="9" t="n">
        <x:f>Model_Data!AN96</x:f>
        <x:v>23.91311708147209</x:v>
      </x:c>
      <x:c r="U96" s="10" t="n"/>
      <x:c r="V96" s="9" t="n">
        <x:f>Model_Data!A96</x:f>
        <x:v>-13</x:v>
      </x:c>
      <x:c r="W96" s="9" t="n">
        <x:f>Model_Data!B96-Inputs!$C$5</x:f>
        <x:v>0.18777777777779647</x:v>
      </x:c>
      <x:c r="X96" s="10" t="n"/>
      <x:c r="Y96" s="9" t="n">
        <x:f>Model_Data!A96</x:f>
        <x:v>-13</x:v>
      </x:c>
      <x:c r="Z96" s="9" t="n">
        <x:f>0</x:f>
        <x:v>0</x:v>
      </x:c>
      <x:c r="AA96" s="9" t="n">
        <x:f>((SQRT((Inputs!$C$52+Inputs!$C$5)^2+Inputs!$C$52^2-2*(Inputs!$C$52+Inputs!$C$5)*Inputs!$C$52*COS(SQRT((Model_Data!A96)^2+Inputs!$C$6^2)/Inputs!$C$52))-Inputs!$C$5)*1000/Inputs!$C$12)</x:f>
        <x:v>699.3739883142141</x:v>
      </x:c>
      <x:c r="AB96" s="9" t="n">
        <x:f>Model_Data!F96</x:f>
        <x:v>699.1136836541939</x:v>
      </x:c>
    </x:row>
    <x:row r="97">
      <x:c r="A97" s="9" t="n">
        <x:f>Model_Data!A97</x:f>
        <x:v>-12.5</x:v>
      </x:c>
      <x:c r="B97" s="9" t="n">
        <x:f>0</x:f>
        <x:v>0</x:v>
      </x:c>
      <x:c r="C97" s="9" t="n">
        <x:f>((SQRT((Inputs!$C$52+Inputs!$C$5)^2+Inputs!$C$52^2-2*(Inputs!$C$52+Inputs!$C$5)*Inputs!$C$52*COS(SQRT((Model_Data!A97)^2+Inputs!$C$6^2)/Inputs!$C$52))-Inputs!$C$5)*1000/Inputs!$C$12)</x:f>
        <x:v>688.1609290384572</x:v>
      </x:c>
      <x:c r="D97" s="9" t="n">
        <x:f>Model_Data!F97</x:f>
        <x:v>687.9240997132716</x:v>
      </x:c>
      <x:c r="E97" s="9" t="n">
        <x:f>Model_Data!AC97</x:f>
        <x:v>397.2896157254548</x:v>
      </x:c>
      <x:c r="F97" s="10" t="n"/>
      <x:c r="G97" s="9" t="n">
        <x:f>Model_Data!A97</x:f>
        <x:v>-12.5</x:v>
      </x:c>
      <x:c r="H97" s="9" t="n">
        <x:f>Model_Data!Y97</x:f>
        <x:v>448.8683161255995</x:v>
      </x:c>
      <x:c r="I97" s="9" t="n">
        <x:f>Model_Data!Y97</x:f>
        <x:v>448.8683161255995</x:v>
      </x:c>
      <x:c r="J97" s="9" t="n">
        <x:f>Model_Data!X97</x:f>
        <x:v>-70.18392228131138</x:v>
      </x:c>
      <x:c r="K97" s="9" t="n">
        <x:f>Model_Data!A97</x:f>
        <x:v>-12.5</x:v>
      </x:c>
      <x:c r="L97" s="9" t="n">
        <x:f>Model_Data!Y97</x:f>
        <x:v>448.8683161255995</x:v>
      </x:c>
      <x:c r="M97" s="9" t="n">
        <x:f>Model_Data!X97</x:f>
        <x:v>-70.18392228131138</x:v>
      </x:c>
      <x:c r="N97" s="9" t="n">
        <x:f>-(Model_Data!AC97-Model_Data!F97)*Inputs!$C$12</x:f>
        <x:v>517.329381498314</x:v>
      </x:c>
      <x:c r="O97" s="10" t="n"/>
      <x:c r="P97" s="9" t="n">
        <x:f>Model_Data!A97</x:f>
        <x:v>-12.5</x:v>
      </x:c>
      <x:c r="Q97" s="9" t="n">
        <x:f>Model_Data!P97</x:f>
        <x:v>106.9337919834652</x:v>
      </x:c>
      <x:c r="R97" s="9" t="n">
        <x:f>Model_Data!AM97</x:f>
        <x:v>115.15921534473819</x:v>
      </x:c>
      <x:c r="S97" s="9" t="n">
        <x:f>Model_Data!Q97</x:f>
        <x:v>16.056124922442223</x:v>
      </x:c>
      <x:c r="T97" s="9" t="n">
        <x:f>Model_Data!AN97</x:f>
        <x:v>17.291173475185914</x:v>
      </x:c>
      <x:c r="U97" s="10" t="n"/>
      <x:c r="V97" s="9" t="n">
        <x:f>Model_Data!A97</x:f>
        <x:v>-12.5</x:v>
      </x:c>
      <x:c r="W97" s="9" t="n">
        <x:f>Model_Data!B97-Inputs!$C$5</x:f>
        <x:v>0.17361111111108585</x:v>
      </x:c>
      <x:c r="X97" s="10" t="n"/>
      <x:c r="Y97" s="9" t="n">
        <x:f>Model_Data!A97</x:f>
        <x:v>-12.5</x:v>
      </x:c>
      <x:c r="Z97" s="9" t="n">
        <x:f>0</x:f>
        <x:v>0</x:v>
      </x:c>
      <x:c r="AA97" s="9" t="n">
        <x:f>((SQRT((Inputs!$C$52+Inputs!$C$5)^2+Inputs!$C$52^2-2*(Inputs!$C$52+Inputs!$C$5)*Inputs!$C$52*COS(SQRT((Model_Data!A97)^2+Inputs!$C$6^2)/Inputs!$C$52))-Inputs!$C$5)*1000/Inputs!$C$12)</x:f>
        <x:v>688.1609290384572</x:v>
      </x:c>
      <x:c r="AB97" s="9" t="n">
        <x:f>Model_Data!F97</x:f>
        <x:v>687.9240997132716</x:v>
      </x:c>
    </x:row>
    <x:row r="98">
      <x:c r="A98" s="9" t="n">
        <x:f>Model_Data!A98</x:f>
        <x:v>-12</x:v>
      </x:c>
      <x:c r="B98" s="9" t="n">
        <x:f>0</x:f>
        <x:v>0</x:v>
      </x:c>
      <x:c r="C98" s="9" t="n">
        <x:f>((SQRT((Inputs!$C$52+Inputs!$C$5)^2+Inputs!$C$52^2-2*(Inputs!$C$52+Inputs!$C$5)*Inputs!$C$52*COS(SQRT((Model_Data!A98)^2+Inputs!$C$6^2)/Inputs!$C$52))-Inputs!$C$5)*1000/Inputs!$C$12)</x:f>
        <x:v>677.387062917697</x:v>
      </x:c>
      <x:c r="D98" s="9" t="n">
        <x:f>Model_Data!F98</x:f>
        <x:v>677.1721992654893</x:v>
      </x:c>
      <x:c r="E98" s="9" t="n">
        <x:f>Model_Data!AC98</x:f>
        <x:v>405.32111045431367</x:v>
      </x:c>
      <x:c r="F98" s="10" t="n"/>
      <x:c r="G98" s="9" t="n">
        <x:f>Model_Data!A98</x:f>
        <x:v>-12</x:v>
      </x:c>
      <x:c r="H98" s="9" t="n">
        <x:f>Model_Data!Y98</x:f>
        <x:v>437.9918993099811</x:v>
      </x:c>
      <x:c r="I98" s="9" t="n">
        <x:f>Model_Data!Y98</x:f>
        <x:v>437.9918993099811</x:v>
      </x:c>
      <x:c r="J98" s="9" t="n">
        <x:f>Model_Data!X98</x:f>
        <x:v>-47.55794552962975</x:v>
      </x:c>
      <x:c r="K98" s="9" t="n">
        <x:f>Model_Data!A98</x:f>
        <x:v>-12</x:v>
      </x:c>
      <x:c r="L98" s="9" t="n">
        <x:f>Model_Data!Y98</x:f>
        <x:v>437.9918993099811</x:v>
      </x:c>
      <x:c r="M98" s="9" t="n">
        <x:f>Model_Data!X98</x:f>
        <x:v>-47.55794552962975</x:v>
      </x:c>
      <x:c r="N98" s="9" t="n">
        <x:f>-(Model_Data!AC98-Model_Data!F98)*Inputs!$C$12</x:f>
        <x:v>483.89493808389267</x:v>
      </x:c>
      <x:c r="O98" s="10" t="n"/>
      <x:c r="P98" s="9" t="n">
        <x:f>Model_Data!A98</x:f>
        <x:v>-12</x:v>
      </x:c>
      <x:c r="Q98" s="9" t="n">
        <x:f>Model_Data!P98</x:f>
        <x:v>102.66258570945865</x:v>
      </x:c>
      <x:c r="R98" s="9" t="n">
        <x:f>Model_Data!AM98</x:f>
        <x:v>118.75489251451654</x:v>
      </x:c>
      <x:c r="S98" s="9" t="n">
        <x:f>Model_Data!Q98</x:f>
        <x:v>15.414802659077877</x:v>
      </x:c>
      <x:c r="T98" s="9" t="n">
        <x:f>Model_Data!AN98</x:f>
        <x:v>17.831064942119603</x:v>
      </x:c>
      <x:c r="U98" s="10" t="n"/>
      <x:c r="V98" s="9" t="n">
        <x:f>Model_Data!A98</x:f>
        <x:v>-12</x:v>
      </x:c>
      <x:c r="W98" s="9" t="n">
        <x:f>Model_Data!B98-Inputs!$C$5</x:f>
        <x:v>0.160000000000025</x:v>
      </x:c>
      <x:c r="X98" s="10" t="n"/>
      <x:c r="Y98" s="9" t="n">
        <x:f>Model_Data!A98</x:f>
        <x:v>-12</x:v>
      </x:c>
      <x:c r="Z98" s="9" t="n">
        <x:f>0</x:f>
        <x:v>0</x:v>
      </x:c>
      <x:c r="AA98" s="9" t="n">
        <x:f>((SQRT((Inputs!$C$52+Inputs!$C$5)^2+Inputs!$C$52^2-2*(Inputs!$C$52+Inputs!$C$5)*Inputs!$C$52*COS(SQRT((Model_Data!A98)^2+Inputs!$C$6^2)/Inputs!$C$52))-Inputs!$C$5)*1000/Inputs!$C$12)</x:f>
        <x:v>677.387062917697</x:v>
      </x:c>
      <x:c r="AB98" s="9" t="n">
        <x:f>Model_Data!F98</x:f>
        <x:v>677.1721992654893</x:v>
      </x:c>
    </x:row>
    <x:row r="99">
      <x:c r="A99" s="9" t="n">
        <x:f>Model_Data!A99</x:f>
        <x:v>-11.5</x:v>
      </x:c>
      <x:c r="B99" s="9" t="n">
        <x:f>0</x:f>
        <x:v>0</x:v>
      </x:c>
      <x:c r="C99" s="9" t="n">
        <x:f>((SQRT((Inputs!$C$52+Inputs!$C$5)^2+Inputs!$C$52^2-2*(Inputs!$C$52+Inputs!$C$5)*Inputs!$C$52*COS(SQRT((Model_Data!A99)^2+Inputs!$C$6^2)/Inputs!$C$52))-Inputs!$C$5)*1000/Inputs!$C$12)</x:f>
        <x:v>667.052454042441</x:v>
      </x:c>
      <x:c r="D99" s="9" t="n">
        <x:f>Model_Data!F99</x:f>
        <x:v>666.8581169032889</x:v>
      </x:c>
      <x:c r="E99" s="9" t="n">
        <x:f>Model_Data!AC99</x:f>
        <x:v>382.99802752936847</x:v>
      </x:c>
      <x:c r="F99" s="10" t="n"/>
      <x:c r="G99" s="9" t="n">
        <x:f>Model_Data!A99</x:f>
        <x:v>-11.5</x:v>
      </x:c>
      <x:c r="H99" s="9" t="n">
        <x:f>Model_Data!Y99</x:f>
        <x:v>458.910891472728</x:v>
      </x:c>
      <x:c r="I99" s="9" t="n">
        <x:f>Model_Data!Y99</x:f>
        <x:v>458.910891472728</x:v>
      </x:c>
      <x:c r="J99" s="9" t="n">
        <x:f>Model_Data!X99</x:f>
        <x:v>-48.06780811544866</x:v>
      </x:c>
      <x:c r="K99" s="9" t="n">
        <x:f>Model_Data!A99</x:f>
        <x:v>-11.5</x:v>
      </x:c>
      <x:c r="L99" s="9" t="n">
        <x:f>Model_Data!Y99</x:f>
        <x:v>458.910891472728</x:v>
      </x:c>
      <x:c r="M99" s="9" t="n">
        <x:f>Model_Data!X99</x:f>
        <x:v>-48.06780811544866</x:v>
      </x:c>
      <x:c r="N99" s="9" t="n">
        <x:f>-(Model_Data!AC99-Model_Data!F99)*Inputs!$C$12</x:f>
        <x:v>505.27095908557834</x:v>
      </x:c>
      <x:c r="O99" s="10" t="n"/>
      <x:c r="P99" s="9" t="n">
        <x:f>Model_Data!A99</x:f>
        <x:v>-11.5</x:v>
      </x:c>
      <x:c r="Q99" s="9" t="n">
        <x:f>Model_Data!P99</x:f>
        <x:v>98.39062828850729</x:v>
      </x:c>
      <x:c r="R99" s="9" t="n">
        <x:f>Model_Data!AM99</x:f>
        <x:v>137.6040267078679</x:v>
      </x:c>
      <x:c r="S99" s="9" t="n">
        <x:f>Model_Data!Q99</x:f>
        <x:v>14.77336761088698</x:v>
      </x:c>
      <x:c r="T99" s="9" t="n">
        <x:f>Model_Data!AN99</x:f>
        <x:v>20.661265271451636</x:v>
      </x:c>
      <x:c r="U99" s="10" t="n"/>
      <x:c r="V99" s="9" t="n">
        <x:f>Model_Data!A99</x:f>
        <x:v>-11.5</x:v>
      </x:c>
      <x:c r="W99" s="9" t="n">
        <x:f>Model_Data!B99-Inputs!$C$5</x:f>
        <x:v>0.14694444444444343</x:v>
      </x:c>
      <x:c r="X99" s="10" t="n"/>
      <x:c r="Y99" s="9" t="n">
        <x:f>Model_Data!A99</x:f>
        <x:v>-11.5</x:v>
      </x:c>
      <x:c r="Z99" s="9" t="n">
        <x:f>0</x:f>
        <x:v>0</x:v>
      </x:c>
      <x:c r="AA99" s="9" t="n">
        <x:f>((SQRT((Inputs!$C$52+Inputs!$C$5)^2+Inputs!$C$52^2-2*(Inputs!$C$52+Inputs!$C$5)*Inputs!$C$52*COS(SQRT((Model_Data!A99)^2+Inputs!$C$6^2)/Inputs!$C$52))-Inputs!$C$5)*1000/Inputs!$C$12)</x:f>
        <x:v>667.052454042441</x:v>
      </x:c>
      <x:c r="AB99" s="9" t="n">
        <x:f>Model_Data!F99</x:f>
        <x:v>666.8581169032889</x:v>
      </x:c>
    </x:row>
    <x:row r="100">
      <x:c r="A100" s="9" t="n">
        <x:f>Model_Data!A100</x:f>
        <x:v>-11</x:v>
      </x:c>
      <x:c r="B100" s="9" t="n">
        <x:f>0</x:f>
        <x:v>0</x:v>
      </x:c>
      <x:c r="C100" s="9" t="n">
        <x:f>((SQRT((Inputs!$C$52+Inputs!$C$5)^2+Inputs!$C$52^2-2*(Inputs!$C$52+Inputs!$C$5)*Inputs!$C$52*COS(SQRT((Model_Data!A100)^2+Inputs!$C$6^2)/Inputs!$C$52))-Inputs!$C$5)*1000/Inputs!$C$12)</x:f>
        <x:v>657.1571638987466</x:v>
      </x:c>
      <x:c r="D100" s="9" t="n">
        <x:f>Model_Data!F100</x:f>
        <x:v>656.9819817796764</x:v>
      </x:c>
      <x:c r="E100" s="9" t="n">
        <x:f>Model_Data!AC100</x:f>
        <x:v>373.75995810568355</x:v>
      </x:c>
      <x:c r="F100" s="10" t="n"/>
      <x:c r="G100" s="9" t="n">
        <x:f>Model_Data!A100</x:f>
        <x:v>-11</x:v>
      </x:c>
      <x:c r="H100" s="9" t="n">
        <x:f>Model_Data!Y100</x:f>
        <x:v>462.5412492822977</x:v>
      </x:c>
      <x:c r="I100" s="9" t="n">
        <x:f>Model_Data!Y100</x:f>
        <x:v>462.5412492822977</x:v>
      </x:c>
      <x:c r="J100" s="9" t="n">
        <x:f>Model_Data!X100</x:f>
        <x:v>-43.28983557333215</x:v>
      </x:c>
      <x:c r="K100" s="9" t="n">
        <x:f>Model_Data!A100</x:f>
        <x:v>-11</x:v>
      </x:c>
      <x:c r="L100" s="9" t="n">
        <x:f>Model_Data!Y100</x:f>
        <x:v>462.5412492822977</x:v>
      </x:c>
      <x:c r="M100" s="9" t="n">
        <x:f>Model_Data!X100</x:f>
        <x:v>-43.28983557333215</x:v>
      </x:c>
      <x:c r="N100" s="9" t="n">
        <x:f>-(Model_Data!AC100-Model_Data!F100)*Inputs!$C$12</x:f>
        <x:v>504.1352021397073</x:v>
      </x:c>
      <x:c r="O100" s="10" t="n"/>
      <x:c r="P100" s="9" t="n">
        <x:f>Model_Data!A100</x:f>
        <x:v>-11</x:v>
      </x:c>
      <x:c r="Q100" s="9" t="n">
        <x:f>Model_Data!P100</x:f>
        <x:v>94.1179507391098</x:v>
      </x:c>
      <x:c r="R100" s="9" t="n">
        <x:f>Model_Data!AM100</x:f>
        <x:v>112.0371558296938</x:v>
      </x:c>
      <x:c r="S100" s="9" t="n">
        <x:f>Model_Data!Q100</x:f>
        <x:v>14.131824435301773</x:v>
      </x:c>
      <x:c r="T100" s="9" t="n">
        <x:f>Model_Data!AN100</x:f>
        <x:v>16.822395770224297</x:v>
      </x:c>
      <x:c r="U100" s="10" t="n"/>
      <x:c r="V100" s="9" t="n">
        <x:f>Model_Data!A100</x:f>
        <x:v>-11</x:v>
      </x:c>
      <x:c r="W100" s="9" t="n">
        <x:f>Model_Data!B100-Inputs!$C$5</x:f>
        <x:v>0.1344444444444548</x:v>
      </x:c>
      <x:c r="X100" s="10" t="n"/>
      <x:c r="Y100" s="9" t="n">
        <x:f>Model_Data!A100</x:f>
        <x:v>-11</x:v>
      </x:c>
      <x:c r="Z100" s="9" t="n">
        <x:f>0</x:f>
        <x:v>0</x:v>
      </x:c>
      <x:c r="AA100" s="9" t="n">
        <x:f>((SQRT((Inputs!$C$52+Inputs!$C$5)^2+Inputs!$C$52^2-2*(Inputs!$C$52+Inputs!$C$5)*Inputs!$C$52*COS(SQRT((Model_Data!A100)^2+Inputs!$C$6^2)/Inputs!$C$52))-Inputs!$C$5)*1000/Inputs!$C$12)</x:f>
        <x:v>657.1571638987466</x:v>
      </x:c>
      <x:c r="AB100" s="9" t="n">
        <x:f>Model_Data!F100</x:f>
        <x:v>656.9819817796764</x:v>
      </x:c>
    </x:row>
    <x:row r="101">
      <x:c r="A101" s="9" t="n">
        <x:f>Model_Data!A101</x:f>
        <x:v>-10.5</x:v>
      </x:c>
      <x:c r="B101" s="9" t="n">
        <x:f>0</x:f>
        <x:v>0</x:v>
      </x:c>
      <x:c r="C101" s="9" t="n">
        <x:f>((SQRT((Inputs!$C$52+Inputs!$C$5)^2+Inputs!$C$52^2-2*(Inputs!$C$52+Inputs!$C$5)*Inputs!$C$52*COS(SQRT((Model_Data!A101)^2+Inputs!$C$6^2)/Inputs!$C$52))-Inputs!$C$5)*1000/Inputs!$C$12)</x:f>
        <x:v>647.7012513701045</x:v>
      </x:c>
      <x:c r="D101" s="9" t="n">
        <x:f>Model_Data!F101</x:f>
        <x:v>647.5439175957033</x:v>
      </x:c>
      <x:c r="E101" s="9" t="n">
        <x:f>Model_Data!AC101</x:f>
        <x:v>355.1287665910228</x:v>
      </x:c>
      <x:c r="F101" s="10" t="n"/>
      <x:c r="G101" s="9" t="n">
        <x:f>Model_Data!A101</x:f>
        <x:v>-10.5</x:v>
      </x:c>
      <x:c r="H101" s="9" t="n">
        <x:f>Model_Data!Y101</x:f>
        <x:v>470.10163194835394</x:v>
      </x:c>
      <x:c r="I101" s="9" t="n">
        <x:f>Model_Data!Y101</x:f>
        <x:v>470.10163194835394</x:v>
      </x:c>
      <x:c r="J101" s="9" t="n">
        <x:f>Model_Data!X101</x:f>
        <x:v>-52.09631463655199</x:v>
      </x:c>
      <x:c r="K101" s="9" t="n">
        <x:f>Model_Data!A101</x:f>
        <x:v>-10.5</x:v>
      </x:c>
      <x:c r="L101" s="9" t="n">
        <x:f>Model_Data!Y101</x:f>
        <x:v>470.10163194835394</x:v>
      </x:c>
      <x:c r="M101" s="9" t="n">
        <x:f>Model_Data!X101</x:f>
        <x:v>-52.09631463655199</x:v>
      </x:c>
      <x:c r="N101" s="9" t="n">
        <x:f>-(Model_Data!AC101-Model_Data!F101)*Inputs!$C$12</x:f>
        <x:v>520.4989687883314</x:v>
      </x:c>
      <x:c r="O101" s="10" t="n"/>
      <x:c r="P101" s="9" t="n">
        <x:f>Model_Data!A101</x:f>
        <x:v>-10.5</x:v>
      </x:c>
      <x:c r="Q101" s="9" t="n">
        <x:f>Model_Data!P101</x:f>
        <x:v>89.8445841135981</x:v>
      </x:c>
      <x:c r="R101" s="9" t="n">
        <x:f>Model_Data!AM101</x:f>
        <x:v>104.22636697785492</x:v>
      </x:c>
      <x:c r="S101" s="9" t="n">
        <x:f>Model_Data!Q101</x:f>
        <x:v>13.490177794834551</x:v>
      </x:c>
      <x:c r="T101" s="9" t="n">
        <x:f>Model_Data!AN101</x:f>
        <x:v>15.64960465132957</x:v>
      </x:c>
      <x:c r="U101" s="10" t="n"/>
      <x:c r="V101" s="9" t="n">
        <x:f>Model_Data!A101</x:f>
        <x:v>-10.5</x:v>
      </x:c>
      <x:c r="W101" s="9" t="n">
        <x:f>Model_Data!B101-Inputs!$C$5</x:f>
        <x:v>0.12250000000000227</x:v>
      </x:c>
      <x:c r="X101" s="10" t="n"/>
      <x:c r="Y101" s="9" t="n">
        <x:f>Model_Data!A101</x:f>
        <x:v>-10.5</x:v>
      </x:c>
      <x:c r="Z101" s="9" t="n">
        <x:f>0</x:f>
        <x:v>0</x:v>
      </x:c>
      <x:c r="AA101" s="9" t="n">
        <x:f>((SQRT((Inputs!$C$52+Inputs!$C$5)^2+Inputs!$C$52^2-2*(Inputs!$C$52+Inputs!$C$5)*Inputs!$C$52*COS(SQRT((Model_Data!A101)^2+Inputs!$C$6^2)/Inputs!$C$52))-Inputs!$C$5)*1000/Inputs!$C$12)</x:f>
        <x:v>647.7012513701045</x:v>
      </x:c>
      <x:c r="AB101" s="9" t="n">
        <x:f>Model_Data!F101</x:f>
        <x:v>647.5439175957033</x:v>
      </x:c>
    </x:row>
    <x:row r="102">
      <x:c r="A102" s="9" t="n">
        <x:f>Model_Data!A102</x:f>
        <x:v>-10</x:v>
      </x:c>
      <x:c r="B102" s="9" t="n">
        <x:f>0</x:f>
        <x:v>0</x:v>
      </x:c>
      <x:c r="C102" s="9" t="n">
        <x:f>((SQRT((Inputs!$C$52+Inputs!$C$5)^2+Inputs!$C$52^2-2*(Inputs!$C$52+Inputs!$C$5)*Inputs!$C$52*COS(SQRT((Model_Data!A102)^2+Inputs!$C$6^2)/Inputs!$C$52))-Inputs!$C$5)*1000/Inputs!$C$12)</x:f>
        <x:v>638.6847727352039</x:v>
      </x:c>
      <x:c r="D102" s="9" t="n">
        <x:f>Model_Data!F102</x:f>
        <x:v>638.5440426012327</x:v>
      </x:c>
      <x:c r="E102" s="9" t="n">
        <x:f>Model_Data!AC102</x:f>
        <x:v>346.82656373737944</x:v>
      </x:c>
      <x:c r="F102" s="10" t="n"/>
      <x:c r="G102" s="9" t="n">
        <x:f>Model_Data!A102</x:f>
        <x:v>-10</x:v>
      </x:c>
      <x:c r="H102" s="9" t="n">
        <x:f>Model_Data!Y102</x:f>
        <x:v>471.5144848829251</x:v>
      </x:c>
      <x:c r="I102" s="9" t="n">
        <x:f>Model_Data!Y102</x:f>
        <x:v>471.5144848829251</x:v>
      </x:c>
      <x:c r="J102" s="9" t="n">
        <x:f>Model_Data!X102</x:f>
        <x:v>-49.423131521111884</x:v>
      </x:c>
      <x:c r="K102" s="9" t="n">
        <x:f>Model_Data!A102</x:f>
        <x:v>-10</x:v>
      </x:c>
      <x:c r="L102" s="9" t="n">
        <x:f>Model_Data!Y102</x:f>
        <x:v>471.5144848829251</x:v>
      </x:c>
      <x:c r="M102" s="9" t="n">
        <x:f>Model_Data!X102</x:f>
        <x:v>-49.423131521111884</x:v>
      </x:c>
      <x:c r="N102" s="9" t="n">
        <x:f>-(Model_Data!AC102-Model_Data!F102)*Inputs!$C$12</x:f>
        <x:v>519.2571123776588</x:v>
      </x:c>
      <x:c r="O102" s="10" t="n"/>
      <x:c r="P102" s="9" t="n">
        <x:f>Model_Data!A102</x:f>
        <x:v>-10</x:v>
      </x:c>
      <x:c r="Q102" s="9" t="n">
        <x:f>Model_Data!P102</x:f>
        <x:v>85.5705594970459</x:v>
      </x:c>
      <x:c r="R102" s="9" t="n">
        <x:f>Model_Data!AM102</x:f>
        <x:v>86.40918325254461</x:v>
      </x:c>
      <x:c r="S102" s="9" t="n">
        <x:f>Model_Data!Q102</x:f>
        <x:v>12.8484323569138</x:v>
      </x:c>
      <x:c r="T102" s="9" t="n">
        <x:f>Model_Data!AN102</x:f>
        <x:v>12.974351839721415</x:v>
      </x:c>
      <x:c r="U102" s="10" t="n"/>
      <x:c r="V102" s="9" t="n">
        <x:f>Model_Data!A102</x:f>
        <x:v>-10</x:v>
      </x:c>
      <x:c r="W102" s="9" t="n">
        <x:f>Model_Data!B102-Inputs!$C$5</x:f>
        <x:v>0.11111111111108585</x:v>
      </x:c>
      <x:c r="X102" s="10" t="n"/>
      <x:c r="Y102" s="9" t="n">
        <x:f>Model_Data!A102</x:f>
        <x:v>-10</x:v>
      </x:c>
      <x:c r="Z102" s="9" t="n">
        <x:f>0</x:f>
        <x:v>0</x:v>
      </x:c>
      <x:c r="AA102" s="9" t="n">
        <x:f>((SQRT((Inputs!$C$52+Inputs!$C$5)^2+Inputs!$C$52^2-2*(Inputs!$C$52+Inputs!$C$5)*Inputs!$C$52*COS(SQRT((Model_Data!A102)^2+Inputs!$C$6^2)/Inputs!$C$52))-Inputs!$C$5)*1000/Inputs!$C$12)</x:f>
        <x:v>638.6847727352039</x:v>
      </x:c>
      <x:c r="AB102" s="9" t="n">
        <x:f>Model_Data!F102</x:f>
        <x:v>638.5440426012327</x:v>
      </x:c>
    </x:row>
    <x:row r="103">
      <x:c r="A103" s="9" t="n">
        <x:f>Model_Data!A103</x:f>
        <x:v>-9.5</x:v>
      </x:c>
      <x:c r="B103" s="9" t="n">
        <x:f>0</x:f>
        <x:v>0</x:v>
      </x:c>
      <x:c r="C103" s="9" t="n">
        <x:f>((SQRT((Inputs!$C$52+Inputs!$C$5)^2+Inputs!$C$52^2-2*(Inputs!$C$52+Inputs!$C$5)*Inputs!$C$52*COS(SQRT((Model_Data!A103)^2+Inputs!$C$6^2)/Inputs!$C$52))-Inputs!$C$5)*1000/Inputs!$C$12)</x:f>
        <x:v>630.1077816669101</x:v>
      </x:c>
      <x:c r="D103" s="9" t="n">
        <x:f>Model_Data!F103</x:f>
        <x:v>629.9824695825495</x:v>
      </x:c>
      <x:c r="E103" s="9" t="n">
        <x:f>Model_Data!AC103</x:f>
        <x:v>348.406990945457</x:v>
      </x:c>
      <x:c r="F103" s="10" t="n"/>
      <x:c r="G103" s="9" t="n">
        <x:f>Model_Data!A103</x:f>
        <x:v>-9.5</x:v>
      </x:c>
      <x:c r="H103" s="9" t="n">
        <x:f>Model_Data!Y103</x:f>
        <x:v>470.5815738170562</x:v>
      </x:c>
      <x:c r="I103" s="9" t="n">
        <x:f>Model_Data!Y103</x:f>
        <x:v>470.5815738170562</x:v>
      </x:c>
      <x:c r="J103" s="9" t="n">
        <x:f>Model_Data!X103</x:f>
        <x:v>-32.277557975083496</x:v>
      </x:c>
      <x:c r="K103" s="9" t="n">
        <x:f>Model_Data!A103</x:f>
        <x:v>-9.5</x:v>
      </x:c>
      <x:c r="L103" s="9" t="n">
        <x:f>Model_Data!Y103</x:f>
        <x:v>470.5815738170562</x:v>
      </x:c>
      <x:c r="M103" s="9" t="n">
        <x:f>Model_Data!X103</x:f>
        <x:v>-32.277557975083496</x:v>
      </x:c>
      <x:c r="N103" s="9" t="n">
        <x:f>-(Model_Data!AC103-Model_Data!F103)*Inputs!$C$12</x:f>
        <x:v>501.20435197402463</x:v>
      </x:c>
      <x:c r="O103" s="10" t="n"/>
      <x:c r="P103" s="9" t="n">
        <x:f>Model_Data!A103</x:f>
        <x:v>-9.5</x:v>
      </x:c>
      <x:c r="Q103" s="9" t="n">
        <x:f>Model_Data!P103</x:f>
        <x:v>81.2959080145447</x:v>
      </x:c>
      <x:c r="R103" s="9" t="n">
        <x:f>Model_Data!AM103</x:f>
        <x:v>95.88133801144068</x:v>
      </x:c>
      <x:c r="S103" s="9" t="n">
        <x:f>Model_Data!Q103</x:f>
        <x:v>12.206592794976682</x:v>
      </x:c>
      <x:c r="T103" s="9" t="n">
        <x:f>Model_Data!AN103</x:f>
        <x:v>14.396597299015118</x:v>
      </x:c>
      <x:c r="U103" s="10" t="n"/>
      <x:c r="V103" s="9" t="n">
        <x:f>Model_Data!A103</x:f>
        <x:v>-9.5</x:v>
      </x:c>
      <x:c r="W103" s="9" t="n">
        <x:f>Model_Data!B103-Inputs!$C$5</x:f>
        <x:v>0.10027777777776237</x:v>
      </x:c>
      <x:c r="X103" s="10" t="n"/>
      <x:c r="Y103" s="9" t="n">
        <x:f>Model_Data!A103</x:f>
        <x:v>-9.5</x:v>
      </x:c>
      <x:c r="Z103" s="9" t="n">
        <x:f>0</x:f>
        <x:v>0</x:v>
      </x:c>
      <x:c r="AA103" s="9" t="n">
        <x:f>((SQRT((Inputs!$C$52+Inputs!$C$5)^2+Inputs!$C$52^2-2*(Inputs!$C$52+Inputs!$C$5)*Inputs!$C$52*COS(SQRT((Model_Data!A103)^2+Inputs!$C$6^2)/Inputs!$C$52))-Inputs!$C$5)*1000/Inputs!$C$12)</x:f>
        <x:v>630.1077816669101</x:v>
      </x:c>
      <x:c r="AB103" s="9" t="n">
        <x:f>Model_Data!F103</x:f>
        <x:v>629.9824695825495</x:v>
      </x:c>
    </x:row>
    <x:row r="104">
      <x:c r="A104" s="9" t="n">
        <x:f>Model_Data!A104</x:f>
        <x:v>-9</x:v>
      </x:c>
      <x:c r="B104" s="9" t="n">
        <x:f>0</x:f>
        <x:v>0</x:v>
      </x:c>
      <x:c r="C104" s="9" t="n">
        <x:f>((SQRT((Inputs!$C$52+Inputs!$C$5)^2+Inputs!$C$52^2-2*(Inputs!$C$52+Inputs!$C$5)*Inputs!$C$52*COS(SQRT((Model_Data!A104)^2+Inputs!$C$6^2)/Inputs!$C$52))-Inputs!$C$5)*1000/Inputs!$C$12)</x:f>
        <x:v>621.9703292280814</x:v>
      </x:c>
      <x:c r="D104" s="9" t="n">
        <x:f>Model_Data!F104</x:f>
        <x:v>621.8593058607947</x:v>
      </x:c>
      <x:c r="E104" s="9" t="n">
        <x:f>Model_Data!AC104</x:f>
        <x:v>326.14506460066843</x:v>
      </x:c>
      <x:c r="F104" s="10" t="n"/>
      <x:c r="G104" s="9" t="n">
        <x:f>Model_Data!A104</x:f>
        <x:v>-9</x:v>
      </x:c>
      <x:c r="H104" s="9" t="n">
        <x:f>Model_Data!Y104</x:f>
        <x:v>480.618285675218</x:v>
      </x:c>
      <x:c r="I104" s="9" t="n">
        <x:f>Model_Data!Y104</x:f>
        <x:v>480.618285675218</x:v>
      </x:c>
      <x:c r="J104" s="9" t="n">
        <x:f>Model_Data!X104</x:f>
        <x:v>-47.4214748383975</x:v>
      </x:c>
      <x:c r="K104" s="9" t="n">
        <x:f>Model_Data!A104</x:f>
        <x:v>-9</x:v>
      </x:c>
      <x:c r="L104" s="9" t="n">
        <x:f>Model_Data!Y104</x:f>
        <x:v>480.618285675218</x:v>
      </x:c>
      <x:c r="M104" s="9" t="n">
        <x:f>Model_Data!X104</x:f>
        <x:v>-47.4214748383975</x:v>
      </x:c>
      <x:c r="N104" s="9" t="n">
        <x:f>-(Model_Data!AC104-Model_Data!F104)*Inputs!$C$12</x:f>
        <x:v>526.3713494430248</x:v>
      </x:c>
      <x:c r="O104" s="10" t="n"/>
      <x:c r="P104" s="9" t="n">
        <x:f>Model_Data!A104</x:f>
        <x:v>-9</x:v>
      </x:c>
      <x:c r="Q104" s="9" t="n">
        <x:f>Model_Data!P104</x:f>
        <x:v>77.0206608074659</x:v>
      </x:c>
      <x:c r="R104" s="9" t="n">
        <x:f>Model_Data!AM104</x:f>
        <x:v>61.203996322819876</x:v>
      </x:c>
      <x:c r="S104" s="9" t="n">
        <x:f>Model_Data!Q104</x:f>
        <x:v>11.564663784904791</x:v>
      </x:c>
      <x:c r="T104" s="9" t="n">
        <x:f>Model_Data!AN104</x:f>
        <x:v>9.189789237660642</x:v>
      </x:c>
      <x:c r="U104" s="10" t="n"/>
      <x:c r="V104" s="9" t="n">
        <x:f>Model_Data!A104</x:f>
        <x:v>-9</x:v>
      </x:c>
      <x:c r="W104" s="9" t="n">
        <x:f>Model_Data!B104-Inputs!$C$5</x:f>
        <x:v>0.08999999999997499</x:v>
      </x:c>
      <x:c r="X104" s="10" t="n"/>
      <x:c r="Y104" s="9" t="n">
        <x:f>Model_Data!A104</x:f>
        <x:v>-9</x:v>
      </x:c>
      <x:c r="Z104" s="9" t="n">
        <x:f>0</x:f>
        <x:v>0</x:v>
      </x:c>
      <x:c r="AA104" s="9" t="n">
        <x:f>((SQRT((Inputs!$C$52+Inputs!$C$5)^2+Inputs!$C$52^2-2*(Inputs!$C$52+Inputs!$C$5)*Inputs!$C$52*COS(SQRT((Model_Data!A104)^2+Inputs!$C$6^2)/Inputs!$C$52))-Inputs!$C$5)*1000/Inputs!$C$12)</x:f>
        <x:v>621.9703292280814</x:v>
      </x:c>
      <x:c r="AB104" s="9" t="n">
        <x:f>Model_Data!F104</x:f>
        <x:v>621.8593058607947</x:v>
      </x:c>
    </x:row>
    <x:row r="105">
      <x:c r="A105" s="9" t="n">
        <x:f>Model_Data!A105</x:f>
        <x:v>-8.5</x:v>
      </x:c>
      <x:c r="B105" s="9" t="n">
        <x:f>0</x:f>
        <x:v>0</x:v>
      </x:c>
      <x:c r="C105" s="9" t="n">
        <x:f>((SQRT((Inputs!$C$52+Inputs!$C$5)^2+Inputs!$C$52^2-2*(Inputs!$C$52+Inputs!$C$5)*Inputs!$C$52*COS(SQRT((Model_Data!A105)^2+Inputs!$C$6^2)/Inputs!$C$52))-Inputs!$C$5)*1000/Inputs!$C$12)</x:f>
        <x:v>614.2724638740281</x:v>
      </x:c>
      <x:c r="D105" s="9" t="n">
        <x:f>Model_Data!F105</x:f>
        <x:v>614.1746532877829</x:v>
      </x:c>
      <x:c r="E105" s="9" t="n">
        <x:f>Model_Data!AC105</x:f>
        <x:v>321.53998947447315</x:v>
      </x:c>
      <x:c r="F105" s="10" t="n"/>
      <x:c r="G105" s="9" t="n">
        <x:f>Model_Data!A105</x:f>
        <x:v>-8.5</x:v>
      </x:c>
      <x:c r="H105" s="9" t="n">
        <x:f>Model_Data!Y105</x:f>
        <x:v>460.6206107904381</x:v>
      </x:c>
      <x:c r="I105" s="9" t="n">
        <x:f>Model_Data!Y105</x:f>
        <x:v>460.6206107904381</x:v>
      </x:c>
      <x:c r="J105" s="9" t="n">
        <x:f>Model_Data!X105</x:f>
        <x:v>-61.84832289166857</x:v>
      </x:c>
      <x:c r="K105" s="9" t="n">
        <x:f>Model_Data!A105</x:f>
        <x:v>-8.5</x:v>
      </x:c>
      <x:c r="L105" s="9" t="n">
        <x:f>Model_Data!Y105</x:f>
        <x:v>460.6206107904381</x:v>
      </x:c>
      <x:c r="M105" s="9" t="n">
        <x:f>Model_Data!X105</x:f>
        <x:v>-61.84832289166857</x:v>
      </x:c>
      <x:c r="N105" s="9" t="n">
        <x:f>-(Model_Data!AC105-Model_Data!F105)*Inputs!$C$12</x:f>
        <x:v>520.8897015876914</x:v>
      </x:c>
      <x:c r="O105" s="10" t="n"/>
      <x:c r="P105" s="9" t="n">
        <x:f>Model_Data!A105</x:f>
        <x:v>-8.5</x:v>
      </x:c>
      <x:c r="Q105" s="9" t="n">
        <x:f>Model_Data!P105</x:f>
        <x:v>72.74484905628924</x:v>
      </x:c>
      <x:c r="R105" s="9" t="n">
        <x:f>Model_Data!AM105</x:f>
        <x:v>64.91178834112361</x:v>
      </x:c>
      <x:c r="S105" s="9" t="n">
        <x:f>Model_Data!Q105</x:f>
        <x:v>10.92265000845184</x:v>
      </x:c>
      <x:c r="T105" s="9" t="n">
        <x:f>Model_Data!AN105</x:f>
        <x:v>9.746514765934476</x:v>
      </x:c>
      <x:c r="U105" s="10" t="n"/>
      <x:c r="V105" s="9" t="n">
        <x:f>Model_Data!A105</x:f>
        <x:v>-8.5</x:v>
      </x:c>
      <x:c r="W105" s="9" t="n">
        <x:f>Model_Data!B105-Inputs!$C$5</x:f>
        <x:v>0.08027777777778056</x:v>
      </x:c>
      <x:c r="X105" s="10" t="n"/>
      <x:c r="Y105" s="9" t="n">
        <x:f>Model_Data!A105</x:f>
        <x:v>-8.5</x:v>
      </x:c>
      <x:c r="Z105" s="9" t="n">
        <x:f>0</x:f>
        <x:v>0</x:v>
      </x:c>
      <x:c r="AA105" s="9" t="n">
        <x:f>((SQRT((Inputs!$C$52+Inputs!$C$5)^2+Inputs!$C$52^2-2*(Inputs!$C$52+Inputs!$C$5)*Inputs!$C$52*COS(SQRT((Model_Data!A105)^2+Inputs!$C$6^2)/Inputs!$C$52))-Inputs!$C$5)*1000/Inputs!$C$12)</x:f>
        <x:v>614.2724638740281</x:v>
      </x:c>
      <x:c r="AB105" s="9" t="n">
        <x:f>Model_Data!F105</x:f>
        <x:v>614.1746532877829</x:v>
      </x:c>
    </x:row>
    <x:row r="106">
      <x:c r="A106" s="9" t="n">
        <x:f>Model_Data!A106</x:f>
        <x:v>-8</x:v>
      </x:c>
      <x:c r="B106" s="9" t="n">
        <x:f>0</x:f>
        <x:v>0</x:v>
      </x:c>
      <x:c r="C106" s="9" t="n">
        <x:f>((SQRT((Inputs!$C$52+Inputs!$C$5)^2+Inputs!$C$52^2-2*(Inputs!$C$52+Inputs!$C$5)*Inputs!$C$52*COS(SQRT((Model_Data!A106)^2+Inputs!$C$6^2)/Inputs!$C$52))-Inputs!$C$5)*1000/Inputs!$C$12)</x:f>
        <x:v>607.0142314470512</x:v>
      </x:c>
      <x:c r="D106" s="9" t="n">
        <x:f>Model_Data!F106</x:f>
        <x:v>606.9286082364532</x:v>
      </x:c>
      <x:c r="E106" s="9" t="n">
        <x:f>Model_Data!AC106</x:f>
        <x:v>318.5043344004955</x:v>
      </x:c>
      <x:c r="F106" s="10" t="n"/>
      <x:c r="G106" s="9" t="n">
        <x:f>Model_Data!A106</x:f>
        <x:v>-8</x:v>
      </x:c>
      <x:c r="H106" s="9" t="n">
        <x:f>Model_Data!Y106</x:f>
        <x:v>475.6659223963138</x:v>
      </x:c>
      <x:c r="I106" s="9" t="n">
        <x:f>Model_Data!Y106</x:f>
        <x:v>475.6659223963138</x:v>
      </x:c>
      <x:c r="J106" s="9" t="n">
        <x:f>Model_Data!X106</x:f>
        <x:v>-39.34099577037003</x:v>
      </x:c>
      <x:c r="K106" s="9" t="n">
        <x:f>Model_Data!A106</x:f>
        <x:v>-8</x:v>
      </x:c>
      <x:c r="L106" s="9" t="n">
        <x:f>Model_Data!Y106</x:f>
        <x:v>475.6659223963138</x:v>
      </x:c>
      <x:c r="M106" s="9" t="n">
        <x:f>Model_Data!X106</x:f>
        <x:v>-39.34099577037003</x:v>
      </x:c>
      <x:c r="N106" s="9" t="n">
        <x:f>-(Model_Data!AC106-Model_Data!F106)*Inputs!$C$12</x:f>
        <x:v>513.3952074280047</x:v>
      </x:c>
      <x:c r="O106" s="10" t="n"/>
      <x:c r="P106" s="9" t="n">
        <x:f>Model_Data!A106</x:f>
        <x:v>-8</x:v>
      </x:c>
      <x:c r="Q106" s="9" t="n">
        <x:f>Model_Data!P106</x:f>
        <x:v>68.46850397168964</x:v>
      </x:c>
      <x:c r="R106" s="9" t="n">
        <x:f>Model_Data!AM106</x:f>
        <x:v>83.90391525563246</x:v>
      </x:c>
      <x:c r="S106" s="9" t="n">
        <x:f>Model_Data!Q106</x:f>
        <x:v>10.280556151905353</x:v>
      </x:c>
      <x:c r="T106" s="9" t="n">
        <x:f>Model_Data!AN106</x:f>
        <x:v>12.598185473818688</x:v>
      </x:c>
      <x:c r="U106" s="10" t="n"/>
      <x:c r="V106" s="9" t="n">
        <x:f>Model_Data!A106</x:f>
        <x:v>-8</x:v>
      </x:c>
      <x:c r="W106" s="9" t="n">
        <x:f>Model_Data!B106-Inputs!$C$5</x:f>
        <x:v>0.07111111111112223</x:v>
      </x:c>
      <x:c r="X106" s="10" t="n"/>
      <x:c r="Y106" s="9" t="n">
        <x:f>Model_Data!A106</x:f>
        <x:v>-8</x:v>
      </x:c>
      <x:c r="Z106" s="9" t="n">
        <x:f>0</x:f>
        <x:v>0</x:v>
      </x:c>
      <x:c r="AA106" s="9" t="n">
        <x:f>((SQRT((Inputs!$C$52+Inputs!$C$5)^2+Inputs!$C$52^2-2*(Inputs!$C$52+Inputs!$C$5)*Inputs!$C$52*COS(SQRT((Model_Data!A106)^2+Inputs!$C$6^2)/Inputs!$C$52))-Inputs!$C$5)*1000/Inputs!$C$12)</x:f>
        <x:v>607.0142314470512</x:v>
      </x:c>
      <x:c r="AB106" s="9" t="n">
        <x:f>Model_Data!F106</x:f>
        <x:v>606.9286082364532</x:v>
      </x:c>
    </x:row>
    <x:row r="107">
      <x:c r="A107" s="9" t="n">
        <x:f>Model_Data!A107</x:f>
        <x:v>-7.5</x:v>
      </x:c>
      <x:c r="B107" s="9" t="n">
        <x:f>0</x:f>
        <x:v>0</x:v>
      </x:c>
      <x:c r="C107" s="9" t="n">
        <x:f>((SQRT((Inputs!$C$52+Inputs!$C$5)^2+Inputs!$C$52^2-2*(Inputs!$C$52+Inputs!$C$5)*Inputs!$C$52*COS(SQRT((Model_Data!A107)^2+Inputs!$C$6^2)/Inputs!$C$52))-Inputs!$C$5)*1000/Inputs!$C$12)</x:f>
        <x:v>600.1956751785191</x:v>
      </x:c>
      <x:c r="D107" s="9" t="n">
        <x:f>Model_Data!F107</x:f>
        <x:v>600.1212615998473</x:v>
      </x:c>
      <x:c r="E107" s="9" t="n">
        <x:f>Model_Data!AC107</x:f>
        <x:v>312.5300693525741</x:v>
      </x:c>
      <x:c r="F107" s="10" t="n"/>
      <x:c r="G107" s="9" t="n">
        <x:f>Model_Data!A107</x:f>
        <x:v>-7.5</x:v>
      </x:c>
      <x:c r="H107" s="9" t="n">
        <x:f>Model_Data!Y107</x:f>
        <x:v>470.2640951439132</x:v>
      </x:c>
      <x:c r="I107" s="9" t="n">
        <x:f>Model_Data!Y107</x:f>
        <x:v>470.2640951439132</x:v>
      </x:c>
      <x:c r="J107" s="9" t="n">
        <x:f>Model_Data!X107</x:f>
        <x:v>-43.22381145165265</x:v>
      </x:c>
      <x:c r="K107" s="9" t="n">
        <x:f>Model_Data!A107</x:f>
        <x:v>-7.5</x:v>
      </x:c>
      <x:c r="L107" s="9" t="n">
        <x:f>Model_Data!Y107</x:f>
        <x:v>470.2640951439132</x:v>
      </x:c>
      <x:c r="M107" s="9" t="n">
        <x:f>Model_Data!X107</x:f>
        <x:v>-43.22381145165265</x:v>
      </x:c>
      <x:c r="N107" s="9" t="n">
        <x:f>-(Model_Data!AC107-Model_Data!F107)*Inputs!$C$12</x:f>
        <x:v>511.9123222001464</x:v>
      </x:c>
      <x:c r="O107" s="10" t="n"/>
      <x:c r="P107" s="9" t="n">
        <x:f>Model_Data!A107</x:f>
        <x:v>-7.5</x:v>
      </x:c>
      <x:c r="Q107" s="9" t="n">
        <x:f>Model_Data!P107</x:f>
        <x:v>64.19165678507852</x:v>
      </x:c>
      <x:c r="R107" s="9" t="n">
        <x:f>Model_Data!AM107</x:f>
        <x:v>12.086959146927256</x:v>
      </x:c>
      <x:c r="S107" s="9" t="n">
        <x:f>Model_Data!Q107</x:f>
        <x:v>9.638386904666445</x:v>
      </x:c>
      <x:c r="T107" s="9" t="n">
        <x:f>Model_Data!AN107</x:f>
        <x:v>1.8148587307698585</x:v>
      </x:c>
      <x:c r="U107" s="10" t="n"/>
      <x:c r="V107" s="9" t="n">
        <x:f>Model_Data!A107</x:f>
        <x:v>-7.5</x:v>
      </x:c>
      <x:c r="W107" s="9" t="n">
        <x:f>Model_Data!B107-Inputs!$C$5</x:f>
        <x:v>0.0625</x:v>
      </x:c>
      <x:c r="X107" s="10" t="n"/>
      <x:c r="Y107" s="9" t="n">
        <x:f>Model_Data!A107</x:f>
        <x:v>-7.5</x:v>
      </x:c>
      <x:c r="Z107" s="9" t="n">
        <x:f>0</x:f>
        <x:v>0</x:v>
      </x:c>
      <x:c r="AA107" s="9" t="n">
        <x:f>((SQRT((Inputs!$C$52+Inputs!$C$5)^2+Inputs!$C$52^2-2*(Inputs!$C$52+Inputs!$C$5)*Inputs!$C$52*COS(SQRT((Model_Data!A107)^2+Inputs!$C$6^2)/Inputs!$C$52))-Inputs!$C$5)*1000/Inputs!$C$12)</x:f>
        <x:v>600.1956751785191</x:v>
      </x:c>
      <x:c r="AB107" s="9" t="n">
        <x:f>Model_Data!F107</x:f>
        <x:v>600.1212615998473</x:v>
      </x:c>
    </x:row>
    <x:row r="108">
      <x:c r="A108" s="9" t="n">
        <x:f>Model_Data!A108</x:f>
        <x:v>-7</x:v>
      </x:c>
      <x:c r="B108" s="9" t="n">
        <x:f>0</x:f>
        <x:v>0</x:v>
      </x:c>
      <x:c r="C108" s="9" t="n">
        <x:f>((SQRT((Inputs!$C$52+Inputs!$C$5)^2+Inputs!$C$52^2-2*(Inputs!$C$52+Inputs!$C$5)*Inputs!$C$52*COS(SQRT((Model_Data!A108)^2+Inputs!$C$6^2)/Inputs!$C$52))-Inputs!$C$5)*1000/Inputs!$C$12)</x:f>
        <x:v>593.816835685641</x:v>
      </x:c>
      <x:c r="D108" s="9" t="n">
        <x:f>Model_Data!F108</x:f>
        <x:v>593.7526987847551</x:v>
      </x:c>
      <x:c r="E108" s="9" t="n">
        <x:f>Model_Data!AC108</x:f>
        <x:v>318.73297083728795</x:v>
      </x:c>
      <x:c r="F108" s="10" t="n"/>
      <x:c r="G108" s="9" t="n">
        <x:f>Model_Data!A108</x:f>
        <x:v>-7</x:v>
      </x:c>
      <x:c r="H108" s="9" t="n">
        <x:f>Model_Data!Y108</x:f>
        <x:v>442.95708145426426</x:v>
      </x:c>
      <x:c r="I108" s="9" t="n">
        <x:f>Model_Data!Y108</x:f>
        <x:v>442.95708145426426</x:v>
      </x:c>
      <x:c r="J108" s="9" t="n">
        <x:f>Model_Data!X108</x:f>
        <x:v>-48.04634011268098</x:v>
      </x:c>
      <x:c r="K108" s="9" t="n">
        <x:f>Model_Data!A108</x:f>
        <x:v>-7</x:v>
      </x:c>
      <x:c r="L108" s="9" t="n">
        <x:f>Model_Data!Y108</x:f>
        <x:v>442.95708145426426</x:v>
      </x:c>
      <x:c r="M108" s="9" t="n">
        <x:f>Model_Data!X108</x:f>
        <x:v>-48.04634011268098</x:v>
      </x:c>
      <x:c r="N108" s="9" t="n">
        <x:f>-(Model_Data!AC108-Model_Data!F108)*Inputs!$C$12</x:f>
        <x:v>489.53511574649156</x:v>
      </x:c>
      <x:c r="O108" s="10" t="n"/>
      <x:c r="P108" s="9" t="n">
        <x:f>Model_Data!A108</x:f>
        <x:v>-7</x:v>
      </x:c>
      <x:c r="Q108" s="9" t="n">
        <x:f>Model_Data!P108</x:f>
        <x:v>59.914338766157016</x:v>
      </x:c>
      <x:c r="R108" s="9" t="n">
        <x:f>Model_Data!AM108</x:f>
        <x:v>36.91531491022033</x:v>
      </x:c>
      <x:c r="S108" s="9" t="n">
        <x:f>Model_Data!Q108</x:f>
        <x:v>8.996146961885438</x:v>
      </x:c>
      <x:c r="T108" s="9" t="n">
        <x:f>Model_Data!AN108</x:f>
        <x:v>5.54284007660966</x:v>
      </x:c>
      <x:c r="U108" s="10" t="n"/>
      <x:c r="V108" s="9" t="n">
        <x:f>Model_Data!A108</x:f>
        <x:v>-7</x:v>
      </x:c>
      <x:c r="W108" s="9" t="n">
        <x:f>Model_Data!B108-Inputs!$C$5</x:f>
        <x:v>0.05444444444447072</x:v>
      </x:c>
      <x:c r="X108" s="10" t="n"/>
      <x:c r="Y108" s="9" t="n">
        <x:f>Model_Data!A108</x:f>
        <x:v>-7</x:v>
      </x:c>
      <x:c r="Z108" s="9" t="n">
        <x:f>0</x:f>
        <x:v>0</x:v>
      </x:c>
      <x:c r="AA108" s="9" t="n">
        <x:f>((SQRT((Inputs!$C$52+Inputs!$C$5)^2+Inputs!$C$52^2-2*(Inputs!$C$52+Inputs!$C$5)*Inputs!$C$52*COS(SQRT((Model_Data!A108)^2+Inputs!$C$6^2)/Inputs!$C$52))-Inputs!$C$5)*1000/Inputs!$C$12)</x:f>
        <x:v>593.816835685641</x:v>
      </x:c>
      <x:c r="AB108" s="9" t="n">
        <x:f>Model_Data!F108</x:f>
        <x:v>593.7526987847551</x:v>
      </x:c>
    </x:row>
    <x:row r="109">
      <x:c r="A109" s="9" t="n">
        <x:f>Model_Data!A109</x:f>
        <x:v>-6.5</x:v>
      </x:c>
      <x:c r="B109" s="9" t="n">
        <x:f>0</x:f>
        <x:v>0</x:v>
      </x:c>
      <x:c r="C109" s="9" t="n">
        <x:f>((SQRT((Inputs!$C$52+Inputs!$C$5)^2+Inputs!$C$52^2-2*(Inputs!$C$52+Inputs!$C$5)*Inputs!$C$52*COS(SQRT((Model_Data!A109)^2+Inputs!$C$6^2)/Inputs!$C$52))-Inputs!$C$5)*1000/Inputs!$C$12)</x:f>
        <x:v>587.8777509688173</x:v>
      </x:c>
      <x:c r="D109" s="9" t="n">
        <x:f>Model_Data!F109</x:f>
        <x:v>587.8229997047524</x:v>
      </x:c>
      <x:c r="E109" s="9" t="n">
        <x:f>Model_Data!AC109</x:f>
        <x:v>299.1823117866943</x:v>
      </x:c>
      <x:c r="F109" s="10" t="n"/>
      <x:c r="G109" s="9" t="n">
        <x:f>Model_Data!A109</x:f>
        <x:v>-6.5</x:v>
      </x:c>
      <x:c r="H109" s="9" t="n">
        <x:f>Model_Data!Y109</x:f>
        <x:v>455.8100478474453</x:v>
      </x:c>
      <x:c r="I109" s="9" t="n">
        <x:f>Model_Data!Y109</x:f>
        <x:v>455.8100478474453</x:v>
      </x:c>
      <x:c r="J109" s="9" t="n">
        <x:f>Model_Data!X109</x:f>
        <x:v>-59.466303655605586</x:v>
      </x:c>
      <x:c r="K109" s="9" t="n">
        <x:f>Model_Data!A109</x:f>
        <x:v>-6.5</x:v>
      </x:c>
      <x:c r="L109" s="9" t="n">
        <x:f>Model_Data!Y109</x:f>
        <x:v>455.8100478474453</x:v>
      </x:c>
      <x:c r="M109" s="9" t="n">
        <x:f>Model_Data!X109</x:f>
        <x:v>-59.466303655605586</x:v>
      </x:c>
      <x:c r="N109" s="9" t="n">
        <x:f>-(Model_Data!AC109-Model_Data!F109)*Inputs!$C$12</x:f>
        <x:v>513.7804244941435</x:v>
      </x:c>
      <x:c r="O109" s="10" t="n"/>
      <x:c r="P109" s="9" t="n">
        <x:f>Model_Data!A109</x:f>
        <x:v>-6.5</x:v>
      </x:c>
      <x:c r="Q109" s="9" t="n">
        <x:f>Model_Data!P109</x:f>
        <x:v>55.63658118935564</x:v>
      </x:c>
      <x:c r="R109" s="9" t="n">
        <x:f>Model_Data!AM109</x:f>
        <x:v>63.33079653877576</x:v>
      </x:c>
      <x:c r="S109" s="9" t="n">
        <x:f>Model_Data!Q109</x:f>
        <x:v>8.353841019422768</x:v>
      </x:c>
      <x:c r="T109" s="9" t="n">
        <x:f>Model_Data!AN109</x:f>
        <x:v>9.50912860942579</x:v>
      </x:c>
      <x:c r="U109" s="10" t="n"/>
      <x:c r="V109" s="9" t="n">
        <x:f>Model_Data!A109</x:f>
        <x:v>-6.5</x:v>
      </x:c>
      <x:c r="W109" s="9" t="n">
        <x:f>Model_Data!B109-Inputs!$C$5</x:f>
        <x:v>0.046944444444420697</x:v>
      </x:c>
      <x:c r="X109" s="10" t="n"/>
      <x:c r="Y109" s="9" t="n">
        <x:f>Model_Data!A109</x:f>
        <x:v>-6.5</x:v>
      </x:c>
      <x:c r="Z109" s="9" t="n">
        <x:f>0</x:f>
        <x:v>0</x:v>
      </x:c>
      <x:c r="AA109" s="9" t="n">
        <x:f>((SQRT((Inputs!$C$52+Inputs!$C$5)^2+Inputs!$C$52^2-2*(Inputs!$C$52+Inputs!$C$5)*Inputs!$C$52*COS(SQRT((Model_Data!A109)^2+Inputs!$C$6^2)/Inputs!$C$52))-Inputs!$C$5)*1000/Inputs!$C$12)</x:f>
        <x:v>587.8777509688173</x:v>
      </x:c>
      <x:c r="AB109" s="9" t="n">
        <x:f>Model_Data!F109</x:f>
        <x:v>587.8229997047524</x:v>
      </x:c>
    </x:row>
    <x:row r="110">
      <x:c r="A110" s="9" t="n">
        <x:f>Model_Data!A110</x:f>
        <x:v>-6</x:v>
      </x:c>
      <x:c r="B110" s="9" t="n">
        <x:f>0</x:f>
        <x:v>0</x:v>
      </x:c>
      <x:c r="C110" s="9" t="n">
        <x:f>((SQRT((Inputs!$C$52+Inputs!$C$5)^2+Inputs!$C$52^2-2*(Inputs!$C$52+Inputs!$C$5)*Inputs!$C$52*COS(SQRT((Model_Data!A110)^2+Inputs!$C$6^2)/Inputs!$C$52))-Inputs!$C$5)*1000/Inputs!$C$12)</x:f>
        <x:v>582.3784564165571</x:v>
      </x:c>
      <x:c r="D110" s="9" t="n">
        <x:f>Model_Data!F110</x:f>
        <x:v>582.3322387853748</x:v>
      </x:c>
      <x:c r="E110" s="9" t="n">
        <x:f>Model_Data!AC110</x:f>
        <x:v>297.2781345224678</x:v>
      </x:c>
      <x:c r="F110" s="10" t="n"/>
      <x:c r="G110" s="9" t="n">
        <x:f>Model_Data!A110</x:f>
        <x:v>-6</x:v>
      </x:c>
      <x:c r="H110" s="9" t="n">
        <x:f>Model_Data!Y110</x:f>
        <x:v>447.7534427220802</x:v>
      </x:c>
      <x:c r="I110" s="9" t="n">
        <x:f>Model_Data!Y110</x:f>
        <x:v>447.7534427220802</x:v>
      </x:c>
      <x:c r="J110" s="9" t="n">
        <x:f>Model_Data!X110</x:f>
        <x:v>-61.0986453608147</x:v>
      </x:c>
      <x:c r="K110" s="9" t="n">
        <x:f>Model_Data!A110</x:f>
        <x:v>-6</x:v>
      </x:c>
      <x:c r="L110" s="9" t="n">
        <x:f>Model_Data!Y110</x:f>
        <x:v>447.7534427220802</x:v>
      </x:c>
      <x:c r="M110" s="9" t="n">
        <x:f>Model_Data!X110</x:f>
        <x:v>-61.0986453608147</x:v>
      </x:c>
      <x:c r="N110" s="9" t="n">
        <x:f>-(Model_Data!AC110-Model_Data!F110)*Inputs!$C$12</x:f>
        <x:v>507.3963055879745</x:v>
      </x:c>
      <x:c r="O110" s="10" t="n"/>
      <x:c r="P110" s="9" t="n">
        <x:f>Model_Data!A110</x:f>
        <x:v>-6</x:v>
      </x:c>
      <x:c r="Q110" s="9" t="n">
        <x:f>Model_Data!P110</x:f>
        <x:v>51.35841535866348</x:v>
      </x:c>
      <x:c r="R110" s="9" t="n">
        <x:f>Model_Data!AM110</x:f>
        <x:v>21.772271344889305</x:v>
      </x:c>
      <x:c r="S110" s="9" t="n">
        <x:f>Model_Data!Q110</x:f>
        <x:v>7.711473777577099</x:v>
      </x:c>
      <x:c r="T110" s="9" t="n">
        <x:f>Model_Data!AN110</x:f>
        <x:v>3.269109811544941</x:v>
      </x:c>
      <x:c r="U110" s="10" t="n"/>
      <x:c r="V110" s="9" t="n">
        <x:f>Model_Data!A110</x:f>
        <x:v>-6</x:v>
      </x:c>
      <x:c r="W110" s="9" t="n">
        <x:f>Model_Data!B110-Inputs!$C$5</x:f>
        <x:v>0.040000000000020464</x:v>
      </x:c>
      <x:c r="X110" s="10" t="n"/>
      <x:c r="Y110" s="9" t="n">
        <x:f>Model_Data!A110</x:f>
        <x:v>-6</x:v>
      </x:c>
      <x:c r="Z110" s="9" t="n">
        <x:f>0</x:f>
        <x:v>0</x:v>
      </x:c>
      <x:c r="AA110" s="9" t="n">
        <x:f>((SQRT((Inputs!$C$52+Inputs!$C$5)^2+Inputs!$C$52^2-2*(Inputs!$C$52+Inputs!$C$5)*Inputs!$C$52*COS(SQRT((Model_Data!A110)^2+Inputs!$C$6^2)/Inputs!$C$52))-Inputs!$C$5)*1000/Inputs!$C$12)</x:f>
        <x:v>582.3784564165571</x:v>
      </x:c>
      <x:c r="AB110" s="9" t="n">
        <x:f>Model_Data!F110</x:f>
        <x:v>582.3322387853748</x:v>
      </x:c>
    </x:row>
    <x:row r="111">
      <x:c r="A111" s="9" t="n">
        <x:f>Model_Data!A111</x:f>
        <x:v>-5.5</x:v>
      </x:c>
      <x:c r="B111" s="9" t="n">
        <x:f>0</x:f>
        <x:v>0</x:v>
      </x:c>
      <x:c r="C111" s="9" t="n">
        <x:f>((SQRT((Inputs!$C$52+Inputs!$C$5)^2+Inputs!$C$52^2-2*(Inputs!$C$52+Inputs!$C$5)*Inputs!$C$52*COS(SQRT((Model_Data!A111)^2+Inputs!$C$6^2)/Inputs!$C$52))-Inputs!$C$5)*1000/Inputs!$C$12)</x:f>
        <x:v>577.3189847965366</x:v>
      </x:c>
      <x:c r="D111" s="9" t="n">
        <x:f>Model_Data!F111</x:f>
        <x:v>577.2804849486606</x:v>
      </x:c>
      <x:c r="E111" s="9" t="n">
        <x:f>Model_Data!AC111</x:f>
        <x:v>296.7112011418749</x:v>
      </x:c>
      <x:c r="F111" s="10" t="n"/>
      <x:c r="G111" s="9" t="n">
        <x:f>Model_Data!A111</x:f>
        <x:v>-5.5</x:v>
      </x:c>
      <x:c r="H111" s="9" t="n">
        <x:f>Model_Data!Y111</x:f>
        <x:v>437.23203216912464</x:v>
      </x:c>
      <x:c r="I111" s="9" t="n">
        <x:f>Model_Data!Y111</x:f>
        <x:v>437.23203216912464</x:v>
      </x:c>
      <x:c r="J111" s="9" t="n">
        <x:f>Model_Data!X111</x:f>
        <x:v>-63.59054434613801</x:v>
      </x:c>
      <x:c r="K111" s="9" t="n">
        <x:f>Model_Data!A111</x:f>
        <x:v>-5.5</x:v>
      </x:c>
      <x:c r="L111" s="9" t="n">
        <x:f>Model_Data!Y111</x:f>
        <x:v>437.23203216912464</x:v>
      </x:c>
      <x:c r="M111" s="9" t="n">
        <x:f>Model_Data!X111</x:f>
        <x:v>-63.59054434613801</x:v>
      </x:c>
      <x:c r="N111" s="9" t="n">
        <x:f>-(Model_Data!AC111-Model_Data!F111)*Inputs!$C$12</x:f>
        <x:v>499.4133251760786</x:v>
      </x:c>
      <x:c r="O111" s="10" t="n"/>
      <x:c r="P111" s="9" t="n">
        <x:f>Model_Data!A111</x:f>
        <x:v>-5.5</x:v>
      </x:c>
      <x:c r="Q111" s="9" t="n">
        <x:f>Model_Data!P111</x:f>
        <x:v>47.07987260953814</x:v>
      </x:c>
      <x:c r="R111" s="9" t="n">
        <x:f>Model_Data!AM111</x:f>
        <x:v>13.213910555714392</x:v>
      </x:c>
      <x:c r="S111" s="9" t="n">
        <x:f>Model_Data!Q111</x:f>
        <x:v>7.069049941372094</x:v>
      </x:c>
      <x:c r="T111" s="9" t="n">
        <x:f>Model_Data!AN111</x:f>
        <x:v>1.98407065401117</x:v>
      </x:c>
      <x:c r="U111" s="10" t="n"/>
      <x:c r="V111" s="9" t="n">
        <x:f>Model_Data!A111</x:f>
        <x:v>-5.5</x:v>
      </x:c>
      <x:c r="W111" s="9" t="n">
        <x:f>Model_Data!B111-Inputs!$C$5</x:f>
        <x:v>0.03361111111109949</x:v>
      </x:c>
      <x:c r="X111" s="10" t="n"/>
      <x:c r="Y111" s="9" t="n">
        <x:f>Model_Data!A111</x:f>
        <x:v>-5.5</x:v>
      </x:c>
      <x:c r="Z111" s="9" t="n">
        <x:f>0</x:f>
        <x:v>0</x:v>
      </x:c>
      <x:c r="AA111" s="9" t="n">
        <x:f>((SQRT((Inputs!$C$52+Inputs!$C$5)^2+Inputs!$C$52^2-2*(Inputs!$C$52+Inputs!$C$5)*Inputs!$C$52*COS(SQRT((Model_Data!A111)^2+Inputs!$C$6^2)/Inputs!$C$52))-Inputs!$C$5)*1000/Inputs!$C$12)</x:f>
        <x:v>577.3189847965366</x:v>
      </x:c>
      <x:c r="AB111" s="9" t="n">
        <x:f>Model_Data!F111</x:f>
        <x:v>577.2804849486606</x:v>
      </x:c>
    </x:row>
    <x:row r="112">
      <x:c r="A112" s="9" t="n">
        <x:f>Model_Data!A112</x:f>
        <x:v>-5</x:v>
      </x:c>
      <x:c r="B112" s="9" t="n">
        <x:f>0</x:f>
        <x:v>0</x:v>
      </x:c>
      <x:c r="C112" s="9" t="n">
        <x:f>((SQRT((Inputs!$C$52+Inputs!$C$5)^2+Inputs!$C$52^2-2*(Inputs!$C$52+Inputs!$C$5)*Inputs!$C$52*COS(SQRT((Model_Data!A112)^2+Inputs!$C$6^2)/Inputs!$C$52))-Inputs!$C$5)*1000/Inputs!$C$12)</x:f>
        <x:v>572.6993662599103</x:v>
      </x:c>
      <x:c r="D112" s="9" t="n">
        <x:f>Model_Data!F112</x:f>
        <x:v>572.6678016175588</x:v>
      </x:c>
      <x:c r="E112" s="9" t="n">
        <x:f>Model_Data!AC112</x:f>
        <x:v>292.4559822907461</x:v>
      </x:c>
      <x:c r="F112" s="10" t="n"/>
      <x:c r="G112" s="9" t="n">
        <x:f>Model_Data!A112</x:f>
        <x:v>-5</x:v>
      </x:c>
      <x:c r="H112" s="9" t="n">
        <x:f>Model_Data!Y112</x:f>
        <x:v>426.4950993655156</x:v>
      </x:c>
      <x:c r="I112" s="9" t="n">
        <x:f>Model_Data!Y112</x:f>
        <x:v>426.4950993655156</x:v>
      </x:c>
      <x:c r="J112" s="9" t="n">
        <x:f>Model_Data!X112</x:f>
        <x:v>-73.64560445817172</x:v>
      </x:c>
      <x:c r="K112" s="9" t="n">
        <x:f>Model_Data!A112</x:f>
        <x:v>-5</x:v>
      </x:c>
      <x:c r="L112" s="9" t="n">
        <x:f>Model_Data!Y112</x:f>
        <x:v>426.4950993655156</x:v>
      </x:c>
      <x:c r="M112" s="9" t="n">
        <x:f>Model_Data!X112</x:f>
        <x:v>-73.64560445817172</x:v>
      </x:c>
      <x:c r="N112" s="9" t="n">
        <x:f>-(Model_Data!AC112-Model_Data!F112)*Inputs!$C$12</x:f>
        <x:v>498.7770384017266</x:v>
      </x:c>
      <x:c r="O112" s="10" t="n"/>
      <x:c r="P112" s="9" t="n">
        <x:f>Model_Data!A112</x:f>
        <x:v>-5</x:v>
      </x:c>
      <x:c r="Q112" s="9" t="n">
        <x:f>Model_Data!P112</x:f>
        <x:v>42.80098427389021</x:v>
      </x:c>
      <x:c r="R112" s="9" t="n">
        <x:f>Model_Data!AM112</x:f>
        <x:v>20.623816407260165</x:v>
      </x:c>
      <x:c r="S112" s="9" t="n">
        <x:f>Model_Data!Q112</x:f>
        <x:v>6.426574215298831</x:v>
      </x:c>
      <x:c r="T112" s="9" t="n">
        <x:f>Model_Data!AN112</x:f>
        <x:v>3.096669130219244</x:v>
      </x:c>
      <x:c r="U112" s="10" t="n"/>
      <x:c r="V112" s="9" t="n">
        <x:f>Model_Data!A112</x:f>
        <x:v>-5</x:v>
      </x:c>
      <x:c r="W112" s="9" t="n">
        <x:f>Model_Data!B112-Inputs!$C$5</x:f>
        <x:v>0.027777777777771462</x:v>
      </x:c>
      <x:c r="X112" s="10" t="n"/>
      <x:c r="Y112" s="9" t="n">
        <x:f>Model_Data!A112</x:f>
        <x:v>-5</x:v>
      </x:c>
      <x:c r="Z112" s="9" t="n">
        <x:f>0</x:f>
        <x:v>0</x:v>
      </x:c>
      <x:c r="AA112" s="9" t="n">
        <x:f>((SQRT((Inputs!$C$52+Inputs!$C$5)^2+Inputs!$C$52^2-2*(Inputs!$C$52+Inputs!$C$5)*Inputs!$C$52*COS(SQRT((Model_Data!A112)^2+Inputs!$C$6^2)/Inputs!$C$52))-Inputs!$C$5)*1000/Inputs!$C$12)</x:f>
        <x:v>572.6993662599103</x:v>
      </x:c>
      <x:c r="AB112" s="9" t="n">
        <x:f>Model_Data!F112</x:f>
        <x:v>572.6678016175588</x:v>
      </x:c>
    </x:row>
    <x:row r="113">
      <x:c r="A113" s="9" t="n">
        <x:f>Model_Data!A113</x:f>
        <x:v>-4.5</x:v>
      </x:c>
      <x:c r="B113" s="9" t="n">
        <x:f>0</x:f>
        <x:v>0</x:v>
      </x:c>
      <x:c r="C113" s="9" t="n">
        <x:f>((SQRT((Inputs!$C$52+Inputs!$C$5)^2+Inputs!$C$52^2-2*(Inputs!$C$52+Inputs!$C$5)*Inputs!$C$52*COS(SQRT((Model_Data!A113)^2+Inputs!$C$6^2)/Inputs!$C$52))-Inputs!$C$5)*1000/Inputs!$C$12)</x:f>
        <x:v>568.519628340385</x:v>
      </x:c>
      <x:c r="D113" s="9" t="n">
        <x:f>Model_Data!F113</x:f>
        <x:v>568.494246712671</x:v>
      </x:c>
      <x:c r="E113" s="9" t="n">
        <x:f>Model_Data!AC113</x:f>
        <x:v>290.37548165919094</x:v>
      </x:c>
      <x:c r="F113" s="10" t="n"/>
      <x:c r="G113" s="9" t="n">
        <x:f>Model_Data!A113</x:f>
        <x:v>-4.5</x:v>
      </x:c>
      <x:c r="H113" s="9" t="n">
        <x:f>Model_Data!Y113</x:f>
        <x:v>423.30568039510905</x:v>
      </x:c>
      <x:c r="I113" s="9" t="n">
        <x:f>Model_Data!Y113</x:f>
        <x:v>423.30568039510905</x:v>
      </x:c>
      <x:c r="J113" s="9" t="n">
        <x:f>Model_Data!X113</x:f>
        <x:v>-73.08935088189128</x:v>
      </x:c>
      <x:c r="K113" s="9" t="n">
        <x:f>Model_Data!A113</x:f>
        <x:v>-4.5</x:v>
      </x:c>
      <x:c r="L113" s="9" t="n">
        <x:f>Model_Data!Y113</x:f>
        <x:v>423.30568039510905</x:v>
      </x:c>
      <x:c r="M113" s="9" t="n">
        <x:f>Model_Data!X113</x:f>
        <x:v>-73.08935088189128</x:v>
      </x:c>
      <x:c r="N113" s="9" t="n">
        <x:f>-(Model_Data!AC113-Model_Data!F113)*Inputs!$C$12</x:f>
        <x:v>495.0514017951946</x:v>
      </x:c>
      <x:c r="O113" s="10" t="n"/>
      <x:c r="P113" s="9" t="n">
        <x:f>Model_Data!A113</x:f>
        <x:v>-4.5</x:v>
      </x:c>
      <x:c r="Q113" s="9" t="n">
        <x:f>Model_Data!P113</x:f>
        <x:v>38.521781712279335</x:v>
      </x:c>
      <x:c r="R113" s="9" t="n">
        <x:f>Model_Data!AM113</x:f>
        <x:v>37.7856622314539</x:v>
      </x:c>
      <x:c r="S113" s="9" t="n">
        <x:f>Model_Data!Q113</x:f>
        <x:v>5.784051308150051</x:v>
      </x:c>
      <x:c r="T113" s="9" t="n">
        <x:f>Model_Data!AN113</x:f>
        <x:v>5.67352285757566</x:v>
      </x:c>
      <x:c r="U113" s="10" t="n"/>
      <x:c r="V113" s="9" t="n">
        <x:f>Model_Data!A113</x:f>
        <x:v>-4.5</x:v>
      </x:c>
      <x:c r="W113" s="9" t="n">
        <x:f>Model_Data!B113-Inputs!$C$5</x:f>
        <x:v>0.022499999999979536</x:v>
      </x:c>
      <x:c r="X113" s="10" t="n"/>
      <x:c r="Y113" s="9" t="n">
        <x:f>Model_Data!A113</x:f>
        <x:v>-4.5</x:v>
      </x:c>
      <x:c r="Z113" s="9" t="n">
        <x:f>0</x:f>
        <x:v>0</x:v>
      </x:c>
      <x:c r="AA113" s="9" t="n">
        <x:f>((SQRT((Inputs!$C$52+Inputs!$C$5)^2+Inputs!$C$52^2-2*(Inputs!$C$52+Inputs!$C$5)*Inputs!$C$52*COS(SQRT((Model_Data!A113)^2+Inputs!$C$6^2)/Inputs!$C$52))-Inputs!$C$5)*1000/Inputs!$C$12)</x:f>
        <x:v>568.519628340385</x:v>
      </x:c>
      <x:c r="AB113" s="9" t="n">
        <x:f>Model_Data!F113</x:f>
        <x:v>568.494246712671</x:v>
      </x:c>
    </x:row>
    <x:row r="114">
      <x:c r="A114" s="9" t="n">
        <x:f>Model_Data!A114</x:f>
        <x:v>-4</x:v>
      </x:c>
      <x:c r="B114" s="9" t="n">
        <x:f>0</x:f>
        <x:v>0</x:v>
      </x:c>
      <x:c r="C114" s="9" t="n">
        <x:f>((SQRT((Inputs!$C$52+Inputs!$C$5)^2+Inputs!$C$52^2-2*(Inputs!$C$52+Inputs!$C$5)*Inputs!$C$52*COS(SQRT((Model_Data!A114)^2+Inputs!$C$6^2)/Inputs!$C$52))-Inputs!$C$5)*1000/Inputs!$C$12)</x:f>
        <x:v>564.7797959481517</x:v>
      </x:c>
      <x:c r="D114" s="9" t="n">
        <x:f>Model_Data!F114</x:f>
        <x:v>564.7598726455456</x:v>
      </x:c>
      <x:c r="E114" s="9" t="n">
        <x:f>Model_Data!AC114</x:f>
        <x:v>284.4744286884892</x:v>
      </x:c>
      <x:c r="F114" s="10" t="n"/>
      <x:c r="G114" s="9" t="n">
        <x:f>Model_Data!A114</x:f>
        <x:v>-4</x:v>
      </x:c>
      <x:c r="H114" s="9" t="n">
        <x:f>Model_Data!Y114</x:f>
        <x:v>426.0147467563934</x:v>
      </x:c>
      <x:c r="I114" s="9" t="n">
        <x:f>Model_Data!Y114</x:f>
        <x:v>426.0147467563934</x:v>
      </x:c>
      <x:c r="J114" s="9" t="n">
        <x:f>Model_Data!X114</x:f>
        <x:v>-74.23673097551541</x:v>
      </x:c>
      <x:c r="K114" s="9" t="n">
        <x:f>Model_Data!A114</x:f>
        <x:v>-4</x:v>
      </x:c>
      <x:c r="L114" s="9" t="n">
        <x:f>Model_Data!Y114</x:f>
        <x:v>426.0147467563934</x:v>
      </x:c>
      <x:c r="M114" s="9" t="n">
        <x:f>Model_Data!X114</x:f>
        <x:v>-74.23673097551541</x:v>
      </x:c>
      <x:c r="N114" s="9" t="n">
        <x:f>-(Model_Data!AC114-Model_Data!F114)*Inputs!$C$12</x:f>
        <x:v>498.90809024356037</x:v>
      </x:c>
      <x:c r="O114" s="10" t="n"/>
      <x:c r="P114" s="9" t="n">
        <x:f>Model_Data!A114</x:f>
        <x:v>-4</x:v>
      </x:c>
      <x:c r="Q114" s="9" t="n">
        <x:f>Model_Data!P114</x:f>
        <x:v>34.24229631555136</x:v>
      </x:c>
      <x:c r="R114" s="9" t="n">
        <x:f>Model_Data!AM114</x:f>
        <x:v>5.015861759875406</x:v>
      </x:c>
      <x:c r="S114" s="9" t="n">
        <x:f>Model_Data!Q114</x:f>
        <x:v>5.14148593326597</x:v>
      </x:c>
      <x:c r="T114" s="9" t="n">
        <x:f>Model_Data!AN114</x:f>
        <x:v>0.7531323963776887</x:v>
      </x:c>
      <x:c r="U114" s="10" t="n"/>
      <x:c r="V114" s="9" t="n">
        <x:f>Model_Data!A114</x:f>
        <x:v>-4</x:v>
      </x:c>
      <x:c r="W114" s="9" t="n">
        <x:f>Model_Data!B114-Inputs!$C$5</x:f>
        <x:v>0.017777777777780557</x:v>
      </x:c>
      <x:c r="X114" s="10" t="n"/>
      <x:c r="Y114" s="9" t="n">
        <x:f>Model_Data!A114</x:f>
        <x:v>-4</x:v>
      </x:c>
      <x:c r="Z114" s="9" t="n">
        <x:f>0</x:f>
        <x:v>0</x:v>
      </x:c>
      <x:c r="AA114" s="9" t="n">
        <x:f>((SQRT((Inputs!$C$52+Inputs!$C$5)^2+Inputs!$C$52^2-2*(Inputs!$C$52+Inputs!$C$5)*Inputs!$C$52*COS(SQRT((Model_Data!A114)^2+Inputs!$C$6^2)/Inputs!$C$52))-Inputs!$C$5)*1000/Inputs!$C$12)</x:f>
        <x:v>564.7797959481517</x:v>
      </x:c>
      <x:c r="AB114" s="9" t="n">
        <x:f>Model_Data!F114</x:f>
        <x:v>564.7598726455456</x:v>
      </x:c>
    </x:row>
    <x:row r="115">
      <x:c r="A115" s="9" t="n">
        <x:f>Model_Data!A115</x:f>
        <x:v>-3.5</x:v>
      </x:c>
      <x:c r="B115" s="9" t="n">
        <x:f>0</x:f>
        <x:v>0</x:v>
      </x:c>
      <x:c r="C115" s="9" t="n">
        <x:f>((SQRT((Inputs!$C$52+Inputs!$C$5)^2+Inputs!$C$52^2-2*(Inputs!$C$52+Inputs!$C$5)*Inputs!$C$52*COS(SQRT((Model_Data!A115)^2+Inputs!$C$6^2)/Inputs!$C$52))-Inputs!$C$5)*1000/Inputs!$C$12)</x:f>
        <x:v>561.4798913764969</x:v>
      </x:c>
      <x:c r="D115" s="9" t="n">
        <x:f>Model_Data!F115</x:f>
        <x:v>561.4647263147173</x:v>
      </x:c>
      <x:c r="E115" s="9" t="n">
        <x:f>Model_Data!AC115</x:f>
        <x:v>290.4846154104354</x:v>
      </x:c>
      <x:c r="F115" s="10" t="n"/>
      <x:c r="G115" s="9" t="n">
        <x:f>Model_Data!A115</x:f>
        <x:v>-3.5</x:v>
      </x:c>
      <x:c r="H115" s="9" t="n">
        <x:f>Model_Data!Y115</x:f>
        <x:v>404.9650488225026</x:v>
      </x:c>
      <x:c r="I115" s="9" t="n">
        <x:f>Model_Data!Y115</x:f>
        <x:v>404.9650488225026</x:v>
      </x:c>
      <x:c r="J115" s="9" t="n">
        <x:f>Model_Data!X115</x:f>
        <x:v>-78.64906809360804</x:v>
      </x:c>
      <x:c r="K115" s="9" t="n">
        <x:f>Model_Data!A115</x:f>
        <x:v>-3.5</x:v>
      </x:c>
      <x:c r="L115" s="9" t="n">
        <x:f>Model_Data!Y115</x:f>
        <x:v>404.9650488225026</x:v>
      </x:c>
      <x:c r="M115" s="9" t="n">
        <x:f>Model_Data!X115</x:f>
        <x:v>-78.64906809360804</x:v>
      </x:c>
      <x:c r="N115" s="9" t="n">
        <x:f>-(Model_Data!AC115-Model_Data!F115)*Inputs!$C$12</x:f>
        <x:v>482.3445974096217</x:v>
      </x:c>
      <x:c r="O115" s="10" t="n"/>
      <x:c r="P115" s="9" t="n">
        <x:f>Model_Data!A115</x:f>
        <x:v>-3.5</x:v>
      </x:c>
      <x:c r="Q115" s="9" t="n">
        <x:f>Model_Data!P115</x:f>
        <x:v>29.962559468549443</x:v>
      </x:c>
      <x:c r="R115" s="9" t="n">
        <x:f>Model_Data!AM115</x:f>
        <x:v>20.627472611704434</x:v>
      </x:c>
      <x:c r="S115" s="9" t="n">
        <x:f>Model_Data!Q115</x:f>
        <x:v>4.498882803085502</x:v>
      </x:c>
      <x:c r="T115" s="9" t="n">
        <x:f>Model_Data!AN115</x:f>
        <x:v>3.0972181098655307</x:v>
      </x:c>
      <x:c r="U115" s="10" t="n"/>
      <x:c r="V115" s="9" t="n">
        <x:f>Model_Data!A115</x:f>
        <x:v>-3.5</x:v>
      </x:c>
      <x:c r="W115" s="9" t="n">
        <x:f>Model_Data!B115-Inputs!$C$5</x:f>
        <x:v>0.01361111111111768</x:v>
      </x:c>
      <x:c r="X115" s="10" t="n"/>
      <x:c r="Y115" s="9" t="n">
        <x:f>Model_Data!A115</x:f>
        <x:v>-3.5</x:v>
      </x:c>
      <x:c r="Z115" s="9" t="n">
        <x:f>0</x:f>
        <x:v>0</x:v>
      </x:c>
      <x:c r="AA115" s="9" t="n">
        <x:f>((SQRT((Inputs!$C$52+Inputs!$C$5)^2+Inputs!$C$52^2-2*(Inputs!$C$52+Inputs!$C$5)*Inputs!$C$52*COS(SQRT((Model_Data!A115)^2+Inputs!$C$6^2)/Inputs!$C$52))-Inputs!$C$5)*1000/Inputs!$C$12)</x:f>
        <x:v>561.4798913764969</x:v>
      </x:c>
      <x:c r="AB115" s="9" t="n">
        <x:f>Model_Data!F115</x:f>
        <x:v>561.4647263147173</x:v>
      </x:c>
    </x:row>
    <x:row r="116">
      <x:c r="A116" s="9" t="n">
        <x:f>Model_Data!A116</x:f>
        <x:v>-3</x:v>
      </x:c>
      <x:c r="B116" s="9" t="n">
        <x:f>0</x:f>
        <x:v>0</x:v>
      </x:c>
      <x:c r="C116" s="9" t="n">
        <x:f>((SQRT((Inputs!$C$52+Inputs!$C$5)^2+Inputs!$C$52^2-2*(Inputs!$C$52+Inputs!$C$5)*Inputs!$C$52*COS(SQRT((Model_Data!A116)^2+Inputs!$C$6^2)/Inputs!$C$52))-Inputs!$C$5)*1000/Inputs!$C$12)</x:f>
        <x:v>558.6199342970436</x:v>
      </x:c>
      <x:c r="D116" s="9" t="n">
        <x:f>Model_Data!F116</x:f>
        <x:v>558.6088491118074</x:v>
      </x:c>
      <x:c r="E116" s="9" t="n">
        <x:f>Model_Data!AC116</x:f>
        <x:v>285.2836202482662</x:v>
      </x:c>
      <x:c r="F116" s="10" t="n"/>
      <x:c r="G116" s="9" t="n">
        <x:f>Model_Data!A116</x:f>
        <x:v>-3</x:v>
      </x:c>
      <x:c r="H116" s="9" t="n">
        <x:f>Model_Data!Y116</x:f>
        <x:v>420.14741895617453</x:v>
      </x:c>
      <x:c r="I116" s="9" t="n">
        <x:f>Model_Data!Y116</x:f>
        <x:v>420.14741895617453</x:v>
      </x:c>
      <x:c r="J116" s="9" t="n">
        <x:f>Model_Data!X116</x:f>
        <x:v>-67.68197739460362</x:v>
      </x:c>
      <x:c r="K116" s="9" t="n">
        <x:f>Model_Data!A116</x:f>
        <x:v>-3</x:v>
      </x:c>
      <x:c r="L116" s="9" t="n">
        <x:f>Model_Data!Y116</x:f>
        <x:v>420.14741895617453</x:v>
      </x:c>
      <x:c r="M116" s="9" t="n">
        <x:f>Model_Data!X116</x:f>
        <x:v>-67.68197739460362</x:v>
      </x:c>
      <x:c r="N116" s="9" t="n">
        <x:f>-(Model_Data!AC116-Model_Data!F116)*Inputs!$C$12</x:f>
        <x:v>486.51890737710346</x:v>
      </x:c>
      <x:c r="O116" s="10" t="n"/>
      <x:c r="P116" s="9" t="n">
        <x:f>Model_Data!A116</x:f>
        <x:v>-3</x:v>
      </x:c>
      <x:c r="Q116" s="9" t="n">
        <x:f>Model_Data!P116</x:f>
        <x:v>25.68260257039583</x:v>
      </x:c>
      <x:c r="R116" s="9" t="n">
        <x:f>Model_Data!AM116</x:f>
        <x:v>51.23987583838243</x:v>
      </x:c>
      <x:c r="S116" s="9" t="n">
        <x:f>Model_Data!Q116</x:f>
        <x:v>3.8562466321915663</x:v>
      </x:c>
      <x:c r="T116" s="9" t="n">
        <x:f>Model_Data!AN116</x:f>
        <x:v>7.6936750508081735</x:v>
      </x:c>
      <x:c r="U116" s="10" t="n"/>
      <x:c r="V116" s="9" t="n">
        <x:f>Model_Data!A116</x:f>
        <x:v>-3</x:v>
      </x:c>
      <x:c r="W116" s="9" t="n">
        <x:f>Model_Data!B116-Inputs!$C$5</x:f>
        <x:v>0.009999999999990905</x:v>
      </x:c>
      <x:c r="X116" s="10" t="n"/>
      <x:c r="Y116" s="9" t="n">
        <x:f>Model_Data!A116</x:f>
        <x:v>-3</x:v>
      </x:c>
      <x:c r="Z116" s="9" t="n">
        <x:f>0</x:f>
        <x:v>0</x:v>
      </x:c>
      <x:c r="AA116" s="9" t="n">
        <x:f>((SQRT((Inputs!$C$52+Inputs!$C$5)^2+Inputs!$C$52^2-2*(Inputs!$C$52+Inputs!$C$5)*Inputs!$C$52*COS(SQRT((Model_Data!A116)^2+Inputs!$C$6^2)/Inputs!$C$52))-Inputs!$C$5)*1000/Inputs!$C$12)</x:f>
        <x:v>558.6199342970436</x:v>
      </x:c>
      <x:c r="AB116" s="9" t="n">
        <x:f>Model_Data!F116</x:f>
        <x:v>558.6088491118074</x:v>
      </x:c>
    </x:row>
    <x:row r="117">
      <x:c r="A117" s="9" t="n">
        <x:f>Model_Data!A117</x:f>
        <x:v>-2.5</x:v>
      </x:c>
      <x:c r="B117" s="9" t="n">
        <x:f>0</x:f>
        <x:v>0</x:v>
      </x:c>
      <x:c r="C117" s="9" t="n">
        <x:f>((SQRT((Inputs!$C$52+Inputs!$C$5)^2+Inputs!$C$52^2-2*(Inputs!$C$52+Inputs!$C$5)*Inputs!$C$52*COS(SQRT((Model_Data!A117)^2+Inputs!$C$6^2)/Inputs!$C$52))-Inputs!$C$5)*1000/Inputs!$C$12)</x:f>
        <x:v>556.1999417579955</x:v>
      </x:c>
      <x:c r="D117" s="9" t="n">
        <x:f>Model_Data!F117</x:f>
        <x:v>556.1922769103146</x:v>
      </x:c>
      <x:c r="E117" s="9" t="n">
        <x:f>Model_Data!AC117</x:f>
        <x:v>292.4263678838553</x:v>
      </x:c>
      <x:c r="F117" s="10" t="n"/>
      <x:c r="G117" s="9" t="n">
        <x:f>Model_Data!A117</x:f>
        <x:v>-2.5</x:v>
      </x:c>
      <x:c r="H117" s="9" t="n">
        <x:f>Model_Data!Y117</x:f>
        <x:v>420.97624209793275</x:v>
      </x:c>
      <x:c r="I117" s="9" t="n">
        <x:f>Model_Data!Y117</x:f>
        <x:v>420.97624209793275</x:v>
      </x:c>
      <x:c r="J117" s="9" t="n">
        <x:f>Model_Data!X117</x:f>
        <x:v>-49.83449295863612</x:v>
      </x:c>
      <x:c r="K117" s="9" t="n">
        <x:f>Model_Data!A117</x:f>
        <x:v>-2.5</x:v>
      </x:c>
      <x:c r="L117" s="9" t="n">
        <x:f>Model_Data!Y117</x:f>
        <x:v>420.97624209793275</x:v>
      </x:c>
      <x:c r="M117" s="9" t="n">
        <x:f>Model_Data!X117</x:f>
        <x:v>-49.83449295863612</x:v>
      </x:c>
      <x:c r="N117" s="9" t="n">
        <x:f>-(Model_Data!AC117-Model_Data!F117)*Inputs!$C$12</x:f>
        <x:v>469.5033180670976</x:v>
      </x:c>
      <x:c r="O117" s="10" t="n"/>
      <x:c r="P117" s="9" t="n">
        <x:f>Model_Data!A117</x:f>
        <x:v>-2.5</x:v>
      </x:c>
      <x:c r="Q117" s="9" t="n">
        <x:f>Model_Data!P117</x:f>
        <x:v>21.402457042222522</x:v>
      </x:c>
      <x:c r="R117" s="9" t="n">
        <x:f>Model_Data!AM117</x:f>
        <x:v>46.67733826336189</x:v>
      </x:c>
      <x:c r="S117" s="9" t="n">
        <x:f>Model_Data!Q117</x:f>
        <x:v>3.2135821384718506</x:v>
      </x:c>
      <x:c r="T117" s="9" t="n">
        <x:f>Model_Data!AN117</x:f>
        <x:v>7.008609348853137</x:v>
      </x:c>
      <x:c r="U117" s="10" t="n"/>
      <x:c r="V117" s="9" t="n">
        <x:f>Model_Data!A117</x:f>
        <x:v>-2.5</x:v>
      </x:c>
      <x:c r="W117" s="9" t="n">
        <x:f>Model_Data!B117-Inputs!$C$5</x:f>
        <x:v>0.006944444444457076</x:v>
      </x:c>
      <x:c r="X117" s="10" t="n"/>
      <x:c r="Y117" s="9" t="n">
        <x:f>Model_Data!A117</x:f>
        <x:v>-2.5</x:v>
      </x:c>
      <x:c r="Z117" s="9" t="n">
        <x:f>0</x:f>
        <x:v>0</x:v>
      </x:c>
      <x:c r="AA117" s="9" t="n">
        <x:f>((SQRT((Inputs!$C$52+Inputs!$C$5)^2+Inputs!$C$52^2-2*(Inputs!$C$52+Inputs!$C$5)*Inputs!$C$52*COS(SQRT((Model_Data!A117)^2+Inputs!$C$6^2)/Inputs!$C$52))-Inputs!$C$5)*1000/Inputs!$C$12)</x:f>
        <x:v>556.1999417579955</x:v>
      </x:c>
      <x:c r="AB117" s="9" t="n">
        <x:f>Model_Data!F117</x:f>
        <x:v>556.1922769103146</x:v>
      </x:c>
    </x:row>
    <x:row r="118">
      <x:c r="A118" s="9" t="n">
        <x:f>Model_Data!A118</x:f>
        <x:v>-2</x:v>
      </x:c>
      <x:c r="B118" s="9" t="n">
        <x:f>0</x:f>
        <x:v>0</x:v>
      </x:c>
      <x:c r="C118" s="9" t="n">
        <x:f>((SQRT((Inputs!$C$52+Inputs!$C$5)^2+Inputs!$C$52^2-2*(Inputs!$C$52+Inputs!$C$5)*Inputs!$C$52*COS(SQRT((Model_Data!A118)^2+Inputs!$C$6^2)/Inputs!$C$52))-Inputs!$C$5)*1000/Inputs!$C$12)</x:f>
        <x:v>554.2199281880963</x:v>
      </x:c>
      <x:c r="D118" s="9" t="n">
        <x:f>Model_Data!F118</x:f>
        <x:v>554.2150400691909</x:v>
      </x:c>
      <x:c r="E118" s="9" t="n">
        <x:f>Model_Data!AC118</x:f>
        <x:v>276.5515509108209</x:v>
      </x:c>
      <x:c r="F118" s="10" t="n"/>
      <x:c r="G118" s="9" t="n">
        <x:f>Model_Data!A118</x:f>
        <x:v>-2</x:v>
      </x:c>
      <x:c r="H118" s="9" t="n">
        <x:f>Model_Data!Y118</x:f>
        <x:v>435.98300826713626</x:v>
      </x:c>
      <x:c r="I118" s="9" t="n">
        <x:f>Model_Data!Y118</x:f>
        <x:v>435.98300826713626</x:v>
      </x:c>
      <x:c r="J118" s="9" t="n">
        <x:f>Model_Data!X118</x:f>
        <x:v>-59.60727995622125</x:v>
      </x:c>
      <x:c r="K118" s="9" t="n">
        <x:f>Model_Data!A118</x:f>
        <x:v>-2</x:v>
      </x:c>
      <x:c r="L118" s="9" t="n">
        <x:f>Model_Data!Y118</x:f>
        <x:v>435.98300826713626</x:v>
      </x:c>
      <x:c r="M118" s="9" t="n">
        <x:f>Model_Data!X118</x:f>
        <x:v>-59.60727995622125</x:v>
      </x:c>
      <x:c r="N118" s="9" t="n">
        <x:f>-(Model_Data!AC118-Model_Data!F118)*Inputs!$C$12</x:f>
        <x:v>494.24101070189863</x:v>
      </x:c>
      <x:c r="O118" s="10" t="n"/>
      <x:c r="P118" s="9" t="n">
        <x:f>Model_Data!A118</x:f>
        <x:v>-2</x:v>
      </x:c>
      <x:c r="Q118" s="9" t="n">
        <x:f>Model_Data!P118</x:f>
        <x:v>17.12215430170545</x:v>
      </x:c>
      <x:c r="R118" s="9" t="n">
        <x:f>Model_Data!AM118</x:f>
        <x:v>33.29255923435994</x:v>
      </x:c>
      <x:c r="S118" s="9" t="n">
        <x:f>Model_Data!Q118</x:f>
        <x:v>2.570894039295113</x:v>
      </x:c>
      <x:c r="T118" s="9" t="n">
        <x:f>Model_Data!AN118</x:f>
        <x:v>4.998882767921914</x:v>
      </x:c>
      <x:c r="U118" s="10" t="n"/>
      <x:c r="V118" s="9" t="n">
        <x:f>Model_Data!A118</x:f>
        <x:v>-2</x:v>
      </x:c>
      <x:c r="W118" s="9" t="n">
        <x:f>Model_Data!B118-Inputs!$C$5</x:f>
        <x:v>0.00444444444445935</x:v>
      </x:c>
      <x:c r="X118" s="10" t="n"/>
      <x:c r="Y118" s="9" t="n">
        <x:f>Model_Data!A118</x:f>
        <x:v>-2</x:v>
      </x:c>
      <x:c r="Z118" s="9" t="n">
        <x:f>0</x:f>
        <x:v>0</x:v>
      </x:c>
      <x:c r="AA118" s="9" t="n">
        <x:f>((SQRT((Inputs!$C$52+Inputs!$C$5)^2+Inputs!$C$52^2-2*(Inputs!$C$52+Inputs!$C$5)*Inputs!$C$52*COS(SQRT((Model_Data!A118)^2+Inputs!$C$6^2)/Inputs!$C$52))-Inputs!$C$5)*1000/Inputs!$C$12)</x:f>
        <x:v>554.2199281880963</x:v>
      </x:c>
      <x:c r="AB118" s="9" t="n">
        <x:f>Model_Data!F118</x:f>
        <x:v>554.2150400691909</x:v>
      </x:c>
    </x:row>
    <x:row r="119">
      <x:c r="A119" s="9" t="n">
        <x:f>Model_Data!A119</x:f>
        <x:v>-1.5</x:v>
      </x:c>
      <x:c r="B119" s="9" t="n">
        <x:f>0</x:f>
        <x:v>0</x:v>
      </x:c>
      <x:c r="C119" s="9" t="n">
        <x:f>((SQRT((Inputs!$C$52+Inputs!$C$5)^2+Inputs!$C$52^2-2*(Inputs!$C$52+Inputs!$C$5)*Inputs!$C$52*COS(SQRT((Model_Data!A119)^2+Inputs!$C$6^2)/Inputs!$C$52))-Inputs!$C$5)*1000/Inputs!$C$12)</x:f>
        <x:v>552.6799053911694</x:v>
      </x:c>
      <x:c r="D119" s="9" t="n">
        <x:f>Model_Data!F119</x:f>
        <x:v>552.6771634304794</x:v>
      </x:c>
      <x:c r="E119" s="9" t="n">
        <x:f>Model_Data!AC119</x:f>
        <x:v>292.0424003355421</x:v>
      </x:c>
      <x:c r="F119" s="10" t="n"/>
      <x:c r="G119" s="9" t="n">
        <x:f>Model_Data!A119</x:f>
        <x:v>-1.5</x:v>
      </x:c>
      <x:c r="H119" s="9" t="n">
        <x:f>Model_Data!Y119</x:f>
        <x:v>431.10580672292525</x:v>
      </x:c>
      <x:c r="I119" s="9" t="n">
        <x:f>Model_Data!Y119</x:f>
        <x:v>431.10580672292525</x:v>
      </x:c>
      <x:c r="J119" s="9" t="n">
        <x:f>Model_Data!X119</x:f>
        <x:v>-34.15455011761312</x:v>
      </x:c>
      <x:c r="K119" s="9" t="n">
        <x:f>Model_Data!A119</x:f>
        <x:v>-1.5</x:v>
      </x:c>
      <x:c r="L119" s="9" t="n">
        <x:f>Model_Data!Y119</x:f>
        <x:v>431.10580672292525</x:v>
      </x:c>
      <x:c r="M119" s="9" t="n">
        <x:f>Model_Data!X119</x:f>
        <x:v>-34.15455011761312</x:v>
      </x:c>
      <x:c r="N119" s="9" t="n">
        <x:f>-(Model_Data!AC119-Model_Data!F119)*Inputs!$C$12</x:f>
        <x:v>463.92987830898835</x:v>
      </x:c>
      <x:c r="O119" s="10" t="n"/>
      <x:c r="P119" s="9" t="n">
        <x:f>Model_Data!A119</x:f>
        <x:v>-1.5</x:v>
      </x:c>
      <x:c r="Q119" s="9" t="n">
        <x:f>Model_Data!P119</x:f>
        <x:v>12.841725789530756</x:v>
      </x:c>
      <x:c r="R119" s="9" t="n">
        <x:f>Model_Data!AM119</x:f>
        <x:v>20.845477274997393</x:v>
      </x:c>
      <x:c r="S119" s="9" t="n">
        <x:f>Model_Data!Q119</x:f>
        <x:v>1.9281870554850986</x:v>
      </x:c>
      <x:c r="T119" s="9" t="n">
        <x:f>Model_Data!AN119</x:f>
        <x:v>3.1299515427924014</x:v>
      </x:c>
      <x:c r="U119" s="10" t="n"/>
      <x:c r="V119" s="9" t="n">
        <x:f>Model_Data!A119</x:f>
        <x:v>-1.5</x:v>
      </x:c>
      <x:c r="W119" s="9" t="n">
        <x:f>Model_Data!B119-Inputs!$C$5</x:f>
        <x:v>0.0024999999999977263</x:v>
      </x:c>
      <x:c r="X119" s="10" t="n"/>
      <x:c r="Y119" s="9" t="n">
        <x:f>Model_Data!A119</x:f>
        <x:v>-1.5</x:v>
      </x:c>
      <x:c r="Z119" s="9" t="n">
        <x:f>0</x:f>
        <x:v>0</x:v>
      </x:c>
      <x:c r="AA119" s="9" t="n">
        <x:f>((SQRT((Inputs!$C$52+Inputs!$C$5)^2+Inputs!$C$52^2-2*(Inputs!$C$52+Inputs!$C$5)*Inputs!$C$52*COS(SQRT((Model_Data!A119)^2+Inputs!$C$6^2)/Inputs!$C$52))-Inputs!$C$5)*1000/Inputs!$C$12)</x:f>
        <x:v>552.6799053911694</x:v>
      </x:c>
      <x:c r="AB119" s="9" t="n">
        <x:f>Model_Data!F119</x:f>
        <x:v>552.6771634304794</x:v>
      </x:c>
    </x:row>
    <x:row r="120">
      <x:c r="A120" s="9" t="n">
        <x:f>Model_Data!A120</x:f>
        <x:v>-1</x:v>
      </x:c>
      <x:c r="B120" s="9" t="n">
        <x:f>0</x:f>
        <x:v>0</x:v>
      </x:c>
      <x:c r="C120" s="9" t="n">
        <x:f>((SQRT((Inputs!$C$52+Inputs!$C$5)^2+Inputs!$C$52^2-2*(Inputs!$C$52+Inputs!$C$5)*Inputs!$C$52*COS(SQRT((Model_Data!A120)^2+Inputs!$C$6^2)/Inputs!$C$52))-Inputs!$C$5)*1000/Inputs!$C$12)</x:f>
        <x:v>551.5798825481614</x:v>
      </x:c>
      <x:c r="D120" s="9" t="n">
        <x:f>Model_Data!F120</x:f>
        <x:v>551.5786663135019</x:v>
      </x:c>
      <x:c r="E120" s="9" t="n">
        <x:f>Model_Data!AC120</x:f>
        <x:v>283.0944706325295</x:v>
      </x:c>
      <x:c r="F120" s="10" t="n"/>
      <x:c r="G120" s="9" t="n">
        <x:f>Model_Data!A120</x:f>
        <x:v>-1</x:v>
      </x:c>
      <x:c r="H120" s="9" t="n">
        <x:f>Model_Data!Y120</x:f>
        <x:v>440.9944102420088</x:v>
      </x:c>
      <x:c r="I120" s="9" t="n">
        <x:f>Model_Data!Y120</x:f>
        <x:v>440.9944102420088</x:v>
      </x:c>
      <x:c r="J120" s="9" t="n">
        <x:f>Model_Data!X120</x:f>
        <x:v>-38.26579288799343</x:v>
      </x:c>
      <x:c r="K120" s="9" t="n">
        <x:f>Model_Data!A120</x:f>
        <x:v>-1</x:v>
      </x:c>
      <x:c r="L120" s="9" t="n">
        <x:f>Model_Data!Y120</x:f>
        <x:v>440.9944102420088</x:v>
      </x:c>
      <x:c r="M120" s="9" t="n">
        <x:f>Model_Data!X120</x:f>
        <x:v>-38.26579288799343</x:v>
      </x:c>
      <x:c r="N120" s="9" t="n">
        <x:f>-(Model_Data!AC120-Model_Data!F120)*Inputs!$C$12</x:f>
        <x:v>477.9018683121309</x:v>
      </x:c>
      <x:c r="O120" s="10" t="n"/>
      <x:c r="P120" s="9" t="n">
        <x:f>Model_Data!A120</x:f>
        <x:v>-1</x:v>
      </x:c>
      <x:c r="Q120" s="9" t="n">
        <x:f>Model_Data!P120</x:f>
        <x:v>8.561202941109514</x:v>
      </x:c>
      <x:c r="R120" s="9" t="n">
        <x:f>Model_Data!AM120</x:f>
        <x:v>77.35858270280005</x:v>
      </x:c>
      <x:c r="S120" s="9" t="n">
        <x:f>Model_Data!Q120</x:f>
        <x:v>1.2854659070735006</x:v>
      </x:c>
      <x:c r="T120" s="9" t="n">
        <x:f>Model_Data!AN120</x:f>
        <x:v>11.615402808228236</x:v>
      </x:c>
      <x:c r="U120" s="10" t="n"/>
      <x:c r="V120" s="9" t="n">
        <x:f>Model_Data!A120</x:f>
        <x:v>-1</x:v>
      </x:c>
      <x:c r="W120" s="9" t="n">
        <x:f>Model_Data!B120-Inputs!$C$5</x:f>
        <x:v>0.0011111111111290484</x:v>
      </x:c>
      <x:c r="X120" s="10" t="n"/>
      <x:c r="Y120" s="9" t="n">
        <x:f>Model_Data!A120</x:f>
        <x:v>-1</x:v>
      </x:c>
      <x:c r="Z120" s="9" t="n">
        <x:f>0</x:f>
        <x:v>0</x:v>
      </x:c>
      <x:c r="AA120" s="9" t="n">
        <x:f>((SQRT((Inputs!$C$52+Inputs!$C$5)^2+Inputs!$C$52^2-2*(Inputs!$C$52+Inputs!$C$5)*Inputs!$C$52*COS(SQRT((Model_Data!A120)^2+Inputs!$C$6^2)/Inputs!$C$52))-Inputs!$C$5)*1000/Inputs!$C$12)</x:f>
        <x:v>551.5798825481614</x:v>
      </x:c>
      <x:c r="AB120" s="9" t="n">
        <x:f>Model_Data!F120</x:f>
        <x:v>551.5786663135019</x:v>
      </x:c>
    </x:row>
    <x:row r="121">
      <x:c r="A121" s="9" t="n">
        <x:f>Model_Data!A121</x:f>
        <x:v>-0.5</x:v>
      </x:c>
      <x:c r="B121" s="9" t="n">
        <x:f>0</x:f>
        <x:v>0</x:v>
      </x:c>
      <x:c r="C121" s="9" t="n">
        <x:f>((SQRT((Inputs!$C$52+Inputs!$C$5)^2+Inputs!$C$52^2-2*(Inputs!$C$52+Inputs!$C$5)*Inputs!$C$52*COS(SQRT((Model_Data!A121)^2+Inputs!$C$6^2)/Inputs!$C$52))-Inputs!$C$5)*1000/Inputs!$C$12)</x:f>
        <x:v>550.9198662189946</x:v>
      </x:c>
      <x:c r="D121" s="9" t="n">
        <x:f>Model_Data!F121</x:f>
        <x:v>550.9195625226187</x:v>
      </x:c>
      <x:c r="E121" s="9" t="n">
        <x:f>Model_Data!AC121</x:f>
        <x:v>276.35578795075725</x:v>
      </x:c>
      <x:c r="F121" s="10" t="n"/>
      <x:c r="G121" s="9" t="n">
        <x:f>Model_Data!A121</x:f>
        <x:v>-0.5</x:v>
      </x:c>
      <x:c r="H121" s="9" t="n">
        <x:f>Model_Data!Y121</x:f>
        <x:v>474.23278667183286</x:v>
      </x:c>
      <x:c r="I121" s="9" t="n">
        <x:f>Model_Data!Y121</x:f>
        <x:v>474.23278667183286</x:v>
      </x:c>
      <x:c r="J121" s="9" t="n">
        <x:f>Model_Data!X121</x:f>
        <x:v>-15.949828195457984</x:v>
      </x:c>
      <x:c r="K121" s="9" t="n">
        <x:f>Model_Data!A121</x:f>
        <x:v>-0.5</x:v>
      </x:c>
      <x:c r="L121" s="9" t="n">
        <x:f>Model_Data!Y121</x:f>
        <x:v>474.23278667183286</x:v>
      </x:c>
      <x:c r="M121" s="9" t="n">
        <x:f>Model_Data!X121</x:f>
        <x:v>-15.949828195457984</x:v>
      </x:c>
      <x:c r="N121" s="9" t="n">
        <x:f>-(Model_Data!AC121-Model_Data!F121)*Inputs!$C$12</x:f>
        <x:v>488.7235187379133</x:v>
      </x:c>
      <x:c r="O121" s="10" t="n"/>
      <x:c r="P121" s="9" t="n">
        <x:f>Model_Data!A121</x:f>
        <x:v>-0.5</x:v>
      </x:c>
      <x:c r="Q121" s="9" t="n">
        <x:f>Model_Data!P121</x:f>
        <x:v>4.280617193035141</x:v>
      </x:c>
      <x:c r="R121" s="9" t="n">
        <x:f>Model_Data!AM121</x:f>
        <x:v>67.21549524045258</x:v>
      </x:c>
      <x:c r="S121" s="9" t="n">
        <x:f>Model_Data!Q121</x:f>
        <x:v>0.6427353142695408</x:v>
      </x:c>
      <x:c r="T121" s="9" t="n">
        <x:f>Model_Data!AN121</x:f>
        <x:v>10.09241670277066</x:v>
      </x:c>
      <x:c r="U121" s="10" t="n"/>
      <x:c r="V121" s="9" t="n">
        <x:f>Model_Data!A121</x:f>
        <x:v>-0.5</x:v>
      </x:c>
      <x:c r="W121" s="9" t="n">
        <x:f>Model_Data!B121-Inputs!$C$5</x:f>
        <x:v>0.00027777777779647295</x:v>
      </x:c>
      <x:c r="X121" s="10" t="n"/>
      <x:c r="Y121" s="9" t="n">
        <x:f>Model_Data!A121</x:f>
        <x:v>-0.5</x:v>
      </x:c>
      <x:c r="Z121" s="9" t="n">
        <x:f>0</x:f>
        <x:v>0</x:v>
      </x:c>
      <x:c r="AA121" s="9" t="n">
        <x:f>((SQRT((Inputs!$C$52+Inputs!$C$5)^2+Inputs!$C$52^2-2*(Inputs!$C$52+Inputs!$C$5)*Inputs!$C$52*COS(SQRT((Model_Data!A121)^2+Inputs!$C$6^2)/Inputs!$C$52))-Inputs!$C$5)*1000/Inputs!$C$12)</x:f>
        <x:v>550.9198662189946</x:v>
      </x:c>
      <x:c r="AB121" s="9" t="n">
        <x:f>Model_Data!F121</x:f>
        <x:v>550.9195625226187</x:v>
      </x:c>
    </x:row>
    <x:row r="122">
      <x:c r="A122" s="9" t="n">
        <x:f>Model_Data!A122</x:f>
        <x:v>0</x:v>
      </x:c>
      <x:c r="B122" s="9" t="n">
        <x:f>0</x:f>
        <x:v>0</x:v>
      </x:c>
      <x:c r="C122" s="9" t="n">
        <x:f>((SQRT((Inputs!$C$52+Inputs!$C$5)^2+Inputs!$C$52^2-2*(Inputs!$C$52+Inputs!$C$5)*Inputs!$C$52*COS(SQRT((Model_Data!A122)^2+Inputs!$C$6^2)/Inputs!$C$52))-Inputs!$C$5)*1000/Inputs!$C$12)</x:f>
        <x:v>550.6998603390537</x:v>
      </x:c>
      <x:c r="D122" s="9" t="n">
        <x:f>Model_Data!F122</x:f>
        <x:v>550.6998603390537</x:v>
      </x:c>
      <x:c r="E122" s="9" t="n">
        <x:f>Model_Data!AC122</x:f>
        <x:v>278.8355336025972</x:v>
      </x:c>
      <x:c r="F122" s="10" t="n"/>
      <x:c r="G122" s="9" t="n">
        <x:f>Model_Data!A122</x:f>
        <x:v>0</x:v>
      </x:c>
      <x:c r="H122" s="9" t="n">
        <x:f>Model_Data!Y122</x:f>
        <x:v>480.44802858922253</x:v>
      </x:c>
      <x:c r="I122" s="9" t="n">
        <x:f>Model_Data!Y122</x:f>
        <x:v>480.44802858922253</x:v>
      </x:c>
      <x:c r="J122" s="9" t="n">
        <x:f>Model_Data!X122</x:f>
        <x:v>-4.948127387128106</x:v>
      </x:c>
      <x:c r="K122" s="9" t="n">
        <x:f>Model_Data!A122</x:f>
        <x:v>0</x:v>
      </x:c>
      <x:c r="L122" s="9" t="n">
        <x:f>Model_Data!Y122</x:f>
        <x:v>480.44802858922253</x:v>
      </x:c>
      <x:c r="M122" s="9" t="n">
        <x:f>Model_Data!X122</x:f>
        <x:v>-4.948127387128106</x:v>
      </x:c>
      <x:c r="N122" s="9" t="n">
        <x:f>-(Model_Data!AC122-Model_Data!F122)*Inputs!$C$12</x:f>
        <x:v>483.9185015908925</x:v>
      </x:c>
      <x:c r="O122" s="10" t="n"/>
      <x:c r="P122" s="9" t="n">
        <x:f>Model_Data!A122</x:f>
        <x:v>0</x:v>
      </x:c>
      <x:c r="Q122" s="9" t="n">
        <x:f>Model_Data!P122</x:f>
        <x:v>0</x:v>
      </x:c>
      <x:c r="R122" s="9" t="n">
        <x:f>Model_Data!AM122</x:f>
        <x:v>13.577875871487777</x:v>
      </x:c>
      <x:c r="S122" s="9" t="n">
        <x:f>Model_Data!Q122</x:f>
        <x:v>0</x:v>
      </x:c>
      <x:c r="T122" s="9" t="n">
        <x:f>Model_Data!AN122</x:f>
        <x:v>2.0387201008239906</x:v>
      </x:c>
      <x:c r="U122" s="10" t="n"/>
      <x:c r="V122" s="9" t="n">
        <x:f>Model_Data!A122</x:f>
        <x:v>0</x:v>
      </x:c>
      <x:c r="W122" s="9" t="n">
        <x:f>Model_Data!B122-Inputs!$C$5</x:f>
        <x:v>0</x:v>
      </x:c>
      <x:c r="X122" s="10" t="n"/>
      <x:c r="Y122" s="9" t="n">
        <x:f>Model_Data!A122</x:f>
        <x:v>0</x:v>
      </x:c>
      <x:c r="Z122" s="9" t="n">
        <x:f>0</x:f>
        <x:v>0</x:v>
      </x:c>
      <x:c r="AA122" s="9" t="n">
        <x:f>((SQRT((Inputs!$C$52+Inputs!$C$5)^2+Inputs!$C$52^2-2*(Inputs!$C$52+Inputs!$C$5)*Inputs!$C$52*COS(SQRT((Model_Data!A122)^2+Inputs!$C$6^2)/Inputs!$C$52))-Inputs!$C$5)*1000/Inputs!$C$12)</x:f>
        <x:v>550.6998603390537</x:v>
      </x:c>
      <x:c r="AB122" s="9" t="n">
        <x:f>Model_Data!F122</x:f>
        <x:v>550.6998603390537</x:v>
      </x:c>
    </x:row>
    <x:row r="123">
      <x:c r="A123" s="9" t="n">
        <x:f>Model_Data!A123</x:f>
        <x:v>0.5</x:v>
      </x:c>
      <x:c r="B123" s="9" t="n">
        <x:f>0</x:f>
        <x:v>0</x:v>
      </x:c>
      <x:c r="C123" s="9" t="n">
        <x:f>((SQRT((Inputs!$C$52+Inputs!$C$5)^2+Inputs!$C$52^2-2*(Inputs!$C$52+Inputs!$C$5)*Inputs!$C$52*COS(SQRT((Model_Data!A123)^2+Inputs!$C$6^2)/Inputs!$C$52))-Inputs!$C$5)*1000/Inputs!$C$12)</x:f>
        <x:v>550.9198662189946</x:v>
      </x:c>
      <x:c r="D123" s="9" t="n">
        <x:f>Model_Data!F123</x:f>
        <x:v>550.9195625226187</x:v>
      </x:c>
      <x:c r="E123" s="9" t="n">
        <x:f>Model_Data!AC123</x:f>
        <x:v>281.8182738541844</x:v>
      </x:c>
      <x:c r="F123" s="10" t="n"/>
      <x:c r="G123" s="9" t="n">
        <x:f>Model_Data!A123</x:f>
        <x:v>0.5</x:v>
      </x:c>
      <x:c r="H123" s="9" t="n">
        <x:f>Model_Data!Y123</x:f>
        <x:v>482.7451811280071</x:v>
      </x:c>
      <x:c r="I123" s="9" t="n">
        <x:f>Model_Data!Y123</x:f>
        <x:v>482.7451811280071</x:v>
      </x:c>
      <x:c r="J123" s="9" t="n">
        <x:f>Model_Data!X123</x:f>
        <x:v>2.259569132321303</x:v>
      </x:c>
      <x:c r="K123" s="9" t="n">
        <x:f>Model_Data!A123</x:f>
        <x:v>0.5</x:v>
      </x:c>
      <x:c r="L123" s="9" t="n">
        <x:f>Model_Data!Y123</x:f>
        <x:v>482.7451811280071</x:v>
      </x:c>
      <x:c r="M123" s="9" t="n">
        <x:f>Model_Data!X123</x:f>
        <x:v>2.259569132321303</x:v>
      </x:c>
      <x:c r="N123" s="9" t="n">
        <x:f>-(Model_Data!AC123-Model_Data!F123)*Inputs!$C$12</x:f>
        <x:v>479.000293829813</x:v>
      </x:c>
      <x:c r="O123" s="10" t="n"/>
      <x:c r="P123" s="9" t="n">
        <x:f>Model_Data!A123</x:f>
        <x:v>0.5</x:v>
      </x:c>
      <x:c r="Q123" s="9" t="n">
        <x:f>Model_Data!P123</x:f>
        <x:v>-4.280617193035141</x:v>
      </x:c>
      <x:c r="R123" s="9" t="n">
        <x:f>Model_Data!AM123</x:f>
        <x:v>23.04487073324708</x:v>
      </x:c>
      <x:c r="S123" s="9" t="n">
        <x:f>Model_Data!Q123</x:f>
        <x:v>-0.6427353142695408</x:v>
      </x:c>
      <x:c r="T123" s="9" t="n">
        <x:f>Model_Data!AN123</x:f>
        <x:v>3.46019080078785</x:v>
      </x:c>
      <x:c r="U123" s="10" t="n"/>
      <x:c r="V123" s="9" t="n">
        <x:f>Model_Data!A123</x:f>
        <x:v>0.5</x:v>
      </x:c>
      <x:c r="W123" s="9" t="n">
        <x:f>Model_Data!B123-Inputs!$C$5</x:f>
        <x:v>0.00027777777779647295</x:v>
      </x:c>
      <x:c r="X123" s="10" t="n"/>
      <x:c r="Y123" s="9" t="n">
        <x:f>Model_Data!A123</x:f>
        <x:v>0.5</x:v>
      </x:c>
      <x:c r="Z123" s="9" t="n">
        <x:f>0</x:f>
        <x:v>0</x:v>
      </x:c>
      <x:c r="AA123" s="9" t="n">
        <x:f>((SQRT((Inputs!$C$52+Inputs!$C$5)^2+Inputs!$C$52^2-2*(Inputs!$C$52+Inputs!$C$5)*Inputs!$C$52*COS(SQRT((Model_Data!A123)^2+Inputs!$C$6^2)/Inputs!$C$52))-Inputs!$C$5)*1000/Inputs!$C$12)</x:f>
        <x:v>550.9198662189946</x:v>
      </x:c>
      <x:c r="AB123" s="9" t="n">
        <x:f>Model_Data!F123</x:f>
        <x:v>550.9195625226187</x:v>
      </x:c>
    </x:row>
    <x:row r="124">
      <x:c r="A124" s="9" t="n">
        <x:f>Model_Data!A124</x:f>
        <x:v>1</x:v>
      </x:c>
      <x:c r="B124" s="9" t="n">
        <x:f>0</x:f>
        <x:v>0</x:v>
      </x:c>
      <x:c r="C124" s="9" t="n">
        <x:f>((SQRT((Inputs!$C$52+Inputs!$C$5)^2+Inputs!$C$52^2-2*(Inputs!$C$52+Inputs!$C$5)*Inputs!$C$52*COS(SQRT((Model_Data!A124)^2+Inputs!$C$6^2)/Inputs!$C$52))-Inputs!$C$5)*1000/Inputs!$C$12)</x:f>
        <x:v>551.5798825481614</x:v>
      </x:c>
      <x:c r="D124" s="9" t="n">
        <x:f>Model_Data!F124</x:f>
        <x:v>551.5786663135019</x:v>
      </x:c>
      <x:c r="E124" s="9" t="n">
        <x:f>Model_Data!AC124</x:f>
        <x:v>297.0998135402417</x:v>
      </x:c>
      <x:c r="F124" s="10" t="n"/>
      <x:c r="G124" s="9" t="n">
        <x:f>Model_Data!A124</x:f>
        <x:v>1</x:v>
      </x:c>
      <x:c r="H124" s="9" t="n">
        <x:f>Model_Data!Y124</x:f>
        <x:v>497.58165314697214</x:v>
      </x:c>
      <x:c r="I124" s="9" t="n">
        <x:f>Model_Data!Y124</x:f>
        <x:v>497.58165314697214</x:v>
      </x:c>
      <x:c r="J124" s="9" t="n">
        <x:f>Model_Data!X124</x:f>
        <x:v>43.07644622126787</x:v>
      </x:c>
      <x:c r="K124" s="9" t="n">
        <x:f>Model_Data!A124</x:f>
        <x:v>1</x:v>
      </x:c>
      <x:c r="L124" s="9" t="n">
        <x:f>Model_Data!Y124</x:f>
        <x:v>497.58165314697214</x:v>
      </x:c>
      <x:c r="M124" s="9" t="n">
        <x:f>Model_Data!X124</x:f>
        <x:v>43.07644622126787</x:v>
      </x:c>
      <x:c r="N124" s="9" t="n">
        <x:f>-(Model_Data!AC124-Model_Data!F124)*Inputs!$C$12</x:f>
        <x:v>452.97235793640317</x:v>
      </x:c>
      <x:c r="O124" s="10" t="n"/>
      <x:c r="P124" s="9" t="n">
        <x:f>Model_Data!A124</x:f>
        <x:v>1</x:v>
      </x:c>
      <x:c r="Q124" s="9" t="n">
        <x:f>Model_Data!P124</x:f>
        <x:v>-8.561202941109514</x:v>
      </x:c>
      <x:c r="R124" s="9" t="n">
        <x:f>Model_Data!AM124</x:f>
        <x:v>45.85282185325923</x:v>
      </x:c>
      <x:c r="S124" s="9" t="n">
        <x:f>Model_Data!Q124</x:f>
        <x:v>-1.2854659070735006</x:v>
      </x:c>
      <x:c r="T124" s="9" t="n">
        <x:f>Model_Data!AN124</x:f>
        <x:v>6.88480808607496</x:v>
      </x:c>
      <x:c r="U124" s="10" t="n"/>
      <x:c r="V124" s="9" t="n">
        <x:f>Model_Data!A124</x:f>
        <x:v>1</x:v>
      </x:c>
      <x:c r="W124" s="9" t="n">
        <x:f>Model_Data!B124-Inputs!$C$5</x:f>
        <x:v>0.0011111111111290484</x:v>
      </x:c>
      <x:c r="X124" s="10" t="n"/>
      <x:c r="Y124" s="9" t="n">
        <x:f>Model_Data!A124</x:f>
        <x:v>1</x:v>
      </x:c>
      <x:c r="Z124" s="9" t="n">
        <x:f>0</x:f>
        <x:v>0</x:v>
      </x:c>
      <x:c r="AA124" s="9" t="n">
        <x:f>((SQRT((Inputs!$C$52+Inputs!$C$5)^2+Inputs!$C$52^2-2*(Inputs!$C$52+Inputs!$C$5)*Inputs!$C$52*COS(SQRT((Model_Data!A124)^2+Inputs!$C$6^2)/Inputs!$C$52))-Inputs!$C$5)*1000/Inputs!$C$12)</x:f>
        <x:v>551.5798825481614</x:v>
      </x:c>
      <x:c r="AB124" s="9" t="n">
        <x:f>Model_Data!F124</x:f>
        <x:v>551.5786663135019</x:v>
      </x:c>
    </x:row>
    <x:row r="125">
      <x:c r="A125" s="9" t="n">
        <x:f>Model_Data!A125</x:f>
        <x:v>1.5</x:v>
      </x:c>
      <x:c r="B125" s="9" t="n">
        <x:f>0</x:f>
        <x:v>0</x:v>
      </x:c>
      <x:c r="C125" s="9" t="n">
        <x:f>((SQRT((Inputs!$C$52+Inputs!$C$5)^2+Inputs!$C$52^2-2*(Inputs!$C$52+Inputs!$C$5)*Inputs!$C$52*COS(SQRT((Model_Data!A125)^2+Inputs!$C$6^2)/Inputs!$C$52))-Inputs!$C$5)*1000/Inputs!$C$12)</x:f>
        <x:v>552.6799053911694</x:v>
      </x:c>
      <x:c r="D125" s="9" t="n">
        <x:f>Model_Data!F125</x:f>
        <x:v>552.6771634304794</x:v>
      </x:c>
      <x:c r="E125" s="9" t="n">
        <x:f>Model_Data!AC125</x:f>
        <x:v>289.5009422899691</x:v>
      </x:c>
      <x:c r="F125" s="10" t="n"/>
      <x:c r="G125" s="9" t="n">
        <x:f>Model_Data!A125</x:f>
        <x:v>1.5</x:v>
      </x:c>
      <x:c r="H125" s="9" t="n">
        <x:f>Model_Data!Y125</x:f>
        <x:v>516.864115303311</x:v>
      </x:c>
      <x:c r="I125" s="9" t="n">
        <x:f>Model_Data!Y125</x:f>
        <x:v>516.864115303311</x:v>
      </x:c>
      <x:c r="J125" s="9" t="n">
        <x:f>Model_Data!X125</x:f>
        <x:v>46.8149548284789</x:v>
      </x:c>
      <x:c r="K125" s="9" t="n">
        <x:f>Model_Data!A125</x:f>
        <x:v>1.5</x:v>
      </x:c>
      <x:c r="L125" s="9" t="n">
        <x:f>Model_Data!Y125</x:f>
        <x:v>516.864115303311</x:v>
      </x:c>
      <x:c r="M125" s="9" t="n">
        <x:f>Model_Data!X125</x:f>
        <x:v>46.8149548284789</x:v>
      </x:c>
      <x:c r="N125" s="9" t="n">
        <x:f>-(Model_Data!AC125-Model_Data!F125)*Inputs!$C$12</x:f>
        <x:v>468.4536736301083</x:v>
      </x:c>
      <x:c r="O125" s="10" t="n"/>
      <x:c r="P125" s="9" t="n">
        <x:f>Model_Data!A125</x:f>
        <x:v>1.5</x:v>
      </x:c>
      <x:c r="Q125" s="9" t="n">
        <x:f>Model_Data!P125</x:f>
        <x:v>-12.841725789530756</x:v>
      </x:c>
      <x:c r="R125" s="9" t="n">
        <x:f>Model_Data!AM125</x:f>
        <x:v>46.04321213610092</x:v>
      </x:c>
      <x:c r="S125" s="9" t="n">
        <x:f>Model_Data!Q125</x:f>
        <x:v>-1.9281870554850986</x:v>
      </x:c>
      <x:c r="T125" s="9" t="n">
        <x:f>Model_Data!AN125</x:f>
        <x:v>6.91339521563077</x:v>
      </x:c>
      <x:c r="U125" s="10" t="n"/>
      <x:c r="V125" s="9" t="n">
        <x:f>Model_Data!A125</x:f>
        <x:v>1.5</x:v>
      </x:c>
      <x:c r="W125" s="9" t="n">
        <x:f>Model_Data!B125-Inputs!$C$5</x:f>
        <x:v>0.0024999999999977263</x:v>
      </x:c>
      <x:c r="X125" s="10" t="n"/>
      <x:c r="Y125" s="9" t="n">
        <x:f>Model_Data!A125</x:f>
        <x:v>1.5</x:v>
      </x:c>
      <x:c r="Z125" s="9" t="n">
        <x:f>0</x:f>
        <x:v>0</x:v>
      </x:c>
      <x:c r="AA125" s="9" t="n">
        <x:f>((SQRT((Inputs!$C$52+Inputs!$C$5)^2+Inputs!$C$52^2-2*(Inputs!$C$52+Inputs!$C$5)*Inputs!$C$52*COS(SQRT((Model_Data!A125)^2+Inputs!$C$6^2)/Inputs!$C$52))-Inputs!$C$5)*1000/Inputs!$C$12)</x:f>
        <x:v>552.6799053911694</x:v>
      </x:c>
      <x:c r="AB125" s="9" t="n">
        <x:f>Model_Data!F125</x:f>
        <x:v>552.6771634304794</x:v>
      </x:c>
    </x:row>
    <x:row r="126">
      <x:c r="A126" s="9" t="n">
        <x:f>Model_Data!A126</x:f>
        <x:v>2</x:v>
      </x:c>
      <x:c r="B126" s="9" t="n">
        <x:f>0</x:f>
        <x:v>0</x:v>
      </x:c>
      <x:c r="C126" s="9" t="n">
        <x:f>((SQRT((Inputs!$C$52+Inputs!$C$5)^2+Inputs!$C$52^2-2*(Inputs!$C$52+Inputs!$C$5)*Inputs!$C$52*COS(SQRT((Model_Data!A126)^2+Inputs!$C$6^2)/Inputs!$C$52))-Inputs!$C$5)*1000/Inputs!$C$12)</x:f>
        <x:v>554.2199281880963</x:v>
      </x:c>
      <x:c r="D126" s="9" t="n">
        <x:f>Model_Data!F126</x:f>
        <x:v>554.2150400691909</x:v>
      </x:c>
      <x:c r="E126" s="9" t="n">
        <x:f>Model_Data!AC126</x:f>
        <x:v>291.6904825085158</x:v>
      </x:c>
      <x:c r="F126" s="10" t="n"/>
      <x:c r="G126" s="9" t="n">
        <x:f>Model_Data!A126</x:f>
        <x:v>2</x:v>
      </x:c>
      <x:c r="H126" s="9" t="n">
        <x:f>Model_Data!Y126</x:f>
        <x:v>534.5064840723982</x:v>
      </x:c>
      <x:c r="I126" s="9" t="n">
        <x:f>Model_Data!Y126</x:f>
        <x:v>534.5064840723982</x:v>
      </x:c>
      <x:c r="J126" s="9" t="n">
        <x:f>Model_Data!X126</x:f>
        <x:v>65.55817790320465</x:v>
      </x:c>
      <x:c r="K126" s="9" t="n">
        <x:f>Model_Data!A126</x:f>
        <x:v>2</x:v>
      </x:c>
      <x:c r="L126" s="9" t="n">
        <x:f>Model_Data!Y126</x:f>
        <x:v>534.5064840723982</x:v>
      </x:c>
      <x:c r="M126" s="9" t="n">
        <x:f>Model_Data!X126</x:f>
        <x:v>65.55817790320465</x:v>
      </x:c>
      <x:c r="N126" s="9" t="n">
        <x:f>-(Model_Data!AC126-Model_Data!F126)*Inputs!$C$12</x:f>
        <x:v>467.29371245800166</x:v>
      </x:c>
      <x:c r="O126" s="10" t="n"/>
      <x:c r="P126" s="9" t="n">
        <x:f>Model_Data!A126</x:f>
        <x:v>2</x:v>
      </x:c>
      <x:c r="Q126" s="9" t="n">
        <x:f>Model_Data!P126</x:f>
        <x:v>-17.12215430170545</x:v>
      </x:c>
      <x:c r="R126" s="9" t="n">
        <x:f>Model_Data!AM126</x:f>
        <x:v>35.28480728100476</x:v>
      </x:c>
      <x:c r="S126" s="9" t="n">
        <x:f>Model_Data!Q126</x:f>
        <x:v>-2.570894039295113</x:v>
      </x:c>
      <x:c r="T126" s="9" t="n">
        <x:f>Model_Data!AN126</x:f>
        <x:v>5.2980191112619766</x:v>
      </x:c>
      <x:c r="U126" s="10" t="n"/>
      <x:c r="V126" s="9" t="n">
        <x:f>Model_Data!A126</x:f>
        <x:v>2</x:v>
      </x:c>
      <x:c r="W126" s="9" t="n">
        <x:f>Model_Data!B126-Inputs!$C$5</x:f>
        <x:v>0.00444444444445935</x:v>
      </x:c>
      <x:c r="X126" s="10" t="n"/>
      <x:c r="Y126" s="9" t="n">
        <x:f>Model_Data!A126</x:f>
        <x:v>2</x:v>
      </x:c>
      <x:c r="Z126" s="9" t="n">
        <x:f>0</x:f>
        <x:v>0</x:v>
      </x:c>
      <x:c r="AA126" s="9" t="n">
        <x:f>((SQRT((Inputs!$C$52+Inputs!$C$5)^2+Inputs!$C$52^2-2*(Inputs!$C$52+Inputs!$C$5)*Inputs!$C$52*COS(SQRT((Model_Data!A126)^2+Inputs!$C$6^2)/Inputs!$C$52))-Inputs!$C$5)*1000/Inputs!$C$12)</x:f>
        <x:v>554.2199281880963</x:v>
      </x:c>
      <x:c r="AB126" s="9" t="n">
        <x:f>Model_Data!F126</x:f>
        <x:v>554.2150400691909</x:v>
      </x:c>
    </x:row>
    <x:row r="127">
      <x:c r="A127" s="9" t="n">
        <x:f>Model_Data!A127</x:f>
        <x:v>2.5</x:v>
      </x:c>
      <x:c r="B127" s="9" t="n">
        <x:f>0</x:f>
        <x:v>0</x:v>
      </x:c>
      <x:c r="C127" s="9" t="n">
        <x:f>((SQRT((Inputs!$C$52+Inputs!$C$5)^2+Inputs!$C$52^2-2*(Inputs!$C$52+Inputs!$C$5)*Inputs!$C$52*COS(SQRT((Model_Data!A127)^2+Inputs!$C$6^2)/Inputs!$C$52))-Inputs!$C$5)*1000/Inputs!$C$12)</x:f>
        <x:v>556.1999417579955</x:v>
      </x:c>
      <x:c r="D127" s="9" t="n">
        <x:f>Model_Data!F127</x:f>
        <x:v>556.1922769103146</x:v>
      </x:c>
      <x:c r="E127" s="9" t="n">
        <x:f>Model_Data!AC127</x:f>
        <x:v>288.1461556623928</x:v>
      </x:c>
      <x:c r="F127" s="10" t="n"/>
      <x:c r="G127" s="9" t="n">
        <x:f>Model_Data!A127</x:f>
        <x:v>2.5</x:v>
      </x:c>
      <x:c r="H127" s="9" t="n">
        <x:f>Model_Data!Y127</x:f>
        <x:v>549.7308148691991</x:v>
      </x:c>
      <x:c r="I127" s="9" t="n">
        <x:f>Model_Data!Y127</x:f>
        <x:v>549.7308148691991</x:v>
      </x:c>
      <x:c r="J127" s="9" t="n">
        <x:f>Model_Data!X127</x:f>
        <x:v>70.90088362648228</x:v>
      </x:c>
      <x:c r="K127" s="9" t="n">
        <x:f>Model_Data!A127</x:f>
        <x:v>2.5</x:v>
      </x:c>
      <x:c r="L127" s="9" t="n">
        <x:f>Model_Data!Y127</x:f>
        <x:v>549.7308148691991</x:v>
      </x:c>
      <x:c r="M127" s="9" t="n">
        <x:f>Model_Data!X127</x:f>
        <x:v>70.90088362648228</x:v>
      </x:c>
      <x:c r="N127" s="9" t="n">
        <x:f>-(Model_Data!AC127-Model_Data!F127)*Inputs!$C$12</x:f>
        <x:v>477.12209582130083</x:v>
      </x:c>
      <x:c r="O127" s="10" t="n"/>
      <x:c r="P127" s="9" t="n">
        <x:f>Model_Data!A127</x:f>
        <x:v>2.5</x:v>
      </x:c>
      <x:c r="Q127" s="9" t="n">
        <x:f>Model_Data!P127</x:f>
        <x:v>-21.402457042222522</x:v>
      </x:c>
      <x:c r="R127" s="9" t="n">
        <x:f>Model_Data!AM127</x:f>
        <x:v>-17.696456895737356</x:v>
      </x:c>
      <x:c r="S127" s="9" t="n">
        <x:f>Model_Data!Q127</x:f>
        <x:v>-3.2135821384718506</x:v>
      </x:c>
      <x:c r="T127" s="9" t="n">
        <x:f>Model_Data!AN127</x:f>
        <x:v>-2.657125660020624</x:v>
      </x:c>
      <x:c r="U127" s="10" t="n"/>
      <x:c r="V127" s="9" t="n">
        <x:f>Model_Data!A127</x:f>
        <x:v>2.5</x:v>
      </x:c>
      <x:c r="W127" s="9" t="n">
        <x:f>Model_Data!B127-Inputs!$C$5</x:f>
        <x:v>0.006944444444457076</x:v>
      </x:c>
      <x:c r="X127" s="10" t="n"/>
      <x:c r="Y127" s="9" t="n">
        <x:f>Model_Data!A127</x:f>
        <x:v>2.5</x:v>
      </x:c>
      <x:c r="Z127" s="9" t="n">
        <x:f>0</x:f>
        <x:v>0</x:v>
      </x:c>
      <x:c r="AA127" s="9" t="n">
        <x:f>((SQRT((Inputs!$C$52+Inputs!$C$5)^2+Inputs!$C$52^2-2*(Inputs!$C$52+Inputs!$C$5)*Inputs!$C$52*COS(SQRT((Model_Data!A127)^2+Inputs!$C$6^2)/Inputs!$C$52))-Inputs!$C$5)*1000/Inputs!$C$12)</x:f>
        <x:v>556.1999417579955</x:v>
      </x:c>
      <x:c r="AB127" s="9" t="n">
        <x:f>Model_Data!F127</x:f>
        <x:v>556.1922769103146</x:v>
      </x:c>
    </x:row>
    <x:row r="128">
      <x:c r="A128" s="9" t="n">
        <x:f>Model_Data!A128</x:f>
        <x:v>3</x:v>
      </x:c>
      <x:c r="B128" s="9" t="n">
        <x:f>0</x:f>
        <x:v>0</x:v>
      </x:c>
      <x:c r="C128" s="9" t="n">
        <x:f>((SQRT((Inputs!$C$52+Inputs!$C$5)^2+Inputs!$C$52^2-2*(Inputs!$C$52+Inputs!$C$5)*Inputs!$C$52*COS(SQRT((Model_Data!A128)^2+Inputs!$C$6^2)/Inputs!$C$52))-Inputs!$C$5)*1000/Inputs!$C$12)</x:f>
        <x:v>558.6199342970436</x:v>
      </x:c>
      <x:c r="D128" s="9" t="n">
        <x:f>Model_Data!F128</x:f>
        <x:v>558.6088491118074</x:v>
      </x:c>
      <x:c r="E128" s="9" t="n">
        <x:f>Model_Data!AC128</x:f>
        <x:v>304.08790833176766</x:v>
      </x:c>
      <x:c r="F128" s="10" t="n"/>
      <x:c r="G128" s="9" t="n">
        <x:f>Model_Data!A128</x:f>
        <x:v>3</x:v>
      </x:c>
      <x:c r="H128" s="9" t="n">
        <x:f>Model_Data!Y128</x:f>
        <x:v>536.8431041026216</x:v>
      </x:c>
      <x:c r="I128" s="9" t="n">
        <x:f>Model_Data!Y128</x:f>
        <x:v>536.8431041026216</x:v>
      </x:c>
      <x:c r="J128" s="9" t="n">
        <x:f>Model_Data!X128</x:f>
        <x:v>82.12086586426281</x:v>
      </x:c>
      <x:c r="K128" s="9" t="n">
        <x:f>Model_Data!A128</x:f>
        <x:v>3</x:v>
      </x:c>
      <x:c r="L128" s="9" t="n">
        <x:f>Model_Data!Y128</x:f>
        <x:v>536.8431041026216</x:v>
      </x:c>
      <x:c r="M128" s="9" t="n">
        <x:f>Model_Data!X128</x:f>
        <x:v>82.12086586426281</x:v>
      </x:c>
      <x:c r="N128" s="9" t="n">
        <x:f>-(Model_Data!AC128-Model_Data!F128)*Inputs!$C$12</x:f>
        <x:v>453.0472745884708</x:v>
      </x:c>
      <x:c r="O128" s="10" t="n"/>
      <x:c r="P128" s="9" t="n">
        <x:f>Model_Data!A128</x:f>
        <x:v>3</x:v>
      </x:c>
      <x:c r="Q128" s="9" t="n">
        <x:f>Model_Data!P128</x:f>
        <x:v>-25.68260257039583</x:v>
      </x:c>
      <x:c r="R128" s="9" t="n">
        <x:f>Model_Data!AM128</x:f>
        <x:v>-4.673549830840784</x:v>
      </x:c>
      <x:c r="S128" s="9" t="n">
        <x:f>Model_Data!Q128</x:f>
        <x:v>-3.8562466321915663</x:v>
      </x:c>
      <x:c r="T128" s="9" t="n">
        <x:f>Model_Data!AN128</x:f>
        <x:v>-0.7017342088349526</x:v>
      </x:c>
      <x:c r="U128" s="10" t="n"/>
      <x:c r="V128" s="9" t="n">
        <x:f>Model_Data!A128</x:f>
        <x:v>3</x:v>
      </x:c>
      <x:c r="W128" s="9" t="n">
        <x:f>Model_Data!B128-Inputs!$C$5</x:f>
        <x:v>0.009999999999990905</x:v>
      </x:c>
      <x:c r="X128" s="10" t="n"/>
      <x:c r="Y128" s="9" t="n">
        <x:f>Model_Data!A128</x:f>
        <x:v>3</x:v>
      </x:c>
      <x:c r="Z128" s="9" t="n">
        <x:f>0</x:f>
        <x:v>0</x:v>
      </x:c>
      <x:c r="AA128" s="9" t="n">
        <x:f>((SQRT((Inputs!$C$52+Inputs!$C$5)^2+Inputs!$C$52^2-2*(Inputs!$C$52+Inputs!$C$5)*Inputs!$C$52*COS(SQRT((Model_Data!A128)^2+Inputs!$C$6^2)/Inputs!$C$52))-Inputs!$C$5)*1000/Inputs!$C$12)</x:f>
        <x:v>558.6199342970436</x:v>
      </x:c>
      <x:c r="AB128" s="9" t="n">
        <x:f>Model_Data!F128</x:f>
        <x:v>558.6088491118074</x:v>
      </x:c>
    </x:row>
    <x:row r="129">
      <x:c r="A129" s="9" t="n">
        <x:f>Model_Data!A129</x:f>
        <x:v>3.5</x:v>
      </x:c>
      <x:c r="B129" s="9" t="n">
        <x:f>0</x:f>
        <x:v>0</x:v>
      </x:c>
      <x:c r="C129" s="9" t="n">
        <x:f>((SQRT((Inputs!$C$52+Inputs!$C$5)^2+Inputs!$C$52^2-2*(Inputs!$C$52+Inputs!$C$5)*Inputs!$C$52*COS(SQRT((Model_Data!A129)^2+Inputs!$C$6^2)/Inputs!$C$52))-Inputs!$C$5)*1000/Inputs!$C$12)</x:f>
        <x:v>561.4798913764969</x:v>
      </x:c>
      <x:c r="D129" s="9" t="n">
        <x:f>Model_Data!F129</x:f>
        <x:v>561.4647263147173</x:v>
      </x:c>
      <x:c r="E129" s="9" t="n">
        <x:f>Model_Data!AC129</x:f>
        <x:v>301.61232511013645</x:v>
      </x:c>
      <x:c r="F129" s="10" t="n"/>
      <x:c r="G129" s="9" t="n">
        <x:f>Model_Data!A129</x:f>
        <x:v>3.5</x:v>
      </x:c>
      <x:c r="H129" s="9" t="n">
        <x:f>Model_Data!Y129</x:f>
        <x:v>562.919019674553</x:v>
      </x:c>
      <x:c r="I129" s="9" t="n">
        <x:f>Model_Data!Y129</x:f>
        <x:v>562.919019674553</x:v>
      </x:c>
      <x:c r="J129" s="9" t="n">
        <x:f>Model_Data!X129</x:f>
        <x:v>98.61636326587373</x:v>
      </x:c>
      <x:c r="K129" s="9" t="n">
        <x:f>Model_Data!A129</x:f>
        <x:v>3.5</x:v>
      </x:c>
      <x:c r="L129" s="9" t="n">
        <x:f>Model_Data!Y129</x:f>
        <x:v>562.919019674553</x:v>
      </x:c>
      <x:c r="M129" s="9" t="n">
        <x:f>Model_Data!X129</x:f>
        <x:v>98.61636326587373</x:v>
      </x:c>
      <x:c r="N129" s="9" t="n">
        <x:f>-(Model_Data!AC129-Model_Data!F129)*Inputs!$C$12</x:f>
        <x:v>462.53727414415386</x:v>
      </x:c>
      <x:c r="O129" s="10" t="n"/>
      <x:c r="P129" s="9" t="n">
        <x:f>Model_Data!A129</x:f>
        <x:v>3.5</x:v>
      </x:c>
      <x:c r="Q129" s="9" t="n">
        <x:f>Model_Data!P129</x:f>
        <x:v>-29.962559468549443</x:v>
      </x:c>
      <x:c r="R129" s="9" t="n">
        <x:f>Model_Data!AM129</x:f>
        <x:v>9.605232374906336</x:v>
      </x:c>
      <x:c r="S129" s="9" t="n">
        <x:f>Model_Data!Q129</x:f>
        <x:v>-4.498882803085502</x:v>
      </x:c>
      <x:c r="T129" s="9" t="n">
        <x:f>Model_Data!AN129</x:f>
        <x:v>1.4422270833192699</x:v>
      </x:c>
      <x:c r="U129" s="10" t="n"/>
      <x:c r="V129" s="9" t="n">
        <x:f>Model_Data!A129</x:f>
        <x:v>3.5</x:v>
      </x:c>
      <x:c r="W129" s="9" t="n">
        <x:f>Model_Data!B129-Inputs!$C$5</x:f>
        <x:v>0.01361111111111768</x:v>
      </x:c>
      <x:c r="X129" s="10" t="n"/>
      <x:c r="Y129" s="9" t="n">
        <x:f>Model_Data!A129</x:f>
        <x:v>3.5</x:v>
      </x:c>
      <x:c r="Z129" s="9" t="n">
        <x:f>0</x:f>
        <x:v>0</x:v>
      </x:c>
      <x:c r="AA129" s="9" t="n">
        <x:f>((SQRT((Inputs!$C$52+Inputs!$C$5)^2+Inputs!$C$52^2-2*(Inputs!$C$52+Inputs!$C$5)*Inputs!$C$52*COS(SQRT((Model_Data!A129)^2+Inputs!$C$6^2)/Inputs!$C$52))-Inputs!$C$5)*1000/Inputs!$C$12)</x:f>
        <x:v>561.4798913764969</x:v>
      </x:c>
      <x:c r="AB129" s="9" t="n">
        <x:f>Model_Data!F129</x:f>
        <x:v>561.4647263147173</x:v>
      </x:c>
    </x:row>
    <x:row r="130">
      <x:c r="A130" s="9" t="n">
        <x:f>Model_Data!A130</x:f>
        <x:v>4</x:v>
      </x:c>
      <x:c r="B130" s="9" t="n">
        <x:f>0</x:f>
        <x:v>0</x:v>
      </x:c>
      <x:c r="C130" s="9" t="n">
        <x:f>((SQRT((Inputs!$C$52+Inputs!$C$5)^2+Inputs!$C$52^2-2*(Inputs!$C$52+Inputs!$C$5)*Inputs!$C$52*COS(SQRT((Model_Data!A130)^2+Inputs!$C$6^2)/Inputs!$C$52))-Inputs!$C$5)*1000/Inputs!$C$12)</x:f>
        <x:v>564.7797959481517</x:v>
      </x:c>
      <x:c r="D130" s="9" t="n">
        <x:f>Model_Data!F130</x:f>
        <x:v>564.7598726455456</x:v>
      </x:c>
      <x:c r="E130" s="9" t="n">
        <x:f>Model_Data!AC130</x:f>
        <x:v>304.3470092749752</x:v>
      </x:c>
      <x:c r="F130" s="10" t="n"/>
      <x:c r="G130" s="9" t="n">
        <x:f>Model_Data!A130</x:f>
        <x:v>4</x:v>
      </x:c>
      <x:c r="H130" s="9" t="n">
        <x:f>Model_Data!Y130</x:f>
        <x:v>561.6697690573507</x:v>
      </x:c>
      <x:c r="I130" s="9" t="n">
        <x:f>Model_Data!Y130</x:f>
        <x:v>561.6697690573507</x:v>
      </x:c>
      <x:c r="J130" s="9" t="n">
        <x:f>Model_Data!X130</x:f>
        <x:v>96.36311355528144</x:v>
      </x:c>
      <x:c r="K130" s="9" t="n">
        <x:f>Model_Data!A130</x:f>
        <x:v>4</x:v>
      </x:c>
      <x:c r="L130" s="9" t="n">
        <x:f>Model_Data!Y130</x:f>
        <x:v>561.6697690573507</x:v>
      </x:c>
      <x:c r="M130" s="9" t="n">
        <x:f>Model_Data!X130</x:f>
        <x:v>96.36311355528144</x:v>
      </x:c>
      <x:c r="N130" s="9" t="n">
        <x:f>-(Model_Data!AC130-Model_Data!F130)*Inputs!$C$12</x:f>
        <x:v>463.5348967996152</x:v>
      </x:c>
      <x:c r="O130" s="10" t="n"/>
      <x:c r="P130" s="9" t="n">
        <x:f>Model_Data!A130</x:f>
        <x:v>4</x:v>
      </x:c>
      <x:c r="Q130" s="9" t="n">
        <x:f>Model_Data!P130</x:f>
        <x:v>-34.24229631555136</x:v>
      </x:c>
      <x:c r="R130" s="9" t="n">
        <x:f>Model_Data!AM130</x:f>
        <x:v>-25.147264343559073</x:v>
      </x:c>
      <x:c r="S130" s="9" t="n">
        <x:f>Model_Data!Q130</x:f>
        <x:v>-5.14148593326597</x:v>
      </x:c>
      <x:c r="T130" s="9" t="n">
        <x:f>Model_Data!AN130</x:f>
        <x:v>-3.7758655170509123</x:v>
      </x:c>
      <x:c r="U130" s="10" t="n"/>
      <x:c r="V130" s="9" t="n">
        <x:f>Model_Data!A130</x:f>
        <x:v>4</x:v>
      </x:c>
      <x:c r="W130" s="9" t="n">
        <x:f>Model_Data!B130-Inputs!$C$5</x:f>
        <x:v>0.017777777777780557</x:v>
      </x:c>
      <x:c r="X130" s="10" t="n"/>
      <x:c r="Y130" s="9" t="n">
        <x:f>Model_Data!A130</x:f>
        <x:v>4</x:v>
      </x:c>
      <x:c r="Z130" s="9" t="n">
        <x:f>0</x:f>
        <x:v>0</x:v>
      </x:c>
      <x:c r="AA130" s="9" t="n">
        <x:f>((SQRT((Inputs!$C$52+Inputs!$C$5)^2+Inputs!$C$52^2-2*(Inputs!$C$52+Inputs!$C$5)*Inputs!$C$52*COS(SQRT((Model_Data!A130)^2+Inputs!$C$6^2)/Inputs!$C$52))-Inputs!$C$5)*1000/Inputs!$C$12)</x:f>
        <x:v>564.7797959481517</x:v>
      </x:c>
      <x:c r="AB130" s="9" t="n">
        <x:f>Model_Data!F130</x:f>
        <x:v>564.7598726455456</x:v>
      </x:c>
    </x:row>
    <x:row r="131">
      <x:c r="A131" s="9" t="n">
        <x:f>Model_Data!A131</x:f>
        <x:v>4.5</x:v>
      </x:c>
      <x:c r="B131" s="9" t="n">
        <x:f>0</x:f>
        <x:v>0</x:v>
      </x:c>
      <x:c r="C131" s="9" t="n">
        <x:f>((SQRT((Inputs!$C$52+Inputs!$C$5)^2+Inputs!$C$52^2-2*(Inputs!$C$52+Inputs!$C$5)*Inputs!$C$52*COS(SQRT((Model_Data!A131)^2+Inputs!$C$6^2)/Inputs!$C$52))-Inputs!$C$5)*1000/Inputs!$C$12)</x:f>
        <x:v>568.519628340385</x:v>
      </x:c>
      <x:c r="D131" s="9" t="n">
        <x:f>Model_Data!F131</x:f>
        <x:v>568.494246712671</x:v>
      </x:c>
      <x:c r="E131" s="9" t="n">
        <x:f>Model_Data!AC131</x:f>
        <x:v>296.4054565525343</x:v>
      </x:c>
      <x:c r="F131" s="10" t="n"/>
      <x:c r="G131" s="9" t="n">
        <x:f>Model_Data!A131</x:f>
        <x:v>4.5</x:v>
      </x:c>
      <x:c r="H131" s="9" t="n">
        <x:f>Model_Data!Y131</x:f>
        <x:v>568.6436382247327</x:v>
      </x:c>
      <x:c r="I131" s="9" t="n">
        <x:f>Model_Data!Y131</x:f>
        <x:v>568.6436382247327</x:v>
      </x:c>
      <x:c r="J131" s="9" t="n">
        <x:f>Model_Data!X131</x:f>
        <x:v>82.51998590748882</x:v>
      </x:c>
      <x:c r="K131" s="9" t="n">
        <x:f>Model_Data!A131</x:f>
        <x:v>4.5</x:v>
      </x:c>
      <x:c r="L131" s="9" t="n">
        <x:f>Model_Data!Y131</x:f>
        <x:v>568.6436382247327</x:v>
      </x:c>
      <x:c r="M131" s="9" t="n">
        <x:f>Model_Data!X131</x:f>
        <x:v>82.51998590748882</x:v>
      </x:c>
      <x:c r="N131" s="9" t="n">
        <x:f>-(Model_Data!AC131-Model_Data!F131)*Inputs!$C$12</x:f>
        <x:v>484.3180464850434</x:v>
      </x:c>
      <x:c r="O131" s="10" t="n"/>
      <x:c r="P131" s="9" t="n">
        <x:f>Model_Data!A131</x:f>
        <x:v>4.5</x:v>
      </x:c>
      <x:c r="Q131" s="9" t="n">
        <x:f>Model_Data!P131</x:f>
        <x:v>-38.521781712279335</x:v>
      </x:c>
      <x:c r="R131" s="9" t="n">
        <x:f>Model_Data!AM131</x:f>
        <x:v>-59.06357460689833</x:v>
      </x:c>
      <x:c r="S131" s="9" t="n">
        <x:f>Model_Data!Q131</x:f>
        <x:v>-5.784051308150051</x:v>
      </x:c>
      <x:c r="T131" s="9" t="n">
        <x:f>Model_Data!AN131</x:f>
        <x:v>-8.86840459563038</x:v>
      </x:c>
      <x:c r="U131" s="10" t="n"/>
      <x:c r="V131" s="9" t="n">
        <x:f>Model_Data!A131</x:f>
        <x:v>4.5</x:v>
      </x:c>
      <x:c r="W131" s="9" t="n">
        <x:f>Model_Data!B131-Inputs!$C$5</x:f>
        <x:v>0.022499999999979536</x:v>
      </x:c>
      <x:c r="X131" s="10" t="n"/>
      <x:c r="Y131" s="9" t="n">
        <x:f>Model_Data!A131</x:f>
        <x:v>4.5</x:v>
      </x:c>
      <x:c r="Z131" s="9" t="n">
        <x:f>0</x:f>
        <x:v>0</x:v>
      </x:c>
      <x:c r="AA131" s="9" t="n">
        <x:f>((SQRT((Inputs!$C$52+Inputs!$C$5)^2+Inputs!$C$52^2-2*(Inputs!$C$52+Inputs!$C$5)*Inputs!$C$52*COS(SQRT((Model_Data!A131)^2+Inputs!$C$6^2)/Inputs!$C$52))-Inputs!$C$5)*1000/Inputs!$C$12)</x:f>
        <x:v>568.519628340385</x:v>
      </x:c>
      <x:c r="AB131" s="9" t="n">
        <x:f>Model_Data!F131</x:f>
        <x:v>568.494246712671</x:v>
      </x:c>
    </x:row>
    <x:row r="132">
      <x:c r="A132" s="9" t="n">
        <x:f>Model_Data!A132</x:f>
        <x:v>5</x:v>
      </x:c>
      <x:c r="B132" s="9" t="n">
        <x:f>0</x:f>
        <x:v>0</x:v>
      </x:c>
      <x:c r="C132" s="9" t="n">
        <x:f>((SQRT((Inputs!$C$52+Inputs!$C$5)^2+Inputs!$C$52^2-2*(Inputs!$C$52+Inputs!$C$5)*Inputs!$C$52*COS(SQRT((Model_Data!A132)^2+Inputs!$C$6^2)/Inputs!$C$52))-Inputs!$C$5)*1000/Inputs!$C$12)</x:f>
        <x:v>572.6993662599103</x:v>
      </x:c>
      <x:c r="D132" s="9" t="n">
        <x:f>Model_Data!F132</x:f>
        <x:v>572.6678016175588</x:v>
      </x:c>
      <x:c r="E132" s="9" t="n">
        <x:f>Model_Data!AC132</x:f>
        <x:v>320.9208205560296</x:v>
      </x:c>
      <x:c r="F132" s="10" t="n"/>
      <x:c r="G132" s="9" t="n">
        <x:f>Model_Data!A132</x:f>
        <x:v>5</x:v>
      </x:c>
      <x:c r="H132" s="9" t="n">
        <x:f>Model_Data!Y132</x:f>
        <x:v>548.8146920903409</x:v>
      </x:c>
      <x:c r="I132" s="9" t="n">
        <x:f>Model_Data!Y132</x:f>
        <x:v>548.8146920903409</x:v>
      </x:c>
      <x:c r="J132" s="9" t="n">
        <x:f>Model_Data!X132</x:f>
        <x:v>98.94976350623145</x:v>
      </x:c>
      <x:c r="K132" s="9" t="n">
        <x:f>Model_Data!A132</x:f>
        <x:v>5</x:v>
      </x:c>
      <x:c r="L132" s="9" t="n">
        <x:f>Model_Data!Y132</x:f>
        <x:v>548.8146920903409</x:v>
      </x:c>
      <x:c r="M132" s="9" t="n">
        <x:f>Model_Data!X132</x:f>
        <x:v>98.94976350623145</x:v>
      </x:c>
      <x:c r="N132" s="9" t="n">
        <x:f>-(Model_Data!AC132-Model_Data!F132)*Inputs!$C$12</x:f>
        <x:v>448.109626289522</x:v>
      </x:c>
      <x:c r="O132" s="10" t="n"/>
      <x:c r="P132" s="9" t="n">
        <x:f>Model_Data!A132</x:f>
        <x:v>5</x:v>
      </x:c>
      <x:c r="Q132" s="9" t="n">
        <x:f>Model_Data!P132</x:f>
        <x:v>-42.80098427389021</x:v>
      </x:c>
      <x:c r="R132" s="9" t="n">
        <x:f>Model_Data!AM132</x:f>
        <x:v>-89.29079603231003</x:v>
      </x:c>
      <x:c r="S132" s="9" t="n">
        <x:f>Model_Data!Q132</x:f>
        <x:v>-6.426574215298831</x:v>
      </x:c>
      <x:c r="T132" s="9" t="n">
        <x:f>Model_Data!AN132</x:f>
        <x:v>-13.407026431277783</x:v>
      </x:c>
      <x:c r="U132" s="10" t="n"/>
      <x:c r="V132" s="9" t="n">
        <x:f>Model_Data!A132</x:f>
        <x:v>5</x:v>
      </x:c>
      <x:c r="W132" s="9" t="n">
        <x:f>Model_Data!B132-Inputs!$C$5</x:f>
        <x:v>0.027777777777771462</x:v>
      </x:c>
      <x:c r="X132" s="10" t="n"/>
      <x:c r="Y132" s="9" t="n">
        <x:f>Model_Data!A132</x:f>
        <x:v>5</x:v>
      </x:c>
      <x:c r="Z132" s="9" t="n">
        <x:f>0</x:f>
        <x:v>0</x:v>
      </x:c>
      <x:c r="AA132" s="9" t="n">
        <x:f>((SQRT((Inputs!$C$52+Inputs!$C$5)^2+Inputs!$C$52^2-2*(Inputs!$C$52+Inputs!$C$5)*Inputs!$C$52*COS(SQRT((Model_Data!A132)^2+Inputs!$C$6^2)/Inputs!$C$52))-Inputs!$C$5)*1000/Inputs!$C$12)</x:f>
        <x:v>572.6993662599103</x:v>
      </x:c>
      <x:c r="AB132" s="9" t="n">
        <x:f>Model_Data!F132</x:f>
        <x:v>572.6678016175588</x:v>
      </x:c>
    </x:row>
    <x:row r="133">
      <x:c r="A133" s="9" t="n">
        <x:f>Model_Data!A133</x:f>
        <x:v>5.5</x:v>
      </x:c>
      <x:c r="B133" s="9" t="n">
        <x:f>0</x:f>
        <x:v>0</x:v>
      </x:c>
      <x:c r="C133" s="9" t="n">
        <x:f>((SQRT((Inputs!$C$52+Inputs!$C$5)^2+Inputs!$C$52^2-2*(Inputs!$C$52+Inputs!$C$5)*Inputs!$C$52*COS(SQRT((Model_Data!A133)^2+Inputs!$C$6^2)/Inputs!$C$52))-Inputs!$C$5)*1000/Inputs!$C$12)</x:f>
        <x:v>577.3189847965366</x:v>
      </x:c>
      <x:c r="D133" s="9" t="n">
        <x:f>Model_Data!F133</x:f>
        <x:v>577.2804849486606</x:v>
      </x:c>
      <x:c r="E133" s="9" t="n">
        <x:f>Model_Data!AC133</x:f>
        <x:v>329.7144835071999</x:v>
      </x:c>
      <x:c r="F133" s="10" t="n"/>
      <x:c r="G133" s="9" t="n">
        <x:f>Model_Data!A133</x:f>
        <x:v>5.5</x:v>
      </x:c>
      <x:c r="H133" s="9" t="n">
        <x:f>Model_Data!Y133</x:f>
        <x:v>539.5212853164131</x:v>
      </x:c>
      <x:c r="I133" s="9" t="n">
        <x:f>Model_Data!Y133</x:f>
        <x:v>539.5212853164131</x:v>
      </x:c>
      <x:c r="J133" s="9" t="n">
        <x:f>Model_Data!X133</x:f>
        <x:v>97.11441747768895</x:v>
      </x:c>
      <x:c r="K133" s="9" t="n">
        <x:f>Model_Data!A133</x:f>
        <x:v>5.5</x:v>
      </x:c>
      <x:c r="L133" s="9" t="n">
        <x:f>Model_Data!Y133</x:f>
        <x:v>539.5212853164131</x:v>
      </x:c>
      <x:c r="M133" s="9" t="n">
        <x:f>Model_Data!X133</x:f>
        <x:v>97.11441747768895</x:v>
      </x:c>
      <x:c r="N133" s="9" t="n">
        <x:f>-(Model_Data!AC133-Model_Data!F133)*Inputs!$C$12</x:f>
        <x:v>440.6674825658001</x:v>
      </x:c>
      <x:c r="O133" s="10" t="n"/>
      <x:c r="P133" s="9" t="n">
        <x:f>Model_Data!A133</x:f>
        <x:v>5.5</x:v>
      </x:c>
      <x:c r="Q133" s="9" t="n">
        <x:f>Model_Data!P133</x:f>
        <x:v>-47.07987260953814</x:v>
      </x:c>
      <x:c r="R133" s="9" t="n">
        <x:f>Model_Data!AM133</x:f>
        <x:v>-71.24450372502906</x:v>
      </x:c>
      <x:c r="S133" s="9" t="n">
        <x:f>Model_Data!Q133</x:f>
        <x:v>-7.069049941372094</x:v>
      </x:c>
      <x:c r="T133" s="9" t="n">
        <x:f>Model_Data!AN133</x:f>
        <x:v>-10.697372931686047</x:v>
      </x:c>
      <x:c r="U133" s="10" t="n"/>
      <x:c r="V133" s="9" t="n">
        <x:f>Model_Data!A133</x:f>
        <x:v>5.5</x:v>
      </x:c>
      <x:c r="W133" s="9" t="n">
        <x:f>Model_Data!B133-Inputs!$C$5</x:f>
        <x:v>0.03361111111109949</x:v>
      </x:c>
      <x:c r="X133" s="10" t="n"/>
      <x:c r="Y133" s="9" t="n">
        <x:f>Model_Data!A133</x:f>
        <x:v>5.5</x:v>
      </x:c>
      <x:c r="Z133" s="9" t="n">
        <x:f>0</x:f>
        <x:v>0</x:v>
      </x:c>
      <x:c r="AA133" s="9" t="n">
        <x:f>((SQRT((Inputs!$C$52+Inputs!$C$5)^2+Inputs!$C$52^2-2*(Inputs!$C$52+Inputs!$C$5)*Inputs!$C$52*COS(SQRT((Model_Data!A133)^2+Inputs!$C$6^2)/Inputs!$C$52))-Inputs!$C$5)*1000/Inputs!$C$12)</x:f>
        <x:v>577.3189847965366</x:v>
      </x:c>
      <x:c r="AB133" s="9" t="n">
        <x:f>Model_Data!F133</x:f>
        <x:v>577.2804849486606</x:v>
      </x:c>
    </x:row>
    <x:row r="134">
      <x:c r="A134" s="9" t="n">
        <x:f>Model_Data!A134</x:f>
        <x:v>6</x:v>
      </x:c>
      <x:c r="B134" s="9" t="n">
        <x:f>0</x:f>
        <x:v>0</x:v>
      </x:c>
      <x:c r="C134" s="9" t="n">
        <x:f>((SQRT((Inputs!$C$52+Inputs!$C$5)^2+Inputs!$C$52^2-2*(Inputs!$C$52+Inputs!$C$5)*Inputs!$C$52*COS(SQRT((Model_Data!A134)^2+Inputs!$C$6^2)/Inputs!$C$52))-Inputs!$C$5)*1000/Inputs!$C$12)</x:f>
        <x:v>582.3784564165571</x:v>
      </x:c>
      <x:c r="D134" s="9" t="n">
        <x:f>Model_Data!F134</x:f>
        <x:v>582.3322387853748</x:v>
      </x:c>
      <x:c r="E134" s="9" t="n">
        <x:f>Model_Data!AC134</x:f>
        <x:v>322.9985635779654</x:v>
      </x:c>
      <x:c r="F134" s="10" t="n"/>
      <x:c r="G134" s="9" t="n">
        <x:f>Model_Data!A134</x:f>
        <x:v>6</x:v>
      </x:c>
      <x:c r="H134" s="9" t="n">
        <x:f>Model_Data!Y134</x:f>
        <x:v>533.6920620973987</x:v>
      </x:c>
      <x:c r="I134" s="9" t="n">
        <x:f>Model_Data!Y134</x:f>
        <x:v>533.6920620973987</x:v>
      </x:c>
      <x:c r="J134" s="9" t="n">
        <x:f>Model_Data!X134</x:f>
        <x:v>70.34255347941284</x:v>
      </x:c>
      <x:c r="K134" s="9" t="n">
        <x:f>Model_Data!A134</x:f>
        <x:v>6</x:v>
      </x:c>
      <x:c r="L134" s="9" t="n">
        <x:f>Model_Data!Y134</x:f>
        <x:v>533.6920620973987</x:v>
      </x:c>
      <x:c r="M134" s="9" t="n">
        <x:f>Model_Data!X134</x:f>
        <x:v>70.34255347941284</x:v>
      </x:c>
      <x:c r="N134" s="9" t="n">
        <x:f>-(Model_Data!AC134-Model_Data!F134)*Inputs!$C$12</x:f>
        <x:v>461.6139418691887</x:v>
      </x:c>
      <x:c r="O134" s="10" t="n"/>
      <x:c r="P134" s="9" t="n">
        <x:f>Model_Data!A134</x:f>
        <x:v>6</x:v>
      </x:c>
      <x:c r="Q134" s="9" t="n">
        <x:f>Model_Data!P134</x:f>
        <x:v>-51.35841535866348</x:v>
      </x:c>
      <x:c r="R134" s="9" t="n">
        <x:f>Model_Data!AM134</x:f>
        <x:v>-75.48150197753785</x:v>
      </x:c>
      <x:c r="S134" s="9" t="n">
        <x:f>Model_Data!Q134</x:f>
        <x:v>-7.711473777577099</x:v>
      </x:c>
      <x:c r="T134" s="9" t="n">
        <x:f>Model_Data!AN134</x:f>
        <x:v>-11.333558855486164</x:v>
      </x:c>
      <x:c r="U134" s="10" t="n"/>
      <x:c r="V134" s="9" t="n">
        <x:f>Model_Data!A134</x:f>
        <x:v>6</x:v>
      </x:c>
      <x:c r="W134" s="9" t="n">
        <x:f>Model_Data!B134-Inputs!$C$5</x:f>
        <x:v>0.040000000000020464</x:v>
      </x:c>
      <x:c r="X134" s="10" t="n"/>
      <x:c r="Y134" s="9" t="n">
        <x:f>Model_Data!A134</x:f>
        <x:v>6</x:v>
      </x:c>
      <x:c r="Z134" s="9" t="n">
        <x:f>0</x:f>
        <x:v>0</x:v>
      </x:c>
      <x:c r="AA134" s="9" t="n">
        <x:f>((SQRT((Inputs!$C$52+Inputs!$C$5)^2+Inputs!$C$52^2-2*(Inputs!$C$52+Inputs!$C$5)*Inputs!$C$52*COS(SQRT((Model_Data!A134)^2+Inputs!$C$6^2)/Inputs!$C$52))-Inputs!$C$5)*1000/Inputs!$C$12)</x:f>
        <x:v>582.3784564165571</x:v>
      </x:c>
      <x:c r="AB134" s="9" t="n">
        <x:f>Model_Data!F134</x:f>
        <x:v>582.3322387853748</x:v>
      </x:c>
    </x:row>
    <x:row r="135">
      <x:c r="A135" s="9" t="n">
        <x:f>Model_Data!A135</x:f>
        <x:v>6.5</x:v>
      </x:c>
      <x:c r="B135" s="9" t="n">
        <x:f>0</x:f>
        <x:v>0</x:v>
      </x:c>
      <x:c r="C135" s="9" t="n">
        <x:f>((SQRT((Inputs!$C$52+Inputs!$C$5)^2+Inputs!$C$52^2-2*(Inputs!$C$52+Inputs!$C$5)*Inputs!$C$52*COS(SQRT((Model_Data!A135)^2+Inputs!$C$6^2)/Inputs!$C$52))-Inputs!$C$5)*1000/Inputs!$C$12)</x:f>
        <x:v>587.8777509688173</x:v>
      </x:c>
      <x:c r="D135" s="9" t="n">
        <x:f>Model_Data!F135</x:f>
        <x:v>587.8229997047524</x:v>
      </x:c>
      <x:c r="E135" s="9" t="n">
        <x:f>Model_Data!AC135</x:f>
        <x:v>337.790965941397</x:v>
      </x:c>
      <x:c r="F135" s="10" t="n"/>
      <x:c r="G135" s="9" t="n">
        <x:f>Model_Data!A135</x:f>
        <x:v>6.5</x:v>
      </x:c>
      <x:c r="H135" s="9" t="n">
        <x:f>Model_Data!Y135</x:f>
        <x:v>524.4263848132822</x:v>
      </x:c>
      <x:c r="I135" s="9" t="n">
        <x:f>Model_Data!Y135</x:f>
        <x:v>524.4263848132822</x:v>
      </x:c>
      <x:c r="J135" s="9" t="n">
        <x:f>Model_Data!X135</x:f>
        <x:v>77.64795080795966</x:v>
      </x:c>
      <x:c r="K135" s="9" t="n">
        <x:f>Model_Data!A135</x:f>
        <x:v>6.5</x:v>
      </x:c>
      <x:c r="L135" s="9" t="n">
        <x:f>Model_Data!Y135</x:f>
        <x:v>524.4263848132822</x:v>
      </x:c>
      <x:c r="M135" s="9" t="n">
        <x:f>Model_Data!X135</x:f>
        <x:v>77.64795080795966</x:v>
      </x:c>
      <x:c r="N135" s="9" t="n">
        <x:f>-(Model_Data!AC135-Model_Data!F135)*Inputs!$C$12</x:f>
        <x:v>445.0570200987726</x:v>
      </x:c>
      <x:c r="O135" s="10" t="n"/>
      <x:c r="P135" s="9" t="n">
        <x:f>Model_Data!A135</x:f>
        <x:v>6.5</x:v>
      </x:c>
      <x:c r="Q135" s="9" t="n">
        <x:f>Model_Data!P135</x:f>
        <x:v>-55.63658118935564</x:v>
      </x:c>
      <x:c r="R135" s="9" t="n">
        <x:f>Model_Data!AM135</x:f>
        <x:v>-54.54940081717723</x:v>
      </x:c>
      <x:c r="S135" s="9" t="n">
        <x:f>Model_Data!Q135</x:f>
        <x:v>-8.353841019422768</x:v>
      </x:c>
      <x:c r="T135" s="9" t="n">
        <x:f>Model_Data!AN135</x:f>
        <x:v>-8.190600723299886</x:v>
      </x:c>
      <x:c r="U135" s="10" t="n"/>
      <x:c r="V135" s="9" t="n">
        <x:f>Model_Data!A135</x:f>
        <x:v>6.5</x:v>
      </x:c>
      <x:c r="W135" s="9" t="n">
        <x:f>Model_Data!B135-Inputs!$C$5</x:f>
        <x:v>0.046944444444420697</x:v>
      </x:c>
      <x:c r="X135" s="10" t="n"/>
      <x:c r="Y135" s="9" t="n">
        <x:f>Model_Data!A135</x:f>
        <x:v>6.5</x:v>
      </x:c>
      <x:c r="Z135" s="9" t="n">
        <x:f>0</x:f>
        <x:v>0</x:v>
      </x:c>
      <x:c r="AA135" s="9" t="n">
        <x:f>((SQRT((Inputs!$C$52+Inputs!$C$5)^2+Inputs!$C$52^2-2*(Inputs!$C$52+Inputs!$C$5)*Inputs!$C$52*COS(SQRT((Model_Data!A135)^2+Inputs!$C$6^2)/Inputs!$C$52))-Inputs!$C$5)*1000/Inputs!$C$12)</x:f>
        <x:v>587.8777509688173</x:v>
      </x:c>
      <x:c r="AB135" s="9" t="n">
        <x:f>Model_Data!F135</x:f>
        <x:v>587.8229997047524</x:v>
      </x:c>
    </x:row>
    <x:row r="136">
      <x:c r="A136" s="9" t="n">
        <x:f>Model_Data!A136</x:f>
        <x:v>7</x:v>
      </x:c>
      <x:c r="B136" s="9" t="n">
        <x:f>0</x:f>
        <x:v>0</x:v>
      </x:c>
      <x:c r="C136" s="9" t="n">
        <x:f>((SQRT((Inputs!$C$52+Inputs!$C$5)^2+Inputs!$C$52^2-2*(Inputs!$C$52+Inputs!$C$5)*Inputs!$C$52*COS(SQRT((Model_Data!A136)^2+Inputs!$C$6^2)/Inputs!$C$52))-Inputs!$C$5)*1000/Inputs!$C$12)</x:f>
        <x:v>593.816835685641</x:v>
      </x:c>
      <x:c r="D136" s="9" t="n">
        <x:f>Model_Data!F136</x:f>
        <x:v>593.7526987847551</x:v>
      </x:c>
      <x:c r="E136" s="9" t="n">
        <x:f>Model_Data!AC136</x:f>
        <x:v>332.11198351387907</x:v>
      </x:c>
      <x:c r="F136" s="10" t="n"/>
      <x:c r="G136" s="9" t="n">
        <x:f>Model_Data!A136</x:f>
        <x:v>7</x:v>
      </x:c>
      <x:c r="H136" s="9" t="n">
        <x:f>Model_Data!Y136</x:f>
        <x:v>534.4078318791427</x:v>
      </x:c>
      <x:c r="I136" s="9" t="n">
        <x:f>Model_Data!Y136</x:f>
        <x:v>534.4078318791427</x:v>
      </x:c>
      <x:c r="J136" s="9" t="n">
        <x:f>Model_Data!X136</x:f>
        <x:v>66.91550989906084</x:v>
      </x:c>
      <x:c r="K136" s="9" t="n">
        <x:f>Model_Data!A136</x:f>
        <x:v>7</x:v>
      </x:c>
      <x:c r="L136" s="9" t="n">
        <x:f>Model_Data!Y136</x:f>
        <x:v>534.4078318791427</x:v>
      </x:c>
      <x:c r="M136" s="9" t="n">
        <x:f>Model_Data!X136</x:f>
        <x:v>66.91550989906084</x:v>
      </x:c>
      <x:c r="N136" s="9" t="n">
        <x:f>-(Model_Data!AC136-Model_Data!F136)*Inputs!$C$12</x:f>
        <x:v>465.72047318215937</x:v>
      </x:c>
      <x:c r="O136" s="10" t="n"/>
      <x:c r="P136" s="9" t="n">
        <x:f>Model_Data!A136</x:f>
        <x:v>7</x:v>
      </x:c>
      <x:c r="Q136" s="9" t="n">
        <x:f>Model_Data!P136</x:f>
        <x:v>-59.914338766157016</x:v>
      </x:c>
      <x:c r="R136" s="9" t="n">
        <x:f>Model_Data!AM136</x:f>
        <x:v>-93.36744727406767</x:v>
      </x:c>
      <x:c r="S136" s="9" t="n">
        <x:f>Model_Data!Q136</x:f>
        <x:v>-8.996146961885438</x:v>
      </x:c>
      <x:c r="T136" s="9" t="n">
        <x:f>Model_Data!AN136</x:f>
        <x:v>-14.019136227337489</x:v>
      </x:c>
      <x:c r="U136" s="10" t="n"/>
      <x:c r="V136" s="9" t="n">
        <x:f>Model_Data!A136</x:f>
        <x:v>7</x:v>
      </x:c>
      <x:c r="W136" s="9" t="n">
        <x:f>Model_Data!B136-Inputs!$C$5</x:f>
        <x:v>0.05444444444447072</x:v>
      </x:c>
      <x:c r="X136" s="10" t="n"/>
      <x:c r="Y136" s="9" t="n">
        <x:f>Model_Data!A136</x:f>
        <x:v>7</x:v>
      </x:c>
      <x:c r="Z136" s="9" t="n">
        <x:f>0</x:f>
        <x:v>0</x:v>
      </x:c>
      <x:c r="AA136" s="9" t="n">
        <x:f>((SQRT((Inputs!$C$52+Inputs!$C$5)^2+Inputs!$C$52^2-2*(Inputs!$C$52+Inputs!$C$5)*Inputs!$C$52*COS(SQRT((Model_Data!A136)^2+Inputs!$C$6^2)/Inputs!$C$52))-Inputs!$C$5)*1000/Inputs!$C$12)</x:f>
        <x:v>593.816835685641</x:v>
      </x:c>
      <x:c r="AB136" s="9" t="n">
        <x:f>Model_Data!F136</x:f>
        <x:v>593.7526987847551</x:v>
      </x:c>
    </x:row>
    <x:row r="137">
      <x:c r="A137" s="9" t="n">
        <x:f>Model_Data!A137</x:f>
        <x:v>7.5</x:v>
      </x:c>
      <x:c r="B137" s="9" t="n">
        <x:f>0</x:f>
        <x:v>0</x:v>
      </x:c>
      <x:c r="C137" s="9" t="n">
        <x:f>((SQRT((Inputs!$C$52+Inputs!$C$5)^2+Inputs!$C$52^2-2*(Inputs!$C$52+Inputs!$C$5)*Inputs!$C$52*COS(SQRT((Model_Data!A137)^2+Inputs!$C$6^2)/Inputs!$C$52))-Inputs!$C$5)*1000/Inputs!$C$12)</x:f>
        <x:v>600.1956751785191</x:v>
      </x:c>
      <x:c r="D137" s="9" t="n">
        <x:f>Model_Data!F137</x:f>
        <x:v>600.1212615998473</x:v>
      </x:c>
      <x:c r="E137" s="9" t="n">
        <x:f>Model_Data!AC137</x:f>
        <x:v>349.7871376378669</x:v>
      </x:c>
      <x:c r="F137" s="10" t="n"/>
      <x:c r="G137" s="9" t="n">
        <x:f>Model_Data!A137</x:f>
        <x:v>7.5</x:v>
      </x:c>
      <x:c r="H137" s="9" t="n">
        <x:f>Model_Data!Y137</x:f>
        <x:v>503.48380224840304</x:v>
      </x:c>
      <x:c r="I137" s="9" t="n">
        <x:f>Model_Data!Y137</x:f>
        <x:v>503.48380224840304</x:v>
      </x:c>
      <x:c r="J137" s="9" t="n">
        <x:f>Model_Data!X137</x:f>
        <x:v>56.202037436945574</x:v>
      </x:c>
      <x:c r="K137" s="9" t="n">
        <x:f>Model_Data!A137</x:f>
        <x:v>7.5</x:v>
      </x:c>
      <x:c r="L137" s="9" t="n">
        <x:f>Model_Data!Y137</x:f>
        <x:v>503.48380224840304</x:v>
      </x:c>
      <x:c r="M137" s="9" t="n">
        <x:f>Model_Data!X137</x:f>
        <x:v>56.202037436945574</x:v>
      </x:c>
      <x:c r="N137" s="9" t="n">
        <x:f>-(Model_Data!AC137-Model_Data!F137)*Inputs!$C$12</x:f>
        <x:v>445.5947406523252</x:v>
      </x:c>
      <x:c r="O137" s="10" t="n"/>
      <x:c r="P137" s="9" t="n">
        <x:f>Model_Data!A137</x:f>
        <x:v>7.5</x:v>
      </x:c>
      <x:c r="Q137" s="9" t="n">
        <x:f>Model_Data!P137</x:f>
        <x:v>-64.19165678507852</x:v>
      </x:c>
      <x:c r="R137" s="9" t="n">
        <x:f>Model_Data!AM137</x:f>
        <x:v>-123.54267273130972</x:v>
      </x:c>
      <x:c r="S137" s="9" t="n">
        <x:f>Model_Data!Q137</x:f>
        <x:v>-9.638386904666445</x:v>
      </x:c>
      <x:c r="T137" s="9" t="n">
        <x:f>Model_Data!AN137</x:f>
        <x:v>-18.54995086055702</x:v>
      </x:c>
      <x:c r="U137" s="10" t="n"/>
      <x:c r="V137" s="9" t="n">
        <x:f>Model_Data!A137</x:f>
        <x:v>7.5</x:v>
      </x:c>
      <x:c r="W137" s="9" t="n">
        <x:f>Model_Data!B137-Inputs!$C$5</x:f>
        <x:v>0.0625</x:v>
      </x:c>
      <x:c r="X137" s="10" t="n"/>
      <x:c r="Y137" s="9" t="n">
        <x:f>Model_Data!A137</x:f>
        <x:v>7.5</x:v>
      </x:c>
      <x:c r="Z137" s="9" t="n">
        <x:f>0</x:f>
        <x:v>0</x:v>
      </x:c>
      <x:c r="AA137" s="9" t="n">
        <x:f>((SQRT((Inputs!$C$52+Inputs!$C$5)^2+Inputs!$C$52^2-2*(Inputs!$C$52+Inputs!$C$5)*Inputs!$C$52*COS(SQRT((Model_Data!A137)^2+Inputs!$C$6^2)/Inputs!$C$52))-Inputs!$C$5)*1000/Inputs!$C$12)</x:f>
        <x:v>600.1956751785191</x:v>
      </x:c>
      <x:c r="AB137" s="9" t="n">
        <x:f>Model_Data!F137</x:f>
        <x:v>600.1212615998473</x:v>
      </x:c>
    </x:row>
    <x:row r="138">
      <x:c r="A138" s="9" t="n">
        <x:f>Model_Data!A138</x:f>
        <x:v>8</x:v>
      </x:c>
      <x:c r="B138" s="9" t="n">
        <x:f>0</x:f>
        <x:v>0</x:v>
      </x:c>
      <x:c r="C138" s="9" t="n">
        <x:f>((SQRT((Inputs!$C$52+Inputs!$C$5)^2+Inputs!$C$52^2-2*(Inputs!$C$52+Inputs!$C$5)*Inputs!$C$52*COS(SQRT((Model_Data!A138)^2+Inputs!$C$6^2)/Inputs!$C$52))-Inputs!$C$5)*1000/Inputs!$C$12)</x:f>
        <x:v>607.0142314470512</x:v>
      </x:c>
      <x:c r="D138" s="9" t="n">
        <x:f>Model_Data!F138</x:f>
        <x:v>606.9286082364532</x:v>
      </x:c>
      <x:c r="E138" s="9" t="n">
        <x:f>Model_Data!AC138</x:f>
        <x:v>354.3733312405015</x:v>
      </x:c>
      <x:c r="F138" s="10" t="n"/>
      <x:c r="G138" s="9" t="n">
        <x:f>Model_Data!A138</x:f>
        <x:v>8</x:v>
      </x:c>
      <x:c r="H138" s="9" t="n">
        <x:f>Model_Data!Y138</x:f>
        <x:v>497.2264534493298</x:v>
      </x:c>
      <x:c r="I138" s="9" t="n">
        <x:f>Model_Data!Y138</x:f>
        <x:v>497.2264534493298</x:v>
      </x:c>
      <x:c r="J138" s="9" t="n">
        <x:f>Model_Data!X138</x:f>
        <x:v>45.99320506201067</x:v>
      </x:c>
      <x:c r="K138" s="9" t="n">
        <x:f>Model_Data!A138</x:f>
        <x:v>8</x:v>
      </x:c>
      <x:c r="L138" s="9" t="n">
        <x:f>Model_Data!Y138</x:f>
        <x:v>497.2264534493298</x:v>
      </x:c>
      <x:c r="M138" s="9" t="n">
        <x:f>Model_Data!X138</x:f>
        <x:v>45.99320506201067</x:v>
      </x:c>
      <x:c r="N138" s="9" t="n">
        <x:f>-(Model_Data!AC138-Model_Data!F138)*Inputs!$C$12</x:f>
        <x:v>449.54839305279404</x:v>
      </x:c>
      <x:c r="O138" s="10" t="n"/>
      <x:c r="P138" s="9" t="n">
        <x:f>Model_Data!A138</x:f>
        <x:v>8</x:v>
      </x:c>
      <x:c r="Q138" s="9" t="n">
        <x:f>Model_Data!P138</x:f>
        <x:v>-68.46850397168964</x:v>
      </x:c>
      <x:c r="R138" s="9" t="n">
        <x:f>Model_Data!AM138</x:f>
        <x:v>-106.61121304219705</x:v>
      </x:c>
      <x:c r="S138" s="9" t="n">
        <x:f>Model_Data!Q138</x:f>
        <x:v>-10.280556151905353</x:v>
      </x:c>
      <x:c r="T138" s="9" t="n">
        <x:f>Model_Data!AN138</x:f>
        <x:v>-16.007689645975535</x:v>
      </x:c>
      <x:c r="U138" s="10" t="n"/>
      <x:c r="V138" s="9" t="n">
        <x:f>Model_Data!A138</x:f>
        <x:v>8</x:v>
      </x:c>
      <x:c r="W138" s="9" t="n">
        <x:f>Model_Data!B138-Inputs!$C$5</x:f>
        <x:v>0.07111111111112223</x:v>
      </x:c>
      <x:c r="X138" s="10" t="n"/>
      <x:c r="Y138" s="9" t="n">
        <x:f>Model_Data!A138</x:f>
        <x:v>8</x:v>
      </x:c>
      <x:c r="Z138" s="9" t="n">
        <x:f>0</x:f>
        <x:v>0</x:v>
      </x:c>
      <x:c r="AA138" s="9" t="n">
        <x:f>((SQRT((Inputs!$C$52+Inputs!$C$5)^2+Inputs!$C$52^2-2*(Inputs!$C$52+Inputs!$C$5)*Inputs!$C$52*COS(SQRT((Model_Data!A138)^2+Inputs!$C$6^2)/Inputs!$C$52))-Inputs!$C$5)*1000/Inputs!$C$12)</x:f>
        <x:v>607.0142314470512</x:v>
      </x:c>
      <x:c r="AB138" s="9" t="n">
        <x:f>Model_Data!F138</x:f>
        <x:v>606.9286082364532</x:v>
      </x:c>
    </x:row>
    <x:row r="139">
      <x:c r="A139" s="9" t="n">
        <x:f>Model_Data!A139</x:f>
        <x:v>8.5</x:v>
      </x:c>
      <x:c r="B139" s="9" t="n">
        <x:f>0</x:f>
        <x:v>0</x:v>
      </x:c>
      <x:c r="C139" s="9" t="n">
        <x:f>((SQRT((Inputs!$C$52+Inputs!$C$5)^2+Inputs!$C$52^2-2*(Inputs!$C$52+Inputs!$C$5)*Inputs!$C$52*COS(SQRT((Model_Data!A139)^2+Inputs!$C$6^2)/Inputs!$C$52))-Inputs!$C$5)*1000/Inputs!$C$12)</x:f>
        <x:v>614.2724638740281</x:v>
      </x:c>
      <x:c r="D139" s="9" t="n">
        <x:f>Model_Data!F139</x:f>
        <x:v>614.1746532877829</x:v>
      </x:c>
      <x:c r="E139" s="9" t="n">
        <x:f>Model_Data!AC139</x:f>
        <x:v>365.5587112543377</x:v>
      </x:c>
      <x:c r="F139" s="10" t="n"/>
      <x:c r="G139" s="9" t="n">
        <x:f>Model_Data!A139</x:f>
        <x:v>8.5</x:v>
      </x:c>
      <x:c r="H139" s="9" t="n">
        <x:f>Model_Data!Y139</x:f>
        <x:v>479.6019721372586</x:v>
      </x:c>
      <x:c r="I139" s="9" t="n">
        <x:f>Model_Data!Y139</x:f>
        <x:v>479.6019721372586</x:v>
      </x:c>
      <x:c r="J139" s="9" t="n">
        <x:f>Model_Data!X139</x:f>
        <x:v>35.42120810065494</x:v>
      </x:c>
      <x:c r="K139" s="9" t="n">
        <x:f>Model_Data!A139</x:f>
        <x:v>8.5</x:v>
      </x:c>
      <x:c r="L139" s="9" t="n">
        <x:f>Model_Data!Y139</x:f>
        <x:v>479.6019721372586</x:v>
      </x:c>
      <x:c r="M139" s="9" t="n">
        <x:f>Model_Data!X139</x:f>
        <x:v>35.42120810065494</x:v>
      </x:c>
      <x:c r="N139" s="9" t="n">
        <x:f>-(Model_Data!AC139-Model_Data!F139)*Inputs!$C$12</x:f>
        <x:v>442.53637681953245</x:v>
      </x:c>
      <x:c r="O139" s="10" t="n"/>
      <x:c r="P139" s="9" t="n">
        <x:f>Model_Data!A139</x:f>
        <x:v>8.5</x:v>
      </x:c>
      <x:c r="Q139" s="9" t="n">
        <x:f>Model_Data!P139</x:f>
        <x:v>-72.74484905628924</x:v>
      </x:c>
      <x:c r="R139" s="9" t="n">
        <x:f>Model_Data!AM139</x:f>
        <x:v>-98.32283519044722</x:v>
      </x:c>
      <x:c r="S139" s="9" t="n">
        <x:f>Model_Data!Q139</x:f>
        <x:v>-10.92265000845184</x:v>
      </x:c>
      <x:c r="T139" s="9" t="n">
        <x:f>Model_Data!AN139</x:f>
        <x:v>-14.76318846703412</x:v>
      </x:c>
      <x:c r="U139" s="10" t="n"/>
      <x:c r="V139" s="9" t="n">
        <x:f>Model_Data!A139</x:f>
        <x:v>8.5</x:v>
      </x:c>
      <x:c r="W139" s="9" t="n">
        <x:f>Model_Data!B139-Inputs!$C$5</x:f>
        <x:v>0.08027777777778056</x:v>
      </x:c>
      <x:c r="X139" s="10" t="n"/>
      <x:c r="Y139" s="9" t="n">
        <x:f>Model_Data!A139</x:f>
        <x:v>8.5</x:v>
      </x:c>
      <x:c r="Z139" s="9" t="n">
        <x:f>0</x:f>
        <x:v>0</x:v>
      </x:c>
      <x:c r="AA139" s="9" t="n">
        <x:f>((SQRT((Inputs!$C$52+Inputs!$C$5)^2+Inputs!$C$52^2-2*(Inputs!$C$52+Inputs!$C$5)*Inputs!$C$52*COS(SQRT((Model_Data!A139)^2+Inputs!$C$6^2)/Inputs!$C$52))-Inputs!$C$5)*1000/Inputs!$C$12)</x:f>
        <x:v>614.2724638740281</x:v>
      </x:c>
      <x:c r="AB139" s="9" t="n">
        <x:f>Model_Data!F139</x:f>
        <x:v>614.1746532877829</x:v>
      </x:c>
    </x:row>
    <x:row r="140">
      <x:c r="A140" s="9" t="n">
        <x:f>Model_Data!A140</x:f>
        <x:v>9</x:v>
      </x:c>
      <x:c r="B140" s="9" t="n">
        <x:f>0</x:f>
        <x:v>0</x:v>
      </x:c>
      <x:c r="C140" s="9" t="n">
        <x:f>((SQRT((Inputs!$C$52+Inputs!$C$5)^2+Inputs!$C$52^2-2*(Inputs!$C$52+Inputs!$C$5)*Inputs!$C$52*COS(SQRT((Model_Data!A140)^2+Inputs!$C$6^2)/Inputs!$C$52))-Inputs!$C$5)*1000/Inputs!$C$12)</x:f>
        <x:v>621.9703292280814</x:v>
      </x:c>
      <x:c r="D140" s="9" t="n">
        <x:f>Model_Data!F140</x:f>
        <x:v>621.8593058607947</x:v>
      </x:c>
      <x:c r="E140" s="9" t="n">
        <x:f>Model_Data!AC140</x:f>
        <x:v>369.09121200702185</x:v>
      </x:c>
      <x:c r="F140" s="10" t="n"/>
      <x:c r="G140" s="9" t="n">
        <x:f>Model_Data!A140</x:f>
        <x:v>9</x:v>
      </x:c>
      <x:c r="H140" s="9" t="n">
        <x:f>Model_Data!Y140</x:f>
        <x:v>481.22587957439987</x:v>
      </x:c>
      <x:c r="I140" s="9" t="n">
        <x:f>Model_Data!Y140</x:f>
        <x:v>481.22587957439987</x:v>
      </x:c>
      <x:c r="J140" s="9" t="n">
        <x:f>Model_Data!X140</x:f>
        <x:v>29.628149721243545</x:v>
      </x:c>
      <x:c r="K140" s="9" t="n">
        <x:f>Model_Data!A140</x:f>
        <x:v>9</x:v>
      </x:c>
      <x:c r="L140" s="9" t="n">
        <x:f>Model_Data!Y140</x:f>
        <x:v>481.22587957439987</x:v>
      </x:c>
      <x:c r="M140" s="9" t="n">
        <x:f>Model_Data!X140</x:f>
        <x:v>29.628149721243545</x:v>
      </x:c>
      <x:c r="N140" s="9" t="n">
        <x:f>-(Model_Data!AC140-Model_Data!F140)*Inputs!$C$12</x:f>
        <x:v>449.9272070597157</x:v>
      </x:c>
      <x:c r="O140" s="10" t="n"/>
      <x:c r="P140" s="9" t="n">
        <x:f>Model_Data!A140</x:f>
        <x:v>9</x:v>
      </x:c>
      <x:c r="Q140" s="9" t="n">
        <x:f>Model_Data!P140</x:f>
        <x:v>-77.0206608074659</x:v>
      </x:c>
      <x:c r="R140" s="9" t="n">
        <x:f>Model_Data!AM140</x:f>
        <x:v>-79.19680840677756</x:v>
      </x:c>
      <x:c r="S140" s="9" t="n">
        <x:f>Model_Data!Q140</x:f>
        <x:v>-11.564663784904791</x:v>
      </x:c>
      <x:c r="T140" s="9" t="n">
        <x:f>Model_Data!AN140</x:f>
        <x:v>-11.891412673690326</x:v>
      </x:c>
      <x:c r="U140" s="10" t="n"/>
      <x:c r="V140" s="9" t="n">
        <x:f>Model_Data!A140</x:f>
        <x:v>9</x:v>
      </x:c>
      <x:c r="W140" s="9" t="n">
        <x:f>Model_Data!B140-Inputs!$C$5</x:f>
        <x:v>0.08999999999997499</x:v>
      </x:c>
      <x:c r="X140" s="10" t="n"/>
      <x:c r="Y140" s="9" t="n">
        <x:f>Model_Data!A140</x:f>
        <x:v>9</x:v>
      </x:c>
      <x:c r="Z140" s="9" t="n">
        <x:f>0</x:f>
        <x:v>0</x:v>
      </x:c>
      <x:c r="AA140" s="9" t="n">
        <x:f>((SQRT((Inputs!$C$52+Inputs!$C$5)^2+Inputs!$C$52^2-2*(Inputs!$C$52+Inputs!$C$5)*Inputs!$C$52*COS(SQRT((Model_Data!A140)^2+Inputs!$C$6^2)/Inputs!$C$52))-Inputs!$C$5)*1000/Inputs!$C$12)</x:f>
        <x:v>621.9703292280814</x:v>
      </x:c>
      <x:c r="AB140" s="9" t="n">
        <x:f>Model_Data!F140</x:f>
        <x:v>621.8593058607947</x:v>
      </x:c>
    </x:row>
    <x:row r="141">
      <x:c r="A141" s="9" t="n">
        <x:f>Model_Data!A141</x:f>
        <x:v>9.5</x:v>
      </x:c>
      <x:c r="B141" s="9" t="n">
        <x:f>0</x:f>
        <x:v>0</x:v>
      </x:c>
      <x:c r="C141" s="9" t="n">
        <x:f>((SQRT((Inputs!$C$52+Inputs!$C$5)^2+Inputs!$C$52^2-2*(Inputs!$C$52+Inputs!$C$5)*Inputs!$C$52*COS(SQRT((Model_Data!A141)^2+Inputs!$C$6^2)/Inputs!$C$52))-Inputs!$C$5)*1000/Inputs!$C$12)</x:f>
        <x:v>630.1077816669101</x:v>
      </x:c>
      <x:c r="D141" s="9" t="n">
        <x:f>Model_Data!F141</x:f>
        <x:v>629.9824695825495</x:v>
      </x:c>
      <x:c r="E141" s="9" t="n">
        <x:f>Model_Data!AC141</x:f>
        <x:v>365.40518550838584</x:v>
      </x:c>
      <x:c r="F141" s="10" t="n"/>
      <x:c r="G141" s="9" t="n">
        <x:f>Model_Data!A141</x:f>
        <x:v>9.5</x:v>
      </x:c>
      <x:c r="H141" s="9" t="n">
        <x:f>Model_Data!Y141</x:f>
        <x:v>478.27937371872196</x:v>
      </x:c>
      <x:c r="I141" s="9" t="n">
        <x:f>Model_Data!Y141</x:f>
        <x:v>478.27937371872196</x:v>
      </x:c>
      <x:c r="J141" s="9" t="n">
        <x:f>Model_Data!X141</x:f>
        <x:v>5.649927018638348</x:v>
      </x:c>
      <x:c r="K141" s="9" t="n">
        <x:f>Model_Data!A141</x:f>
        <x:v>9.5</x:v>
      </x:c>
      <x:c r="L141" s="9" t="n">
        <x:f>Model_Data!Y141</x:f>
        <x:v>478.27937371872196</x:v>
      </x:c>
      <x:c r="M141" s="9" t="n">
        <x:f>Model_Data!X141</x:f>
        <x:v>5.649927018638348</x:v>
      </x:c>
      <x:c r="N141" s="9" t="n">
        <x:f>-(Model_Data!AC141-Model_Data!F141)*Inputs!$C$12</x:f>
        <x:v>470.9475656520113</x:v>
      </x:c>
      <x:c r="O141" s="10" t="n"/>
      <x:c r="P141" s="9" t="n">
        <x:f>Model_Data!A141</x:f>
        <x:v>9.5</x:v>
      </x:c>
      <x:c r="Q141" s="9" t="n">
        <x:f>Model_Data!P141</x:f>
        <x:v>-81.2959080145447</x:v>
      </x:c>
      <x:c r="R141" s="9" t="n">
        <x:f>Model_Data!AM141</x:f>
        <x:v>-124.45092927709993</x:v>
      </x:c>
      <x:c r="S141" s="9" t="n">
        <x:f>Model_Data!Q141</x:f>
        <x:v>-12.206592794976682</x:v>
      </x:c>
      <x:c r="T141" s="9" t="n">
        <x:f>Model_Data!AN141</x:f>
        <x:v>-18.686325717282273</x:v>
      </x:c>
      <x:c r="U141" s="10" t="n"/>
      <x:c r="V141" s="9" t="n">
        <x:f>Model_Data!A141</x:f>
        <x:v>9.5</x:v>
      </x:c>
      <x:c r="W141" s="9" t="n">
        <x:f>Model_Data!B141-Inputs!$C$5</x:f>
        <x:v>0.10027777777776237</x:v>
      </x:c>
      <x:c r="X141" s="10" t="n"/>
      <x:c r="Y141" s="9" t="n">
        <x:f>Model_Data!A141</x:f>
        <x:v>9.5</x:v>
      </x:c>
      <x:c r="Z141" s="9" t="n">
        <x:f>0</x:f>
        <x:v>0</x:v>
      </x:c>
      <x:c r="AA141" s="9" t="n">
        <x:f>((SQRT((Inputs!$C$52+Inputs!$C$5)^2+Inputs!$C$52^2-2*(Inputs!$C$52+Inputs!$C$5)*Inputs!$C$52*COS(SQRT((Model_Data!A141)^2+Inputs!$C$6^2)/Inputs!$C$52))-Inputs!$C$5)*1000/Inputs!$C$12)</x:f>
        <x:v>630.1077816669101</x:v>
      </x:c>
      <x:c r="AB141" s="9" t="n">
        <x:f>Model_Data!F141</x:f>
        <x:v>629.9824695825495</x:v>
      </x:c>
    </x:row>
    <x:row r="142">
      <x:c r="A142" s="9" t="n">
        <x:f>Model_Data!A142</x:f>
        <x:v>10</x:v>
      </x:c>
      <x:c r="B142" s="9" t="n">
        <x:f>0</x:f>
        <x:v>0</x:v>
      </x:c>
      <x:c r="C142" s="9" t="n">
        <x:f>((SQRT((Inputs!$C$52+Inputs!$C$5)^2+Inputs!$C$52^2-2*(Inputs!$C$52+Inputs!$C$5)*Inputs!$C$52*COS(SQRT((Model_Data!A142)^2+Inputs!$C$6^2)/Inputs!$C$52))-Inputs!$C$5)*1000/Inputs!$C$12)</x:f>
        <x:v>638.6847727352039</x:v>
      </x:c>
      <x:c r="D142" s="9" t="n">
        <x:f>Model_Data!F142</x:f>
        <x:v>638.5440426012327</x:v>
      </x:c>
      <x:c r="E142" s="9" t="n">
        <x:f>Model_Data!AC142</x:f>
        <x:v>379.4693740000762</x:v>
      </x:c>
      <x:c r="F142" s="10" t="n"/>
      <x:c r="G142" s="9" t="n">
        <x:f>Model_Data!A142</x:f>
        <x:v>10</x:v>
      </x:c>
      <x:c r="H142" s="9" t="n">
        <x:f>Model_Data!Y142</x:f>
        <x:v>454.2022007690729</x:v>
      </x:c>
      <x:c r="I142" s="9" t="n">
        <x:f>Model_Data!Y142</x:f>
        <x:v>454.2022007690729</x:v>
      </x:c>
      <x:c r="J142" s="9" t="n">
        <x:f>Model_Data!X142</x:f>
        <x:v>-8.569441618173819</x:v>
      </x:c>
      <x:c r="K142" s="9" t="n">
        <x:f>Model_Data!A142</x:f>
        <x:v>10</x:v>
      </x:c>
      <x:c r="L142" s="9" t="n">
        <x:f>Model_Data!Y142</x:f>
        <x:v>454.2022007690729</x:v>
      </x:c>
      <x:c r="M142" s="9" t="n">
        <x:f>Model_Data!X142</x:f>
        <x:v>-8.569441618173819</x:v>
      </x:c>
      <x:c r="N142" s="9" t="n">
        <x:f>-(Model_Data!AC142-Model_Data!F142)*Inputs!$C$12</x:f>
        <x:v>461.15291011005866</x:v>
      </x:c>
      <x:c r="O142" s="10" t="n"/>
      <x:c r="P142" s="9" t="n">
        <x:f>Model_Data!A142</x:f>
        <x:v>10</x:v>
      </x:c>
      <x:c r="Q142" s="9" t="n">
        <x:f>Model_Data!P142</x:f>
        <x:v>-85.5705594970459</x:v>
      </x:c>
      <x:c r="R142" s="9" t="n">
        <x:f>Model_Data!AM142</x:f>
        <x:v>-149.95775995867007</x:v>
      </x:c>
      <x:c r="S142" s="9" t="n">
        <x:f>Model_Data!Q142</x:f>
        <x:v>-12.8484323569138</x:v>
      </x:c>
      <x:c r="T142" s="9" t="n">
        <x:f>Model_Data!AN142</x:f>
        <x:v>-22.516180173974487</x:v>
      </x:c>
      <x:c r="U142" s="10" t="n"/>
      <x:c r="V142" s="9" t="n">
        <x:f>Model_Data!A142</x:f>
        <x:v>10</x:v>
      </x:c>
      <x:c r="W142" s="9" t="n">
        <x:f>Model_Data!B142-Inputs!$C$5</x:f>
        <x:v>0.11111111111108585</x:v>
      </x:c>
      <x:c r="X142" s="10" t="n"/>
      <x:c r="Y142" s="9" t="n">
        <x:f>Model_Data!A142</x:f>
        <x:v>10</x:v>
      </x:c>
      <x:c r="Z142" s="9" t="n">
        <x:f>0</x:f>
        <x:v>0</x:v>
      </x:c>
      <x:c r="AA142" s="9" t="n">
        <x:f>((SQRT((Inputs!$C$52+Inputs!$C$5)^2+Inputs!$C$52^2-2*(Inputs!$C$52+Inputs!$C$5)*Inputs!$C$52*COS(SQRT((Model_Data!A142)^2+Inputs!$C$6^2)/Inputs!$C$52))-Inputs!$C$5)*1000/Inputs!$C$12)</x:f>
        <x:v>638.6847727352039</x:v>
      </x:c>
      <x:c r="AB142" s="9" t="n">
        <x:f>Model_Data!F142</x:f>
        <x:v>638.5440426012327</x:v>
      </x:c>
    </x:row>
    <x:row r="143">
      <x:c r="A143" s="9" t="n">
        <x:f>Model_Data!A143</x:f>
        <x:v>10.5</x:v>
      </x:c>
      <x:c r="B143" s="9" t="n">
        <x:f>0</x:f>
        <x:v>0</x:v>
      </x:c>
      <x:c r="C143" s="9" t="n">
        <x:f>((SQRT((Inputs!$C$52+Inputs!$C$5)^2+Inputs!$C$52^2-2*(Inputs!$C$52+Inputs!$C$5)*Inputs!$C$52*COS(SQRT((Model_Data!A143)^2+Inputs!$C$6^2)/Inputs!$C$52))-Inputs!$C$5)*1000/Inputs!$C$12)</x:f>
        <x:v>647.7012513701045</x:v>
      </x:c>
      <x:c r="D143" s="9" t="n">
        <x:f>Model_Data!F143</x:f>
        <x:v>647.5439175957033</x:v>
      </x:c>
      <x:c r="E143" s="9" t="n">
        <x:f>Model_Data!AC143</x:f>
        <x:v>405.1735794078741</x:v>
      </x:c>
      <x:c r="F143" s="10" t="n"/>
      <x:c r="G143" s="9" t="n">
        <x:f>Model_Data!A143</x:f>
        <x:v>10.5</x:v>
      </x:c>
      <x:c r="H143" s="9" t="n">
        <x:f>Model_Data!Y143</x:f>
        <x:v>437.9381023255588</x:v>
      </x:c>
      <x:c r="I143" s="9" t="n">
        <x:f>Model_Data!Y143</x:f>
        <x:v>437.9381023255588</x:v>
      </x:c>
      <x:c r="J143" s="9" t="n">
        <x:f>Model_Data!X143</x:f>
        <x:v>4.936290407774814</x:v>
      </x:c>
      <x:c r="K143" s="9" t="n">
        <x:f>Model_Data!A143</x:f>
        <x:v>10.5</x:v>
      </x:c>
      <x:c r="L143" s="9" t="n">
        <x:f>Model_Data!Y143</x:f>
        <x:v>437.9381023255588</x:v>
      </x:c>
      <x:c r="M143" s="9" t="n">
        <x:f>Model_Data!X143</x:f>
        <x:v>4.936290407774814</x:v>
      </x:c>
      <x:c r="N143" s="9" t="n">
        <x:f>-(Model_Data!AC143-Model_Data!F143)*Inputs!$C$12</x:f>
        <x:v>431.419201974336</x:v>
      </x:c>
      <x:c r="O143" s="10" t="n"/>
      <x:c r="P143" s="9" t="n">
        <x:f>Model_Data!A143</x:f>
        <x:v>10.5</x:v>
      </x:c>
      <x:c r="Q143" s="9" t="n">
        <x:f>Model_Data!P143</x:f>
        <x:v>-89.8445841135981</x:v>
      </x:c>
      <x:c r="R143" s="9" t="n">
        <x:f>Model_Data!AM143</x:f>
        <x:v>-104.68639668342803</x:v>
      </x:c>
      <x:c r="S143" s="9" t="n">
        <x:f>Model_Data!Q143</x:f>
        <x:v>-13.490177794834551</x:v>
      </x:c>
      <x:c r="T143" s="9" t="n">
        <x:f>Model_Data!AN143</x:f>
        <x:v>-15.718678180694901</x:v>
      </x:c>
      <x:c r="U143" s="10" t="n"/>
      <x:c r="V143" s="9" t="n">
        <x:f>Model_Data!A143</x:f>
        <x:v>10.5</x:v>
      </x:c>
      <x:c r="W143" s="9" t="n">
        <x:f>Model_Data!B143-Inputs!$C$5</x:f>
        <x:v>0.12250000000000227</x:v>
      </x:c>
      <x:c r="X143" s="10" t="n"/>
      <x:c r="Y143" s="9" t="n">
        <x:f>Model_Data!A143</x:f>
        <x:v>10.5</x:v>
      </x:c>
      <x:c r="Z143" s="9" t="n">
        <x:f>0</x:f>
        <x:v>0</x:v>
      </x:c>
      <x:c r="AA143" s="9" t="n">
        <x:f>((SQRT((Inputs!$C$52+Inputs!$C$5)^2+Inputs!$C$52^2-2*(Inputs!$C$52+Inputs!$C$5)*Inputs!$C$52*COS(SQRT((Model_Data!A143)^2+Inputs!$C$6^2)/Inputs!$C$52))-Inputs!$C$5)*1000/Inputs!$C$12)</x:f>
        <x:v>647.7012513701045</x:v>
      </x:c>
      <x:c r="AB143" s="9" t="n">
        <x:f>Model_Data!F143</x:f>
        <x:v>647.5439175957033</x:v>
      </x:c>
    </x:row>
    <x:row r="144">
      <x:c r="A144" s="9" t="n">
        <x:f>Model_Data!A144</x:f>
        <x:v>11</x:v>
      </x:c>
      <x:c r="B144" s="9" t="n">
        <x:f>0</x:f>
        <x:v>0</x:v>
      </x:c>
      <x:c r="C144" s="9" t="n">
        <x:f>((SQRT((Inputs!$C$52+Inputs!$C$5)^2+Inputs!$C$52^2-2*(Inputs!$C$52+Inputs!$C$5)*Inputs!$C$52*COS(SQRT((Model_Data!A144)^2+Inputs!$C$6^2)/Inputs!$C$52))-Inputs!$C$5)*1000/Inputs!$C$12)</x:f>
        <x:v>657.1571638987466</x:v>
      </x:c>
      <x:c r="D144" s="9" t="n">
        <x:f>Model_Data!F144</x:f>
        <x:v>656.9819817796764</x:v>
      </x:c>
      <x:c r="E144" s="9" t="n">
        <x:f>Model_Data!AC144</x:f>
        <x:v>409.0230111070318</x:v>
      </x:c>
      <x:c r="F144" s="10" t="n"/>
      <x:c r="G144" s="9" t="n">
        <x:f>Model_Data!A144</x:f>
        <x:v>11</x:v>
      </x:c>
      <x:c r="H144" s="9" t="n">
        <x:f>Model_Data!Y144</x:f>
        <x:v>444.9386077034983</x:v>
      </x:c>
      <x:c r="I144" s="9" t="n">
        <x:f>Model_Data!Y144</x:f>
        <x:v>444.9386077034983</x:v>
      </x:c>
      <x:c r="J144" s="9" t="n">
        <x:f>Model_Data!X144</x:f>
        <x:v>1.9403678384373038</x:v>
      </x:c>
      <x:c r="K144" s="9" t="n">
        <x:f>Model_Data!A144</x:f>
        <x:v>11</x:v>
      </x:c>
      <x:c r="L144" s="9" t="n">
        <x:f>Model_Data!Y144</x:f>
        <x:v>444.9386077034983</x:v>
      </x:c>
      <x:c r="M144" s="9" t="n">
        <x:f>Model_Data!X144</x:f>
        <x:v>1.9403678384373038</x:v>
      </x:c>
      <x:c r="N144" s="9" t="n">
        <x:f>-(Model_Data!AC144-Model_Data!F144)*Inputs!$C$12</x:f>
        <x:v>441.36696779730744</x:v>
      </x:c>
      <x:c r="O144" s="10" t="n"/>
      <x:c r="P144" s="9" t="n">
        <x:f>Model_Data!A144</x:f>
        <x:v>11</x:v>
      </x:c>
      <x:c r="Q144" s="9" t="n">
        <x:f>Model_Data!P144</x:f>
        <x:v>-94.1179507391098</x:v>
      </x:c>
      <x:c r="R144" s="9" t="n">
        <x:f>Model_Data!AM144</x:f>
        <x:v>-99.76180605999616</x:v>
      </x:c>
      <x:c r="S144" s="9" t="n">
        <x:f>Model_Data!Q144</x:f>
        <x:v>-14.131824435301773</x:v>
      </x:c>
      <x:c r="T144" s="9" t="n">
        <x:f>Model_Data!AN144</x:f>
        <x:v>-14.979250159158584</x:v>
      </x:c>
      <x:c r="U144" s="10" t="n"/>
      <x:c r="V144" s="9" t="n">
        <x:f>Model_Data!A144</x:f>
        <x:v>11</x:v>
      </x:c>
      <x:c r="W144" s="9" t="n">
        <x:f>Model_Data!B144-Inputs!$C$5</x:f>
        <x:v>0.1344444444444548</x:v>
      </x:c>
      <x:c r="X144" s="10" t="n"/>
      <x:c r="Y144" s="9" t="n">
        <x:f>Model_Data!A144</x:f>
        <x:v>11</x:v>
      </x:c>
      <x:c r="Z144" s="9" t="n">
        <x:f>0</x:f>
        <x:v>0</x:v>
      </x:c>
      <x:c r="AA144" s="9" t="n">
        <x:f>((SQRT((Inputs!$C$52+Inputs!$C$5)^2+Inputs!$C$52^2-2*(Inputs!$C$52+Inputs!$C$5)*Inputs!$C$52*COS(SQRT((Model_Data!A144)^2+Inputs!$C$6^2)/Inputs!$C$52))-Inputs!$C$5)*1000/Inputs!$C$12)</x:f>
        <x:v>657.1571638987466</x:v>
      </x:c>
      <x:c r="AB144" s="9" t="n">
        <x:f>Model_Data!F144</x:f>
        <x:v>656.9819817796764</x:v>
      </x:c>
    </x:row>
    <x:row r="145">
      <x:c r="A145" s="9" t="n">
        <x:f>Model_Data!A145</x:f>
        <x:v>11.5</x:v>
      </x:c>
      <x:c r="B145" s="9" t="n">
        <x:f>0</x:f>
        <x:v>0</x:v>
      </x:c>
      <x:c r="C145" s="9" t="n">
        <x:f>((SQRT((Inputs!$C$52+Inputs!$C$5)^2+Inputs!$C$52^2-2*(Inputs!$C$52+Inputs!$C$5)*Inputs!$C$52*COS(SQRT((Model_Data!A145)^2+Inputs!$C$6^2)/Inputs!$C$52))-Inputs!$C$5)*1000/Inputs!$C$12)</x:f>
        <x:v>667.052454042441</x:v>
      </x:c>
      <x:c r="D145" s="9" t="n">
        <x:f>Model_Data!F145</x:f>
        <x:v>666.8581169032889</x:v>
      </x:c>
      <x:c r="E145" s="9" t="n">
        <x:f>Model_Data!AC145</x:f>
        <x:v>425.9686460478199</x:v>
      </x:c>
      <x:c r="F145" s="10" t="n"/>
      <x:c r="G145" s="9" t="n">
        <x:f>Model_Data!A145</x:f>
        <x:v>11.5</x:v>
      </x:c>
      <x:c r="H145" s="9" t="n">
        <x:f>Model_Data!Y145</x:f>
        <x:v>434.44467895572086</x:v>
      </x:c>
      <x:c r="I145" s="9" t="n">
        <x:f>Model_Data!Y145</x:f>
        <x:v>434.44467895572086</x:v>
      </x:c>
      <x:c r="J145" s="9" t="n">
        <x:f>Model_Data!X145</x:f>
        <x:v>4.044824683821267</x:v>
      </x:c>
      <x:c r="K145" s="9" t="n">
        <x:f>Model_Data!A145</x:f>
        <x:v>11.5</x:v>
      </x:c>
      <x:c r="L145" s="9" t="n">
        <x:f>Model_Data!Y145</x:f>
        <x:v>434.44467895572086</x:v>
      </x:c>
      <x:c r="M145" s="9" t="n">
        <x:f>Model_Data!X145</x:f>
        <x:v>4.044824683821267</x:v>
      </x:c>
      <x:c r="N145" s="9" t="n">
        <x:f>-(Model_Data!AC145-Model_Data!F145)*Inputs!$C$12</x:f>
        <x:v>428.78325812273476</x:v>
      </x:c>
      <x:c r="O145" s="10" t="n"/>
      <x:c r="P145" s="9" t="n">
        <x:f>Model_Data!A145</x:f>
        <x:v>11.5</x:v>
      </x:c>
      <x:c r="Q145" s="9" t="n">
        <x:f>Model_Data!P145</x:f>
        <x:v>-98.39062828850729</x:v>
      </x:c>
      <x:c r="R145" s="9" t="n">
        <x:f>Model_Data!AM145</x:f>
        <x:v>-133.6965623294418</x:v>
      </x:c>
      <x:c r="S145" s="9" t="n">
        <x:f>Model_Data!Q145</x:f>
        <x:v>-14.77336761088698</x:v>
      </x:c>
      <x:c r="T145" s="9" t="n">
        <x:f>Model_Data!AN145</x:f>
        <x:v>-20.074558908324597</x:v>
      </x:c>
      <x:c r="U145" s="10" t="n"/>
      <x:c r="V145" s="9" t="n">
        <x:f>Model_Data!A145</x:f>
        <x:v>11.5</x:v>
      </x:c>
      <x:c r="W145" s="9" t="n">
        <x:f>Model_Data!B145-Inputs!$C$5</x:f>
        <x:v>0.14694444444444343</x:v>
      </x:c>
      <x:c r="X145" s="10" t="n"/>
      <x:c r="Y145" s="9" t="n">
        <x:f>Model_Data!A145</x:f>
        <x:v>11.5</x:v>
      </x:c>
      <x:c r="Z145" s="9" t="n">
        <x:f>0</x:f>
        <x:v>0</x:v>
      </x:c>
      <x:c r="AA145" s="9" t="n">
        <x:f>((SQRT((Inputs!$C$52+Inputs!$C$5)^2+Inputs!$C$52^2-2*(Inputs!$C$52+Inputs!$C$5)*Inputs!$C$52*COS(SQRT((Model_Data!A145)^2+Inputs!$C$6^2)/Inputs!$C$52))-Inputs!$C$5)*1000/Inputs!$C$12)</x:f>
        <x:v>667.052454042441</x:v>
      </x:c>
      <x:c r="AB145" s="9" t="n">
        <x:f>Model_Data!F145</x:f>
        <x:v>666.8581169032889</x:v>
      </x:c>
    </x:row>
    <x:row r="146">
      <x:c r="A146" s="9" t="n">
        <x:f>Model_Data!A146</x:f>
        <x:v>12</x:v>
      </x:c>
      <x:c r="B146" s="9" t="n">
        <x:f>0</x:f>
        <x:v>0</x:v>
      </x:c>
      <x:c r="C146" s="9" t="n">
        <x:f>((SQRT((Inputs!$C$52+Inputs!$C$5)^2+Inputs!$C$52^2-2*(Inputs!$C$52+Inputs!$C$5)*Inputs!$C$52*COS(SQRT((Model_Data!A146)^2+Inputs!$C$6^2)/Inputs!$C$52))-Inputs!$C$5)*1000/Inputs!$C$12)</x:f>
        <x:v>677.387062917697</x:v>
      </x:c>
      <x:c r="D146" s="9" t="n">
        <x:f>Model_Data!F146</x:f>
        <x:v>677.1721992654893</x:v>
      </x:c>
      <x:c r="E146" s="9" t="n">
        <x:f>Model_Data!AC146</x:f>
        <x:v>444.4939773250507</x:v>
      </x:c>
      <x:c r="F146" s="10" t="n"/>
      <x:c r="G146" s="9" t="n">
        <x:f>Model_Data!A146</x:f>
        <x:v>12</x:v>
      </x:c>
      <x:c r="H146" s="9" t="n">
        <x:f>Model_Data!Y146</x:f>
        <x:v>422.8387186345762</x:v>
      </x:c>
      <x:c r="I146" s="9" t="n">
        <x:f>Model_Data!Y146</x:f>
        <x:v>422.8387186345762</x:v>
      </x:c>
      <x:c r="J146" s="9" t="n">
        <x:f>Model_Data!X146</x:f>
        <x:v>7.0738918061296845</x:v>
      </x:c>
      <x:c r="K146" s="9" t="n">
        <x:f>Model_Data!A146</x:f>
        <x:v>12</x:v>
      </x:c>
      <x:c r="L146" s="9" t="n">
        <x:f>Model_Data!Y146</x:f>
        <x:v>422.8387186345762</x:v>
      </x:c>
      <x:c r="M146" s="9" t="n">
        <x:f>Model_Data!X146</x:f>
        <x:v>7.0738918061296845</x:v>
      </x:c>
      <x:c r="N146" s="9" t="n">
        <x:f>-(Model_Data!AC146-Model_Data!F146)*Inputs!$C$12</x:f>
        <x:v>414.16723505398073</x:v>
      </x:c>
      <x:c r="O146" s="10" t="n"/>
      <x:c r="P146" s="9" t="n">
        <x:f>Model_Data!A146</x:f>
        <x:v>12</x:v>
      </x:c>
      <x:c r="Q146" s="9" t="n">
        <x:f>Model_Data!P146</x:f>
        <x:v>-102.66258570945865</x:v>
      </x:c>
      <x:c r="R146" s="9" t="n">
        <x:f>Model_Data!AM146</x:f>
        <x:v>-103.25466974927622</x:v>
      </x:c>
      <x:c r="S146" s="9" t="n">
        <x:f>Model_Data!Q146</x:f>
        <x:v>-15.414802659077877</x:v>
      </x:c>
      <x:c r="T146" s="9" t="n">
        <x:f>Model_Data!AN146</x:f>
        <x:v>-15.503704166557991</x:v>
      </x:c>
      <x:c r="U146" s="10" t="n"/>
      <x:c r="V146" s="9" t="n">
        <x:f>Model_Data!A146</x:f>
        <x:v>12</x:v>
      </x:c>
      <x:c r="W146" s="9" t="n">
        <x:f>Model_Data!B146-Inputs!$C$5</x:f>
        <x:v>0.160000000000025</x:v>
      </x:c>
      <x:c r="X146" s="10" t="n"/>
      <x:c r="Y146" s="9" t="n">
        <x:f>Model_Data!A146</x:f>
        <x:v>12</x:v>
      </x:c>
      <x:c r="Z146" s="9" t="n">
        <x:f>0</x:f>
        <x:v>0</x:v>
      </x:c>
      <x:c r="AA146" s="9" t="n">
        <x:f>((SQRT((Inputs!$C$52+Inputs!$C$5)^2+Inputs!$C$52^2-2*(Inputs!$C$52+Inputs!$C$5)*Inputs!$C$52*COS(SQRT((Model_Data!A146)^2+Inputs!$C$6^2)/Inputs!$C$52))-Inputs!$C$5)*1000/Inputs!$C$12)</x:f>
        <x:v>677.387062917697</x:v>
      </x:c>
      <x:c r="AB146" s="9" t="n">
        <x:f>Model_Data!F146</x:f>
        <x:v>677.1721992654893</x:v>
      </x:c>
    </x:row>
    <x:row r="147">
      <x:c r="A147" s="9" t="n">
        <x:f>Model_Data!A147</x:f>
        <x:v>12.5</x:v>
      </x:c>
      <x:c r="B147" s="9" t="n">
        <x:f>0</x:f>
        <x:v>0</x:v>
      </x:c>
      <x:c r="C147" s="9" t="n">
        <x:f>((SQRT((Inputs!$C$52+Inputs!$C$5)^2+Inputs!$C$52^2-2*(Inputs!$C$52+Inputs!$C$5)*Inputs!$C$52*COS(SQRT((Model_Data!A147)^2+Inputs!$C$6^2)/Inputs!$C$52))-Inputs!$C$5)*1000/Inputs!$C$12)</x:f>
        <x:v>688.1609290384572</x:v>
      </x:c>
      <x:c r="D147" s="9" t="n">
        <x:f>Model_Data!F147</x:f>
        <x:v>687.9240997132716</x:v>
      </x:c>
      <x:c r="E147" s="9" t="n">
        <x:f>Model_Data!AC147</x:f>
        <x:v>441.77495114183785</x:v>
      </x:c>
      <x:c r="F147" s="10" t="n"/>
      <x:c r="G147" s="9" t="n">
        <x:f>Model_Data!A147</x:f>
        <x:v>12.5</x:v>
      </x:c>
      <x:c r="H147" s="9" t="n">
        <x:f>Model_Data!Y147</x:f>
        <x:v>434.12423495839124</x:v>
      </x:c>
      <x:c r="I147" s="9" t="n">
        <x:f>Model_Data!Y147</x:f>
        <x:v>434.12423495839124</x:v>
      </x:c>
      <x:c r="J147" s="9" t="n">
        <x:f>Model_Data!X147</x:f>
        <x:v>-5.687454175445142</x:v>
      </x:c>
      <x:c r="K147" s="9" t="n">
        <x:f>Model_Data!A147</x:f>
        <x:v>12.5</x:v>
      </x:c>
      <x:c r="L147" s="9" t="n">
        <x:f>Model_Data!Y147</x:f>
        <x:v>434.12423495839124</x:v>
      </x:c>
      <x:c r="M147" s="9" t="n">
        <x:f>Model_Data!X147</x:f>
        <x:v>-5.687454175445142</x:v>
      </x:c>
      <x:c r="N147" s="9" t="n">
        <x:f>-(Model_Data!AC147-Model_Data!F147)*Inputs!$C$12</x:f>
        <x:v>438.1454844571521</x:v>
      </x:c>
      <x:c r="O147" s="10" t="n"/>
      <x:c r="P147" s="9" t="n">
        <x:f>Model_Data!A147</x:f>
        <x:v>12.5</x:v>
      </x:c>
      <x:c r="Q147" s="9" t="n">
        <x:f>Model_Data!P147</x:f>
        <x:v>-106.9337919834652</x:v>
      </x:c>
      <x:c r="R147" s="9" t="n">
        <x:f>Model_Data!AM147</x:f>
        <x:v>-97.45932921296117</x:v>
      </x:c>
      <x:c r="S147" s="9" t="n">
        <x:f>Model_Data!Q147</x:f>
        <x:v>-16.056124922442223</x:v>
      </x:c>
      <x:c r="T147" s="9" t="n">
        <x:f>Model_Data!AN147</x:f>
        <x:v>-14.633532914859035</x:v>
      </x:c>
      <x:c r="U147" s="10" t="n"/>
      <x:c r="V147" s="9" t="n">
        <x:f>Model_Data!A147</x:f>
        <x:v>12.5</x:v>
      </x:c>
      <x:c r="W147" s="9" t="n">
        <x:f>Model_Data!B147-Inputs!$C$5</x:f>
        <x:v>0.17361111111108585</x:v>
      </x:c>
      <x:c r="X147" s="10" t="n"/>
      <x:c r="Y147" s="9" t="n">
        <x:f>Model_Data!A147</x:f>
        <x:v>12.5</x:v>
      </x:c>
      <x:c r="Z147" s="9" t="n">
        <x:f>0</x:f>
        <x:v>0</x:v>
      </x:c>
      <x:c r="AA147" s="9" t="n">
        <x:f>((SQRT((Inputs!$C$52+Inputs!$C$5)^2+Inputs!$C$52^2-2*(Inputs!$C$52+Inputs!$C$5)*Inputs!$C$52*COS(SQRT((Model_Data!A147)^2+Inputs!$C$6^2)/Inputs!$C$52))-Inputs!$C$5)*1000/Inputs!$C$12)</x:f>
        <x:v>688.1609290384572</x:v>
      </x:c>
      <x:c r="AB147" s="9" t="n">
        <x:f>Model_Data!F147</x:f>
        <x:v>687.9240997132716</x:v>
      </x:c>
    </x:row>
    <x:row r="148">
      <x:c r="A148" s="9" t="n">
        <x:f>Model_Data!A148</x:f>
        <x:v>13</x:v>
      </x:c>
      <x:c r="B148" s="9" t="n">
        <x:f>0</x:f>
        <x:v>0</x:v>
      </x:c>
      <x:c r="C148" s="9" t="n">
        <x:f>((SQRT((Inputs!$C$52+Inputs!$C$5)^2+Inputs!$C$52^2-2*(Inputs!$C$52+Inputs!$C$5)*Inputs!$C$52*COS(SQRT((Model_Data!A148)^2+Inputs!$C$6^2)/Inputs!$C$52))-Inputs!$C$5)*1000/Inputs!$C$12)</x:f>
        <x:v>699.3739883142141</x:v>
      </x:c>
      <x:c r="D148" s="9" t="n">
        <x:f>Model_Data!F148</x:f>
        <x:v>699.1136836541939</x:v>
      </x:c>
      <x:c r="E148" s="9" t="n">
        <x:f>Model_Data!AC148</x:f>
        <x:v>457.10179766639783</x:v>
      </x:c>
      <x:c r="F148" s="10" t="n"/>
      <x:c r="G148" s="9" t="n">
        <x:f>Model_Data!A148</x:f>
        <x:v>13</x:v>
      </x:c>
      <x:c r="H148" s="9" t="n">
        <x:f>Model_Data!Y148</x:f>
        <x:v>428.8351991704085</x:v>
      </x:c>
      <x:c r="I148" s="9" t="n">
        <x:f>Model_Data!Y148</x:f>
        <x:v>428.8351991704085</x:v>
      </x:c>
      <x:c r="J148" s="9" t="n">
        <x:f>Model_Data!X148</x:f>
        <x:v>-3.618490966575764</x:v>
      </x:c>
      <x:c r="K148" s="9" t="n">
        <x:f>Model_Data!A148</x:f>
        <x:v>13</x:v>
      </x:c>
      <x:c r="L148" s="9" t="n">
        <x:f>Model_Data!Y148</x:f>
        <x:v>428.8351991704085</x:v>
      </x:c>
      <x:c r="M148" s="9" t="n">
        <x:f>Model_Data!X148</x:f>
        <x:v>-3.618490966575764</x:v>
      </x:c>
      <x:c r="N148" s="9" t="n">
        <x:f>-(Model_Data!AC148-Model_Data!F148)*Inputs!$C$12</x:f>
        <x:v>430.781157058277</x:v>
      </x:c>
      <x:c r="O148" s="10" t="n"/>
      <x:c r="P148" s="9" t="n">
        <x:f>Model_Data!A148</x:f>
        <x:v>13</x:v>
      </x:c>
      <x:c r="Q148" s="9" t="n">
        <x:f>Model_Data!P148</x:f>
        <x:v>-111.20421613486542</x:v>
      </x:c>
      <x:c r="R148" s="9" t="n">
        <x:f>Model_Data!AM148</x:f>
        <x:v>-151.57657912886862</x:v>
      </x:c>
      <x:c r="S148" s="9" t="n">
        <x:f>Model_Data!Q148</x:f>
        <x:v>-16.697329749979794</x:v>
      </x:c>
      <x:c r="T148" s="9" t="n">
        <x:f>Model_Data!AN148</x:f>
        <x:v>-22.75924611544574</x:v>
      </x:c>
      <x:c r="U148" s="10" t="n"/>
      <x:c r="V148" s="9" t="n">
        <x:f>Model_Data!A148</x:f>
        <x:v>13</x:v>
      </x:c>
      <x:c r="W148" s="9" t="n">
        <x:f>Model_Data!B148-Inputs!$C$5</x:f>
        <x:v>0.18777777777779647</x:v>
      </x:c>
      <x:c r="X148" s="10" t="n"/>
      <x:c r="Y148" s="9" t="n">
        <x:f>Model_Data!A148</x:f>
        <x:v>13</x:v>
      </x:c>
      <x:c r="Z148" s="9" t="n">
        <x:f>0</x:f>
        <x:v>0</x:v>
      </x:c>
      <x:c r="AA148" s="9" t="n">
        <x:f>((SQRT((Inputs!$C$52+Inputs!$C$5)^2+Inputs!$C$52^2-2*(Inputs!$C$52+Inputs!$C$5)*Inputs!$C$52*COS(SQRT((Model_Data!A148)^2+Inputs!$C$6^2)/Inputs!$C$52))-Inputs!$C$5)*1000/Inputs!$C$12)</x:f>
        <x:v>699.3739883142141</x:v>
      </x:c>
      <x:c r="AB148" s="9" t="n">
        <x:f>Model_Data!F148</x:f>
        <x:v>699.1136836541939</x:v>
      </x:c>
    </x:row>
    <x:row r="149">
      <x:c r="A149" s="9" t="n">
        <x:f>Model_Data!A149</x:f>
        <x:v>13.5</x:v>
      </x:c>
      <x:c r="B149" s="9" t="n">
        <x:f>0</x:f>
        <x:v>0</x:v>
      </x:c>
      <x:c r="C149" s="9" t="n">
        <x:f>((SQRT((Inputs!$C$52+Inputs!$C$5)^2+Inputs!$C$52^2-2*(Inputs!$C$52+Inputs!$C$5)*Inputs!$C$52*COS(SQRT((Model_Data!A149)^2+Inputs!$C$6^2)/Inputs!$C$52))-Inputs!$C$5)*1000/Inputs!$C$12)</x:f>
        <x:v>711.0261740581527</x:v>
      </x:c>
      <x:c r="D149" s="9" t="n">
        <x:f>Model_Data!F149</x:f>
        <x:v>710.7408110589965</x:v>
      </x:c>
      <x:c r="E149" s="9" t="n">
        <x:f>Model_Data!AC149</x:f>
        <x:v>481.98825932573664</x:v>
      </x:c>
      <x:c r="F149" s="10" t="n"/>
      <x:c r="G149" s="9" t="n">
        <x:f>Model_Data!A149</x:f>
        <x:v>13.5</x:v>
      </x:c>
      <x:c r="H149" s="9" t="n">
        <x:f>Model_Data!Y149</x:f>
        <x:v>408.84619240872695</x:v>
      </x:c>
      <x:c r="I149" s="9" t="n">
        <x:f>Model_Data!Y149</x:f>
        <x:v>408.84619240872695</x:v>
      </x:c>
      <x:c r="J149" s="9" t="n">
        <x:f>Model_Data!X149</x:f>
        <x:v>0.04576132524433074</x:v>
      </x:c>
      <x:c r="K149" s="9" t="n">
        <x:f>Model_Data!A149</x:f>
        <x:v>13.5</x:v>
      </x:c>
      <x:c r="L149" s="9" t="n">
        <x:f>Model_Data!Y149</x:f>
        <x:v>408.84619240872695</x:v>
      </x:c>
      <x:c r="M149" s="9" t="n">
        <x:f>Model_Data!X149</x:f>
        <x:v>0.04576132524433074</x:v>
      </x:c>
      <x:c r="N149" s="9" t="n">
        <x:f>-(Model_Data!AC149-Model_Data!F149)*Inputs!$C$12</x:f>
        <x:v>407.1795420852026</x:v>
      </x:c>
      <x:c r="O149" s="10" t="n"/>
      <x:c r="P149" s="9" t="n">
        <x:f>Model_Data!A149</x:f>
        <x:v>13.5</x:v>
      </x:c>
      <x:c r="Q149" s="9" t="n">
        <x:f>Model_Data!P149</x:f>
        <x:v>-115.4738272234681</x:v>
      </x:c>
      <x:c r="R149" s="9" t="n">
        <x:f>Model_Data!AM149</x:f>
        <x:v>-141.51365191682999</x:v>
      </x:c>
      <x:c r="S149" s="9" t="n">
        <x:f>Model_Data!Q149</x:f>
        <x:v>-17.338412496016232</x:v>
      </x:c>
      <x:c r="T149" s="9" t="n">
        <x:f>Model_Data!AN149</x:f>
        <x:v>-21.248296083608107</x:v>
      </x:c>
      <x:c r="U149" s="10" t="n"/>
      <x:c r="V149" s="9" t="n">
        <x:f>Model_Data!A149</x:f>
        <x:v>13.5</x:v>
      </x:c>
      <x:c r="W149" s="9" t="n">
        <x:f>Model_Data!B149-Inputs!$C$5</x:f>
        <x:v>0.20249999999998636</x:v>
      </x:c>
      <x:c r="X149" s="10" t="n"/>
      <x:c r="Y149" s="9" t="n">
        <x:f>Model_Data!A149</x:f>
        <x:v>13.5</x:v>
      </x:c>
      <x:c r="Z149" s="9" t="n">
        <x:f>0</x:f>
        <x:v>0</x:v>
      </x:c>
      <x:c r="AA149" s="9" t="n">
        <x:f>((SQRT((Inputs!$C$52+Inputs!$C$5)^2+Inputs!$C$52^2-2*(Inputs!$C$52+Inputs!$C$5)*Inputs!$C$52*COS(SQRT((Model_Data!A149)^2+Inputs!$C$6^2)/Inputs!$C$52))-Inputs!$C$5)*1000/Inputs!$C$12)</x:f>
        <x:v>711.0261740581527</x:v>
      </x:c>
      <x:c r="AB149" s="9" t="n">
        <x:f>Model_Data!F149</x:f>
        <x:v>710.7408110589965</x:v>
      </x:c>
    </x:row>
    <x:row r="150">
      <x:c r="A150" s="9" t="n">
        <x:f>Model_Data!A150</x:f>
        <x:v>14</x:v>
      </x:c>
      <x:c r="B150" s="9" t="n">
        <x:f>0</x:f>
        <x:v>0</x:v>
      </x:c>
      <x:c r="C150" s="9" t="n">
        <x:f>((SQRT((Inputs!$C$52+Inputs!$C$5)^2+Inputs!$C$52^2-2*(Inputs!$C$52+Inputs!$C$5)*Inputs!$C$52*COS(SQRT((Model_Data!A150)^2+Inputs!$C$6^2)/Inputs!$C$52))-Inputs!$C$5)*1000/Inputs!$C$12)</x:f>
        <x:v>723.1174169847241</x:v>
      </x:c>
      <x:c r="D150" s="9" t="n">
        <x:f>Model_Data!F150</x:f>
        <x:v>722.8053364714383</x:v>
      </x:c>
      <x:c r="E150" s="9" t="n">
        <x:f>Model_Data!AC150</x:f>
        <x:v>501.6032485701963</x:v>
      </x:c>
      <x:c r="F150" s="10" t="n"/>
      <x:c r="G150" s="9" t="n">
        <x:f>Model_Data!A150</x:f>
        <x:v>14</x:v>
      </x:c>
      <x:c r="H150" s="9" t="n">
        <x:f>Model_Data!Y150</x:f>
        <x:v>412.55100068044544</x:v>
      </x:c>
      <x:c r="I150" s="9" t="n">
        <x:f>Model_Data!Y150</x:f>
        <x:v>412.55100068044544</x:v>
      </x:c>
      <x:c r="J150" s="9" t="n">
        <x:f>Model_Data!X150</x:f>
        <x:v>17.14805919414721</x:v>
      </x:c>
      <x:c r="K150" s="9" t="n">
        <x:f>Model_Data!A150</x:f>
        <x:v>14</x:v>
      </x:c>
      <x:c r="L150" s="9" t="n">
        <x:f>Model_Data!Y150</x:f>
        <x:v>412.55100068044544</x:v>
      </x:c>
      <x:c r="M150" s="9" t="n">
        <x:f>Model_Data!X150</x:f>
        <x:v>17.14805919414721</x:v>
      </x:c>
      <x:c r="N150" s="9" t="n">
        <x:f>-(Model_Data!AC150-Model_Data!F150)*Inputs!$C$12</x:f>
        <x:v>393.7397164642108</x:v>
      </x:c>
      <x:c r="O150" s="10" t="n"/>
      <x:c r="P150" s="9" t="n">
        <x:f>Model_Data!A150</x:f>
        <x:v>14</x:v>
      </x:c>
      <x:c r="Q150" s="9" t="n">
        <x:f>Model_Data!P150</x:f>
        <x:v>-119.7425943531016</x:v>
      </x:c>
      <x:c r="R150" s="9" t="n">
        <x:f>Model_Data!AM150</x:f>
        <x:v>-109.12181689409408</x:v>
      </x:c>
      <x:c r="S150" s="9" t="n">
        <x:f>Model_Data!Q150</x:f>
        <x:v>-17.979368521486727</x:v>
      </x:c>
      <x:c r="T150" s="9" t="n">
        <x:f>Model_Data!AN150</x:f>
        <x:v>-16.38465719130542</x:v>
      </x:c>
      <x:c r="U150" s="10" t="n"/>
      <x:c r="V150" s="9" t="n">
        <x:f>Model_Data!A150</x:f>
        <x:v>14</x:v>
      </x:c>
      <x:c r="W150" s="9" t="n">
        <x:f>Model_Data!B150-Inputs!$C$5</x:f>
        <x:v>0.2177777777777692</x:v>
      </x:c>
      <x:c r="X150" s="10" t="n"/>
      <x:c r="Y150" s="9" t="n">
        <x:f>Model_Data!A150</x:f>
        <x:v>14</x:v>
      </x:c>
      <x:c r="Z150" s="9" t="n">
        <x:f>0</x:f>
        <x:v>0</x:v>
      </x:c>
      <x:c r="AA150" s="9" t="n">
        <x:f>((SQRT((Inputs!$C$52+Inputs!$C$5)^2+Inputs!$C$52^2-2*(Inputs!$C$52+Inputs!$C$5)*Inputs!$C$52*COS(SQRT((Model_Data!A150)^2+Inputs!$C$6^2)/Inputs!$C$52))-Inputs!$C$5)*1000/Inputs!$C$12)</x:f>
        <x:v>723.1174169847241</x:v>
      </x:c>
      <x:c r="AB150" s="9" t="n">
        <x:f>Model_Data!F150</x:f>
        <x:v>722.8053364714383</x:v>
      </x:c>
    </x:row>
    <x:row r="151">
      <x:c r="A151" s="9" t="n">
        <x:f>Model_Data!A151</x:f>
        <x:v>14.5</x:v>
      </x:c>
      <x:c r="B151" s="9" t="n">
        <x:f>0</x:f>
        <x:v>0</x:v>
      </x:c>
      <x:c r="C151" s="9" t="n">
        <x:f>((SQRT((Inputs!$C$52+Inputs!$C$5)^2+Inputs!$C$52^2-2*(Inputs!$C$52+Inputs!$C$5)*Inputs!$C$52*COS(SQRT((Model_Data!A151)^2+Inputs!$C$6^2)/Inputs!$C$52))-Inputs!$C$5)*1000/Inputs!$C$12)</x:f>
        <x:v>735.6476452129021</x:v>
      </x:c>
      <x:c r="D151" s="9" t="n">
        <x:f>Model_Data!F151</x:f>
        <x:v>735.3071090138205</x:v>
      </x:c>
      <x:c r="E151" s="9" t="n">
        <x:f>Model_Data!AC151</x:f>
        <x:v>518.151007119691</x:v>
      </x:c>
      <x:c r="F151" s="10" t="n"/>
      <x:c r="G151" s="9" t="n">
        <x:f>Model_Data!A151</x:f>
        <x:v>14.5</x:v>
      </x:c>
      <x:c r="H151" s="9" t="n">
        <x:f>Model_Data!Y151</x:f>
        <x:v>415.5675277705944</x:v>
      </x:c>
      <x:c r="I151" s="9" t="n">
        <x:f>Model_Data!Y151</x:f>
        <x:v>415.5675277705944</x:v>
      </x:c>
      <x:c r="J151" s="9" t="n">
        <x:f>Model_Data!X151</x:f>
        <x:v>27.325427950737776</x:v>
      </x:c>
      <x:c r="K151" s="9" t="n">
        <x:f>Model_Data!A151</x:f>
        <x:v>14.5</x:v>
      </x:c>
      <x:c r="L151" s="9" t="n">
        <x:f>Model_Data!Y151</x:f>
        <x:v>415.5675277705944</x:v>
      </x:c>
      <x:c r="M151" s="9" t="n">
        <x:f>Model_Data!X151</x:f>
        <x:v>27.325427950737776</x:v>
      </x:c>
      <x:c r="N151" s="9" t="n">
        <x:f>-(Model_Data!AC151-Model_Data!F151)*Inputs!$C$12</x:f>
        <x:v>386.53786137155055</x:v>
      </x:c>
      <x:c r="O151" s="10" t="n"/>
      <x:c r="P151" s="9" t="n">
        <x:f>Model_Data!A151</x:f>
        <x:v>14.5</x:v>
      </x:c>
      <x:c r="Q151" s="9" t="n">
        <x:f>Model_Data!P151</x:f>
        <x:v>-124.0104866564252</x:v>
      </x:c>
      <x:c r="R151" s="9" t="n">
        <x:f>Model_Data!AM151</x:f>
        <x:v>-145.14355631799845</x:v>
      </x:c>
      <x:c r="S151" s="9" t="n">
        <x:f>Model_Data!Q151</x:f>
        <x:v>-18.62019319165544</x:v>
      </x:c>
      <x:c r="T151" s="9" t="n">
        <x:f>Model_Data!AN151</x:f>
        <x:v>-21.79332677447424</x:v>
      </x:c>
      <x:c r="U151" s="10" t="n"/>
      <x:c r="V151" s="9" t="n">
        <x:f>Model_Data!A151</x:f>
        <x:v>14.5</x:v>
      </x:c>
      <x:c r="W151" s="9" t="n">
        <x:f>Model_Data!B151-Inputs!$C$5</x:f>
        <x:v>0.23361111111108812</x:v>
      </x:c>
      <x:c r="X151" s="10" t="n"/>
      <x:c r="Y151" s="9" t="n">
        <x:f>Model_Data!A151</x:f>
        <x:v>14.5</x:v>
      </x:c>
      <x:c r="Z151" s="9" t="n">
        <x:f>0</x:f>
        <x:v>0</x:v>
      </x:c>
      <x:c r="AA151" s="9" t="n">
        <x:f>((SQRT((Inputs!$C$52+Inputs!$C$5)^2+Inputs!$C$52^2-2*(Inputs!$C$52+Inputs!$C$5)*Inputs!$C$52*COS(SQRT((Model_Data!A151)^2+Inputs!$C$6^2)/Inputs!$C$52))-Inputs!$C$5)*1000/Inputs!$C$12)</x:f>
        <x:v>735.6476452129021</x:v>
      </x:c>
      <x:c r="AB151" s="9" t="n">
        <x:f>Model_Data!F151</x:f>
        <x:v>735.3071090138205</x:v>
      </x:c>
    </x:row>
    <x:row r="152">
      <x:c r="A152" s="9" t="n">
        <x:f>Model_Data!A152</x:f>
        <x:v>15</x:v>
      </x:c>
      <x:c r="B152" s="9" t="n">
        <x:f>0</x:f>
        <x:v>0</x:v>
      </x:c>
      <x:c r="C152" s="9" t="n">
        <x:f>((SQRT((Inputs!$C$52+Inputs!$C$5)^2+Inputs!$C$52^2-2*(Inputs!$C$52+Inputs!$C$5)*Inputs!$C$52*COS(SQRT((Model_Data!A152)^2+Inputs!$C$6^2)/Inputs!$C$52))-Inputs!$C$5)*1000/Inputs!$C$12)</x:f>
        <x:v>748.6167842668547</x:v>
      </x:c>
      <x:c r="D152" s="9" t="n">
        <x:f>Model_Data!F152</x:f>
        <x:v>748.2459723916826</x:v>
      </x:c>
      <x:c r="E152" s="9" t="n">
        <x:f>Model_Data!AC152</x:f>
        <x:v>550.3152412227324</x:v>
      </x:c>
      <x:c r="F152" s="10" t="n"/>
      <x:c r="G152" s="9" t="n">
        <x:f>Model_Data!A152</x:f>
        <x:v>15</x:v>
      </x:c>
      <x:c r="H152" s="9" t="n">
        <x:f>Model_Data!Y152</x:f>
        <x:v>399.34593170493116</x:v>
      </x:c>
      <x:c r="I152" s="9" t="n">
        <x:f>Model_Data!Y152</x:f>
        <x:v>399.34593170493116</x:v>
      </x:c>
      <x:c r="J152" s="9" t="n">
        <x:f>Model_Data!X152</x:f>
        <x:v>45.362905639140564</x:v>
      </x:c>
      <x:c r="K152" s="9" t="n">
        <x:f>Model_Data!A152</x:f>
        <x:v>15</x:v>
      </x:c>
      <x:c r="L152" s="9" t="n">
        <x:f>Model_Data!Y152</x:f>
        <x:v>399.34593170493116</x:v>
      </x:c>
      <x:c r="M152" s="9" t="n">
        <x:f>Model_Data!X152</x:f>
        <x:v>45.362905639140564</x:v>
      </x:c>
      <x:c r="N152" s="9" t="n">
        <x:f>-(Model_Data!AC152-Model_Data!F152)*Inputs!$C$12</x:f>
        <x:v>352.3167014807313</x:v>
      </x:c>
      <x:c r="O152" s="10" t="n"/>
      <x:c r="P152" s="9" t="n">
        <x:f>Model_Data!A152</x:f>
        <x:v>15</x:v>
      </x:c>
      <x:c r="Q152" s="9" t="n">
        <x:f>Model_Data!P152</x:f>
        <x:v>-128.2774733243059</x:v>
      </x:c>
      <x:c r="R152" s="9" t="n">
        <x:f>Model_Data!AM152</x:f>
        <x:v>-160.1607348960897</x:v>
      </x:c>
      <x:c r="S152" s="9" t="n">
        <x:f>Model_Data!Q152</x:f>
        <x:v>-19.260881880526412</x:v>
      </x:c>
      <x:c r="T152" s="9" t="n">
        <x:f>Model_Data!AN152</x:f>
        <x:v>-24.048158392806265</x:v>
      </x:c>
      <x:c r="U152" s="10" t="n"/>
      <x:c r="V152" s="9" t="n">
        <x:f>Model_Data!A152</x:f>
        <x:v>15</x:v>
      </x:c>
      <x:c r="W152" s="9" t="n">
        <x:f>Model_Data!B152-Inputs!$C$5</x:f>
        <x:v>0.25</x:v>
      </x:c>
      <x:c r="X152" s="10" t="n"/>
      <x:c r="Y152" s="9" t="n">
        <x:f>Model_Data!A152</x:f>
        <x:v>15</x:v>
      </x:c>
      <x:c r="Z152" s="9" t="n">
        <x:f>0</x:f>
        <x:v>0</x:v>
      </x:c>
      <x:c r="AA152" s="9" t="n">
        <x:f>((SQRT((Inputs!$C$52+Inputs!$C$5)^2+Inputs!$C$52^2-2*(Inputs!$C$52+Inputs!$C$5)*Inputs!$C$52*COS(SQRT((Model_Data!A152)^2+Inputs!$C$6^2)/Inputs!$C$52))-Inputs!$C$5)*1000/Inputs!$C$12)</x:f>
        <x:v>748.6167842668547</x:v>
      </x:c>
      <x:c r="AB152" s="9" t="n">
        <x:f>Model_Data!F152</x:f>
        <x:v>748.2459723916826</x:v>
      </x:c>
    </x:row>
    <x:row r="153">
      <x:c r="A153" s="9" t="n">
        <x:f>Model_Data!A153</x:f>
        <x:v>15.5</x:v>
      </x:c>
      <x:c r="B153" s="9" t="n">
        <x:f>0</x:f>
        <x:v>0</x:v>
      </x:c>
      <x:c r="C153" s="9" t="n">
        <x:f>((SQRT((Inputs!$C$52+Inputs!$C$5)^2+Inputs!$C$52^2-2*(Inputs!$C$52+Inputs!$C$5)*Inputs!$C$52*COS(SQRT((Model_Data!A153)^2+Inputs!$C$6^2)/Inputs!$C$52))-Inputs!$C$5)*1000/Inputs!$C$12)</x:f>
        <x:v>762.0247570816274</x:v>
      </x:c>
      <x:c r="D153" s="9" t="n">
        <x:f>Model_Data!F153</x:f>
        <x:v>761.6217649095123</x:v>
      </x:c>
      <x:c r="E153" s="9" t="n">
        <x:f>Model_Data!AC153</x:f>
        <x:v>567.8880170454719</x:v>
      </x:c>
      <x:c r="F153" s="10" t="n"/>
      <x:c r="G153" s="9" t="n">
        <x:f>Model_Data!A153</x:f>
        <x:v>15.5</x:v>
      </x:c>
      <x:c r="H153" s="9" t="n">
        <x:f>Model_Data!Y153</x:f>
        <x:v>395.616361037493</x:v>
      </x:c>
      <x:c r="I153" s="9" t="n">
        <x:f>Model_Data!Y153</x:f>
        <x:v>395.616361037493</x:v>
      </x:c>
      <x:c r="J153" s="9" t="n">
        <x:f>Model_Data!X153</x:f>
        <x:v>49.090179641950456</x:v>
      </x:c>
      <x:c r="K153" s="9" t="n">
        <x:f>Model_Data!A153</x:f>
        <x:v>15.5</x:v>
      </x:c>
      <x:c r="L153" s="9" t="n">
        <x:f>Model_Data!Y153</x:f>
        <x:v>395.616361037493</x:v>
      </x:c>
      <x:c r="M153" s="9" t="n">
        <x:f>Model_Data!X153</x:f>
        <x:v>49.090179641950456</x:v>
      </x:c>
      <x:c r="N153" s="9" t="n">
        <x:f>-(Model_Data!AC153-Model_Data!F153)*Inputs!$C$12</x:f>
        <x:v>344.84607119799193</x:v>
      </x:c>
      <x:c r="O153" s="10" t="n"/>
      <x:c r="P153" s="9" t="n">
        <x:f>Model_Data!A153</x:f>
        <x:v>15.5</x:v>
      </x:c>
      <x:c r="Q153" s="9" t="n">
        <x:f>Model_Data!P153</x:f>
        <x:v>-132.5435235945406</x:v>
      </x:c>
      <x:c r="R153" s="9" t="n">
        <x:f>Model_Data!AM153</x:f>
        <x:v>-131.10580275870234</x:v>
      </x:c>
      <x:c r="S153" s="9" t="n">
        <x:f>Model_Data!Q153</x:f>
        <x:v>-19.901429969150243</x:v>
      </x:c>
      <x:c r="T153" s="9" t="n">
        <x:f>Model_Data!AN153</x:f>
        <x:v>-19.685555969775127</x:v>
      </x:c>
      <x:c r="U153" s="10" t="n"/>
      <x:c r="V153" s="9" t="n">
        <x:f>Model_Data!A153</x:f>
        <x:v>15.5</x:v>
      </x:c>
      <x:c r="W153" s="9" t="n">
        <x:f>Model_Data!B153-Inputs!$C$5</x:f>
        <x:v>0.266944444444448</x:v>
      </x:c>
      <x:c r="X153" s="10" t="n"/>
      <x:c r="Y153" s="9" t="n">
        <x:f>Model_Data!A153</x:f>
        <x:v>15.5</x:v>
      </x:c>
      <x:c r="Z153" s="9" t="n">
        <x:f>0</x:f>
        <x:v>0</x:v>
      </x:c>
      <x:c r="AA153" s="9" t="n">
        <x:f>((SQRT((Inputs!$C$52+Inputs!$C$5)^2+Inputs!$C$52^2-2*(Inputs!$C$52+Inputs!$C$5)*Inputs!$C$52*COS(SQRT((Model_Data!A153)^2+Inputs!$C$6^2)/Inputs!$C$52))-Inputs!$C$5)*1000/Inputs!$C$12)</x:f>
        <x:v>762.0247570816274</x:v>
      </x:c>
      <x:c r="AB153" s="9" t="n">
        <x:f>Model_Data!F153</x:f>
        <x:v>761.6217649095123</x:v>
      </x:c>
    </x:row>
    <x:row r="154">
      <x:c r="A154" s="9" t="n">
        <x:f>Model_Data!A154</x:f>
        <x:v>16</x:v>
      </x:c>
      <x:c r="B154" s="9" t="n">
        <x:f>0</x:f>
        <x:v>0</x:v>
      </x:c>
      <x:c r="C154" s="9" t="n">
        <x:f>((SQRT((Inputs!$C$52+Inputs!$C$5)^2+Inputs!$C$52^2-2*(Inputs!$C$52+Inputs!$C$5)*Inputs!$C$52*COS(SQRT((Model_Data!A154)^2+Inputs!$C$6^2)/Inputs!$C$52))-Inputs!$C$5)*1000/Inputs!$C$12)</x:f>
        <x:v>775.8714840006216</x:v>
      </x:c>
      <x:c r="D154" s="9" t="n">
        <x:f>Model_Data!F154</x:f>
        <x:v>775.4343194715455</x:v>
      </x:c>
      <x:c r="E154" s="9" t="n">
        <x:f>Model_Data!AC154</x:f>
        <x:v>590.6826371130727</x:v>
      </x:c>
      <x:c r="F154" s="10" t="n"/>
      <x:c r="G154" s="9" t="n">
        <x:f>Model_Data!A154</x:f>
        <x:v>16</x:v>
      </x:c>
      <x:c r="H154" s="9" t="n">
        <x:f>Model_Data!Y154</x:f>
        <x:v>400.30891755789503</x:v>
      </x:c>
      <x:c r="I154" s="9" t="n">
        <x:f>Model_Data!Y154</x:f>
        <x:v>400.30891755789503</x:v>
      </x:c>
      <x:c r="J154" s="9" t="n">
        <x:f>Model_Data!X154</x:f>
        <x:v>69.7201880441823</x:v>
      </x:c>
      <x:c r="K154" s="9" t="n">
        <x:f>Model_Data!A154</x:f>
        <x:v>16</x:v>
      </x:c>
      <x:c r="L154" s="9" t="n">
        <x:f>Model_Data!Y154</x:f>
        <x:v>400.30891755789503</x:v>
      </x:c>
      <x:c r="M154" s="9" t="n">
        <x:f>Model_Data!X154</x:f>
        <x:v>69.7201880441823</x:v>
      </x:c>
      <x:c r="N154" s="9" t="n">
        <x:f>-(Model_Data!AC154-Model_Data!F154)*Inputs!$C$12</x:f>
        <x:v>328.8579945980815</x:v>
      </x:c>
      <x:c r="O154" s="10" t="n"/>
      <x:c r="P154" s="9" t="n">
        <x:f>Model_Data!A154</x:f>
        <x:v>16</x:v>
      </x:c>
      <x:c r="Q154" s="9" t="n">
        <x:f>Model_Data!P154</x:f>
        <x:v>-136.80860673657662</x:v>
      </x:c>
      <x:c r="R154" s="9" t="n">
        <x:f>Model_Data!AM154</x:f>
        <x:v>-120.04510651404416</x:v>
      </x:c>
      <x:c r="S154" s="9" t="n">
        <x:f>Model_Data!Q154</x:f>
        <x:v>-20.541832843329825</x:v>
      </x:c>
      <x:c r="T154" s="9" t="n">
        <x:f>Model_Data!AN154</x:f>
        <x:v>-18.0247907678745</x:v>
      </x:c>
      <x:c r="U154" s="10" t="n"/>
      <x:c r="V154" s="9" t="n">
        <x:f>Model_Data!A154</x:f>
        <x:v>16</x:v>
      </x:c>
      <x:c r="W154" s="9" t="n">
        <x:f>Model_Data!B154-Inputs!$C$5</x:f>
        <x:v>0.28444444444443207</x:v>
      </x:c>
      <x:c r="X154" s="10" t="n"/>
      <x:c r="Y154" s="9" t="n">
        <x:f>Model_Data!A154</x:f>
        <x:v>16</x:v>
      </x:c>
      <x:c r="Z154" s="9" t="n">
        <x:f>0</x:f>
        <x:v>0</x:v>
      </x:c>
      <x:c r="AA154" s="9" t="n">
        <x:f>((SQRT((Inputs!$C$52+Inputs!$C$5)^2+Inputs!$C$52^2-2*(Inputs!$C$52+Inputs!$C$5)*Inputs!$C$52*COS(SQRT((Model_Data!A154)^2+Inputs!$C$6^2)/Inputs!$C$52))-Inputs!$C$5)*1000/Inputs!$C$12)</x:f>
        <x:v>775.8714840006216</x:v>
      </x:c>
      <x:c r="AB154" s="9" t="n">
        <x:f>Model_Data!F154</x:f>
        <x:v>775.4343194715455</x:v>
      </x:c>
    </x:row>
    <x:row r="155">
      <x:c r="A155" s="9" t="n">
        <x:f>Model_Data!A155</x:f>
        <x:v>16.5</x:v>
      </x:c>
      <x:c r="B155" s="9" t="n">
        <x:f>0</x:f>
        <x:v>0</x:v>
      </x:c>
      <x:c r="C155" s="9" t="n">
        <x:f>((SQRT((Inputs!$C$52+Inputs!$C$5)^2+Inputs!$C$52^2-2*(Inputs!$C$52+Inputs!$C$5)*Inputs!$C$52*COS(SQRT((Model_Data!A155)^2+Inputs!$C$6^2)/Inputs!$C$52))-Inputs!$C$5)*1000/Inputs!$C$12)</x:f>
        <x:v>790.1568827831939</x:v>
      </x:c>
      <x:c r="D155" s="9" t="n">
        <x:f>Model_Data!F155</x:f>
        <x:v>789.6834635919838</x:v>
      </x:c>
      <x:c r="E155" s="9" t="n">
        <x:f>Model_Data!AC155</x:f>
        <x:v>602.6586096200855</x:v>
      </x:c>
      <x:c r="F155" s="10" t="n"/>
      <x:c r="G155" s="9" t="n">
        <x:f>Model_Data!A155</x:f>
        <x:v>16.5</x:v>
      </x:c>
      <x:c r="H155" s="9" t="n">
        <x:f>Model_Data!Y155</x:f>
        <x:v>406.20178346502695</x:v>
      </x:c>
      <x:c r="I155" s="9" t="n">
        <x:f>Model_Data!Y155</x:f>
        <x:v>406.20178346502695</x:v>
      </x:c>
      <x:c r="J155" s="9" t="n">
        <x:f>Model_Data!X155</x:f>
        <x:v>71.50919840907298</x:v>
      </x:c>
      <x:c r="K155" s="9" t="n">
        <x:f>Model_Data!A155</x:f>
        <x:v>16.5</x:v>
      </x:c>
      <x:c r="L155" s="9" t="n">
        <x:f>Model_Data!Y155</x:f>
        <x:v>406.20178346502695</x:v>
      </x:c>
      <x:c r="M155" s="9" t="n">
        <x:f>Model_Data!X155</x:f>
        <x:v>71.50919840907298</x:v>
      </x:c>
      <x:c r="N155" s="9" t="n">
        <x:f>-(Model_Data!AC155-Model_Data!F155)*Inputs!$C$12</x:f>
        <x:v>332.90424006997904</x:v>
      </x:c>
      <x:c r="O155" s="10" t="n"/>
      <x:c r="P155" s="9" t="n">
        <x:f>Model_Data!A155</x:f>
        <x:v>16.5</x:v>
      </x:c>
      <x:c r="Q155" s="9" t="n">
        <x:f>Model_Data!P155</x:f>
        <x:v>-141.07269207324862</x:v>
      </x:c>
      <x:c r="R155" s="9" t="n">
        <x:f>Model_Data!AM155</x:f>
        <x:v>-137.05256517414455</x:v>
      </x:c>
      <x:c r="S155" s="9" t="n">
        <x:f>Model_Data!Q155</x:f>
        <x:v>-21.18208589688418</x:v>
      </x:c>
      <x:c r="T155" s="9" t="n">
        <x:f>Model_Data!AN155</x:f>
        <x:v>-20.578463239361046</x:v>
      </x:c>
      <x:c r="U155" s="10" t="n"/>
      <x:c r="V155" s="9" t="n">
        <x:f>Model_Data!A155</x:f>
        <x:v>16.5</x:v>
      </x:c>
      <x:c r="W155" s="9" t="n">
        <x:f>Model_Data!B155-Inputs!$C$5</x:f>
        <x:v>0.3025000000000091</x:v>
      </x:c>
      <x:c r="X155" s="10" t="n"/>
      <x:c r="Y155" s="9" t="n">
        <x:f>Model_Data!A155</x:f>
        <x:v>16.5</x:v>
      </x:c>
      <x:c r="Z155" s="9" t="n">
        <x:f>0</x:f>
        <x:v>0</x:v>
      </x:c>
      <x:c r="AA155" s="9" t="n">
        <x:f>((SQRT((Inputs!$C$52+Inputs!$C$5)^2+Inputs!$C$52^2-2*(Inputs!$C$52+Inputs!$C$5)*Inputs!$C$52*COS(SQRT((Model_Data!A155)^2+Inputs!$C$6^2)/Inputs!$C$52))-Inputs!$C$5)*1000/Inputs!$C$12)</x:f>
        <x:v>790.1568827831939</x:v>
      </x:c>
      <x:c r="AB155" s="9" t="n">
        <x:f>Model_Data!F155</x:f>
        <x:v>789.6834635919838</x:v>
      </x:c>
    </x:row>
    <x:row r="156">
      <x:c r="A156" s="9" t="n">
        <x:f>Model_Data!A156</x:f>
        <x:v>17</x:v>
      </x:c>
      <x:c r="B156" s="9" t="n">
        <x:f>0</x:f>
        <x:v>0</x:v>
      </x:c>
      <x:c r="C156" s="9" t="n">
        <x:f>((SQRT((Inputs!$C$52+Inputs!$C$5)^2+Inputs!$C$52^2-2*(Inputs!$C$52+Inputs!$C$5)*Inputs!$C$52*COS(SQRT((Model_Data!A156)^2+Inputs!$C$6^2)/Inputs!$C$52))-Inputs!$C$5)*1000/Inputs!$C$12)</x:f>
        <x:v>804.8808686017826</x:v>
      </x:c>
      <x:c r="D156" s="9" t="n">
        <x:f>Model_Data!F156</x:f>
        <x:v>804.3690194036186</x:v>
      </x:c>
      <x:c r="E156" s="9" t="n">
        <x:f>Model_Data!AC156</x:f>
        <x:v>611.950718920336</x:v>
      </x:c>
      <x:c r="F156" s="10" t="n"/>
      <x:c r="G156" s="9" t="n">
        <x:f>Model_Data!A156</x:f>
        <x:v>17</x:v>
      </x:c>
      <x:c r="H156" s="9" t="n">
        <x:f>Model_Data!Y156</x:f>
        <x:v>402.8973585501548</x:v>
      </x:c>
      <x:c r="I156" s="9" t="n">
        <x:f>Model_Data!Y156</x:f>
        <x:v>402.8973585501548</x:v>
      </x:c>
      <x:c r="J156" s="9" t="n">
        <x:f>Model_Data!X156</x:f>
        <x:v>58.586187093984584</x:v>
      </x:c>
      <x:c r="K156" s="9" t="n">
        <x:f>Model_Data!A156</x:f>
        <x:v>17</x:v>
      </x:c>
      <x:c r="L156" s="9" t="n">
        <x:f>Model_Data!Y156</x:f>
        <x:v>402.8973585501548</x:v>
      </x:c>
      <x:c r="M156" s="9" t="n">
        <x:f>Model_Data!X156</x:f>
        <x:v>58.586187093984584</x:v>
      </x:c>
      <x:c r="N156" s="9" t="n">
        <x:f>-(Model_Data!AC156-Model_Data!F156)*Inputs!$C$12</x:f>
        <x:v>342.504574860243</x:v>
      </x:c>
      <x:c r="O156" s="10" t="n"/>
      <x:c r="P156" s="9" t="n">
        <x:f>Model_Data!A156</x:f>
        <x:v>17</x:v>
      </x:c>
      <x:c r="Q156" s="9" t="n">
        <x:f>Model_Data!P156</x:f>
        <x:v>-145.33574898605366</x:v>
      </x:c>
      <x:c r="R156" s="9" t="n">
        <x:f>Model_Data!AM156</x:f>
        <x:v>-135.2580367196424</x:v>
      </x:c>
      <x:c r="S156" s="9" t="n">
        <x:f>Model_Data!Q156</x:f>
        <x:v>-21.82218453244049</x:v>
      </x:c>
      <x:c r="T156" s="9" t="n">
        <x:f>Model_Data!AN156</x:f>
        <x:v>-20.309014522468832</x:v>
      </x:c>
      <x:c r="U156" s="10" t="n"/>
      <x:c r="V156" s="9" t="n">
        <x:f>Model_Data!A156</x:f>
        <x:v>17</x:v>
      </x:c>
      <x:c r="W156" s="9" t="n">
        <x:f>Model_Data!B156-Inputs!$C$5</x:f>
        <x:v>0.3211111111111222</x:v>
      </x:c>
      <x:c r="X156" s="10" t="n"/>
      <x:c r="Y156" s="9" t="n">
        <x:f>Model_Data!A156</x:f>
        <x:v>17</x:v>
      </x:c>
      <x:c r="Z156" s="9" t="n">
        <x:f>0</x:f>
        <x:v>0</x:v>
      </x:c>
      <x:c r="AA156" s="9" t="n">
        <x:f>((SQRT((Inputs!$C$52+Inputs!$C$5)^2+Inputs!$C$52^2-2*(Inputs!$C$52+Inputs!$C$5)*Inputs!$C$52*COS(SQRT((Model_Data!A156)^2+Inputs!$C$6^2)/Inputs!$C$52))-Inputs!$C$5)*1000/Inputs!$C$12)</x:f>
        <x:v>804.8808686017826</x:v>
      </x:c>
      <x:c r="AB156" s="9" t="n">
        <x:f>Model_Data!F156</x:f>
        <x:v>804.3690194036186</x:v>
      </x:c>
    </x:row>
    <x:row r="157">
      <x:c r="A157" s="9" t="n">
        <x:f>Model_Data!A157</x:f>
        <x:v>17.5</x:v>
      </x:c>
      <x:c r="B157" s="9" t="n">
        <x:f>0</x:f>
        <x:v>0</x:v>
      </x:c>
      <x:c r="C157" s="9" t="n">
        <x:f>((SQRT((Inputs!$C$52+Inputs!$C$5)^2+Inputs!$C$52^2-2*(Inputs!$C$52+Inputs!$C$5)*Inputs!$C$52*COS(SQRT((Model_Data!A157)^2+Inputs!$C$6^2)/Inputs!$C$52))-Inputs!$C$5)*1000/Inputs!$C$12)</x:f>
        <x:v>820.0433540484541</x:v>
      </x:c>
      <x:c r="D157" s="9" t="n">
        <x:f>Model_Data!F157</x:f>
        <x:v>819.4908036698047</x:v>
      </x:c>
      <x:c r="E157" s="9" t="n">
        <x:f>Model_Data!AC157</x:f>
        <x:v>625.6707230353426</x:v>
      </x:c>
      <x:c r="F157" s="10" t="n"/>
      <x:c r="G157" s="9" t="n">
        <x:f>Model_Data!A157</x:f>
        <x:v>17.5</x:v>
      </x:c>
      <x:c r="H157" s="9" t="n">
        <x:f>Model_Data!Y157</x:f>
        <x:v>412.59673853506814</x:v>
      </x:c>
      <x:c r="I157" s="9" t="n">
        <x:f>Model_Data!Y157</x:f>
        <x:v>412.59673853506814</x:v>
      </x:c>
      <x:c r="J157" s="9" t="n">
        <x:f>Model_Data!X157</x:f>
        <x:v>65.71226511619231</x:v>
      </x:c>
      <x:c r="K157" s="9" t="n">
        <x:f>Model_Data!A157</x:f>
        <x:v>17.5</x:v>
      </x:c>
      <x:c r="L157" s="9" t="n">
        <x:f>Model_Data!Y157</x:f>
        <x:v>412.59673853506814</x:v>
      </x:c>
      <x:c r="M157" s="9" t="n">
        <x:f>Model_Data!X157</x:f>
        <x:v>65.71226511619231</x:v>
      </x:c>
      <x:c r="N157" s="9" t="n">
        <x:f>-(Model_Data!AC157-Model_Data!F157)*Inputs!$C$12</x:f>
        <x:v>344.99974352934254</x:v>
      </x:c>
      <x:c r="O157" s="10" t="n"/>
      <x:c r="P157" s="9" t="n">
        <x:f>Model_Data!A157</x:f>
        <x:v>17.5</x:v>
      </x:c>
      <x:c r="Q157" s="9" t="n">
        <x:f>Model_Data!P157</x:f>
        <x:v>-149.59774689641563</x:v>
      </x:c>
      <x:c r="R157" s="9" t="n">
        <x:f>Model_Data!AM157</x:f>
        <x:v>-126.66363410589838</x:v>
      </x:c>
      <x:c r="S157" s="9" t="n">
        <x:f>Model_Data!Q157</x:f>
        <x:v>-22.462124158620966</x:v>
      </x:c>
      <x:c r="T157" s="9" t="n">
        <x:f>Model_Data!AN157</x:f>
        <x:v>-19.018563679564323</x:v>
      </x:c>
      <x:c r="U157" s="10" t="n"/>
      <x:c r="V157" s="9" t="n">
        <x:f>Model_Data!A157</x:f>
        <x:v>17.5</x:v>
      </x:c>
      <x:c r="W157" s="9" t="n">
        <x:f>Model_Data!B157-Inputs!$C$5</x:f>
        <x:v>0.34027777777777146</x:v>
      </x:c>
      <x:c r="X157" s="10" t="n"/>
      <x:c r="Y157" s="9" t="n">
        <x:f>Model_Data!A157</x:f>
        <x:v>17.5</x:v>
      </x:c>
      <x:c r="Z157" s="9" t="n">
        <x:f>0</x:f>
        <x:v>0</x:v>
      </x:c>
      <x:c r="AA157" s="9" t="n">
        <x:f>((SQRT((Inputs!$C$52+Inputs!$C$5)^2+Inputs!$C$52^2-2*(Inputs!$C$52+Inputs!$C$5)*Inputs!$C$52*COS(SQRT((Model_Data!A157)^2+Inputs!$C$6^2)/Inputs!$C$52))-Inputs!$C$5)*1000/Inputs!$C$12)</x:f>
        <x:v>820.0433540484541</x:v>
      </x:c>
      <x:c r="AB157" s="9" t="n">
        <x:f>Model_Data!F157</x:f>
        <x:v>819.4908036698047</x:v>
      </x:c>
    </x:row>
    <x:row r="158">
      <x:c r="A158" s="9" t="n">
        <x:f>Model_Data!A158</x:f>
        <x:v>18</x:v>
      </x:c>
      <x:c r="B158" s="9" t="n">
        <x:f>0</x:f>
        <x:v>0</x:v>
      </x:c>
      <x:c r="C158" s="9" t="n">
        <x:f>((SQRT((Inputs!$C$52+Inputs!$C$5)^2+Inputs!$C$52^2-2*(Inputs!$C$52+Inputs!$C$5)*Inputs!$C$52*COS(SQRT((Model_Data!A158)^2+Inputs!$C$6^2)/Inputs!$C$52))-Inputs!$C$5)*1000/Inputs!$C$12)</x:f>
        <x:v>835.6442491352863</x:v>
      </x:c>
      <x:c r="D158" s="9" t="n">
        <x:f>Model_Data!F158</x:f>
        <x:v>835.0486277864097</x:v>
      </x:c>
      <x:c r="E158" s="9" t="n">
        <x:f>Model_Data!AC158</x:f>
        <x:v>641.272450083539</x:v>
      </x:c>
      <x:c r="F158" s="10" t="n"/>
      <x:c r="G158" s="9" t="n">
        <x:f>Model_Data!A158</x:f>
        <x:v>18</x:v>
      </x:c>
      <x:c r="H158" s="9" t="n">
        <x:f>Model_Data!Y158</x:f>
        <x:v>417.3671248555401</x:v>
      </x:c>
      <x:c r="I158" s="9" t="n">
        <x:f>Model_Data!Y158</x:f>
        <x:v>417.3671248555401</x:v>
      </x:c>
      <x:c r="J158" s="9" t="n">
        <x:f>Model_Data!X158</x:f>
        <x:v>70.50298613715029</x:v>
      </x:c>
      <x:c r="K158" s="9" t="n">
        <x:f>Model_Data!A158</x:f>
        <x:v>18</x:v>
      </x:c>
      <x:c r="L158" s="9" t="n">
        <x:f>Model_Data!Y158</x:f>
        <x:v>417.3671248555401</x:v>
      </x:c>
      <x:c r="M158" s="9" t="n">
        <x:f>Model_Data!X158</x:f>
        <x:v>70.50298613715029</x:v>
      </x:c>
      <x:c r="N158" s="9" t="n">
        <x:f>-(Model_Data!AC158-Model_Data!F158)*Inputs!$C$12</x:f>
        <x:v>344.92159631110997</x:v>
      </x:c>
      <x:c r="O158" s="10" t="n"/>
      <x:c r="P158" s="9" t="n">
        <x:f>Model_Data!A158</x:f>
        <x:v>18</x:v>
      </x:c>
      <x:c r="Q158" s="9" t="n">
        <x:f>Model_Data!P158</x:f>
        <x:v>-153.85865527787246</x:v>
      </x:c>
      <x:c r="R158" s="9" t="n">
        <x:f>Model_Data!AM158</x:f>
        <x:v>-151.69053844329028</x:v>
      </x:c>
      <x:c r="S158" s="9" t="n">
        <x:f>Model_Data!Q158</x:f>
        <x:v>-23.101900191872744</x:v>
      </x:c>
      <x:c r="T158" s="9" t="n">
        <x:f>Model_Data!AN158</x:f>
        <x:v>-22.77635712361716</x:v>
      </x:c>
      <x:c r="U158" s="10" t="n"/>
      <x:c r="V158" s="9" t="n">
        <x:f>Model_Data!A158</x:f>
        <x:v>18</x:v>
      </x:c>
      <x:c r="W158" s="9" t="n">
        <x:f>Model_Data!B158-Inputs!$C$5</x:f>
        <x:v>0.36000000000001364</x:v>
      </x:c>
      <x:c r="X158" s="10" t="n"/>
      <x:c r="Y158" s="9" t="n">
        <x:f>Model_Data!A158</x:f>
        <x:v>18</x:v>
      </x:c>
      <x:c r="Z158" s="9" t="n">
        <x:f>0</x:f>
        <x:v>0</x:v>
      </x:c>
      <x:c r="AA158" s="9" t="n">
        <x:f>((SQRT((Inputs!$C$52+Inputs!$C$5)^2+Inputs!$C$52^2-2*(Inputs!$C$52+Inputs!$C$5)*Inputs!$C$52*COS(SQRT((Model_Data!A158)^2+Inputs!$C$6^2)/Inputs!$C$52))-Inputs!$C$5)*1000/Inputs!$C$12)</x:f>
        <x:v>835.6442491352863</x:v>
      </x:c>
      <x:c r="AB158" s="9" t="n">
        <x:f>Model_Data!F158</x:f>
        <x:v>835.0486277864097</x:v>
      </x:c>
    </x:row>
    <x:row r="159">
      <x:c r="A159" s="9" t="n">
        <x:f>Model_Data!A159</x:f>
        <x:v>18.5</x:v>
      </x:c>
      <x:c r="B159" s="9" t="n">
        <x:f>0</x:f>
        <x:v>0</x:v>
      </x:c>
      <x:c r="C159" s="9" t="n">
        <x:f>((SQRT((Inputs!$C$52+Inputs!$C$5)^2+Inputs!$C$52^2-2*(Inputs!$C$52+Inputs!$C$5)*Inputs!$C$52*COS(SQRT((Model_Data!A159)^2+Inputs!$C$6^2)/Inputs!$C$52))-Inputs!$C$5)*1000/Inputs!$C$12)</x:f>
        <x:v>851.6834612977212</x:v>
      </x:c>
      <x:c r="D159" s="9" t="n">
        <x:f>Model_Data!F159</x:f>
        <x:v>851.0422977982597</x:v>
      </x:c>
      <x:c r="E159" s="9" t="n">
        <x:f>Model_Data!AC159</x:f>
        <x:v>666.8213603992552</x:v>
      </x:c>
      <x:c r="F159" s="10" t="n"/>
      <x:c r="G159" s="9" t="n">
        <x:f>Model_Data!A159</x:f>
        <x:v>18.5</x:v>
      </x:c>
      <x:c r="H159" s="9" t="n">
        <x:f>Model_Data!Y159</x:f>
        <x:v>414.03078360208366</x:v>
      </x:c>
      <x:c r="I159" s="9" t="n">
        <x:f>Model_Data!Y159</x:f>
        <x:v>414.03078360208366</x:v>
      </x:c>
      <x:c r="J159" s="9" t="n">
        <x:f>Model_Data!X159</x:f>
        <x:v>84.15381309689964</x:v>
      </x:c>
      <x:c r="K159" s="9" t="n">
        <x:f>Model_Data!A159</x:f>
        <x:v>18.5</x:v>
      </x:c>
      <x:c r="L159" s="9" t="n">
        <x:f>Model_Data!Y159</x:f>
        <x:v>414.03078360208366</x:v>
      </x:c>
      <x:c r="M159" s="9" t="n">
        <x:f>Model_Data!X159</x:f>
        <x:v>84.15381309689964</x:v>
      </x:c>
      <x:c r="N159" s="9" t="n">
        <x:f>-(Model_Data!AC159-Model_Data!F159)*Inputs!$C$12</x:f>
        <x:v>327.91326857022796</x:v>
      </x:c>
      <x:c r="O159" s="10" t="n"/>
      <x:c r="P159" s="9" t="n">
        <x:f>Model_Data!A159</x:f>
        <x:v>18.5</x:v>
      </x:c>
      <x:c r="Q159" s="9" t="n">
        <x:f>Model_Data!P159</x:f>
        <x:v>-158.1184436692638</x:v>
      </x:c>
      <x:c r="R159" s="9" t="n">
        <x:f>Model_Data!AM159</x:f>
        <x:v>-139.1757167734795</x:v>
      </x:c>
      <x:c r="S159" s="9" t="n">
        <x:f>Model_Data!Q159</x:f>
        <x:v>-23.74150805844802</x:v>
      </x:c>
      <x:c r="T159" s="9" t="n">
        <x:f>Model_Data!AN159</x:f>
        <x:v>-20.89725477079272</x:v>
      </x:c>
      <x:c r="U159" s="10" t="n"/>
      <x:c r="V159" s="9" t="n">
        <x:f>Model_Data!A159</x:f>
        <x:v>18.5</x:v>
      </x:c>
      <x:c r="W159" s="9" t="n">
        <x:f>Model_Data!B159-Inputs!$C$5</x:f>
        <x:v>0.3802777777777919</x:v>
      </x:c>
      <x:c r="X159" s="10" t="n"/>
      <x:c r="Y159" s="9" t="n">
        <x:f>Model_Data!A159</x:f>
        <x:v>18.5</x:v>
      </x:c>
      <x:c r="Z159" s="9" t="n">
        <x:f>0</x:f>
        <x:v>0</x:v>
      </x:c>
      <x:c r="AA159" s="9" t="n">
        <x:f>((SQRT((Inputs!$C$52+Inputs!$C$5)^2+Inputs!$C$52^2-2*(Inputs!$C$52+Inputs!$C$5)*Inputs!$C$52*COS(SQRT((Model_Data!A159)^2+Inputs!$C$6^2)/Inputs!$C$52))-Inputs!$C$5)*1000/Inputs!$C$12)</x:f>
        <x:v>851.6834612977212</x:v>
      </x:c>
      <x:c r="AB159" s="9" t="n">
        <x:f>Model_Data!F159</x:f>
        <x:v>851.0422977982597</x:v>
      </x:c>
    </x:row>
    <x:row r="160">
      <x:c r="A160" s="9" t="n">
        <x:f>Model_Data!A160</x:f>
        <x:v>19</x:v>
      </x:c>
      <x:c r="B160" s="9" t="n">
        <x:f>0</x:f>
        <x:v>0</x:v>
      </x:c>
      <x:c r="C160" s="9" t="n">
        <x:f>((SQRT((Inputs!$C$52+Inputs!$C$5)^2+Inputs!$C$52^2-2*(Inputs!$C$52+Inputs!$C$5)*Inputs!$C$52*COS(SQRT((Model_Data!A160)^2+Inputs!$C$6^2)/Inputs!$C$52))-Inputs!$C$5)*1000/Inputs!$C$12)</x:f>
        <x:v>868.1608953972801</x:v>
      </x:c>
      <x:c r="D160" s="9" t="n">
        <x:f>Model_Data!F160</x:f>
        <x:v>867.4716144056217</x:v>
      </x:c>
      <x:c r="E160" s="9" t="n">
        <x:f>Model_Data!AC160</x:f>
        <x:v>676.7589035842173</x:v>
      </x:c>
      <x:c r="F160" s="10" t="n"/>
      <x:c r="G160" s="9" t="n">
        <x:f>Model_Data!A160</x:f>
        <x:v>19</x:v>
      </x:c>
      <x:c r="H160" s="9" t="n">
        <x:f>Model_Data!Y160</x:f>
        <x:v>429.33926339108206</x:v>
      </x:c>
      <x:c r="I160" s="9" t="n">
        <x:f>Model_Data!Y160</x:f>
        <x:v>429.33926339108206</x:v>
      </x:c>
      <x:c r="J160" s="9" t="n">
        <x:f>Model_Data!X160</x:f>
        <x:v>87.79516149602648</x:v>
      </x:c>
      <x:c r="K160" s="9" t="n">
        <x:f>Model_Data!A160</x:f>
        <x:v>19</x:v>
      </x:c>
      <x:c r="L160" s="9" t="n">
        <x:f>Model_Data!Y160</x:f>
        <x:v>429.33926339108206</x:v>
      </x:c>
      <x:c r="M160" s="9" t="n">
        <x:f>Model_Data!X160</x:f>
        <x:v>87.79516149602648</x:v>
      </x:c>
      <x:c r="N160" s="9" t="n">
        <x:f>-(Model_Data!AC160-Model_Data!F160)*Inputs!$C$12</x:f>
        <x:v>339.4686252621</x:v>
      </x:c>
      <x:c r="O160" s="10" t="n"/>
      <x:c r="P160" s="9" t="n">
        <x:f>Model_Data!A160</x:f>
        <x:v>19</x:v>
      </x:c>
      <x:c r="Q160" s="9" t="n">
        <x:f>Model_Data!P160</x:f>
        <x:v>-162.37708165526783</x:v>
      </x:c>
      <x:c r="R160" s="9" t="n">
        <x:f>Model_Data!AM160</x:f>
        <x:v>-126.46437359499032</x:v>
      </x:c>
      <x:c r="S160" s="9" t="n">
        <x:f>Model_Data!Q160</x:f>
        <x:v>-24.38094319148166</x:v>
      </x:c>
      <x:c r="T160" s="9" t="n">
        <x:f>Model_Data!AN160</x:f>
        <x:v>-18.98864468393248</x:v>
      </x:c>
      <x:c r="U160" s="10" t="n"/>
      <x:c r="V160" s="9" t="n">
        <x:f>Model_Data!A160</x:f>
        <x:v>19</x:v>
      </x:c>
      <x:c r="W160" s="9" t="n">
        <x:f>Model_Data!B160-Inputs!$C$5</x:f>
        <x:v>0.4011111111111063</x:v>
      </x:c>
      <x:c r="X160" s="10" t="n"/>
      <x:c r="Y160" s="9" t="n">
        <x:f>Model_Data!A160</x:f>
        <x:v>19</x:v>
      </x:c>
      <x:c r="Z160" s="9" t="n">
        <x:f>0</x:f>
        <x:v>0</x:v>
      </x:c>
      <x:c r="AA160" s="9" t="n">
        <x:f>((SQRT((Inputs!$C$52+Inputs!$C$5)^2+Inputs!$C$52^2-2*(Inputs!$C$52+Inputs!$C$5)*Inputs!$C$52*COS(SQRT((Model_Data!A160)^2+Inputs!$C$6^2)/Inputs!$C$52))-Inputs!$C$5)*1000/Inputs!$C$12)</x:f>
        <x:v>868.1608953972801</x:v>
      </x:c>
      <x:c r="AB160" s="9" t="n">
        <x:f>Model_Data!F160</x:f>
        <x:v>867.4716144056217</x:v>
      </x:c>
    </x:row>
    <x:row r="161">
      <x:c r="A161" s="9" t="n">
        <x:f>Model_Data!A161</x:f>
        <x:v>19.5</x:v>
      </x:c>
      <x:c r="B161" s="9" t="n">
        <x:f>0</x:f>
        <x:v>0</x:v>
      </x:c>
      <x:c r="C161" s="9" t="n">
        <x:f>((SQRT((Inputs!$C$52+Inputs!$C$5)^2+Inputs!$C$52^2-2*(Inputs!$C$52+Inputs!$C$5)*Inputs!$C$52*COS(SQRT((Model_Data!A161)^2+Inputs!$C$6^2)/Inputs!$C$52))-Inputs!$C$5)*1000/Inputs!$C$12)</x:f>
        <x:v>885.0764537237027</x:v>
      </x:c>
      <x:c r="D161" s="9" t="n">
        <x:f>Model_Data!F161</x:f>
        <x:v>884.3363729737207</x:v>
      </x:c>
      <x:c r="E161" s="9" t="n">
        <x:f>Model_Data!AC161</x:f>
        <x:v>685.2202289391233</x:v>
      </x:c>
      <x:c r="F161" s="10" t="n"/>
      <x:c r="G161" s="9" t="n">
        <x:f>Model_Data!A161</x:f>
        <x:v>19.5</x:v>
      </x:c>
      <x:c r="H161" s="9" t="n">
        <x:f>Model_Data!Y161</x:f>
        <x:v>436.66425250955575</x:v>
      </x:c>
      <x:c r="I161" s="9" t="n">
        <x:f>Model_Data!Y161</x:f>
        <x:v>436.66425250955575</x:v>
      </x:c>
      <x:c r="J161" s="9" t="n">
        <x:f>Model_Data!X161</x:f>
        <x:v>80.08578782325549</x:v>
      </x:c>
      <x:c r="K161" s="9" t="n">
        <x:f>Model_Data!A161</x:f>
        <x:v>19.5</x:v>
      </x:c>
      <x:c r="L161" s="9" t="n">
        <x:f>Model_Data!Y161</x:f>
        <x:v>436.66425250955575</x:v>
      </x:c>
      <x:c r="M161" s="9" t="n">
        <x:f>Model_Data!X161</x:f>
        <x:v>80.08578782325549</x:v>
      </x:c>
      <x:c r="N161" s="9" t="n">
        <x:f>-(Model_Data!AC161-Model_Data!F161)*Inputs!$C$12</x:f>
        <x:v>354.42673638158334</x:v>
      </x:c>
      <x:c r="O161" s="10" t="n"/>
      <x:c r="P161" s="9" t="n">
        <x:f>Model_Data!A161</x:f>
        <x:v>19.5</x:v>
      </x:c>
      <x:c r="Q161" s="9" t="n">
        <x:f>Model_Data!P161</x:f>
        <x:v>-166.6345388791342</x:v>
      </x:c>
      <x:c r="R161" s="9" t="n">
        <x:f>Model_Data!AM161</x:f>
        <x:v>-151.36712018684193</x:v>
      </x:c>
      <x:c r="S161" s="9" t="n">
        <x:f>Model_Data!Q161</x:f>
        <x:v>-25.020201032903035</x:v>
      </x:c>
      <x:c r="T161" s="9" t="n">
        <x:f>Model_Data!AN161</x:f>
        <x:v>-22.72779582385014</x:v>
      </x:c>
      <x:c r="U161" s="10" t="n"/>
      <x:c r="V161" s="9" t="n">
        <x:f>Model_Data!A161</x:f>
        <x:v>19.5</x:v>
      </x:c>
      <x:c r="W161" s="9" t="n">
        <x:f>Model_Data!B161-Inputs!$C$5</x:f>
        <x:v>0.42250000000001364</x:v>
      </x:c>
      <x:c r="X161" s="10" t="n"/>
      <x:c r="Y161" s="9" t="n">
        <x:f>Model_Data!A161</x:f>
        <x:v>19.5</x:v>
      </x:c>
      <x:c r="Z161" s="9" t="n">
        <x:f>0</x:f>
        <x:v>0</x:v>
      </x:c>
      <x:c r="AA161" s="9" t="n">
        <x:f>((SQRT((Inputs!$C$52+Inputs!$C$5)^2+Inputs!$C$52^2-2*(Inputs!$C$52+Inputs!$C$5)*Inputs!$C$52*COS(SQRT((Model_Data!A161)^2+Inputs!$C$6^2)/Inputs!$C$52))-Inputs!$C$5)*1000/Inputs!$C$12)</x:f>
        <x:v>885.0764537237027</x:v>
      </x:c>
      <x:c r="AB161" s="9" t="n">
        <x:f>Model_Data!F161</x:f>
        <x:v>884.3363729737207</x:v>
      </x:c>
    </x:row>
    <x:row r="162">
      <x:c r="A162" s="9" t="n">
        <x:f>Model_Data!A162</x:f>
        <x:v>20</x:v>
      </x:c>
      <x:c r="B162" s="9" t="n">
        <x:f>0</x:f>
        <x:v>0</x:v>
      </x:c>
      <x:c r="C162" s="9" t="n">
        <x:f>((SQRT((Inputs!$C$52+Inputs!$C$5)^2+Inputs!$C$52^2-2*(Inputs!$C$52+Inputs!$C$5)*Inputs!$C$52*COS(SQRT((Model_Data!A162)^2+Inputs!$C$6^2)/Inputs!$C$52))-Inputs!$C$5)*1000/Inputs!$C$12)</x:f>
        <x:v>902.4300359989069</x:v>
      </x:c>
      <x:c r="D162" s="9" t="n">
        <x:f>Model_Data!F162</x:f>
        <x:v>901.6363635438846</x:v>
      </x:c>
      <x:c r="E162" s="9" t="n">
        <x:f>Model_Data!AC162</x:f>
        <x:v>697.9991417450349</x:v>
      </x:c>
      <x:c r="F162" s="10" t="n"/>
      <x:c r="G162" s="9" t="n">
        <x:f>Model_Data!A162</x:f>
        <x:v>20</x:v>
      </x:c>
      <x:c r="H162" s="9" t="n">
        <x:f>Model_Data!Y162</x:f>
        <x:v>439.0113020882822</x:v>
      </x:c>
      <x:c r="I162" s="9" t="n">
        <x:f>Model_Data!Y162</x:f>
        <x:v>439.0113020882822</x:v>
      </x:c>
      <x:c r="J162" s="9" t="n">
        <x:f>Model_Data!X162</x:f>
        <x:v>74.33166863889775</x:v>
      </x:c>
      <x:c r="K162" s="9" t="n">
        <x:f>Model_Data!A162</x:f>
        <x:v>20</x:v>
      </x:c>
      <x:c r="L162" s="9" t="n">
        <x:f>Model_Data!Y162</x:f>
        <x:v>439.0113020882822</x:v>
      </x:c>
      <x:c r="M162" s="9" t="n">
        <x:f>Model_Data!X162</x:f>
        <x:v>74.33166863889775</x:v>
      </x:c>
      <x:c r="N162" s="9" t="n">
        <x:f>-(Model_Data!AC162-Model_Data!F162)*Inputs!$C$12</x:f>
        <x:v>362.47425480195255</x:v>
      </x:c>
      <x:c r="O162" s="10" t="n"/>
      <x:c r="P162" s="9" t="n">
        <x:f>Model_Data!A162</x:f>
        <x:v>20</x:v>
      </x:c>
      <x:c r="Q162" s="9" t="n">
        <x:f>Model_Data!P162</x:f>
        <x:v>-170.89078503895507</x:v>
      </x:c>
      <x:c r="R162" s="9" t="n">
        <x:f>Model_Data!AM162</x:f>
        <x:v>-162.90904520274125</x:v>
      </x:c>
      <x:c r="S162" s="9" t="n">
        <x:f>Model_Data!Q162</x:f>
        <x:v>-25.65927703287614</x:v>
      </x:c>
      <x:c r="T162" s="9" t="n">
        <x:f>Model_Data!AN162</x:f>
        <x:v>-24.4608175980092</x:v>
      </x:c>
      <x:c r="U162" s="10" t="n"/>
      <x:c r="V162" s="9" t="n">
        <x:f>Model_Data!A162</x:f>
        <x:v>20</x:v>
      </x:c>
      <x:c r="W162" s="9" t="n">
        <x:f>Model_Data!B162-Inputs!$C$5</x:f>
        <x:v>0.4444444444444571</x:v>
      </x:c>
      <x:c r="X162" s="10" t="n"/>
      <x:c r="Y162" s="9" t="n">
        <x:f>Model_Data!A162</x:f>
        <x:v>20</x:v>
      </x:c>
      <x:c r="Z162" s="9" t="n">
        <x:f>0</x:f>
        <x:v>0</x:v>
      </x:c>
      <x:c r="AA162" s="9" t="n">
        <x:f>((SQRT((Inputs!$C$52+Inputs!$C$5)^2+Inputs!$C$52^2-2*(Inputs!$C$52+Inputs!$C$5)*Inputs!$C$52*COS(SQRT((Model_Data!A162)^2+Inputs!$C$6^2)/Inputs!$C$52))-Inputs!$C$5)*1000/Inputs!$C$12)</x:f>
        <x:v>902.4300359989069</x:v>
      </x:c>
      <x:c r="AB162" s="9" t="n">
        <x:f>Model_Data!F162</x:f>
        <x:v>901.6363635438846</x:v>
      </x:c>
    </x:row>
    <x:row r="163">
      <x:c r="A163" s="9" t="n">
        <x:f>Model_Data!A163</x:f>
        <x:v>20.5</x:v>
      </x:c>
      <x:c r="B163" s="9" t="n">
        <x:f>0</x:f>
        <x:v>0</x:v>
      </x:c>
      <x:c r="C163" s="9" t="n">
        <x:f>((SQRT((Inputs!$C$52+Inputs!$C$5)^2+Inputs!$C$52^2-2*(Inputs!$C$52+Inputs!$C$5)*Inputs!$C$52*COS(SQRT((Model_Data!A163)^2+Inputs!$C$6^2)/Inputs!$C$52))-Inputs!$C$5)*1000/Inputs!$C$12)</x:f>
        <x:v>920.2215393788732</x:v>
      </x:c>
      <x:c r="D163" s="9" t="n">
        <x:f>Model_Data!F163</x:f>
        <x:v>919.3713708416556</x:v>
      </x:c>
      <x:c r="E163" s="9" t="n">
        <x:f>Model_Data!AC163</x:f>
        <x:v>715.7656836312115</x:v>
      </x:c>
      <x:c r="F163" s="10" t="n"/>
      <x:c r="G163" s="9" t="n">
        <x:f>Model_Data!A163</x:f>
        <x:v>20.5</x:v>
      </x:c>
      <x:c r="H163" s="9" t="n">
        <x:f>Model_Data!Y163</x:f>
        <x:v>441.7637232897853</x:v>
      </x:c>
      <x:c r="I163" s="9" t="n">
        <x:f>Model_Data!Y163</x:f>
        <x:v>441.7637232897853</x:v>
      </x:c>
      <x:c r="J163" s="9" t="n">
        <x:f>Model_Data!X163</x:f>
        <x:v>77.08298836787891</x:v>
      </x:c>
      <x:c r="K163" s="9" t="n">
        <x:f>Model_Data!A163</x:f>
        <x:v>20.5</x:v>
      </x:c>
      <x:c r="L163" s="9" t="n">
        <x:f>Model_Data!Y163</x:f>
        <x:v>441.7637232897853</x:v>
      </x:c>
      <x:c r="M163" s="9" t="n">
        <x:f>Model_Data!X163</x:f>
        <x:v>77.08298836787891</x:v>
      </x:c>
      <x:c r="N163" s="9" t="n">
        <x:f>-(Model_Data!AC163-Model_Data!F163)*Inputs!$C$12</x:f>
        <x:v>362.4181232345905</x:v>
      </x:c>
      <x:c r="O163" s="10" t="n"/>
      <x:c r="P163" s="9" t="n">
        <x:f>Model_Data!A163</x:f>
        <x:v>20.5</x:v>
      </x:c>
      <x:c r="Q163" s="9" t="n">
        <x:f>Model_Data!P163</x:f>
        <x:v>-175.14578990121663</x:v>
      </x:c>
      <x:c r="R163" s="9" t="n">
        <x:f>Model_Data!AM163</x:f>
        <x:v>-171.7163481087482</x:v>
      </x:c>
      <x:c r="S163" s="9" t="n">
        <x:f>Model_Data!Q163</x:f>
        <x:v>-26.298166651834332</x:v>
      </x:c>
      <x:c r="T163" s="9" t="n">
        <x:f>Model_Data!AN163</x:f>
        <x:v>-25.783235451763996</x:v>
      </x:c>
      <x:c r="U163" s="10" t="n"/>
      <x:c r="V163" s="9" t="n">
        <x:f>Model_Data!A163</x:f>
        <x:v>20.5</x:v>
      </x:c>
      <x:c r="W163" s="9" t="n">
        <x:f>Model_Data!B163-Inputs!$C$5</x:f>
        <x:v>0.4669444444444366</x:v>
      </x:c>
      <x:c r="X163" s="10" t="n"/>
      <x:c r="Y163" s="9" t="n">
        <x:f>Model_Data!A163</x:f>
        <x:v>20.5</x:v>
      </x:c>
      <x:c r="Z163" s="9" t="n">
        <x:f>0</x:f>
        <x:v>0</x:v>
      </x:c>
      <x:c r="AA163" s="9" t="n">
        <x:f>((SQRT((Inputs!$C$52+Inputs!$C$5)^2+Inputs!$C$52^2-2*(Inputs!$C$52+Inputs!$C$5)*Inputs!$C$52*COS(SQRT((Model_Data!A163)^2+Inputs!$C$6^2)/Inputs!$C$52))-Inputs!$C$5)*1000/Inputs!$C$12)</x:f>
        <x:v>920.2215393788732</x:v>
      </x:c>
      <x:c r="AB163" s="9" t="n">
        <x:f>Model_Data!F163</x:f>
        <x:v>919.3713708416556</x:v>
      </x:c>
    </x:row>
    <x:row r="164">
      <x:c r="A164" s="9" t="n">
        <x:f>Model_Data!A164</x:f>
        <x:v>21</x:v>
      </x:c>
      <x:c r="B164" s="9" t="n">
        <x:f>0</x:f>
        <x:v>0</x:v>
      </x:c>
      <x:c r="C164" s="9" t="n">
        <x:f>((SQRT((Inputs!$C$52+Inputs!$C$5)^2+Inputs!$C$52^2-2*(Inputs!$C$52+Inputs!$C$5)*Inputs!$C$52*COS(SQRT((Model_Data!A164)^2+Inputs!$C$6^2)/Inputs!$C$52))-Inputs!$C$5)*1000/Inputs!$C$12)</x:f>
        <x:v>938.450858456998</x:v>
      </x:c>
      <x:c r="D164" s="9" t="n">
        <x:f>Model_Data!F164</x:f>
        <x:v>937.5411742925972</x:v>
      </x:c>
      <x:c r="E164" s="9" t="n">
        <x:f>Model_Data!AC164</x:f>
        <x:v>738.4719361030246</x:v>
      </x:c>
      <x:c r="F164" s="10" t="n"/>
      <x:c r="G164" s="9" t="n">
        <x:f>Model_Data!A164</x:f>
        <x:v>21</x:v>
      </x:c>
      <x:c r="H164" s="9" t="n">
        <x:f>Model_Data!Y164</x:f>
        <x:v>441.2537143317768</x:v>
      </x:c>
      <x:c r="I164" s="9" t="n">
        <x:f>Model_Data!Y164</x:f>
        <x:v>441.2537143317768</x:v>
      </x:c>
      <x:c r="J164" s="9" t="n">
        <x:f>Model_Data!X164</x:f>
        <x:v>84.6060805836893</x:v>
      </x:c>
      <x:c r="K164" s="9" t="n">
        <x:f>Model_Data!A164</x:f>
        <x:v>21</x:v>
      </x:c>
      <x:c r="L164" s="9" t="n">
        <x:f>Model_Data!Y164</x:f>
        <x:v>441.2537143317768</x:v>
      </x:c>
      <x:c r="M164" s="9" t="n">
        <x:f>Model_Data!X164</x:f>
        <x:v>84.6060805836893</x:v>
      </x:c>
      <x:c r="N164" s="9" t="n">
        <x:f>-(Model_Data!AC164-Model_Data!F164)*Inputs!$C$12</x:f>
        <x:v>354.3432439774393</x:v>
      </x:c>
      <x:c r="O164" s="10" t="n"/>
      <x:c r="P164" s="9" t="n">
        <x:f>Model_Data!A164</x:f>
        <x:v>21</x:v>
      </x:c>
      <x:c r="Q164" s="9" t="n">
        <x:f>Model_Data!P164</x:f>
        <x:v>-179.3995232830639</x:v>
      </x:c>
      <x:c r="R164" s="9" t="n">
        <x:f>Model_Data!AM164</x:f>
        <x:v>-175.76256821785137</x:v>
      </x:c>
      <x:c r="S164" s="9" t="n">
        <x:f>Model_Data!Q164</x:f>
        <x:v>-26.936865357817403</x:v>
      </x:c>
      <x:c r="T164" s="9" t="n">
        <x:f>Model_Data!AN164</x:f>
        <x:v>-26.390776008686395</x:v>
      </x:c>
      <x:c r="U164" s="10" t="n"/>
      <x:c r="V164" s="9" t="n">
        <x:f>Model_Data!A164</x:f>
        <x:v>21</x:v>
      </x:c>
      <x:c r="W164" s="9" t="n">
        <x:f>Model_Data!B164-Inputs!$C$5</x:f>
        <x:v>0.4900000000000091</x:v>
      </x:c>
      <x:c r="X164" s="10" t="n"/>
      <x:c r="Y164" s="9" t="n">
        <x:f>Model_Data!A164</x:f>
        <x:v>21</x:v>
      </x:c>
      <x:c r="Z164" s="9" t="n">
        <x:f>0</x:f>
        <x:v>0</x:v>
      </x:c>
      <x:c r="AA164" s="9" t="n">
        <x:f>((SQRT((Inputs!$C$52+Inputs!$C$5)^2+Inputs!$C$52^2-2*(Inputs!$C$52+Inputs!$C$5)*Inputs!$C$52*COS(SQRT((Model_Data!A164)^2+Inputs!$C$6^2)/Inputs!$C$52))-Inputs!$C$5)*1000/Inputs!$C$12)</x:f>
        <x:v>938.450858456998</x:v>
      </x:c>
      <x:c r="AB164" s="9" t="n">
        <x:f>Model_Data!F164</x:f>
        <x:v>937.5411742925972</x:v>
      </x:c>
    </x:row>
    <x:row r="165">
      <x:c r="A165" s="9" t="n">
        <x:f>Model_Data!A165</x:f>
        <x:v>21.5</x:v>
      </x:c>
      <x:c r="B165" s="9" t="n">
        <x:f>0</x:f>
        <x:v>0</x:v>
      </x:c>
      <x:c r="C165" s="9" t="n">
        <x:f>((SQRT((Inputs!$C$52+Inputs!$C$5)^2+Inputs!$C$52^2-2*(Inputs!$C$52+Inputs!$C$5)*Inputs!$C$52*COS(SQRT((Model_Data!A165)^2+Inputs!$C$6^2)/Inputs!$C$52))-Inputs!$C$5)*1000/Inputs!$C$12)</x:f>
        <x:v>957.1178852667437</x:v>
      </x:c>
      <x:c r="D165" s="9" t="n">
        <x:f>Model_Data!F165</x:f>
        <x:v>956.1455480243712</x:v>
      </x:c>
      <x:c r="E165" s="9" t="n">
        <x:f>Model_Data!AC165</x:f>
        <x:v>754.9531130982788</x:v>
      </x:c>
      <x:c r="F165" s="10" t="n"/>
      <x:c r="G165" s="9" t="n">
        <x:f>Model_Data!A165</x:f>
        <x:v>21.5</x:v>
      </x:c>
      <x:c r="H165" s="9" t="n">
        <x:f>Model_Data!Y165</x:f>
        <x:v>444.1394266764314</x:v>
      </x:c>
      <x:c r="I165" s="9" t="n">
        <x:f>Model_Data!Y165</x:f>
        <x:v>444.1394266764314</x:v>
      </x:c>
      <x:c r="J165" s="9" t="n">
        <x:f>Model_Data!X165</x:f>
        <x:v>83.65167434978589</x:v>
      </x:c>
      <x:c r="K165" s="9" t="n">
        <x:f>Model_Data!A165</x:f>
        <x:v>21.5</x:v>
      </x:c>
      <x:c r="L165" s="9" t="n">
        <x:f>Model_Data!Y165</x:f>
        <x:v>444.1394266764314</x:v>
      </x:c>
      <x:c r="M165" s="9" t="n">
        <x:f>Model_Data!X165</x:f>
        <x:v>83.65167434978589</x:v>
      </x:c>
      <x:c r="N165" s="9" t="n">
        <x:f>-(Model_Data!AC165-Model_Data!F165)*Inputs!$C$12</x:f>
        <x:v>358.1225341684446</x:v>
      </x:c>
      <x:c r="O165" s="10" t="n"/>
      <x:c r="P165" s="9" t="n">
        <x:f>Model_Data!A165</x:f>
        <x:v>21.5</x:v>
      </x:c>
      <x:c r="Q165" s="9" t="n">
        <x:f>Model_Data!P165</x:f>
        <x:v>-183.65195507121825</x:v>
      </x:c>
      <x:c r="R165" s="9" t="n">
        <x:f>Model_Data!AM165</x:f>
        <x:v>-173.414639069415</x:v>
      </x:c>
      <x:c r="S165" s="9" t="n">
        <x:f>Model_Data!Q165</x:f>
        <x:v>-27.575368629312052</x:v>
      </x:c>
      <x:c r="T165" s="9" t="n">
        <x:f>Model_Data!AN165</x:f>
        <x:v>-26.03823409450676</x:v>
      </x:c>
      <x:c r="U165" s="10" t="n"/>
      <x:c r="V165" s="9" t="n">
        <x:f>Model_Data!A165</x:f>
        <x:v>21.5</x:v>
      </x:c>
      <x:c r="W165" s="9" t="n">
        <x:f>Model_Data!B165-Inputs!$C$5</x:f>
        <x:v>0.5136111111111177</x:v>
      </x:c>
      <x:c r="X165" s="10" t="n"/>
      <x:c r="Y165" s="9" t="n">
        <x:f>Model_Data!A165</x:f>
        <x:v>21.5</x:v>
      </x:c>
      <x:c r="Z165" s="9" t="n">
        <x:f>0</x:f>
        <x:v>0</x:v>
      </x:c>
      <x:c r="AA165" s="9" t="n">
        <x:f>((SQRT((Inputs!$C$52+Inputs!$C$5)^2+Inputs!$C$52^2-2*(Inputs!$C$52+Inputs!$C$5)*Inputs!$C$52*COS(SQRT((Model_Data!A165)^2+Inputs!$C$6^2)/Inputs!$C$52))-Inputs!$C$5)*1000/Inputs!$C$12)</x:f>
        <x:v>957.1178852667437</x:v>
      </x:c>
      <x:c r="AB165" s="9" t="n">
        <x:f>Model_Data!F165</x:f>
        <x:v>956.1455480243712</x:v>
      </x:c>
    </x:row>
    <x:row r="166">
      <x:c r="A166" s="9" t="n">
        <x:f>Model_Data!A166</x:f>
        <x:v>22</x:v>
      </x:c>
      <x:c r="B166" s="9" t="n">
        <x:f>0</x:f>
        <x:v>0</x:v>
      </x:c>
      <x:c r="C166" s="9" t="n">
        <x:f>((SQRT((Inputs!$C$52+Inputs!$C$5)^2+Inputs!$C$52^2-2*(Inputs!$C$52+Inputs!$C$5)*Inputs!$C$52*COS(SQRT((Model_Data!A166)^2+Inputs!$C$6^2)/Inputs!$C$52))-Inputs!$C$5)*1000/Inputs!$C$12)</x:f>
        <x:v>976.222509285854</x:v>
      </x:c>
      <x:c r="D166" s="9" t="n">
        <x:f>Model_Data!F166</x:f>
        <x:v>975.1842608890905</x:v>
      </x:c>
      <x:c r="E166" s="9" t="n">
        <x:f>Model_Data!AC166</x:f>
        <x:v>766.2057503281173</x:v>
      </x:c>
      <x:c r="F166" s="10" t="n"/>
      <x:c r="G166" s="9" t="n">
        <x:f>Model_Data!A166</x:f>
        <x:v>22</x:v>
      </x:c>
      <x:c r="H166" s="9" t="n">
        <x:f>Model_Data!Y166</x:f>
        <x:v>447.7794532624074</x:v>
      </x:c>
      <x:c r="I166" s="9" t="n">
        <x:f>Model_Data!Y166</x:f>
        <x:v>447.7794532624074</x:v>
      </x:c>
      <x:c r="J166" s="9" t="n">
        <x:f>Model_Data!X166</x:f>
        <x:v>73.36589826371042</x:v>
      </x:c>
      <x:c r="K166" s="9" t="n">
        <x:f>Model_Data!A166</x:f>
        <x:v>22</x:v>
      </x:c>
      <x:c r="L166" s="9" t="n">
        <x:f>Model_Data!Y166</x:f>
        <x:v>447.7794532624074</x:v>
      </x:c>
      <x:c r="M166" s="9" t="n">
        <x:f>Model_Data!X166</x:f>
        <x:v>73.36589826371042</x:v>
      </x:c>
      <x:c r="N166" s="9" t="n">
        <x:f>-(Model_Data!AC166-Model_Data!F166)*Inputs!$C$12</x:f>
        <x:v>371.98174879853224</x:v>
      </x:c>
      <x:c r="O166" s="10" t="n"/>
      <x:c r="P166" s="9" t="n">
        <x:f>Model_Data!A166</x:f>
        <x:v>22</x:v>
      </x:c>
      <x:c r="Q166" s="9" t="n">
        <x:f>Model_Data!P166</x:f>
        <x:v>-187.90305521988557</x:v>
      </x:c>
      <x:c r="R166" s="9" t="n">
        <x:f>Model_Data!AM166</x:f>
        <x:v>-190.64828334176127</x:v>
      </x:c>
      <x:c r="S166" s="9" t="n">
        <x:f>Model_Data!Q166</x:f>
        <x:v>-28.213671954937777</x:v>
      </x:c>
      <x:c r="T166" s="9" t="n">
        <x:f>Model_Data!AN166</x:f>
        <x:v>-28.625868369633828</x:v>
      </x:c>
      <x:c r="U166" s="10" t="n"/>
      <x:c r="V166" s="9" t="n">
        <x:f>Model_Data!A166</x:f>
        <x:v>22</x:v>
      </x:c>
      <x:c r="W166" s="9" t="n">
        <x:f>Model_Data!B166-Inputs!$C$5</x:f>
        <x:v>0.5377777777777624</x:v>
      </x:c>
      <x:c r="X166" s="10" t="n"/>
      <x:c r="Y166" s="9" t="n">
        <x:f>Model_Data!A166</x:f>
        <x:v>22</x:v>
      </x:c>
      <x:c r="Z166" s="9" t="n">
        <x:f>0</x:f>
        <x:v>0</x:v>
      </x:c>
      <x:c r="AA166" s="9" t="n">
        <x:f>((SQRT((Inputs!$C$52+Inputs!$C$5)^2+Inputs!$C$52^2-2*(Inputs!$C$52+Inputs!$C$5)*Inputs!$C$52*COS(SQRT((Model_Data!A166)^2+Inputs!$C$6^2)/Inputs!$C$52))-Inputs!$C$5)*1000/Inputs!$C$12)</x:f>
        <x:v>976.222509285854</x:v>
      </x:c>
      <x:c r="AB166" s="9" t="n">
        <x:f>Model_Data!F166</x:f>
        <x:v>975.1842608890905</x:v>
      </x:c>
    </x:row>
    <x:row r="167">
      <x:c r="A167" s="9" t="n">
        <x:f>Model_Data!A167</x:f>
        <x:v>22.5</x:v>
      </x:c>
      <x:c r="B167" s="9" t="n">
        <x:f>0</x:f>
        <x:v>0</x:v>
      </x:c>
      <x:c r="C167" s="9" t="n">
        <x:f>((SQRT((Inputs!$C$52+Inputs!$C$5)^2+Inputs!$C$52^2-2*(Inputs!$C$52+Inputs!$C$5)*Inputs!$C$52*COS(SQRT((Model_Data!A167)^2+Inputs!$C$6^2)/Inputs!$C$52))-Inputs!$C$5)*1000/Inputs!$C$12)</x:f>
        <x:v>995.7646174390374</x:v>
      </x:c>
      <x:c r="D167" s="9" t="n">
        <x:f>Model_Data!F167</x:f>
        <x:v>994.6570764645656</x:v>
      </x:c>
      <x:c r="E167" s="9" t="n">
        <x:f>Model_Data!AC167</x:f>
        <x:v>788.9294242986809</x:v>
      </x:c>
      <x:c r="F167" s="10" t="n"/>
      <x:c r="G167" s="9" t="n">
        <x:f>Model_Data!A167</x:f>
        <x:v>22.5</x:v>
      </x:c>
      <x:c r="H167" s="9" t="n">
        <x:f>Model_Data!Y167</x:f>
        <x:v>442.50927153418206</x:v>
      </x:c>
      <x:c r="I167" s="9" t="n">
        <x:f>Model_Data!Y167</x:f>
        <x:v>442.50927153418206</x:v>
      </x:c>
      <x:c r="J167" s="9" t="n">
        <x:f>Model_Data!X167</x:f>
        <x:v>73.86322008676284</x:v>
      </x:c>
      <x:c r="K167" s="9" t="n">
        <x:f>Model_Data!A167</x:f>
        <x:v>22.5</x:v>
      </x:c>
      <x:c r="L167" s="9" t="n">
        <x:f>Model_Data!Y167</x:f>
        <x:v>442.50927153418206</x:v>
      </x:c>
      <x:c r="M167" s="9" t="n">
        <x:f>Model_Data!X167</x:f>
        <x:v>73.86322008676284</x:v>
      </x:c>
      <x:c r="N167" s="9" t="n">
        <x:f>-(Model_Data!AC167-Model_Data!F167)*Inputs!$C$12</x:f>
        <x:v>366.1952208552748</x:v>
      </x:c>
      <x:c r="O167" s="10" t="n"/>
      <x:c r="P167" s="9" t="n">
        <x:f>Model_Data!A167</x:f>
        <x:v>22.5</x:v>
      </x:c>
      <x:c r="Q167" s="9" t="n">
        <x:f>Model_Data!P167</x:f>
        <x:v>-192.15279373456724</x:v>
      </x:c>
      <x:c r="R167" s="9" t="n">
        <x:f>Model_Data!AM167</x:f>
        <x:v>-207.66237126308624</x:v>
      </x:c>
      <x:c r="S167" s="9" t="n">
        <x:f>Model_Data!Q167</x:f>
        <x:v>-28.851770831016104</x:v>
      </x:c>
      <x:c r="T167" s="9" t="n">
        <x:f>Model_Data!AN167</x:f>
        <x:v>-31.180536225688627</x:v>
      </x:c>
      <x:c r="U167" s="10" t="n"/>
      <x:c r="V167" s="9" t="n">
        <x:f>Model_Data!A167</x:f>
        <x:v>22.5</x:v>
      </x:c>
      <x:c r="W167" s="9" t="n">
        <x:f>Model_Data!B167-Inputs!$C$5</x:f>
        <x:v>0.5625</x:v>
      </x:c>
      <x:c r="X167" s="10" t="n"/>
      <x:c r="Y167" s="9" t="n">
        <x:f>Model_Data!A167</x:f>
        <x:v>22.5</x:v>
      </x:c>
      <x:c r="Z167" s="9" t="n">
        <x:f>0</x:f>
        <x:v>0</x:v>
      </x:c>
      <x:c r="AA167" s="9" t="n">
        <x:f>((SQRT((Inputs!$C$52+Inputs!$C$5)^2+Inputs!$C$52^2-2*(Inputs!$C$52+Inputs!$C$5)*Inputs!$C$52*COS(SQRT((Model_Data!A167)^2+Inputs!$C$6^2)/Inputs!$C$52))-Inputs!$C$5)*1000/Inputs!$C$12)</x:f>
        <x:v>995.7646174390374</x:v>
      </x:c>
      <x:c r="AB167" s="9" t="n">
        <x:f>Model_Data!F167</x:f>
        <x:v>994.6570764645656</x:v>
      </x:c>
    </x:row>
    <x:row r="168">
      <x:c r="A168" s="9" t="n">
        <x:f>Model_Data!A168</x:f>
        <x:v>23</x:v>
      </x:c>
      <x:c r="B168" s="9" t="n">
        <x:f>0</x:f>
        <x:v>0</x:v>
      </x:c>
      <x:c r="C168" s="9" t="n">
        <x:f>((SQRT((Inputs!$C$52+Inputs!$C$5)^2+Inputs!$C$52^2-2*(Inputs!$C$52+Inputs!$C$5)*Inputs!$C$52*COS(SQRT((Model_Data!A168)^2+Inputs!$C$6^2)/Inputs!$C$52))-Inputs!$C$5)*1000/Inputs!$C$12)</x:f>
        <x:v>1015.7440940999775</x:v>
      </x:c>
      <x:c r="D168" s="9" t="n">
        <x:f>Model_Data!F168</x:f>
        <x:v>1014.5637530711654</x:v>
      </x:c>
      <x:c r="E168" s="9" t="n">
        <x:f>Model_Data!AC168</x:f>
        <x:v>804.522959392281</x:v>
      </x:c>
      <x:c r="F168" s="10" t="n"/>
      <x:c r="G168" s="9" t="n">
        <x:f>Model_Data!A168</x:f>
        <x:v>23</x:v>
      </x:c>
      <x:c r="H168" s="9" t="n">
        <x:f>Model_Data!Y168</x:f>
        <x:v>438.1289491107309</x:v>
      </x:c>
      <x:c r="I168" s="9" t="n">
        <x:f>Model_Data!Y168</x:f>
        <x:v>438.1289491107309</x:v>
      </x:c>
      <x:c r="J168" s="9" t="n">
        <x:f>Model_Data!X168</x:f>
        <x:v>61.781548358505674</x:v>
      </x:c>
      <x:c r="K168" s="9" t="n">
        <x:f>Model_Data!A168</x:f>
        <x:v>23</x:v>
      </x:c>
      <x:c r="L168" s="9" t="n">
        <x:f>Model_Data!Y168</x:f>
        <x:v>438.1289491107309</x:v>
      </x:c>
      <x:c r="M168" s="9" t="n">
        <x:f>Model_Data!X168</x:f>
        <x:v>61.781548358505674</x:v>
      </x:c>
      <x:c r="N168" s="9" t="n">
        <x:f>-(Model_Data!AC168-Model_Data!F168)*Inputs!$C$12</x:f>
        <x:v>373.87261274841416</x:v>
      </x:c>
      <x:c r="O168" s="10" t="n"/>
      <x:c r="P168" s="9" t="n">
        <x:f>Model_Data!A168</x:f>
        <x:v>23</x:v>
      </x:c>
      <x:c r="Q168" s="9" t="n">
        <x:f>Model_Data!P168</x:f>
        <x:v>-196.40114070170966</x:v>
      </x:c>
      <x:c r="R168" s="9" t="n">
        <x:f>Model_Data!AM168</x:f>
        <x:v>-214.52838117938882</x:v>
      </x:c>
      <x:c r="S168" s="9" t="n">
        <x:f>Model_Data!Q168</x:f>
        <x:v>-29.489660766022475</x:v>
      </x:c>
      <x:c r="T168" s="9" t="n">
        <x:f>Model_Data!AN168</x:f>
        <x:v>-32.21146864555388</x:v>
      </x:c>
      <x:c r="U168" s="10" t="n"/>
      <x:c r="V168" s="9" t="n">
        <x:f>Model_Data!A168</x:f>
        <x:v>23</x:v>
      </x:c>
      <x:c r="W168" s="9" t="n">
        <x:f>Model_Data!B168-Inputs!$C$5</x:f>
        <x:v>0.5877777777777737</x:v>
      </x:c>
      <x:c r="X168" s="10" t="n"/>
      <x:c r="Y168" s="9" t="n">
        <x:f>Model_Data!A168</x:f>
        <x:v>23</x:v>
      </x:c>
      <x:c r="Z168" s="9" t="n">
        <x:f>0</x:f>
        <x:v>0</x:v>
      </x:c>
      <x:c r="AA168" s="9" t="n">
        <x:f>((SQRT((Inputs!$C$52+Inputs!$C$5)^2+Inputs!$C$52^2-2*(Inputs!$C$52+Inputs!$C$5)*Inputs!$C$52*COS(SQRT((Model_Data!A168)^2+Inputs!$C$6^2)/Inputs!$C$52))-Inputs!$C$5)*1000/Inputs!$C$12)</x:f>
        <x:v>1015.7440940999775</x:v>
      </x:c>
      <x:c r="AB168" s="9" t="n">
        <x:f>Model_Data!F168</x:f>
        <x:v>1014.5637530711654</x:v>
      </x:c>
    </x:row>
    <x:row r="169">
      <x:c r="A169" s="9" t="n">
        <x:f>Model_Data!A169</x:f>
        <x:v>23.5</x:v>
      </x:c>
      <x:c r="B169" s="9" t="n">
        <x:f>0</x:f>
        <x:v>0</x:v>
      </x:c>
      <x:c r="C169" s="9" t="n">
        <x:f>((SQRT((Inputs!$C$52+Inputs!$C$5)^2+Inputs!$C$52^2-2*(Inputs!$C$52+Inputs!$C$5)*Inputs!$C$52*COS(SQRT((Model_Data!A169)^2+Inputs!$C$6^2)/Inputs!$C$52))-Inputs!$C$5)*1000/Inputs!$C$12)</x:f>
        <x:v>1036.1608210971144</x:v>
      </x:c>
      <x:c r="D169" s="9" t="n">
        <x:f>Model_Data!F169</x:f>
        <x:v>1034.9040437833773</x:v>
      </x:c>
      <x:c r="E169" s="9" t="n">
        <x:f>Model_Data!AC169</x:f>
        <x:v>833.9263770468148</x:v>
      </x:c>
      <x:c r="F169" s="10" t="n"/>
      <x:c r="G169" s="9" t="n">
        <x:f>Model_Data!A169</x:f>
        <x:v>23.5</x:v>
      </x:c>
      <x:c r="H169" s="9" t="n">
        <x:f>Model_Data!Y169</x:f>
        <x:v>431.2131008039683</x:v>
      </x:c>
      <x:c r="I169" s="9" t="n">
        <x:f>Model_Data!Y169</x:f>
        <x:v>431.2131008039683</x:v>
      </x:c>
      <x:c r="J169" s="9" t="n">
        <x:f>Model_Data!X169</x:f>
        <x:v>70.98866885242666</x:v>
      </x:c>
      <x:c r="K169" s="9" t="n">
        <x:f>Model_Data!A169</x:f>
        <x:v>23.5</x:v>
      </x:c>
      <x:c r="L169" s="9" t="n">
        <x:f>Model_Data!Y169</x:f>
        <x:v>431.2131008039683</x:v>
      </x:c>
      <x:c r="M169" s="9" t="n">
        <x:f>Model_Data!X169</x:f>
        <x:v>70.98866885242666</x:v>
      </x:c>
      <x:c r="N169" s="9" t="n">
        <x:f>-(Model_Data!AC169-Model_Data!F169)*Inputs!$C$12</x:f>
        <x:v>357.7402467910814</x:v>
      </x:c>
      <x:c r="O169" s="10" t="n"/>
      <x:c r="P169" s="9" t="n">
        <x:f>Model_Data!A169</x:f>
        <x:v>23.5</x:v>
      </x:c>
      <x:c r="Q169" s="9" t="n">
        <x:f>Model_Data!P169</x:f>
        <x:v>-200.64806626696736</x:v>
      </x:c>
      <x:c r="R169" s="9" t="n">
        <x:f>Model_Data!AM169</x:f>
        <x:v>-195.82322653741357</x:v>
      </x:c>
      <x:c r="S169" s="9" t="n">
        <x:f>Model_Data!Q169</x:f>
        <x:v>-30.12733727732243</x:v>
      </x:c>
      <x:c r="T169" s="9" t="n">
        <x:f>Model_Data!AN169</x:f>
        <x:v>-29.40288686747952</x:v>
      </x:c>
      <x:c r="U169" s="10" t="n"/>
      <x:c r="V169" s="9" t="n">
        <x:f>Model_Data!A169</x:f>
        <x:v>23.5</x:v>
      </x:c>
      <x:c r="W169" s="9" t="n">
        <x:f>Model_Data!B169-Inputs!$C$5</x:f>
        <x:v>0.6136111111110836</x:v>
      </x:c>
      <x:c r="X169" s="10" t="n"/>
      <x:c r="Y169" s="9" t="n">
        <x:f>Model_Data!A169</x:f>
        <x:v>23.5</x:v>
      </x:c>
      <x:c r="Z169" s="9" t="n">
        <x:f>0</x:f>
        <x:v>0</x:v>
      </x:c>
      <x:c r="AA169" s="9" t="n">
        <x:f>((SQRT((Inputs!$C$52+Inputs!$C$5)^2+Inputs!$C$52^2-2*(Inputs!$C$52+Inputs!$C$5)*Inputs!$C$52*COS(SQRT((Model_Data!A169)^2+Inputs!$C$6^2)/Inputs!$C$52))-Inputs!$C$5)*1000/Inputs!$C$12)</x:f>
        <x:v>1036.1608210971144</x:v>
      </x:c>
      <x:c r="AB169" s="9" t="n">
        <x:f>Model_Data!F169</x:f>
        <x:v>1034.9040437833773</x:v>
      </x:c>
    </x:row>
    <x:row r="170">
      <x:c r="A170" s="9" t="n">
        <x:f>Model_Data!A170</x:f>
        <x:v>24</x:v>
      </x:c>
      <x:c r="B170" s="9" t="n">
        <x:f>0</x:f>
        <x:v>0</x:v>
      </x:c>
      <x:c r="C170" s="9" t="n">
        <x:f>((SQRT((Inputs!$C$52+Inputs!$C$5)^2+Inputs!$C$52^2-2*(Inputs!$C$52+Inputs!$C$5)*Inputs!$C$52*COS(SQRT((Model_Data!A170)^2+Inputs!$C$6^2)/Inputs!$C$52))-Inputs!$C$5)*1000/Inputs!$C$12)</x:f>
        <x:v>1057.0146777139</x:v>
      </x:c>
      <x:c r="D170" s="9" t="n">
        <x:f>Model_Data!F170</x:f>
        <x:v>1055.6776964389417</x:v>
      </x:c>
      <x:c r="E170" s="9" t="n">
        <x:f>Model_Data!AC170</x:f>
        <x:v>851.6318898279699</x:v>
      </x:c>
      <x:c r="F170" s="10" t="n"/>
      <x:c r="G170" s="9" t="n">
        <x:f>Model_Data!A170</x:f>
        <x:v>24</x:v>
      </x:c>
      <x:c r="H170" s="9" t="n">
        <x:f>Model_Data!Y170</x:f>
        <x:v>441.2625072507224</x:v>
      </x:c>
      <x:c r="I170" s="9" t="n">
        <x:f>Model_Data!Y170</x:f>
        <x:v>441.2625072507224</x:v>
      </x:c>
      <x:c r="J170" s="9" t="n">
        <x:f>Model_Data!X170</x:f>
        <x:v>75.46815017037277</x:v>
      </x:c>
      <x:c r="K170" s="9" t="n">
        <x:f>Model_Data!A170</x:f>
        <x:v>24</x:v>
      </x:c>
      <x:c r="L170" s="9" t="n">
        <x:f>Model_Data!Y170</x:f>
        <x:v>441.2625072507224</x:v>
      </x:c>
      <x:c r="M170" s="9" t="n">
        <x:f>Model_Data!X170</x:f>
        <x:v>75.46815017037277</x:v>
      </x:c>
      <x:c r="N170" s="9" t="n">
        <x:f>-(Model_Data!AC170-Model_Data!F170)*Inputs!$C$12</x:f>
        <x:v>363.2015357675298</x:v>
      </x:c>
      <x:c r="O170" s="10" t="n"/>
      <x:c r="P170" s="9" t="n">
        <x:f>Model_Data!A170</x:f>
        <x:v>24</x:v>
      </x:c>
      <x:c r="Q170" s="9" t="n">
        <x:f>Model_Data!P170</x:f>
        <x:v>-204.89354065312</x:v>
      </x:c>
      <x:c r="R170" s="9" t="n">
        <x:f>Model_Data!AM170</x:f>
        <x:v>-230.14401414493477</x:v>
      </x:c>
      <x:c r="S170" s="9" t="n">
        <x:f>Model_Data!Q170</x:f>
        <x:v>-30.764795893861866</x:v>
      </x:c>
      <x:c r="T170" s="9" t="n">
        <x:f>Model_Data!AN170</x:f>
        <x:v>-34.55615828002024</x:v>
      </x:c>
      <x:c r="U170" s="10" t="n"/>
      <x:c r="V170" s="9" t="n">
        <x:f>Model_Data!A170</x:f>
        <x:v>24</x:v>
      </x:c>
      <x:c r="W170" s="9" t="n">
        <x:f>Model_Data!B170-Inputs!$C$5</x:f>
        <x:v>0.6399999999999864</x:v>
      </x:c>
      <x:c r="X170" s="10" t="n"/>
      <x:c r="Y170" s="9" t="n">
        <x:f>Model_Data!A170</x:f>
        <x:v>24</x:v>
      </x:c>
      <x:c r="Z170" s="9" t="n">
        <x:f>0</x:f>
        <x:v>0</x:v>
      </x:c>
      <x:c r="AA170" s="9" t="n">
        <x:f>((SQRT((Inputs!$C$52+Inputs!$C$5)^2+Inputs!$C$52^2-2*(Inputs!$C$52+Inputs!$C$5)*Inputs!$C$52*COS(SQRT((Model_Data!A170)^2+Inputs!$C$6^2)/Inputs!$C$52))-Inputs!$C$5)*1000/Inputs!$C$12)</x:f>
        <x:v>1057.0146777139</x:v>
      </x:c>
      <x:c r="AB170" s="9" t="n">
        <x:f>Model_Data!F170</x:f>
        <x:v>1055.6776964389417</x:v>
      </x:c>
    </x:row>
    <x:row r="171">
      <x:c r="A171" s="9" t="n">
        <x:f>Model_Data!A171</x:f>
        <x:v>24.5</x:v>
      </x:c>
      <x:c r="B171" s="9" t="n">
        <x:f>0</x:f>
        <x:v>0</x:v>
      </x:c>
      <x:c r="C171" s="9" t="n">
        <x:f>((SQRT((Inputs!$C$52+Inputs!$C$5)^2+Inputs!$C$52^2-2*(Inputs!$C$52+Inputs!$C$5)*Inputs!$C$52*COS(SQRT((Model_Data!A171)^2+Inputs!$C$6^2)/Inputs!$C$52))-Inputs!$C$5)*1000/Inputs!$C$12)</x:f>
        <x:v>1078.3055406969088</x:v>
      </x:c>
      <x:c r="D171" s="9" t="n">
        <x:f>Model_Data!F171</x:f>
        <x:v>1076.8844536568934</x:v>
      </x:c>
      <x:c r="E171" s="9" t="n">
        <x:f>Model_Data!AC171</x:f>
        <x:v>889.9972587260671</x:v>
      </x:c>
      <x:c r="F171" s="10" t="n"/>
      <x:c r="G171" s="9" t="n">
        <x:f>Model_Data!A171</x:f>
        <x:v>24.5</x:v>
      </x:c>
      <x:c r="H171" s="9" t="n">
        <x:f>Model_Data!Y171</x:f>
        <x:v>415.4369773442437</x:v>
      </x:c>
      <x:c r="I171" s="9" t="n">
        <x:f>Model_Data!Y171</x:f>
        <x:v>415.4369773442437</x:v>
      </x:c>
      <x:c r="J171" s="9" t="n">
        <x:f>Model_Data!X171</x:f>
        <x:v>80.2881627342364</x:v>
      </x:c>
      <x:c r="K171" s="9" t="n">
        <x:f>Model_Data!A171</x:f>
        <x:v>24.5</x:v>
      </x:c>
      <x:c r="L171" s="9" t="n">
        <x:f>Model_Data!Y171</x:f>
        <x:v>415.4369773442437</x:v>
      </x:c>
      <x:c r="M171" s="9" t="n">
        <x:f>Model_Data!X171</x:f>
        <x:v>80.2881627342364</x:v>
      </x:c>
      <x:c r="N171" s="9" t="n">
        <x:f>-(Model_Data!AC171-Model_Data!F171)*Inputs!$C$12</x:f>
        <x:v>332.65920697687073</x:v>
      </x:c>
      <x:c r="O171" s="10" t="n"/>
      <x:c r="P171" s="9" t="n">
        <x:f>Model_Data!A171</x:f>
        <x:v>24.5</x:v>
      </x:c>
      <x:c r="Q171" s="9" t="n">
        <x:f>Model_Data!P171</x:f>
        <x:v>-209.13753414824896</x:v>
      </x:c>
      <x:c r="R171" s="9" t="n">
        <x:f>Model_Data!AM171</x:f>
        <x:v>-244.97379562135393</x:v>
      </x:c>
      <x:c r="S171" s="9" t="n">
        <x:f>Model_Data!Q171</x:f>
        <x:v>-31.402032154391737</x:v>
      </x:c>
      <x:c r="T171" s="9" t="n">
        <x:f>Model_Data!AN171</x:f>
        <x:v>-36.78285219539849</x:v>
      </x:c>
      <x:c r="U171" s="10" t="n"/>
      <x:c r="V171" s="9" t="n">
        <x:f>Model_Data!A171</x:f>
        <x:v>24.5</x:v>
      </x:c>
      <x:c r="W171" s="9" t="n">
        <x:f>Model_Data!B171-Inputs!$C$5</x:f>
        <x:v>0.6669444444444252</x:v>
      </x:c>
      <x:c r="X171" s="10" t="n"/>
      <x:c r="Y171" s="9" t="n">
        <x:f>Model_Data!A171</x:f>
        <x:v>24.5</x:v>
      </x:c>
      <x:c r="Z171" s="9" t="n">
        <x:f>0</x:f>
        <x:v>0</x:v>
      </x:c>
      <x:c r="AA171" s="9" t="n">
        <x:f>((SQRT((Inputs!$C$52+Inputs!$C$5)^2+Inputs!$C$52^2-2*(Inputs!$C$52+Inputs!$C$5)*Inputs!$C$52*COS(SQRT((Model_Data!A171)^2+Inputs!$C$6^2)/Inputs!$C$52))-Inputs!$C$5)*1000/Inputs!$C$12)</x:f>
        <x:v>1078.3055406969088</x:v>
      </x:c>
      <x:c r="AB171" s="9" t="n">
        <x:f>Model_Data!F171</x:f>
        <x:v>1076.8844536568934</x:v>
      </x:c>
    </x:row>
    <x:row r="172">
      <x:c r="A172" s="9" t="n">
        <x:f>Model_Data!A172</x:f>
        <x:v>25</x:v>
      </x:c>
      <x:c r="B172" s="9" t="n">
        <x:f>0</x:f>
        <x:v>0</x:v>
      </x:c>
      <x:c r="C172" s="9" t="n">
        <x:f>((SQRT((Inputs!$C$52+Inputs!$C$5)^2+Inputs!$C$52^2-2*(Inputs!$C$52+Inputs!$C$5)*Inputs!$C$52*COS(SQRT((Model_Data!A172)^2+Inputs!$C$6^2)/Inputs!$C$52))-Inputs!$C$5)*1000/Inputs!$C$12)</x:f>
        <x:v>1100.033284253411</x:v>
      </x:c>
      <x:c r="D172" s="9" t="n">
        <x:f>Model_Data!F172</x:f>
        <x:v>1098.5240528424165</x:v>
      </x:c>
      <x:c r="E172" s="9" t="n">
        <x:f>Model_Data!AC172</x:f>
        <x:v>899.2131123935461</x:v>
      </x:c>
      <x:c r="F172" s="10" t="n"/>
      <x:c r="G172" s="9" t="n">
        <x:f>Model_Data!A172</x:f>
        <x:v>25</x:v>
      </x:c>
      <x:c r="H172" s="9" t="n">
        <x:f>Model_Data!Y172</x:f>
        <x:v>418.8320748478676</x:v>
      </x:c>
      <x:c r="I172" s="9" t="n">
        <x:f>Model_Data!Y172</x:f>
        <x:v>418.8320748478676</x:v>
      </x:c>
      <x:c r="J172" s="9" t="n">
        <x:f>Model_Data!X172</x:f>
        <x:v>61.498548518191555</x:v>
      </x:c>
      <x:c r="K172" s="9" t="n">
        <x:f>Model_Data!A172</x:f>
        <x:v>25</x:v>
      </x:c>
      <x:c r="L172" s="9" t="n">
        <x:f>Model_Data!Y172</x:f>
        <x:v>418.8320748478676</x:v>
      </x:c>
      <x:c r="M172" s="9" t="n">
        <x:f>Model_Data!X172</x:f>
        <x:v>61.498548518191555</x:v>
      </x:c>
      <x:c r="N172" s="9" t="n">
        <x:f>-(Model_Data!AC172-Model_Data!F172)*Inputs!$C$12</x:f>
        <x:v>354.7734739989893</x:v>
      </x:c>
      <x:c r="O172" s="10" t="n"/>
      <x:c r="P172" s="9" t="n">
        <x:f>Model_Data!A172</x:f>
        <x:v>25</x:v>
      </x:c>
      <x:c r="Q172" s="9" t="n">
        <x:f>Model_Data!P172</x:f>
        <x:v>-213.38001711119432</x:v>
      </x:c>
      <x:c r="R172" s="9" t="n">
        <x:f>Model_Data!AM172</x:f>
        <x:v>-253.7362306406976</x:v>
      </x:c>
      <x:c r="S172" s="9" t="n">
        <x:f>Model_Data!Q172</x:f>
        <x:v>-32.03904160828744</x:v>
      </x:c>
      <x:c r="T172" s="9" t="n">
        <x:f>Model_Data!AN172</x:f>
        <x:v>-38.09853312923388</x:v>
      </x:c>
      <x:c r="U172" s="10" t="n"/>
      <x:c r="V172" s="9" t="n">
        <x:f>Model_Data!A172</x:f>
        <x:v>25</x:v>
      </x:c>
      <x:c r="W172" s="9" t="n">
        <x:f>Model_Data!B172-Inputs!$C$5</x:f>
        <x:v>0.6944444444444571</x:v>
      </x:c>
      <x:c r="X172" s="10" t="n"/>
      <x:c r="Y172" s="9" t="n">
        <x:f>Model_Data!A172</x:f>
        <x:v>25</x:v>
      </x:c>
      <x:c r="Z172" s="9" t="n">
        <x:f>0</x:f>
        <x:v>0</x:v>
      </x:c>
      <x:c r="AA172" s="9" t="n">
        <x:f>((SQRT((Inputs!$C$52+Inputs!$C$5)^2+Inputs!$C$52^2-2*(Inputs!$C$52+Inputs!$C$5)*Inputs!$C$52*COS(SQRT((Model_Data!A172)^2+Inputs!$C$6^2)/Inputs!$C$52))-Inputs!$C$5)*1000/Inputs!$C$12)</x:f>
        <x:v>1100.033284253411</x:v>
      </x:c>
      <x:c r="AB172" s="9" t="n">
        <x:f>Model_Data!F172</x:f>
        <x:v>1098.5240528424165</x:v>
      </x:c>
    </x:row>
    <x:row r="173">
      <x:c r="A173" s="9" t="n">
        <x:f>Model_Data!A173</x:f>
        <x:v>25.5</x:v>
      </x:c>
      <x:c r="B173" s="9" t="n">
        <x:f>0</x:f>
        <x:v>0</x:v>
      </x:c>
      <x:c r="C173" s="9" t="n">
        <x:f>((SQRT((Inputs!$C$52+Inputs!$C$5)^2+Inputs!$C$52^2-2*(Inputs!$C$52+Inputs!$C$5)*Inputs!$C$52*COS(SQRT((Model_Data!A173)^2+Inputs!$C$6^2)/Inputs!$C$52))-Inputs!$C$5)*1000/Inputs!$C$12)</x:f>
        <x:v>1122.1977800602508</x:v>
      </x:c>
      <x:c r="D173" s="9" t="n">
        <x:f>Model_Data!F173</x:f>
        <x:v>1120.5962262068354</x:v>
      </x:c>
      <x:c r="E173" s="9" t="n">
        <x:f>Model_Data!AC173</x:f>
        <x:v>940.9204645179622</x:v>
      </x:c>
      <x:c r="F173" s="10" t="n"/>
      <x:c r="G173" s="9" t="n">
        <x:f>Model_Data!A173</x:f>
        <x:v>25.5</x:v>
      </x:c>
      <x:c r="H173" s="9" t="n">
        <x:f>Model_Data!Y173</x:f>
        <x:v>390.15691093629596</x:v>
      </x:c>
      <x:c r="I173" s="9" t="n">
        <x:f>Model_Data!Y173</x:f>
        <x:v>390.15691093629596</x:v>
      </x:c>
      <x:c r="J173" s="9" t="n">
        <x:f>Model_Data!X173</x:f>
        <x:v>67.90188044896082</x:v>
      </x:c>
      <x:c r="K173" s="9" t="n">
        <x:f>Model_Data!A173</x:f>
        <x:v>25.5</x:v>
      </x:c>
      <x:c r="L173" s="9" t="n">
        <x:f>Model_Data!Y173</x:f>
        <x:v>390.15691093629596</x:v>
      </x:c>
      <x:c r="M173" s="9" t="n">
        <x:f>Model_Data!X173</x:f>
        <x:v>67.90188044896082</x:v>
      </x:c>
      <x:c r="N173" s="9" t="n">
        <x:f>-(Model_Data!AC173-Model_Data!F173)*Inputs!$C$12</x:f>
        <x:v>319.8228558061943</x:v>
      </x:c>
      <x:c r="O173" s="10" t="n"/>
      <x:c r="P173" s="9" t="n">
        <x:f>Model_Data!A173</x:f>
        <x:v>25.5</x:v>
      </x:c>
      <x:c r="Q173" s="9" t="n">
        <x:f>Model_Data!P173</x:f>
        <x:v>-217.6209599799222</x:v>
      </x:c>
      <x:c r="R173" s="9" t="n">
        <x:f>Model_Data!AM173</x:f>
        <x:v>-267.79701353634664</x:v>
      </x:c>
      <x:c r="S173" s="9" t="n">
        <x:f>Model_Data!Q173</x:f>
        <x:v>-32.67581981680514</x:v>
      </x:c>
      <x:c r="T173" s="9" t="n">
        <x:f>Model_Data!AN173</x:f>
        <x:v>-40.209761792244244</x:v>
      </x:c>
      <x:c r="U173" s="10" t="n"/>
      <x:c r="V173" s="9" t="n">
        <x:f>Model_Data!A173</x:f>
        <x:v>25.5</x:v>
      </x:c>
      <x:c r="W173" s="9" t="n">
        <x:f>Model_Data!B173-Inputs!$C$5</x:f>
        <x:v>0.722500000000025</x:v>
      </x:c>
      <x:c r="X173" s="10" t="n"/>
      <x:c r="Y173" s="9" t="n">
        <x:f>Model_Data!A173</x:f>
        <x:v>25.5</x:v>
      </x:c>
      <x:c r="Z173" s="9" t="n">
        <x:f>0</x:f>
        <x:v>0</x:v>
      </x:c>
      <x:c r="AA173" s="9" t="n">
        <x:f>((SQRT((Inputs!$C$52+Inputs!$C$5)^2+Inputs!$C$52^2-2*(Inputs!$C$52+Inputs!$C$5)*Inputs!$C$52*COS(SQRT((Model_Data!A173)^2+Inputs!$C$6^2)/Inputs!$C$52))-Inputs!$C$5)*1000/Inputs!$C$12)</x:f>
        <x:v>1122.1977800602508</x:v>
      </x:c>
      <x:c r="AB173" s="9" t="n">
        <x:f>Model_Data!F173</x:f>
        <x:v>1120.5962262068354</x:v>
      </x:c>
    </x:row>
    <x:row r="174">
      <x:c r="A174" s="9" t="n">
        <x:f>Model_Data!A174</x:f>
        <x:v>26</x:v>
      </x:c>
      <x:c r="B174" s="9" t="n">
        <x:f>0</x:f>
        <x:v>0</x:v>
      </x:c>
      <x:c r="C174" s="9" t="n">
        <x:f>((SQRT((Inputs!$C$52+Inputs!$C$5)^2+Inputs!$C$52^2-2*(Inputs!$C$52+Inputs!$C$5)*Inputs!$C$52*COS(SQRT((Model_Data!A174)^2+Inputs!$C$6^2)/Inputs!$C$52))-Inputs!$C$5)*1000/Inputs!$C$12)</x:f>
        <x:v>1144.7988972650598</x:v>
      </x:c>
      <x:c r="D174" s="9" t="n">
        <x:f>Model_Data!F174</x:f>
        <x:v>1143.1007007754386</x:v>
      </x:c>
      <x:c r="E174" s="9" t="n">
        <x:f>Model_Data!AC174</x:f>
        <x:v>963.3932192123735</x:v>
      </x:c>
      <x:c r="F174" s="10" t="n"/>
      <x:c r="G174" s="9" t="n">
        <x:f>Model_Data!A174</x:f>
        <x:v>26</x:v>
      </x:c>
      <x:c r="H174" s="9" t="n">
        <x:f>Model_Data!Y174</x:f>
        <x:v>387.3749410180904</x:v>
      </x:c>
      <x:c r="I174" s="9" t="n">
        <x:f>Model_Data!Y174</x:f>
        <x:v>387.3749410180904</x:v>
      </x:c>
      <x:c r="J174" s="9" t="n">
        <x:f>Model_Data!X174</x:f>
        <x:v>65.03267186217182</x:v>
      </x:c>
      <x:c r="K174" s="9" t="n">
        <x:f>Model_Data!A174</x:f>
        <x:v>26</x:v>
      </x:c>
      <x:c r="L174" s="9" t="n">
        <x:f>Model_Data!Y174</x:f>
        <x:v>387.3749410180904</x:v>
      </x:c>
      <x:c r="M174" s="9" t="n">
        <x:f>Model_Data!X174</x:f>
        <x:v>65.03267186217182</x:v>
      </x:c>
      <x:c r="N174" s="9" t="n">
        <x:f>-(Model_Data!AC174-Model_Data!F174)*Inputs!$C$12</x:f>
        <x:v>319.87931718225576</x:v>
      </x:c>
      <x:c r="O174" s="10" t="n"/>
      <x:c r="P174" s="9" t="n">
        <x:f>Model_Data!A174</x:f>
        <x:v>26</x:v>
      </x:c>
      <x:c r="Q174" s="9" t="n">
        <x:f>Model_Data!P174</x:f>
        <x:v>-221.86033326770485</x:v>
      </x:c>
      <x:c r="R174" s="9" t="n">
        <x:f>Model_Data!AM174</x:f>
        <x:v>-232.61930903145185</x:v>
      </x:c>
      <x:c r="S174" s="9" t="n">
        <x:f>Model_Data!Q174</x:f>
        <x:v>-33.31236235250824</x:v>
      </x:c>
      <x:c r="T174" s="9" t="n">
        <x:f>Model_Data!AN174</x:f>
        <x:v>-34.92782417889668</x:v>
      </x:c>
      <x:c r="U174" s="10" t="n"/>
      <x:c r="V174" s="9" t="n">
        <x:f>Model_Data!A174</x:f>
        <x:v>26</x:v>
      </x:c>
      <x:c r="W174" s="9" t="n">
        <x:f>Model_Data!B174-Inputs!$C$5</x:f>
        <x:v>0.751111111111129</x:v>
      </x:c>
      <x:c r="X174" s="10" t="n"/>
      <x:c r="Y174" s="9" t="n">
        <x:f>Model_Data!A174</x:f>
        <x:v>26</x:v>
      </x:c>
      <x:c r="Z174" s="9" t="n">
        <x:f>0</x:f>
        <x:v>0</x:v>
      </x:c>
      <x:c r="AA174" s="9" t="n">
        <x:f>((SQRT((Inputs!$C$52+Inputs!$C$5)^2+Inputs!$C$52^2-2*(Inputs!$C$52+Inputs!$C$5)*Inputs!$C$52*COS(SQRT((Model_Data!A174)^2+Inputs!$C$6^2)/Inputs!$C$52))-Inputs!$C$5)*1000/Inputs!$C$12)</x:f>
        <x:v>1144.7988972650598</x:v>
      </x:c>
      <x:c r="AB174" s="9" t="n">
        <x:f>Model_Data!F174</x:f>
        <x:v>1143.1007007754386</x:v>
      </x:c>
    </x:row>
    <x:row r="175">
      <x:c r="A175" s="9" t="n">
        <x:f>Model_Data!A175</x:f>
        <x:v>26.5</x:v>
      </x:c>
      <x:c r="B175" s="9" t="n">
        <x:f>0</x:f>
        <x:v>0</x:v>
      </x:c>
      <x:c r="C175" s="9" t="n">
        <x:f>((SQRT((Inputs!$C$52+Inputs!$C$5)^2+Inputs!$C$52^2-2*(Inputs!$C$52+Inputs!$C$5)*Inputs!$C$52*COS(SQRT((Model_Data!A175)^2+Inputs!$C$6^2)/Inputs!$C$52))-Inputs!$C$5)*1000/Inputs!$C$12)</x:f>
        <x:v>1167.83650249044</x:v>
      </x:c>
      <x:c r="D175" s="9" t="n">
        <x:f>Model_Data!F175</x:f>
        <x:v>1166.0371984060328</x:v>
      </x:c>
      <x:c r="E175" s="9" t="n">
        <x:f>Model_Data!AC175</x:f>
        <x:v>991.0463117819929</x:v>
      </x:c>
      <x:c r="F175" s="10" t="n"/>
      <x:c r="G175" s="9" t="n">
        <x:f>Model_Data!A175</x:f>
        <x:v>26.5</x:v>
      </x:c>
      <x:c r="H175" s="9" t="n">
        <x:f>Model_Data!Y175</x:f>
        <x:v>383.48713922986474</x:v>
      </x:c>
      <x:c r="I175" s="9" t="n">
        <x:f>Model_Data!Y175</x:f>
        <x:v>383.48713922986474</x:v>
      </x:c>
      <x:c r="J175" s="9" t="n">
        <x:f>Model_Data!X175</x:f>
        <x:v>69.51659821200863</x:v>
      </x:c>
      <x:c r="K175" s="9" t="n">
        <x:f>Model_Data!A175</x:f>
        <x:v>26.5</x:v>
      </x:c>
      <x:c r="L175" s="9" t="n">
        <x:f>Model_Data!Y175</x:f>
        <x:v>383.48713922986474</x:v>
      </x:c>
      <x:c r="M175" s="9" t="n">
        <x:f>Model_Data!X175</x:f>
        <x:v>69.51659821200863</x:v>
      </x:c>
      <x:c r="N175" s="9" t="n">
        <x:f>-(Model_Data!AC175-Model_Data!F175)*Inputs!$C$12</x:f>
        <x:v>311.48377819079093</x:v>
      </x:c>
      <x:c r="O175" s="10" t="n"/>
      <x:c r="P175" s="9" t="n">
        <x:f>Model_Data!A175</x:f>
        <x:v>26.5</x:v>
      </x:c>
      <x:c r="Q175" s="9" t="n">
        <x:f>Model_Data!P175</x:f>
        <x:v>-226.0981075584823</x:v>
      </x:c>
      <x:c r="R175" s="9" t="n">
        <x:f>Model_Data!AM175</x:f>
        <x:v>-291.65466654148986</x:v>
      </x:c>
      <x:c r="S175" s="9" t="n">
        <x:f>Model_Data!Q175</x:f>
        <x:v>-33.94866479857092</x:v>
      </x:c>
      <x:c r="T175" s="9" t="n">
        <x:f>Model_Data!AN175</x:f>
        <x:v>-43.79199197319668</x:v>
      </x:c>
      <x:c r="U175" s="10" t="n"/>
      <x:c r="V175" s="9" t="n">
        <x:f>Model_Data!A175</x:f>
        <x:v>26.5</x:v>
      </x:c>
      <x:c r="W175" s="9" t="n">
        <x:f>Model_Data!B175-Inputs!$C$5</x:f>
        <x:v>0.7802777777777692</x:v>
      </x:c>
      <x:c r="X175" s="10" t="n"/>
      <x:c r="Y175" s="9" t="n">
        <x:f>Model_Data!A175</x:f>
        <x:v>26.5</x:v>
      </x:c>
      <x:c r="Z175" s="9" t="n">
        <x:f>0</x:f>
        <x:v>0</x:v>
      </x:c>
      <x:c r="AA175" s="9" t="n">
        <x:f>((SQRT((Inputs!$C$52+Inputs!$C$5)^2+Inputs!$C$52^2-2*(Inputs!$C$52+Inputs!$C$5)*Inputs!$C$52*COS(SQRT((Model_Data!A175)^2+Inputs!$C$6^2)/Inputs!$C$52))-Inputs!$C$5)*1000/Inputs!$C$12)</x:f>
        <x:v>1167.83650249044</x:v>
      </x:c>
      <x:c r="AB175" s="9" t="n">
        <x:f>Model_Data!F175</x:f>
        <x:v>1166.0371984060328</x:v>
      </x:c>
    </x:row>
    <x:row r="176">
      <x:c r="A176" s="9" t="n">
        <x:f>Model_Data!A176</x:f>
        <x:v>27</x:v>
      </x:c>
      <x:c r="B176" s="9" t="n">
        <x:f>0</x:f>
        <x:v>0</x:v>
      </x:c>
      <x:c r="C176" s="9" t="n">
        <x:f>((SQRT((Inputs!$C$52+Inputs!$C$5)^2+Inputs!$C$52^2-2*(Inputs!$C$52+Inputs!$C$5)*Inputs!$C$52*COS(SQRT((Model_Data!A176)^2+Inputs!$C$6^2)/Inputs!$C$52))-Inputs!$C$5)*1000/Inputs!$C$12)</x:f>
        <x:v>1191.3104598367102</x:v>
      </x:c>
      <x:c r="D176" s="9" t="n">
        <x:f>Model_Data!F176</x:f>
        <x:v>1189.4054357952016</x:v>
      </x:c>
      <x:c r="E176" s="9" t="n">
        <x:f>Model_Data!AC176</x:f>
        <x:v>1032.3915762449658</x:v>
      </x:c>
      <x:c r="F176" s="10" t="n"/>
      <x:c r="G176" s="9" t="n">
        <x:f>Model_Data!A176</x:f>
        <x:v>27</x:v>
      </x:c>
      <x:c r="H176" s="9" t="n">
        <x:f>Model_Data!Y176</x:f>
        <x:v>346.2287328646241</x:v>
      </x:c>
      <x:c r="I176" s="9" t="n">
        <x:f>Model_Data!Y176</x:f>
        <x:v>346.2287328646241</x:v>
      </x:c>
      <x:c r="J176" s="9" t="n">
        <x:f>Model_Data!X176</x:f>
        <x:v>64.45446968061479</x:v>
      </x:c>
      <x:c r="K176" s="9" t="n">
        <x:f>Model_Data!A176</x:f>
        <x:v>27</x:v>
      </x:c>
      <x:c r="L176" s="9" t="n">
        <x:f>Model_Data!Y176</x:f>
        <x:v>346.2287328646241</x:v>
      </x:c>
      <x:c r="M176" s="9" t="n">
        <x:f>Model_Data!X176</x:f>
        <x:v>64.45446968061479</x:v>
      </x:c>
      <x:c r="N176" s="9" t="n">
        <x:f>-(Model_Data!AC176-Model_Data!F176)*Inputs!$C$12</x:f>
        <x:v>279.48466999941974</x:v>
      </x:c>
      <x:c r="O176" s="10" t="n"/>
      <x:c r="P176" s="9" t="n">
        <x:f>Model_Data!A176</x:f>
        <x:v>27</x:v>
      </x:c>
      <x:c r="Q176" s="9" t="n">
        <x:f>Model_Data!P176</x:f>
        <x:v>-230.3342535144111</x:v>
      </x:c>
      <x:c r="R176" s="9" t="n">
        <x:f>Model_Data!AM176</x:f>
        <x:v>-304.31541811476563</x:v>
      </x:c>
      <x:c r="S176" s="9" t="n">
        <x:f>Model_Data!Q176</x:f>
        <x:v>-34.58472274991158</x:v>
      </x:c>
      <x:c r="T176" s="9" t="n">
        <x:f>Model_Data!AN176</x:f>
        <x:v>-45.693005722937784</x:v>
      </x:c>
      <x:c r="U176" s="10" t="n"/>
      <x:c r="V176" s="9" t="n">
        <x:f>Model_Data!A176</x:f>
        <x:v>27</x:v>
      </x:c>
      <x:c r="W176" s="9" t="n">
        <x:f>Model_Data!B176-Inputs!$C$5</x:f>
        <x:v>0.8100000000000023</x:v>
      </x:c>
      <x:c r="X176" s="10" t="n"/>
      <x:c r="Y176" s="9" t="n">
        <x:f>Model_Data!A176</x:f>
        <x:v>27</x:v>
      </x:c>
      <x:c r="Z176" s="9" t="n">
        <x:f>0</x:f>
        <x:v>0</x:v>
      </x:c>
      <x:c r="AA176" s="9" t="n">
        <x:f>((SQRT((Inputs!$C$52+Inputs!$C$5)^2+Inputs!$C$52^2-2*(Inputs!$C$52+Inputs!$C$5)*Inputs!$C$52*COS(SQRT((Model_Data!A176)^2+Inputs!$C$6^2)/Inputs!$C$52))-Inputs!$C$5)*1000/Inputs!$C$12)</x:f>
        <x:v>1191.3104598367102</x:v>
      </x:c>
      <x:c r="AB176" s="9" t="n">
        <x:f>Model_Data!F176</x:f>
        <x:v>1189.4054357952016</x:v>
      </x:c>
    </x:row>
    <x:row r="177">
      <x:c r="A177" s="9" t="n">
        <x:f>Model_Data!A177</x:f>
        <x:v>27.5</x:v>
      </x:c>
      <x:c r="B177" s="9" t="n">
        <x:f>0</x:f>
        <x:v>0</x:v>
      </x:c>
      <x:c r="C177" s="9" t="n">
        <x:f>((SQRT((Inputs!$C$52+Inputs!$C$5)^2+Inputs!$C$52^2-2*(Inputs!$C$52+Inputs!$C$5)*Inputs!$C$52*COS(SQRT((Model_Data!A177)^2+Inputs!$C$6^2)/Inputs!$C$52))-Inputs!$C$5)*1000/Inputs!$C$12)</x:f>
        <x:v>1215.2206308890595</x:v>
      </x:c>
      <x:c r="D177" s="9" t="n">
        <x:f>Model_Data!F177</x:f>
        <x:v>1213.2051244995746</x:v>
      </x:c>
      <x:c r="E177" s="9" t="n">
        <x:f>Model_Data!AC177</x:f>
        <x:v>1050.8589069580808</x:v>
      </x:c>
      <x:c r="F177" s="10" t="n"/>
      <x:c r="G177" s="9" t="n">
        <x:f>Model_Data!A177</x:f>
        <x:v>27.5</x:v>
      </x:c>
      <x:c r="H177" s="9" t="n">
        <x:f>Model_Data!Y177</x:f>
        <x:v>337.0351401860322</x:v>
      </x:c>
      <x:c r="I177" s="9" t="n">
        <x:f>Model_Data!Y177</x:f>
        <x:v>337.0351401860322</x:v>
      </x:c>
      <x:c r="J177" s="9" t="n">
        <x:f>Model_Data!X177</x:f>
        <x:v>45.78588130375909</x:v>
      </x:c>
      <x:c r="K177" s="9" t="n">
        <x:f>Model_Data!A177</x:f>
        <x:v>27.5</x:v>
      </x:c>
      <x:c r="L177" s="9" t="n">
        <x:f>Model_Data!Y177</x:f>
        <x:v>337.0351401860322</x:v>
      </x:c>
      <x:c r="M177" s="9" t="n">
        <x:f>Model_Data!X177</x:f>
        <x:v>45.78588130375909</x:v>
      </x:c>
      <x:c r="N177" s="9" t="n">
        <x:f>-(Model_Data!AC177-Model_Data!F177)*Inputs!$C$12</x:f>
        <x:v>288.97626722385905</x:v>
      </x:c>
      <x:c r="O177" s="10" t="n"/>
      <x:c r="P177" s="9" t="n">
        <x:f>Model_Data!A177</x:f>
        <x:v>27.5</x:v>
      </x:c>
      <x:c r="Q177" s="9" t="n">
        <x:f>Model_Data!P177</x:f>
        <x:v>-234.56874188968868</x:v>
      </x:c>
      <x:c r="R177" s="9" t="n">
        <x:f>Model_Data!AM177</x:f>
        <x:v>-288.8126042343174</x:v>
      </x:c>
      <x:c r="S177" s="9" t="n">
        <x:f>Model_Data!Q177</x:f>
        <x:v>-35.22053181526857</x:v>
      </x:c>
      <x:c r="T177" s="9" t="n">
        <x:f>Model_Data!AN177</x:f>
        <x:v>-43.36525589103865</x:v>
      </x:c>
      <x:c r="U177" s="10" t="n"/>
      <x:c r="V177" s="9" t="n">
        <x:f>Model_Data!A177</x:f>
        <x:v>27.5</x:v>
      </x:c>
      <x:c r="W177" s="9" t="n">
        <x:f>Model_Data!B177-Inputs!$C$5</x:f>
        <x:v>0.8402777777777715</x:v>
      </x:c>
      <x:c r="X177" s="10" t="n"/>
      <x:c r="Y177" s="9" t="n">
        <x:f>Model_Data!A177</x:f>
        <x:v>27.5</x:v>
      </x:c>
      <x:c r="Z177" s="9" t="n">
        <x:f>0</x:f>
        <x:v>0</x:v>
      </x:c>
      <x:c r="AA177" s="9" t="n">
        <x:f>((SQRT((Inputs!$C$52+Inputs!$C$5)^2+Inputs!$C$52^2-2*(Inputs!$C$52+Inputs!$C$5)*Inputs!$C$52*COS(SQRT((Model_Data!A177)^2+Inputs!$C$6^2)/Inputs!$C$52))-Inputs!$C$5)*1000/Inputs!$C$12)</x:f>
        <x:v>1215.2206308890595</x:v>
      </x:c>
      <x:c r="AB177" s="9" t="n">
        <x:f>Model_Data!F177</x:f>
        <x:v>1213.2051244995746</x:v>
      </x:c>
    </x:row>
    <x:row r="178">
      <x:c r="A178" s="9" t="n">
        <x:f>Model_Data!A178</x:f>
        <x:v>28</x:v>
      </x:c>
      <x:c r="B178" s="9" t="n">
        <x:f>0</x:f>
        <x:v>0</x:v>
      </x:c>
      <x:c r="C178" s="9" t="n">
        <x:f>((SQRT((Inputs!$C$52+Inputs!$C$5)^2+Inputs!$C$52^2-2*(Inputs!$C$52+Inputs!$C$5)*Inputs!$C$52*COS(SQRT((Model_Data!A178)^2+Inputs!$C$6^2)/Inputs!$C$52))-Inputs!$C$5)*1000/Inputs!$C$12)</x:f>
        <x:v>1239.5668747174202</x:v>
      </x:c>
      <x:c r="D178" s="9" t="n">
        <x:f>Model_Data!F178</x:f>
        <x:v>1237.4359709468442</x:v>
      </x:c>
      <x:c r="E178" s="9" t="n">
        <x:f>Model_Data!AC178</x:f>
        <x:v>1096.3728619912488</x:v>
      </x:c>
      <x:c r="F178" s="10" t="n"/>
      <x:c r="G178" s="9" t="n">
        <x:f>Model_Data!A178</x:f>
        <x:v>28</x:v>
      </x:c>
      <x:c r="H178" s="9" t="n">
        <x:f>Model_Data!Y178</x:f>
        <x:v>312.18369818898617</x:v>
      </x:c>
      <x:c r="I178" s="9" t="n">
        <x:f>Model_Data!Y178</x:f>
        <x:v>312.18369818898617</x:v>
      </x:c>
      <x:c r="J178" s="9" t="n">
        <x:f>Model_Data!X178</x:f>
        <x:v>58.94439177372493</x:v>
      </x:c>
      <x:c r="K178" s="9" t="n">
        <x:f>Model_Data!A178</x:f>
        <x:v>28</x:v>
      </x:c>
      <x:c r="L178" s="9" t="n">
        <x:f>Model_Data!Y178</x:f>
        <x:v>312.18369818898617</x:v>
      </x:c>
      <x:c r="M178" s="9" t="n">
        <x:f>Model_Data!X178</x:f>
        <x:v>58.94439177372493</x:v>
      </x:c>
      <x:c r="N178" s="9" t="n">
        <x:f>-(Model_Data!AC178-Model_Data!F178)*Inputs!$C$12</x:f>
        <x:v>251.09233394095992</x:v>
      </x:c>
      <x:c r="O178" s="10" t="n"/>
      <x:c r="P178" s="9" t="n">
        <x:f>Model_Data!A178</x:f>
        <x:v>28</x:v>
      </x:c>
      <x:c r="Q178" s="9" t="n">
        <x:f>Model_Data!P178</x:f>
        <x:v>-238.80154350054</x:v>
      </x:c>
      <x:c r="R178" s="9" t="n">
        <x:f>Model_Data!AM178</x:f>
        <x:v>-281.15917075083416</x:v>
      </x:c>
      <x:c r="S178" s="9" t="n">
        <x:f>Model_Data!Q178</x:f>
        <x:v>-35.8560876126937</x:v>
      </x:c>
      <x:c r="T178" s="9" t="n">
        <x:f>Model_Data!AN178</x:f>
        <x:v>-42.21609170432946</x:v>
      </x:c>
      <x:c r="U178" s="10" t="n"/>
      <x:c r="V178" s="9" t="n">
        <x:f>Model_Data!A178</x:f>
        <x:v>28</x:v>
      </x:c>
      <x:c r="W178" s="9" t="n">
        <x:f>Model_Data!B178-Inputs!$C$5</x:f>
        <x:v>0.8711111111111336</x:v>
      </x:c>
      <x:c r="X178" s="10" t="n"/>
      <x:c r="Y178" s="9" t="n">
        <x:f>Model_Data!A178</x:f>
        <x:v>28</x:v>
      </x:c>
      <x:c r="Z178" s="9" t="n">
        <x:f>0</x:f>
        <x:v>0</x:v>
      </x:c>
      <x:c r="AA178" s="9" t="n">
        <x:f>((SQRT((Inputs!$C$52+Inputs!$C$5)^2+Inputs!$C$52^2-2*(Inputs!$C$52+Inputs!$C$5)*Inputs!$C$52*COS(SQRT((Model_Data!A178)^2+Inputs!$C$6^2)/Inputs!$C$52))-Inputs!$C$5)*1000/Inputs!$C$12)</x:f>
        <x:v>1239.5668747174202</x:v>
      </x:c>
      <x:c r="AB178" s="9" t="n">
        <x:f>Model_Data!F178</x:f>
        <x:v>1237.4359709468442</x:v>
      </x:c>
    </x:row>
    <x:row r="179">
      <x:c r="A179" s="9" t="n">
        <x:f>Model_Data!A179</x:f>
        <x:v>28.5</x:v>
      </x:c>
      <x:c r="B179" s="9" t="n">
        <x:f>0</x:f>
        <x:v>0</x:v>
      </x:c>
      <x:c r="C179" s="9" t="n">
        <x:f>((SQRT((Inputs!$C$52+Inputs!$C$5)^2+Inputs!$C$52^2-2*(Inputs!$C$52+Inputs!$C$5)*Inputs!$C$52*COS(SQRT((Model_Data!A179)^2+Inputs!$C$6^2)/Inputs!$C$52))-Inputs!$C$5)*1000/Inputs!$C$12)</x:f>
        <x:v>1264.3490478827257</x:v>
      </x:c>
      <x:c r="D179" s="9" t="n">
        <x:f>Model_Data!F179</x:f>
        <x:v>1262.09767644656</x:v>
      </x:c>
      <x:c r="E179" s="9" t="n">
        <x:f>Model_Data!AC179</x:f>
        <x:v>1119.085556794183</x:v>
      </x:c>
      <x:c r="F179" s="10" t="n"/>
      <x:c r="G179" s="9" t="n">
        <x:f>Model_Data!A179</x:f>
        <x:v>28.5</x:v>
      </x:c>
      <x:c r="H179" s="9" t="n">
        <x:f>Model_Data!Y179</x:f>
        <x:v>310.4659866511931</x:v>
      </x:c>
      <x:c r="I179" s="9" t="n">
        <x:f>Model_Data!Y179</x:f>
        <x:v>310.4659866511931</x:v>
      </x:c>
      <x:c r="J179" s="9" t="n">
        <x:f>Model_Data!X179</x:f>
        <x:v>53.72705851492565</x:v>
      </x:c>
      <x:c r="K179" s="9" t="n">
        <x:f>Model_Data!A179</x:f>
        <x:v>28.5</x:v>
      </x:c>
      <x:c r="L179" s="9" t="n">
        <x:f>Model_Data!Y179</x:f>
        <x:v>310.4659866511931</x:v>
      </x:c>
      <x:c r="M179" s="9" t="n">
        <x:f>Model_Data!X179</x:f>
        <x:v>53.72705851492565</x:v>
      </x:c>
      <x:c r="N179" s="9" t="n">
        <x:f>-(Model_Data!AC179-Model_Data!F179)*Inputs!$C$12</x:f>
        <x:v>254.56157298123088</x:v>
      </x:c>
      <x:c r="O179" s="10" t="n"/>
      <x:c r="P179" s="9" t="n">
        <x:f>Model_Data!A179</x:f>
        <x:v>28.5</x:v>
      </x:c>
      <x:c r="Q179" s="9" t="n">
        <x:f>Model_Data!P179</x:f>
        <x:v>-243.03262925423041</x:v>
      </x:c>
      <x:c r="R179" s="9" t="n">
        <x:f>Model_Data!AM179</x:f>
        <x:v>-287.9698524754531</x:v>
      </x:c>
      <x:c r="S179" s="9" t="n">
        <x:f>Model_Data!Q179</x:f>
        <x:v>-36.491385773908476</x:v>
      </x:c>
      <x:c r="T179" s="9" t="n">
        <x:f>Model_Data!AN179</x:f>
        <x:v>-43.23871658790587</x:v>
      </x:c>
      <x:c r="U179" s="10" t="n"/>
      <x:c r="V179" s="9" t="n">
        <x:f>Model_Data!A179</x:f>
        <x:v>28.5</x:v>
      </x:c>
      <x:c r="W179" s="9" t="n">
        <x:f>Model_Data!B179-Inputs!$C$5</x:f>
        <x:v>0.902499999999975</x:v>
      </x:c>
      <x:c r="X179" s="10" t="n"/>
      <x:c r="Y179" s="9" t="n">
        <x:f>Model_Data!A179</x:f>
        <x:v>28.5</x:v>
      </x:c>
      <x:c r="Z179" s="9" t="n">
        <x:f>0</x:f>
        <x:v>0</x:v>
      </x:c>
      <x:c r="AA179" s="9" t="n">
        <x:f>((SQRT((Inputs!$C$52+Inputs!$C$5)^2+Inputs!$C$52^2-2*(Inputs!$C$52+Inputs!$C$5)*Inputs!$C$52*COS(SQRT((Model_Data!A179)^2+Inputs!$C$6^2)/Inputs!$C$52))-Inputs!$C$5)*1000/Inputs!$C$12)</x:f>
        <x:v>1264.3490478827257</x:v>
      </x:c>
      <x:c r="AB179" s="9" t="n">
        <x:f>Model_Data!F179</x:f>
        <x:v>1262.09767644656</x:v>
      </x:c>
    </x:row>
    <x:row r="180">
      <x:c r="A180" s="9" t="n">
        <x:f>Model_Data!A180</x:f>
        <x:v>29</x:v>
      </x:c>
      <x:c r="B180" s="9" t="n">
        <x:f>0</x:f>
        <x:v>0</x:v>
      </x:c>
      <x:c r="C180" s="9" t="n">
        <x:f>((SQRT((Inputs!$C$52+Inputs!$C$5)^2+Inputs!$C$52^2-2*(Inputs!$C$52+Inputs!$C$5)*Inputs!$C$52*COS(SQRT((Model_Data!A180)^2+Inputs!$C$6^2)/Inputs!$C$52))-Inputs!$C$5)*1000/Inputs!$C$12)</x:f>
        <x:v>1289.5670044428514</x:v>
      </x:c>
      <x:c r="D180" s="9" t="n">
        <x:f>Model_Data!F180</x:f>
        <x:v>1287.1899372112048</x:v>
      </x:c>
      <x:c r="E180" s="9" t="n">
        <x:f>Model_Data!AC180</x:f>
        <x:v>1145.2861149607454</x:v>
      </x:c>
      <x:c r="F180" s="10" t="n"/>
      <x:c r="G180" s="9" t="n">
        <x:f>Model_Data!A180</x:f>
        <x:v>29</x:v>
      </x:c>
      <x:c r="H180" s="9" t="n">
        <x:f>Model_Data!Y180</x:f>
        <x:v>283.98171018669603</x:v>
      </x:c>
      <x:c r="I180" s="9" t="n">
        <x:f>Model_Data!Y180</x:f>
        <x:v>283.98171018669603</x:v>
      </x:c>
      <x:c r="J180" s="9" t="n">
        <x:f>Model_Data!X180</x:f>
        <x:v>29.362157595592716</x:v>
      </x:c>
      <x:c r="K180" s="9" t="n">
        <x:f>Model_Data!A180</x:f>
        <x:v>29</x:v>
      </x:c>
      <x:c r="L180" s="9" t="n">
        <x:f>Model_Data!Y180</x:f>
        <x:v>283.98171018669603</x:v>
      </x:c>
      <x:c r="M180" s="9" t="n">
        <x:f>Model_Data!X180</x:f>
        <x:v>29.362157595592716</x:v>
      </x:c>
      <x:c r="N180" s="9" t="n">
        <x:f>-(Model_Data!AC180-Model_Data!F180)*Inputs!$C$12</x:f>
        <x:v>252.58880360581767</x:v>
      </x:c>
      <x:c r="O180" s="10" t="n"/>
      <x:c r="P180" s="9" t="n">
        <x:f>Model_Data!A180</x:f>
        <x:v>29</x:v>
      </x:c>
      <x:c r="Q180" s="9" t="n">
        <x:f>Model_Data!P180</x:f>
        <x:v>-247.26197014497302</x:v>
      </x:c>
      <x:c r="R180" s="9" t="n">
        <x:f>Model_Data!AM180</x:f>
        <x:v>-321.95858402801605</x:v>
      </x:c>
      <x:c r="S180" s="9" t="n">
        <x:f>Model_Data!Q180</x:f>
        <x:v>-37.12642194368964</x:v>
      </x:c>
      <x:c r="T180" s="9" t="n">
        <x:f>Model_Data!AN180</x:f>
        <x:v>-48.342129733936346</x:v>
      </x:c>
      <x:c r="U180" s="10" t="n"/>
      <x:c r="V180" s="9" t="n">
        <x:f>Model_Data!A180</x:f>
        <x:v>29</x:v>
      </x:c>
      <x:c r="W180" s="9" t="n">
        <x:f>Model_Data!B180-Inputs!$C$5</x:f>
        <x:v>0.9344444444444662</x:v>
      </x:c>
      <x:c r="X180" s="10" t="n"/>
      <x:c r="Y180" s="9" t="n">
        <x:f>Model_Data!A180</x:f>
        <x:v>29</x:v>
      </x:c>
      <x:c r="Z180" s="9" t="n">
        <x:f>0</x:f>
        <x:v>0</x:v>
      </x:c>
      <x:c r="AA180" s="9" t="n">
        <x:f>((SQRT((Inputs!$C$52+Inputs!$C$5)^2+Inputs!$C$52^2-2*(Inputs!$C$52+Inputs!$C$5)*Inputs!$C$52*COS(SQRT((Model_Data!A180)^2+Inputs!$C$6^2)/Inputs!$C$52))-Inputs!$C$5)*1000/Inputs!$C$12)</x:f>
        <x:v>1289.5670044428514</x:v>
      </x:c>
      <x:c r="AB180" s="9" t="n">
        <x:f>Model_Data!F180</x:f>
        <x:v>1287.1899372112048</x:v>
      </x:c>
    </x:row>
    <x:row r="181">
      <x:c r="A181" s="9" t="n">
        <x:f>Model_Data!A181</x:f>
        <x:v>29.5</x:v>
      </x:c>
      <x:c r="B181" s="9" t="n">
        <x:f>0</x:f>
        <x:v>0</x:v>
      </x:c>
      <x:c r="C181" s="9" t="n">
        <x:f>((SQRT((Inputs!$C$52+Inputs!$C$5)^2+Inputs!$C$52^2-2*(Inputs!$C$52+Inputs!$C$5)*Inputs!$C$52*COS(SQRT((Model_Data!A181)^2+Inputs!$C$6^2)/Inputs!$C$52))-Inputs!$C$5)*1000/Inputs!$C$12)</x:f>
        <x:v>1315.2205959528692</x:v>
      </x:c>
      <x:c r="D181" s="9" t="n">
        <x:f>Model_Data!F181</x:f>
        <x:v>1312.7124443657435</x:v>
      </x:c>
      <x:c r="E181" s="9" t="n">
        <x:f>Model_Data!AC181</x:f>
        <x:v>1177.2307489554819</x:v>
      </x:c>
      <x:c r="F181" s="10" t="n"/>
      <x:c r="G181" s="9" t="n">
        <x:f>Model_Data!A181</x:f>
        <x:v>29.5</x:v>
      </x:c>
      <x:c r="H181" s="9" t="n">
        <x:f>Model_Data!Y181</x:f>
        <x:v>263.5246591496981</x:v>
      </x:c>
      <x:c r="I181" s="9" t="n">
        <x:f>Model_Data!Y181</x:f>
        <x:v>263.5246591496981</x:v>
      </x:c>
      <x:c r="J181" s="9" t="n">
        <x:f>Model_Data!X181</x:f>
        <x:v>20.4458299890095</x:v>
      </x:c>
      <x:c r="K181" s="9" t="n">
        <x:f>Model_Data!A181</x:f>
        <x:v>29.5</x:v>
      </x:c>
      <x:c r="L181" s="9" t="n">
        <x:f>Model_Data!Y181</x:f>
        <x:v>263.5246591496981</x:v>
      </x:c>
      <x:c r="M181" s="9" t="n">
        <x:f>Model_Data!X181</x:f>
        <x:v>20.4458299890095</x:v>
      </x:c>
      <x:c r="N181" s="9" t="n">
        <x:f>-(Model_Data!AC181-Model_Data!F181)*Inputs!$C$12</x:f>
        <x:v>241.15741783026573</x:v>
      </x:c>
      <x:c r="O181" s="10" t="n"/>
      <x:c r="P181" s="9" t="n">
        <x:f>Model_Data!A181</x:f>
        <x:v>29.5</x:v>
      </x:c>
      <x:c r="Q181" s="9" t="n">
        <x:f>Model_Data!P181</x:f>
        <x:v>-251.4895372385581</x:v>
      </x:c>
      <x:c r="R181" s="9" t="n">
        <x:f>Model_Data!AM181</x:f>
        <x:v>-292.2747079845067</x:v>
      </x:c>
      <x:c r="S181" s="9" t="n">
        <x:f>Model_Data!Q181</x:f>
        <x:v>-37.76119177756128</x:v>
      </x:c>
      <x:c r="T181" s="9" t="n">
        <x:f>Model_Data!AN181</x:f>
        <x:v>-43.88509128896497</x:v>
      </x:c>
      <x:c r="U181" s="10" t="n"/>
      <x:c r="V181" s="9" t="n">
        <x:f>Model_Data!A181</x:f>
        <x:v>29.5</x:v>
      </x:c>
      <x:c r="W181" s="9" t="n">
        <x:f>Model_Data!B181-Inputs!$C$5</x:f>
        <x:v>0.9669444444444366</x:v>
      </x:c>
      <x:c r="X181" s="10" t="n"/>
      <x:c r="Y181" s="9" t="n">
        <x:f>Model_Data!A181</x:f>
        <x:v>29.5</x:v>
      </x:c>
      <x:c r="Z181" s="9" t="n">
        <x:f>0</x:f>
        <x:v>0</x:v>
      </x:c>
      <x:c r="AA181" s="9" t="n">
        <x:f>((SQRT((Inputs!$C$52+Inputs!$C$5)^2+Inputs!$C$52^2-2*(Inputs!$C$52+Inputs!$C$5)*Inputs!$C$52*COS(SQRT((Model_Data!A181)^2+Inputs!$C$6^2)/Inputs!$C$52))-Inputs!$C$5)*1000/Inputs!$C$12)</x:f>
        <x:v>1315.2205959528692</x:v>
      </x:c>
      <x:c r="AB181" s="9" t="n">
        <x:f>Model_Data!F181</x:f>
        <x:v>1312.7124443657435</x:v>
      </x:c>
    </x:row>
    <x:row r="182">
      <x:c r="A182" s="9" t="n">
        <x:f>Model_Data!A182</x:f>
        <x:v>30</x:v>
      </x:c>
      <x:c r="B182" s="9" t="n">
        <x:f>0</x:f>
        <x:v>0</x:v>
      </x:c>
      <x:c r="C182" s="9" t="n">
        <x:f>((SQRT((Inputs!$C$52+Inputs!$C$5)^2+Inputs!$C$52^2-2*(Inputs!$C$52+Inputs!$C$5)*Inputs!$C$52*COS(SQRT((Model_Data!A182)^2+Inputs!$C$6^2)/Inputs!$C$52))-Inputs!$C$5)*1000/Inputs!$C$12)</x:f>
        <x:v>1341.3096714700305</x:v>
      </x:c>
      <x:c r="D182" s="9" t="n">
        <x:f>Model_Data!F182</x:f>
        <x:v>1338.6648839632076</x:v>
      </x:c>
      <x:c r="E182" s="9" t="n">
        <x:f>Model_Data!AC182</x:f>
        <x:v>1201.2597654401989</x:v>
      </x:c>
      <x:c r="F182" s="10" t="n"/>
      <x:c r="G182" s="9" t="n">
        <x:f>Model_Data!A182</x:f>
        <x:v>30</x:v>
      </x:c>
      <x:c r="H182" s="9" t="n">
        <x:f>Model_Data!Y182</x:f>
        <x:v>258.3810354027646</x:v>
      </x:c>
      <x:c r="I182" s="9" t="n">
        <x:f>Model_Data!Y182</x:f>
        <x:v>258.3810354027646</x:v>
      </x:c>
      <x:c r="J182" s="9" t="n">
        <x:f>Model_Data!X182</x:f>
        <x:v>11.879118514207924</x:v>
      </x:c>
      <x:c r="K182" s="9" t="n">
        <x:f>Model_Data!A182</x:f>
        <x:v>30</x:v>
      </x:c>
      <x:c r="L182" s="9" t="n">
        <x:f>Model_Data!Y182</x:f>
        <x:v>258.3810354027646</x:v>
      </x:c>
      <x:c r="M182" s="9" t="n">
        <x:f>Model_Data!X182</x:f>
        <x:v>11.879118514207924</x:v>
      </x:c>
      <x:c r="N182" s="9" t="n">
        <x:f>-(Model_Data!AC182-Model_Data!F182)*Inputs!$C$12</x:f>
        <x:v>244.58111097095548</x:v>
      </x:c>
      <x:c r="O182" s="10" t="n"/>
      <x:c r="P182" s="9" t="n">
        <x:f>Model_Data!A182</x:f>
        <x:v>30</x:v>
      </x:c>
      <x:c r="Q182" s="9" t="n">
        <x:f>Model_Data!P182</x:f>
        <x:v>-255.71530170509504</x:v>
      </x:c>
      <x:c r="R182" s="9" t="n">
        <x:f>Model_Data!AM182</x:f>
        <x:v>-293.2127943361593</x:v>
      </x:c>
      <x:c r="S182" s="9" t="n">
        <x:f>Model_Data!Q182</x:f>
        <x:v>-38.39569094671097</x:v>
      </x:c>
      <x:c r="T182" s="9" t="n">
        <x:f>Model_Data!AN182</x:f>
        <x:v>-44.02594509551942</x:v>
      </x:c>
      <x:c r="U182" s="10" t="n"/>
      <x:c r="V182" s="9" t="n">
        <x:f>Model_Data!A182</x:f>
        <x:v>30</x:v>
      </x:c>
      <x:c r="W182" s="9" t="n">
        <x:f>Model_Data!B182-Inputs!$C$5</x:f>
        <x:v>1</x:v>
      </x:c>
      <x:c r="X182" s="10" t="n"/>
      <x:c r="Y182" s="9" t="n">
        <x:f>Model_Data!A182</x:f>
        <x:v>30</x:v>
      </x:c>
      <x:c r="Z182" s="9" t="n">
        <x:f>0</x:f>
        <x:v>0</x:v>
      </x:c>
      <x:c r="AA182" s="9" t="n">
        <x:f>((SQRT((Inputs!$C$52+Inputs!$C$5)^2+Inputs!$C$52^2-2*(Inputs!$C$52+Inputs!$C$5)*Inputs!$C$52*COS(SQRT((Model_Data!A182)^2+Inputs!$C$6^2)/Inputs!$C$52))-Inputs!$C$5)*1000/Inputs!$C$12)</x:f>
        <x:v>1341.3096714700305</x:v>
      </x:c>
      <x:c r="AB182" s="9" t="n">
        <x:f>Model_Data!F182</x:f>
        <x:v>1338.6648839632076</x:v>
      </x:c>
    </x:row>
    <x:row r="183">
      <x:c r="A183" s="9" t="n">
        <x:f>Model_Data!A183</x:f>
        <x:v>30.5</x:v>
      </x:c>
      <x:c r="B183" s="9" t="n">
        <x:f>0</x:f>
        <x:v>0</x:v>
      </x:c>
      <x:c r="C183" s="9" t="n">
        <x:f>((SQRT((Inputs!$C$52+Inputs!$C$5)^2+Inputs!$C$52^2-2*(Inputs!$C$52+Inputs!$C$5)*Inputs!$C$52*COS(SQRT((Model_Data!A183)^2+Inputs!$C$6^2)/Inputs!$C$52))-Inputs!$C$5)*1000/Inputs!$C$12)</x:f>
        <x:v>1367.8340775619401</x:v>
      </x:c>
      <x:c r="D183" s="9" t="n">
        <x:f>Model_Data!F183</x:f>
        <x:v>1365.0469370056433</x:v>
      </x:c>
      <x:c r="E183" s="9" t="n">
        <x:f>Model_Data!AC183</x:f>
        <x:v>1233.6522677244784</x:v>
      </x:c>
      <x:c r="F183" s="10" t="n"/>
      <x:c r="G183" s="9" t="n">
        <x:f>Model_Data!A183</x:f>
        <x:v>30.5</x:v>
      </x:c>
      <x:c r="H183" s="9" t="n">
        <x:f>Model_Data!Y183</x:f>
        <x:v>239.98613946224492</x:v>
      </x:c>
      <x:c r="I183" s="9" t="n">
        <x:f>Model_Data!Y183</x:f>
        <x:v>239.98613946224492</x:v>
      </x:c>
      <x:c r="J183" s="9" t="n">
        <x:f>Model_Data!X183</x:f>
        <x:v>4.284803604386864</x:v>
      </x:c>
      <x:c r="K183" s="9" t="n">
        <x:f>Model_Data!A183</x:f>
        <x:v>30.5</x:v>
      </x:c>
      <x:c r="L183" s="9" t="n">
        <x:f>Model_Data!Y183</x:f>
        <x:v>239.98613946224492</x:v>
      </x:c>
      <x:c r="M183" s="9" t="n">
        <x:f>Model_Data!X183</x:f>
        <x:v>4.284803604386864</x:v>
      </x:c>
      <x:c r="N183" s="9" t="n">
        <x:f>-(Model_Data!AC183-Model_Data!F183)*Inputs!$C$12</x:f>
        <x:v>233.88251132047344</x:v>
      </x:c>
      <x:c r="O183" s="10" t="n"/>
      <x:c r="P183" s="9" t="n">
        <x:f>Model_Data!A183</x:f>
        <x:v>30.5</x:v>
      </x:c>
      <x:c r="Q183" s="9" t="n">
        <x:f>Model_Data!P183</x:f>
        <x:v>-259.939234788817</x:v>
      </x:c>
      <x:c r="R183" s="9" t="n">
        <x:f>Model_Data!AM183</x:f>
        <x:v>-289.90851072876467</x:v>
      </x:c>
      <x:c r="S183" s="9" t="n">
        <x:f>Model_Data!Q183</x:f>
        <x:v>-39.02991513345601</x:v>
      </x:c>
      <x:c r="T183" s="9" t="n">
        <x:f>Model_Data!AN183</x:f>
        <x:v>-43.529806415730434</x:v>
      </x:c>
      <x:c r="U183" s="10" t="n"/>
      <x:c r="V183" s="9" t="n">
        <x:f>Model_Data!A183</x:f>
        <x:v>30.5</x:v>
      </x:c>
      <x:c r="W183" s="9" t="n">
        <x:f>Model_Data!B183-Inputs!$C$5</x:f>
        <x:v>1.0336111111110995</x:v>
      </x:c>
      <x:c r="X183" s="10" t="n"/>
      <x:c r="Y183" s="9" t="n">
        <x:f>Model_Data!A183</x:f>
        <x:v>30.5</x:v>
      </x:c>
      <x:c r="Z183" s="9" t="n">
        <x:f>0</x:f>
        <x:v>0</x:v>
      </x:c>
      <x:c r="AA183" s="9" t="n">
        <x:f>((SQRT((Inputs!$C$52+Inputs!$C$5)^2+Inputs!$C$52^2-2*(Inputs!$C$52+Inputs!$C$5)*Inputs!$C$52*COS(SQRT((Model_Data!A183)^2+Inputs!$C$6^2)/Inputs!$C$52))-Inputs!$C$5)*1000/Inputs!$C$12)</x:f>
        <x:v>1367.8340775619401</x:v>
      </x:c>
      <x:c r="AB183" s="9" t="n">
        <x:f>Model_Data!F183</x:f>
        <x:v>1365.0469370056433</x:v>
      </x:c>
    </x:row>
    <x:row r="184">
      <x:c r="A184" s="9" t="n">
        <x:f>Model_Data!A184</x:f>
        <x:v>31</x:v>
      </x:c>
      <x:c r="B184" s="9" t="n">
        <x:f>0</x:f>
        <x:v>0</x:v>
      </x:c>
      <x:c r="C184" s="9" t="n">
        <x:f>((SQRT((Inputs!$C$52+Inputs!$C$5)^2+Inputs!$C$52^2-2*(Inputs!$C$52+Inputs!$C$5)*Inputs!$C$52*COS(SQRT((Model_Data!A184)^2+Inputs!$C$6^2)/Inputs!$C$52))-Inputs!$C$5)*1000/Inputs!$C$12)</x:f>
        <x:v>1394.7936583071323</x:v>
      </x:c>
      <x:c r="D184" s="9" t="n">
        <x:f>Model_Data!F184</x:f>
        <x:v>1391.8582794492854</x:v>
      </x:c>
      <x:c r="E184" s="9" t="n">
        <x:f>Model_Data!AC184</x:f>
        <x:v>1268.803727223807</x:v>
      </x:c>
      <x:c r="F184" s="10" t="n"/>
      <x:c r="G184" s="9" t="n">
        <x:f>Model_Data!A184</x:f>
        <x:v>31</x:v>
      </x:c>
      <x:c r="H184" s="9" t="n">
        <x:f>Model_Data!Y184</x:f>
        <x:v>239.58052305996605</x:v>
      </x:c>
      <x:c r="I184" s="9" t="n">
        <x:f>Model_Data!Y184</x:f>
        <x:v>239.58052305996605</x:v>
      </x:c>
      <x:c r="J184" s="9" t="n">
        <x:f>Model_Data!X184</x:f>
        <x:v>18.692329061381155</x:v>
      </x:c>
      <x:c r="K184" s="9" t="n">
        <x:f>Model_Data!A184</x:f>
        <x:v>31</x:v>
      </x:c>
      <x:c r="L184" s="9" t="n">
        <x:f>Model_Data!Y184</x:f>
        <x:v>239.58052305996605</x:v>
      </x:c>
      <x:c r="M184" s="9" t="n">
        <x:f>Model_Data!X184</x:f>
        <x:v>18.692329061381155</x:v>
      </x:c>
      <x:c r="N184" s="9" t="n">
        <x:f>-(Model_Data!AC184-Model_Data!F184)*Inputs!$C$12</x:f>
        <x:v>219.03710296135145</x:v>
      </x:c>
      <x:c r="O184" s="10" t="n"/>
      <x:c r="P184" s="9" t="n">
        <x:f>Model_Data!A184</x:f>
        <x:v>31</x:v>
      </x:c>
      <x:c r="Q184" s="9" t="n">
        <x:f>Model_Data!P184</x:f>
        <x:v>-264.16130781663014</x:v>
      </x:c>
      <x:c r="R184" s="9" t="n">
        <x:f>Model_Data!AM184</x:f>
        <x:v>-301.4594318800846</x:v>
      </x:c>
      <x:c r="S184" s="9" t="n">
        <x:f>Model_Data!Q184</x:f>
        <x:v>-39.663860032527054</x:v>
      </x:c>
      <x:c r="T184" s="9" t="n">
        <x:f>Model_Data!AN184</x:f>
        <x:v>-45.264178960973666</x:v>
      </x:c>
      <x:c r="U184" s="10" t="n"/>
      <x:c r="V184" s="9" t="n">
        <x:f>Model_Data!A184</x:f>
        <x:v>31</x:v>
      </x:c>
      <x:c r="W184" s="9" t="n">
        <x:f>Model_Data!B184-Inputs!$C$5</x:f>
        <x:v>1.067777777777792</x:v>
      </x:c>
      <x:c r="X184" s="10" t="n"/>
      <x:c r="Y184" s="9" t="n">
        <x:f>Model_Data!A184</x:f>
        <x:v>31</x:v>
      </x:c>
      <x:c r="Z184" s="9" t="n">
        <x:f>0</x:f>
        <x:v>0</x:v>
      </x:c>
      <x:c r="AA184" s="9" t="n">
        <x:f>((SQRT((Inputs!$C$52+Inputs!$C$5)^2+Inputs!$C$52^2-2*(Inputs!$C$52+Inputs!$C$5)*Inputs!$C$52*COS(SQRT((Model_Data!A184)^2+Inputs!$C$6^2)/Inputs!$C$52))-Inputs!$C$5)*1000/Inputs!$C$12)</x:f>
        <x:v>1394.7936583071323</x:v>
      </x:c>
      <x:c r="AB184" s="9" t="n">
        <x:f>Model_Data!F184</x:f>
        <x:v>1391.8582794492854</x:v>
      </x:c>
    </x:row>
    <x:row r="185">
      <x:c r="A185" s="9" t="n">
        <x:f>Model_Data!A185</x:f>
        <x:v>31.5</x:v>
      </x:c>
      <x:c r="B185" s="9" t="n">
        <x:f>0</x:f>
        <x:v>0</x:v>
      </x:c>
      <x:c r="C185" s="9" t="n">
        <x:f>((SQRT((Inputs!$C$52+Inputs!$C$5)^2+Inputs!$C$52^2-2*(Inputs!$C$52+Inputs!$C$5)*Inputs!$C$52*COS(SQRT((Model_Data!A185)^2+Inputs!$C$6^2)/Inputs!$C$52))-Inputs!$C$5)*1000/Inputs!$C$12)</x:f>
        <x:v>1422.1882553000517</x:v>
      </x:c>
      <x:c r="D185" s="9" t="n">
        <x:f>Model_Data!F185</x:f>
        <x:v>1419.0985822283808</x:v>
      </x:c>
      <x:c r="E185" s="9" t="n">
        <x:f>Model_Data!AC185</x:f>
        <x:v>1308.8310653149633</x:v>
      </x:c>
      <x:c r="F185" s="10" t="n"/>
      <x:c r="G185" s="9" t="n">
        <x:f>Model_Data!A185</x:f>
        <x:v>31.5</x:v>
      </x:c>
      <x:c r="H185" s="9" t="n">
        <x:f>Model_Data!Y185</x:f>
        <x:v>216.56157473369862</x:v>
      </x:c>
      <x:c r="I185" s="9" t="n">
        <x:f>Model_Data!Y185</x:f>
        <x:v>216.56157473369862</x:v>
      </x:c>
      <x:c r="J185" s="9" t="n">
        <x:f>Model_Data!X185</x:f>
        <x:v>18.579807279306877</x:v>
      </x:c>
      <x:c r="K185" s="9" t="n">
        <x:f>Model_Data!A185</x:f>
        <x:v>31.5</x:v>
      </x:c>
      <x:c r="L185" s="9" t="n">
        <x:f>Model_Data!Y185</x:f>
        <x:v>216.56157473369862</x:v>
      </x:c>
      <x:c r="M185" s="9" t="n">
        <x:f>Model_Data!X185</x:f>
        <x:v>18.579807279306877</x:v>
      </x:c>
      <x:c r="N185" s="9" t="n">
        <x:f>-(Model_Data!AC185-Model_Data!F185)*Inputs!$C$12</x:f>
        <x:v>196.2761801058831</x:v>
      </x:c>
      <x:c r="O185" s="10" t="n"/>
      <x:c r="P185" s="9" t="n">
        <x:f>Model_Data!A185</x:f>
        <x:v>31.5</x:v>
      </x:c>
      <x:c r="Q185" s="9" t="n">
        <x:f>Model_Data!P185</x:f>
        <x:v>-268.38149222203356</x:v>
      </x:c>
      <x:c r="R185" s="9" t="n">
        <x:f>Model_Data!AM185</x:f>
        <x:v>-295.7054253145543</x:v>
      </x:c>
      <x:c r="S185" s="9" t="n">
        <x:f>Model_Data!Q185</x:f>
        <x:v>-40.29752135465969</x:v>
      </x:c>
      <x:c r="T185" s="9" t="n">
        <x:f>Model_Data!AN185</x:f>
        <x:v>-44.40021401119434</x:v>
      </x:c>
      <x:c r="U185" s="10" t="n"/>
      <x:c r="V185" s="9" t="n">
        <x:f>Model_Data!A185</x:f>
        <x:v>31.5</x:v>
      </x:c>
      <x:c r="W185" s="9" t="n">
        <x:f>Model_Data!B185-Inputs!$C$5</x:f>
        <x:v>1.1025000000000205</x:v>
      </x:c>
      <x:c r="X185" s="10" t="n"/>
      <x:c r="Y185" s="9" t="n">
        <x:f>Model_Data!A185</x:f>
        <x:v>31.5</x:v>
      </x:c>
      <x:c r="Z185" s="9" t="n">
        <x:f>0</x:f>
        <x:v>0</x:v>
      </x:c>
      <x:c r="AA185" s="9" t="n">
        <x:f>((SQRT((Inputs!$C$52+Inputs!$C$5)^2+Inputs!$C$52^2-2*(Inputs!$C$52+Inputs!$C$5)*Inputs!$C$52*COS(SQRT((Model_Data!A185)^2+Inputs!$C$6^2)/Inputs!$C$52))-Inputs!$C$5)*1000/Inputs!$C$12)</x:f>
        <x:v>1422.1882553000517</x:v>
      </x:c>
      <x:c r="AB185" s="9" t="n">
        <x:f>Model_Data!F185</x:f>
        <x:v>1419.0985822283808</x:v>
      </x:c>
    </x:row>
    <x:row r="186">
      <x:c r="A186" s="9" t="n">
        <x:f>Model_Data!A186</x:f>
        <x:v>32</x:v>
      </x:c>
      <x:c r="B186" s="9" t="n">
        <x:f>0</x:f>
        <x:v>0</x:v>
      </x:c>
      <x:c r="C186" s="9" t="n">
        <x:f>((SQRT((Inputs!$C$52+Inputs!$C$5)^2+Inputs!$C$52^2-2*(Inputs!$C$52+Inputs!$C$5)*Inputs!$C$52*COS(SQRT((Model_Data!A186)^2+Inputs!$C$6^2)/Inputs!$C$52))-Inputs!$C$5)*1000/Inputs!$C$12)</x:f>
        <x:v>1450.017707656291</x:v>
      </x:c>
      <x:c r="D186" s="9" t="n">
        <x:f>Model_Data!F186</x:f>
        <x:v>1446.7675112688235</x:v>
      </x:c>
      <x:c r="E186" s="9" t="n">
        <x:f>Model_Data!AC186</x:f>
        <x:v>1322.0423396394713</x:v>
      </x:c>
      <x:c r="F186" s="10" t="n"/>
      <x:c r="G186" s="9" t="n">
        <x:f>Model_Data!A186</x:f>
        <x:v>32</x:v>
      </x:c>
      <x:c r="H186" s="9" t="n">
        <x:f>Model_Data!Y186</x:f>
        <x:v>222.43770342182788</x:v>
      </x:c>
      <x:c r="I186" s="9" t="n">
        <x:f>Model_Data!Y186</x:f>
        <x:v>222.43770342182788</x:v>
      </x:c>
      <x:c r="J186" s="9" t="n">
        <x:f>Model_Data!X186</x:f>
        <x:v>-1.3588316603362678</x:v>
      </x:c>
      <x:c r="K186" s="9" t="n">
        <x:f>Model_Data!A186</x:f>
        <x:v>32</x:v>
      </x:c>
      <x:c r="L186" s="9" t="n">
        <x:f>Model_Data!Y186</x:f>
        <x:v>222.43770342182788</x:v>
      </x:c>
      <x:c r="M186" s="9" t="n">
        <x:f>Model_Data!X186</x:f>
        <x:v>-1.3588316603362678</x:v>
      </x:c>
      <x:c r="N186" s="9" t="n">
        <x:f>-(Model_Data!AC186-Model_Data!F186)*Inputs!$C$12</x:f>
        <x:v>222.0108055002469</x:v>
      </x:c>
      <x:c r="O186" s="10" t="n"/>
      <x:c r="P186" s="9" t="n">
        <x:f>Model_Data!A186</x:f>
        <x:v>32</x:v>
      </x:c>
      <x:c r="Q186" s="9" t="n">
        <x:f>Model_Data!P186</x:f>
        <x:v>-272.599759519926</x:v>
      </x:c>
      <x:c r="R186" s="9" t="n">
        <x:f>Model_Data!AM186</x:f>
        <x:v>-254.59907467848097</x:v>
      </x:c>
      <x:c r="S186" s="9" t="n">
        <x:f>Model_Data!Q186</x:f>
        <x:v>-40.930894822811716</x:v>
      </x:c>
      <x:c r="T186" s="9" t="n">
        <x:f>Model_Data!AN186</x:f>
        <x:v>-38.22808929106321</x:v>
      </x:c>
      <x:c r="U186" s="10" t="n"/>
      <x:c r="V186" s="9" t="n">
        <x:f>Model_Data!A186</x:f>
        <x:v>32</x:v>
      </x:c>
      <x:c r="W186" s="9" t="n">
        <x:f>Model_Data!B186-Inputs!$C$5</x:f>
        <x:v>1.137777777777785</x:v>
      </x:c>
      <x:c r="X186" s="10" t="n"/>
      <x:c r="Y186" s="9" t="n">
        <x:f>Model_Data!A186</x:f>
        <x:v>32</x:v>
      </x:c>
      <x:c r="Z186" s="9" t="n">
        <x:f>0</x:f>
        <x:v>0</x:v>
      </x:c>
      <x:c r="AA186" s="9" t="n">
        <x:f>((SQRT((Inputs!$C$52+Inputs!$C$5)^2+Inputs!$C$52^2-2*(Inputs!$C$52+Inputs!$C$5)*Inputs!$C$52*COS(SQRT((Model_Data!A186)^2+Inputs!$C$6^2)/Inputs!$C$52))-Inputs!$C$5)*1000/Inputs!$C$12)</x:f>
        <x:v>1450.017707656291</x:v>
      </x:c>
      <x:c r="AB186" s="9" t="n">
        <x:f>Model_Data!F186</x:f>
        <x:v>1446.7675112688235</x:v>
      </x:c>
    </x:row>
    <x:row r="187">
      <x:c r="A187" s="9" t="n">
        <x:f>Model_Data!A187</x:f>
        <x:v>32.5</x:v>
      </x:c>
      <x:c r="B187" s="9" t="n">
        <x:f>0</x:f>
        <x:v>0</x:v>
      </x:c>
      <x:c r="C187" s="9" t="n">
        <x:f>((SQRT((Inputs!$C$52+Inputs!$C$5)^2+Inputs!$C$52^2-2*(Inputs!$C$52+Inputs!$C$5)*Inputs!$C$52*COS(SQRT((Model_Data!A187)^2+Inputs!$C$6^2)/Inputs!$C$52))-Inputs!$C$5)*1000/Inputs!$C$12)</x:f>
        <x:v>1478.281852017923</x:v>
      </x:c>
      <x:c r="D187" s="9" t="n">
        <x:f>Model_Data!F187</x:f>
        <x:v>1474.864727503037</x:v>
      </x:c>
      <x:c r="E187" s="9" t="n">
        <x:f>Model_Data!AC187</x:f>
        <x:v>1351.1233946981142</x:v>
      </x:c>
      <x:c r="F187" s="10" t="n"/>
      <x:c r="G187" s="9" t="n">
        <x:f>Model_Data!A187</x:f>
        <x:v>32.5</x:v>
      </x:c>
      <x:c r="H187" s="9" t="n">
        <x:f>Model_Data!Y187</x:f>
        <x:v>227.97180197677312</x:v>
      </x:c>
      <x:c r="I187" s="9" t="n">
        <x:f>Model_Data!Y187</x:f>
        <x:v>227.97180197677312</x:v>
      </x:c>
      <x:c r="J187" s="9" t="n">
        <x:f>Model_Data!X187</x:f>
        <x:v>5.846843018322446</x:v>
      </x:c>
      <x:c r="K187" s="9" t="n">
        <x:f>Model_Data!A187</x:f>
        <x:v>32.5</x:v>
      </x:c>
      <x:c r="L187" s="9" t="n">
        <x:f>Model_Data!Y187</x:f>
        <x:v>227.97180197677312</x:v>
      </x:c>
      <x:c r="M187" s="9" t="n">
        <x:f>Model_Data!X187</x:f>
        <x:v>5.846843018322446</x:v>
      </x:c>
      <x:c r="N187" s="9" t="n">
        <x:f>-(Model_Data!AC187-Model_Data!F187)*Inputs!$C$12</x:f>
        <x:v>220.25957239276272</x:v>
      </x:c>
      <x:c r="O187" s="10" t="n"/>
      <x:c r="P187" s="9" t="n">
        <x:f>Model_Data!A187</x:f>
        <x:v>32.5</x:v>
      </x:c>
      <x:c r="Q187" s="9" t="n">
        <x:f>Model_Data!P187</x:f>
        <x:v>-276.81608131206303</x:v>
      </x:c>
      <x:c r="R187" s="9" t="n">
        <x:f>Model_Data!AM187</x:f>
        <x:v>-271.14112996578115</x:v>
      </x:c>
      <x:c r="S187" s="9" t="n">
        <x:f>Model_Data!Q187</x:f>
        <x:v>-41.56397617298244</x:v>
      </x:c>
      <x:c r="T187" s="9" t="n">
        <x:f>Model_Data!AN187</x:f>
        <x:v>-40.71188137624342</x:v>
      </x:c>
      <x:c r="U187" s="10" t="n"/>
      <x:c r="V187" s="9" t="n">
        <x:f>Model_Data!A187</x:f>
        <x:v>32.5</x:v>
      </x:c>
      <x:c r="W187" s="9" t="n">
        <x:f>Model_Data!B187-Inputs!$C$5</x:f>
        <x:v>1.1736111111110858</x:v>
      </x:c>
      <x:c r="X187" s="10" t="n"/>
      <x:c r="Y187" s="9" t="n">
        <x:f>Model_Data!A187</x:f>
        <x:v>32.5</x:v>
      </x:c>
      <x:c r="Z187" s="9" t="n">
        <x:f>0</x:f>
        <x:v>0</x:v>
      </x:c>
      <x:c r="AA187" s="9" t="n">
        <x:f>((SQRT((Inputs!$C$52+Inputs!$C$5)^2+Inputs!$C$52^2-2*(Inputs!$C$52+Inputs!$C$5)*Inputs!$C$52*COS(SQRT((Model_Data!A187)^2+Inputs!$C$6^2)/Inputs!$C$52))-Inputs!$C$5)*1000/Inputs!$C$12)</x:f>
        <x:v>1478.281852017923</x:v>
      </x:c>
      <x:c r="AB187" s="9" t="n">
        <x:f>Model_Data!F187</x:f>
        <x:v>1474.864727503037</x:v>
      </x:c>
    </x:row>
    <x:row r="188">
      <x:c r="A188" s="9" t="n">
        <x:f>Model_Data!A188</x:f>
        <x:v>33</x:v>
      </x:c>
      <x:c r="B188" s="9" t="n">
        <x:f>0</x:f>
        <x:v>0</x:v>
      </x:c>
      <x:c r="C188" s="9" t="n">
        <x:f>((SQRT((Inputs!$C$52+Inputs!$C$5)^2+Inputs!$C$52^2-2*(Inputs!$C$52+Inputs!$C$5)*Inputs!$C$52*COS(SQRT((Model_Data!A188)^2+Inputs!$C$6^2)/Inputs!$C$52))-Inputs!$C$5)*1000/Inputs!$C$12)</x:f>
        <x:v>1506.9805225566647</x:v>
      </x:c>
      <x:c r="D188" s="9" t="n">
        <x:f>Model_Data!F188</x:f>
        <x:v>1503.3898868855904</x:v>
      </x:c>
      <x:c r="E188" s="9" t="n">
        <x:f>Model_Data!AC188</x:f>
        <x:v>1375.4072411425598</x:v>
      </x:c>
      <x:c r="F188" s="10" t="n"/>
      <x:c r="G188" s="9" t="n">
        <x:f>Model_Data!A188</x:f>
        <x:v>33</x:v>
      </x:c>
      <x:c r="H188" s="9" t="n">
        <x:f>Model_Data!Y188</x:f>
        <x:v>226.0841822180117</x:v>
      </x:c>
      <x:c r="I188" s="9" t="n">
        <x:f>Model_Data!Y188</x:f>
        <x:v>226.0841822180117</x:v>
      </x:c>
      <x:c r="J188" s="9" t="n">
        <x:f>Model_Data!X188</x:f>
        <x:v>-3.610290991247414</x:v>
      </x:c>
      <x:c r="K188" s="9" t="n">
        <x:f>Model_Data!A188</x:f>
        <x:v>33</x:v>
      </x:c>
      <x:c r="L188" s="9" t="n">
        <x:f>Model_Data!Y188</x:f>
        <x:v>226.0841822180117</x:v>
      </x:c>
      <x:c r="M188" s="9" t="n">
        <x:f>Model_Data!X188</x:f>
        <x:v>-3.610290991247414</x:v>
      </x:c>
      <x:c r="N188" s="9" t="n">
        <x:f>-(Model_Data!AC188-Model_Data!F188)*Inputs!$C$12</x:f>
        <x:v>227.8091094225945</x:v>
      </x:c>
      <x:c r="O188" s="10" t="n"/>
      <x:c r="P188" s="9" t="n">
        <x:f>Model_Data!A188</x:f>
        <x:v>33</x:v>
      </x:c>
      <x:c r="Q188" s="9" t="n">
        <x:f>Model_Data!P188</x:f>
        <x:v>-281.0304293043373</x:v>
      </x:c>
      <x:c r="R188" s="9" t="n">
        <x:f>Model_Data!AM188</x:f>
        <x:v>-283.8938267223057</x:v>
      </x:c>
      <x:c r="S188" s="9" t="n">
        <x:f>Model_Data!Q188</x:f>
        <x:v>-42.196761156807405</x:v>
      </x:c>
      <x:c r="T188" s="9" t="n">
        <x:f>Model_Data!AN188</x:f>
        <x:v>-42.62670070905491</x:v>
      </x:c>
      <x:c r="U188" s="10" t="n"/>
      <x:c r="V188" s="9" t="n">
        <x:f>Model_Data!A188</x:f>
        <x:v>33</x:v>
      </x:c>
      <x:c r="W188" s="9" t="n">
        <x:f>Model_Data!B188-Inputs!$C$5</x:f>
        <x:v>1.2099999999999795</x:v>
      </x:c>
      <x:c r="X188" s="10" t="n"/>
      <x:c r="Y188" s="9" t="n">
        <x:f>Model_Data!A188</x:f>
        <x:v>33</x:v>
      </x:c>
      <x:c r="Z188" s="9" t="n">
        <x:f>0</x:f>
        <x:v>0</x:v>
      </x:c>
      <x:c r="AA188" s="9" t="n">
        <x:f>((SQRT((Inputs!$C$52+Inputs!$C$5)^2+Inputs!$C$52^2-2*(Inputs!$C$52+Inputs!$C$5)*Inputs!$C$52*COS(SQRT((Model_Data!A188)^2+Inputs!$C$6^2)/Inputs!$C$52))-Inputs!$C$5)*1000/Inputs!$C$12)</x:f>
        <x:v>1506.9805225566647</x:v>
      </x:c>
      <x:c r="AB188" s="9" t="n">
        <x:f>Model_Data!F188</x:f>
        <x:v>1503.3898868855904</x:v>
      </x:c>
    </x:row>
    <x:row r="189">
      <x:c r="A189" s="9" t="n">
        <x:f>Model_Data!A189</x:f>
        <x:v>33.5</x:v>
      </x:c>
      <x:c r="B189" s="9" t="n">
        <x:f>0</x:f>
        <x:v>0</x:v>
      </x:c>
      <x:c r="C189" s="9" t="n">
        <x:f>((SQRT((Inputs!$C$52+Inputs!$C$5)^2+Inputs!$C$52^2-2*(Inputs!$C$52+Inputs!$C$5)*Inputs!$C$52*COS(SQRT((Model_Data!A189)^2+Inputs!$C$6^2)/Inputs!$C$52))-Inputs!$C$5)*1000/Inputs!$C$12)</x:f>
        <x:v>1536.1135509787923</x:v>
      </x:c>
      <x:c r="D189" s="9" t="n">
        <x:f>Model_Data!F189</x:f>
        <x:v>1532.3426404141778</x:v>
      </x:c>
      <x:c r="E189" s="9" t="n">
        <x:f>Model_Data!AC189</x:f>
        <x:v>1407.905893148992</x:v>
      </x:c>
      <x:c r="F189" s="10" t="n"/>
      <x:c r="G189" s="9" t="n">
        <x:f>Model_Data!A189</x:f>
        <x:v>33.5</x:v>
      </x:c>
      <x:c r="H189" s="9" t="n">
        <x:f>Model_Data!Y189</x:f>
        <x:v>226.23942491253771</x:v>
      </x:c>
      <x:c r="I189" s="9" t="n">
        <x:f>Model_Data!Y189</x:f>
        <x:v>226.23942491253771</x:v>
      </x:c>
      <x:c r="J189" s="9" t="n">
        <x:f>Model_Data!X189</x:f>
        <x:v>2.8193818928466783</x:v>
      </x:c>
      <x:c r="K189" s="9" t="n">
        <x:f>Model_Data!A189</x:f>
        <x:v>33.5</x:v>
      </x:c>
      <x:c r="L189" s="9" t="n">
        <x:f>Model_Data!Y189</x:f>
        <x:v>226.23942491253771</x:v>
      </x:c>
      <x:c r="M189" s="9" t="n">
        <x:f>Model_Data!X189</x:f>
        <x:v>2.8193818928466783</x:v>
      </x:c>
      <x:c r="N189" s="9" t="n">
        <x:f>-(Model_Data!AC189-Model_Data!F189)*Inputs!$C$12</x:f>
        <x:v>221.4974101320309</x:v>
      </x:c>
      <x:c r="O189" s="10" t="n"/>
      <x:c r="P189" s="9" t="n">
        <x:f>Model_Data!A189</x:f>
        <x:v>33.5</x:v>
      </x:c>
      <x:c r="Q189" s="9" t="n">
        <x:f>Model_Data!P189</x:f>
        <x:v>-285.24277529395476</x:v>
      </x:c>
      <x:c r="R189" s="9" t="n">
        <x:f>Model_Data!AM189</x:f>
        <x:v>-258.09890866003116</x:v>
      </x:c>
      <x:c r="S189" s="9" t="n">
        <x:f>Model_Data!Q189</x:f>
        <x:v>-42.82924553963285</x:v>
      </x:c>
      <x:c r="T189" s="9" t="n">
        <x:f>Model_Data!AN189</x:f>
        <x:v>-38.75358988889357</x:v>
      </x:c>
      <x:c r="U189" s="10" t="n"/>
      <x:c r="V189" s="9" t="n">
        <x:f>Model_Data!A189</x:f>
        <x:v>33.5</x:v>
      </x:c>
      <x:c r="W189" s="9" t="n">
        <x:f>Model_Data!B189-Inputs!$C$5</x:f>
        <x:v>1.2469444444444662</x:v>
      </x:c>
      <x:c r="X189" s="10" t="n"/>
      <x:c r="Y189" s="9" t="n">
        <x:f>Model_Data!A189</x:f>
        <x:v>33.5</x:v>
      </x:c>
      <x:c r="Z189" s="9" t="n">
        <x:f>0</x:f>
        <x:v>0</x:v>
      </x:c>
      <x:c r="AA189" s="9" t="n">
        <x:f>((SQRT((Inputs!$C$52+Inputs!$C$5)^2+Inputs!$C$52^2-2*(Inputs!$C$52+Inputs!$C$5)*Inputs!$C$52*COS(SQRT((Model_Data!A189)^2+Inputs!$C$6^2)/Inputs!$C$52))-Inputs!$C$5)*1000/Inputs!$C$12)</x:f>
        <x:v>1536.1135509787923</x:v>
      </x:c>
      <x:c r="AB189" s="9" t="n">
        <x:f>Model_Data!F189</x:f>
        <x:v>1532.3426404141778</x:v>
      </x:c>
    </x:row>
    <x:row r="190">
      <x:c r="A190" s="9" t="n">
        <x:f>Model_Data!A190</x:f>
        <x:v>34</x:v>
      </x:c>
      <x:c r="B190" s="9" t="n">
        <x:f>0</x:f>
        <x:v>0</x:v>
      </x:c>
      <x:c r="C190" s="9" t="n">
        <x:f>((SQRT((Inputs!$C$52+Inputs!$C$5)^2+Inputs!$C$52^2-2*(Inputs!$C$52+Inputs!$C$5)*Inputs!$C$52*COS(SQRT((Model_Data!A190)^2+Inputs!$C$6^2)/Inputs!$C$52))-Inputs!$C$5)*1000/Inputs!$C$12)</x:f>
        <x:v>1565.6807665318488</x:v>
      </x:c>
      <x:c r="D190" s="9" t="n">
        <x:f>Model_Data!F190</x:f>
        <x:v>1561.7226341407977</x:v>
      </x:c>
      <x:c r="E190" s="9" t="n">
        <x:f>Model_Data!AC190</x:f>
        <x:v>1431.800074093966</x:v>
      </x:c>
      <x:c r="F190" s="10" t="n"/>
      <x:c r="G190" s="9" t="n">
        <x:f>Model_Data!A190</x:f>
        <x:v>34</x:v>
      </x:c>
      <x:c r="H190" s="9" t="n">
        <x:f>Model_Data!Y190</x:f>
        <x:v>243.2704274883201</x:v>
      </x:c>
      <x:c r="I190" s="9" t="n">
        <x:f>Model_Data!Y190</x:f>
        <x:v>243.2704274883201</x:v>
      </x:c>
      <x:c r="J190" s="9" t="n">
        <x:f>Model_Data!X190</x:f>
        <x:v>9.90157819415245</x:v>
      </x:c>
      <x:c r="K190" s="9" t="n">
        <x:f>Model_Data!A190</x:f>
        <x:v>34</x:v>
      </x:c>
      <x:c r="L190" s="9" t="n">
        <x:f>Model_Data!Y190</x:f>
        <x:v>243.2704274883201</x:v>
      </x:c>
      <x:c r="M190" s="9" t="n">
        <x:f>Model_Data!X190</x:f>
        <x:v>9.90157819415245</x:v>
      </x:c>
      <x:c r="N190" s="9" t="n">
        <x:f>-(Model_Data!AC190-Model_Data!F190)*Inputs!$C$12</x:f>
        <x:v>231.26215688336038</x:v>
      </x:c>
      <x:c r="O190" s="10" t="n"/>
      <x:c r="P190" s="9" t="n">
        <x:f>Model_Data!A190</x:f>
        <x:v>34</x:v>
      </x:c>
      <x:c r="Q190" s="9" t="n">
        <x:f>Model_Data!P190</x:f>
        <x:v>-289.4530911666152</x:v>
      </x:c>
      <x:c r="R190" s="9" t="n">
        <x:f>Model_Data!AM190</x:f>
        <x:v>-253.7267367678396</x:v>
      </x:c>
      <x:c r="S190" s="9" t="n">
        <x:f>Model_Data!Q190</x:f>
        <x:v>-43.46142510009238</x:v>
      </x:c>
      <x:c r="T190" s="9" t="n">
        <x:f>Model_Data!AN190</x:f>
        <x:v>-38.097107622798745</x:v>
      </x:c>
      <x:c r="U190" s="10" t="n"/>
      <x:c r="V190" s="9" t="n">
        <x:f>Model_Data!A190</x:f>
        <x:v>34</x:v>
      </x:c>
      <x:c r="W190" s="9" t="n">
        <x:f>Model_Data!B190-Inputs!$C$5</x:f>
        <x:v>1.284444444444432</x:v>
      </x:c>
      <x:c r="X190" s="10" t="n"/>
      <x:c r="Y190" s="9" t="n">
        <x:f>Model_Data!A190</x:f>
        <x:v>34</x:v>
      </x:c>
      <x:c r="Z190" s="9" t="n">
        <x:f>0</x:f>
        <x:v>0</x:v>
      </x:c>
      <x:c r="AA190" s="9" t="n">
        <x:f>((SQRT((Inputs!$C$52+Inputs!$C$5)^2+Inputs!$C$52^2-2*(Inputs!$C$52+Inputs!$C$5)*Inputs!$C$52*COS(SQRT((Model_Data!A190)^2+Inputs!$C$6^2)/Inputs!$C$52))-Inputs!$C$5)*1000/Inputs!$C$12)</x:f>
        <x:v>1565.6807665318488</x:v>
      </x:c>
      <x:c r="AB190" s="9" t="n">
        <x:f>Model_Data!F190</x:f>
        <x:v>1561.7226341407977</x:v>
      </x:c>
    </x:row>
    <x:row r="191">
      <x:c r="A191" s="9" t="n">
        <x:f>Model_Data!A191</x:f>
        <x:v>34.5</x:v>
      </x:c>
      <x:c r="B191" s="9" t="n">
        <x:f>0</x:f>
        <x:v>0</x:v>
      </x:c>
      <x:c r="C191" s="9" t="n">
        <x:f>((SQRT((Inputs!$C$52+Inputs!$C$5)^2+Inputs!$C$52^2-2*(Inputs!$C$52+Inputs!$C$5)*Inputs!$C$52*COS(SQRT((Model_Data!A191)^2+Inputs!$C$6^2)/Inputs!$C$52))-Inputs!$C$5)*1000/Inputs!$C$12)</x:f>
        <x:v>1595.6819960061448</x:v>
      </x:c>
      <x:c r="D191" s="9" t="n">
        <x:f>Model_Data!F191</x:f>
        <x:v>1591.5295091914868</x:v>
      </x:c>
      <x:c r="E191" s="9" t="n">
        <x:f>Model_Data!AC191</x:f>
        <x:v>1465.4960413270337</x:v>
      </x:c>
      <x:c r="F191" s="10" t="n"/>
      <x:c r="G191" s="9" t="n">
        <x:f>Model_Data!A191</x:f>
        <x:v>34.5</x:v>
      </x:c>
      <x:c r="H191" s="9" t="n">
        <x:f>Model_Data!Y191</x:f>
        <x:v>248.8414359782273</x:v>
      </x:c>
      <x:c r="I191" s="9" t="n">
        <x:f>Model_Data!Y191</x:f>
        <x:v>248.8414359782273</x:v>
      </x:c>
      <x:c r="J191" s="9" t="n">
        <x:f>Model_Data!X191</x:f>
        <x:v>22.306190725387925</x:v>
      </x:c>
      <x:c r="K191" s="9" t="n">
        <x:f>Model_Data!A191</x:f>
        <x:v>34.5</x:v>
      </x:c>
      <x:c r="L191" s="9" t="n">
        <x:f>Model_Data!Y191</x:f>
        <x:v>248.8414359782273</x:v>
      </x:c>
      <x:c r="M191" s="9" t="n">
        <x:f>Model_Data!X191</x:f>
        <x:v>22.306190725387925</x:v>
      </x:c>
      <x:c r="N191" s="9" t="n">
        <x:f>-(Model_Data!AC191-Model_Data!F191)*Inputs!$C$12</x:f>
        <x:v>224.3395727987265</x:v>
      </x:c>
      <x:c r="O191" s="10" t="n"/>
      <x:c r="P191" s="9" t="n">
        <x:f>Model_Data!A191</x:f>
        <x:v>34.5</x:v>
      </x:c>
      <x:c r="Q191" s="9" t="n">
        <x:f>Model_Data!P191</x:f>
        <x:v>-293.66134891224647</x:v>
      </x:c>
      <x:c r="R191" s="9" t="n">
        <x:f>Model_Data!AM191</x:f>
        <x:v>-295.78985259904584</x:v>
      </x:c>
      <x:c r="S191" s="9" t="n">
        <x:f>Model_Data!Q191</x:f>
        <x:v>-44.09329563246944</x:v>
      </x:c>
      <x:c r="T191" s="9" t="n">
        <x:f>Model_Data!AN191</x:f>
        <x:v>-44.41289078063752</x:v>
      </x:c>
      <x:c r="U191" s="10" t="n"/>
      <x:c r="V191" s="9" t="n">
        <x:f>Model_Data!A191</x:f>
        <x:v>34.5</x:v>
      </x:c>
      <x:c r="W191" s="9" t="n">
        <x:f>Model_Data!B191-Inputs!$C$5</x:f>
        <x:v>1.322499999999991</x:v>
      </x:c>
      <x:c r="X191" s="10" t="n"/>
      <x:c r="Y191" s="9" t="n">
        <x:f>Model_Data!A191</x:f>
        <x:v>34.5</x:v>
      </x:c>
      <x:c r="Z191" s="9" t="n">
        <x:f>0</x:f>
        <x:v>0</x:v>
      </x:c>
      <x:c r="AA191" s="9" t="n">
        <x:f>((SQRT((Inputs!$C$52+Inputs!$C$5)^2+Inputs!$C$52^2-2*(Inputs!$C$52+Inputs!$C$5)*Inputs!$C$52*COS(SQRT((Model_Data!A191)^2+Inputs!$C$6^2)/Inputs!$C$52))-Inputs!$C$5)*1000/Inputs!$C$12)</x:f>
        <x:v>1595.6819960061448</x:v>
      </x:c>
      <x:c r="AB191" s="9" t="n">
        <x:f>Model_Data!F191</x:f>
        <x:v>1591.5295091914868</x:v>
      </x:c>
    </x:row>
    <x:row r="192">
      <x:c r="A192" s="9" t="n">
        <x:f>Model_Data!A192</x:f>
        <x:v>35</x:v>
      </x:c>
      <x:c r="B192" s="9" t="n">
        <x:f>0</x:f>
        <x:v>0</x:v>
      </x:c>
      <x:c r="C192" s="9" t="n">
        <x:f>((SQRT((Inputs!$C$52+Inputs!$C$5)^2+Inputs!$C$52^2-2*(Inputs!$C$52+Inputs!$C$5)*Inputs!$C$52*COS(SQRT((Model_Data!A192)^2+Inputs!$C$6^2)/Inputs!$C$52))-Inputs!$C$5)*1000/Inputs!$C$12)</x:f>
        <x:v>1626.1170637436685</x:v>
      </x:c>
      <x:c r="D192" s="9" t="n">
        <x:f>Model_Data!F192</x:f>
        <x:v>1621.7629017832137</x:v>
      </x:c>
      <x:c r="E192" s="9" t="n">
        <x:f>Model_Data!AC192</x:f>
        <x:v>1503.2744465409978</x:v>
      </x:c>
      <x:c r="F192" s="10" t="n"/>
      <x:c r="G192" s="9" t="n">
        <x:f>Model_Data!A192</x:f>
        <x:v>35</x:v>
      </x:c>
      <x:c r="H192" s="9" t="n">
        <x:f>Model_Data!Y192</x:f>
        <x:v>242.00890812042311</x:v>
      </x:c>
      <x:c r="I192" s="9" t="n">
        <x:f>Model_Data!Y192</x:f>
        <x:v>242.00890812042311</x:v>
      </x:c>
      <x:c r="J192" s="9" t="n">
        <x:f>Model_Data!X192</x:f>
        <x:v>28.92396994213728</x:v>
      </x:c>
      <x:c r="K192" s="9" t="n">
        <x:f>Model_Data!A192</x:f>
        <x:v>35</x:v>
      </x:c>
      <x:c r="L192" s="9" t="n">
        <x:f>Model_Data!Y192</x:f>
        <x:v>242.00890812042311</x:v>
      </x:c>
      <x:c r="M192" s="9" t="n">
        <x:f>Model_Data!X192</x:f>
        <x:v>28.92396994213728</x:v>
      </x:c>
      <x:c r="N192" s="9" t="n">
        <x:f>-(Model_Data!AC192-Model_Data!F192)*Inputs!$C$12</x:f>
        <x:v>210.90945033114426</x:v>
      </x:c>
      <x:c r="O192" s="10" t="n"/>
      <x:c r="P192" s="9" t="n">
        <x:f>Model_Data!A192</x:f>
        <x:v>35</x:v>
      </x:c>
      <x:c r="Q192" s="9" t="n">
        <x:f>Model_Data!P192</x:f>
        <x:v>-297.8675206210937</x:v>
      </x:c>
      <x:c r="R192" s="9" t="n">
        <x:f>Model_Data!AM192</x:f>
        <x:v>-307.8352331618589</x:v>
      </x:c>
      <x:c r="S192" s="9" t="n">
        <x:f>Model_Data!Q192</x:f>
        <x:v>-44.72485294611017</x:v>
      </x:c>
      <x:c r="T192" s="9" t="n">
        <x:f>Model_Data!AN192</x:f>
        <x:v>-46.2215064807596</x:v>
      </x:c>
      <x:c r="U192" s="10" t="n"/>
      <x:c r="V192" s="9" t="n">
        <x:f>Model_Data!A192</x:f>
        <x:v>35</x:v>
      </x:c>
      <x:c r="W192" s="9" t="n">
        <x:f>Model_Data!B192-Inputs!$C$5</x:f>
        <x:v>1.3611111111110858</x:v>
      </x:c>
      <x:c r="X192" s="10" t="n"/>
      <x:c r="Y192" s="9" t="n">
        <x:f>Model_Data!A192</x:f>
        <x:v>35</x:v>
      </x:c>
      <x:c r="Z192" s="9" t="n">
        <x:f>0</x:f>
        <x:v>0</x:v>
      </x:c>
      <x:c r="AA192" s="9" t="n">
        <x:f>((SQRT((Inputs!$C$52+Inputs!$C$5)^2+Inputs!$C$52^2-2*(Inputs!$C$52+Inputs!$C$5)*Inputs!$C$52*COS(SQRT((Model_Data!A192)^2+Inputs!$C$6^2)/Inputs!$C$52))-Inputs!$C$5)*1000/Inputs!$C$12)</x:f>
        <x:v>1626.1170637436685</x:v>
      </x:c>
      <x:c r="AB192" s="9" t="n">
        <x:f>Model_Data!F192</x:f>
        <x:v>1621.7629017832137</x:v>
      </x:c>
    </x:row>
    <x:row r="193">
      <x:c r="A193" s="9" t="n">
        <x:f>Model_Data!A193</x:f>
        <x:v>35.5</x:v>
      </x:c>
      <x:c r="B193" s="9" t="n">
        <x:f>0</x:f>
        <x:v>0</x:v>
      </x:c>
      <x:c r="C193" s="9" t="n">
        <x:f>((SQRT((Inputs!$C$52+Inputs!$C$5)^2+Inputs!$C$52^2-2*(Inputs!$C$52+Inputs!$C$5)*Inputs!$C$52*COS(SQRT((Model_Data!A193)^2+Inputs!$C$6^2)/Inputs!$C$52))-Inputs!$C$5)*1000/Inputs!$C$12)</x:f>
        <x:v>1656.9857916385645</x:v>
      </x:c>
      <x:c r="D193" s="9" t="n">
        <x:f>Model_Data!F193</x:f>
        <x:v>1652.4224432422736</x:v>
      </x:c>
      <x:c r="E193" s="9" t="n">
        <x:f>Model_Data!AC193</x:f>
        <x:v>1535.4627090121364</x:v>
      </x:c>
      <x:c r="F193" s="10" t="n"/>
      <x:c r="G193" s="9" t="n">
        <x:f>Model_Data!A193</x:f>
        <x:v>35.5</x:v>
      </x:c>
      <x:c r="H193" s="9" t="n">
        <x:f>Model_Data!Y193</x:f>
        <x:v>242.63788270086079</x:v>
      </x:c>
      <x:c r="I193" s="9" t="n">
        <x:f>Model_Data!Y193</x:f>
        <x:v>242.63788270086079</x:v>
      </x:c>
      <x:c r="J193" s="9" t="n">
        <x:f>Model_Data!X193</x:f>
        <x:v>32.227616256478356</x:v>
      </x:c>
      <x:c r="K193" s="9" t="n">
        <x:f>Model_Data!A193</x:f>
        <x:v>35.5</x:v>
      </x:c>
      <x:c r="L193" s="9" t="n">
        <x:f>Model_Data!Y193</x:f>
        <x:v>242.63788270086079</x:v>
      </x:c>
      <x:c r="M193" s="9" t="n">
        <x:f>Model_Data!X193</x:f>
        <x:v>32.227616256478356</x:v>
      </x:c>
      <x:c r="N193" s="9" t="n">
        <x:f>-(Model_Data!AC193-Model_Data!F193)*Inputs!$C$12</x:f>
        <x:v>208.18832692964423</x:v>
      </x:c>
      <x:c r="O193" s="10" t="n"/>
      <x:c r="P193" s="9" t="n">
        <x:f>Model_Data!A193</x:f>
        <x:v>35.5</x:v>
      </x:c>
      <x:c r="Q193" s="9" t="n">
        <x:f>Model_Data!P193</x:f>
        <x:v>-302.0715784808999</x:v>
      </x:c>
      <x:c r="R193" s="9" t="n">
        <x:f>Model_Data!AM193</x:f>
        <x:v>-286.6069943915136</x:v>
      </x:c>
      <x:c r="S193" s="9" t="n">
        <x:f>Model_Data!Q193</x:f>
        <x:v>-45.356092864999994</x:v>
      </x:c>
      <x:c r="T193" s="9" t="n">
        <x:f>Model_Data!AN193</x:f>
        <x:v>-43.03408324196901</x:v>
      </x:c>
      <x:c r="U193" s="10" t="n"/>
      <x:c r="V193" s="9" t="n">
        <x:f>Model_Data!A193</x:f>
        <x:v>35.5</x:v>
      </x:c>
      <x:c r="W193" s="9" t="n">
        <x:f>Model_Data!B193-Inputs!$C$5</x:f>
        <x:v>1.4002777777777737</x:v>
      </x:c>
      <x:c r="X193" s="10" t="n"/>
      <x:c r="Y193" s="9" t="n">
        <x:f>Model_Data!A193</x:f>
        <x:v>35.5</x:v>
      </x:c>
      <x:c r="Z193" s="9" t="n">
        <x:f>0</x:f>
        <x:v>0</x:v>
      </x:c>
      <x:c r="AA193" s="9" t="n">
        <x:f>((SQRT((Inputs!$C$52+Inputs!$C$5)^2+Inputs!$C$52^2-2*(Inputs!$C$52+Inputs!$C$5)*Inputs!$C$52*COS(SQRT((Model_Data!A193)^2+Inputs!$C$6^2)/Inputs!$C$52))-Inputs!$C$5)*1000/Inputs!$C$12)</x:f>
        <x:v>1656.9857916385645</x:v>
      </x:c>
      <x:c r="AB193" s="9" t="n">
        <x:f>Model_Data!F193</x:f>
        <x:v>1652.4224432422736</x:v>
      </x:c>
    </x:row>
    <x:row r="194">
      <x:c r="A194" s="9" t="n">
        <x:f>Model_Data!A194</x:f>
        <x:v>36</x:v>
      </x:c>
      <x:c r="B194" s="9" t="n">
        <x:f>0</x:f>
        <x:v>0</x:v>
      </x:c>
      <x:c r="C194" s="9" t="n">
        <x:f>((SQRT((Inputs!$C$52+Inputs!$C$5)^2+Inputs!$C$52^2-2*(Inputs!$C$52+Inputs!$C$5)*Inputs!$C$52*COS(SQRT((Model_Data!A194)^2+Inputs!$C$6^2)/Inputs!$C$52))-Inputs!$C$5)*1000/Inputs!$C$12)</x:f>
        <x:v>1688.2879991473199</x:v>
      </x:c>
      <x:c r="D194" s="9" t="n">
        <x:f>Model_Data!F194</x:f>
        <x:v>1683.507760020096</x:v>
      </x:c>
      <x:c r="E194" s="9" t="n">
        <x:f>Model_Data!AC194</x:f>
        <x:v>1568.8581820072843</x:v>
      </x:c>
      <x:c r="F194" s="10" t="n"/>
      <x:c r="G194" s="9" t="n">
        <x:f>Model_Data!A194</x:f>
        <x:v>36</x:v>
      </x:c>
      <x:c r="H194" s="9" t="n">
        <x:f>Model_Data!Y194</x:f>
        <x:v>251.8480330414438</x:v>
      </x:c>
      <x:c r="I194" s="9" t="n">
        <x:f>Model_Data!Y194</x:f>
        <x:v>251.8480330414438</x:v>
      </x:c>
      <x:c r="J194" s="9" t="n">
        <x:f>Model_Data!X194</x:f>
        <x:v>45.422536466318</x:v>
      </x:c>
      <x:c r="K194" s="9" t="n">
        <x:f>Model_Data!A194</x:f>
        <x:v>36</x:v>
      </x:c>
      <x:c r="L194" s="9" t="n">
        <x:f>Model_Data!Y194</x:f>
        <x:v>251.8480330414438</x:v>
      </x:c>
      <x:c r="M194" s="9" t="n">
        <x:f>Model_Data!X194</x:f>
        <x:v>45.422536466318</x:v>
      </x:c>
      <x:c r="N194" s="9" t="n">
        <x:f>-(Model_Data!AC194-Model_Data!F194)*Inputs!$C$12</x:f>
        <x:v>204.07624886280468</x:v>
      </x:c>
      <x:c r="O194" s="10" t="n"/>
      <x:c r="P194" s="9" t="n">
        <x:f>Model_Data!A194</x:f>
        <x:v>36</x:v>
      </x:c>
      <x:c r="Q194" s="9" t="n">
        <x:f>Model_Data!P194</x:f>
        <x:v>-306.2734947710851</x:v>
      </x:c>
      <x:c r="R194" s="9" t="n">
        <x:f>Model_Data!AM194</x:f>
        <x:v>-256.20808419480454</x:v>
      </x:c>
      <x:c r="S194" s="9" t="n">
        <x:f>Model_Data!Q194</x:f>
        <x:v>-45.987011226889656</x:v>
      </x:c>
      <x:c r="T194" s="9" t="n">
        <x:f>Model_Data!AN194</x:f>
        <x:v>-38.46968231153222</x:v>
      </x:c>
      <x:c r="U194" s="10" t="n"/>
      <x:c r="V194" s="9" t="n">
        <x:f>Model_Data!A194</x:f>
        <x:v>36</x:v>
      </x:c>
      <x:c r="W194" s="9" t="n">
        <x:f>Model_Data!B194-Inputs!$C$5</x:f>
        <x:v>1.4399999999999977</x:v>
      </x:c>
      <x:c r="X194" s="10" t="n"/>
      <x:c r="Y194" s="9" t="n">
        <x:f>Model_Data!A194</x:f>
        <x:v>36</x:v>
      </x:c>
      <x:c r="Z194" s="9" t="n">
        <x:f>0</x:f>
        <x:v>0</x:v>
      </x:c>
      <x:c r="AA194" s="9" t="n">
        <x:f>((SQRT((Inputs!$C$52+Inputs!$C$5)^2+Inputs!$C$52^2-2*(Inputs!$C$52+Inputs!$C$5)*Inputs!$C$52*COS(SQRT((Model_Data!A194)^2+Inputs!$C$6^2)/Inputs!$C$52))-Inputs!$C$5)*1000/Inputs!$C$12)</x:f>
        <x:v>1688.2879991473199</x:v>
      </x:c>
      <x:c r="AB194" s="9" t="n">
        <x:f>Model_Data!F194</x:f>
        <x:v>1683.507760020096</x:v>
      </x:c>
    </x:row>
    <x:row r="195">
      <x:c r="A195" s="9" t="n">
        <x:f>Model_Data!A195</x:f>
        <x:v>36.5</x:v>
      </x:c>
      <x:c r="B195" s="9" t="n">
        <x:f>0</x:f>
        <x:v>0</x:v>
      </x:c>
      <x:c r="C195" s="9" t="n">
        <x:f>((SQRT((Inputs!$C$52+Inputs!$C$5)^2+Inputs!$C$52^2-2*(Inputs!$C$52+Inputs!$C$5)*Inputs!$C$52*COS(SQRT((Model_Data!A195)^2+Inputs!$C$6^2)/Inputs!$C$52))-Inputs!$C$5)*1000/Inputs!$C$12)</x:f>
        <x:v>1720.0235032886708</x:v>
      </x:c>
      <x:c r="D195" s="9" t="n">
        <x:f>Model_Data!F195</x:f>
        <x:v>1715.0184737096579</x:v>
      </x:c>
      <x:c r="E195" s="9" t="n">
        <x:f>Model_Data!AC195</x:f>
        <x:v>1587.6450860711047</x:v>
      </x:c>
      <x:c r="F195" s="10" t="n"/>
      <x:c r="G195" s="9" t="n">
        <x:f>Model_Data!A195</x:f>
        <x:v>36.5</x:v>
      </x:c>
      <x:c r="H195" s="9" t="n">
        <x:f>Model_Data!Y195</x:f>
        <x:v>274.3131350022337</x:v>
      </x:c>
      <x:c r="I195" s="9" t="n">
        <x:f>Model_Data!Y195</x:f>
        <x:v>274.3131350022337</x:v>
      </x:c>
      <x:c r="J195" s="9" t="n">
        <x:f>Model_Data!X195</x:f>
        <x:v>44.98219479967033</x:v>
      </x:c>
      <x:c r="K195" s="9" t="n">
        <x:f>Model_Data!A195</x:f>
        <x:v>36.5</x:v>
      </x:c>
      <x:c r="L195" s="9" t="n">
        <x:f>Model_Data!Y195</x:f>
        <x:v>274.3131350022337</x:v>
      </x:c>
      <x:c r="M195" s="9" t="n">
        <x:f>Model_Data!X195</x:f>
        <x:v>44.98219479967033</x:v>
      </x:c>
      <x:c r="N195" s="9" t="n">
        <x:f>-(Model_Data!AC195-Model_Data!F195)*Inputs!$C$12</x:f>
        <x:v>226.7246299966246</x:v>
      </x:c>
      <x:c r="O195" s="10" t="n"/>
      <x:c r="P195" s="9" t="n">
        <x:f>Model_Data!A195</x:f>
        <x:v>36.5</x:v>
      </x:c>
      <x:c r="Q195" s="9" t="n">
        <x:f>Model_Data!P195</x:f>
        <x:v>-310.4732418857566</x:v>
      </x:c>
      <x:c r="R195" s="9" t="n">
        <x:f>Model_Data!AM195</x:f>
        <x:v>-270.33211644011317</x:v>
      </x:c>
      <x:c r="S195" s="9" t="n">
        <x:f>Model_Data!Q195</x:f>
        <x:v>-46.61760388675024</x:v>
      </x:c>
      <x:c r="T195" s="9" t="n">
        <x:f>Model_Data!AN195</x:f>
        <x:v>-40.59040787389087</x:v>
      </x:c>
      <x:c r="U195" s="10" t="n"/>
      <x:c r="V195" s="9" t="n">
        <x:f>Model_Data!A195</x:f>
        <x:v>36.5</x:v>
      </x:c>
      <x:c r="W195" s="9" t="n">
        <x:f>Model_Data!B195-Inputs!$C$5</x:f>
        <x:v>1.4802777777777578</x:v>
      </x:c>
      <x:c r="X195" s="10" t="n"/>
      <x:c r="Y195" s="9" t="n">
        <x:f>Model_Data!A195</x:f>
        <x:v>36.5</x:v>
      </x:c>
      <x:c r="Z195" s="9" t="n">
        <x:f>0</x:f>
        <x:v>0</x:v>
      </x:c>
      <x:c r="AA195" s="9" t="n">
        <x:f>((SQRT((Inputs!$C$52+Inputs!$C$5)^2+Inputs!$C$52^2-2*(Inputs!$C$52+Inputs!$C$5)*Inputs!$C$52*COS(SQRT((Model_Data!A195)^2+Inputs!$C$6^2)/Inputs!$C$52))-Inputs!$C$5)*1000/Inputs!$C$12)</x:f>
        <x:v>1720.0235032886708</x:v>
      </x:c>
      <x:c r="AB195" s="9" t="n">
        <x:f>Model_Data!F195</x:f>
        <x:v>1715.0184737096579</x:v>
      </x:c>
    </x:row>
    <x:row r="196">
      <x:c r="A196" s="9" t="n">
        <x:f>Model_Data!A196</x:f>
        <x:v>37</x:v>
      </x:c>
      <x:c r="B196" s="9" t="n">
        <x:f>0</x:f>
        <x:v>0</x:v>
      </x:c>
      <x:c r="C196" s="9" t="n">
        <x:f>((SQRT((Inputs!$C$52+Inputs!$C$5)^2+Inputs!$C$52^2-2*(Inputs!$C$52+Inputs!$C$5)*Inputs!$C$52*COS(SQRT((Model_Data!A196)^2+Inputs!$C$6^2)/Inputs!$C$52))-Inputs!$C$5)*1000/Inputs!$C$12)</x:f>
        <x:v>1752.1921186527331</x:v>
      </x:c>
      <x:c r="D196" s="9" t="n">
        <x:f>Model_Data!F196</x:f>
        <x:v>1746.9542010692446</x:v>
      </x:c>
      <x:c r="E196" s="9" t="n">
        <x:f>Model_Data!AC196</x:f>
        <x:v>1625.4789197829355</x:v>
      </x:c>
      <x:c r="F196" s="10" t="n"/>
      <x:c r="G196" s="9" t="n">
        <x:f>Model_Data!A196</x:f>
        <x:v>37</x:v>
      </x:c>
      <x:c r="H196" s="9" t="n">
        <x:f>Model_Data!Y196</x:f>
        <x:v>277.26991348245565</x:v>
      </x:c>
      <x:c r="I196" s="9" t="n">
        <x:f>Model_Data!Y196</x:f>
        <x:v>277.26991348245565</x:v>
      </x:c>
      <x:c r="J196" s="9" t="n">
        <x:f>Model_Data!X196</x:f>
        <x:v>58.36098804305038</x:v>
      </x:c>
      <x:c r="K196" s="9" t="n">
        <x:f>Model_Data!A196</x:f>
        <x:v>37</x:v>
      </x:c>
      <x:c r="L196" s="9" t="n">
        <x:f>Model_Data!Y196</x:f>
        <x:v>277.26991348245565</x:v>
      </x:c>
      <x:c r="M196" s="9" t="n">
        <x:f>Model_Data!X196</x:f>
        <x:v>58.36098804305038</x:v>
      </x:c>
      <x:c r="N196" s="9" t="n">
        <x:f>-(Model_Data!AC196-Model_Data!F196)*Inputs!$C$12</x:f>
        <x:v>216.2260006896303</x:v>
      </x:c>
      <x:c r="O196" s="10" t="n"/>
      <x:c r="P196" s="9" t="n">
        <x:f>Model_Data!A196</x:f>
        <x:v>37</x:v>
      </x:c>
      <x:c r="Q196" s="9" t="n">
        <x:f>Model_Data!P196</x:f>
        <x:v>-314.6707923143367</x:v>
      </x:c>
      <x:c r="R196" s="9" t="n">
        <x:f>Model_Data!AM196</x:f>
        <x:v>-304.7320025682893</x:v>
      </x:c>
      <x:c r="S196" s="9" t="n">
        <x:f>Model_Data!Q196</x:f>
        <x:v>-47.247866713864376</x:v>
      </x:c>
      <x:c r="T196" s="9" t="n">
        <x:f>Model_Data!AN196</x:f>
        <x:v>-45.75555594118459</x:v>
      </x:c>
      <x:c r="U196" s="10" t="n"/>
      <x:c r="V196" s="9" t="n">
        <x:f>Model_Data!A196</x:f>
        <x:v>37</x:v>
      </x:c>
      <x:c r="W196" s="9" t="n">
        <x:f>Model_Data!B196-Inputs!$C$5</x:f>
        <x:v>1.5211111111111109</x:v>
      </x:c>
      <x:c r="X196" s="10" t="n"/>
      <x:c r="Y196" s="9" t="n">
        <x:f>Model_Data!A196</x:f>
        <x:v>37</x:v>
      </x:c>
      <x:c r="Z196" s="9" t="n">
        <x:f>0</x:f>
        <x:v>0</x:v>
      </x:c>
      <x:c r="AA196" s="9" t="n">
        <x:f>((SQRT((Inputs!$C$52+Inputs!$C$5)^2+Inputs!$C$52^2-2*(Inputs!$C$52+Inputs!$C$5)*Inputs!$C$52*COS(SQRT((Model_Data!A196)^2+Inputs!$C$6^2)/Inputs!$C$52))-Inputs!$C$5)*1000/Inputs!$C$12)</x:f>
        <x:v>1752.1921186527331</x:v>
      </x:c>
      <x:c r="AB196" s="9" t="n">
        <x:f>Model_Data!F196</x:f>
        <x:v>1746.9542010692446</x:v>
      </x:c>
    </x:row>
    <x:row r="197">
      <x:c r="A197" s="9" t="n">
        <x:f>Model_Data!A197</x:f>
        <x:v>37.5</x:v>
      </x:c>
      <x:c r="B197" s="9" t="n">
        <x:f>0</x:f>
        <x:v>0</x:v>
      </x:c>
      <x:c r="C197" s="9" t="n">
        <x:f>((SQRT((Inputs!$C$52+Inputs!$C$5)^2+Inputs!$C$52^2-2*(Inputs!$C$52+Inputs!$C$5)*Inputs!$C$52*COS(SQRT((Model_Data!A197)^2+Inputs!$C$6^2)/Inputs!$C$52))-Inputs!$C$5)*1000/Inputs!$C$12)</x:f>
        <x:v>1784.7936574050277</x:v>
      </x:c>
      <x:c r="D197" s="9" t="n">
        <x:f>Model_Data!F197</x:f>
        <x:v>1779.3145540322525</x:v>
      </x:c>
      <x:c r="E197" s="9" t="n">
        <x:f>Model_Data!AC197</x:f>
        <x:v>1654.6867542325188</x:v>
      </x:c>
      <x:c r="F197" s="10" t="n"/>
      <x:c r="G197" s="9" t="n">
        <x:f>Model_Data!A197</x:f>
        <x:v>37.5</x:v>
      </x:c>
      <x:c r="H197" s="9" t="n">
        <x:f>Model_Data!Y197</x:f>
        <x:v>280.6842863692354</x:v>
      </x:c>
      <x:c r="I197" s="9" t="n">
        <x:f>Model_Data!Y197</x:f>
        <x:v>280.6842863692354</x:v>
      </x:c>
      <x:c r="J197" s="9" t="n">
        <x:f>Model_Data!X197</x:f>
        <x:v>56.08108474403666</x:v>
      </x:c>
      <x:c r="K197" s="9" t="n">
        <x:f>Model_Data!A197</x:f>
        <x:v>37.5</x:v>
      </x:c>
      <x:c r="L197" s="9" t="n">
        <x:f>Model_Data!Y197</x:f>
        <x:v>280.6842863692354</x:v>
      </x:c>
      <x:c r="M197" s="9" t="n">
        <x:f>Model_Data!X197</x:f>
        <x:v>56.08108474403666</x:v>
      </x:c>
      <x:c r="N197" s="9" t="n">
        <x:f>-(Model_Data!AC197-Model_Data!F197)*Inputs!$C$12</x:f>
        <x:v>221.83748364352616</x:v>
      </x:c>
      <x:c r="O197" s="10" t="n"/>
      <x:c r="P197" s="9" t="n">
        <x:f>Model_Data!A197</x:f>
        <x:v>37.5</x:v>
      </x:c>
      <x:c r="Q197" s="9" t="n">
        <x:f>Model_Data!P197</x:f>
        <x:v>-318.8661186490208</x:v>
      </x:c>
      <x:c r="R197" s="9" t="n">
        <x:f>Model_Data!AM197</x:f>
        <x:v>-310.94330885744057</x:v>
      </x:c>
      <x:c r="S197" s="9" t="n">
        <x:f>Model_Data!Q197</x:f>
        <x:v>-47.87779559294607</x:v>
      </x:c>
      <x:c r="T197" s="9" t="n">
        <x:f>Model_Data!AN197</x:f>
        <x:v>-46.688184513129215</x:v>
      </x:c>
      <x:c r="U197" s="10" t="n"/>
      <x:c r="V197" s="9" t="n">
        <x:f>Model_Data!A197</x:f>
        <x:v>37.5</x:v>
      </x:c>
      <x:c r="W197" s="9" t="n">
        <x:f>Model_Data!B197-Inputs!$C$5</x:f>
        <x:v>1.5625</x:v>
      </x:c>
      <x:c r="X197" s="10" t="n"/>
      <x:c r="Y197" s="9" t="n">
        <x:f>Model_Data!A197</x:f>
        <x:v>37.5</x:v>
      </x:c>
      <x:c r="Z197" s="9" t="n">
        <x:f>0</x:f>
        <x:v>0</x:v>
      </x:c>
      <x:c r="AA197" s="9" t="n">
        <x:f>((SQRT((Inputs!$C$52+Inputs!$C$5)^2+Inputs!$C$52^2-2*(Inputs!$C$52+Inputs!$C$5)*Inputs!$C$52*COS(SQRT((Model_Data!A197)^2+Inputs!$C$6^2)/Inputs!$C$52))-Inputs!$C$5)*1000/Inputs!$C$12)</x:f>
        <x:v>1784.7936574050277</x:v>
      </x:c>
      <x:c r="AB197" s="9" t="n">
        <x:f>Model_Data!F197</x:f>
        <x:v>1779.3145540322525</x:v>
      </x:c>
    </x:row>
    <x:row r="198">
      <x:c r="A198" s="9" t="n">
        <x:f>Model_Data!A198</x:f>
        <x:v>38</x:v>
      </x:c>
      <x:c r="B198" s="9" t="n">
        <x:f>0</x:f>
        <x:v>0</x:v>
      </x:c>
      <x:c r="C198" s="9" t="n">
        <x:f>((SQRT((Inputs!$C$52+Inputs!$C$5)^2+Inputs!$C$52^2-2*(Inputs!$C$52+Inputs!$C$5)*Inputs!$C$52*COS(SQRT((Model_Data!A198)^2+Inputs!$C$6^2)/Inputs!$C$52))-Inputs!$C$5)*1000/Inputs!$C$12)</x:f>
        <x:v>1817.8279292902807</x:v>
      </x:c>
      <x:c r="D198" s="9" t="n">
        <x:f>Model_Data!F198</x:f>
        <x:v>1812.0991397334715</x:v>
      </x:c>
      <x:c r="E198" s="9" t="n">
        <x:f>Model_Data!AC198</x:f>
        <x:v>1697.1287035508037</x:v>
      </x:c>
      <x:c r="F198" s="10" t="n"/>
      <x:c r="G198" s="9" t="n">
        <x:f>Model_Data!A198</x:f>
        <x:v>38</x:v>
      </x:c>
      <x:c r="H198" s="9" t="n">
        <x:f>Model_Data!Y198</x:f>
        <x:v>282.3717678695042</x:v>
      </x:c>
      <x:c r="I198" s="9" t="n">
        <x:f>Model_Data!Y198</x:f>
        <x:v>282.3717678695042</x:v>
      </x:c>
      <x:c r="J198" s="9" t="n">
        <x:f>Model_Data!X198</x:f>
        <x:v>74.89136844725374</x:v>
      </x:c>
      <x:c r="K198" s="9" t="n">
        <x:f>Model_Data!A198</x:f>
        <x:v>38</x:v>
      </x:c>
      <x:c r="L198" s="9" t="n">
        <x:f>Model_Data!Y198</x:f>
        <x:v>282.3717678695042</x:v>
      </x:c>
      <x:c r="M198" s="9" t="n">
        <x:f>Model_Data!X198</x:f>
        <x:v>74.89136844725374</x:v>
      </x:c>
      <x:c r="N198" s="9" t="n">
        <x:f>-(Model_Data!AC198-Model_Data!F198)*Inputs!$C$12</x:f>
        <x:v>204.6473764051486</x:v>
      </x:c>
      <x:c r="O198" s="10" t="n"/>
      <x:c r="P198" s="9" t="n">
        <x:f>Model_Data!A198</x:f>
        <x:v>38</x:v>
      </x:c>
      <x:c r="Q198" s="9" t="n">
        <x:f>Model_Data!P198</x:f>
        <x:v>-323.0591935966004</x:v>
      </x:c>
      <x:c r="R198" s="9" t="n">
        <x:f>Model_Data!AM198</x:f>
        <x:v>-274.9239634749756</x:v>
      </x:c>
      <x:c r="S198" s="9" t="n">
        <x:f>Model_Data!Q198</x:f>
        <x:v>-48.507386425915975</x:v>
      </x:c>
      <x:c r="T198" s="9" t="n">
        <x:f>Model_Data!AN198</x:f>
        <x:v>-41.27987439564199</x:v>
      </x:c>
      <x:c r="U198" s="10" t="n"/>
      <x:c r="V198" s="9" t="n">
        <x:f>Model_Data!A198</x:f>
        <x:v>38</x:v>
      </x:c>
      <x:c r="W198" s="9" t="n">
        <x:f>Model_Data!B198-Inputs!$C$5</x:f>
        <x:v>1.6044444444444252</x:v>
      </x:c>
      <x:c r="X198" s="10" t="n"/>
      <x:c r="Y198" s="9" t="n">
        <x:f>Model_Data!A198</x:f>
        <x:v>38</x:v>
      </x:c>
      <x:c r="Z198" s="9" t="n">
        <x:f>0</x:f>
        <x:v>0</x:v>
      </x:c>
      <x:c r="AA198" s="9" t="n">
        <x:f>((SQRT((Inputs!$C$52+Inputs!$C$5)^2+Inputs!$C$52^2-2*(Inputs!$C$52+Inputs!$C$5)*Inputs!$C$52*COS(SQRT((Model_Data!A198)^2+Inputs!$C$6^2)/Inputs!$C$52))-Inputs!$C$5)*1000/Inputs!$C$12)</x:f>
        <x:v>1817.8279292902807</x:v>
      </x:c>
      <x:c r="AB198" s="9" t="n">
        <x:f>Model_Data!F198</x:f>
        <x:v>1812.0991397334715</x:v>
      </x:c>
    </x:row>
    <x:row r="199">
      <x:c r="A199" s="9" t="n">
        <x:f>Model_Data!A199</x:f>
        <x:v>38.5</x:v>
      </x:c>
      <x:c r="B199" s="9" t="n">
        <x:f>0</x:f>
        <x:v>0</x:v>
      </x:c>
      <x:c r="C199" s="9" t="n">
        <x:f>((SQRT((Inputs!$C$52+Inputs!$C$5)^2+Inputs!$C$52^2-2*(Inputs!$C$52+Inputs!$C$5)*Inputs!$C$52*COS(SQRT((Model_Data!A199)^2+Inputs!$C$6^2)/Inputs!$C$52))-Inputs!$C$5)*1000/Inputs!$C$12)</x:f>
        <x:v>1851.2947416406298</x:v>
      </x:c>
      <x:c r="D199" s="9" t="n">
        <x:f>Model_Data!F199</x:f>
        <x:v>1845.3075605229446</x:v>
      </x:c>
      <x:c r="E199" s="9" t="n">
        <x:f>Model_Data!AC199</x:f>
        <x:v>1717.9066332410525</x:v>
      </x:c>
      <x:c r="F199" s="10" t="n"/>
      <x:c r="G199" s="9" t="n">
        <x:f>Model_Data!A199</x:f>
        <x:v>38.5</x:v>
      </x:c>
      <x:c r="H199" s="9" t="n">
        <x:f>Model_Data!Y199</x:f>
        <x:v>311.18191933727104</x:v>
      </x:c>
      <x:c r="I199" s="9" t="n">
        <x:f>Model_Data!Y199</x:f>
        <x:v>311.18191933727104</x:v>
      </x:c>
      <x:c r="J199" s="9" t="n">
        <x:f>Model_Data!X199</x:f>
        <x:v>81.22943665181958</x:v>
      </x:c>
      <x:c r="K199" s="9" t="n">
        <x:f>Model_Data!A199</x:f>
        <x:v>38.5</x:v>
      </x:c>
      <x:c r="L199" s="9" t="n">
        <x:f>Model_Data!Y199</x:f>
        <x:v>311.18191933727104</x:v>
      </x:c>
      <x:c r="M199" s="9" t="n">
        <x:f>Model_Data!X199</x:f>
        <x:v>81.22943665181958</x:v>
      </x:c>
      <x:c r="N199" s="9" t="n">
        <x:f>-(Model_Data!AC199-Model_Data!F199)*Inputs!$C$12</x:f>
        <x:v>226.77365056176797</x:v>
      </x:c>
      <x:c r="O199" s="10" t="n"/>
      <x:c r="P199" s="9" t="n">
        <x:f>Model_Data!A199</x:f>
        <x:v>38.5</x:v>
      </x:c>
      <x:c r="Q199" s="9" t="n">
        <x:f>Model_Data!P199</x:f>
        <x:v>-327.2499899624563</x:v>
      </x:c>
      <x:c r="R199" s="9" t="n">
        <x:f>Model_Data!AM199</x:f>
        <x:v>-295.00116253339</x:v>
      </x:c>
      <x:c r="S199" s="9" t="n">
        <x:f>Model_Data!Q199</x:f>
        <x:v>-49.13663512949795</x:v>
      </x:c>
      <x:c r="T199" s="9" t="n">
        <x:f>Model_Data!AN199</x:f>
        <x:v>-44.29446884885736</x:v>
      </x:c>
      <x:c r="U199" s="10" t="n"/>
      <x:c r="V199" s="9" t="n">
        <x:f>Model_Data!A199</x:f>
        <x:v>38.5</x:v>
      </x:c>
      <x:c r="W199" s="9" t="n">
        <x:f>Model_Data!B199-Inputs!$C$5</x:f>
        <x:v>1.6469444444444434</x:v>
      </x:c>
      <x:c r="X199" s="10" t="n"/>
      <x:c r="Y199" s="9" t="n">
        <x:f>Model_Data!A199</x:f>
        <x:v>38.5</x:v>
      </x:c>
      <x:c r="Z199" s="9" t="n">
        <x:f>0</x:f>
        <x:v>0</x:v>
      </x:c>
      <x:c r="AA199" s="9" t="n">
        <x:f>((SQRT((Inputs!$C$52+Inputs!$C$5)^2+Inputs!$C$52^2-2*(Inputs!$C$52+Inputs!$C$5)*Inputs!$C$52*COS(SQRT((Model_Data!A199)^2+Inputs!$C$6^2)/Inputs!$C$52))-Inputs!$C$5)*1000/Inputs!$C$12)</x:f>
        <x:v>1851.2947416406298</x:v>
      </x:c>
      <x:c r="AB199" s="9" t="n">
        <x:f>Model_Data!F199</x:f>
        <x:v>1845.3075605229446</x:v>
      </x:c>
    </x:row>
    <x:row r="200">
      <x:c r="A200" s="9" t="n">
        <x:f>Model_Data!A200</x:f>
        <x:v>39</x:v>
      </x:c>
      <x:c r="B200" s="9" t="n">
        <x:f>0</x:f>
        <x:v>0</x:v>
      </x:c>
      <x:c r="C200" s="9" t="n">
        <x:f>((SQRT((Inputs!$C$52+Inputs!$C$5)^2+Inputs!$C$52^2-2*(Inputs!$C$52+Inputs!$C$5)*Inputs!$C$52*COS(SQRT((Model_Data!A200)^2+Inputs!$C$6^2)/Inputs!$C$52))-Inputs!$C$5)*1000/Inputs!$C$12)</x:f>
        <x:v>1885.1938993782433</x:v>
      </x:c>
      <x:c r="D200" s="9" t="n">
        <x:f>Model_Data!F200</x:f>
        <x:v>1878.9394139868214</x:v>
      </x:c>
      <x:c r="E200" s="9" t="n">
        <x:f>Model_Data!AC200</x:f>
        <x:v>1757.064950521521</x:v>
      </x:c>
      <x:c r="F200" s="10" t="n"/>
      <x:c r="G200" s="9" t="n">
        <x:f>Model_Data!A200</x:f>
        <x:v>39</x:v>
      </x:c>
      <x:c r="H200" s="9" t="n">
        <x:f>Model_Data!Y200</x:f>
        <x:v>302.8435496777789</x:v>
      </x:c>
      <x:c r="I200" s="9" t="n">
        <x:f>Model_Data!Y200</x:f>
        <x:v>302.8435496777789</x:v>
      </x:c>
      <x:c r="J200" s="9" t="n">
        <x:f>Model_Data!X200</x:f>
        <x:v>82.75771702731363</x:v>
      </x:c>
      <x:c r="K200" s="9" t="n">
        <x:f>Model_Data!A200</x:f>
        <x:v>39</x:v>
      </x:c>
      <x:c r="L200" s="9" t="n">
        <x:f>Model_Data!Y200</x:f>
        <x:v>302.8435496777789</x:v>
      </x:c>
      <x:c r="M200" s="9" t="n">
        <x:f>Model_Data!X200</x:f>
        <x:v>82.75771702731363</x:v>
      </x:c>
      <x:c r="N200" s="9" t="n">
        <x:f>-(Model_Data!AC200-Model_Data!F200)*Inputs!$C$12</x:f>
        <x:v>216.93654496823459</x:v>
      </x:c>
      <x:c r="O200" s="10" t="n"/>
      <x:c r="P200" s="9" t="n">
        <x:f>Model_Data!A200</x:f>
        <x:v>39</x:v>
      </x:c>
      <x:c r="Q200" s="9" t="n">
        <x:f>Model_Data!P200</x:f>
        <x:v>-331.4384806597445</x:v>
      </x:c>
      <x:c r="R200" s="9" t="n">
        <x:f>Model_Data!AM200</x:f>
        <x:v>-351.0190914843406</x:v>
      </x:c>
      <x:c r="S200" s="9" t="n">
        <x:f>Model_Data!Q200</x:f>
        <x:v>-49.76553763659828</x:v>
      </x:c>
      <x:c r="T200" s="9" t="n">
        <x:f>Model_Data!AN200</x:f>
        <x:v>-52.705569291943036</x:v>
      </x:c>
      <x:c r="U200" s="10" t="n"/>
      <x:c r="V200" s="9" t="n">
        <x:f>Model_Data!A200</x:f>
        <x:v>39</x:v>
      </x:c>
      <x:c r="W200" s="9" t="n">
        <x:f>Model_Data!B200-Inputs!$C$5</x:f>
        <x:v>1.6899999999999977</x:v>
      </x:c>
      <x:c r="X200" s="10" t="n"/>
      <x:c r="Y200" s="9" t="n">
        <x:f>Model_Data!A200</x:f>
        <x:v>39</x:v>
      </x:c>
      <x:c r="Z200" s="9" t="n">
        <x:f>0</x:f>
        <x:v>0</x:v>
      </x:c>
      <x:c r="AA200" s="9" t="n">
        <x:f>((SQRT((Inputs!$C$52+Inputs!$C$5)^2+Inputs!$C$52^2-2*(Inputs!$C$52+Inputs!$C$5)*Inputs!$C$52*COS(SQRT((Model_Data!A200)^2+Inputs!$C$6^2)/Inputs!$C$52))-Inputs!$C$5)*1000/Inputs!$C$12)</x:f>
        <x:v>1885.1938993782433</x:v>
      </x:c>
      <x:c r="AB200" s="9" t="n">
        <x:f>Model_Data!F200</x:f>
        <x:v>1878.9394139868214</x:v>
      </x:c>
    </x:row>
    <x:row r="201">
      <x:c r="A201" s="9" t="n">
        <x:f>Model_Data!A201</x:f>
        <x:v>39.5</x:v>
      </x:c>
      <x:c r="B201" s="9" t="n">
        <x:f>0</x:f>
        <x:v>0</x:v>
      </x:c>
      <x:c r="C201" s="9" t="n">
        <x:f>((SQRT((Inputs!$C$52+Inputs!$C$5)^2+Inputs!$C$52^2-2*(Inputs!$C$52+Inputs!$C$5)*Inputs!$C$52*COS(SQRT((Model_Data!A201)^2+Inputs!$C$6^2)/Inputs!$C$52))-Inputs!$C$5)*1000/Inputs!$C$12)</x:f>
        <x:v>1919.5252050223141</x:v>
      </x:c>
      <x:c r="D201" s="9" t="n">
        <x:f>Model_Data!F201</x:f>
        <x:v>1912.9942929643466</x:v>
      </x:c>
      <x:c r="E201" s="9" t="n">
        <x:f>Model_Data!AC201</x:f>
        <x:v>1789.7063769262995</x:v>
      </x:c>
      <x:c r="F201" s="10" t="n"/>
      <x:c r="G201" s="9" t="n">
        <x:f>Model_Data!A201</x:f>
        <x:v>39.5</x:v>
      </x:c>
      <x:c r="H201" s="9" t="n">
        <x:f>Model_Data!Y201</x:f>
        <x:v>298.92940490783735</x:v>
      </x:c>
      <x:c r="I201" s="9" t="n">
        <x:f>Model_Data!Y201</x:f>
        <x:v>298.92940490783735</x:v>
      </x:c>
      <x:c r="J201" s="9" t="n">
        <x:f>Model_Data!X201</x:f>
        <x:v>76.31271490051972</x:v>
      </x:c>
      <x:c r="K201" s="9" t="n">
        <x:f>Model_Data!A201</x:f>
        <x:v>39.5</x:v>
      </x:c>
      <x:c r="L201" s="9" t="n">
        <x:f>Model_Data!Y201</x:f>
        <x:v>298.92940490783735</x:v>
      </x:c>
      <x:c r="M201" s="9" t="n">
        <x:f>Model_Data!X201</x:f>
        <x:v>76.31271490051972</x:v>
      </x:c>
      <x:c r="N201" s="9" t="n">
        <x:f>-(Model_Data!AC201-Model_Data!F201)*Inputs!$C$12</x:f>
        <x:v>219.45249054772387</x:v>
      </x:c>
      <x:c r="O201" s="10" t="n"/>
      <x:c r="P201" s="9" t="n">
        <x:f>Model_Data!A201</x:f>
        <x:v>39.5</x:v>
      </x:c>
      <x:c r="Q201" s="9" t="n">
        <x:f>Model_Data!P201</x:f>
        <x:v>-335.62463871039654</x:v>
      </x:c>
      <x:c r="R201" s="9" t="n">
        <x:f>Model_Data!AM201</x:f>
        <x:v>-332.6760334270148</x:v>
      </x:c>
      <x:c r="S201" s="9" t="n">
        <x:f>Model_Data!Q201</x:f>
        <x:v>-50.39408989645594</x:v>
      </x:c>
      <x:c r="T201" s="9" t="n">
        <x:f>Model_Data!AN201</x:f>
        <x:v>-49.951356370422644</x:v>
      </x:c>
      <x:c r="U201" s="10" t="n"/>
      <x:c r="V201" s="9" t="n">
        <x:f>Model_Data!A201</x:f>
        <x:v>39.5</x:v>
      </x:c>
      <x:c r="W201" s="9" t="n">
        <x:f>Model_Data!B201-Inputs!$C$5</x:f>
        <x:v>1.7336111111110881</x:v>
      </x:c>
      <x:c r="X201" s="10" t="n"/>
      <x:c r="Y201" s="9" t="n">
        <x:f>Model_Data!A201</x:f>
        <x:v>39.5</x:v>
      </x:c>
      <x:c r="Z201" s="9" t="n">
        <x:f>0</x:f>
        <x:v>0</x:v>
      </x:c>
      <x:c r="AA201" s="9" t="n">
        <x:f>((SQRT((Inputs!$C$52+Inputs!$C$5)^2+Inputs!$C$52^2-2*(Inputs!$C$52+Inputs!$C$5)*Inputs!$C$52*COS(SQRT((Model_Data!A201)^2+Inputs!$C$6^2)/Inputs!$C$52))-Inputs!$C$5)*1000/Inputs!$C$12)</x:f>
        <x:v>1919.5252050223141</x:v>
      </x:c>
      <x:c r="AB201" s="9" t="n">
        <x:f>Model_Data!F201</x:f>
        <x:v>1912.9942929643466</x:v>
      </x:c>
    </x:row>
    <x:row r="202">
      <x:c r="A202" s="9" t="n">
        <x:f>Model_Data!A202</x:f>
        <x:v>40</x:v>
      </x:c>
      <x:c r="B202" s="9" t="n">
        <x:f>0</x:f>
        <x:v>0</x:v>
      </x:c>
      <x:c r="C202" s="9" t="n">
        <x:f>((SQRT((Inputs!$C$52+Inputs!$C$5)^2+Inputs!$C$52^2-2*(Inputs!$C$52+Inputs!$C$5)*Inputs!$C$52*COS(SQRT((Model_Data!A202)^2+Inputs!$C$6^2)/Inputs!$C$52))-Inputs!$C$5)*1000/Inputs!$C$12)</x:f>
        <x:v>1954.2884586951907</x:v>
      </x:c>
      <x:c r="D202" s="9" t="n">
        <x:f>Model_Data!F202</x:f>
        <x:v>1947.4717855689696</x:v>
      </x:c>
      <x:c r="E202" s="9" t="n">
        <x:f>Model_Data!AC202</x:f>
        <x:v>1815.2970383237368</x:v>
      </x:c>
      <x:c r="F202" s="10" t="n"/>
      <x:c r="G202" s="9" t="n">
        <x:f>Model_Data!A202</x:f>
        <x:v>40</x:v>
      </x:c>
      <x:c r="H202" s="9" t="n">
        <x:f>Model_Data!Y202</x:f>
        <x:v>304.82117281231683</x:v>
      </x:c>
      <x:c r="I202" s="9" t="n">
        <x:f>Model_Data!Y202</x:f>
        <x:v>304.82117281231683</x:v>
      </x:c>
      <x:c r="J202" s="9" t="n">
        <x:f>Model_Data!X202</x:f>
        <x:v>66.26609020115302</x:v>
      </x:c>
      <x:c r="K202" s="9" t="n">
        <x:f>Model_Data!A202</x:f>
        <x:v>40</x:v>
      </x:c>
      <x:c r="L202" s="9" t="n">
        <x:f>Model_Data!Y202</x:f>
        <x:v>304.82117281231683</x:v>
      </x:c>
      <x:c r="M202" s="9" t="n">
        <x:f>Model_Data!X202</x:f>
        <x:v>66.26609020115302</x:v>
      </x:c>
      <x:c r="N202" s="9" t="n">
        <x:f>-(Model_Data!AC202-Model_Data!F202)*Inputs!$C$12</x:f>
        <x:v>235.27105009651433</x:v>
      </x:c>
      <x:c r="O202" s="10" t="n"/>
      <x:c r="P202" s="9" t="n">
        <x:f>Model_Data!A202</x:f>
        <x:v>40</x:v>
      </x:c>
      <x:c r="Q202" s="9" t="n">
        <x:f>Model_Data!P202</x:f>
        <x:v>-339.80843724993974</x:v>
      </x:c>
      <x:c r="R202" s="9" t="n">
        <x:f>Model_Data!AM202</x:f>
        <x:v>-337.1917719139674</x:v>
      </x:c>
      <x:c r="S202" s="9" t="n">
        <x:f>Model_Data!Q202</x:f>
        <x:v>-51.02228787536633</x:v>
      </x:c>
      <x:c r="T202" s="9" t="n">
        <x:f>Model_Data!AN202</x:f>
        <x:v>-50.62939518227739</x:v>
      </x:c>
      <x:c r="U202" s="10" t="n"/>
      <x:c r="V202" s="9" t="n">
        <x:f>Model_Data!A202</x:f>
        <x:v>40</x:v>
      </x:c>
      <x:c r="W202" s="9" t="n">
        <x:f>Model_Data!B202-Inputs!$C$5</x:f>
        <x:v>1.7777777777777715</x:v>
      </x:c>
      <x:c r="X202" s="10" t="n"/>
      <x:c r="Y202" s="9" t="n">
        <x:f>Model_Data!A202</x:f>
        <x:v>40</x:v>
      </x:c>
      <x:c r="Z202" s="9" t="n">
        <x:f>0</x:f>
        <x:v>0</x:v>
      </x:c>
      <x:c r="AA202" s="9" t="n">
        <x:f>((SQRT((Inputs!$C$52+Inputs!$C$5)^2+Inputs!$C$52^2-2*(Inputs!$C$52+Inputs!$C$5)*Inputs!$C$52*COS(SQRT((Model_Data!A202)^2+Inputs!$C$6^2)/Inputs!$C$52))-Inputs!$C$5)*1000/Inputs!$C$12)</x:f>
        <x:v>1954.2884586951907</x:v>
      </x:c>
      <x:c r="AB202" s="9" t="n">
        <x:f>Model_Data!F202</x:f>
        <x:v>1947.4717855689696</x:v>
      </x:c>
    </x:row>
    <x:row r="203">
      <x:c r="A203" s="9" t="n">
        <x:f>Model_Data!A203</x:f>
        <x:v>40.5</x:v>
      </x:c>
      <x:c r="B203" s="9" t="n">
        <x:f>0</x:f>
        <x:v>0</x:v>
      </x:c>
      <x:c r="C203" s="9" t="n">
        <x:f>((SQRT((Inputs!$C$52+Inputs!$C$5)^2+Inputs!$C$52^2-2*(Inputs!$C$52+Inputs!$C$5)*Inputs!$C$52*COS(SQRT((Model_Data!A203)^2+Inputs!$C$6^2)/Inputs!$C$52))-Inputs!$C$5)*1000/Inputs!$C$12)</x:f>
        <x:v>1989.483458127327</x:v>
      </x:c>
      <x:c r="D203" s="9" t="n">
        <x:f>Model_Data!F203</x:f>
        <x:v>1982.3714752072171</x:v>
      </x:c>
      <x:c r="E203" s="9" t="n">
        <x:f>Model_Data!AC203</x:f>
        <x:v>1849.0858481752039</x:v>
      </x:c>
      <x:c r="F203" s="10" t="n"/>
      <x:c r="G203" s="9" t="n">
        <x:f>Model_Data!A203</x:f>
        <x:v>40.5</x:v>
      </x:c>
      <x:c r="H203" s="9" t="n">
        <x:f>Model_Data!Y203</x:f>
        <x:v>300.6975060152245</x:v>
      </x:c>
      <x:c r="I203" s="9" t="n">
        <x:f>Model_Data!Y203</x:f>
        <x:v>300.6975060152245</x:v>
      </x:c>
      <x:c r="J203" s="9" t="n">
        <x:f>Model_Data!X203</x:f>
        <x:v>60.152205166209214</x:v>
      </x:c>
      <x:c r="K203" s="9" t="n">
        <x:f>Model_Data!A203</x:f>
        <x:v>40.5</x:v>
      </x:c>
      <x:c r="L203" s="9" t="n">
        <x:f>Model_Data!Y203</x:f>
        <x:v>300.6975060152245</x:v>
      </x:c>
      <x:c r="M203" s="9" t="n">
        <x:f>Model_Data!X203</x:f>
        <x:v>60.152205166209214</x:v>
      </x:c>
      <x:c r="N203" s="9" t="n">
        <x:f>-(Model_Data!AC203-Model_Data!F203)*Inputs!$C$12</x:f>
        <x:v>237.24841611698363</x:v>
      </x:c>
      <x:c r="O203" s="10" t="n"/>
      <x:c r="P203" s="9" t="n">
        <x:f>Model_Data!A203</x:f>
        <x:v>40.5</x:v>
      </x:c>
      <x:c r="Q203" s="9" t="n">
        <x:f>Model_Data!P203</x:f>
        <x:v>-343.98984952458704</x:v>
      </x:c>
      <x:c r="R203" s="9" t="n">
        <x:f>Model_Data!AM203</x:f>
        <x:v>-388.8944572384389</x:v>
      </x:c>
      <x:c r="S203" s="9" t="n">
        <x:f>Model_Data!Q203</x:f>
        <x:v>-51.65012755624431</x:v>
      </x:c>
      <x:c r="T203" s="9" t="n">
        <x:f>Model_Data!AN203</x:f>
        <x:v>-58.392561146912755</x:v>
      </x:c>
      <x:c r="U203" s="10" t="n"/>
      <x:c r="V203" s="9" t="n">
        <x:f>Model_Data!A203</x:f>
        <x:v>40.5</x:v>
      </x:c>
      <x:c r="W203" s="9" t="n">
        <x:f>Model_Data!B203-Inputs!$C$5</x:f>
        <x:v>1.822499999999991</x:v>
      </x:c>
      <x:c r="X203" s="10" t="n"/>
      <x:c r="Y203" s="9" t="n">
        <x:f>Model_Data!A203</x:f>
        <x:v>40.5</x:v>
      </x:c>
      <x:c r="Z203" s="9" t="n">
        <x:f>0</x:f>
        <x:v>0</x:v>
      </x:c>
      <x:c r="AA203" s="9" t="n">
        <x:f>((SQRT((Inputs!$C$52+Inputs!$C$5)^2+Inputs!$C$52^2-2*(Inputs!$C$52+Inputs!$C$5)*Inputs!$C$52*COS(SQRT((Model_Data!A203)^2+Inputs!$C$6^2)/Inputs!$C$52))-Inputs!$C$5)*1000/Inputs!$C$12)</x:f>
        <x:v>1989.483458127327</x:v>
      </x:c>
      <x:c r="AB203" s="9" t="n">
        <x:f>Model_Data!F203</x:f>
        <x:v>1982.3714752072171</x:v>
      </x:c>
    </x:row>
    <x:row r="204">
      <x:c r="A204" s="9" t="n">
        <x:f>Model_Data!A204</x:f>
        <x:v>41</x:v>
      </x:c>
      <x:c r="B204" s="9" t="n">
        <x:f>0</x:f>
        <x:v>0</x:v>
      </x:c>
      <x:c r="C204" s="9" t="n">
        <x:f>((SQRT((Inputs!$C$52+Inputs!$C$5)^2+Inputs!$C$52^2-2*(Inputs!$C$52+Inputs!$C$5)*Inputs!$C$52*COS(SQRT((Model_Data!A204)^2+Inputs!$C$6^2)/Inputs!$C$52))-Inputs!$C$5)*1000/Inputs!$C$12)</x:f>
        <x:v>2025.1099986616898</x:v>
      </x:c>
      <x:c r="D204" s="9" t="n">
        <x:f>Model_Data!F204</x:f>
        <x:v>2017.6929405986523</x:v>
      </x:c>
      <x:c r="E204" s="9" t="n">
        <x:f>Model_Data!AC204</x:f>
        <x:v>1893.6129285270972</x:v>
      </x:c>
      <x:c r="F204" s="10" t="n"/>
      <x:c r="G204" s="9" t="n">
        <x:f>Model_Data!A204</x:f>
        <x:v>41</x:v>
      </x:c>
      <x:c r="H204" s="9" t="n">
        <x:f>Model_Data!Y204</x:f>
        <x:v>276.55710773836364</x:v>
      </x:c>
      <x:c r="I204" s="9" t="n">
        <x:f>Model_Data!Y204</x:f>
        <x:v>276.55710773836364</x:v>
      </x:c>
      <x:c r="J204" s="9" t="n">
        <x:f>Model_Data!X204</x:f>
        <x:v>52.60933898915909</x:v>
      </x:c>
      <x:c r="K204" s="9" t="n">
        <x:f>Model_Data!A204</x:f>
        <x:v>41</x:v>
      </x:c>
      <x:c r="L204" s="9" t="n">
        <x:f>Model_Data!Y204</x:f>
        <x:v>276.55710773836364</x:v>
      </x:c>
      <x:c r="M204" s="9" t="n">
        <x:f>Model_Data!X204</x:f>
        <x:v>52.60933898915909</x:v>
      </x:c>
      <x:c r="N204" s="9" t="n">
        <x:f>-(Model_Data!AC204-Model_Data!F204)*Inputs!$C$12</x:f>
        <x:v>220.86242148736804</x:v>
      </x:c>
      <x:c r="O204" s="10" t="n"/>
      <x:c r="P204" s="9" t="n">
        <x:f>Model_Data!A204</x:f>
        <x:v>41</x:v>
      </x:c>
      <x:c r="Q204" s="9" t="n">
        <x:f>Model_Data!P204</x:f>
        <x:v>-348.16884888314235</x:v>
      </x:c>
      <x:c r="R204" s="9" t="n">
        <x:f>Model_Data!AM204</x:f>
        <x:v>-398.15439784842965</x:v>
      </x:c>
      <x:c r="S204" s="9" t="n">
        <x:f>Model_Data!Q204</x:f>
        <x:v>-52.27760493740877</x:v>
      </x:c>
      <x:c r="T204" s="9" t="n">
        <x:f>Model_Data!AN204</x:f>
        <x:v>-59.78294261988434</x:v>
      </x:c>
      <x:c r="U204" s="10" t="n"/>
      <x:c r="V204" s="9" t="n">
        <x:f>Model_Data!A204</x:f>
        <x:v>41</x:v>
      </x:c>
      <x:c r="W204" s="9" t="n">
        <x:f>Model_Data!B204-Inputs!$C$5</x:f>
        <x:v>1.8677777777778033</x:v>
      </x:c>
      <x:c r="X204" s="10" t="n"/>
      <x:c r="Y204" s="9" t="n">
        <x:f>Model_Data!A204</x:f>
        <x:v>41</x:v>
      </x:c>
      <x:c r="Z204" s="9" t="n">
        <x:f>0</x:f>
        <x:v>0</x:v>
      </x:c>
      <x:c r="AA204" s="9" t="n">
        <x:f>((SQRT((Inputs!$C$52+Inputs!$C$5)^2+Inputs!$C$52^2-2*(Inputs!$C$52+Inputs!$C$5)*Inputs!$C$52*COS(SQRT((Model_Data!A204)^2+Inputs!$C$6^2)/Inputs!$C$52))-Inputs!$C$5)*1000/Inputs!$C$12)</x:f>
        <x:v>2025.1099986616898</x:v>
      </x:c>
      <x:c r="AB204" s="9" t="n">
        <x:f>Model_Data!F204</x:f>
        <x:v>2017.6929405986523</x:v>
      </x:c>
    </x:row>
    <x:row r="205">
      <x:c r="A205" s="9" t="n">
        <x:f>Model_Data!A205</x:f>
        <x:v>41.5</x:v>
      </x:c>
      <x:c r="B205" s="9" t="n">
        <x:f>0</x:f>
        <x:v>0</x:v>
      </x:c>
      <x:c r="C205" s="9" t="n">
        <x:f>((SQRT((Inputs!$C$52+Inputs!$C$5)^2+Inputs!$C$52^2-2*(Inputs!$C$52+Inputs!$C$5)*Inputs!$C$52*COS(SQRT((Model_Data!A205)^2+Inputs!$C$6^2)/Inputs!$C$52))-Inputs!$C$5)*1000/Inputs!$C$12)</x:f>
        <x:v>2061.1678732608475</x:v>
      </x:c>
      <x:c r="D205" s="9" t="n">
        <x:f>Model_Data!F205</x:f>
        <x:v>2053.4357557919698</x:v>
      </x:c>
      <x:c r="E205" s="9" t="n">
        <x:f>Model_Data!AC205</x:f>
        <x:v>1936.7061483302066</x:v>
      </x:c>
      <x:c r="F205" s="10" t="n"/>
      <x:c r="G205" s="9" t="n">
        <x:f>Model_Data!A205</x:f>
        <x:v>41.5</x:v>
      </x:c>
      <x:c r="H205" s="9" t="n">
        <x:f>Model_Data!Y205</x:f>
        <x:v>269.21554101681534</x:v>
      </x:c>
      <x:c r="I205" s="9" t="n">
        <x:f>Model_Data!Y205</x:f>
        <x:v>269.21554101681534</x:v>
      </x:c>
      <x:c r="J205" s="9" t="n">
        <x:f>Model_Data!X205</x:f>
        <x:v>58.38095189793533</x:v>
      </x:c>
      <x:c r="K205" s="9" t="n">
        <x:f>Model_Data!A205</x:f>
        <x:v>41.5</x:v>
      </x:c>
      <x:c r="L205" s="9" t="n">
        <x:f>Model_Data!Y205</x:f>
        <x:v>269.21554101681534</x:v>
      </x:c>
      <x:c r="M205" s="9" t="n">
        <x:f>Model_Data!X205</x:f>
        <x:v>58.38095189793533</x:v>
      </x:c>
      <x:c r="N205" s="9" t="n">
        <x:f>-(Model_Data!AC205-Model_Data!F205)*Inputs!$C$12</x:f>
        <x:v>207.77870128193845</x:v>
      </x:c>
      <x:c r="O205" s="10" t="n"/>
      <x:c r="P205" s="9" t="n">
        <x:f>Model_Data!A205</x:f>
        <x:v>41.5</x:v>
      </x:c>
      <x:c r="Q205" s="9" t="n">
        <x:f>Model_Data!P205</x:f>
        <x:v>-352.3454087967366</x:v>
      </x:c>
      <x:c r="R205" s="9" t="n">
        <x:f>Model_Data!AM205</x:f>
        <x:v>-361.1079984811113</x:v>
      </x:c>
      <x:c r="S205" s="9" t="n">
        <x:f>Model_Data!Q205</x:f>
        <x:v>-52.90471603554604</x:v>
      </x:c>
      <x:c r="T205" s="9" t="n">
        <x:f>Model_Data!AN205</x:f>
        <x:v>-54.22042019235906</x:v>
      </x:c>
      <x:c r="U205" s="10" t="n"/>
      <x:c r="V205" s="9" t="n">
        <x:f>Model_Data!A205</x:f>
        <x:v>41.5</x:v>
      </x:c>
      <x:c r="W205" s="9" t="n">
        <x:f>Model_Data!B205-Inputs!$C$5</x:f>
        <x:v>1.913611111111095</x:v>
      </x:c>
      <x:c r="X205" s="10" t="n"/>
      <x:c r="Y205" s="9" t="n">
        <x:f>Model_Data!A205</x:f>
        <x:v>41.5</x:v>
      </x:c>
      <x:c r="Z205" s="9" t="n">
        <x:f>0</x:f>
        <x:v>0</x:v>
      </x:c>
      <x:c r="AA205" s="9" t="n">
        <x:f>((SQRT((Inputs!$C$52+Inputs!$C$5)^2+Inputs!$C$52^2-2*(Inputs!$C$52+Inputs!$C$5)*Inputs!$C$52*COS(SQRT((Model_Data!A205)^2+Inputs!$C$6^2)/Inputs!$C$52))-Inputs!$C$5)*1000/Inputs!$C$12)</x:f>
        <x:v>2061.1678732608475</x:v>
      </x:c>
      <x:c r="AB205" s="9" t="n">
        <x:f>Model_Data!F205</x:f>
        <x:v>2053.4357557919698</x:v>
      </x:c>
    </x:row>
    <x:row r="206">
      <x:c r="A206" s="9" t="n">
        <x:f>Model_Data!A206</x:f>
        <x:v>42</x:v>
      </x:c>
      <x:c r="B206" s="9" t="n">
        <x:f>0</x:f>
        <x:v>0</x:v>
      </x:c>
      <x:c r="C206" s="9" t="n">
        <x:f>((SQRT((Inputs!$C$52+Inputs!$C$5)^2+Inputs!$C$52^2-2*(Inputs!$C$52+Inputs!$C$5)*Inputs!$C$52*COS(SQRT((Model_Data!A206)^2+Inputs!$C$6^2)/Inputs!$C$52))-Inputs!$C$5)*1000/Inputs!$C$12)</x:f>
        <x:v>2097.656872513326</x:v>
      </x:c>
      <x:c r="D206" s="9" t="n">
        <x:f>Model_Data!F206</x:f>
        <x:v>2089.5994901917893</x:v>
      </x:c>
      <x:c r="E206" s="9" t="n">
        <x:f>Model_Data!AC206</x:f>
        <x:v>1958.434377938433</x:v>
      </x:c>
      <x:c r="F206" s="10" t="n"/>
      <x:c r="G206" s="9" t="n">
        <x:f>Model_Data!A206</x:f>
        <x:v>42</x:v>
      </x:c>
      <x:c r="H206" s="9" t="n">
        <x:f>Model_Data!Y206</x:f>
        <x:v>271.1262021129023</x:v>
      </x:c>
      <x:c r="I206" s="9" t="n">
        <x:f>Model_Data!Y206</x:f>
        <x:v>271.1262021129023</x:v>
      </x:c>
      <x:c r="J206" s="9" t="n">
        <x:f>Model_Data!X206</x:f>
        <x:v>34.52124211278962</x:v>
      </x:c>
      <x:c r="K206" s="9" t="n">
        <x:f>Model_Data!A206</x:f>
        <x:v>42</x:v>
      </x:c>
      <x:c r="L206" s="9" t="n">
        <x:f>Model_Data!Y206</x:f>
        <x:v>271.1262021129023</x:v>
      </x:c>
      <x:c r="M206" s="9" t="n">
        <x:f>Model_Data!X206</x:f>
        <x:v>34.52124211278962</x:v>
      </x:c>
      <x:c r="N206" s="9" t="n">
        <x:f>-(Model_Data!AC206-Model_Data!F206)*Inputs!$C$12</x:f>
        <x:v>233.47389981097413</x:v>
      </x:c>
      <x:c r="O206" s="10" t="n"/>
      <x:c r="P206" s="9" t="n">
        <x:f>Model_Data!A206</x:f>
        <x:v>42</x:v>
      </x:c>
      <x:c r="Q206" s="9" t="n">
        <x:f>Model_Data!P206</x:f>
        <x:v>-356.5195028526432</x:v>
      </x:c>
      <x:c r="R206" s="9" t="n">
        <x:f>Model_Data!AM206</x:f>
        <x:v>-371.61471890167377</x:v>
      </x:c>
      <x:c r="S206" s="9" t="n">
        <x:f>Model_Data!Q206</x:f>
        <x:v>-53.531456884781264</x:v>
      </x:c>
      <x:c r="T206" s="9" t="n">
        <x:f>Model_Data!AN206</x:f>
        <x:v>-55.79800584109216</x:v>
      </x:c>
      <x:c r="U206" s="10" t="n"/>
      <x:c r="V206" s="9" t="n">
        <x:f>Model_Data!A206</x:f>
        <x:v>42</x:v>
      </x:c>
      <x:c r="W206" s="9" t="n">
        <x:f>Model_Data!B206-Inputs!$C$5</x:f>
        <x:v>1.9599999999999795</x:v>
      </x:c>
      <x:c r="X206" s="10" t="n"/>
      <x:c r="Y206" s="9" t="n">
        <x:f>Model_Data!A206</x:f>
        <x:v>42</x:v>
      </x:c>
      <x:c r="Z206" s="9" t="n">
        <x:f>0</x:f>
        <x:v>0</x:v>
      </x:c>
      <x:c r="AA206" s="9" t="n">
        <x:f>((SQRT((Inputs!$C$52+Inputs!$C$5)^2+Inputs!$C$52^2-2*(Inputs!$C$52+Inputs!$C$5)*Inputs!$C$52*COS(SQRT((Model_Data!A206)^2+Inputs!$C$6^2)/Inputs!$C$52))-Inputs!$C$5)*1000/Inputs!$C$12)</x:f>
        <x:v>2097.656872513326</x:v>
      </x:c>
      <x:c r="AB206" s="9" t="n">
        <x:f>Model_Data!F206</x:f>
        <x:v>2089.5994901917893</x:v>
      </x:c>
    </x:row>
    <x:row r="207">
      <x:c r="A207" s="9" t="n">
        <x:f>Model_Data!A207</x:f>
        <x:v>42.5</x:v>
      </x:c>
      <x:c r="B207" s="9" t="n">
        <x:f>0</x:f>
        <x:v>0</x:v>
      </x:c>
      <x:c r="C207" s="9" t="n">
        <x:f>((SQRT((Inputs!$C$52+Inputs!$C$5)^2+Inputs!$C$52^2-2*(Inputs!$C$52+Inputs!$C$5)*Inputs!$C$52*COS(SQRT((Model_Data!A207)^2+Inputs!$C$6^2)/Inputs!$C$52))-Inputs!$C$5)*1000/Inputs!$C$12)</x:f>
        <x:v>2134.576784639611</x:v>
      </x:c>
      <x:c r="D207" s="9" t="n">
        <x:f>Model_Data!F207</x:f>
        <x:v>2126.18370857261</x:v>
      </x:c>
      <x:c r="E207" s="9" t="n">
        <x:f>Model_Data!AC207</x:f>
        <x:v>2004.5691766690359</x:v>
      </x:c>
      <x:c r="F207" s="10" t="n"/>
      <x:c r="G207" s="9" t="n">
        <x:f>Model_Data!A207</x:f>
        <x:v>42.5</x:v>
      </x:c>
      <x:c r="H207" s="9" t="n">
        <x:f>Model_Data!Y207</x:f>
        <x:v>259.7768551367322</x:v>
      </x:c>
      <x:c r="I207" s="9" t="n">
        <x:f>Model_Data!Y207</x:f>
        <x:v>259.7768551367322</x:v>
      </x:c>
      <x:c r="J207" s="9" t="n">
        <x:f>Model_Data!X207</x:f>
        <x:v>40.25127636090155</x:v>
      </x:c>
      <x:c r="K207" s="9" t="n">
        <x:f>Model_Data!A207</x:f>
        <x:v>42.5</x:v>
      </x:c>
      <x:c r="L207" s="9" t="n">
        <x:f>Model_Data!Y207</x:f>
        <x:v>259.7768551367322</x:v>
      </x:c>
      <x:c r="M207" s="9" t="n">
        <x:f>Model_Data!X207</x:f>
        <x:v>40.25127636090155</x:v>
      </x:c>
      <x:c r="N207" s="9" t="n">
        <x:f>-(Model_Data!AC207-Model_Data!F207)*Inputs!$C$12</x:f>
        <x:v>216.47386678836224</x:v>
      </x:c>
      <x:c r="O207" s="10" t="n"/>
      <x:c r="P207" s="9" t="n">
        <x:f>Model_Data!A207</x:f>
        <x:v>42.5</x:v>
      </x:c>
      <x:c r="Q207" s="9" t="n">
        <x:f>Model_Data!P207</x:f>
        <x:v>-360.6911047401809</x:v>
      </x:c>
      <x:c r="R207" s="9" t="n">
        <x:f>Model_Data!AM207</x:f>
        <x:v>-398.58972229558276</x:v>
      </x:c>
      <x:c r="S207" s="9" t="n">
        <x:f>Model_Data!Q207</x:f>
        <x:v>-54.1578235345617</x:v>
      </x:c>
      <x:c r="T207" s="9" t="n">
        <x:f>Model_Data!AN207</x:f>
        <x:v>-59.848306650988405</x:v>
      </x:c>
      <x:c r="U207" s="10" t="n"/>
      <x:c r="V207" s="9" t="n">
        <x:f>Model_Data!A207</x:f>
        <x:v>42.5</x:v>
      </x:c>
      <x:c r="W207" s="9" t="n">
        <x:f>Model_Data!B207-Inputs!$C$5</x:f>
        <x:v>2.006944444444457</x:v>
      </x:c>
      <x:c r="X207" s="10" t="n"/>
      <x:c r="Y207" s="9" t="n">
        <x:f>Model_Data!A207</x:f>
        <x:v>42.5</x:v>
      </x:c>
      <x:c r="Z207" s="9" t="n">
        <x:f>0</x:f>
        <x:v>0</x:v>
      </x:c>
      <x:c r="AA207" s="9" t="n">
        <x:f>((SQRT((Inputs!$C$52+Inputs!$C$5)^2+Inputs!$C$52^2-2*(Inputs!$C$52+Inputs!$C$5)*Inputs!$C$52*COS(SQRT((Model_Data!A207)^2+Inputs!$C$6^2)/Inputs!$C$52))-Inputs!$C$5)*1000/Inputs!$C$12)</x:f>
        <x:v>2134.576784639611</x:v>
      </x:c>
      <x:c r="AB207" s="9" t="n">
        <x:f>Model_Data!F207</x:f>
        <x:v>2126.18370857261</x:v>
      </x:c>
    </x:row>
    <x:row r="208">
      <x:c r="A208" s="9" t="n">
        <x:f>Model_Data!A208</x:f>
        <x:v>43</x:v>
      </x:c>
      <x:c r="B208" s="9" t="n">
        <x:f>0</x:f>
        <x:v>0</x:v>
      </x:c>
      <x:c r="C208" s="9" t="n">
        <x:f>((SQRT((Inputs!$C$52+Inputs!$C$5)^2+Inputs!$C$52^2-2*(Inputs!$C$52+Inputs!$C$5)*Inputs!$C$52*COS(SQRT((Model_Data!A208)^2+Inputs!$C$6^2)/Inputs!$C$52))-Inputs!$C$5)*1000/Inputs!$C$12)</x:f>
        <x:v>2171.9273954940345</x:v>
      </x:c>
      <x:c r="D208" s="9" t="n">
        <x:f>Model_Data!F208</x:f>
        <x:v>2163.1879711008464</x:v>
      </x:c>
      <x:c r="E208" s="9" t="n">
        <x:f>Model_Data!AC208</x:f>
        <x:v>2044.6595852299038</x:v>
      </x:c>
      <x:c r="F208" s="10" t="n"/>
      <x:c r="G208" s="9" t="n">
        <x:f>Model_Data!A208</x:f>
        <x:v>43</x:v>
      </x:c>
      <x:c r="H208" s="9" t="n">
        <x:f>Model_Data!Y208</x:f>
        <x:v>247.2629698422237</x:v>
      </x:c>
      <x:c r="I208" s="9" t="n">
        <x:f>Model_Data!Y208</x:f>
        <x:v>247.2629698422237</x:v>
      </x:c>
      <x:c r="J208" s="9" t="n">
        <x:f>Model_Data!X208</x:f>
        <x:v>33.32797910139238</x:v>
      </x:c>
      <x:c r="K208" s="9" t="n">
        <x:f>Model_Data!A208</x:f>
        <x:v>43</x:v>
      </x:c>
      <x:c r="L208" s="9" t="n">
        <x:f>Model_Data!Y208</x:f>
        <x:v>247.2629698422237</x:v>
      </x:c>
      <x:c r="M208" s="9" t="n">
        <x:f>Model_Data!X208</x:f>
        <x:v>33.32797910139238</x:v>
      </x:c>
      <x:c r="N208" s="9" t="n">
        <x:f>-(Model_Data!AC208-Model_Data!F208)*Inputs!$C$12</x:f>
        <x:v>210.98052685027793</x:v>
      </x:c>
      <x:c r="O208" s="10" t="n"/>
      <x:c r="P208" s="9" t="n">
        <x:f>Model_Data!A208</x:f>
        <x:v>43</x:v>
      </x:c>
      <x:c r="Q208" s="9" t="n">
        <x:f>Model_Data!P208</x:f>
        <x:v>-364.8601882793628</x:v>
      </x:c>
      <x:c r="R208" s="9" t="n">
        <x:f>Model_Data!AM208</x:f>
        <x:v>-419.4335216990112</x:v>
      </x:c>
      <x:c r="S208" s="9" t="n">
        <x:f>Model_Data!Q208</x:f>
        <x:v>-54.78381205395838</x:v>
      </x:c>
      <x:c r="T208" s="9" t="n">
        <x:f>Model_Data!AN208</x:f>
        <x:v>-62.978006261112796</x:v>
      </x:c>
      <x:c r="U208" s="10" t="n"/>
      <x:c r="V208" s="9" t="n">
        <x:f>Model_Data!A208</x:f>
        <x:v>43</x:v>
      </x:c>
      <x:c r="W208" s="9" t="n">
        <x:f>Model_Data!B208-Inputs!$C$5</x:f>
        <x:v>2.0544444444444707</x:v>
      </x:c>
      <x:c r="X208" s="10" t="n"/>
      <x:c r="Y208" s="9" t="n">
        <x:f>Model_Data!A208</x:f>
        <x:v>43</x:v>
      </x:c>
      <x:c r="Z208" s="9" t="n">
        <x:f>0</x:f>
        <x:v>0</x:v>
      </x:c>
      <x:c r="AA208" s="9" t="n">
        <x:f>((SQRT((Inputs!$C$52+Inputs!$C$5)^2+Inputs!$C$52^2-2*(Inputs!$C$52+Inputs!$C$5)*Inputs!$C$52*COS(SQRT((Model_Data!A208)^2+Inputs!$C$6^2)/Inputs!$C$52))-Inputs!$C$5)*1000/Inputs!$C$12)</x:f>
        <x:v>2171.9273954940345</x:v>
      </x:c>
      <x:c r="AB208" s="9" t="n">
        <x:f>Model_Data!F208</x:f>
        <x:v>2163.1879711008464</x:v>
      </x:c>
    </x:row>
    <x:row r="209">
      <x:c r="A209" s="9" t="n">
        <x:f>Model_Data!A209</x:f>
        <x:v>43.5</x:v>
      </x:c>
      <x:c r="B209" s="9" t="n">
        <x:f>0</x:f>
        <x:v>0</x:v>
      </x:c>
      <x:c r="C209" s="9" t="n">
        <x:f>((SQRT((Inputs!$C$52+Inputs!$C$5)^2+Inputs!$C$52^2-2*(Inputs!$C$52+Inputs!$C$5)*Inputs!$C$52*COS(SQRT((Model_Data!A209)^2+Inputs!$C$6^2)/Inputs!$C$52))-Inputs!$C$5)*1000/Inputs!$C$12)</x:f>
        <x:v>2209.708488578056</x:v>
      </x:c>
      <x:c r="D209" s="9" t="n">
        <x:f>Model_Data!F209</x:f>
        <x:v>2200.611833358587</x:v>
      </x:c>
      <x:c r="E209" s="9" t="n">
        <x:f>Model_Data!AC209</x:f>
        <x:v>2087.0759561505297</x:v>
      </x:c>
      <x:c r="F209" s="10" t="n"/>
      <x:c r="G209" s="9" t="n">
        <x:f>Model_Data!A209</x:f>
        <x:v>43.5</x:v>
      </x:c>
      <x:c r="H209" s="9" t="n">
        <x:f>Model_Data!Y209</x:f>
        <x:v>225.35528260314678</x:v>
      </x:c>
      <x:c r="I209" s="9" t="n">
        <x:f>Model_Data!Y209</x:f>
        <x:v>225.35528260314678</x:v>
      </x:c>
      <x:c r="J209" s="9" t="n">
        <x:f>Model_Data!X209</x:f>
        <x:v>20.522948331606614</x:v>
      </x:c>
      <x:c r="K209" s="9" t="n">
        <x:f>Model_Data!A209</x:f>
        <x:v>43.5</x:v>
      </x:c>
      <x:c r="L209" s="9" t="n">
        <x:f>Model_Data!Y209</x:f>
        <x:v>225.35528260314678</x:v>
      </x:c>
      <x:c r="M209" s="9" t="n">
        <x:f>Model_Data!X209</x:f>
        <x:v>20.522948331606614</x:v>
      </x:c>
      <x:c r="N209" s="9" t="n">
        <x:f>-(Model_Data!AC209-Model_Data!F209)*Inputs!$C$12</x:f>
        <x:v>202.09386143034178</x:v>
      </x:c>
      <x:c r="O209" s="10" t="n"/>
      <x:c r="P209" s="9" t="n">
        <x:f>Model_Data!A209</x:f>
        <x:v>43.5</x:v>
      </x:c>
      <x:c r="Q209" s="9" t="n">
        <x:f>Model_Data!P209</x:f>
        <x:v>-369.0267273985228</x:v>
      </x:c>
      <x:c r="R209" s="9" t="n">
        <x:f>Model_Data!AM209</x:f>
        <x:v>-429.9051877553211</x:v>
      </x:c>
      <x:c r="S209" s="9" t="n">
        <x:f>Model_Data!Q209</x:f>
        <x:v>-55.40941852830673</x:v>
      </x:c>
      <x:c r="T209" s="9" t="n">
        <x:f>Model_Data!AN209</x:f>
        <x:v>-64.55032849178995</x:v>
      </x:c>
      <x:c r="U209" s="10" t="n"/>
      <x:c r="V209" s="9" t="n">
        <x:f>Model_Data!A209</x:f>
        <x:v>43.5</x:v>
      </x:c>
      <x:c r="W209" s="9" t="n">
        <x:f>Model_Data!B209-Inputs!$C$5</x:f>
        <x:v>2.1025000000000205</x:v>
      </x:c>
      <x:c r="X209" s="10" t="n"/>
      <x:c r="Y209" s="9" t="n">
        <x:f>Model_Data!A209</x:f>
        <x:v>43.5</x:v>
      </x:c>
      <x:c r="Z209" s="9" t="n">
        <x:f>0</x:f>
        <x:v>0</x:v>
      </x:c>
      <x:c r="AA209" s="9" t="n">
        <x:f>((SQRT((Inputs!$C$52+Inputs!$C$5)^2+Inputs!$C$52^2-2*(Inputs!$C$52+Inputs!$C$5)*Inputs!$C$52*COS(SQRT((Model_Data!A209)^2+Inputs!$C$6^2)/Inputs!$C$52))-Inputs!$C$5)*1000/Inputs!$C$12)</x:f>
        <x:v>2209.708488578056</x:v>
      </x:c>
      <x:c r="AB209" s="9" t="n">
        <x:f>Model_Data!F209</x:f>
        <x:v>2200.611833358587</x:v>
      </x:c>
    </x:row>
    <x:row r="210">
      <x:c r="A210" s="9" t="n">
        <x:f>Model_Data!A210</x:f>
        <x:v>44</x:v>
      </x:c>
      <x:c r="B210" s="9" t="n">
        <x:f>0</x:f>
        <x:v>0</x:v>
      </x:c>
      <x:c r="C210" s="9" t="n">
        <x:f>((SQRT((Inputs!$C$52+Inputs!$C$5)^2+Inputs!$C$52^2-2*(Inputs!$C$52+Inputs!$C$5)*Inputs!$C$52*COS(SQRT((Model_Data!A210)^2+Inputs!$C$6^2)/Inputs!$C$52))-Inputs!$C$5)*1000/Inputs!$C$12)</x:f>
        <x:v>2247.9198450390527</x:v>
      </x:c>
      <x:c r="D210" s="9" t="n">
        <x:f>Model_Data!F210</x:f>
        <x:v>2238.4548463578362</x:v>
      </x:c>
      <x:c r="E210" s="9" t="n">
        <x:f>Model_Data!AC210</x:f>
        <x:v>2126.5404819811456</x:v>
      </x:c>
      <x:c r="F210" s="10" t="n"/>
      <x:c r="G210" s="9" t="n">
        <x:f>Model_Data!A210</x:f>
        <x:v>44</x:v>
      </x:c>
      <x:c r="H210" s="9" t="n">
        <x:f>Model_Data!Y210</x:f>
        <x:v>208.84015984832814</x:v>
      </x:c>
      <x:c r="I210" s="9" t="n">
        <x:f>Model_Data!Y210</x:f>
        <x:v>208.84015984832814</x:v>
      </x:c>
      <x:c r="J210" s="9" t="n">
        <x:f>Model_Data!X210</x:f>
        <x:v>7.051899638170276</x:v>
      </x:c>
      <x:c r="K210" s="9" t="n">
        <x:f>Model_Data!A210</x:f>
        <x:v>44</x:v>
      </x:c>
      <x:c r="L210" s="9" t="n">
        <x:f>Model_Data!Y210</x:f>
        <x:v>208.84015984832814</x:v>
      </x:c>
      <x:c r="M210" s="9" t="n">
        <x:f>Model_Data!X210</x:f>
        <x:v>7.051899638170276</x:v>
      </x:c>
      <x:c r="N210" s="9" t="n">
        <x:f>-(Model_Data!AC210-Model_Data!F210)*Inputs!$C$12</x:f>
        <x:v>199.2075685905093</x:v>
      </x:c>
      <x:c r="O210" s="10" t="n"/>
      <x:c r="P210" s="9" t="n">
        <x:f>Model_Data!A210</x:f>
        <x:v>44</x:v>
      </x:c>
      <x:c r="Q210" s="9" t="n">
        <x:f>Model_Data!P210</x:f>
        <x:v>-373.1906961457753</x:v>
      </x:c>
      <x:c r="R210" s="9" t="n">
        <x:f>Model_Data!AM210</x:f>
        <x:v>-446.6345676146375</x:v>
      </x:c>
      <x:c r="S210" s="9" t="n">
        <x:f>Model_Data!Q210</x:f>
        <x:v>-56.034639060927226</x:v>
      </x:c>
      <x:c r="T210" s="9" t="n">
        <x:f>Model_Data!AN210</x:f>
        <x:v>-67.06224738958521</x:v>
      </x:c>
      <x:c r="U210" s="10" t="n"/>
      <x:c r="V210" s="9" t="n">
        <x:f>Model_Data!A210</x:f>
        <x:v>44</x:v>
      </x:c>
      <x:c r="W210" s="9" t="n">
        <x:f>Model_Data!B210-Inputs!$C$5</x:f>
        <x:v>2.1511111111111063</x:v>
      </x:c>
      <x:c r="X210" s="10" t="n"/>
      <x:c r="Y210" s="9" t="n">
        <x:f>Model_Data!A210</x:f>
        <x:v>44</x:v>
      </x:c>
      <x:c r="Z210" s="9" t="n">
        <x:f>0</x:f>
        <x:v>0</x:v>
      </x:c>
      <x:c r="AA210" s="9" t="n">
        <x:f>((SQRT((Inputs!$C$52+Inputs!$C$5)^2+Inputs!$C$52^2-2*(Inputs!$C$52+Inputs!$C$5)*Inputs!$C$52*COS(SQRT((Model_Data!A210)^2+Inputs!$C$6^2)/Inputs!$C$52))-Inputs!$C$5)*1000/Inputs!$C$12)</x:f>
        <x:v>2247.9198450390527</x:v>
      </x:c>
      <x:c r="AB210" s="9" t="n">
        <x:f>Model_Data!F210</x:f>
        <x:v>2238.4548463578362</x:v>
      </x:c>
    </x:row>
    <x:row r="211">
      <x:c r="A211" s="9" t="n">
        <x:f>Model_Data!A211</x:f>
        <x:v>44.5</x:v>
      </x:c>
      <x:c r="B211" s="9" t="n">
        <x:f>0</x:f>
        <x:v>0</x:v>
      </x:c>
      <x:c r="C211" s="9" t="n">
        <x:f>((SQRT((Inputs!$C$52+Inputs!$C$5)^2+Inputs!$C$52^2-2*(Inputs!$C$52+Inputs!$C$5)*Inputs!$C$52*COS(SQRT((Model_Data!A211)^2+Inputs!$C$6^2)/Inputs!$C$52))-Inputs!$C$5)*1000/Inputs!$C$12)</x:f>
        <x:v>2286.561243682292</x:v>
      </x:c>
      <x:c r="D211" s="9" t="n">
        <x:f>Model_Data!F211</x:f>
        <x:v>2276.7165565683313</x:v>
      </x:c>
      <x:c r="E211" s="9" t="n">
        <x:f>Model_Data!AC211</x:f>
        <x:v>2175.594024993667</x:v>
      </x:c>
      <x:c r="F211" s="10" t="n"/>
      <x:c r="G211" s="9" t="n">
        <x:f>Model_Data!A211</x:f>
        <x:v>44.5</x:v>
      </x:c>
      <x:c r="H211" s="9" t="n">
        <x:f>Model_Data!Y211</x:f>
        <x:v>178.96296340227542</x:v>
      </x:c>
      <x:c r="I211" s="9" t="n">
        <x:f>Model_Data!Y211</x:f>
        <x:v>178.96296340227542</x:v>
      </x:c>
      <x:c r="J211" s="9" t="n">
        <x:f>Model_Data!X211</x:f>
        <x:v>-3.283716108943903</x:v>
      </x:c>
      <x:c r="K211" s="9" t="n">
        <x:f>Model_Data!A211</x:f>
        <x:v>44.5</x:v>
      </x:c>
      <x:c r="L211" s="9" t="n">
        <x:f>Model_Data!Y211</x:f>
        <x:v>178.96296340227542</x:v>
      </x:c>
      <x:c r="M211" s="9" t="n">
        <x:f>Model_Data!X211</x:f>
        <x:v>-3.283716108943903</x:v>
      </x:c>
      <x:c r="N211" s="9" t="n">
        <x:f>-(Model_Data!AC211-Model_Data!F211)*Inputs!$C$12</x:f>
        <x:v>179.9981062029023</x:v>
      </x:c>
      <x:c r="O211" s="10" t="n"/>
      <x:c r="P211" s="9" t="n">
        <x:f>Model_Data!A211</x:f>
        <x:v>44.5</x:v>
      </x:c>
      <x:c r="Q211" s="9" t="n">
        <x:f>Model_Data!P211</x:f>
        <x:v>-377.3520686901975</x:v>
      </x:c>
      <x:c r="R211" s="9" t="n">
        <x:f>Model_Data!AM211</x:f>
        <x:v>-446.31989555336986</x:v>
      </x:c>
      <x:c r="S211" s="9" t="n">
        <x:f>Model_Data!Q211</x:f>
        <x:v>-56.65946977330293</x:v>
      </x:c>
      <x:c r="T211" s="9" t="n">
        <x:f>Model_Data!AN211</x:f>
        <x:v>-67.01499933233782</x:v>
      </x:c>
      <x:c r="U211" s="10" t="n"/>
      <x:c r="V211" s="9" t="n">
        <x:f>Model_Data!A211</x:f>
        <x:v>44.5</x:v>
      </x:c>
      <x:c r="W211" s="9" t="n">
        <x:f>Model_Data!B211-Inputs!$C$5</x:f>
        <x:v>2.200277777777785</x:v>
      </x:c>
      <x:c r="X211" s="10" t="n"/>
      <x:c r="Y211" s="9" t="n">
        <x:f>Model_Data!A211</x:f>
        <x:v>44.5</x:v>
      </x:c>
      <x:c r="Z211" s="9" t="n">
        <x:f>0</x:f>
        <x:v>0</x:v>
      </x:c>
      <x:c r="AA211" s="9" t="n">
        <x:f>((SQRT((Inputs!$C$52+Inputs!$C$5)^2+Inputs!$C$52^2-2*(Inputs!$C$52+Inputs!$C$5)*Inputs!$C$52*COS(SQRT((Model_Data!A211)^2+Inputs!$C$6^2)/Inputs!$C$52))-Inputs!$C$5)*1000/Inputs!$C$12)</x:f>
        <x:v>2286.561243682292</x:v>
      </x:c>
      <x:c r="AB211" s="9" t="n">
        <x:f>Model_Data!F211</x:f>
        <x:v>2276.7165565683313</x:v>
      </x:c>
    </x:row>
    <x:row r="212">
      <x:c r="A212" s="9" t="n">
        <x:f>Model_Data!A212</x:f>
        <x:v>45</x:v>
      </x:c>
      <x:c r="B212" s="9" t="n">
        <x:f>0</x:f>
        <x:v>0</x:v>
      </x:c>
      <x:c r="C212" s="9" t="n">
        <x:f>((SQRT((Inputs!$C$52+Inputs!$C$5)^2+Inputs!$C$52^2-2*(Inputs!$C$52+Inputs!$C$5)*Inputs!$C$52*COS(SQRT((Model_Data!A212)^2+Inputs!$C$6^2)/Inputs!$C$52))-Inputs!$C$5)*1000/Inputs!$C$12)</x:f>
        <x:v>2325.6324609706467</x:v>
      </x:c>
      <x:c r="D212" s="9" t="n">
        <x:f>Model_Data!F212</x:f>
        <x:v>2315.3965059322627</x:v>
      </x:c>
      <x:c r="E212" s="9" t="n">
        <x:f>Model_Data!AC212</x:f>
        <x:v>2221.0702225572986</x:v>
      </x:c>
      <x:c r="F212" s="10" t="n"/>
      <x:c r="G212" s="9" t="n">
        <x:f>Model_Data!A212</x:f>
        <x:v>45</x:v>
      </x:c>
      <x:c r="H212" s="9" t="n">
        <x:f>Model_Data!Y212</x:f>
        <x:v>165.26573251393552</x:v>
      </x:c>
      <x:c r="I212" s="9" t="n">
        <x:f>Model_Data!Y212</x:f>
        <x:v>165.26573251393552</x:v>
      </x:c>
      <x:c r="J212" s="9" t="n">
        <x:f>Model_Data!X212</x:f>
        <x:v>-4.746207968267804</x:v>
      </x:c>
      <x:c r="K212" s="9" t="n">
        <x:f>Model_Data!A212</x:f>
        <x:v>45</x:v>
      </x:c>
      <x:c r="L212" s="9" t="n">
        <x:f>Model_Data!Y212</x:f>
        <x:v>165.26573251393552</x:v>
      </x:c>
      <x:c r="M212" s="9" t="n">
        <x:f>Model_Data!X212</x:f>
        <x:v>-4.746207968267804</x:v>
      </x:c>
      <x:c r="N212" s="9" t="n">
        <x:f>-(Model_Data!AC212-Model_Data!F212)*Inputs!$C$12</x:f>
        <x:v>167.90078440743605</x:v>
      </x:c>
      <x:c r="O212" s="10" t="n"/>
      <x:c r="P212" s="9" t="n">
        <x:f>Model_Data!A212</x:f>
        <x:v>45</x:v>
      </x:c>
      <x:c r="Q212" s="9" t="n">
        <x:f>Model_Data!P212</x:f>
        <x:v>-381.5108193193737</x:v>
      </x:c>
      <x:c r="R212" s="9" t="n">
        <x:f>Model_Data!AM212</x:f>
        <x:v>-397.70995031030907</x:v>
      </x:c>
      <x:c r="S212" s="9" t="n">
        <x:f>Model_Data!Q212</x:f>
        <x:v>-57.28390680471077</x:v>
      </x:c>
      <x:c r="T212" s="9" t="n">
        <x:f>Model_Data!AN212</x:f>
        <x:v>-59.716208755301665</x:v>
      </x:c>
      <x:c r="U212" s="10" t="n"/>
      <x:c r="V212" s="9" t="n">
        <x:f>Model_Data!A212</x:f>
        <x:v>45</x:v>
      </x:c>
      <x:c r="W212" s="9" t="n">
        <x:f>Model_Data!B212-Inputs!$C$5</x:f>
        <x:v>2.25</x:v>
      </x:c>
      <x:c r="X212" s="10" t="n"/>
      <x:c r="Y212" s="9" t="n">
        <x:f>Model_Data!A212</x:f>
        <x:v>45</x:v>
      </x:c>
      <x:c r="Z212" s="9" t="n">
        <x:f>0</x:f>
        <x:v>0</x:v>
      </x:c>
      <x:c r="AA212" s="9" t="n">
        <x:f>((SQRT((Inputs!$C$52+Inputs!$C$5)^2+Inputs!$C$52^2-2*(Inputs!$C$52+Inputs!$C$5)*Inputs!$C$52*COS(SQRT((Model_Data!A212)^2+Inputs!$C$6^2)/Inputs!$C$52))-Inputs!$C$5)*1000/Inputs!$C$12)</x:f>
        <x:v>2325.6324609706467</x:v>
      </x:c>
      <x:c r="AB212" s="9" t="n">
        <x:f>Model_Data!F212</x:f>
        <x:v>2315.3965059322627</x:v>
      </x:c>
    </x:row>
    <x:row r="213">
      <x:c r="A213" s="9" t="n">
        <x:f>Model_Data!A213</x:f>
        <x:v>45.5</x:v>
      </x:c>
      <x:c r="B213" s="9" t="n">
        <x:f>0</x:f>
        <x:v>0</x:v>
      </x:c>
      <x:c r="C213" s="9" t="n">
        <x:f>((SQRT((Inputs!$C$52+Inputs!$C$5)^2+Inputs!$C$52^2-2*(Inputs!$C$52+Inputs!$C$5)*Inputs!$C$52*COS(SQRT((Model_Data!A213)^2+Inputs!$C$6^2)/Inputs!$C$52))-Inputs!$C$5)*1000/Inputs!$C$12)</x:f>
        <x:v>2365.133271037878</x:v>
      </x:c>
      <x:c r="D213" s="9" t="n">
        <x:f>Model_Data!F213</x:f>
        <x:v>2354.494231891164</x:v>
      </x:c>
      <x:c r="E213" s="9" t="n">
        <x:f>Model_Data!AC213</x:f>
        <x:v>2258.120799507168</x:v>
      </x:c>
      <x:c r="F213" s="10" t="n"/>
      <x:c r="G213" s="9" t="n">
        <x:f>Model_Data!A213</x:f>
        <x:v>45.5</x:v>
      </x:c>
      <x:c r="H213" s="9" t="n">
        <x:f>Model_Data!Y213</x:f>
        <x:v>168.78187987738474</x:v>
      </x:c>
      <x:c r="I213" s="9" t="n">
        <x:f>Model_Data!Y213</x:f>
        <x:v>168.78187987738474</x:v>
      </x:c>
      <x:c r="J213" s="9" t="n">
        <x:f>Model_Data!X213</x:f>
        <x:v>-4.954776418919145</x:v>
      </x:c>
      <x:c r="K213" s="9" t="n">
        <x:f>Model_Data!A213</x:f>
        <x:v>45.5</x:v>
      </x:c>
      <x:c r="L213" s="9" t="n">
        <x:f>Model_Data!Y213</x:f>
        <x:v>168.78187987738474</x:v>
      </x:c>
      <x:c r="M213" s="9" t="n">
        <x:f>Model_Data!X213</x:f>
        <x:v>-4.954776418919145</x:v>
      </x:c>
      <x:c r="N213" s="9" t="n">
        <x:f>-(Model_Data!AC213-Model_Data!F213)*Inputs!$C$12</x:f>
        <x:v>171.54470964351253</x:v>
      </x:c>
      <x:c r="O213" s="10" t="n"/>
      <x:c r="P213" s="9" t="n">
        <x:f>Model_Data!A213</x:f>
        <x:v>45.5</x:v>
      </x:c>
      <x:c r="Q213" s="9" t="n">
        <x:f>Model_Data!P213</x:f>
        <x:v>-385.6669224382131</x:v>
      </x:c>
      <x:c r="R213" s="9" t="n">
        <x:f>Model_Data!AM213</x:f>
        <x:v>-414.2659457460468</x:v>
      </x:c>
      <x:c r="S213" s="9" t="n">
        <x:f>Model_Data!Q213</x:f>
        <x:v>-57.90794631204401</x:v>
      </x:c>
      <x:c r="T213" s="9" t="n">
        <x:f>Model_Data!AN213</x:f>
        <x:v>-62.202093955862885</x:v>
      </x:c>
      <x:c r="U213" s="10" t="n"/>
      <x:c r="V213" s="9" t="n">
        <x:f>Model_Data!A213</x:f>
        <x:v>45.5</x:v>
      </x:c>
      <x:c r="W213" s="9" t="n">
        <x:f>Model_Data!B213-Inputs!$C$5</x:f>
        <x:v>2.300277777777751</x:v>
      </x:c>
      <x:c r="X213" s="10" t="n"/>
      <x:c r="Y213" s="9" t="n">
        <x:f>Model_Data!A213</x:f>
        <x:v>45.5</x:v>
      </x:c>
      <x:c r="Z213" s="9" t="n">
        <x:f>0</x:f>
        <x:v>0</x:v>
      </x:c>
      <x:c r="AA213" s="9" t="n">
        <x:f>((SQRT((Inputs!$C$52+Inputs!$C$5)^2+Inputs!$C$52^2-2*(Inputs!$C$52+Inputs!$C$5)*Inputs!$C$52*COS(SQRT((Model_Data!A213)^2+Inputs!$C$6^2)/Inputs!$C$52))-Inputs!$C$5)*1000/Inputs!$C$12)</x:f>
        <x:v>2365.133271037878</x:v>
      </x:c>
      <x:c r="AB213" s="9" t="n">
        <x:f>Model_Data!F213</x:f>
        <x:v>2354.494231891164</x:v>
      </x:c>
    </x:row>
    <x:row r="214">
      <x:c r="A214" s="9" t="n">
        <x:f>Model_Data!A214</x:f>
        <x:v>46</x:v>
      </x:c>
      <x:c r="B214" s="9" t="n">
        <x:f>0</x:f>
        <x:v>0</x:v>
      </x:c>
      <x:c r="C214" s="9" t="n">
        <x:f>((SQRT((Inputs!$C$52+Inputs!$C$5)^2+Inputs!$C$52^2-2*(Inputs!$C$52+Inputs!$C$5)*Inputs!$C$52*COS(SQRT((Model_Data!A214)^2+Inputs!$C$6^2)/Inputs!$C$52))-Inputs!$C$5)*1000/Inputs!$C$12)</x:f>
        <x:v>2405.063445691157</x:v>
      </x:c>
      <x:c r="D214" s="9" t="n">
        <x:f>Model_Data!F214</x:f>
        <x:v>2394.0092674001216</x:v>
      </x:c>
      <x:c r="E214" s="9" t="n">
        <x:f>Model_Data!AC214</x:f>
        <x:v>2312.3641104130807</x:v>
      </x:c>
      <x:c r="F214" s="10" t="n"/>
      <x:c r="G214" s="9" t="n">
        <x:f>Model_Data!A214</x:f>
        <x:v>46</x:v>
      </x:c>
      <x:c r="H214" s="9" t="n">
        <x:f>Model_Data!Y214</x:f>
        <x:v>147.2236511039814</x:v>
      </x:c>
      <x:c r="I214" s="9" t="n">
        <x:f>Model_Data!Y214</x:f>
        <x:v>147.2236511039814</x:v>
      </x:c>
      <x:c r="J214" s="9" t="n">
        <x:f>Model_Data!X214</x:f>
        <x:v>-0.04819256513620118</x:v>
      </x:c>
      <x:c r="K214" s="9" t="n">
        <x:f>Model_Data!A214</x:f>
        <x:v>46</x:v>
      </x:c>
      <x:c r="L214" s="9" t="n">
        <x:f>Model_Data!Y214</x:f>
        <x:v>147.2236511039814</x:v>
      </x:c>
      <x:c r="M214" s="9" t="n">
        <x:f>Model_Data!X214</x:f>
        <x:v>-0.04819256513620118</x:v>
      </x:c>
      <x:c r="N214" s="9" t="n">
        <x:f>-(Model_Data!AC214-Model_Data!F214)*Inputs!$C$12</x:f>
        <x:v>145.32837943693298</x:v>
      </x:c>
      <x:c r="O214" s="10" t="n"/>
      <x:c r="P214" s="9" t="n">
        <x:f>Model_Data!A214</x:f>
        <x:v>46</x:v>
      </x:c>
      <x:c r="Q214" s="9" t="n">
        <x:f>Model_Data!P214</x:f>
        <x:v>-389.8203525829558</x:v>
      </x:c>
      <x:c r="R214" s="9" t="n">
        <x:f>Model_Data!AM214</x:f>
        <x:v>-458.6307151440451</x:v>
      </x:c>
      <x:c r="S214" s="9" t="n">
        <x:f>Model_Data!Q214</x:f>
        <x:v>-58.531584471915295</x:v>
      </x:c>
      <x:c r="T214" s="9" t="n">
        <x:f>Model_Data!AN214</x:f>
        <x:v>-68.86347074234912</x:v>
      </x:c>
      <x:c r="U214" s="10" t="n"/>
      <x:c r="V214" s="9" t="n">
        <x:f>Model_Data!A214</x:f>
        <x:v>46</x:v>
      </x:c>
      <x:c r="W214" s="9" t="n">
        <x:f>Model_Data!B214-Inputs!$C$5</x:f>
        <x:v>2.351111111111095</x:v>
      </x:c>
      <x:c r="X214" s="10" t="n"/>
      <x:c r="Y214" s="9" t="n">
        <x:f>Model_Data!A214</x:f>
        <x:v>46</x:v>
      </x:c>
      <x:c r="Z214" s="9" t="n">
        <x:f>0</x:f>
        <x:v>0</x:v>
      </x:c>
      <x:c r="AA214" s="9" t="n">
        <x:f>((SQRT((Inputs!$C$52+Inputs!$C$5)^2+Inputs!$C$52^2-2*(Inputs!$C$52+Inputs!$C$5)*Inputs!$C$52*COS(SQRT((Model_Data!A214)^2+Inputs!$C$6^2)/Inputs!$C$52))-Inputs!$C$5)*1000/Inputs!$C$12)</x:f>
        <x:v>2405.063445691157</x:v>
      </x:c>
      <x:c r="AB214" s="9" t="n">
        <x:f>Model_Data!F214</x:f>
        <x:v>2394.0092674001216</x:v>
      </x:c>
    </x:row>
    <x:row r="215">
      <x:c r="A215" s="9" t="n">
        <x:f>Model_Data!A215</x:f>
        <x:v>46.5</x:v>
      </x:c>
      <x:c r="B215" s="9" t="n">
        <x:f>0</x:f>
        <x:v>0</x:v>
      </x:c>
      <x:c r="C215" s="9" t="n">
        <x:f>((SQRT((Inputs!$C$52+Inputs!$C$5)^2+Inputs!$C$52^2-2*(Inputs!$C$52+Inputs!$C$5)*Inputs!$C$52*COS(SQRT((Model_Data!A215)^2+Inputs!$C$6^2)/Inputs!$C$52))-Inputs!$C$5)*1000/Inputs!$C$12)</x:f>
        <x:v>2445.4227544159553</x:v>
      </x:c>
      <x:c r="D215" s="9" t="n">
        <x:f>Model_Data!F215</x:f>
        <x:v>2433.941140959773</x:v>
      </x:c>
      <x:c r="E215" s="9" t="n">
        <x:f>Model_Data!AC215</x:f>
        <x:v>2357.5887684713825</x:v>
      </x:c>
      <x:c r="F215" s="10" t="n"/>
      <x:c r="G215" s="9" t="n">
        <x:f>Model_Data!A215</x:f>
        <x:v>46.5</x:v>
      </x:c>
      <x:c r="H215" s="9" t="n">
        <x:f>Model_Data!Y215</x:f>
        <x:v>125.26409736726505</x:v>
      </x:c>
      <x:c r="I215" s="9" t="n">
        <x:f>Model_Data!Y215</x:f>
        <x:v>125.26409736726505</x:v>
      </x:c>
      <x:c r="J215" s="9" t="n">
        <x:f>Model_Data!X215</x:f>
        <x:v>-12.32376640540756</x:v>
      </x:c>
      <x:c r="K215" s="9" t="n">
        <x:f>Model_Data!A215</x:f>
        <x:v>46.5</x:v>
      </x:c>
      <x:c r="L215" s="9" t="n">
        <x:f>Model_Data!Y215</x:f>
        <x:v>125.26409736726505</x:v>
      </x:c>
      <x:c r="M215" s="9" t="n">
        <x:f>Model_Data!X215</x:f>
        <x:v>-12.32376640540756</x:v>
      </x:c>
      <x:c r="N215" s="9" t="n">
        <x:f>-(Model_Data!AC215-Model_Data!F215)*Inputs!$C$12</x:f>
        <x:v>135.90722302933474</x:v>
      </x:c>
      <x:c r="O215" s="10" t="n"/>
      <x:c r="P215" s="9" t="n">
        <x:f>Model_Data!A215</x:f>
        <x:v>46.5</x:v>
      </x:c>
      <x:c r="Q215" s="9" t="n">
        <x:f>Model_Data!P215</x:f>
        <x:v>-393.9710844109868</x:v>
      </x:c>
      <x:c r="R215" s="9" t="n">
        <x:f>Model_Data!AM215</x:f>
        <x:v>-438.4974537015296</x:v>
      </x:c>
      <x:c r="S215" s="9" t="n">
        <x:f>Model_Data!Q215</x:f>
        <x:v>-59.15481747912715</x:v>
      </x:c>
      <x:c r="T215" s="9" t="n">
        <x:f>Model_Data!AN215</x:f>
        <x:v>-65.84045851374319</x:v>
      </x:c>
      <x:c r="U215" s="10" t="n"/>
      <x:c r="V215" s="9" t="n">
        <x:f>Model_Data!A215</x:f>
        <x:v>46.5</x:v>
      </x:c>
      <x:c r="W215" s="9" t="n">
        <x:f>Model_Data!B215-Inputs!$C$5</x:f>
        <x:v>2.402499999999975</x:v>
      </x:c>
      <x:c r="X215" s="10" t="n"/>
      <x:c r="Y215" s="9" t="n">
        <x:f>Model_Data!A215</x:f>
        <x:v>46.5</x:v>
      </x:c>
      <x:c r="Z215" s="9" t="n">
        <x:f>0</x:f>
        <x:v>0</x:v>
      </x:c>
      <x:c r="AA215" s="9" t="n">
        <x:f>((SQRT((Inputs!$C$52+Inputs!$C$5)^2+Inputs!$C$52^2-2*(Inputs!$C$52+Inputs!$C$5)*Inputs!$C$52*COS(SQRT((Model_Data!A215)^2+Inputs!$C$6^2)/Inputs!$C$52))-Inputs!$C$5)*1000/Inputs!$C$12)</x:f>
        <x:v>2445.4227544159553</x:v>
      </x:c>
      <x:c r="AB215" s="9" t="n">
        <x:f>Model_Data!F215</x:f>
        <x:v>2433.941140959773</x:v>
      </x:c>
    </x:row>
    <x:row r="216">
      <x:c r="A216" s="9" t="n">
        <x:f>Model_Data!A216</x:f>
        <x:v>47</x:v>
      </x:c>
      <x:c r="B216" s="9" t="n">
        <x:f>0</x:f>
        <x:v>0</x:v>
      </x:c>
      <x:c r="C216" s="9" t="n">
        <x:f>((SQRT((Inputs!$C$52+Inputs!$C$5)^2+Inputs!$C$52^2-2*(Inputs!$C$52+Inputs!$C$5)*Inputs!$C$52*COS(SQRT((Model_Data!A216)^2+Inputs!$C$6^2)/Inputs!$C$52))-Inputs!$C$5)*1000/Inputs!$C$12)</x:f>
        <x:v>2486.2109643863873</x:v>
      </x:c>
      <x:c r="D216" s="9" t="n">
        <x:f>Model_Data!F216</x:f>
        <x:v>2474.289376626815</x:v>
      </x:c>
      <x:c r="E216" s="9" t="n">
        <x:f>Model_Data!AC216</x:f>
        <x:v>2411.4655156005692</x:v>
      </x:c>
      <x:c r="F216" s="10" t="n"/>
      <x:c r="G216" s="9" t="n">
        <x:f>Model_Data!A216</x:f>
        <x:v>47</x:v>
      </x:c>
      <x:c r="H216" s="9" t="n">
        <x:f>Model_Data!Y216</x:f>
        <x:v>119.07484471636309</x:v>
      </x:c>
      <x:c r="I216" s="9" t="n">
        <x:f>Model_Data!Y216</x:f>
        <x:v>119.07484471636309</x:v>
      </x:c>
      <x:c r="J216" s="9" t="n">
        <x:f>Model_Data!X216</x:f>
        <x:v>5.624733438492097</x:v>
      </x:c>
      <x:c r="K216" s="9" t="n">
        <x:f>Model_Data!A216</x:f>
        <x:v>47</x:v>
      </x:c>
      <x:c r="L216" s="9" t="n">
        <x:f>Model_Data!Y216</x:f>
        <x:v>119.07484471636309</x:v>
      </x:c>
      <x:c r="M216" s="9" t="n">
        <x:f>Model_Data!X216</x:f>
        <x:v>5.624733438492097</x:v>
      </x:c>
      <x:c r="N216" s="9" t="n">
        <x:f>-(Model_Data!AC216-Model_Data!F216)*Inputs!$C$12</x:f>
        <x:v>111.82647262671716</x:v>
      </x:c>
      <x:c r="O216" s="10" t="n"/>
      <x:c r="P216" s="9" t="n">
        <x:f>Model_Data!A216</x:f>
        <x:v>47</x:v>
      </x:c>
      <x:c r="Q216" s="9" t="n">
        <x:f>Model_Data!P216</x:f>
        <x:v>-398.1190926891031</x:v>
      </x:c>
      <x:c r="R216" s="9" t="n">
        <x:f>Model_Data!AM216</x:f>
        <x:v>-425.83713410422206</x:v>
      </x:c>
      <x:c r="S216" s="9" t="n">
        <x:f>Model_Data!Q216</x:f>
        <x:v>-59.77764154491039</x:v>
      </x:c>
      <x:c r="T216" s="9" t="n">
        <x:f>Model_Data!AN216</x:f>
        <x:v>-63.93950962525857</x:v>
      </x:c>
      <x:c r="U216" s="10" t="n"/>
      <x:c r="V216" s="9" t="n">
        <x:f>Model_Data!A216</x:f>
        <x:v>47</x:v>
      </x:c>
      <x:c r="W216" s="9" t="n">
        <x:f>Model_Data!B216-Inputs!$C$5</x:f>
        <x:v>2.454444444444448</x:v>
      </x:c>
      <x:c r="X216" s="10" t="n"/>
      <x:c r="Y216" s="9" t="n">
        <x:f>Model_Data!A216</x:f>
        <x:v>47</x:v>
      </x:c>
      <x:c r="Z216" s="9" t="n">
        <x:f>0</x:f>
        <x:v>0</x:v>
      </x:c>
      <x:c r="AA216" s="9" t="n">
        <x:f>((SQRT((Inputs!$C$52+Inputs!$C$5)^2+Inputs!$C$52^2-2*(Inputs!$C$52+Inputs!$C$5)*Inputs!$C$52*COS(SQRT((Model_Data!A216)^2+Inputs!$C$6^2)/Inputs!$C$52))-Inputs!$C$5)*1000/Inputs!$C$12)</x:f>
        <x:v>2486.2109643863873</x:v>
      </x:c>
      <x:c r="AB216" s="9" t="n">
        <x:f>Model_Data!F216</x:f>
        <x:v>2474.289376626815</x:v>
      </x:c>
    </x:row>
    <x:row r="217">
      <x:c r="A217" s="9" t="n">
        <x:f>Model_Data!A217</x:f>
        <x:v>47.5</x:v>
      </x:c>
      <x:c r="B217" s="9" t="n">
        <x:f>0</x:f>
        <x:v>0</x:v>
      </x:c>
      <x:c r="C217" s="9" t="n">
        <x:f>((SQRT((Inputs!$C$52+Inputs!$C$5)^2+Inputs!$C$52^2-2*(Inputs!$C$52+Inputs!$C$5)*Inputs!$C$52*COS(SQRT((Model_Data!A217)^2+Inputs!$C$6^2)/Inputs!$C$52))-Inputs!$C$5)*1000/Inputs!$C$12)</x:f>
        <x:v>2527.427840468437</x:v>
      </x:c>
      <x:c r="D217" s="9" t="n">
        <x:f>Model_Data!F217</x:f>
        <x:v>2515.0534940419116</x:v>
      </x:c>
      <x:c r="E217" s="9" t="n">
        <x:f>Model_Data!AC217</x:f>
        <x:v>2458.0119989601626</x:v>
      </x:c>
      <x:c r="F217" s="10" t="n"/>
      <x:c r="G217" s="9" t="n">
        <x:f>Model_Data!A217</x:f>
        <x:v>47.5</x:v>
      </x:c>
      <x:c r="H217" s="9" t="n">
        <x:f>Model_Data!Y217</x:f>
        <x:v>107.75271022723112</x:v>
      </x:c>
      <x:c r="I217" s="9" t="n">
        <x:f>Model_Data!Y217</x:f>
        <x:v>107.75271022723112</x:v>
      </x:c>
      <x:c r="J217" s="9" t="n">
        <x:f>Model_Data!X217</x:f>
        <x:v>4.725819493947935</x:v>
      </x:c>
      <x:c r="K217" s="9" t="n">
        <x:f>Model_Data!A217</x:f>
        <x:v>47.5</x:v>
      </x:c>
      <x:c r="L217" s="9" t="n">
        <x:f>Model_Data!Y217</x:f>
        <x:v>107.75271022723112</x:v>
      </x:c>
      <x:c r="M217" s="9" t="n">
        <x:f>Model_Data!X217</x:f>
        <x:v>4.725819493947935</x:v>
      </x:c>
      <x:c r="N217" s="9" t="n">
        <x:f>-(Model_Data!AC217-Model_Data!F217)*Inputs!$C$12</x:f>
        <x:v>101.53386124551315</x:v>
      </x:c>
      <x:c r="O217" s="10" t="n"/>
      <x:c r="P217" s="9" t="n">
        <x:f>Model_Data!A217</x:f>
        <x:v>47.5</x:v>
      </x:c>
      <x:c r="Q217" s="9" t="n">
        <x:f>Model_Data!P217</x:f>
        <x:v>-402.26435232361837</x:v>
      </x:c>
      <x:c r="R217" s="9" t="n">
        <x:f>Model_Data!AM217</x:f>
        <x:v>-393.00673283623837</x:v>
      </x:c>
      <x:c r="S217" s="9" t="n">
        <x:f>Model_Data!Q217</x:f>
        <x:v>-60.400052901444205</x:v>
      </x:c>
      <x:c r="T217" s="9" t="n">
        <x:f>Model_Data!AN217</x:f>
        <x:v>-59.01001994538114</x:v>
      </x:c>
      <x:c r="U217" s="10" t="n"/>
      <x:c r="V217" s="9" t="n">
        <x:f>Model_Data!A217</x:f>
        <x:v>47.5</x:v>
      </x:c>
      <x:c r="W217" s="9" t="n">
        <x:f>Model_Data!B217-Inputs!$C$5</x:f>
        <x:v>2.506944444444457</x:v>
      </x:c>
      <x:c r="X217" s="10" t="n"/>
      <x:c r="Y217" s="9" t="n">
        <x:f>Model_Data!A217</x:f>
        <x:v>47.5</x:v>
      </x:c>
      <x:c r="Z217" s="9" t="n">
        <x:f>0</x:f>
        <x:v>0</x:v>
      </x:c>
      <x:c r="AA217" s="9" t="n">
        <x:f>((SQRT((Inputs!$C$52+Inputs!$C$5)^2+Inputs!$C$52^2-2*(Inputs!$C$52+Inputs!$C$5)*Inputs!$C$52*COS(SQRT((Model_Data!A217)^2+Inputs!$C$6^2)/Inputs!$C$52))-Inputs!$C$5)*1000/Inputs!$C$12)</x:f>
        <x:v>2527.427840468437</x:v>
      </x:c>
      <x:c r="AB217" s="9" t="n">
        <x:f>Model_Data!F217</x:f>
        <x:v>2515.0534940419116</x:v>
      </x:c>
    </x:row>
    <x:row r="218">
      <x:c r="A218" s="9" t="n">
        <x:f>Model_Data!A218</x:f>
        <x:v>48</x:v>
      </x:c>
      <x:c r="B218" s="9" t="n">
        <x:f>0</x:f>
        <x:v>0</x:v>
      </x:c>
      <x:c r="C218" s="9" t="n">
        <x:f>((SQRT((Inputs!$C$52+Inputs!$C$5)^2+Inputs!$C$52^2-2*(Inputs!$C$52+Inputs!$C$5)*Inputs!$C$52*COS(SQRT((Model_Data!A218)^2+Inputs!$C$6^2)/Inputs!$C$52))-Inputs!$C$5)*1000/Inputs!$C$12)</x:f>
        <x:v>2569.073145227782</x:v>
      </x:c>
      <x:c r="D218" s="9" t="n">
        <x:f>Model_Data!F218</x:f>
        <x:v>2556.233008450807</x:v>
      </x:c>
      <x:c r="E218" s="9" t="n">
        <x:f>Model_Data!AC218</x:f>
        <x:v>2481.8992258812787</x:v>
      </x:c>
      <x:c r="F218" s="10" t="n"/>
      <x:c r="G218" s="9" t="n">
        <x:f>Model_Data!A218</x:f>
        <x:v>48</x:v>
      </x:c>
      <x:c r="H218" s="9" t="n">
        <x:f>Model_Data!Y218</x:f>
        <x:v>124.99715373468393</x:v>
      </x:c>
      <x:c r="I218" s="9" t="n">
        <x:f>Model_Data!Y218</x:f>
        <x:v>124.99715373468393</x:v>
      </x:c>
      <x:c r="J218" s="9" t="n">
        <x:f>Model_Data!X218</x:f>
        <x:v>-9.076914728959792</x:v>
      </x:c>
      <x:c r="K218" s="9" t="n">
        <x:f>Model_Data!A218</x:f>
        <x:v>48</x:v>
      </x:c>
      <x:c r="L218" s="9" t="n">
        <x:f>Model_Data!Y218</x:f>
        <x:v>124.99715373468393</x:v>
      </x:c>
      <x:c r="M218" s="9" t="n">
        <x:f>Model_Data!X218</x:f>
        <x:v>-9.076914728959792</x:v>
      </x:c>
      <x:c r="N218" s="9" t="n">
        <x:f>-(Model_Data!AC218-Model_Data!F218)*Inputs!$C$12</x:f>
        <x:v>132.31413297376068</x:v>
      </x:c>
      <x:c r="O218" s="10" t="n"/>
      <x:c r="P218" s="9" t="n">
        <x:f>Model_Data!A218</x:f>
        <x:v>48</x:v>
      </x:c>
      <x:c r="Q218" s="9" t="n">
        <x:f>Model_Data!P218</x:f>
        <x:v>-406.40683834462834</x:v>
      </x:c>
      <x:c r="R218" s="9" t="n">
        <x:f>Model_Data!AM218</x:f>
        <x:v>-396.2138094164402</x:v>
      </x:c>
      <x:c r="S218" s="9" t="n">
        <x:f>Model_Data!Q218</x:f>
        <x:v>-61.02204779949375</x:v>
      </x:c>
      <x:c r="T218" s="9" t="n">
        <x:f>Model_Data!AN218</x:f>
        <x:v>-59.491562975441475</x:v>
      </x:c>
      <x:c r="U218" s="10" t="n"/>
      <x:c r="V218" s="9" t="n">
        <x:f>Model_Data!A218</x:f>
        <x:v>48</x:v>
      </x:c>
      <x:c r="W218" s="9" t="n">
        <x:f>Model_Data!B218-Inputs!$C$5</x:f>
        <x:v>2.5600000000000023</x:v>
      </x:c>
      <x:c r="X218" s="10" t="n"/>
      <x:c r="Y218" s="9" t="n">
        <x:f>Model_Data!A218</x:f>
        <x:v>48</x:v>
      </x:c>
      <x:c r="Z218" s="9" t="n">
        <x:f>0</x:f>
        <x:v>0</x:v>
      </x:c>
      <x:c r="AA218" s="9" t="n">
        <x:f>((SQRT((Inputs!$C$52+Inputs!$C$5)^2+Inputs!$C$52^2-2*(Inputs!$C$52+Inputs!$C$5)*Inputs!$C$52*COS(SQRT((Model_Data!A218)^2+Inputs!$C$6^2)/Inputs!$C$52))-Inputs!$C$5)*1000/Inputs!$C$12)</x:f>
        <x:v>2569.073145227782</x:v>
      </x:c>
      <x:c r="AB218" s="9" t="n">
        <x:f>Model_Data!F218</x:f>
        <x:v>2556.233008450807</x:v>
      </x:c>
    </x:row>
    <x:row r="219">
      <x:c r="A219" s="9" t="n">
        <x:f>Model_Data!A219</x:f>
        <x:v>48.5</x:v>
      </x:c>
      <x:c r="B219" s="9" t="n">
        <x:f>0</x:f>
        <x:v>0</x:v>
      </x:c>
      <x:c r="C219" s="9" t="n">
        <x:f>((SQRT((Inputs!$C$52+Inputs!$C$5)^2+Inputs!$C$52^2-2*(Inputs!$C$52+Inputs!$C$5)*Inputs!$C$52*COS(SQRT((Model_Data!A219)^2+Inputs!$C$6^2)/Inputs!$C$52))-Inputs!$C$5)*1000/Inputs!$C$12)</x:f>
        <x:v>2611.146638936885</x:v>
      </x:c>
      <x:c r="D219" s="9" t="n">
        <x:f>Model_Data!F219</x:f>
        <x:v>2597.8274307266115</x:v>
      </x:c>
      <x:c r="E219" s="9" t="n">
        <x:f>Model_Data!AC219</x:f>
        <x:v>2533.405410159417</x:v>
      </x:c>
      <x:c r="F219" s="10" t="n"/>
      <x:c r="G219" s="9" t="n">
        <x:f>Model_Data!A219</x:f>
        <x:v>48.5</x:v>
      </x:c>
      <x:c r="H219" s="9" t="n">
        <x:f>Model_Data!Y219</x:f>
        <x:v>114.2648488799635</x:v>
      </x:c>
      <x:c r="I219" s="9" t="n">
        <x:f>Model_Data!Y219</x:f>
        <x:v>114.2648488799635</x:v>
      </x:c>
      <x:c r="J219" s="9" t="n">
        <x:f>Model_Data!X219</x:f>
        <x:v>-2.0408727900443155</x:v>
      </x:c>
      <x:c r="K219" s="9" t="n">
        <x:f>Model_Data!A219</x:f>
        <x:v>48.5</x:v>
      </x:c>
      <x:c r="L219" s="9" t="n">
        <x:f>Model_Data!Y219</x:f>
        <x:v>114.2648488799635</x:v>
      </x:c>
      <x:c r="M219" s="9" t="n">
        <x:f>Model_Data!X219</x:f>
        <x:v>-2.0408727900443155</x:v>
      </x:c>
      <x:c r="N219" s="9" t="n">
        <x:f>-(Model_Data!AC219-Model_Data!F219)*Inputs!$C$12</x:f>
        <x:v>114.67119660960626</x:v>
      </x:c>
      <x:c r="O219" s="10" t="n"/>
      <x:c r="P219" s="9" t="n">
        <x:f>Model_Data!A219</x:f>
        <x:v>48.5</x:v>
      </x:c>
      <x:c r="Q219" s="9" t="n">
        <x:f>Model_Data!P219</x:f>
        <x:v>-410.54652591110425</x:v>
      </x:c>
      <x:c r="R219" s="9" t="n">
        <x:f>Model_Data!AM219</x:f>
        <x:v>-435.0026550449911</x:v>
      </x:c>
      <x:c r="S219" s="9" t="n">
        <x:f>Model_Data!Q219</x:f>
        <x:v>-61.64362250917482</x:v>
      </x:c>
      <x:c r="T219" s="9" t="n">
        <x:f>Model_Data!AN219</x:f>
        <x:v>-65.31571397071939</x:v>
      </x:c>
      <x:c r="U219" s="10" t="n"/>
      <x:c r="V219" s="9" t="n">
        <x:f>Model_Data!A219</x:f>
        <x:v>48.5</x:v>
      </x:c>
      <x:c r="W219" s="9" t="n">
        <x:f>Model_Data!B219-Inputs!$C$5</x:f>
        <x:v>2.6136111111110836</x:v>
      </x:c>
      <x:c r="X219" s="10" t="n"/>
      <x:c r="Y219" s="9" t="n">
        <x:f>Model_Data!A219</x:f>
        <x:v>48.5</x:v>
      </x:c>
      <x:c r="Z219" s="9" t="n">
        <x:f>0</x:f>
        <x:v>0</x:v>
      </x:c>
      <x:c r="AA219" s="9" t="n">
        <x:f>((SQRT((Inputs!$C$52+Inputs!$C$5)^2+Inputs!$C$52^2-2*(Inputs!$C$52+Inputs!$C$5)*Inputs!$C$52*COS(SQRT((Model_Data!A219)^2+Inputs!$C$6^2)/Inputs!$C$52))-Inputs!$C$5)*1000/Inputs!$C$12)</x:f>
        <x:v>2611.146638936885</x:v>
      </x:c>
      <x:c r="AB219" s="9" t="n">
        <x:f>Model_Data!F219</x:f>
        <x:v>2597.8274307266115</x:v>
      </x:c>
    </x:row>
    <x:row r="220">
      <x:c r="A220" s="9" t="n">
        <x:f>Model_Data!A220</x:f>
        <x:v>49</x:v>
      </x:c>
      <x:c r="B220" s="9" t="n">
        <x:f>0</x:f>
        <x:v>0</x:v>
      </x:c>
      <x:c r="C220" s="9" t="n">
        <x:f>((SQRT((Inputs!$C$52+Inputs!$C$5)^2+Inputs!$C$52^2-2*(Inputs!$C$52+Inputs!$C$5)*Inputs!$C$52*COS(SQRT((Model_Data!A220)^2+Inputs!$C$6^2)/Inputs!$C$52))-Inputs!$C$5)*1000/Inputs!$C$12)</x:f>
        <x:v>2653.6480795811526</x:v>
      </x:c>
      <x:c r="D220" s="9" t="n">
        <x:f>Model_Data!F220</x:f>
        <x:v>2639.8362673927654</x:v>
      </x:c>
      <x:c r="E220" s="9" t="n">
        <x:f>Model_Data!AC220</x:f>
        <x:v>2585.04912675488</x:v>
      </x:c>
      <x:c r="F220" s="10" t="n"/>
      <x:c r="G220" s="9" t="n">
        <x:f>Model_Data!A220</x:f>
        <x:v>49</x:v>
      </x:c>
      <x:c r="H220" s="9" t="n">
        <x:f>Model_Data!Y220</x:f>
        <x:v>109.54402369059221</x:v>
      </x:c>
      <x:c r="I220" s="9" t="n">
        <x:f>Model_Data!Y220</x:f>
        <x:v>109.54402369059221</x:v>
      </x:c>
      <x:c r="J220" s="9" t="n">
        <x:f>Model_Data!X220</x:f>
        <x:v>10.43102720072224</x:v>
      </x:c>
      <x:c r="K220" s="9" t="n">
        <x:f>Model_Data!A220</x:f>
        <x:v>49</x:v>
      </x:c>
      <x:c r="L220" s="9" t="n">
        <x:f>Model_Data!Y220</x:f>
        <x:v>109.54402369059221</x:v>
      </x:c>
      <x:c r="M220" s="9" t="n">
        <x:f>Model_Data!X220</x:f>
        <x:v>10.43102720072224</x:v>
      </x:c>
      <x:c r="N220" s="9" t="n">
        <x:f>-(Model_Data!AC220-Model_Data!F220)*Inputs!$C$12</x:f>
        <x:v>97.52111033543599</x:v>
      </x:c>
      <x:c r="O220" s="10" t="n"/>
      <x:c r="P220" s="9" t="n">
        <x:f>Model_Data!A220</x:f>
        <x:v>49</x:v>
      </x:c>
      <x:c r="Q220" s="9" t="n">
        <x:f>Model_Data!P220</x:f>
        <x:v>-414.6833903003426</x:v>
      </x:c>
      <x:c r="R220" s="9" t="n">
        <x:f>Model_Data!AM220</x:f>
        <x:v>-412.3174071446556</x:v>
      </x:c>
      <x:c r="S220" s="9" t="n">
        <x:f>Model_Data!Q220</x:f>
        <x:v>-62.26477331836976</x:v>
      </x:c>
      <x:c r="T220" s="9" t="n">
        <x:f>Model_Data!AN220</x:f>
        <x:v>-61.90952059229063</x:v>
      </x:c>
      <x:c r="U220" s="10" t="n"/>
      <x:c r="V220" s="9" t="n">
        <x:f>Model_Data!A220</x:f>
        <x:v>49</x:v>
      </x:c>
      <x:c r="W220" s="9" t="n">
        <x:f>Model_Data!B220-Inputs!$C$5</x:f>
        <x:v>2.667777777777758</x:v>
      </x:c>
      <x:c r="X220" s="10" t="n"/>
      <x:c r="Y220" s="9" t="n">
        <x:f>Model_Data!A220</x:f>
        <x:v>49</x:v>
      </x:c>
      <x:c r="Z220" s="9" t="n">
        <x:f>0</x:f>
        <x:v>0</x:v>
      </x:c>
      <x:c r="AA220" s="9" t="n">
        <x:f>((SQRT((Inputs!$C$52+Inputs!$C$5)^2+Inputs!$C$52^2-2*(Inputs!$C$52+Inputs!$C$5)*Inputs!$C$52*COS(SQRT((Model_Data!A220)^2+Inputs!$C$6^2)/Inputs!$C$52))-Inputs!$C$5)*1000/Inputs!$C$12)</x:f>
        <x:v>2653.6480795811526</x:v>
      </x:c>
      <x:c r="AB220" s="9" t="n">
        <x:f>Model_Data!F220</x:f>
        <x:v>2639.8362673927654</x:v>
      </x:c>
    </x:row>
    <x:row r="221">
      <x:c r="A221" s="9" t="n">
        <x:f>Model_Data!A221</x:f>
        <x:v>49.5</x:v>
      </x:c>
      <x:c r="B221" s="9" t="n">
        <x:f>0</x:f>
        <x:v>0</x:v>
      </x:c>
      <x:c r="C221" s="9" t="n">
        <x:f>((SQRT((Inputs!$C$52+Inputs!$C$5)^2+Inputs!$C$52^2-2*(Inputs!$C$52+Inputs!$C$5)*Inputs!$C$52*COS(SQRT((Model_Data!A221)^2+Inputs!$C$6^2)/Inputs!$C$52))-Inputs!$C$5)*1000/Inputs!$C$12)</x:f>
        <x:v>2696.577222862134</x:v>
      </x:c>
      <x:c r="D221" s="9" t="n">
        <x:f>Model_Data!F221</x:f>
        <x:v>2682.2590206416526</x:v>
      </x:c>
      <x:c r="E221" s="9" t="n">
        <x:f>Model_Data!AC221</x:f>
        <x:v>2616.8775635060647</x:v>
      </x:c>
      <x:c r="F221" s="10" t="n"/>
      <x:c r="G221" s="9" t="n">
        <x:f>Model_Data!A221</x:f>
        <x:v>49.5</x:v>
      </x:c>
      <x:c r="H221" s="9" t="n">
        <x:f>Model_Data!Y221</x:f>
        <x:v>115.81874031490976</x:v>
      </x:c>
      <x:c r="I221" s="9" t="n">
        <x:f>Model_Data!Y221</x:f>
        <x:v>115.81874031490976</x:v>
      </x:c>
      <x:c r="J221" s="9" t="n">
        <x:f>Model_Data!X221</x:f>
        <x:v>-2.2699304094542576</x:v>
      </x:c>
      <x:c r="K221" s="9" t="n">
        <x:f>Model_Data!A221</x:f>
        <x:v>49.5</x:v>
      </x:c>
      <x:c r="L221" s="9" t="n">
        <x:f>Model_Data!Y221</x:f>
        <x:v>115.81874031490976</x:v>
      </x:c>
      <x:c r="M221" s="9" t="n">
        <x:f>Model_Data!X221</x:f>
        <x:v>-2.2699304094542576</x:v>
      </x:c>
      <x:c r="N221" s="9" t="n">
        <x:f>-(Model_Data!AC221-Model_Data!F221)*Inputs!$C$12</x:f>
        <x:v>116.37899370134643</x:v>
      </x:c>
      <x:c r="O221" s="10" t="n"/>
      <x:c r="P221" s="9" t="n">
        <x:f>Model_Data!A221</x:f>
        <x:v>49.5</x:v>
      </x:c>
      <x:c r="Q221" s="9" t="n">
        <x:f>Model_Data!P221</x:f>
        <x:v>-418.81740692178937</x:v>
      </x:c>
      <x:c r="R221" s="9" t="n">
        <x:f>Model_Data!AM221</x:f>
        <x:v>-409.9288273368984</x:v>
      </x:c>
      <x:c r="S221" s="9" t="n">
        <x:f>Model_Data!Q221</x:f>
        <x:v>-62.88549653480322</x:v>
      </x:c>
      <x:c r="T221" s="9" t="n">
        <x:f>Model_Data!AN221</x:f>
        <x:v>-61.550874975510276</x:v>
      </x:c>
      <x:c r="U221" s="10" t="n"/>
      <x:c r="V221" s="9" t="n">
        <x:f>Model_Data!A221</x:f>
        <x:v>49.5</x:v>
      </x:c>
      <x:c r="W221" s="9" t="n">
        <x:f>Model_Data!B221-Inputs!$C$5</x:f>
        <x:v>2.722500000000025</x:v>
      </x:c>
      <x:c r="X221" s="10" t="n"/>
      <x:c r="Y221" s="9" t="n">
        <x:f>Model_Data!A221</x:f>
        <x:v>49.5</x:v>
      </x:c>
      <x:c r="Z221" s="9" t="n">
        <x:f>0</x:f>
        <x:v>0</x:v>
      </x:c>
      <x:c r="AA221" s="9" t="n">
        <x:f>((SQRT((Inputs!$C$52+Inputs!$C$5)^2+Inputs!$C$52^2-2*(Inputs!$C$52+Inputs!$C$5)*Inputs!$C$52*COS(SQRT((Model_Data!A221)^2+Inputs!$C$6^2)/Inputs!$C$52))-Inputs!$C$5)*1000/Inputs!$C$12)</x:f>
        <x:v>2696.577222862134</x:v>
      </x:c>
      <x:c r="AB221" s="9" t="n">
        <x:f>Model_Data!F221</x:f>
        <x:v>2682.2590206416526</x:v>
      </x:c>
    </x:row>
    <x:row r="222">
      <x:c r="A222" s="9" t="n">
        <x:f>Model_Data!A222</x:f>
        <x:v>50</x:v>
      </x:c>
      <x:c r="B222" s="9" t="n">
        <x:f>0</x:f>
        <x:v>0</x:v>
      </x:c>
      <x:c r="C222" s="9" t="n">
        <x:f>((SQRT((Inputs!$C$52+Inputs!$C$5)^2+Inputs!$C$52^2-2*(Inputs!$C$52+Inputs!$C$5)*Inputs!$C$52*COS(SQRT((Model_Data!A222)^2+Inputs!$C$6^2)/Inputs!$C$52))-Inputs!$C$5)*1000/Inputs!$C$12)</x:f>
        <x:v>2739.9338222122688</x:v>
      </x:c>
      <x:c r="D222" s="9" t="n">
        <x:f>Model_Data!F222</x:f>
        <x:v>2725.0951883624866</x:v>
      </x:c>
      <x:c r="E222" s="9" t="n">
        <x:f>Model_Data!AC222</x:f>
        <x:v>2665.918271846108</x:v>
      </x:c>
      <x:c r="F222" s="10" t="n"/>
      <x:c r="G222" s="9" t="n">
        <x:f>Model_Data!A222</x:f>
        <x:v>50</x:v>
      </x:c>
      <x:c r="H222" s="9" t="n">
        <x:f>Model_Data!Y222</x:f>
        <x:v>115.23525161719914</x:v>
      </x:c>
      <x:c r="I222" s="9" t="n">
        <x:f>Model_Data!Y222</x:f>
        <x:v>115.23525161719914</x:v>
      </x:c>
      <x:c r="J222" s="9" t="n">
        <x:f>Model_Data!X222</x:f>
        <x:v>8.17258837755962</x:v>
      </x:c>
      <x:c r="K222" s="9" t="n">
        <x:f>Model_Data!A222</x:f>
        <x:v>50</x:v>
      </x:c>
      <x:c r="L222" s="9" t="n">
        <x:f>Model_Data!Y222</x:f>
        <x:v>115.23525161719914</x:v>
      </x:c>
      <x:c r="M222" s="9" t="n">
        <x:f>Model_Data!X222</x:f>
        <x:v>8.17258837755962</x:v>
      </x:c>
      <x:c r="N222" s="9" t="n">
        <x:f>-(Model_Data!AC222-Model_Data!F222)*Inputs!$C$12</x:f>
        <x:v>105.33491139915408</x:v>
      </x:c>
      <x:c r="O222" s="10" t="n"/>
      <x:c r="P222" s="9" t="n">
        <x:f>Model_Data!A222</x:f>
        <x:v>50</x:v>
      </x:c>
      <x:c r="Q222" s="9" t="n">
        <x:f>Model_Data!P222</x:f>
        <x:v>-422.9485513214968</x:v>
      </x:c>
      <x:c r="R222" s="9" t="n">
        <x:f>Model_Data!AM222</x:f>
        <x:v>-389.68272555466683</x:v>
      </x:c>
      <x:c r="S222" s="9" t="n">
        <x:f>Model_Data!Q222</x:f>
        <x:v>-63.50578848671123</x:v>
      </x:c>
      <x:c r="T222" s="9" t="n">
        <x:f>Model_Data!AN222</x:f>
        <x:v>-58.51091975295298</x:v>
      </x:c>
      <x:c r="U222" s="10" t="n"/>
      <x:c r="V222" s="9" t="n">
        <x:f>Model_Data!A222</x:f>
        <x:v>50</x:v>
      </x:c>
      <x:c r="W222" s="9" t="n">
        <x:f>Model_Data!B222-Inputs!$C$5</x:f>
        <x:v>2.7777777777777715</x:v>
      </x:c>
      <x:c r="X222" s="10" t="n"/>
      <x:c r="Y222" s="9" t="n">
        <x:f>Model_Data!A222</x:f>
        <x:v>50</x:v>
      </x:c>
      <x:c r="Z222" s="9" t="n">
        <x:f>0</x:f>
        <x:v>0</x:v>
      </x:c>
      <x:c r="AA222" s="9" t="n">
        <x:f>((SQRT((Inputs!$C$52+Inputs!$C$5)^2+Inputs!$C$52^2-2*(Inputs!$C$52+Inputs!$C$5)*Inputs!$C$52*COS(SQRT((Model_Data!A222)^2+Inputs!$C$6^2)/Inputs!$C$52))-Inputs!$C$5)*1000/Inputs!$C$12)</x:f>
        <x:v>2739.9338222122688</x:v>
      </x:c>
      <x:c r="AB222" s="9" t="n">
        <x:f>Model_Data!F222</x:f>
        <x:v>2725.0951883624866</x:v>
      </x:c>
    </x:row>
    <x:row r="223">
      <x:c r="A223" s="9" t="n">
        <x:f>Model_Data!A223</x:f>
        <x:v>50.5</x:v>
      </x:c>
      <x:c r="B223" s="9" t="n">
        <x:f>0</x:f>
        <x:v>0</x:v>
      </x:c>
      <x:c r="C223" s="9" t="n">
        <x:f>((SQRT((Inputs!$C$52+Inputs!$C$5)^2+Inputs!$C$52^2-2*(Inputs!$C$52+Inputs!$C$5)*Inputs!$C$52*COS(SQRT((Model_Data!A223)^2+Inputs!$C$6^2)/Inputs!$C$52))-Inputs!$C$5)*1000/Inputs!$C$12)</x:f>
        <x:v>2783.717628794319</x:v>
      </x:c>
      <x:c r="D223" s="9" t="n">
        <x:f>Model_Data!F223</x:f>
        <x:v>2768.3442641612314</x:v>
      </x:c>
      <x:c r="E223" s="9" t="n">
        <x:f>Model_Data!AC223</x:f>
        <x:v>2696.5887627519282</x:v>
      </x:c>
      <x:c r="F223" s="10" t="n"/>
      <x:c r="G223" s="9" t="n">
        <x:f>Model_Data!A223</x:f>
        <x:v>50.5</x:v>
      </x:c>
      <x:c r="H223" s="9" t="n">
        <x:f>Model_Data!Y223</x:f>
        <x:v>136.98620076238512</x:v>
      </x:c>
      <x:c r="I223" s="9" t="n">
        <x:f>Model_Data!Y223</x:f>
        <x:v>136.98620076238512</x:v>
      </x:c>
      <x:c r="J223" s="9" t="n">
        <x:f>Model_Data!X223</x:f>
        <x:v>7.175411887622014</x:v>
      </x:c>
      <x:c r="K223" s="9" t="n">
        <x:f>Model_Data!A223</x:f>
        <x:v>50.5</x:v>
      </x:c>
      <x:c r="L223" s="9" t="n">
        <x:f>Model_Data!Y223</x:f>
        <x:v>136.98620076238512</x:v>
      </x:c>
      <x:c r="M223" s="9" t="n">
        <x:f>Model_Data!X223</x:f>
        <x:v>7.175411887622014</x:v>
      </x:c>
      <x:c r="N223" s="9" t="n">
        <x:f>-(Model_Data!AC223-Model_Data!F223)*Inputs!$C$12</x:f>
        <x:v>127.72479250855966</x:v>
      </x:c>
      <x:c r="O223" s="10" t="n"/>
      <x:c r="P223" s="9" t="n">
        <x:f>Model_Data!A223</x:f>
        <x:v>50.5</x:v>
      </x:c>
      <x:c r="Q223" s="9" t="n">
        <x:f>Model_Data!P223</x:f>
        <x:v>-427.0767991610228</x:v>
      </x:c>
      <x:c r="R223" s="9" t="n">
        <x:f>Model_Data!AM223</x:f>
        <x:v>-392.7478406424598</x:v>
      </x:c>
      <x:c r="S223" s="9" t="n">
        <x:f>Model_Data!Q223</x:f>
        <x:v>-64.1256455196731</x:v>
      </x:c>
      <x:c r="T223" s="9" t="n">
        <x:f>Model_Data!AN223</x:f>
        <x:v>-58.971147243612585</x:v>
      </x:c>
      <x:c r="U223" s="10" t="n"/>
      <x:c r="V223" s="9" t="n">
        <x:f>Model_Data!A223</x:f>
        <x:v>50.5</x:v>
      </x:c>
      <x:c r="W223" s="9" t="n">
        <x:f>Model_Data!B223-Inputs!$C$5</x:f>
        <x:v>2.833611111111111</x:v>
      </x:c>
      <x:c r="X223" s="10" t="n"/>
      <x:c r="Y223" s="9" t="n">
        <x:f>Model_Data!A223</x:f>
        <x:v>50.5</x:v>
      </x:c>
      <x:c r="Z223" s="9" t="n">
        <x:f>0</x:f>
        <x:v>0</x:v>
      </x:c>
      <x:c r="AA223" s="9" t="n">
        <x:f>((SQRT((Inputs!$C$52+Inputs!$C$5)^2+Inputs!$C$52^2-2*(Inputs!$C$52+Inputs!$C$5)*Inputs!$C$52*COS(SQRT((Model_Data!A223)^2+Inputs!$C$6^2)/Inputs!$C$52))-Inputs!$C$5)*1000/Inputs!$C$12)</x:f>
        <x:v>2783.717628794319</x:v>
      </x:c>
      <x:c r="AB223" s="9" t="n">
        <x:f>Model_Data!F223</x:f>
        <x:v>2768.3442641612314</x:v>
      </x:c>
    </x:row>
    <x:row r="224">
      <x:c r="A224" s="9" t="n">
        <x:f>Model_Data!A224</x:f>
        <x:v>51</x:v>
      </x:c>
      <x:c r="B224" s="9" t="n">
        <x:f>0</x:f>
        <x:v>0</x:v>
      </x:c>
      <x:c r="C224" s="9" t="n">
        <x:f>((SQRT((Inputs!$C$52+Inputs!$C$5)^2+Inputs!$C$52^2-2*(Inputs!$C$52+Inputs!$C$5)*Inputs!$C$52*COS(SQRT((Model_Data!A224)^2+Inputs!$C$6^2)/Inputs!$C$52))-Inputs!$C$5)*1000/Inputs!$C$12)</x:f>
        <x:v>2827.928391510338</x:v>
      </x:c>
      <x:c r="D224" s="9" t="n">
        <x:f>Model_Data!F224</x:f>
        <x:v>2812.005737381264</x:v>
      </x:c>
      <x:c r="E224" s="9" t="n">
        <x:f>Model_Data!AC224</x:f>
        <x:v>2742.6586243969336</x:v>
      </x:c>
      <x:c r="F224" s="10" t="n"/>
      <x:c r="G224" s="9" t="n">
        <x:f>Model_Data!A224</x:f>
        <x:v>51</x:v>
      </x:c>
      <x:c r="H224" s="9" t="n">
        <x:f>Model_Data!Y224</x:f>
        <x:v>137.08289632779307</x:v>
      </x:c>
      <x:c r="I224" s="9" t="n">
        <x:f>Model_Data!Y224</x:f>
        <x:v>137.08289632779307</x:v>
      </x:c>
      <x:c r="J224" s="9" t="n">
        <x:f>Model_Data!X224</x:f>
        <x:v>11.525237738664625</x:v>
      </x:c>
      <x:c r="K224" s="9" t="n">
        <x:f>Model_Data!A224</x:f>
        <x:v>51</x:v>
      </x:c>
      <x:c r="L224" s="9" t="n">
        <x:f>Model_Data!Y224</x:f>
        <x:v>137.08289632779307</x:v>
      </x:c>
      <x:c r="M224" s="9" t="n">
        <x:f>Model_Data!X224</x:f>
        <x:v>11.525237738664625</x:v>
      </x:c>
      <x:c r="N224" s="9" t="n">
        <x:f>-(Model_Data!AC224-Model_Data!F224)*Inputs!$C$12</x:f>
        <x:v>123.43786111210844</x:v>
      </x:c>
      <x:c r="O224" s="10" t="n"/>
      <x:c r="P224" s="9" t="n">
        <x:f>Model_Data!A224</x:f>
        <x:v>51</x:v>
      </x:c>
      <x:c r="Q224" s="9" t="n">
        <x:f>Model_Data!P224</x:f>
        <x:v>-431.2021262460803</x:v>
      </x:c>
      <x:c r="R224" s="9" t="n">
        <x:f>Model_Data!AM224</x:f>
        <x:v>-395.66337661017315</x:v>
      </x:c>
      <x:c r="S224" s="9" t="n">
        <x:f>Model_Data!Q224</x:f>
        <x:v>-64.74506400091296</x:v>
      </x:c>
      <x:c r="T224" s="9" t="n">
        <x:f>Model_Data!AN224</x:f>
        <x:v>-59.40891540693291</x:v>
      </x:c>
      <x:c r="U224" s="10" t="n"/>
      <x:c r="V224" s="9" t="n">
        <x:f>Model_Data!A224</x:f>
        <x:v>51</x:v>
      </x:c>
      <x:c r="W224" s="9" t="n">
        <x:f>Model_Data!B224-Inputs!$C$5</x:f>
        <x:v>2.8899999999999864</x:v>
      </x:c>
      <x:c r="X224" s="10" t="n"/>
      <x:c r="Y224" s="9" t="n">
        <x:f>Model_Data!A224</x:f>
        <x:v>51</x:v>
      </x:c>
      <x:c r="Z224" s="9" t="n">
        <x:f>0</x:f>
        <x:v>0</x:v>
      </x:c>
      <x:c r="AA224" s="9" t="n">
        <x:f>((SQRT((Inputs!$C$52+Inputs!$C$5)^2+Inputs!$C$52^2-2*(Inputs!$C$52+Inputs!$C$5)*Inputs!$C$52*COS(SQRT((Model_Data!A224)^2+Inputs!$C$6^2)/Inputs!$C$52))-Inputs!$C$5)*1000/Inputs!$C$12)</x:f>
        <x:v>2827.928391510338</x:v>
      </x:c>
      <x:c r="AB224" s="9" t="n">
        <x:f>Model_Data!F224</x:f>
        <x:v>2812.005737381264</x:v>
      </x:c>
    </x:row>
    <x:row r="225">
      <x:c r="A225" s="9" t="n">
        <x:f>Model_Data!A225</x:f>
        <x:v>51.5</x:v>
      </x:c>
      <x:c r="B225" s="9" t="n">
        <x:f>0</x:f>
        <x:v>0</x:v>
      </x:c>
      <x:c r="C225" s="9" t="n">
        <x:f>((SQRT((Inputs!$C$52+Inputs!$C$5)^2+Inputs!$C$52^2-2*(Inputs!$C$52+Inputs!$C$5)*Inputs!$C$52*COS(SQRT((Model_Data!A225)^2+Inputs!$C$6^2)/Inputs!$C$52))-Inputs!$C$5)*1000/Inputs!$C$12)</x:f>
        <x:v>2872.5658570103246</x:v>
      </x:c>
      <x:c r="D225" s="9" t="n">
        <x:f>Model_Data!F225</x:f>
        <x:v>2856.0790931333977</x:v>
      </x:c>
      <x:c r="E225" s="9" t="n">
        <x:f>Model_Data!AC225</x:f>
        <x:v>2765.2572563634326</x:v>
      </x:c>
      <x:c r="F225" s="10" t="n"/>
      <x:c r="G225" s="9" t="n">
        <x:f>Model_Data!A225</x:f>
        <x:v>51.5</x:v>
      </x:c>
      <x:c r="H225" s="9" t="n">
        <x:f>Model_Data!Y225</x:f>
        <x:v>159.61831316527434</x:v>
      </x:c>
      <x:c r="I225" s="9" t="n">
        <x:f>Model_Data!Y225</x:f>
        <x:v>159.61831316527434</x:v>
      </x:c>
      <x:c r="J225" s="9" t="n">
        <x:f>Model_Data!X225</x:f>
        <x:v>-4.550946531934956</x:v>
      </x:c>
      <x:c r="K225" s="9" t="n">
        <x:f>Model_Data!A225</x:f>
        <x:v>51.5</x:v>
      </x:c>
      <x:c r="L225" s="9" t="n">
        <x:f>Model_Data!Y225</x:f>
        <x:v>159.61831316527434</x:v>
      </x:c>
      <x:c r="M225" s="9" t="n">
        <x:f>Model_Data!X225</x:f>
        <x:v>-4.550946531934956</x:v>
      </x:c>
      <x:c r="N225" s="9" t="n">
        <x:f>-(Model_Data!AC225-Model_Data!F225)*Inputs!$C$12</x:f>
        <x:v>161.6628694505379</x:v>
      </x:c>
      <x:c r="O225" s="10" t="n"/>
      <x:c r="P225" s="9" t="n">
        <x:f>Model_Data!A225</x:f>
        <x:v>51.5</x:v>
      </x:c>
      <x:c r="Q225" s="9" t="n">
        <x:f>Model_Data!P225</x:f>
        <x:v>-435.32450851025715</x:v>
      </x:c>
      <x:c r="R225" s="9" t="n">
        <x:f>Model_Data!AM225</x:f>
        <x:v>-388.336184705895</x:v>
      </x:c>
      <x:c r="S225" s="9" t="n">
        <x:f>Model_Data!Q225</x:f>
        <x:v>-65.36404031685544</x:v>
      </x:c>
      <x:c r="T225" s="9" t="n">
        <x:f>Model_Data!AN225</x:f>
        <x:v>-58.308736442326584</x:v>
      </x:c>
      <x:c r="U225" s="10" t="n"/>
      <x:c r="V225" s="9" t="n">
        <x:f>Model_Data!A225</x:f>
        <x:v>51.5</x:v>
      </x:c>
      <x:c r="W225" s="9" t="n">
        <x:f>Model_Data!B225-Inputs!$C$5</x:f>
        <x:v>2.946944444444455</x:v>
      </x:c>
      <x:c r="X225" s="10" t="n"/>
      <x:c r="Y225" s="9" t="n">
        <x:f>Model_Data!A225</x:f>
        <x:v>51.5</x:v>
      </x:c>
      <x:c r="Z225" s="9" t="n">
        <x:f>0</x:f>
        <x:v>0</x:v>
      </x:c>
      <x:c r="AA225" s="9" t="n">
        <x:f>((SQRT((Inputs!$C$52+Inputs!$C$5)^2+Inputs!$C$52^2-2*(Inputs!$C$52+Inputs!$C$5)*Inputs!$C$52*COS(SQRT((Model_Data!A225)^2+Inputs!$C$6^2)/Inputs!$C$52))-Inputs!$C$5)*1000/Inputs!$C$12)</x:f>
        <x:v>2872.5658570103246</x:v>
      </x:c>
      <x:c r="AB225" s="9" t="n">
        <x:f>Model_Data!F225</x:f>
        <x:v>2856.0790931333977</x:v>
      </x:c>
    </x:row>
    <x:row r="226">
      <x:c r="A226" s="9" t="n">
        <x:f>Model_Data!A226</x:f>
        <x:v>52</x:v>
      </x:c>
      <x:c r="B226" s="9" t="n">
        <x:f>0</x:f>
        <x:v>0</x:v>
      </x:c>
      <x:c r="C226" s="9" t="n">
        <x:f>((SQRT((Inputs!$C$52+Inputs!$C$5)^2+Inputs!$C$52^2-2*(Inputs!$C$52+Inputs!$C$5)*Inputs!$C$52*COS(SQRT((Model_Data!A226)^2+Inputs!$C$6^2)/Inputs!$C$52))-Inputs!$C$5)*1000/Inputs!$C$12)</x:f>
        <x:v>2917.629769696665</x:v>
      </x:c>
      <x:c r="D226" s="9" t="n">
        <x:f>Model_Data!F226</x:f>
        <x:v>2900.5638123107237</x:v>
      </x:c>
      <x:c r="E226" s="9" t="n">
        <x:f>Model_Data!AC226</x:f>
        <x:v>2803.832491945465</x:v>
      </x:c>
      <x:c r="F226" s="10" t="n"/>
      <x:c r="G226" s="9" t="n">
        <x:f>Model_Data!A226</x:f>
        <x:v>52</x:v>
      </x:c>
      <x:c r="H226" s="9" t="n">
        <x:f>Model_Data!Y226</x:f>
        <x:v>166.9931224443313</x:v>
      </x:c>
      <x:c r="I226" s="9" t="n">
        <x:f>Model_Data!Y226</x:f>
        <x:v>166.9931224443313</x:v>
      </x:c>
      <x:c r="J226" s="9" t="n">
        <x:f>Model_Data!X226</x:f>
        <x:v>-7.85094902162108</x:v>
      </x:c>
      <x:c r="K226" s="9" t="n">
        <x:f>Model_Data!A226</x:f>
        <x:v>52</x:v>
      </x:c>
      <x:c r="L226" s="9" t="n">
        <x:f>Model_Data!Y226</x:f>
        <x:v>166.9931224443313</x:v>
      </x:c>
      <x:c r="M226" s="9" t="n">
        <x:f>Model_Data!X226</x:f>
        <x:v>-7.85094902162108</x:v>
      </x:c>
      <x:c r="N226" s="9" t="n">
        <x:f>-(Model_Data!AC226-Model_Data!F226)*Inputs!$C$12</x:f>
        <x:v>172.18175025016075</x:v>
      </x:c>
      <x:c r="O226" s="10" t="n"/>
      <x:c r="P226" s="9" t="n">
        <x:f>Model_Data!A226</x:f>
        <x:v>52</x:v>
      </x:c>
      <x:c r="Q226" s="9" t="n">
        <x:f>Model_Data!P226</x:f>
        <x:v>-439.4439220161985</x:v>
      </x:c>
      <x:c r="R226" s="9" t="n">
        <x:f>Model_Data!AM226</x:f>
        <x:v>-432.5621530304488</x:v>
      </x:c>
      <x:c r="S226" s="9" t="n">
        <x:f>Model_Data!Q226</x:f>
        <x:v>-65.98257087330308</x:v>
      </x:c>
      <x:c r="T226" s="9" t="n">
        <x:f>Model_Data!AN226</x:f>
        <x:v>-64.94927222679412</x:v>
      </x:c>
      <x:c r="U226" s="10" t="n"/>
      <x:c r="V226" s="9" t="n">
        <x:f>Model_Data!A226</x:f>
        <x:v>52</x:v>
      </x:c>
      <x:c r="W226" s="9" t="n">
        <x:f>Model_Data!B226-Inputs!$C$5</x:f>
        <x:v>3.0044444444444594</x:v>
      </x:c>
      <x:c r="X226" s="10" t="n"/>
      <x:c r="Y226" s="9" t="n">
        <x:f>Model_Data!A226</x:f>
        <x:v>52</x:v>
      </x:c>
      <x:c r="Z226" s="9" t="n">
        <x:f>0</x:f>
        <x:v>0</x:v>
      </x:c>
      <x:c r="AA226" s="9" t="n">
        <x:f>((SQRT((Inputs!$C$52+Inputs!$C$5)^2+Inputs!$C$52^2-2*(Inputs!$C$52+Inputs!$C$5)*Inputs!$C$52*COS(SQRT((Model_Data!A226)^2+Inputs!$C$6^2)/Inputs!$C$52))-Inputs!$C$5)*1000/Inputs!$C$12)</x:f>
        <x:v>2917.629769696665</x:v>
      </x:c>
      <x:c r="AB226" s="9" t="n">
        <x:f>Model_Data!F226</x:f>
        <x:v>2900.5638123107237</x:v>
      </x:c>
    </x:row>
    <x:row r="227">
      <x:c r="A227" s="9" t="n">
        <x:f>Model_Data!A227</x:f>
        <x:v>52.5</x:v>
      </x:c>
      <x:c r="B227" s="9" t="n">
        <x:f>0</x:f>
        <x:v>0</x:v>
      </x:c>
      <x:c r="C227" s="9" t="n">
        <x:f>((SQRT((Inputs!$C$52+Inputs!$C$5)^2+Inputs!$C$52^2-2*(Inputs!$C$52+Inputs!$C$5)*Inputs!$C$52*COS(SQRT((Model_Data!A227)^2+Inputs!$C$6^2)/Inputs!$C$52))-Inputs!$C$5)*1000/Inputs!$C$12)</x:f>
        <x:v>2963.1198717330712</x:v>
      </x:c>
      <x:c r="D227" s="9" t="n">
        <x:f>Model_Data!F227</x:f>
        <x:v>2945.459371619116</x:v>
      </x:c>
      <x:c r="E227" s="9" t="n">
        <x:f>Model_Data!AC227</x:f>
        <x:v>2858.4792134152935</x:v>
      </x:c>
      <x:c r="F227" s="10" t="n"/>
      <x:c r="G227" s="9" t="n">
        <x:f>Model_Data!A227</x:f>
        <x:v>52.5</x:v>
      </x:c>
      <x:c r="H227" s="9" t="n">
        <x:f>Model_Data!Y227</x:f>
        <x:v>164.06842387185546</x:v>
      </x:c>
      <x:c r="I227" s="9" t="n">
        <x:f>Model_Data!Y227</x:f>
        <x:v>164.06842387185546</x:v>
      </x:c>
      <x:c r="J227" s="9" t="n">
        <x:f>Model_Data!X227</x:f>
        <x:v>6.588346931916092</x:v>
      </x:c>
      <x:c r="K227" s="9" t="n">
        <x:f>Model_Data!A227</x:f>
        <x:v>52.5</x:v>
      </x:c>
      <x:c r="L227" s="9" t="n">
        <x:f>Model_Data!Y227</x:f>
        <x:v>164.06842387185546</x:v>
      </x:c>
      <x:c r="M227" s="9" t="n">
        <x:f>Model_Data!X227</x:f>
        <x:v>6.588346931916092</x:v>
      </x:c>
      <x:c r="N227" s="9" t="n">
        <x:f>-(Model_Data!AC227-Model_Data!F227)*Inputs!$C$12</x:f>
        <x:v>154.82468160280425</x:v>
      </x:c>
      <x:c r="O227" s="10" t="n"/>
      <x:c r="P227" s="9" t="n">
        <x:f>Model_Data!A227</x:f>
        <x:v>52.5</x:v>
      </x:c>
      <x:c r="Q227" s="9" t="n">
        <x:f>Model_Data!P227</x:f>
        <x:v>-443.56034297125007</x:v>
      </x:c>
      <x:c r="R227" s="9" t="n">
        <x:f>Model_Data!AM227</x:f>
        <x:v>-417.6767255714367</x:v>
      </x:c>
      <x:c r="S227" s="9" t="n">
        <x:f>Model_Data!Q227</x:f>
        <x:v>-66.6006520977853</x:v>
      </x:c>
      <x:c r="T227" s="9" t="n">
        <x:f>Model_Data!AN227</x:f>
        <x:v>-62.71422305877428</x:v>
      </x:c>
      <x:c r="U227" s="10" t="n"/>
      <x:c r="V227" s="9" t="n">
        <x:f>Model_Data!A227</x:f>
        <x:v>52.5</x:v>
      </x:c>
      <x:c r="W227" s="9" t="n">
        <x:f>Model_Data!B227-Inputs!$C$5</x:f>
        <x:v>3.0625</x:v>
      </x:c>
      <x:c r="X227" s="10" t="n"/>
      <x:c r="Y227" s="9" t="n">
        <x:f>Model_Data!A227</x:f>
        <x:v>52.5</x:v>
      </x:c>
      <x:c r="Z227" s="9" t="n">
        <x:f>0</x:f>
        <x:v>0</x:v>
      </x:c>
      <x:c r="AA227" s="9" t="n">
        <x:f>((SQRT((Inputs!$C$52+Inputs!$C$5)^2+Inputs!$C$52^2-2*(Inputs!$C$52+Inputs!$C$5)*Inputs!$C$52*COS(SQRT((Model_Data!A227)^2+Inputs!$C$6^2)/Inputs!$C$52))-Inputs!$C$5)*1000/Inputs!$C$12)</x:f>
        <x:v>2963.1198717330712</x:v>
      </x:c>
      <x:c r="AB227" s="9" t="n">
        <x:f>Model_Data!F227</x:f>
        <x:v>2945.459371619116</x:v>
      </x:c>
    </x:row>
    <x:row r="228">
      <x:c r="A228" s="9" t="n">
        <x:f>Model_Data!A228</x:f>
        <x:v>53</x:v>
      </x:c>
      <x:c r="B228" s="9" t="n">
        <x:f>0</x:f>
        <x:v>0</x:v>
      </x:c>
      <x:c r="C228" s="9" t="n">
        <x:f>((SQRT((Inputs!$C$52+Inputs!$C$5)^2+Inputs!$C$52^2-2*(Inputs!$C$52+Inputs!$C$5)*Inputs!$C$52*COS(SQRT((Model_Data!A228)^2+Inputs!$C$6^2)/Inputs!$C$52))-Inputs!$C$5)*1000/Inputs!$C$12)</x:f>
        <x:v>3009.035903051642</x:v>
      </x:c>
      <x:c r="D228" s="9" t="n">
        <x:f>Model_Data!F228</x:f>
        <x:v>2990.7652435974414</x:v>
      </x:c>
      <x:c r="E228" s="9" t="n">
        <x:f>Model_Data!AC228</x:f>
        <x:v>2891.8890269892154</x:v>
      </x:c>
      <x:c r="F228" s="10" t="n"/>
      <x:c r="G228" s="9" t="n">
        <x:f>Model_Data!A228</x:f>
        <x:v>53</x:v>
      </x:c>
      <x:c r="H228" s="9" t="n">
        <x:f>Model_Data!Y228</x:f>
        <x:v>183.5232809151917</x:v>
      </x:c>
      <x:c r="I228" s="9" t="n">
        <x:f>Model_Data!Y228</x:f>
        <x:v>183.5232809151917</x:v>
      </x:c>
      <x:c r="J228" s="9" t="n">
        <x:f>Model_Data!X228</x:f>
        <x:v>4.508396540761183</x:v>
      </x:c>
      <x:c r="K228" s="9" t="n">
        <x:f>Model_Data!A228</x:f>
        <x:v>53</x:v>
      </x:c>
      <x:c r="L228" s="9" t="n">
        <x:f>Model_Data!Y228</x:f>
        <x:v>183.5232809151917</x:v>
      </x:c>
      <x:c r="M228" s="9" t="n">
        <x:f>Model_Data!X228</x:f>
        <x:v>4.508396540761183</x:v>
      </x:c>
      <x:c r="N228" s="9" t="n">
        <x:f>-(Model_Data!AC228-Model_Data!F228)*Inputs!$C$12</x:f>
        <x:v>175.99966556264238</x:v>
      </x:c>
      <x:c r="O228" s="10" t="n"/>
      <x:c r="P228" s="9" t="n">
        <x:f>Model_Data!A228</x:f>
        <x:v>53</x:v>
      </x:c>
      <x:c r="Q228" s="9" t="n">
        <x:f>Model_Data!P228</x:f>
        <x:v>-447.67374769307935</x:v>
      </x:c>
      <x:c r="R228" s="9" t="n">
        <x:f>Model_Data!AM228</x:f>
        <x:v>-421.09802518143624</x:v>
      </x:c>
      <x:c r="S228" s="9" t="n">
        <x:f>Model_Data!Q228</x:f>
        <x:v>-67.2182804343963</x:v>
      </x:c>
      <x:c r="T228" s="9" t="n">
        <x:f>Model_Data!AN228</x:f>
        <x:v>-63.227931708924366</x:v>
      </x:c>
      <x:c r="U228" s="10" t="n"/>
      <x:c r="V228" s="9" t="n">
        <x:f>Model_Data!A228</x:f>
        <x:v>53</x:v>
      </x:c>
      <x:c r="W228" s="9" t="n">
        <x:f>Model_Data!B228-Inputs!$C$5</x:f>
        <x:v>3.1211111111111336</x:v>
      </x:c>
      <x:c r="X228" s="10" t="n"/>
      <x:c r="Y228" s="9" t="n">
        <x:f>Model_Data!A228</x:f>
        <x:v>53</x:v>
      </x:c>
      <x:c r="Z228" s="9" t="n">
        <x:f>0</x:f>
        <x:v>0</x:v>
      </x:c>
      <x:c r="AA228" s="9" t="n">
        <x:f>((SQRT((Inputs!$C$52+Inputs!$C$5)^2+Inputs!$C$52^2-2*(Inputs!$C$52+Inputs!$C$5)*Inputs!$C$52*COS(SQRT((Model_Data!A228)^2+Inputs!$C$6^2)/Inputs!$C$52))-Inputs!$C$5)*1000/Inputs!$C$12)</x:f>
        <x:v>3009.035903051642</x:v>
      </x:c>
      <x:c r="AB228" s="9" t="n">
        <x:f>Model_Data!F228</x:f>
        <x:v>2990.7652435974414</x:v>
      </x:c>
    </x:row>
    <x:row r="229">
      <x:c r="A229" s="9" t="n">
        <x:f>Model_Data!A229</x:f>
        <x:v>53.5</x:v>
      </x:c>
      <x:c r="B229" s="9" t="n">
        <x:f>0</x:f>
        <x:v>0</x:v>
      </x:c>
      <x:c r="C229" s="9" t="n">
        <x:f>((SQRT((Inputs!$C$52+Inputs!$C$5)^2+Inputs!$C$52^2-2*(Inputs!$C$52+Inputs!$C$5)*Inputs!$C$52*COS(SQRT((Model_Data!A229)^2+Inputs!$C$6^2)/Inputs!$C$52))-Inputs!$C$5)*1000/Inputs!$C$12)</x:f>
        <x:v>3055.3776013572988</x:v>
      </x:c>
      <x:c r="D229" s="9" t="n">
        <x:f>Model_Data!F229</x:f>
        <x:v>3036.480896636179</x:v>
      </x:c>
      <x:c r="E229" s="9" t="n">
        <x:f>Model_Data!AC229</x:f>
        <x:v>2936.3961150667737</x:v>
      </x:c>
      <x:c r="F229" s="10" t="n"/>
      <x:c r="G229" s="9" t="n">
        <x:f>Model_Data!A229</x:f>
        <x:v>53.5</x:v>
      </x:c>
      <x:c r="H229" s="9" t="n">
        <x:f>Model_Data!Y229</x:f>
        <x:v>181.04186719105834</x:v>
      </x:c>
      <x:c r="I229" s="9" t="n">
        <x:f>Model_Data!Y229</x:f>
        <x:v>181.04186719105834</x:v>
      </x:c>
      <x:c r="J229" s="9" t="n">
        <x:f>Model_Data!X229</x:f>
        <x:v>-0.1280560890739677</x:v>
      </x:c>
      <x:c r="K229" s="9" t="n">
        <x:f>Model_Data!A229</x:f>
        <x:v>53.5</x:v>
      </x:c>
      <x:c r="L229" s="9" t="n">
        <x:f>Model_Data!Y229</x:f>
        <x:v>181.04186719105834</x:v>
      </x:c>
      <x:c r="M229" s="9" t="n">
        <x:f>Model_Data!X229</x:f>
        <x:v>-0.1280560890739677</x:v>
      </x:c>
      <x:c r="N229" s="9" t="n">
        <x:f>-(Model_Data!AC229-Model_Data!F229)*Inputs!$C$12</x:f>
        <x:v>178.15091119354108</x:v>
      </x:c>
      <x:c r="O229" s="10" t="n"/>
      <x:c r="P229" s="9" t="n">
        <x:f>Model_Data!A229</x:f>
        <x:v>53.5</x:v>
      </x:c>
      <x:c r="Q229" s="9" t="n">
        <x:f>Model_Data!P229</x:f>
        <x:v>-451.7841126563326</x:v>
      </x:c>
      <x:c r="R229" s="9" t="n">
        <x:f>Model_Data!AM229</x:f>
        <x:v>-455.0459523180507</x:v>
      </x:c>
      <x:c r="S229" s="9" t="n">
        <x:f>Model_Data!Q229</x:f>
        <x:v>-67.8354523508007</x:v>
      </x:c>
      <x:c r="T229" s="9" t="n">
        <x:f>Model_Data!AN229</x:f>
        <x:v>-68.32521806577338</x:v>
      </x:c>
      <x:c r="U229" s="10" t="n"/>
      <x:c r="V229" s="9" t="n">
        <x:f>Model_Data!A229</x:f>
        <x:v>53.5</x:v>
      </x:c>
      <x:c r="W229" s="9" t="n">
        <x:f>Model_Data!B229-Inputs!$C$5</x:f>
        <x:v>3.1802777777778033</x:v>
      </x:c>
      <x:c r="X229" s="10" t="n"/>
      <x:c r="Y229" s="9" t="n">
        <x:f>Model_Data!A229</x:f>
        <x:v>53.5</x:v>
      </x:c>
      <x:c r="Z229" s="9" t="n">
        <x:f>0</x:f>
        <x:v>0</x:v>
      </x:c>
      <x:c r="AA229" s="9" t="n">
        <x:f>((SQRT((Inputs!$C$52+Inputs!$C$5)^2+Inputs!$C$52^2-2*(Inputs!$C$52+Inputs!$C$5)*Inputs!$C$52*COS(SQRT((Model_Data!A229)^2+Inputs!$C$6^2)/Inputs!$C$52))-Inputs!$C$5)*1000/Inputs!$C$12)</x:f>
        <x:v>3055.3776013572988</x:v>
      </x:c>
      <x:c r="AB229" s="9" t="n">
        <x:f>Model_Data!F229</x:f>
        <x:v>3036.480896636179</x:v>
      </x:c>
    </x:row>
    <x:row r="230">
      <x:c r="A230" s="9" t="n">
        <x:f>Model_Data!A230</x:f>
        <x:v>54</x:v>
      </x:c>
      <x:c r="B230" s="9" t="n">
        <x:f>0</x:f>
        <x:v>0</x:v>
      </x:c>
      <x:c r="C230" s="9" t="n">
        <x:f>((SQRT((Inputs!$C$52+Inputs!$C$5)^2+Inputs!$C$52^2-2*(Inputs!$C$52+Inputs!$C$5)*Inputs!$C$52*COS(SQRT((Model_Data!A230)^2+Inputs!$C$6^2)/Inputs!$C$52))-Inputs!$C$5)*1000/Inputs!$C$12)</x:f>
        <x:v>3102.1447021381323</x:v>
      </x:c>
      <x:c r="D230" s="9" t="n">
        <x:f>Model_Data!F230</x:f>
        <x:v>3082.60579501392</x:v>
      </x:c>
      <x:c r="E230" s="9" t="n">
        <x:f>Model_Data!AC230</x:f>
        <x:v>2977.9303735869566</x:v>
      </x:c>
      <x:c r="F230" s="10" t="n"/>
      <x:c r="G230" s="9" t="n">
        <x:f>Model_Data!A230</x:f>
        <x:v>54</x:v>
      </x:c>
      <x:c r="H230" s="9" t="n">
        <x:f>Model_Data!Y230</x:f>
        <x:v>181.54184215615243</x:v>
      </x:c>
      <x:c r="I230" s="9" t="n">
        <x:f>Model_Data!Y230</x:f>
        <x:v>181.54184215615243</x:v>
      </x:c>
      <x:c r="J230" s="9" t="n">
        <x:f>Model_Data!X230</x:f>
        <x:v>-7.852837825142384</x:v>
      </x:c>
      <x:c r="K230" s="9" t="n">
        <x:f>Model_Data!A230</x:f>
        <x:v>54</x:v>
      </x:c>
      <x:c r="L230" s="9" t="n">
        <x:f>Model_Data!Y230</x:f>
        <x:v>181.54184215615243</x:v>
      </x:c>
      <x:c r="M230" s="9" t="n">
        <x:f>Model_Data!X230</x:f>
        <x:v>-7.852837825142384</x:v>
      </x:c>
      <x:c r="N230" s="9" t="n">
        <x:f>-(Model_Data!AC230-Model_Data!F230)*Inputs!$C$12</x:f>
        <x:v>186.32225013999516</x:v>
      </x:c>
      <x:c r="O230" s="10" t="n"/>
      <x:c r="P230" s="9" t="n">
        <x:f>Model_Data!A230</x:f>
        <x:v>54</x:v>
      </x:c>
      <x:c r="Q230" s="9" t="n">
        <x:f>Model_Data!P230</x:f>
        <x:v>-455.89141447326256</x:v>
      </x:c>
      <x:c r="R230" s="9" t="n">
        <x:f>Model_Data!AM230</x:f>
        <x:v>-462.8956826819376</x:v>
      </x:c>
      <x:c r="S230" s="9" t="n">
        <x:f>Model_Data!Q230</x:f>
        <x:v>-68.45216433532471</x:v>
      </x:c>
      <x:c r="T230" s="9" t="n">
        <x:f>Model_Data!AN230</x:f>
        <x:v>-69.50385625854919</x:v>
      </x:c>
      <x:c r="U230" s="10" t="n"/>
      <x:c r="V230" s="9" t="n">
        <x:f>Model_Data!A230</x:f>
        <x:v>54</x:v>
      </x:c>
      <x:c r="W230" s="9" t="n">
        <x:f>Model_Data!B230-Inputs!$C$5</x:f>
        <x:v>3.240000000000009</x:v>
      </x:c>
      <x:c r="X230" s="10" t="n"/>
      <x:c r="Y230" s="9" t="n">
        <x:f>Model_Data!A230</x:f>
        <x:v>54</x:v>
      </x:c>
      <x:c r="Z230" s="9" t="n">
        <x:f>0</x:f>
        <x:v>0</x:v>
      </x:c>
      <x:c r="AA230" s="9" t="n">
        <x:f>((SQRT((Inputs!$C$52+Inputs!$C$5)^2+Inputs!$C$52^2-2*(Inputs!$C$52+Inputs!$C$5)*Inputs!$C$52*COS(SQRT((Model_Data!A230)^2+Inputs!$C$6^2)/Inputs!$C$52))-Inputs!$C$5)*1000/Inputs!$C$12)</x:f>
        <x:v>3102.1447021381323</x:v>
      </x:c>
      <x:c r="AB230" s="9" t="n">
        <x:f>Model_Data!F230</x:f>
        <x:v>3082.60579501392</x:v>
      </x:c>
    </x:row>
    <x:row r="231">
      <x:c r="A231" s="9" t="n">
        <x:f>Model_Data!A231</x:f>
        <x:v>54.5</x:v>
      </x:c>
      <x:c r="B231" s="9" t="n">
        <x:f>0</x:f>
        <x:v>0</x:v>
      </x:c>
      <x:c r="C231" s="9" t="n">
        <x:f>((SQRT((Inputs!$C$52+Inputs!$C$5)^2+Inputs!$C$52^2-2*(Inputs!$C$52+Inputs!$C$5)*Inputs!$C$52*COS(SQRT((Model_Data!A231)^2+Inputs!$C$6^2)/Inputs!$C$52))-Inputs!$C$5)*1000/Inputs!$C$12)</x:f>
        <x:v>3149.336938669558</x:v>
      </x:c>
      <x:c r="D231" s="9" t="n">
        <x:f>Model_Data!F231</x:f>
        <x:v>3129.139398909123</x:v>
      </x:c>
      <x:c r="E231" s="9" t="n">
        <x:f>Model_Data!AC231</x:f>
        <x:v>3025.4702328953204</x:v>
      </x:c>
      <x:c r="F231" s="10" t="n"/>
      <x:c r="G231" s="9" t="n">
        <x:f>Model_Data!A231</x:f>
        <x:v>54.5</x:v>
      </x:c>
      <x:c r="H231" s="9" t="n">
        <x:f>Model_Data!Y231</x:f>
        <x:v>176.67952286630316</x:v>
      </x:c>
      <x:c r="I231" s="9" t="n">
        <x:f>Model_Data!Y231</x:f>
        <x:v>176.67952286630316</x:v>
      </x:c>
      <x:c r="J231" s="9" t="n">
        <x:f>Model_Data!X231</x:f>
        <x:v>-10.88592803052483</x:v>
      </x:c>
      <x:c r="K231" s="9" t="n">
        <x:f>Model_Data!A231</x:f>
        <x:v>54.5</x:v>
      </x:c>
      <x:c r="L231" s="9" t="n">
        <x:f>Model_Data!Y231</x:f>
        <x:v>176.67952286630316</x:v>
      </x:c>
      <x:c r="M231" s="9" t="n">
        <x:f>Model_Data!X231</x:f>
        <x:v>-10.88592803052483</x:v>
      </x:c>
      <x:c r="N231" s="9" t="n">
        <x:f>-(Model_Data!AC231-Model_Data!F231)*Inputs!$C$12</x:f>
        <x:v>184.53111550456867</x:v>
      </x:c>
      <x:c r="O231" s="10" t="n"/>
      <x:c r="P231" s="9" t="n">
        <x:f>Model_Data!A231</x:f>
        <x:v>54.5</x:v>
      </x:c>
      <x:c r="Q231" s="9" t="n">
        <x:f>Model_Data!P231</x:f>
        <x:v>-459.9956298745383</x:v>
      </x:c>
      <x:c r="R231" s="9" t="n">
        <x:f>Model_Data!AM231</x:f>
        <x:v>-449.1931834153547</x:v>
      </x:c>
      <x:c r="S231" s="9" t="n">
        <x:f>Model_Data!Q231</x:f>
        <x:v>-69.06841289407483</x:v>
      </x:c>
      <x:c r="T231" s="9" t="n">
        <x:f>Model_Data!AN231</x:f>
        <x:v>-67.44642393623946</x:v>
      </x:c>
      <x:c r="U231" s="10" t="n"/>
      <x:c r="V231" s="9" t="n">
        <x:f>Model_Data!A231</x:f>
        <x:v>54.5</x:v>
      </x:c>
      <x:c r="W231" s="9" t="n">
        <x:f>Model_Data!B231-Inputs!$C$5</x:f>
        <x:v>3.300277777777751</x:v>
      </x:c>
      <x:c r="X231" s="10" t="n"/>
      <x:c r="Y231" s="9" t="n">
        <x:f>Model_Data!A231</x:f>
        <x:v>54.5</x:v>
      </x:c>
      <x:c r="Z231" s="9" t="n">
        <x:f>0</x:f>
        <x:v>0</x:v>
      </x:c>
      <x:c r="AA231" s="9" t="n">
        <x:f>((SQRT((Inputs!$C$52+Inputs!$C$5)^2+Inputs!$C$52^2-2*(Inputs!$C$52+Inputs!$C$5)*Inputs!$C$52*COS(SQRT((Model_Data!A231)^2+Inputs!$C$6^2)/Inputs!$C$52))-Inputs!$C$5)*1000/Inputs!$C$12)</x:f>
        <x:v>3149.336938669558</x:v>
      </x:c>
      <x:c r="AB231" s="9" t="n">
        <x:f>Model_Data!F231</x:f>
        <x:v>3129.139398909123</x:v>
      </x:c>
    </x:row>
    <x:row r="232">
      <x:c r="A232" s="9" t="n">
        <x:f>Model_Data!A232</x:f>
        <x:v>55</x:v>
      </x:c>
      <x:c r="B232" s="9" t="n">
        <x:f>0</x:f>
        <x:v>0</x:v>
      </x:c>
      <x:c r="C232" s="9" t="n">
        <x:f>((SQRT((Inputs!$C$52+Inputs!$C$5)^2+Inputs!$C$52^2-2*(Inputs!$C$52+Inputs!$C$5)*Inputs!$C$52*COS(SQRT((Model_Data!A232)^2+Inputs!$C$6^2)/Inputs!$C$52))-Inputs!$C$5)*1000/Inputs!$C$12)</x:f>
        <x:v>3196.954042025839</x:v>
      </x:c>
      <x:c r="D232" s="9" t="n">
        <x:f>Model_Data!F232</x:f>
        <x:v>3176.081164429937</x:v>
      </x:c>
      <x:c r="E232" s="9" t="n">
        <x:f>Model_Data!AC232</x:f>
        <x:v>3070.485603094565</x:v>
      </x:c>
      <x:c r="F232" s="10" t="n"/>
      <x:c r="G232" s="9" t="n">
        <x:f>Model_Data!A232</x:f>
        <x:v>55</x:v>
      </x:c>
      <x:c r="H232" s="9" t="n">
        <x:f>Model_Data!Y232</x:f>
        <x:v>188.50605986389118</x:v>
      </x:c>
      <x:c r="I232" s="9" t="n">
        <x:f>Model_Data!Y232</x:f>
        <x:v>188.50605986389118</x:v>
      </x:c>
      <x:c r="J232" s="9" t="n">
        <x:f>Model_Data!X232</x:f>
        <x:v>-2.7391578251359494</x:v>
      </x:c>
      <x:c r="K232" s="9" t="n">
        <x:f>Model_Data!A232</x:f>
        <x:v>55</x:v>
      </x:c>
      <x:c r="L232" s="9" t="n">
        <x:f>Model_Data!Y232</x:f>
        <x:v>188.50605986389118</x:v>
      </x:c>
      <x:c r="M232" s="9" t="n">
        <x:f>Model_Data!X232</x:f>
        <x:v>-2.7391578251359494</x:v>
      </x:c>
      <x:c r="N232" s="9" t="n">
        <x:f>-(Model_Data!AC232-Model_Data!F232)*Inputs!$C$12</x:f>
        <x:v>187.96009917696247</x:v>
      </x:c>
      <x:c r="O232" s="10" t="n"/>
      <x:c r="P232" s="9" t="n">
        <x:f>Model_Data!A232</x:f>
        <x:v>55</x:v>
      </x:c>
      <x:c r="Q232" s="9" t="n">
        <x:f>Model_Data!P232</x:f>
        <x:v>-464.0967357390764</x:v>
      </x:c>
      <x:c r="R232" s="9" t="n">
        <x:f>Model_Data!AM232</x:f>
        <x:v>-455.00982441772067</x:v>
      </x:c>
      <x:c r="S232" s="9" t="n">
        <x:f>Model_Data!Q232</x:f>
        <x:v>-69.68419455541688</x:v>
      </x:c>
      <x:c r="T232" s="9" t="n">
        <x:f>Model_Data!AN232</x:f>
        <x:v>-68.31979345611423</x:v>
      </x:c>
      <x:c r="U232" s="10" t="n"/>
      <x:c r="V232" s="9" t="n">
        <x:f>Model_Data!A232</x:f>
        <x:v>55</x:v>
      </x:c>
      <x:c r="W232" s="9" t="n">
        <x:f>Model_Data!B232-Inputs!$C$5</x:f>
        <x:v>3.361111111111086</x:v>
      </x:c>
      <x:c r="X232" s="10" t="n"/>
      <x:c r="Y232" s="9" t="n">
        <x:f>Model_Data!A232</x:f>
        <x:v>55</x:v>
      </x:c>
      <x:c r="Z232" s="9" t="n">
        <x:f>0</x:f>
        <x:v>0</x:v>
      </x:c>
      <x:c r="AA232" s="9" t="n">
        <x:f>((SQRT((Inputs!$C$52+Inputs!$C$5)^2+Inputs!$C$52^2-2*(Inputs!$C$52+Inputs!$C$5)*Inputs!$C$52*COS(SQRT((Model_Data!A232)^2+Inputs!$C$6^2)/Inputs!$C$52))-Inputs!$C$5)*1000/Inputs!$C$12)</x:f>
        <x:v>3196.954042025839</x:v>
      </x:c>
      <x:c r="AB232" s="9" t="n">
        <x:f>Model_Data!F232</x:f>
        <x:v>3176.081164429937</x:v>
      </x:c>
    </x:row>
    <x:row r="233">
      <x:c r="A233" s="9" t="n">
        <x:f>Model_Data!A233</x:f>
        <x:v>55.5</x:v>
      </x:c>
      <x:c r="B233" s="9" t="n">
        <x:f>0</x:f>
        <x:v>0</x:v>
      </x:c>
      <x:c r="C233" s="9" t="n">
        <x:f>((SQRT((Inputs!$C$52+Inputs!$C$5)^2+Inputs!$C$52^2-2*(Inputs!$C$52+Inputs!$C$5)*Inputs!$C$52*COS(SQRT((Model_Data!A233)^2+Inputs!$C$6^2)/Inputs!$C$52))-Inputs!$C$5)*1000/Inputs!$C$12)</x:f>
        <x:v>3244.995741083732</x:v>
      </x:c>
      <x:c r="D233" s="9" t="n">
        <x:f>Model_Data!F233</x:f>
        <x:v>3223.4305436364602</x:v>
      </x:c>
      <x:c r="E233" s="9" t="n">
        <x:f>Model_Data!AC233</x:f>
        <x:v>3119.0133518780485</x:v>
      </x:c>
      <x:c r="F233" s="10" t="n"/>
      <x:c r="G233" s="9" t="n">
        <x:f>Model_Data!A233</x:f>
        <x:v>55.5</x:v>
      </x:c>
      <x:c r="H233" s="9" t="n">
        <x:f>Model_Data!Y233</x:f>
        <x:v>182.5522692746181</x:v>
      </x:c>
      <x:c r="I233" s="9" t="n">
        <x:f>Model_Data!Y233</x:f>
        <x:v>182.5522692746181</x:v>
      </x:c>
      <x:c r="J233" s="9" t="n">
        <x:f>Model_Data!X233</x:f>
        <x:v>-6.538094280084824</x:v>
      </x:c>
      <x:c r="K233" s="9" t="n">
        <x:f>Model_Data!A233</x:f>
        <x:v>55.5</x:v>
      </x:c>
      <x:c r="L233" s="9" t="n">
        <x:f>Model_Data!Y233</x:f>
        <x:v>182.5522692746181</x:v>
      </x:c>
      <x:c r="M233" s="9" t="n">
        <x:f>Model_Data!X233</x:f>
        <x:v>-6.538094280084824</x:v>
      </x:c>
      <x:c r="N233" s="9" t="n">
        <x:f>-(Model_Data!AC233-Model_Data!F233)*Inputs!$C$12</x:f>
        <x:v>185.86260132997285</x:v>
      </x:c>
      <x:c r="O233" s="10" t="n"/>
      <x:c r="P233" s="9" t="n">
        <x:f>Model_Data!A233</x:f>
        <x:v>55.5</x:v>
      </x:c>
      <x:c r="Q233" s="9" t="n">
        <x:f>Model_Data!P233</x:f>
        <x:v>-468.1947090801259</x:v>
      </x:c>
      <x:c r="R233" s="9" t="n">
        <x:f>Model_Data!AM233</x:f>
        <x:v>-470.8662445768823</x:v>
      </x:c>
      <x:c r="S233" s="9" t="n">
        <x:f>Model_Data!Q233</x:f>
        <x:v>-70.29950586788678</x:v>
      </x:c>
      <x:c r="T233" s="9" t="n">
        <x:f>Model_Data!AN233</x:f>
        <x:v>-70.70063732385621</x:v>
      </x:c>
      <x:c r="U233" s="10" t="n"/>
      <x:c r="V233" s="9" t="n">
        <x:f>Model_Data!A233</x:f>
        <x:v>55.5</x:v>
      </x:c>
      <x:c r="W233" s="9" t="n">
        <x:f>Model_Data!B233-Inputs!$C$5</x:f>
        <x:v>3.4225000000000136</x:v>
      </x:c>
      <x:c r="X233" s="10" t="n"/>
      <x:c r="Y233" s="9" t="n">
        <x:f>Model_Data!A233</x:f>
        <x:v>55.5</x:v>
      </x:c>
      <x:c r="Z233" s="9" t="n">
        <x:f>0</x:f>
        <x:v>0</x:v>
      </x:c>
      <x:c r="AA233" s="9" t="n">
        <x:f>((SQRT((Inputs!$C$52+Inputs!$C$5)^2+Inputs!$C$52^2-2*(Inputs!$C$52+Inputs!$C$5)*Inputs!$C$52*COS(SQRT((Model_Data!A233)^2+Inputs!$C$6^2)/Inputs!$C$52))-Inputs!$C$5)*1000/Inputs!$C$12)</x:f>
        <x:v>3244.995741083732</x:v>
      </x:c>
      <x:c r="AB233" s="9" t="n">
        <x:f>Model_Data!F233</x:f>
        <x:v>3223.4305436364602</x:v>
      </x:c>
    </x:row>
    <x:row r="234">
      <x:c r="A234" s="9" t="n">
        <x:f>Model_Data!A234</x:f>
        <x:v>56</x:v>
      </x:c>
      <x:c r="B234" s="9" t="n">
        <x:f>0</x:f>
        <x:v>0</x:v>
      </x:c>
      <x:c r="C234" s="9" t="n">
        <x:f>((SQRT((Inputs!$C$52+Inputs!$C$5)^2+Inputs!$C$52^2-2*(Inputs!$C$52+Inputs!$C$5)*Inputs!$C$52*COS(SQRT((Model_Data!A234)^2+Inputs!$C$6^2)/Inputs!$C$52))-Inputs!$C$5)*1000/Inputs!$C$12)</x:f>
        <x:v>3293.461762529603</x:v>
      </x:c>
      <x:c r="D234" s="9" t="n">
        <x:f>Model_Data!F234</x:f>
        <x:v>3271.186984565748</x:v>
      </x:c>
      <x:c r="E234" s="9" t="n">
        <x:f>Model_Data!AC234</x:f>
        <x:v>3165.620399260125</x:v>
      </x:c>
      <x:c r="F234" s="10" t="n"/>
      <x:c r="G234" s="9" t="n">
        <x:f>Model_Data!A234</x:f>
        <x:v>56</x:v>
      </x:c>
      <x:c r="H234" s="9" t="n">
        <x:f>Model_Data!Y234</x:f>
        <x:v>186.90390563143987</x:v>
      </x:c>
      <x:c r="I234" s="9" t="n">
        <x:f>Model_Data!Y234</x:f>
        <x:v>186.90390563143987</x:v>
      </x:c>
      <x:c r="J234" s="9" t="n">
        <x:f>Model_Data!X234</x:f>
        <x:v>-4.357290177669684</x:v>
      </x:c>
      <x:c r="K234" s="9" t="n">
        <x:f>Model_Data!A234</x:f>
        <x:v>56</x:v>
      </x:c>
      <x:c r="L234" s="9" t="n">
        <x:f>Model_Data!Y234</x:f>
        <x:v>186.90390563143987</x:v>
      </x:c>
      <x:c r="M234" s="9" t="n">
        <x:f>Model_Data!X234</x:f>
        <x:v>-4.357290177669684</x:v>
      </x:c>
      <x:c r="N234" s="9" t="n">
        <x:f>-(Model_Data!AC234-Model_Data!F234)*Inputs!$C$12</x:f>
        <x:v>187.90852184400893</x:v>
      </x:c>
      <x:c r="O234" s="10" t="n"/>
      <x:c r="P234" s="9" t="n">
        <x:f>Model_Data!A234</x:f>
        <x:v>56</x:v>
      </x:c>
      <x:c r="Q234" s="9" t="n">
        <x:f>Model_Data!P234</x:f>
        <x:v>-472.2895270569097</x:v>
      </x:c>
      <x:c r="R234" s="9" t="n">
        <x:f>Model_Data!AM234</x:f>
        <x:v>-460.6295562019113</x:v>
      </x:c>
      <x:c r="S234" s="9" t="n">
        <x:f>Model_Data!Q234</x:f>
        <x:v>-70.9143434019384</x:v>
      </x:c>
      <x:c r="T234" s="9" t="n">
        <x:f>Model_Data!AN234</x:f>
        <x:v>-69.16359702731403</x:v>
      </x:c>
      <x:c r="U234" s="10" t="n"/>
      <x:c r="V234" s="9" t="n">
        <x:f>Model_Data!A234</x:f>
        <x:v>56</x:v>
      </x:c>
      <x:c r="W234" s="9" t="n">
        <x:f>Model_Data!B234-Inputs!$C$5</x:f>
        <x:v>3.4844444444444207</x:v>
      </x:c>
      <x:c r="X234" s="10" t="n"/>
      <x:c r="Y234" s="9" t="n">
        <x:f>Model_Data!A234</x:f>
        <x:v>56</x:v>
      </x:c>
      <x:c r="Z234" s="9" t="n">
        <x:f>0</x:f>
        <x:v>0</x:v>
      </x:c>
      <x:c r="AA234" s="9" t="n">
        <x:f>((SQRT((Inputs!$C$52+Inputs!$C$5)^2+Inputs!$C$52^2-2*(Inputs!$C$52+Inputs!$C$5)*Inputs!$C$52*COS(SQRT((Model_Data!A234)^2+Inputs!$C$6^2)/Inputs!$C$52))-Inputs!$C$5)*1000/Inputs!$C$12)</x:f>
        <x:v>3293.461762529603</x:v>
      </x:c>
      <x:c r="AB234" s="9" t="n">
        <x:f>Model_Data!F234</x:f>
        <x:v>3271.186984565748</x:v>
      </x:c>
    </x:row>
    <x:row r="235">
      <x:c r="A235" s="9" t="n">
        <x:f>Model_Data!A235</x:f>
        <x:v>56.5</x:v>
      </x:c>
      <x:c r="B235" s="9" t="n">
        <x:f>0</x:f>
        <x:v>0</x:v>
      </x:c>
      <x:c r="C235" s="9" t="n">
        <x:f>((SQRT((Inputs!$C$52+Inputs!$C$5)^2+Inputs!$C$52^2-2*(Inputs!$C$52+Inputs!$C$5)*Inputs!$C$52*COS(SQRT((Model_Data!A235)^2+Inputs!$C$6^2)/Inputs!$C$52))-Inputs!$C$5)*1000/Inputs!$C$12)</x:f>
        <x:v>3342.3518308690136</x:v>
      </x:c>
      <x:c r="D235" s="9" t="n">
        <x:f>Model_Data!F235</x:f>
        <x:v>3319.3499312578997</x:v>
      </x:c>
      <x:c r="E235" s="9" t="n">
        <x:f>Model_Data!AC235</x:f>
        <x:v>3226.7114178873894</x:v>
      </x:c>
      <x:c r="F235" s="10" t="n"/>
      <x:c r="G235" s="9" t="n">
        <x:f>Model_Data!A235</x:f>
        <x:v>56.5</x:v>
      </x:c>
      <x:c r="H235" s="9" t="n">
        <x:f>Model_Data!Y235</x:f>
        <x:v>190.07062484954076</x:v>
      </x:c>
      <x:c r="I235" s="9" t="n">
        <x:f>Model_Data!Y235</x:f>
        <x:v>190.07062484954076</x:v>
      </x:c>
      <x:c r="J235" s="9" t="n">
        <x:f>Model_Data!X235</x:f>
        <x:v>21.715435034758002</x:v>
      </x:c>
      <x:c r="K235" s="9" t="n">
        <x:f>Model_Data!A235</x:f>
        <x:v>56.5</x:v>
      </x:c>
      <x:c r="L235" s="9" t="n">
        <x:f>Model_Data!Y235</x:f>
        <x:v>190.07062484954076</x:v>
      </x:c>
      <x:c r="M235" s="9" t="n">
        <x:f>Model_Data!X235</x:f>
        <x:v>21.715435034758002</x:v>
      </x:c>
      <x:c r="N235" s="9" t="n">
        <x:f>-(Model_Data!AC235-Model_Data!F235)*Inputs!$C$12</x:f>
        <x:v>164.8965537995083</x:v>
      </x:c>
      <x:c r="O235" s="10" t="n"/>
      <x:c r="P235" s="9" t="n">
        <x:f>Model_Data!A235</x:f>
        <x:v>56.5</x:v>
      </x:c>
      <x:c r="Q235" s="9" t="n">
        <x:f>Model_Data!P235</x:f>
        <x:v>-476.38116695534336</x:v>
      </x:c>
      <x:c r="R235" s="9" t="n">
        <x:f>Model_Data!AM235</x:f>
        <x:v>-454.89450199102066</x:v>
      </x:c>
      <x:c r="S235" s="9" t="n">
        <x:f>Model_Data!Q235</x:f>
        <x:v>-71.52870374704855</x:v>
      </x:c>
      <x:c r="T235" s="9" t="n">
        <x:f>Model_Data!AN235</x:f>
        <x:v>-68.30247777642954</x:v>
      </x:c>
      <x:c r="U235" s="10" t="n"/>
      <x:c r="V235" s="9" t="n">
        <x:f>Model_Data!A235</x:f>
        <x:v>56.5</x:v>
      </x:c>
      <x:c r="W235" s="9" t="n">
        <x:f>Model_Data!B235-Inputs!$C$5</x:f>
        <x:v>3.5469444444444207</x:v>
      </x:c>
      <x:c r="X235" s="10" t="n"/>
      <x:c r="Y235" s="9" t="n">
        <x:f>Model_Data!A235</x:f>
        <x:v>56.5</x:v>
      </x:c>
      <x:c r="Z235" s="9" t="n">
        <x:f>0</x:f>
        <x:v>0</x:v>
      </x:c>
      <x:c r="AA235" s="9" t="n">
        <x:f>((SQRT((Inputs!$C$52+Inputs!$C$5)^2+Inputs!$C$52^2-2*(Inputs!$C$52+Inputs!$C$5)*Inputs!$C$52*COS(SQRT((Model_Data!A235)^2+Inputs!$C$6^2)/Inputs!$C$52))-Inputs!$C$5)*1000/Inputs!$C$12)</x:f>
        <x:v>3342.3518308690136</x:v>
      </x:c>
      <x:c r="AB235" s="9" t="n">
        <x:f>Model_Data!F235</x:f>
        <x:v>3319.3499312578997</x:v>
      </x:c>
    </x:row>
    <x:row r="236">
      <x:c r="A236" s="9" t="n">
        <x:f>Model_Data!A236</x:f>
        <x:v>57</x:v>
      </x:c>
      <x:c r="B236" s="9" t="n">
        <x:f>0</x:f>
        <x:v>0</x:v>
      </x:c>
      <x:c r="C236" s="9" t="n">
        <x:f>((SQRT((Inputs!$C$52+Inputs!$C$5)^2+Inputs!$C$52^2-2*(Inputs!$C$52+Inputs!$C$5)*Inputs!$C$52*COS(SQRT((Model_Data!A236)^2+Inputs!$C$6^2)/Inputs!$C$52))-Inputs!$C$5)*1000/Inputs!$C$12)</x:f>
        <x:v>3391.6656684345407</x:v>
      </x:c>
      <x:c r="D236" s="9" t="n">
        <x:f>Model_Data!F236</x:f>
        <x:v>3367.918823774454</x:v>
      </x:c>
      <x:c r="E236" s="9" t="n">
        <x:f>Model_Data!AC236</x:f>
        <x:v>3267.600381912345</x:v>
      </x:c>
      <x:c r="F236" s="10" t="n"/>
      <x:c r="G236" s="9" t="n">
        <x:f>Model_Data!A236</x:f>
        <x:v>57</x:v>
      </x:c>
      <x:c r="H236" s="9" t="n">
        <x:f>Model_Data!Y236</x:f>
        <x:v>200.68454527158707</x:v>
      </x:c>
      <x:c r="I236" s="9" t="n">
        <x:f>Model_Data!Y236</x:f>
        <x:v>200.68454527158707</x:v>
      </x:c>
      <x:c r="J236" s="9" t="n">
        <x:f>Model_Data!X236</x:f>
        <x:v>18.4135707545088</x:v>
      </x:c>
      <x:c r="K236" s="9" t="n">
        <x:f>Model_Data!A236</x:f>
        <x:v>57</x:v>
      </x:c>
      <x:c r="L236" s="9" t="n">
        <x:f>Model_Data!Y236</x:f>
        <x:v>200.68454527158707</x:v>
      </x:c>
      <x:c r="M236" s="9" t="n">
        <x:f>Model_Data!X236</x:f>
        <x:v>18.4135707545088</x:v>
      </x:c>
      <x:c r="N236" s="9" t="n">
        <x:f>-(Model_Data!AC236-Model_Data!F236)*Inputs!$C$12</x:f>
        <x:v>178.56682651455404</x:v>
      </x:c>
      <x:c r="O236" s="10" t="n"/>
      <x:c r="P236" s="9" t="n">
        <x:f>Model_Data!A236</x:f>
        <x:v>57</x:v>
      </x:c>
      <x:c r="Q236" s="9" t="n">
        <x:f>Model_Data!P236</x:f>
        <x:v>-480.4696062107723</x:v>
      </x:c>
      <x:c r="R236" s="9" t="n">
        <x:f>Model_Data!AM236</x:f>
        <x:v>-499.14395786781824</x:v>
      </x:c>
      <x:c r="S236" s="9" t="n">
        <x:f>Model_Data!Q236</x:f>
        <x:v>-72.14258351513098</x:v>
      </x:c>
      <x:c r="T236" s="9" t="n">
        <x:f>Model_Data!AN236</x:f>
        <x:v>-74.94654022039313</x:v>
      </x:c>
      <x:c r="U236" s="10" t="n"/>
      <x:c r="V236" s="9" t="n">
        <x:f>Model_Data!A236</x:f>
        <x:v>57</x:v>
      </x:c>
      <x:c r="W236" s="9" t="n">
        <x:f>Model_Data!B236-Inputs!$C$5</x:f>
        <x:v>3.6100000000000136</x:v>
      </x:c>
      <x:c r="X236" s="10" t="n"/>
      <x:c r="Y236" s="9" t="n">
        <x:f>Model_Data!A236</x:f>
        <x:v>57</x:v>
      </x:c>
      <x:c r="Z236" s="9" t="n">
        <x:f>0</x:f>
        <x:v>0</x:v>
      </x:c>
      <x:c r="AA236" s="9" t="n">
        <x:f>((SQRT((Inputs!$C$52+Inputs!$C$5)^2+Inputs!$C$52^2-2*(Inputs!$C$52+Inputs!$C$5)*Inputs!$C$52*COS(SQRT((Model_Data!A236)^2+Inputs!$C$6^2)/Inputs!$C$52))-Inputs!$C$5)*1000/Inputs!$C$12)</x:f>
        <x:v>3391.6656684345407</x:v>
      </x:c>
      <x:c r="AB236" s="9" t="n">
        <x:f>Model_Data!F236</x:f>
        <x:v>3367.918823774454</x:v>
      </x:c>
    </x:row>
    <x:row r="237">
      <x:c r="A237" s="9" t="n">
        <x:f>Model_Data!A237</x:f>
        <x:v>57.5</x:v>
      </x:c>
      <x:c r="B237" s="9" t="n">
        <x:f>0</x:f>
        <x:v>0</x:v>
      </x:c>
      <x:c r="C237" s="9" t="n">
        <x:f>((SQRT((Inputs!$C$52+Inputs!$C$5)^2+Inputs!$C$52^2-2*(Inputs!$C$52+Inputs!$C$5)*Inputs!$C$52*COS(SQRT((Model_Data!A237)^2+Inputs!$C$6^2)/Inputs!$C$52))-Inputs!$C$5)*1000/Inputs!$C$12)</x:f>
        <x:v>3441.4029953902796</x:v>
      </x:c>
      <x:c r="D237" s="9" t="n">
        <x:f>Model_Data!F237</x:f>
        <x:v>3416.8930982326565</x:v>
      </x:c>
      <x:c r="E237" s="9" t="n">
        <x:f>Model_Data!AC237</x:f>
        <x:v>3333.2011078812866</x:v>
      </x:c>
      <x:c r="F237" s="10" t="n"/>
      <x:c r="G237" s="9" t="n">
        <x:f>Model_Data!A237</x:f>
        <x:v>57.5</x:v>
      </x:c>
      <x:c r="H237" s="9" t="n">
        <x:f>Model_Data!Y237</x:f>
        <x:v>178.2777126906697</x:v>
      </x:c>
      <x:c r="I237" s="9" t="n">
        <x:f>Model_Data!Y237</x:f>
        <x:v>178.2777126906697</x:v>
      </x:c>
      <x:c r="J237" s="9" t="n">
        <x:f>Model_Data!X237</x:f>
        <x:v>25.968776223167485</x:v>
      </x:c>
      <x:c r="K237" s="9" t="n">
        <x:f>Model_Data!A237</x:f>
        <x:v>57.5</x:v>
      </x:c>
      <x:c r="L237" s="9" t="n">
        <x:f>Model_Data!Y237</x:f>
        <x:v>178.2777126906697</x:v>
      </x:c>
      <x:c r="M237" s="9" t="n">
        <x:f>Model_Data!X237</x:f>
        <x:v>25.968776223167485</x:v>
      </x:c>
      <x:c r="N237" s="9" t="n">
        <x:f>-(Model_Data!AC237-Model_Data!F237)*Inputs!$C$12</x:f>
        <x:v>148.9717428254384</x:v>
      </x:c>
      <x:c r="O237" s="10" t="n"/>
      <x:c r="P237" s="9" t="n">
        <x:f>Model_Data!A237</x:f>
        <x:v>57.5</x:v>
      </x:c>
      <x:c r="Q237" s="9" t="n">
        <x:f>Model_Data!P237</x:f>
        <x:v>-484.554822402788</x:v>
      </x:c>
      <x:c r="R237" s="9" t="n">
        <x:f>Model_Data!AM237</x:f>
        <x:v>-494.387775107225</x:v>
      </x:c>
      <x:c r="S237" s="9" t="n">
        <x:f>Model_Data!Q237</x:f>
        <x:v>-72.75597933975796</x:v>
      </x:c>
      <x:c r="T237" s="9" t="n">
        <x:f>Model_Data!AN237</x:f>
        <x:v>-74.2323986647485</x:v>
      </x:c>
      <x:c r="U237" s="10" t="n"/>
      <x:c r="V237" s="9" t="n">
        <x:f>Model_Data!A237</x:f>
        <x:v>57.5</x:v>
      </x:c>
      <x:c r="W237" s="9" t="n">
        <x:f>Model_Data!B237-Inputs!$C$5</x:f>
        <x:v>3.673611111111086</x:v>
      </x:c>
      <x:c r="X237" s="10" t="n"/>
      <x:c r="Y237" s="9" t="n">
        <x:f>Model_Data!A237</x:f>
        <x:v>57.5</x:v>
      </x:c>
      <x:c r="Z237" s="9" t="n">
        <x:f>0</x:f>
        <x:v>0</x:v>
      </x:c>
      <x:c r="AA237" s="9" t="n">
        <x:f>((SQRT((Inputs!$C$52+Inputs!$C$5)^2+Inputs!$C$52^2-2*(Inputs!$C$52+Inputs!$C$5)*Inputs!$C$52*COS(SQRT((Model_Data!A237)^2+Inputs!$C$6^2)/Inputs!$C$52))-Inputs!$C$5)*1000/Inputs!$C$12)</x:f>
        <x:v>3441.4029953902796</x:v>
      </x:c>
      <x:c r="AB237" s="9" t="n">
        <x:f>Model_Data!F237</x:f>
        <x:v>3416.8930982326565</x:v>
      </x:c>
    </x:row>
    <x:row r="238">
      <x:c r="A238" s="9" t="n">
        <x:f>Model_Data!A238</x:f>
        <x:v>58</x:v>
      </x:c>
      <x:c r="B238" s="9" t="n">
        <x:f>0</x:f>
        <x:v>0</x:v>
      </x:c>
      <x:c r="C238" s="9" t="n">
        <x:f>((SQRT((Inputs!$C$52+Inputs!$C$5)^2+Inputs!$C$52^2-2*(Inputs!$C$52+Inputs!$C$5)*Inputs!$C$52*COS(SQRT((Model_Data!A238)^2+Inputs!$C$6^2)/Inputs!$C$52))-Inputs!$C$5)*1000/Inputs!$C$12)</x:f>
        <x:v>3491.563529741107</x:v>
      </x:c>
      <x:c r="D238" s="9" t="n">
        <x:f>Model_Data!F238</x:f>
        <x:v>3466.2721868216477</x:v>
      </x:c>
      <x:c r="E238" s="9" t="n">
        <x:f>Model_Data!AC238</x:f>
        <x:v>3375.954984734284</x:v>
      </x:c>
      <x:c r="F238" s="10" t="n"/>
      <x:c r="G238" s="9" t="n">
        <x:f>Model_Data!A238</x:f>
        <x:v>58</x:v>
      </x:c>
      <x:c r="H238" s="9" t="n">
        <x:f>Model_Data!Y238</x:f>
        <x:v>194.52778179385766</x:v>
      </x:c>
      <x:c r="I238" s="9" t="n">
        <x:f>Model_Data!Y238</x:f>
        <x:v>194.52778179385766</x:v>
      </x:c>
      <x:c r="J238" s="9" t="n">
        <x:f>Model_Data!X238</x:f>
        <x:v>30.070182113253747</x:v>
      </x:c>
      <x:c r="K238" s="9" t="n">
        <x:f>Model_Data!A238</x:f>
        <x:v>58</x:v>
      </x:c>
      <x:c r="L238" s="9" t="n">
        <x:f>Model_Data!Y238</x:f>
        <x:v>194.52778179385766</x:v>
      </x:c>
      <x:c r="M238" s="9" t="n">
        <x:f>Model_Data!X238</x:f>
        <x:v>30.070182113253747</x:v>
      </x:c>
      <x:c r="N238" s="9" t="n">
        <x:f>-(Model_Data!AC238-Model_Data!F238)*Inputs!$C$12</x:f>
        <x:v>160.76461971550705</x:v>
      </x:c>
      <x:c r="O238" s="10" t="n"/>
      <x:c r="P238" s="9" t="n">
        <x:f>Model_Data!A238</x:f>
        <x:v>58</x:v>
      </x:c>
      <x:c r="Q238" s="9" t="n">
        <x:f>Model_Data!P238</x:f>
        <x:v>-488.63679323794713</x:v>
      </x:c>
      <x:c r="R238" s="9" t="n">
        <x:f>Model_Data!AM238</x:f>
        <x:v>-473.0108753379682</x:v>
      </x:c>
      <x:c r="S238" s="9" t="n">
        <x:f>Model_Data!Q238</x:f>
        <x:v>-73.36888787356564</x:v>
      </x:c>
      <x:c r="T238" s="9" t="n">
        <x:f>Model_Data!AN238</x:f>
        <x:v>-71.02265395464988</x:v>
      </x:c>
      <x:c r="U238" s="10" t="n"/>
      <x:c r="V238" s="9" t="n">
        <x:f>Model_Data!A238</x:f>
        <x:v>58</x:v>
      </x:c>
      <x:c r="W238" s="9" t="n">
        <x:f>Model_Data!B238-Inputs!$C$5</x:f>
        <x:v>3.737777777777751</x:v>
      </x:c>
      <x:c r="X238" s="10" t="n"/>
      <x:c r="Y238" s="9" t="n">
        <x:f>Model_Data!A238</x:f>
        <x:v>58</x:v>
      </x:c>
      <x:c r="Z238" s="9" t="n">
        <x:f>0</x:f>
        <x:v>0</x:v>
      </x:c>
      <x:c r="AA238" s="9" t="n">
        <x:f>((SQRT((Inputs!$C$52+Inputs!$C$5)^2+Inputs!$C$52^2-2*(Inputs!$C$52+Inputs!$C$5)*Inputs!$C$52*COS(SQRT((Model_Data!A238)^2+Inputs!$C$6^2)/Inputs!$C$52))-Inputs!$C$5)*1000/Inputs!$C$12)</x:f>
        <x:v>3491.563529741107</x:v>
      </x:c>
      <x:c r="AB238" s="9" t="n">
        <x:f>Model_Data!F238</x:f>
        <x:v>3466.2721868216477</x:v>
      </x:c>
    </x:row>
    <x:row r="239">
      <x:c r="A239" s="9" t="n">
        <x:f>Model_Data!A239</x:f>
        <x:v>58.5</x:v>
      </x:c>
      <x:c r="B239" s="9" t="n">
        <x:f>0</x:f>
        <x:v>0</x:v>
      </x:c>
      <x:c r="C239" s="9" t="n">
        <x:f>((SQRT((Inputs!$C$52+Inputs!$C$5)^2+Inputs!$C$52^2-2*(Inputs!$C$52+Inputs!$C$5)*Inputs!$C$52*COS(SQRT((Model_Data!A239)^2+Inputs!$C$6^2)/Inputs!$C$52))-Inputs!$C$5)*1000/Inputs!$C$12)</x:f>
        <x:v>3542.1469873423243</x:v>
      </x:c>
      <x:c r="D239" s="9" t="n">
        <x:f>Model_Data!F239</x:f>
        <x:v>3516.055517830855</x:v>
      </x:c>
      <x:c r="E239" s="9" t="n">
        <x:f>Model_Data!AC239</x:f>
        <x:v>3428.256967146573</x:v>
      </x:c>
      <x:c r="F239" s="10" t="n"/>
      <x:c r="G239" s="9" t="n">
        <x:f>Model_Data!A239</x:f>
        <x:v>58.5</x:v>
      </x:c>
      <x:c r="H239" s="9" t="n">
        <x:f>Model_Data!Y239</x:f>
        <x:v>188.33221875951745</x:v>
      </x:c>
      <x:c r="I239" s="9" t="n">
        <x:f>Model_Data!Y239</x:f>
        <x:v>188.33221875951745</x:v>
      </x:c>
      <x:c r="J239" s="9" t="n">
        <x:f>Model_Data!X239</x:f>
        <x:v>28.425297518081656</x:v>
      </x:c>
      <x:c r="K239" s="9" t="n">
        <x:f>Model_Data!A239</x:f>
        <x:v>58.5</x:v>
      </x:c>
      <x:c r="L239" s="9" t="n">
        <x:f>Model_Data!Y239</x:f>
        <x:v>188.33221875951745</x:v>
      </x:c>
      <x:c r="M239" s="9" t="n">
        <x:f>Model_Data!X239</x:f>
        <x:v>28.425297518081656</x:v>
      </x:c>
      <x:c r="N239" s="9" t="n">
        <x:f>-(Model_Data!AC239-Model_Data!F239)*Inputs!$C$12</x:f>
        <x:v>156.2814202180219</x:v>
      </x:c>
      <x:c r="O239" s="10" t="n"/>
      <x:c r="P239" s="9" t="n">
        <x:f>Model_Data!A239</x:f>
        <x:v>58.5</x:v>
      </x:c>
      <x:c r="Q239" s="9" t="n">
        <x:f>Model_Data!P239</x:f>
        <x:v>-492.71549658133154</x:v>
      </x:c>
      <x:c r="R239" s="9" t="n">
        <x:f>Model_Data!AM239</x:f>
        <x:v>-494.11679295681097</x:v>
      </x:c>
      <x:c r="S239" s="9" t="n">
        <x:f>Model_Data!Q239</x:f>
        <x:v>-73.98130579299273</x:v>
      </x:c>
      <x:c r="T239" s="9" t="n">
        <x:f>Model_Data!AN239</x:f>
        <x:v>-74.19171065417582</x:v>
      </x:c>
      <x:c r="U239" s="10" t="n"/>
      <x:c r="V239" s="9" t="n">
        <x:f>Model_Data!A239</x:f>
        <x:v>58.5</x:v>
      </x:c>
      <x:c r="W239" s="9" t="n">
        <x:f>Model_Data!B239-Inputs!$C$5</x:f>
        <x:v>3.802500000000009</x:v>
      </x:c>
      <x:c r="X239" s="10" t="n"/>
      <x:c r="Y239" s="9" t="n">
        <x:f>Model_Data!A239</x:f>
        <x:v>58.5</x:v>
      </x:c>
      <x:c r="Z239" s="9" t="n">
        <x:f>0</x:f>
        <x:v>0</x:v>
      </x:c>
      <x:c r="AA239" s="9" t="n">
        <x:f>((SQRT((Inputs!$C$52+Inputs!$C$5)^2+Inputs!$C$52^2-2*(Inputs!$C$52+Inputs!$C$5)*Inputs!$C$52*COS(SQRT((Model_Data!A239)^2+Inputs!$C$6^2)/Inputs!$C$52))-Inputs!$C$5)*1000/Inputs!$C$12)</x:f>
        <x:v>3542.1469873423243</x:v>
      </x:c>
      <x:c r="AB239" s="9" t="n">
        <x:f>Model_Data!F239</x:f>
        <x:v>3516.055517830855</x:v>
      </x:c>
    </x:row>
    <x:row r="240">
      <x:c r="A240" s="9" t="n">
        <x:f>Model_Data!A240</x:f>
        <x:v>59</x:v>
      </x:c>
      <x:c r="B240" s="9" t="n">
        <x:f>0</x:f>
        <x:v>0</x:v>
      </x:c>
      <x:c r="C240" s="9" t="n">
        <x:f>((SQRT((Inputs!$C$52+Inputs!$C$5)^2+Inputs!$C$52^2-2*(Inputs!$C$52+Inputs!$C$5)*Inputs!$C$52*COS(SQRT((Model_Data!A240)^2+Inputs!$C$6^2)/Inputs!$C$52))-Inputs!$C$5)*1000/Inputs!$C$12)</x:f>
        <x:v>3593.153081902788</x:v>
      </x:c>
      <x:c r="D240" s="9" t="n">
        <x:f>Model_Data!F240</x:f>
        <x:v>3566.242515677423</x:v>
      </x:c>
      <x:c r="E240" s="9" t="n">
        <x:f>Model_Data!AC240</x:f>
        <x:v>3473.9548884925343</x:v>
      </x:c>
      <x:c r="F240" s="10" t="n"/>
      <x:c r="G240" s="9" t="n">
        <x:f>Model_Data!A240</x:f>
        <x:v>59</x:v>
      </x:c>
      <x:c r="H240" s="9" t="n">
        <x:f>Model_Data!Y240</x:f>
        <x:v>193.74067782731254</x:v>
      </x:c>
      <x:c r="I240" s="9" t="n">
        <x:f>Model_Data!Y240</x:f>
        <x:v>193.74067782731254</x:v>
      </x:c>
      <x:c r="J240" s="9" t="n">
        <x:f>Model_Data!X240</x:f>
        <x:v>25.687015205000044</x:v>
      </x:c>
      <x:c r="K240" s="9" t="n">
        <x:f>Model_Data!A240</x:f>
        <x:v>59</x:v>
      </x:c>
      <x:c r="L240" s="9" t="n">
        <x:f>Model_Data!Y240</x:f>
        <x:v>193.74067782731254</x:v>
      </x:c>
      <x:c r="M240" s="9" t="n">
        <x:f>Model_Data!X240</x:f>
        <x:v>25.687015205000044</x:v>
      </x:c>
      <x:c r="N240" s="9" t="n">
        <x:f>-(Model_Data!AC240-Model_Data!F240)*Inputs!$C$12</x:f>
        <x:v>164.27197638910172</x:v>
      </x:c>
      <x:c r="O240" s="10" t="n"/>
      <x:c r="P240" s="9" t="n">
        <x:f>Model_Data!A240</x:f>
        <x:v>59</x:v>
      </x:c>
      <x:c r="Q240" s="9" t="n">
        <x:f>Model_Data!P240</x:f>
        <x:v>-496.7909104278988</x:v>
      </x:c>
      <x:c r="R240" s="9" t="n">
        <x:f>Model_Data!AM240</x:f>
        <x:v>-527.305412295209</x:v>
      </x:c>
      <x:c r="S240" s="9" t="n">
        <x:f>Model_Data!Q240</x:f>
        <x:v>-74.59322979397881</x:v>
      </x:c>
      <x:c r="T240" s="9" t="n">
        <x:f>Model_Data!AN240</x:f>
        <x:v>-79.17498683111246</x:v>
      </x:c>
      <x:c r="U240" s="10" t="n"/>
      <x:c r="V240" s="9" t="n">
        <x:f>Model_Data!A240</x:f>
        <x:v>59</x:v>
      </x:c>
      <x:c r="W240" s="9" t="n">
        <x:f>Model_Data!B240-Inputs!$C$5</x:f>
        <x:v>3.8677777777778033</x:v>
      </x:c>
      <x:c r="X240" s="10" t="n"/>
      <x:c r="Y240" s="9" t="n">
        <x:f>Model_Data!A240</x:f>
        <x:v>59</x:v>
      </x:c>
      <x:c r="Z240" s="9" t="n">
        <x:f>0</x:f>
        <x:v>0</x:v>
      </x:c>
      <x:c r="AA240" s="9" t="n">
        <x:f>((SQRT((Inputs!$C$52+Inputs!$C$5)^2+Inputs!$C$52^2-2*(Inputs!$C$52+Inputs!$C$5)*Inputs!$C$52*COS(SQRT((Model_Data!A240)^2+Inputs!$C$6^2)/Inputs!$C$52))-Inputs!$C$5)*1000/Inputs!$C$12)</x:f>
        <x:v>3593.153081902788</x:v>
      </x:c>
      <x:c r="AB240" s="9" t="n">
        <x:f>Model_Data!F240</x:f>
        <x:v>3566.242515677423</x:v>
      </x:c>
    </x:row>
    <x:row r="241">
      <x:c r="A241" s="9" t="n">
        <x:f>Model_Data!A241</x:f>
        <x:v>59.5</x:v>
      </x:c>
      <x:c r="B241" s="9" t="n">
        <x:f>0</x:f>
        <x:v>0</x:v>
      </x:c>
      <x:c r="C241" s="9" t="n">
        <x:f>((SQRT((Inputs!$C$52+Inputs!$C$5)^2+Inputs!$C$52^2-2*(Inputs!$C$52+Inputs!$C$5)*Inputs!$C$52*COS(SQRT((Model_Data!A241)^2+Inputs!$C$6^2)/Inputs!$C$52))-Inputs!$C$5)*1000/Inputs!$C$12)</x:f>
        <x:v>3644.581524995093</x:v>
      </x:c>
      <x:c r="D241" s="9" t="n">
        <x:f>Model_Data!F241</x:f>
        <x:v>3616.8326009242887</x:v>
      </x:c>
      <x:c r="E241" s="9" t="n">
        <x:f>Model_Data!AC241</x:f>
        <x:v>3549.4429509301067</x:v>
      </x:c>
      <x:c r="F241" s="10" t="n"/>
      <x:c r="G241" s="9" t="n">
        <x:f>Model_Data!A241</x:f>
        <x:v>59.5</x:v>
      </x:c>
      <x:c r="H241" s="9" t="n">
        <x:f>Model_Data!Y241</x:f>
        <x:v>168.97901642333537</x:v>
      </x:c>
      <x:c r="I241" s="9" t="n">
        <x:f>Model_Data!Y241</x:f>
        <x:v>168.97901642333537</x:v>
      </x:c>
      <x:c r="J241" s="9" t="n">
        <x:f>Model_Data!X241</x:f>
        <x:v>45.681577079364786</x:v>
      </x:c>
      <x:c r="K241" s="9" t="n">
        <x:f>Model_Data!A241</x:f>
        <x:v>59.5</x:v>
      </x:c>
      <x:c r="L241" s="9" t="n">
        <x:f>Model_Data!Y241</x:f>
        <x:v>168.97901642333537</x:v>
      </x:c>
      <x:c r="M241" s="9" t="n">
        <x:f>Model_Data!X241</x:f>
        <x:v>45.681577079364786</x:v>
      </x:c>
      <x:c r="N241" s="9" t="n">
        <x:f>-(Model_Data!AC241-Model_Data!F241)*Inputs!$C$12</x:f>
        <x:v>119.95357698964402</x:v>
      </x:c>
      <x:c r="O241" s="10" t="n"/>
      <x:c r="P241" s="9" t="n">
        <x:f>Model_Data!A241</x:f>
        <x:v>59.5</x:v>
      </x:c>
      <x:c r="Q241" s="9" t="n">
        <x:f>Model_Data!P241</x:f>
        <x:v>-500.86301291985365</x:v>
      </x:c>
      <x:c r="R241" s="9" t="n">
        <x:f>Model_Data!AM241</x:f>
        <x:v>-523.5958188716722</x:v>
      </x:c>
      <x:c r="S241" s="9" t="n">
        <x:f>Model_Data!Q241</x:f>
        <x:v>-75.20465659457263</x:v>
      </x:c>
      <x:c r="T241" s="9" t="n">
        <x:f>Model_Data!AN241</x:f>
        <x:v>-78.61799082157242</x:v>
      </x:c>
      <x:c r="U241" s="10" t="n"/>
      <x:c r="V241" s="9" t="n">
        <x:f>Model_Data!A241</x:f>
        <x:v>59.5</x:v>
      </x:c>
      <x:c r="W241" s="9" t="n">
        <x:f>Model_Data!B241-Inputs!$C$5</x:f>
        <x:v>3.9336111111111336</x:v>
      </x:c>
      <x:c r="X241" s="10" t="n"/>
      <x:c r="Y241" s="9" t="n">
        <x:f>Model_Data!A241</x:f>
        <x:v>59.5</x:v>
      </x:c>
      <x:c r="Z241" s="9" t="n">
        <x:f>0</x:f>
        <x:v>0</x:v>
      </x:c>
      <x:c r="AA241" s="9" t="n">
        <x:f>((SQRT((Inputs!$C$52+Inputs!$C$5)^2+Inputs!$C$52^2-2*(Inputs!$C$52+Inputs!$C$5)*Inputs!$C$52*COS(SQRT((Model_Data!A241)^2+Inputs!$C$6^2)/Inputs!$C$52))-Inputs!$C$5)*1000/Inputs!$C$12)</x:f>
        <x:v>3644.581524995093</x:v>
      </x:c>
      <x:c r="AB241" s="9" t="n">
        <x:f>Model_Data!F241</x:f>
        <x:v>3616.8326009242887</x:v>
      </x:c>
    </x:row>
    <x:row r="242">
      <x:c r="A242" s="9" t="n">
        <x:f>Model_Data!A242</x:f>
        <x:v>60</x:v>
      </x:c>
      <x:c r="B242" s="9" t="n">
        <x:f>0</x:f>
        <x:v>0</x:v>
      </x:c>
      <x:c r="C242" s="9" t="n">
        <x:f>((SQRT((Inputs!$C$52+Inputs!$C$5)^2+Inputs!$C$52^2-2*(Inputs!$C$52+Inputs!$C$5)*Inputs!$C$52*COS(SQRT((Model_Data!A242)^2+Inputs!$C$6^2)/Inputs!$C$52))-Inputs!$C$5)*1000/Inputs!$C$12)</x:f>
        <x:v>3696.432026065829</x:v>
      </x:c>
      <x:c r="D242" s="9" t="n">
        <x:f>Model_Data!F242</x:f>
        <x:v>3667.825190313778</x:v>
      </x:c>
      <x:c r="E242" s="9" t="n">
        <x:f>Model_Data!AC242</x:f>
        <x:v>3587.006731344652</x:v>
      </x:c>
      <x:c r="F242" s="10" t="n"/>
      <x:c r="G242" s="9" t="n">
        <x:f>Model_Data!A242</x:f>
        <x:v>60</x:v>
      </x:c>
      <x:c r="H242" s="9" t="n">
        <x:f>Model_Data!Y242</x:f>
        <x:v>179.34901119414707</x:v>
      </x:c>
      <x:c r="I242" s="9" t="n">
        <x:f>Model_Data!Y242</x:f>
        <x:v>179.34901119414707</x:v>
      </x:c>
      <x:c r="J242" s="9" t="n">
        <x:f>Model_Data!X242</x:f>
        <x:v>31.89413090916895</x:v>
      </x:c>
      <x:c r="K242" s="9" t="n">
        <x:f>Model_Data!A242</x:f>
        <x:v>60</x:v>
      </x:c>
      <x:c r="L242" s="9" t="n">
        <x:f>Model_Data!Y242</x:f>
        <x:v>179.34901119414707</x:v>
      </x:c>
      <x:c r="M242" s="9" t="n">
        <x:f>Model_Data!X242</x:f>
        <x:v>31.89413090916895</x:v>
      </x:c>
      <x:c r="N242" s="9" t="n">
        <x:f>-(Model_Data!AC242-Model_Data!F242)*Inputs!$C$12</x:f>
        <x:v>143.85685696504413</x:v>
      </x:c>
      <x:c r="O242" s="10" t="n"/>
      <x:c r="P242" s="9" t="n">
        <x:f>Model_Data!A242</x:f>
        <x:v>60</x:v>
      </x:c>
      <x:c r="Q242" s="9" t="n">
        <x:f>Model_Data!P242</x:f>
        <x:v>-502.89823360690207</x:v>
      </x:c>
      <x:c r="R242" s="9" t="n">
        <x:f>Model_Data!AM242</x:f>
        <x:v>-470.52756543034775</x:v>
      </x:c>
      <x:c r="S242" s="9" t="n">
        <x:f>Model_Data!Q242</x:f>
        <x:v>-75.51024528632163</x:v>
      </x:c>
      <x:c r="T242" s="9" t="n">
        <x:f>Model_Data!AN242</x:f>
        <x:v>-70.64978459915132</x:v>
      </x:c>
      <x:c r="U242" s="10" t="n"/>
      <x:c r="V242" s="9" t="n">
        <x:f>Model_Data!A242</x:f>
        <x:v>60</x:v>
      </x:c>
      <x:c r="W242" s="9" t="n">
        <x:f>Model_Data!B242-Inputs!$C$5</x:f>
        <x:v>4</x:v>
      </x:c>
      <x:c r="X242" s="10" t="n"/>
      <x:c r="Y242" s="9" t="n">
        <x:f>Model_Data!A242</x:f>
        <x:v>60</x:v>
      </x:c>
      <x:c r="Z242" s="9" t="n">
        <x:f>0</x:f>
        <x:v>0</x:v>
      </x:c>
      <x:c r="AA242" s="9" t="n">
        <x:f>((SQRT((Inputs!$C$52+Inputs!$C$5)^2+Inputs!$C$52^2-2*(Inputs!$C$52+Inputs!$C$5)*Inputs!$C$52*COS(SQRT((Model_Data!A242)^2+Inputs!$C$6^2)/Inputs!$C$52))-Inputs!$C$5)*1000/Inputs!$C$12)</x:f>
        <x:v>3696.432026065829</x:v>
      </x:c>
      <x:c r="AB242" s="9" t="n">
        <x:f>Model_Data!F242</x:f>
        <x:v>3667.825190313778</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24" style="73" customWidth="1"/>
    <x:col min="3" max="4" width="30" style="73" customWidth="1"/>
    <x:col min="5" max="5" width="32" style="73" customWidth="1"/>
    <x:col min="6" max="6" width="4" style="73" customWidth="1"/>
    <x:col min="7" max="7" width="12" style="73" customWidth="1"/>
    <x:col min="8" max="8" width="30" style="73" customWidth="1"/>
    <x:col min="9" max="10" width="34" style="73" customWidth="1"/>
    <x:col min="11" max="11" width="36" style="73" customWidth="1"/>
    <x:col min="12" max="12" width="4" style="73" customWidth="1"/>
    <x:col min="13" max="13" width="12" style="73" customWidth="1"/>
    <x:col min="14" max="14" width="30" style="73" customWidth="1"/>
    <x:col min="15" max="16" width="34" style="73" customWidth="1"/>
    <x:col min="17" max="17" width="36" style="73" customWidth="1"/>
    <x:col min="18" max="18" width="4" style="73" customWidth="1"/>
    <x:col min="19" max="19" width="12" style="73" customWidth="1"/>
    <x:col min="20" max="20" width="24" style="73" customWidth="1"/>
    <x:col min="21" max="22" width="30" style="73" customWidth="1"/>
    <x:col min="23" max="23" width="32" style="73" customWidth="1"/>
    <x:col min="25" max="25" width="12" style="73" customWidth="1"/>
    <x:col min="26" max="26" width="24" style="73" customWidth="1"/>
    <x:col min="27" max="28" width="30" style="73" customWidth="1"/>
    <x:col min="29" max="29" width="32" style="73" customWidth="1"/>
    <x:col min="31" max="31" width="12" style="73" customWidth="1"/>
    <x:col min="32" max="32" width="30" style="73" customWidth="1"/>
    <x:col min="33" max="34" width="34" style="73" customWidth="1"/>
    <x:col min="35" max="35" width="36" style="73" customWidth="1"/>
    <x:col min="37" max="37" width="12" style="73" customWidth="1"/>
    <x:col min="38" max="38" width="30" style="73" customWidth="1"/>
    <x:col min="39" max="40" width="34" style="73" customWidth="1"/>
    <x:col min="41" max="41" width="36" style="73" customWidth="1"/>
    <x:col min="43" max="43" width="12" style="73" customWidth="1"/>
    <x:col min="44" max="44" width="24" style="73" customWidth="1"/>
    <x:col min="45" max="45" width="32" style="73" customWidth="1"/>
    <x:col min="46" max="47" width="36" style="73" customWidth="1"/>
    <x:col min="48" max="48" width="38" style="73" customWidth="1"/>
    <x:col min="50" max="50" width="12" style="73" customWidth="1"/>
    <x:col min="51" max="51" width="28" style="73" customWidth="1"/>
    <x:col min="52" max="52" width="24" style="73" customWidth="1"/>
    <x:col min="53" max="54" width="30" style="73" customWidth="1"/>
    <x:col min="55" max="55" width="32" style="73" customWidth="1"/>
    <x:col min="57" max="57" width="12" style="73" customWidth="1"/>
    <x:col min="58" max="58" width="28" style="73" customWidth="1"/>
    <x:col min="59" max="59" width="30" style="73" customWidth="1"/>
    <x:col min="60" max="61" width="34" style="73" customWidth="1"/>
    <x:col min="62" max="62" width="36" style="73" customWidth="1"/>
  </x:cols>
  <x:sheetData>
    <x:row r="1" s="73" customFormat="1" ht="26.25" customHeight="1">
      <x:c r="A1" s="2" t="inlineStr">
        <x:is>
          <x:t xml:space="preserve">pass fraction</x:t>
        </x:is>
      </x:c>
      <x:c r="B1" s="2" t="inlineStr">
        <x:is>
          <x:t xml:space="preserve">Current custom inputs altitude (km)</x:t>
        </x:is>
      </x:c>
      <x:c r="C1" s="2" t="inlineStr">
        <x:is>
          <x:t xml:space="preserve">Paper low-altitude 800-km pass altitude (km)</x:t>
        </x:is>
      </x:c>
      <x:c r="D1" s="2" t="inlineStr">
        <x:is>
          <x:t xml:space="preserve">Paper ice-ocean 1600-km pass altitude (km)</x:t>
        </x:is>
      </x:c>
      <x:c r="E1" s="2" t="inlineStr">
        <x:is>
          <x:t xml:space="preserve">Paper operating 25-to-1000-km pass altitude (km)</x:t>
        </x:is>
      </x:c>
      <x:c r="G1" s="2" t="inlineStr">
        <x:is>
          <x:t xml:space="preserve">pass fraction</x:t>
        </x:is>
      </x:c>
      <x:c r="H1" s="2" t="inlineStr">
        <x:is>
          <x:t xml:space="preserve">Current custom inputs apparent depth (m)</x:t>
        </x:is>
      </x:c>
      <x:c r="I1" s="2" t="inlineStr">
        <x:is>
          <x:t xml:space="preserve">Paper low-altitude 800-km pass apparent depth (m)</x:t>
        </x:is>
      </x:c>
      <x:c r="J1" s="2" t="inlineStr">
        <x:is>
          <x:t xml:space="preserve">Paper ice-ocean 1600-km pass apparent depth (m)</x:t>
        </x:is>
      </x:c>
      <x:c r="K1" s="2" t="inlineStr">
        <x:is>
          <x:t xml:space="preserve">Paper operating 25-to-1000-km pass apparent depth (m)</x:t>
        </x:is>
      </x:c>
      <x:c r="M1" s="2" t="inlineStr">
        <x:is>
          <x:t xml:space="preserve">pass fraction</x:t>
        </x:is>
      </x:c>
      <x:c r="N1" s="2" t="inlineStr">
        <x:is>
          <x:t xml:space="preserve">Current custom inputs VHF Doppler (Hz)</x:t>
        </x:is>
      </x:c>
      <x:c r="O1" s="2" t="inlineStr">
        <x:is>
          <x:t xml:space="preserve">Paper low-altitude 800-km pass VHF Doppler (Hz)</x:t>
        </x:is>
      </x:c>
      <x:c r="P1" s="2" t="inlineStr">
        <x:is>
          <x:t xml:space="preserve">Paper ice-ocean 1600-km pass VHF Doppler (Hz)</x:t>
        </x:is>
      </x:c>
      <x:c r="Q1" s="2" t="inlineStr">
        <x:is>
          <x:t xml:space="preserve">Paper operating 25-to-1000-km pass VHF Doppler (Hz)</x:t>
        </x:is>
      </x:c>
      <x:c r="S1" s="2" t="inlineStr">
        <x:is>
          <x:t xml:space="preserve">pass fraction</x:t>
        </x:is>
      </x:c>
      <x:c r="T1" s="2" t="inlineStr">
        <x:is>
          <x:t xml:space="preserve">Current custom inputs x (km)</x:t>
        </x:is>
      </x:c>
      <x:c r="U1" s="2" t="inlineStr">
        <x:is>
          <x:t xml:space="preserve">Paper low-altitude 800-km pass x (km)</x:t>
        </x:is>
      </x:c>
      <x:c r="V1" s="2" t="inlineStr">
        <x:is>
          <x:t xml:space="preserve">Paper ice-ocean 1600-km pass x (km)</x:t>
        </x:is>
      </x:c>
      <x:c r="W1" s="2" t="inlineStr">
        <x:is>
          <x:t xml:space="preserve">Paper operating 25-to-1000-km pass x (km)</x:t>
        </x:is>
      </x:c>
      <x:c r="Y1" s="2" t="inlineStr">
        <x:is>
          <x:t xml:space="preserve">pass fraction</x:t>
        </x:is>
      </x:c>
      <x:c r="Z1" s="2" t="inlineStr">
        <x:is>
          <x:t xml:space="preserve">Current custom inputs raw altitude (km)</x:t>
        </x:is>
      </x:c>
      <x:c r="AA1" s="2" t="inlineStr">
        <x:is>
          <x:t xml:space="preserve">Paper low-altitude 800-km pass raw altitude (km)</x:t>
        </x:is>
      </x:c>
      <x:c r="AB1" s="2" t="inlineStr">
        <x:is>
          <x:t xml:space="preserve">Paper ice-ocean 1600-km pass raw altitude (km)</x:t>
        </x:is>
      </x:c>
      <x:c r="AC1" s="2" t="inlineStr">
        <x:is>
          <x:t xml:space="preserve">Paper operating 25-to-1000-km pass raw altitude (km)</x:t>
        </x:is>
      </x:c>
      <x:c r="AE1" s="2" t="inlineStr">
        <x:is>
          <x:t xml:space="preserve">pass fraction</x:t>
        </x:is>
      </x:c>
      <x:c r="AF1" s="2" t="inlineStr">
        <x:is>
          <x:t xml:space="preserve">Current custom inputs raw apparent depth (m)</x:t>
        </x:is>
      </x:c>
      <x:c r="AG1" s="2" t="inlineStr">
        <x:is>
          <x:t xml:space="preserve">Paper low-altitude 800-km pass raw apparent depth (m)</x:t>
        </x:is>
      </x:c>
      <x:c r="AH1" s="2" t="inlineStr">
        <x:is>
          <x:t xml:space="preserve">Paper ice-ocean 1600-km pass raw apparent depth (m)</x:t>
        </x:is>
      </x:c>
      <x:c r="AI1" s="2" t="inlineStr">
        <x:is>
          <x:t xml:space="preserve">Paper operating 25-to-1000-km pass raw apparent depth (m)</x:t>
        </x:is>
      </x:c>
      <x:c r="AK1" s="2" t="inlineStr">
        <x:is>
          <x:t xml:space="preserve">pass fraction</x:t>
        </x:is>
      </x:c>
      <x:c r="AL1" s="2" t="inlineStr">
        <x:is>
          <x:t xml:space="preserve">Current custom inputs raw VHF Doppler (Hz)</x:t>
        </x:is>
      </x:c>
      <x:c r="AM1" s="2" t="inlineStr">
        <x:is>
          <x:t xml:space="preserve">Paper low-altitude 800-km pass raw VHF Doppler (Hz)</x:t>
        </x:is>
      </x:c>
      <x:c r="AN1" s="2" t="inlineStr">
        <x:is>
          <x:t xml:space="preserve">Paper ice-ocean 1600-km pass raw VHF Doppler (Hz)</x:t>
        </x:is>
      </x:c>
      <x:c r="AO1" s="2" t="inlineStr">
        <x:is>
          <x:t xml:space="preserve">Paper operating 25-to-1000-km pass raw VHF Doppler (Hz)</x:t>
        </x:is>
      </x:c>
      <x:c r="AQ1" s="2" t="inlineStr">
        <x:is>
          <x:t xml:space="preserve">pass fraction</x:t>
        </x:is>
      </x:c>
      <x:c r="AR1" s="2" t="inlineStr">
        <x:is>
          <x:t xml:space="preserve">Reference floor (0 m, not a run)</x:t>
        </x:is>
      </x:c>
      <x:c r="AS1" s="2" t="inlineStr">
        <x:is>
          <x:t xml:space="preserve">Current custom inputs off-nadir surface (m)</x:t>
        </x:is>
      </x:c>
      <x:c r="AT1" s="2" t="inlineStr">
        <x:is>
          <x:t xml:space="preserve">Paper low-altitude 800-km pass off-nadir surface (m)</x:t>
        </x:is>
      </x:c>
      <x:c r="AU1" s="2" t="inlineStr">
        <x:is>
          <x:t xml:space="preserve">Paper ice-ocean 1600-km pass off-nadir surface (m)</x:t>
        </x:is>
      </x:c>
      <x:c r="AV1" s="2" t="inlineStr">
        <x:is>
          <x:t xml:space="preserve">Paper operating 25-to-1000-km pass off-nadir surface (m)</x:t>
        </x:is>
      </x:c>
      <x:c r="AX1" s="2" t="inlineStr">
        <x:is>
          <x:t xml:space="preserve">pass fraction</x:t>
        </x:is>
      </x:c>
      <x:c r="AY1" s="2" t="inlineStr">
        <x:is>
          <x:t xml:space="preserve">Reference surface floor (0 km, not a run)</x:t>
        </x:is>
      </x:c>
      <x:c r="AZ1" s="2" t="inlineStr">
        <x:is>
          <x:t xml:space="preserve">Current custom inputs altitude (km)</x:t>
        </x:is>
      </x:c>
      <x:c r="BA1" s="2" t="inlineStr">
        <x:is>
          <x:t xml:space="preserve">Paper low-altitude 800-km pass altitude (km)</x:t>
        </x:is>
      </x:c>
      <x:c r="BB1" s="2" t="inlineStr">
        <x:is>
          <x:t xml:space="preserve">Paper ice-ocean 1600-km pass altitude (km)</x:t>
        </x:is>
      </x:c>
      <x:c r="BC1" s="2" t="inlineStr">
        <x:is>
          <x:t xml:space="preserve">Paper operating 25-to-1000-km pass altitude (km)</x:t>
        </x:is>
      </x:c>
      <x:c r="BE1" s="2" t="inlineStr">
        <x:is>
          <x:t xml:space="preserve">pass fraction</x:t>
        </x:is>
      </x:c>
      <x:c r="BF1" s="2" t="inlineStr">
        <x:is>
          <x:t xml:space="preserve">Zero-depth reference (0 m, not a run)</x:t>
        </x:is>
      </x:c>
      <x:c r="BG1" s="2" t="inlineStr">
        <x:is>
          <x:t xml:space="preserve">Current custom inputs apparent depth (m)</x:t>
        </x:is>
      </x:c>
      <x:c r="BH1" s="2" t="inlineStr">
        <x:is>
          <x:t xml:space="preserve">Paper low-altitude 800-km pass apparent depth (m)</x:t>
        </x:is>
      </x:c>
      <x:c r="BI1" s="2" t="inlineStr">
        <x:is>
          <x:t xml:space="preserve">Paper ice-ocean 1600-km pass apparent depth (m)</x:t>
        </x:is>
      </x:c>
      <x:c r="BJ1" s="2" t="inlineStr">
        <x:is>
          <x:t xml:space="preserve">Paper operating 25-to-1000-km pass apparent depth (m)</x:t>
        </x:is>
      </x:c>
    </x:row>
    <x:row r="2">
      <x:c r="A2" s="9" t="n">
        <x:f>ROUND(-1+0*2/240,3)</x:f>
        <x:v>-1</x:v>
      </x:c>
      <x:c r="B2" s="9" t="n">
        <x:f>IF(OR(Inputs!$F$6=TRUE,Inputs!$F$6="TRUE",Inputs!$F$6=1),(Inputs!$H$6+Inputs!$L$6*(((Inputs!$I$6+(((A2)+1)/2)*(Inputs!$J$6-Inputs!$I$6)))/Inputs!$K$6)^2),NA())</x:f>
        <x:v>404</x:v>
      </x:c>
      <x:c r="C2" s="9" t="n">
        <x:f>IF(OR(Inputs!$F$7=TRUE,Inputs!$F$7="TRUE",Inputs!$F$7=1),(Inputs!$H$7+Inputs!$L$7*(((Inputs!$I$7+(((A2)+1)/2)*(Inputs!$J$7-Inputs!$I$7)))/Inputs!$K$7)^2),NA())</x:f>
        <x:v>400</x:v>
      </x:c>
      <x:c r="D2" s="9" t="n">
        <x:f>IF(OR(Inputs!$F$8=TRUE,Inputs!$F$8="TRUE",Inputs!$F$8=1),(Inputs!$H$8+Inputs!$L$8*(((Inputs!$I$8+(((A2)+1)/2)*(Inputs!$J$8-Inputs!$I$8)))/Inputs!$K$8)^2),NA())</x:f>
        <x:v>1000</x:v>
      </x:c>
      <x:c r="E2" s="9" t="n">
        <x:f>IF(OR(Inputs!$F$9=TRUE,Inputs!$F$9="TRUE",Inputs!$F$9=1),(Inputs!$H$9+Inputs!$L$9*(((Inputs!$I$9+(((A2)+1)/2)*(Inputs!$J$9-Inputs!$I$9)))/Inputs!$K$9)^2),NA())</x:f>
        <x:v>1000</x:v>
      </x:c>
      <x:c r="F2" s="10" t="n"/>
      <x:c r="G2" s="9" t="n">
        <x:f>A2</x:f>
        <x:v>-1</x:v>
      </x:c>
      <x:c r="H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10" t="n"/>
      <x:c r="M2" s="9" t="n">
        <x:f>A2</x:f>
        <x:v>-1</x:v>
      </x:c>
      <x:c r="N2" s="9"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9"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9"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9"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10" t="n"/>
      <x:c r="S2" s="9" t="n">
        <x:f>A2</x:f>
        <x:v>-1</x:v>
      </x:c>
      <x:c r="T2" s="9" t="n">
        <x:f>(Inputs!$I$6+(((A2)+1)/2)*(Inputs!$J$6-Inputs!$I$6))</x:f>
        <x:v>-60</x:v>
      </x:c>
      <x:c r="U2" s="9" t="n">
        <x:f>(Inputs!$I$7+(((A2)+1)/2)*(Inputs!$J$7-Inputs!$I$7))</x:f>
        <x:v>-400</x:v>
      </x:c>
      <x:c r="V2" s="9" t="n">
        <x:f>(Inputs!$I$8+(((A2)+1)/2)*(Inputs!$J$8-Inputs!$I$8))</x:f>
        <x:v>-800</x:v>
      </x:c>
      <x:c r="W2" s="9" t="n">
        <x:f>(Inputs!$I$9+(((A2)+1)/2)*(Inputs!$J$9-Inputs!$I$9))</x:f>
        <x:v>-800</x:v>
      </x:c>
      <x:c r="X2" s="10" t="n"/>
      <x:c r="Y2" s="9" t="n">
        <x:f>A2</x:f>
        <x:v>-1</x:v>
      </x:c>
      <x:c r="Z2" s="9" t="n">
        <x:f>(Inputs!$H$6+Inputs!$L$6*(((Inputs!$I$6+(((A2)+1)/2)*(Inputs!$J$6-Inputs!$I$6)))/Inputs!$K$6)^2)</x:f>
        <x:v>404</x:v>
      </x:c>
      <x:c r="AA2" s="9" t="n">
        <x:f>(Inputs!$H$7+Inputs!$L$7*(((Inputs!$I$7+(((A2)+1)/2)*(Inputs!$J$7-Inputs!$I$7)))/Inputs!$K$7)^2)</x:f>
        <x:v>400</x:v>
      </x:c>
      <x:c r="AB2" s="9" t="n">
        <x:f>(Inputs!$H$8+Inputs!$L$8*(((Inputs!$I$8+(((A2)+1)/2)*(Inputs!$J$8-Inputs!$I$8)))/Inputs!$K$8)^2)</x:f>
        <x:v>1000</x:v>
      </x:c>
      <x:c r="AC2" s="9" t="n">
        <x:f>(Inputs!$H$9+Inputs!$L$9*(((Inputs!$I$9+(((A2)+1)/2)*(Inputs!$J$9-Inputs!$I$9)))/Inputs!$K$9)^2)</x:f>
        <x:v>1000</x:v>
      </x:c>
      <x:c r="AD2" s="10" t="n"/>
      <x:c r="AE2" s="9" t="n">
        <x:f>A2</x:f>
        <x:v>-1</x:v>
      </x:c>
      <x:c r="AF2" s="9"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9"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9"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9"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10" t="n"/>
      <x:c r="AK2" s="9" t="n">
        <x:f>A2</x:f>
        <x:v>-1</x:v>
      </x:c>
      <x:c r="AL2" s="9"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9"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9"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9"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10" t="n"/>
      <x:c r="AQ2" s="9" t="n">
        <x:f>A2</x:f>
        <x:v>-1</x:v>
      </x:c>
      <x:c r="AR2" s="9" t="n">
        <x:f>0</x:f>
        <x:v>0</x:v>
      </x:c>
      <x:c r="AS2" s="9"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x:f>
        <x:v>119.42638570504096</x:v>
      </x:c>
      <x:c r="AT2" s="9"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x:f>
        <x:v>102.57205251432374</x:v>
      </x:c>
      <x:c r="AU2" s="9"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x:f>
        <x:v>138.02549272579066</x:v>
      </x:c>
      <x:c r="AV2" s="9"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x:f>
        <x:v>138.02549272579066</x:v>
      </x:c>
      <x:c r="AW2" s="10" t="n"/>
      <x:c r="AX2" s="9" t="n">
        <x:f>A2</x:f>
        <x:v>-1</x:v>
      </x:c>
      <x:c r="AY2" s="9" t="n">
        <x:f>0</x:f>
        <x:v>0</x:v>
      </x:c>
      <x:c r="AZ2" s="9" t="n">
        <x:f>IF(OR(Inputs!$F$6=TRUE,Inputs!$F$6="TRUE",Inputs!$F$6=1),(Inputs!$H$6+Inputs!$L$6*(((Inputs!$I$6+(((A2)+1)/2)*(Inputs!$J$6-Inputs!$I$6)))/Inputs!$K$6)^2),NA())</x:f>
        <x:v>404</x:v>
      </x:c>
      <x:c r="BA2" s="9" t="n">
        <x:f>IF(OR(Inputs!$F$7=TRUE,Inputs!$F$7="TRUE",Inputs!$F$7=1),(Inputs!$H$7+Inputs!$L$7*(((Inputs!$I$7+(((A2)+1)/2)*(Inputs!$J$7-Inputs!$I$7)))/Inputs!$K$7)^2),NA())</x:f>
        <x:v>400</x:v>
      </x:c>
      <x:c r="BB2" s="9" t="n">
        <x:f>IF(OR(Inputs!$F$8=TRUE,Inputs!$F$8="TRUE",Inputs!$F$8=1),(Inputs!$H$8+Inputs!$L$8*(((Inputs!$I$8+(((A2)+1)/2)*(Inputs!$J$8-Inputs!$I$8)))/Inputs!$K$8)^2),NA())</x:f>
        <x:v>1000</x:v>
      </x:c>
      <x:c r="BC2" s="9" t="n">
        <x:f>IF(OR(Inputs!$F$9=TRUE,Inputs!$F$9="TRUE",Inputs!$F$9=1),(Inputs!$H$9+Inputs!$L$9*(((Inputs!$I$9+(((A2)+1)/2)*(Inputs!$J$9-Inputs!$I$9)))/Inputs!$K$9)^2),NA())</x:f>
        <x:v>1000</x:v>
      </x:c>
      <x:c r="BD2" s="10" t="n"/>
      <x:c r="BE2" s="9" t="n">
        <x:f>A2</x:f>
        <x:v>-1</x:v>
      </x:c>
      <x:c r="BF2" s="9" t="n">
        <x:f>0</x:f>
        <x:v>0</x:v>
      </x:c>
      <x:c r="BG2" s="9"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9"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9"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9"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9" t="n">
        <x:f>ROUND(-1+1*2/240,3)</x:f>
        <x:v>-0.992</x:v>
      </x:c>
      <x:c r="B3" s="9" t="n">
        <x:f>IF(OR(Inputs!$F$6=TRUE,Inputs!$F$6="TRUE",Inputs!$F$6=1),(Inputs!$H$6+Inputs!$L$6*(((Inputs!$I$6+(((A3)+1)/2)*(Inputs!$J$6-Inputs!$I$6)))/Inputs!$K$6)^2),NA())</x:f>
        <x:v>403.936256</x:v>
      </x:c>
      <x:c r="C3" s="9" t="n">
        <x:f>IF(OR(Inputs!$F$7=TRUE,Inputs!$F$7="TRUE",Inputs!$F$7=1),(Inputs!$H$7+Inputs!$L$7*(((Inputs!$I$7+(((A3)+1)/2)*(Inputs!$J$7-Inputs!$I$7)))/Inputs!$K$7)^2),NA())</x:f>
        <x:v>394.18336</x:v>
      </x:c>
      <x:c r="D3" s="9" t="n">
        <x:f>IF(OR(Inputs!$F$8=TRUE,Inputs!$F$8="TRUE",Inputs!$F$8=1),(Inputs!$H$8+Inputs!$L$8*(((Inputs!$I$8+(((A3)+1)/2)*(Inputs!$J$8-Inputs!$I$8)))/Inputs!$K$8)^2),NA())</x:f>
        <x:v>984.62176</x:v>
      </x:c>
      <x:c r="E3" s="9" t="n">
        <x:f>IF(OR(Inputs!$F$9=TRUE,Inputs!$F$9="TRUE",Inputs!$F$9=1),(Inputs!$H$9+Inputs!$L$9*(((Inputs!$I$9+(((A3)+1)/2)*(Inputs!$J$9-Inputs!$I$9)))/Inputs!$K$9)^2),NA())</x:f>
        <x:v>984.4623999999999</x:v>
      </x:c>
      <x:c r="F3" s="10" t="n"/>
      <x:c r="G3" s="9" t="n">
        <x:f>A3</x:f>
        <x:v>-0.992</x:v>
      </x:c>
      <x:c r="H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10" t="n"/>
      <x:c r="M3" s="9" t="n">
        <x:f>A3</x:f>
        <x:v>-0.992</x:v>
      </x:c>
      <x:c r="N3" s="9"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9"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9"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9"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10" t="n"/>
      <x:c r="S3" s="9" t="n">
        <x:f>A3</x:f>
        <x:v>-0.992</x:v>
      </x:c>
      <x:c r="T3" s="9" t="n">
        <x:f>(Inputs!$I$6+(((A3)+1)/2)*(Inputs!$J$6-Inputs!$I$6))</x:f>
        <x:v>-59.519999999999996</x:v>
      </x:c>
      <x:c r="U3" s="9" t="n">
        <x:f>(Inputs!$I$7+(((A3)+1)/2)*(Inputs!$J$7-Inputs!$I$7))</x:f>
        <x:v>-396.8</x:v>
      </x:c>
      <x:c r="V3" s="9" t="n">
        <x:f>(Inputs!$I$8+(((A3)+1)/2)*(Inputs!$J$8-Inputs!$I$8))</x:f>
        <x:v>-793.6</x:v>
      </x:c>
      <x:c r="W3" s="9" t="n">
        <x:f>(Inputs!$I$9+(((A3)+1)/2)*(Inputs!$J$9-Inputs!$I$9))</x:f>
        <x:v>-793.6</x:v>
      </x:c>
      <x:c r="X3" s="10" t="n"/>
      <x:c r="Y3" s="9" t="n">
        <x:f>A3</x:f>
        <x:v>-0.992</x:v>
      </x:c>
      <x:c r="Z3" s="9" t="n">
        <x:f>(Inputs!$H$6+Inputs!$L$6*(((Inputs!$I$6+(((A3)+1)/2)*(Inputs!$J$6-Inputs!$I$6)))/Inputs!$K$6)^2)</x:f>
        <x:v>403.936256</x:v>
      </x:c>
      <x:c r="AA3" s="9" t="n">
        <x:f>(Inputs!$H$7+Inputs!$L$7*(((Inputs!$I$7+(((A3)+1)/2)*(Inputs!$J$7-Inputs!$I$7)))/Inputs!$K$7)^2)</x:f>
        <x:v>394.18336</x:v>
      </x:c>
      <x:c r="AB3" s="9" t="n">
        <x:f>(Inputs!$H$8+Inputs!$L$8*(((Inputs!$I$8+(((A3)+1)/2)*(Inputs!$J$8-Inputs!$I$8)))/Inputs!$K$8)^2)</x:f>
        <x:v>984.62176</x:v>
      </x:c>
      <x:c r="AC3" s="9" t="n">
        <x:f>(Inputs!$H$9+Inputs!$L$9*(((Inputs!$I$9+(((A3)+1)/2)*(Inputs!$J$9-Inputs!$I$9)))/Inputs!$K$9)^2)</x:f>
        <x:v>984.4623999999999</x:v>
      </x:c>
      <x:c r="AD3" s="10" t="n"/>
      <x:c r="AE3" s="9" t="n">
        <x:f>A3</x:f>
        <x:v>-0.992</x:v>
      </x:c>
      <x:c r="AF3" s="9"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9"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9"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9"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10" t="n"/>
      <x:c r="AK3" s="9" t="n">
        <x:f>A3</x:f>
        <x:v>-0.992</x:v>
      </x:c>
      <x:c r="AL3" s="9"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9"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9"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9"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10" t="n"/>
      <x:c r="AQ3" s="9" t="n">
        <x:f>A3</x:f>
        <x:v>-0.992</x:v>
      </x:c>
      <x:c r="AR3" s="9" t="n">
        <x:f>0</x:f>
        <x:v>0</x:v>
      </x:c>
      <x:c r="AS3" s="9"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x:f>
        <x:v>121.3302635911948</x:v>
      </x:c>
      <x:c r="AT3" s="9"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x:f>
        <x:v>171.18494655332523</x:v>
      </x:c>
      <x:c r="AU3" s="9"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x:f>
        <x:v>85.31373629330612</x:v>
      </x:c>
      <x:c r="AV3" s="9"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x:f>
        <x:v>85.31373629330612</x:v>
      </x:c>
      <x:c r="AW3" s="10" t="n"/>
      <x:c r="AX3" s="9" t="n">
        <x:f>A3</x:f>
        <x:v>-0.992</x:v>
      </x:c>
      <x:c r="AY3" s="9" t="n">
        <x:f>0</x:f>
        <x:v>0</x:v>
      </x:c>
      <x:c r="AZ3" s="9" t="n">
        <x:f>IF(OR(Inputs!$F$6=TRUE,Inputs!$F$6="TRUE",Inputs!$F$6=1),(Inputs!$H$6+Inputs!$L$6*(((Inputs!$I$6+(((A3)+1)/2)*(Inputs!$J$6-Inputs!$I$6)))/Inputs!$K$6)^2),NA())</x:f>
        <x:v>403.936256</x:v>
      </x:c>
      <x:c r="BA3" s="9" t="n">
        <x:f>IF(OR(Inputs!$F$7=TRUE,Inputs!$F$7="TRUE",Inputs!$F$7=1),(Inputs!$H$7+Inputs!$L$7*(((Inputs!$I$7+(((A3)+1)/2)*(Inputs!$J$7-Inputs!$I$7)))/Inputs!$K$7)^2),NA())</x:f>
        <x:v>394.18336</x:v>
      </x:c>
      <x:c r="BB3" s="9" t="n">
        <x:f>IF(OR(Inputs!$F$8=TRUE,Inputs!$F$8="TRUE",Inputs!$F$8=1),(Inputs!$H$8+Inputs!$L$8*(((Inputs!$I$8+(((A3)+1)/2)*(Inputs!$J$8-Inputs!$I$8)))/Inputs!$K$8)^2),NA())</x:f>
        <x:v>984.62176</x:v>
      </x:c>
      <x:c r="BC3" s="9" t="n">
        <x:f>IF(OR(Inputs!$F$9=TRUE,Inputs!$F$9="TRUE",Inputs!$F$9=1),(Inputs!$H$9+Inputs!$L$9*(((Inputs!$I$9+(((A3)+1)/2)*(Inputs!$J$9-Inputs!$I$9)))/Inputs!$K$9)^2),NA())</x:f>
        <x:v>984.4623999999999</x:v>
      </x:c>
      <x:c r="BD3" s="10" t="n"/>
      <x:c r="BE3" s="9" t="n">
        <x:f>A3</x:f>
        <x:v>-0.992</x:v>
      </x:c>
      <x:c r="BF3" s="9" t="n">
        <x:f>0</x:f>
        <x:v>0</x:v>
      </x:c>
      <x:c r="BG3" s="9"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9"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9"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9"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9" t="n">
        <x:f>ROUND(-1+2*2/240,3)</x:f>
        <x:v>-0.983</x:v>
      </x:c>
      <x:c r="B4" s="9" t="n">
        <x:f>IF(OR(Inputs!$F$6=TRUE,Inputs!$F$6="TRUE",Inputs!$F$6=1),(Inputs!$H$6+Inputs!$L$6*(((Inputs!$I$6+(((A4)+1)/2)*(Inputs!$J$6-Inputs!$I$6)))/Inputs!$K$6)^2),NA())</x:f>
        <x:v>403.865156</x:v>
      </x:c>
      <x:c r="C4" s="9" t="n">
        <x:f>IF(OR(Inputs!$F$7=TRUE,Inputs!$F$7="TRUE",Inputs!$F$7=1),(Inputs!$H$7+Inputs!$L$7*(((Inputs!$I$7+(((A4)+1)/2)*(Inputs!$J$7-Inputs!$I$7)))/Inputs!$K$7)^2),NA())</x:f>
        <x:v>387.69548499999996</x:v>
      </x:c>
      <x:c r="D4" s="9" t="n">
        <x:f>IF(OR(Inputs!$F$8=TRUE,Inputs!$F$8="TRUE",Inputs!$F$8=1),(Inputs!$H$8+Inputs!$L$8*(((Inputs!$I$8+(((A4)+1)/2)*(Inputs!$J$8-Inputs!$I$8)))/Inputs!$K$8)^2),NA())</x:f>
        <x:v>967.468885</x:v>
      </x:c>
      <x:c r="E4" s="9" t="n">
        <x:f>IF(OR(Inputs!$F$9=TRUE,Inputs!$F$9="TRUE",Inputs!$F$9=1),(Inputs!$H$9+Inputs!$L$9*(((Inputs!$I$9+(((A4)+1)/2)*(Inputs!$J$9-Inputs!$I$9)))/Inputs!$K$9)^2),NA())</x:f>
        <x:v>967.131775</x:v>
      </x:c>
      <x:c r="F4" s="10" t="n"/>
      <x:c r="G4" s="9" t="n">
        <x:f>A4</x:f>
        <x:v>-0.983</x:v>
      </x:c>
      <x:c r="H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10" t="n"/>
      <x:c r="M4" s="9" t="n">
        <x:f>A4</x:f>
        <x:v>-0.983</x:v>
      </x:c>
      <x:c r="N4" s="9"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9"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9"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9"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10" t="n"/>
      <x:c r="S4" s="9" t="n">
        <x:f>A4</x:f>
        <x:v>-0.983</x:v>
      </x:c>
      <x:c r="T4" s="9" t="n">
        <x:f>(Inputs!$I$6+(((A4)+1)/2)*(Inputs!$J$6-Inputs!$I$6))</x:f>
        <x:v>-58.98</x:v>
      </x:c>
      <x:c r="U4" s="9" t="n">
        <x:f>(Inputs!$I$7+(((A4)+1)/2)*(Inputs!$J$7-Inputs!$I$7))</x:f>
        <x:v>-393.2</x:v>
      </x:c>
      <x:c r="V4" s="9" t="n">
        <x:f>(Inputs!$I$8+(((A4)+1)/2)*(Inputs!$J$8-Inputs!$I$8))</x:f>
        <x:v>-786.4</x:v>
      </x:c>
      <x:c r="W4" s="9" t="n">
        <x:f>(Inputs!$I$9+(((A4)+1)/2)*(Inputs!$J$9-Inputs!$I$9))</x:f>
        <x:v>-786.4</x:v>
      </x:c>
      <x:c r="X4" s="10" t="n"/>
      <x:c r="Y4" s="9" t="n">
        <x:f>A4</x:f>
        <x:v>-0.983</x:v>
      </x:c>
      <x:c r="Z4" s="9" t="n">
        <x:f>(Inputs!$H$6+Inputs!$L$6*(((Inputs!$I$6+(((A4)+1)/2)*(Inputs!$J$6-Inputs!$I$6)))/Inputs!$K$6)^2)</x:f>
        <x:v>403.865156</x:v>
      </x:c>
      <x:c r="AA4" s="9" t="n">
        <x:f>(Inputs!$H$7+Inputs!$L$7*(((Inputs!$I$7+(((A4)+1)/2)*(Inputs!$J$7-Inputs!$I$7)))/Inputs!$K$7)^2)</x:f>
        <x:v>387.69548499999996</x:v>
      </x:c>
      <x:c r="AB4" s="9" t="n">
        <x:f>(Inputs!$H$8+Inputs!$L$8*(((Inputs!$I$8+(((A4)+1)/2)*(Inputs!$J$8-Inputs!$I$8)))/Inputs!$K$8)^2)</x:f>
        <x:v>967.468885</x:v>
      </x:c>
      <x:c r="AC4" s="9" t="n">
        <x:f>(Inputs!$H$9+Inputs!$L$9*(((Inputs!$I$9+(((A4)+1)/2)*(Inputs!$J$9-Inputs!$I$9)))/Inputs!$K$9)^2)</x:f>
        <x:v>967.131775</x:v>
      </x:c>
      <x:c r="AD4" s="10" t="n"/>
      <x:c r="AE4" s="9" t="n">
        <x:f>A4</x:f>
        <x:v>-0.983</x:v>
      </x:c>
      <x:c r="AF4" s="9"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9"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9"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9"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10" t="n"/>
      <x:c r="AK4" s="9" t="n">
        <x:f>A4</x:f>
        <x:v>-0.983</x:v>
      </x:c>
      <x:c r="AL4" s="9"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9"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9"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9"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10" t="n"/>
      <x:c r="AQ4" s="9" t="n">
        <x:f>A4</x:f>
        <x:v>-0.983</x:v>
      </x:c>
      <x:c r="AR4" s="9" t="n">
        <x:f>0</x:f>
        <x:v>0</x:v>
      </x:c>
      <x:c r="AS4" s="9"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x:f>
        <x:v>115.22295693608717</x:v>
      </x:c>
      <x:c r="AT4" s="9"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x:f>
        <x:v>223.6690547209138</x:v>
      </x:c>
      <x:c r="AU4" s="9"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x:f>
        <x:v>197.26633368734042</x:v>
      </x:c>
      <x:c r="AV4" s="9"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x:f>
        <x:v>197.26633368734042</x:v>
      </x:c>
      <x:c r="AW4" s="10" t="n"/>
      <x:c r="AX4" s="9" t="n">
        <x:f>A4</x:f>
        <x:v>-0.983</x:v>
      </x:c>
      <x:c r="AY4" s="9" t="n">
        <x:f>0</x:f>
        <x:v>0</x:v>
      </x:c>
      <x:c r="AZ4" s="9" t="n">
        <x:f>IF(OR(Inputs!$F$6=TRUE,Inputs!$F$6="TRUE",Inputs!$F$6=1),(Inputs!$H$6+Inputs!$L$6*(((Inputs!$I$6+(((A4)+1)/2)*(Inputs!$J$6-Inputs!$I$6)))/Inputs!$K$6)^2),NA())</x:f>
        <x:v>403.865156</x:v>
      </x:c>
      <x:c r="BA4" s="9" t="n">
        <x:f>IF(OR(Inputs!$F$7=TRUE,Inputs!$F$7="TRUE",Inputs!$F$7=1),(Inputs!$H$7+Inputs!$L$7*(((Inputs!$I$7+(((A4)+1)/2)*(Inputs!$J$7-Inputs!$I$7)))/Inputs!$K$7)^2),NA())</x:f>
        <x:v>387.69548499999996</x:v>
      </x:c>
      <x:c r="BB4" s="9" t="n">
        <x:f>IF(OR(Inputs!$F$8=TRUE,Inputs!$F$8="TRUE",Inputs!$F$8=1),(Inputs!$H$8+Inputs!$L$8*(((Inputs!$I$8+(((A4)+1)/2)*(Inputs!$J$8-Inputs!$I$8)))/Inputs!$K$8)^2),NA())</x:f>
        <x:v>967.468885</x:v>
      </x:c>
      <x:c r="BC4" s="9" t="n">
        <x:f>IF(OR(Inputs!$F$9=TRUE,Inputs!$F$9="TRUE",Inputs!$F$9=1),(Inputs!$H$9+Inputs!$L$9*(((Inputs!$I$9+(((A4)+1)/2)*(Inputs!$J$9-Inputs!$I$9)))/Inputs!$K$9)^2),NA())</x:f>
        <x:v>967.131775</x:v>
      </x:c>
      <x:c r="BD4" s="10" t="n"/>
      <x:c r="BE4" s="9" t="n">
        <x:f>A4</x:f>
        <x:v>-0.983</x:v>
      </x:c>
      <x:c r="BF4" s="9" t="n">
        <x:f>0</x:f>
        <x:v>0</x:v>
      </x:c>
      <x:c r="BG4" s="9"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9"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9"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9"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9" t="n">
        <x:f>ROUND(-1+3*2/240,3)</x:f>
        <x:v>-0.975</x:v>
      </x:c>
      <x:c r="B5" s="9" t="n">
        <x:f>IF(OR(Inputs!$F$6=TRUE,Inputs!$F$6="TRUE",Inputs!$F$6=1),(Inputs!$H$6+Inputs!$L$6*(((Inputs!$I$6+(((A5)+1)/2)*(Inputs!$J$6-Inputs!$I$6)))/Inputs!$K$6)^2),NA())</x:f>
        <x:v>403.8025</x:v>
      </x:c>
      <x:c r="C5" s="9" t="n">
        <x:f>IF(OR(Inputs!$F$7=TRUE,Inputs!$F$7="TRUE",Inputs!$F$7=1),(Inputs!$H$7+Inputs!$L$7*(((Inputs!$I$7+(((A5)+1)/2)*(Inputs!$J$7-Inputs!$I$7)))/Inputs!$K$7)^2),NA())</x:f>
        <x:v>381.978125</x:v>
      </x:c>
      <x:c r="D5" s="9" t="n">
        <x:f>IF(OR(Inputs!$F$8=TRUE,Inputs!$F$8="TRUE",Inputs!$F$8=1),(Inputs!$H$8+Inputs!$L$8*(((Inputs!$I$8+(((A5)+1)/2)*(Inputs!$J$8-Inputs!$I$8)))/Inputs!$K$8)^2),NA())</x:f>
        <x:v>952.353125</x:v>
      </x:c>
      <x:c r="E5" s="9" t="n">
        <x:f>IF(OR(Inputs!$F$9=TRUE,Inputs!$F$9="TRUE",Inputs!$F$9=1),(Inputs!$H$9+Inputs!$L$9*(((Inputs!$I$9+(((A5)+1)/2)*(Inputs!$J$9-Inputs!$I$9)))/Inputs!$K$9)^2),NA())</x:f>
        <x:v>951.859375</x:v>
      </x:c>
      <x:c r="F5" s="10" t="n"/>
      <x:c r="G5" s="9" t="n">
        <x:f>A5</x:f>
        <x:v>-0.975</x:v>
      </x:c>
      <x:c r="H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10" t="n"/>
      <x:c r="M5" s="9" t="n">
        <x:f>A5</x:f>
        <x:v>-0.975</x:v>
      </x:c>
      <x:c r="N5" s="9"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9"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9"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9"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10" t="n"/>
      <x:c r="S5" s="9" t="n">
        <x:f>A5</x:f>
        <x:v>-0.975</x:v>
      </x:c>
      <x:c r="T5" s="9" t="n">
        <x:f>(Inputs!$I$6+(((A5)+1)/2)*(Inputs!$J$6-Inputs!$I$6))</x:f>
        <x:v>-58.5</x:v>
      </x:c>
      <x:c r="U5" s="9" t="n">
        <x:f>(Inputs!$I$7+(((A5)+1)/2)*(Inputs!$J$7-Inputs!$I$7))</x:f>
        <x:v>-390</x:v>
      </x:c>
      <x:c r="V5" s="9" t="n">
        <x:f>(Inputs!$I$8+(((A5)+1)/2)*(Inputs!$J$8-Inputs!$I$8))</x:f>
        <x:v>-780</x:v>
      </x:c>
      <x:c r="W5" s="9" t="n">
        <x:f>(Inputs!$I$9+(((A5)+1)/2)*(Inputs!$J$9-Inputs!$I$9))</x:f>
        <x:v>-780</x:v>
      </x:c>
      <x:c r="X5" s="10" t="n"/>
      <x:c r="Y5" s="9" t="n">
        <x:f>A5</x:f>
        <x:v>-0.975</x:v>
      </x:c>
      <x:c r="Z5" s="9" t="n">
        <x:f>(Inputs!$H$6+Inputs!$L$6*(((Inputs!$I$6+(((A5)+1)/2)*(Inputs!$J$6-Inputs!$I$6)))/Inputs!$K$6)^2)</x:f>
        <x:v>403.8025</x:v>
      </x:c>
      <x:c r="AA5" s="9" t="n">
        <x:f>(Inputs!$H$7+Inputs!$L$7*(((Inputs!$I$7+(((A5)+1)/2)*(Inputs!$J$7-Inputs!$I$7)))/Inputs!$K$7)^2)</x:f>
        <x:v>381.978125</x:v>
      </x:c>
      <x:c r="AB5" s="9" t="n">
        <x:f>(Inputs!$H$8+Inputs!$L$8*(((Inputs!$I$8+(((A5)+1)/2)*(Inputs!$J$8-Inputs!$I$8)))/Inputs!$K$8)^2)</x:f>
        <x:v>952.353125</x:v>
      </x:c>
      <x:c r="AC5" s="9" t="n">
        <x:f>(Inputs!$H$9+Inputs!$L$9*(((Inputs!$I$9+(((A5)+1)/2)*(Inputs!$J$9-Inputs!$I$9)))/Inputs!$K$9)^2)</x:f>
        <x:v>951.859375</x:v>
      </x:c>
      <x:c r="AD5" s="10" t="n"/>
      <x:c r="AE5" s="9" t="n">
        <x:f>A5</x:f>
        <x:v>-0.975</x:v>
      </x:c>
      <x:c r="AF5" s="9"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9"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9"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9"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10" t="n"/>
      <x:c r="AK5" s="9" t="n">
        <x:f>A5</x:f>
        <x:v>-0.975</x:v>
      </x:c>
      <x:c r="AL5" s="9"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9"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9"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9"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10" t="n"/>
      <x:c r="AQ5" s="9" t="n">
        <x:f>A5</x:f>
        <x:v>-0.975</x:v>
      </x:c>
      <x:c r="AR5" s="9" t="n">
        <x:f>0</x:f>
        <x:v>0</x:v>
      </x:c>
      <x:c r="AS5" s="9"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x:f>
        <x:v>134.3858310571132</x:v>
      </x:c>
      <x:c r="AT5" s="9"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x:f>
        <x:v>193.71930081622654</x:v>
      </x:c>
      <x:c r="AU5" s="9"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x:f>
        <x:v>50.34954914201879</x:v>
      </x:c>
      <x:c r="AV5" s="9"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x:f>
        <x:v>50.34954914201879</x:v>
      </x:c>
      <x:c r="AW5" s="10" t="n"/>
      <x:c r="AX5" s="9" t="n">
        <x:f>A5</x:f>
        <x:v>-0.975</x:v>
      </x:c>
      <x:c r="AY5" s="9" t="n">
        <x:f>0</x:f>
        <x:v>0</x:v>
      </x:c>
      <x:c r="AZ5" s="9" t="n">
        <x:f>IF(OR(Inputs!$F$6=TRUE,Inputs!$F$6="TRUE",Inputs!$F$6=1),(Inputs!$H$6+Inputs!$L$6*(((Inputs!$I$6+(((A5)+1)/2)*(Inputs!$J$6-Inputs!$I$6)))/Inputs!$K$6)^2),NA())</x:f>
        <x:v>403.8025</x:v>
      </x:c>
      <x:c r="BA5" s="9" t="n">
        <x:f>IF(OR(Inputs!$F$7=TRUE,Inputs!$F$7="TRUE",Inputs!$F$7=1),(Inputs!$H$7+Inputs!$L$7*(((Inputs!$I$7+(((A5)+1)/2)*(Inputs!$J$7-Inputs!$I$7)))/Inputs!$K$7)^2),NA())</x:f>
        <x:v>381.978125</x:v>
      </x:c>
      <x:c r="BB5" s="9" t="n">
        <x:f>IF(OR(Inputs!$F$8=TRUE,Inputs!$F$8="TRUE",Inputs!$F$8=1),(Inputs!$H$8+Inputs!$L$8*(((Inputs!$I$8+(((A5)+1)/2)*(Inputs!$J$8-Inputs!$I$8)))/Inputs!$K$8)^2),NA())</x:f>
        <x:v>952.353125</x:v>
      </x:c>
      <x:c r="BC5" s="9" t="n">
        <x:f>IF(OR(Inputs!$F$9=TRUE,Inputs!$F$9="TRUE",Inputs!$F$9=1),(Inputs!$H$9+Inputs!$L$9*(((Inputs!$I$9+(((A5)+1)/2)*(Inputs!$J$9-Inputs!$I$9)))/Inputs!$K$9)^2),NA())</x:f>
        <x:v>951.859375</x:v>
      </x:c>
      <x:c r="BD5" s="10" t="n"/>
      <x:c r="BE5" s="9" t="n">
        <x:f>A5</x:f>
        <x:v>-0.975</x:v>
      </x:c>
      <x:c r="BF5" s="9" t="n">
        <x:f>0</x:f>
        <x:v>0</x:v>
      </x:c>
      <x:c r="BG5" s="9"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9"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9"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9"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9" t="n">
        <x:f>ROUND(-1+4*2/240,3)</x:f>
        <x:v>-0.967</x:v>
      </x:c>
      <x:c r="B6" s="9" t="n">
        <x:f>IF(OR(Inputs!$F$6=TRUE,Inputs!$F$6="TRUE",Inputs!$F$6=1),(Inputs!$H$6+Inputs!$L$6*(((Inputs!$I$6+(((A6)+1)/2)*(Inputs!$J$6-Inputs!$I$6)))/Inputs!$K$6)^2),NA())</x:f>
        <x:v>403.740356</x:v>
      </x:c>
      <x:c r="C6" s="9" t="n">
        <x:f>IF(OR(Inputs!$F$7=TRUE,Inputs!$F$7="TRUE",Inputs!$F$7=1),(Inputs!$H$7+Inputs!$L$7*(((Inputs!$I$7+(((A6)+1)/2)*(Inputs!$J$7-Inputs!$I$7)))/Inputs!$K$7)^2),NA())</x:f>
        <x:v>376.30748500000004</x:v>
      </x:c>
      <x:c r="D6" s="9" t="n">
        <x:f>IF(OR(Inputs!$F$8=TRUE,Inputs!$F$8="TRUE",Inputs!$F$8=1),(Inputs!$H$8+Inputs!$L$8*(((Inputs!$I$8+(((A6)+1)/2)*(Inputs!$J$8-Inputs!$I$8)))/Inputs!$K$8)^2),NA())</x:f>
        <x:v>937.3608850000002</x:v>
      </x:c>
      <x:c r="E6" s="9" t="n">
        <x:f>IF(OR(Inputs!$F$9=TRUE,Inputs!$F$9="TRUE",Inputs!$F$9=1),(Inputs!$H$9+Inputs!$L$9*(((Inputs!$I$9+(((A6)+1)/2)*(Inputs!$J$9-Inputs!$I$9)))/Inputs!$K$9)^2),NA())</x:f>
        <x:v>936.7117750000002</x:v>
      </x:c>
      <x:c r="F6" s="10" t="n"/>
      <x:c r="G6" s="9" t="n">
        <x:f>A6</x:f>
        <x:v>-0.967</x:v>
      </x:c>
      <x:c r="H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10" t="n"/>
      <x:c r="M6" s="9" t="n">
        <x:f>A6</x:f>
        <x:v>-0.967</x:v>
      </x:c>
      <x:c r="N6" s="9"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9"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9"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9"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10" t="n"/>
      <x:c r="S6" s="9" t="n">
        <x:f>A6</x:f>
        <x:v>-0.967</x:v>
      </x:c>
      <x:c r="T6" s="9" t="n">
        <x:f>(Inputs!$I$6+(((A6)+1)/2)*(Inputs!$J$6-Inputs!$I$6))</x:f>
        <x:v>-58.019999999999996</x:v>
      </x:c>
      <x:c r="U6" s="9" t="n">
        <x:f>(Inputs!$I$7+(((A6)+1)/2)*(Inputs!$J$7-Inputs!$I$7))</x:f>
        <x:v>-386.8</x:v>
      </x:c>
      <x:c r="V6" s="9" t="n">
        <x:f>(Inputs!$I$8+(((A6)+1)/2)*(Inputs!$J$8-Inputs!$I$8))</x:f>
        <x:v>-773.6</x:v>
      </x:c>
      <x:c r="W6" s="9" t="n">
        <x:f>(Inputs!$I$9+(((A6)+1)/2)*(Inputs!$J$9-Inputs!$I$9))</x:f>
        <x:v>-773.6</x:v>
      </x:c>
      <x:c r="X6" s="10" t="n"/>
      <x:c r="Y6" s="9" t="n">
        <x:f>A6</x:f>
        <x:v>-0.967</x:v>
      </x:c>
      <x:c r="Z6" s="9" t="n">
        <x:f>(Inputs!$H$6+Inputs!$L$6*(((Inputs!$I$6+(((A6)+1)/2)*(Inputs!$J$6-Inputs!$I$6)))/Inputs!$K$6)^2)</x:f>
        <x:v>403.740356</x:v>
      </x:c>
      <x:c r="AA6" s="9" t="n">
        <x:f>(Inputs!$H$7+Inputs!$L$7*(((Inputs!$I$7+(((A6)+1)/2)*(Inputs!$J$7-Inputs!$I$7)))/Inputs!$K$7)^2)</x:f>
        <x:v>376.30748500000004</x:v>
      </x:c>
      <x:c r="AB6" s="9" t="n">
        <x:f>(Inputs!$H$8+Inputs!$L$8*(((Inputs!$I$8+(((A6)+1)/2)*(Inputs!$J$8-Inputs!$I$8)))/Inputs!$K$8)^2)</x:f>
        <x:v>937.3608850000002</x:v>
      </x:c>
      <x:c r="AC6" s="9" t="n">
        <x:f>(Inputs!$H$9+Inputs!$L$9*(((Inputs!$I$9+(((A6)+1)/2)*(Inputs!$J$9-Inputs!$I$9)))/Inputs!$K$9)^2)</x:f>
        <x:v>936.7117750000002</x:v>
      </x:c>
      <x:c r="AD6" s="10" t="n"/>
      <x:c r="AE6" s="9" t="n">
        <x:f>A6</x:f>
        <x:v>-0.967</x:v>
      </x:c>
      <x:c r="AF6" s="9"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9"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9"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9"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10" t="n"/>
      <x:c r="AK6" s="9" t="n">
        <x:f>A6</x:f>
        <x:v>-0.967</x:v>
      </x:c>
      <x:c r="AL6" s="9"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9"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9"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9"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10" t="n"/>
      <x:c r="AQ6" s="9" t="n">
        <x:f>A6</x:f>
        <x:v>-0.967</x:v>
      </x:c>
      <x:c r="AR6" s="9" t="n">
        <x:f>0</x:f>
        <x:v>0</x:v>
      </x:c>
      <x:c r="AS6" s="9"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x:f>
        <x:v>119.11723027453934</x:v>
      </x:c>
      <x:c r="AT6" s="9"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x:f>
        <x:v>130.05484305926754</x:v>
      </x:c>
      <x:c r="AU6" s="9"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x:f>
        <x:v>148.96140786508633</x:v>
      </x:c>
      <x:c r="AV6" s="9"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x:f>
        <x:v>148.96140786508633</x:v>
      </x:c>
      <x:c r="AW6" s="10" t="n"/>
      <x:c r="AX6" s="9" t="n">
        <x:f>A6</x:f>
        <x:v>-0.967</x:v>
      </x:c>
      <x:c r="AY6" s="9" t="n">
        <x:f>0</x:f>
        <x:v>0</x:v>
      </x:c>
      <x:c r="AZ6" s="9" t="n">
        <x:f>IF(OR(Inputs!$F$6=TRUE,Inputs!$F$6="TRUE",Inputs!$F$6=1),(Inputs!$H$6+Inputs!$L$6*(((Inputs!$I$6+(((A6)+1)/2)*(Inputs!$J$6-Inputs!$I$6)))/Inputs!$K$6)^2),NA())</x:f>
        <x:v>403.740356</x:v>
      </x:c>
      <x:c r="BA6" s="9" t="n">
        <x:f>IF(OR(Inputs!$F$7=TRUE,Inputs!$F$7="TRUE",Inputs!$F$7=1),(Inputs!$H$7+Inputs!$L$7*(((Inputs!$I$7+(((A6)+1)/2)*(Inputs!$J$7-Inputs!$I$7)))/Inputs!$K$7)^2),NA())</x:f>
        <x:v>376.30748500000004</x:v>
      </x:c>
      <x:c r="BB6" s="9" t="n">
        <x:f>IF(OR(Inputs!$F$8=TRUE,Inputs!$F$8="TRUE",Inputs!$F$8=1),(Inputs!$H$8+Inputs!$L$8*(((Inputs!$I$8+(((A6)+1)/2)*(Inputs!$J$8-Inputs!$I$8)))/Inputs!$K$8)^2),NA())</x:f>
        <x:v>937.3608850000002</x:v>
      </x:c>
      <x:c r="BC6" s="9" t="n">
        <x:f>IF(OR(Inputs!$F$9=TRUE,Inputs!$F$9="TRUE",Inputs!$F$9=1),(Inputs!$H$9+Inputs!$L$9*(((Inputs!$I$9+(((A6)+1)/2)*(Inputs!$J$9-Inputs!$I$9)))/Inputs!$K$9)^2),NA())</x:f>
        <x:v>936.7117750000002</x:v>
      </x:c>
      <x:c r="BD6" s="10" t="n"/>
      <x:c r="BE6" s="9" t="n">
        <x:f>A6</x:f>
        <x:v>-0.967</x:v>
      </x:c>
      <x:c r="BF6" s="9" t="n">
        <x:f>0</x:f>
        <x:v>0</x:v>
      </x:c>
      <x:c r="BG6" s="9"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9"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9"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9"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9" t="n">
        <x:f>ROUND(-1+5*2/240,3)</x:f>
        <x:v>-0.958</x:v>
      </x:c>
      <x:c r="B7" s="9" t="n">
        <x:f>IF(OR(Inputs!$F$6=TRUE,Inputs!$F$6="TRUE",Inputs!$F$6=1),(Inputs!$H$6+Inputs!$L$6*(((Inputs!$I$6+(((A7)+1)/2)*(Inputs!$J$6-Inputs!$I$6)))/Inputs!$K$6)^2),NA())</x:f>
        <x:v>403.671056</x:v>
      </x:c>
      <x:c r="C7" s="9" t="n">
        <x:f>IF(OR(Inputs!$F$7=TRUE,Inputs!$F$7="TRUE",Inputs!$F$7=1),(Inputs!$H$7+Inputs!$L$7*(((Inputs!$I$7+(((A7)+1)/2)*(Inputs!$J$7-Inputs!$I$7)))/Inputs!$K$7)^2),NA())</x:f>
        <x:v>369.98386</x:v>
      </x:c>
      <x:c r="D7" s="9" t="n">
        <x:f>IF(OR(Inputs!$F$8=TRUE,Inputs!$F$8="TRUE",Inputs!$F$8=1),(Inputs!$H$8+Inputs!$L$8*(((Inputs!$I$8+(((A7)+1)/2)*(Inputs!$J$8-Inputs!$I$8)))/Inputs!$K$8)^2),NA())</x:f>
        <x:v>920.64226</x:v>
      </x:c>
      <x:c r="E7" s="9" t="n">
        <x:f>IF(OR(Inputs!$F$9=TRUE,Inputs!$F$9="TRUE",Inputs!$F$9=1),(Inputs!$H$9+Inputs!$L$9*(((Inputs!$I$9+(((A7)+1)/2)*(Inputs!$J$9-Inputs!$I$9)))/Inputs!$K$9)^2),NA())</x:f>
        <x:v>919.8199</x:v>
      </x:c>
      <x:c r="F7" s="10" t="n"/>
      <x:c r="G7" s="9" t="n">
        <x:f>A7</x:f>
        <x:v>-0.958</x:v>
      </x:c>
      <x:c r="H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10" t="n"/>
      <x:c r="M7" s="9" t="n">
        <x:f>A7</x:f>
        <x:v>-0.958</x:v>
      </x:c>
      <x:c r="N7" s="9"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9"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9"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9"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10" t="n"/>
      <x:c r="S7" s="9" t="n">
        <x:f>A7</x:f>
        <x:v>-0.958</x:v>
      </x:c>
      <x:c r="T7" s="9" t="n">
        <x:f>(Inputs!$I$6+(((A7)+1)/2)*(Inputs!$J$6-Inputs!$I$6))</x:f>
        <x:v>-57.48</x:v>
      </x:c>
      <x:c r="U7" s="9" t="n">
        <x:f>(Inputs!$I$7+(((A7)+1)/2)*(Inputs!$J$7-Inputs!$I$7))</x:f>
        <x:v>-383.2</x:v>
      </x:c>
      <x:c r="V7" s="9" t="n">
        <x:f>(Inputs!$I$8+(((A7)+1)/2)*(Inputs!$J$8-Inputs!$I$8))</x:f>
        <x:v>-766.4</x:v>
      </x:c>
      <x:c r="W7" s="9" t="n">
        <x:f>(Inputs!$I$9+(((A7)+1)/2)*(Inputs!$J$9-Inputs!$I$9))</x:f>
        <x:v>-766.4</x:v>
      </x:c>
      <x:c r="X7" s="10" t="n"/>
      <x:c r="Y7" s="9" t="n">
        <x:f>A7</x:f>
        <x:v>-0.958</x:v>
      </x:c>
      <x:c r="Z7" s="9" t="n">
        <x:f>(Inputs!$H$6+Inputs!$L$6*(((Inputs!$I$6+(((A7)+1)/2)*(Inputs!$J$6-Inputs!$I$6)))/Inputs!$K$6)^2)</x:f>
        <x:v>403.671056</x:v>
      </x:c>
      <x:c r="AA7" s="9" t="n">
        <x:f>(Inputs!$H$7+Inputs!$L$7*(((Inputs!$I$7+(((A7)+1)/2)*(Inputs!$J$7-Inputs!$I$7)))/Inputs!$K$7)^2)</x:f>
        <x:v>369.98386</x:v>
      </x:c>
      <x:c r="AB7" s="9" t="n">
        <x:f>(Inputs!$H$8+Inputs!$L$8*(((Inputs!$I$8+(((A7)+1)/2)*(Inputs!$J$8-Inputs!$I$8)))/Inputs!$K$8)^2)</x:f>
        <x:v>920.64226</x:v>
      </x:c>
      <x:c r="AC7" s="9" t="n">
        <x:f>(Inputs!$H$9+Inputs!$L$9*(((Inputs!$I$9+(((A7)+1)/2)*(Inputs!$J$9-Inputs!$I$9)))/Inputs!$K$9)^2)</x:f>
        <x:v>919.8199</x:v>
      </x:c>
      <x:c r="AD7" s="10" t="n"/>
      <x:c r="AE7" s="9" t="n">
        <x:f>A7</x:f>
        <x:v>-0.958</x:v>
      </x:c>
      <x:c r="AF7" s="9"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9"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9"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9"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10" t="n"/>
      <x:c r="AK7" s="9" t="n">
        <x:f>A7</x:f>
        <x:v>-0.958</x:v>
      </x:c>
      <x:c r="AL7" s="9"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9"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9"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9"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10" t="n"/>
      <x:c r="AQ7" s="9" t="n">
        <x:f>A7</x:f>
        <x:v>-0.958</x:v>
      </x:c>
      <x:c r="AR7" s="9" t="n">
        <x:f>0</x:f>
        <x:v>0</x:v>
      </x:c>
      <x:c r="AS7" s="9"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x:f>
        <x:v>132.60677657897617</x:v>
      </x:c>
      <x:c r="AT7" s="9"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x:f>
        <x:v>94.29278060316868</x:v>
      </x:c>
      <x:c r="AU7" s="9"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x:f>
        <x:v>174.07668311878467</x:v>
      </x:c>
      <x:c r="AV7" s="9"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x:f>
        <x:v>174.07668311878467</x:v>
      </x:c>
      <x:c r="AW7" s="10" t="n"/>
      <x:c r="AX7" s="9" t="n">
        <x:f>A7</x:f>
        <x:v>-0.958</x:v>
      </x:c>
      <x:c r="AY7" s="9" t="n">
        <x:f>0</x:f>
        <x:v>0</x:v>
      </x:c>
      <x:c r="AZ7" s="9" t="n">
        <x:f>IF(OR(Inputs!$F$6=TRUE,Inputs!$F$6="TRUE",Inputs!$F$6=1),(Inputs!$H$6+Inputs!$L$6*(((Inputs!$I$6+(((A7)+1)/2)*(Inputs!$J$6-Inputs!$I$6)))/Inputs!$K$6)^2),NA())</x:f>
        <x:v>403.671056</x:v>
      </x:c>
      <x:c r="BA7" s="9" t="n">
        <x:f>IF(OR(Inputs!$F$7=TRUE,Inputs!$F$7="TRUE",Inputs!$F$7=1),(Inputs!$H$7+Inputs!$L$7*(((Inputs!$I$7+(((A7)+1)/2)*(Inputs!$J$7-Inputs!$I$7)))/Inputs!$K$7)^2),NA())</x:f>
        <x:v>369.98386</x:v>
      </x:c>
      <x:c r="BB7" s="9" t="n">
        <x:f>IF(OR(Inputs!$F$8=TRUE,Inputs!$F$8="TRUE",Inputs!$F$8=1),(Inputs!$H$8+Inputs!$L$8*(((Inputs!$I$8+(((A7)+1)/2)*(Inputs!$J$8-Inputs!$I$8)))/Inputs!$K$8)^2),NA())</x:f>
        <x:v>920.64226</x:v>
      </x:c>
      <x:c r="BC7" s="9" t="n">
        <x:f>IF(OR(Inputs!$F$9=TRUE,Inputs!$F$9="TRUE",Inputs!$F$9=1),(Inputs!$H$9+Inputs!$L$9*(((Inputs!$I$9+(((A7)+1)/2)*(Inputs!$J$9-Inputs!$I$9)))/Inputs!$K$9)^2),NA())</x:f>
        <x:v>919.8199</x:v>
      </x:c>
      <x:c r="BD7" s="10" t="n"/>
      <x:c r="BE7" s="9" t="n">
        <x:f>A7</x:f>
        <x:v>-0.958</x:v>
      </x:c>
      <x:c r="BF7" s="9" t="n">
        <x:f>0</x:f>
        <x:v>0</x:v>
      </x:c>
      <x:c r="BG7" s="9"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9"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9"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9"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9" t="n">
        <x:f>ROUND(-1+6*2/240,3)</x:f>
        <x:v>-0.95</x:v>
      </x:c>
      <x:c r="B8" s="9" t="n">
        <x:f>IF(OR(Inputs!$F$6=TRUE,Inputs!$F$6="TRUE",Inputs!$F$6=1),(Inputs!$H$6+Inputs!$L$6*(((Inputs!$I$6+(((A8)+1)/2)*(Inputs!$J$6-Inputs!$I$6)))/Inputs!$K$6)^2),NA())</x:f>
        <x:v>403.61</x:v>
      </x:c>
      <x:c r="C8" s="9" t="n">
        <x:f>IF(OR(Inputs!$F$7=TRUE,Inputs!$F$7="TRUE",Inputs!$F$7=1),(Inputs!$H$7+Inputs!$L$7*(((Inputs!$I$7+(((A8)+1)/2)*(Inputs!$J$7-Inputs!$I$7)))/Inputs!$K$7)^2),NA())</x:f>
        <x:v>364.41249999999997</x:v>
      </x:c>
      <x:c r="D8" s="9" t="n">
        <x:f>IF(OR(Inputs!$F$8=TRUE,Inputs!$F$8="TRUE",Inputs!$F$8=1),(Inputs!$H$8+Inputs!$L$8*(((Inputs!$I$8+(((A8)+1)/2)*(Inputs!$J$8-Inputs!$I$8)))/Inputs!$K$8)^2),NA())</x:f>
        <x:v>905.9125</x:v>
      </x:c>
      <x:c r="E8" s="9" t="n">
        <x:f>IF(OR(Inputs!$F$9=TRUE,Inputs!$F$9="TRUE",Inputs!$F$9=1),(Inputs!$H$9+Inputs!$L$9*(((Inputs!$I$9+(((A8)+1)/2)*(Inputs!$J$9-Inputs!$I$9)))/Inputs!$K$9)^2),NA())</x:f>
        <x:v>904.9375</x:v>
      </x:c>
      <x:c r="F8" s="10" t="n"/>
      <x:c r="G8" s="9" t="n">
        <x:f>A8</x:f>
        <x:v>-0.95</x:v>
      </x:c>
      <x:c r="H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10" t="n"/>
      <x:c r="M8" s="9" t="n">
        <x:f>A8</x:f>
        <x:v>-0.95</x:v>
      </x:c>
      <x:c r="N8" s="9"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9"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9"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9"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10" t="n"/>
      <x:c r="S8" s="9" t="n">
        <x:f>A8</x:f>
        <x:v>-0.95</x:v>
      </x:c>
      <x:c r="T8" s="9" t="n">
        <x:f>(Inputs!$I$6+(((A8)+1)/2)*(Inputs!$J$6-Inputs!$I$6))</x:f>
        <x:v>-57</x:v>
      </x:c>
      <x:c r="U8" s="9" t="n">
        <x:f>(Inputs!$I$7+(((A8)+1)/2)*(Inputs!$J$7-Inputs!$I$7))</x:f>
        <x:v>-380</x:v>
      </x:c>
      <x:c r="V8" s="9" t="n">
        <x:f>(Inputs!$I$8+(((A8)+1)/2)*(Inputs!$J$8-Inputs!$I$8))</x:f>
        <x:v>-760</x:v>
      </x:c>
      <x:c r="W8" s="9" t="n">
        <x:f>(Inputs!$I$9+(((A8)+1)/2)*(Inputs!$J$9-Inputs!$I$9))</x:f>
        <x:v>-760</x:v>
      </x:c>
      <x:c r="X8" s="10" t="n"/>
      <x:c r="Y8" s="9" t="n">
        <x:f>A8</x:f>
        <x:v>-0.95</x:v>
      </x:c>
      <x:c r="Z8" s="9" t="n">
        <x:f>(Inputs!$H$6+Inputs!$L$6*(((Inputs!$I$6+(((A8)+1)/2)*(Inputs!$J$6-Inputs!$I$6)))/Inputs!$K$6)^2)</x:f>
        <x:v>403.61</x:v>
      </x:c>
      <x:c r="AA8" s="9" t="n">
        <x:f>(Inputs!$H$7+Inputs!$L$7*(((Inputs!$I$7+(((A8)+1)/2)*(Inputs!$J$7-Inputs!$I$7)))/Inputs!$K$7)^2)</x:f>
        <x:v>364.41249999999997</x:v>
      </x:c>
      <x:c r="AB8" s="9" t="n">
        <x:f>(Inputs!$H$8+Inputs!$L$8*(((Inputs!$I$8+(((A8)+1)/2)*(Inputs!$J$8-Inputs!$I$8)))/Inputs!$K$8)^2)</x:f>
        <x:v>905.9125</x:v>
      </x:c>
      <x:c r="AC8" s="9" t="n">
        <x:f>(Inputs!$H$9+Inputs!$L$9*(((Inputs!$I$9+(((A8)+1)/2)*(Inputs!$J$9-Inputs!$I$9)))/Inputs!$K$9)^2)</x:f>
        <x:v>904.9375</x:v>
      </x:c>
      <x:c r="AD8" s="10" t="n"/>
      <x:c r="AE8" s="9" t="n">
        <x:f>A8</x:f>
        <x:v>-0.95</x:v>
      </x:c>
      <x:c r="AF8" s="9"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9"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9"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9"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10" t="n"/>
      <x:c r="AK8" s="9" t="n">
        <x:f>A8</x:f>
        <x:v>-0.95</x:v>
      </x:c>
      <x:c r="AL8" s="9"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9"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9"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9"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10" t="n"/>
      <x:c r="AQ8" s="9" t="n">
        <x:f>A8</x:f>
        <x:v>-0.95</x:v>
      </x:c>
      <x:c r="AR8" s="9" t="n">
        <x:f>0</x:f>
        <x:v>0</x:v>
      </x:c>
      <x:c r="AS8" s="9"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x:f>
        <x:v>137.46604725484156</x:v>
      </x:c>
      <x:c r="AT8" s="9"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x:f>
        <x:v>124.30714013426088</x:v>
      </x:c>
      <x:c r="AU8" s="9"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x:f>
        <x:v>85.69268740529942</x:v>
      </x:c>
      <x:c r="AV8" s="9"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x:f>
        <x:v>85.69268740529942</x:v>
      </x:c>
      <x:c r="AW8" s="10" t="n"/>
      <x:c r="AX8" s="9" t="n">
        <x:f>A8</x:f>
        <x:v>-0.95</x:v>
      </x:c>
      <x:c r="AY8" s="9" t="n">
        <x:f>0</x:f>
        <x:v>0</x:v>
      </x:c>
      <x:c r="AZ8" s="9" t="n">
        <x:f>IF(OR(Inputs!$F$6=TRUE,Inputs!$F$6="TRUE",Inputs!$F$6=1),(Inputs!$H$6+Inputs!$L$6*(((Inputs!$I$6+(((A8)+1)/2)*(Inputs!$J$6-Inputs!$I$6)))/Inputs!$K$6)^2),NA())</x:f>
        <x:v>403.61</x:v>
      </x:c>
      <x:c r="BA8" s="9" t="n">
        <x:f>IF(OR(Inputs!$F$7=TRUE,Inputs!$F$7="TRUE",Inputs!$F$7=1),(Inputs!$H$7+Inputs!$L$7*(((Inputs!$I$7+(((A8)+1)/2)*(Inputs!$J$7-Inputs!$I$7)))/Inputs!$K$7)^2),NA())</x:f>
        <x:v>364.41249999999997</x:v>
      </x:c>
      <x:c r="BB8" s="9" t="n">
        <x:f>IF(OR(Inputs!$F$8=TRUE,Inputs!$F$8="TRUE",Inputs!$F$8=1),(Inputs!$H$8+Inputs!$L$8*(((Inputs!$I$8+(((A8)+1)/2)*(Inputs!$J$8-Inputs!$I$8)))/Inputs!$K$8)^2),NA())</x:f>
        <x:v>905.9125</x:v>
      </x:c>
      <x:c r="BC8" s="9" t="n">
        <x:f>IF(OR(Inputs!$F$9=TRUE,Inputs!$F$9="TRUE",Inputs!$F$9=1),(Inputs!$H$9+Inputs!$L$9*(((Inputs!$I$9+(((A8)+1)/2)*(Inputs!$J$9-Inputs!$I$9)))/Inputs!$K$9)^2),NA())</x:f>
        <x:v>904.9375</x:v>
      </x:c>
      <x:c r="BD8" s="10" t="n"/>
      <x:c r="BE8" s="9" t="n">
        <x:f>A8</x:f>
        <x:v>-0.95</x:v>
      </x:c>
      <x:c r="BF8" s="9" t="n">
        <x:f>0</x:f>
        <x:v>0</x:v>
      </x:c>
      <x:c r="BG8" s="9"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9"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9"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9"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9" t="n">
        <x:f>ROUND(-1+7*2/240,3)</x:f>
        <x:v>-0.942</x:v>
      </x:c>
      <x:c r="B9" s="9" t="n">
        <x:f>IF(OR(Inputs!$F$6=TRUE,Inputs!$F$6="TRUE",Inputs!$F$6=1),(Inputs!$H$6+Inputs!$L$6*(((Inputs!$I$6+(((A9)+1)/2)*(Inputs!$J$6-Inputs!$I$6)))/Inputs!$K$6)^2),NA())</x:f>
        <x:v>403.549456</x:v>
      </x:c>
      <x:c r="C9" s="9" t="n">
        <x:f>IF(OR(Inputs!$F$7=TRUE,Inputs!$F$7="TRUE",Inputs!$F$7=1),(Inputs!$H$7+Inputs!$L$7*(((Inputs!$I$7+(((A9)+1)/2)*(Inputs!$J$7-Inputs!$I$7)))/Inputs!$K$7)^2),NA())</x:f>
        <x:v>358.8878599999999</x:v>
      </x:c>
      <x:c r="D9" s="9" t="n">
        <x:f>IF(OR(Inputs!$F$8=TRUE,Inputs!$F$8="TRUE",Inputs!$F$8=1),(Inputs!$H$8+Inputs!$L$8*(((Inputs!$I$8+(((A9)+1)/2)*(Inputs!$J$8-Inputs!$I$8)))/Inputs!$K$8)^2),NA())</x:f>
        <x:v>891.3062599999997</x:v>
      </x:c>
      <x:c r="E9" s="9" t="n">
        <x:f>IF(OR(Inputs!$F$9=TRUE,Inputs!$F$9="TRUE",Inputs!$F$9=1),(Inputs!$H$9+Inputs!$L$9*(((Inputs!$I$9+(((A9)+1)/2)*(Inputs!$J$9-Inputs!$I$9)))/Inputs!$K$9)^2),NA())</x:f>
        <x:v>890.1798999999997</x:v>
      </x:c>
      <x:c r="F9" s="10" t="n"/>
      <x:c r="G9" s="9" t="n">
        <x:f>A9</x:f>
        <x:v>-0.942</x:v>
      </x:c>
      <x:c r="H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10" t="n"/>
      <x:c r="M9" s="9" t="n">
        <x:f>A9</x:f>
        <x:v>-0.942</x:v>
      </x:c>
      <x:c r="N9" s="9"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9"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9"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9"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10" t="n"/>
      <x:c r="S9" s="9" t="n">
        <x:f>A9</x:f>
        <x:v>-0.942</x:v>
      </x:c>
      <x:c r="T9" s="9" t="n">
        <x:f>(Inputs!$I$6+(((A9)+1)/2)*(Inputs!$J$6-Inputs!$I$6))</x:f>
        <x:v>-56.519999999999996</x:v>
      </x:c>
      <x:c r="U9" s="9" t="n">
        <x:f>(Inputs!$I$7+(((A9)+1)/2)*(Inputs!$J$7-Inputs!$I$7))</x:f>
        <x:v>-376.79999999999995</x:v>
      </x:c>
      <x:c r="V9" s="9" t="n">
        <x:f>(Inputs!$I$8+(((A9)+1)/2)*(Inputs!$J$8-Inputs!$I$8))</x:f>
        <x:v>-753.5999999999999</x:v>
      </x:c>
      <x:c r="W9" s="9" t="n">
        <x:f>(Inputs!$I$9+(((A9)+1)/2)*(Inputs!$J$9-Inputs!$I$9))</x:f>
        <x:v>-753.5999999999999</x:v>
      </x:c>
      <x:c r="X9" s="10" t="n"/>
      <x:c r="Y9" s="9" t="n">
        <x:f>A9</x:f>
        <x:v>-0.942</x:v>
      </x:c>
      <x:c r="Z9" s="9" t="n">
        <x:f>(Inputs!$H$6+Inputs!$L$6*(((Inputs!$I$6+(((A9)+1)/2)*(Inputs!$J$6-Inputs!$I$6)))/Inputs!$K$6)^2)</x:f>
        <x:v>403.549456</x:v>
      </x:c>
      <x:c r="AA9" s="9" t="n">
        <x:f>(Inputs!$H$7+Inputs!$L$7*(((Inputs!$I$7+(((A9)+1)/2)*(Inputs!$J$7-Inputs!$I$7)))/Inputs!$K$7)^2)</x:f>
        <x:v>358.8878599999999</x:v>
      </x:c>
      <x:c r="AB9" s="9" t="n">
        <x:f>(Inputs!$H$8+Inputs!$L$8*(((Inputs!$I$8+(((A9)+1)/2)*(Inputs!$J$8-Inputs!$I$8)))/Inputs!$K$8)^2)</x:f>
        <x:v>891.3062599999997</x:v>
      </x:c>
      <x:c r="AC9" s="9" t="n">
        <x:f>(Inputs!$H$9+Inputs!$L$9*(((Inputs!$I$9+(((A9)+1)/2)*(Inputs!$J$9-Inputs!$I$9)))/Inputs!$K$9)^2)</x:f>
        <x:v>890.1798999999997</x:v>
      </x:c>
      <x:c r="AD9" s="10" t="n"/>
      <x:c r="AE9" s="9" t="n">
        <x:f>A9</x:f>
        <x:v>-0.942</x:v>
      </x:c>
      <x:c r="AF9" s="9"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9"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9"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9"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10" t="n"/>
      <x:c r="AK9" s="9" t="n">
        <x:f>A9</x:f>
        <x:v>-0.942</x:v>
      </x:c>
      <x:c r="AL9" s="9"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9"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9"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9"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10" t="n"/>
      <x:c r="AQ9" s="9" t="n">
        <x:f>A9</x:f>
        <x:v>-0.942</x:v>
      </x:c>
      <x:c r="AR9" s="9" t="n">
        <x:f>0</x:f>
        <x:v>0</x:v>
      </x:c>
      <x:c r="AS9" s="9"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x:f>
        <x:v>140.9527367401792</x:v>
      </x:c>
      <x:c r="AT9" s="9"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x:f>
        <x:v>157.2456749770218</x:v>
      </x:c>
      <x:c r="AU9" s="9"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x:f>
        <x:v>217.91719518190024</x:v>
      </x:c>
      <x:c r="AV9" s="9"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x:f>
        <x:v>217.91719518190024</x:v>
      </x:c>
      <x:c r="AW9" s="10" t="n"/>
      <x:c r="AX9" s="9" t="n">
        <x:f>A9</x:f>
        <x:v>-0.942</x:v>
      </x:c>
      <x:c r="AY9" s="9" t="n">
        <x:f>0</x:f>
        <x:v>0</x:v>
      </x:c>
      <x:c r="AZ9" s="9" t="n">
        <x:f>IF(OR(Inputs!$F$6=TRUE,Inputs!$F$6="TRUE",Inputs!$F$6=1),(Inputs!$H$6+Inputs!$L$6*(((Inputs!$I$6+(((A9)+1)/2)*(Inputs!$J$6-Inputs!$I$6)))/Inputs!$K$6)^2),NA())</x:f>
        <x:v>403.549456</x:v>
      </x:c>
      <x:c r="BA9" s="9" t="n">
        <x:f>IF(OR(Inputs!$F$7=TRUE,Inputs!$F$7="TRUE",Inputs!$F$7=1),(Inputs!$H$7+Inputs!$L$7*(((Inputs!$I$7+(((A9)+1)/2)*(Inputs!$J$7-Inputs!$I$7)))/Inputs!$K$7)^2),NA())</x:f>
        <x:v>358.8878599999999</x:v>
      </x:c>
      <x:c r="BB9" s="9" t="n">
        <x:f>IF(OR(Inputs!$F$8=TRUE,Inputs!$F$8="TRUE",Inputs!$F$8=1),(Inputs!$H$8+Inputs!$L$8*(((Inputs!$I$8+(((A9)+1)/2)*(Inputs!$J$8-Inputs!$I$8)))/Inputs!$K$8)^2),NA())</x:f>
        <x:v>891.3062599999997</x:v>
      </x:c>
      <x:c r="BC9" s="9" t="n">
        <x:f>IF(OR(Inputs!$F$9=TRUE,Inputs!$F$9="TRUE",Inputs!$F$9=1),(Inputs!$H$9+Inputs!$L$9*(((Inputs!$I$9+(((A9)+1)/2)*(Inputs!$J$9-Inputs!$I$9)))/Inputs!$K$9)^2),NA())</x:f>
        <x:v>890.1798999999997</x:v>
      </x:c>
      <x:c r="BD9" s="10" t="n"/>
      <x:c r="BE9" s="9" t="n">
        <x:f>A9</x:f>
        <x:v>-0.942</x:v>
      </x:c>
      <x:c r="BF9" s="9" t="n">
        <x:f>0</x:f>
        <x:v>0</x:v>
      </x:c>
      <x:c r="BG9" s="9"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9"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9"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9"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9" t="n">
        <x:f>ROUND(-1+8*2/240,3)</x:f>
        <x:v>-0.933</x:v>
      </x:c>
      <x:c r="B10" s="9" t="n">
        <x:f>IF(OR(Inputs!$F$6=TRUE,Inputs!$F$6="TRUE",Inputs!$F$6=1),(Inputs!$H$6+Inputs!$L$6*(((Inputs!$I$6+(((A10)+1)/2)*(Inputs!$J$6-Inputs!$I$6)))/Inputs!$K$6)^2),NA())</x:f>
        <x:v>403.481956</x:v>
      </x:c>
      <x:c r="C10" s="9" t="n">
        <x:f>IF(OR(Inputs!$F$7=TRUE,Inputs!$F$7="TRUE",Inputs!$F$7=1),(Inputs!$H$7+Inputs!$L$7*(((Inputs!$I$7+(((A10)+1)/2)*(Inputs!$J$7-Inputs!$I$7)))/Inputs!$K$7)^2),NA())</x:f>
        <x:v>352.7284850000001</x:v>
      </x:c>
      <x:c r="D10" s="9" t="n">
        <x:f>IF(OR(Inputs!$F$8=TRUE,Inputs!$F$8="TRUE",Inputs!$F$8=1),(Inputs!$H$8+Inputs!$L$8*(((Inputs!$I$8+(((A10)+1)/2)*(Inputs!$J$8-Inputs!$I$8)))/Inputs!$K$8)^2),NA())</x:f>
        <x:v>875.0218850000002</x:v>
      </x:c>
      <x:c r="E10" s="9" t="n">
        <x:f>IF(OR(Inputs!$F$9=TRUE,Inputs!$F$9="TRUE",Inputs!$F$9=1),(Inputs!$H$9+Inputs!$L$9*(((Inputs!$I$9+(((A10)+1)/2)*(Inputs!$J$9-Inputs!$I$9)))/Inputs!$K$9)^2),NA())</x:f>
        <x:v>873.7267750000003</x:v>
      </x:c>
      <x:c r="F10" s="10" t="n"/>
      <x:c r="G10" s="9" t="n">
        <x:f>A10</x:f>
        <x:v>-0.933</x:v>
      </x:c>
      <x:c r="H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10" t="n"/>
      <x:c r="M10" s="9" t="n">
        <x:f>A10</x:f>
        <x:v>-0.933</x:v>
      </x:c>
      <x:c r="N10" s="9"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9"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9"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9"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10" t="n"/>
      <x:c r="S10" s="9" t="n">
        <x:f>A10</x:f>
        <x:v>-0.933</x:v>
      </x:c>
      <x:c r="T10" s="9" t="n">
        <x:f>(Inputs!$I$6+(((A10)+1)/2)*(Inputs!$J$6-Inputs!$I$6))</x:f>
        <x:v>-55.980000000000004</x:v>
      </x:c>
      <x:c r="U10" s="9" t="n">
        <x:f>(Inputs!$I$7+(((A10)+1)/2)*(Inputs!$J$7-Inputs!$I$7))</x:f>
        <x:v>-373.20000000000005</x:v>
      </x:c>
      <x:c r="V10" s="9" t="n">
        <x:f>(Inputs!$I$8+(((A10)+1)/2)*(Inputs!$J$8-Inputs!$I$8))</x:f>
        <x:v>-746.4000000000001</x:v>
      </x:c>
      <x:c r="W10" s="9" t="n">
        <x:f>(Inputs!$I$9+(((A10)+1)/2)*(Inputs!$J$9-Inputs!$I$9))</x:f>
        <x:v>-746.4000000000001</x:v>
      </x:c>
      <x:c r="X10" s="10" t="n"/>
      <x:c r="Y10" s="9" t="n">
        <x:f>A10</x:f>
        <x:v>-0.933</x:v>
      </x:c>
      <x:c r="Z10" s="9" t="n">
        <x:f>(Inputs!$H$6+Inputs!$L$6*(((Inputs!$I$6+(((A10)+1)/2)*(Inputs!$J$6-Inputs!$I$6)))/Inputs!$K$6)^2)</x:f>
        <x:v>403.481956</x:v>
      </x:c>
      <x:c r="AA10" s="9" t="n">
        <x:f>(Inputs!$H$7+Inputs!$L$7*(((Inputs!$I$7+(((A10)+1)/2)*(Inputs!$J$7-Inputs!$I$7)))/Inputs!$K$7)^2)</x:f>
        <x:v>352.7284850000001</x:v>
      </x:c>
      <x:c r="AB10" s="9" t="n">
        <x:f>(Inputs!$H$8+Inputs!$L$8*(((Inputs!$I$8+(((A10)+1)/2)*(Inputs!$J$8-Inputs!$I$8)))/Inputs!$K$8)^2)</x:f>
        <x:v>875.0218850000002</x:v>
      </x:c>
      <x:c r="AC10" s="9" t="n">
        <x:f>(Inputs!$H$9+Inputs!$L$9*(((Inputs!$I$9+(((A10)+1)/2)*(Inputs!$J$9-Inputs!$I$9)))/Inputs!$K$9)^2)</x:f>
        <x:v>873.7267750000003</x:v>
      </x:c>
      <x:c r="AD10" s="10" t="n"/>
      <x:c r="AE10" s="9" t="n">
        <x:f>A10</x:f>
        <x:v>-0.933</x:v>
      </x:c>
      <x:c r="AF10" s="9"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9"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9"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9"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10" t="n"/>
      <x:c r="AK10" s="9" t="n">
        <x:f>A10</x:f>
        <x:v>-0.933</x:v>
      </x:c>
      <x:c r="AL10" s="9"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9"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9"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9"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10" t="n"/>
      <x:c r="AQ10" s="9" t="n">
        <x:f>A10</x:f>
        <x:v>-0.933</x:v>
      </x:c>
      <x:c r="AR10" s="9" t="n">
        <x:f>0</x:f>
        <x:v>0</x:v>
      </x:c>
      <x:c r="AS10" s="9"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x:f>
        <x:v>158.71734786163717</x:v>
      </x:c>
      <x:c r="AT10" s="9"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x:f>
        <x:v>159.02725882386267</x:v>
      </x:c>
      <x:c r="AU10" s="9"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x:f>
        <x:v>118.83044536264866</x:v>
      </x:c>
      <x:c r="AV10" s="9"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x:f>
        <x:v>118.83044536264866</x:v>
      </x:c>
      <x:c r="AW10" s="10" t="n"/>
      <x:c r="AX10" s="9" t="n">
        <x:f>A10</x:f>
        <x:v>-0.933</x:v>
      </x:c>
      <x:c r="AY10" s="9" t="n">
        <x:f>0</x:f>
        <x:v>0</x:v>
      </x:c>
      <x:c r="AZ10" s="9" t="n">
        <x:f>IF(OR(Inputs!$F$6=TRUE,Inputs!$F$6="TRUE",Inputs!$F$6=1),(Inputs!$H$6+Inputs!$L$6*(((Inputs!$I$6+(((A10)+1)/2)*(Inputs!$J$6-Inputs!$I$6)))/Inputs!$K$6)^2),NA())</x:f>
        <x:v>403.481956</x:v>
      </x:c>
      <x:c r="BA10" s="9" t="n">
        <x:f>IF(OR(Inputs!$F$7=TRUE,Inputs!$F$7="TRUE",Inputs!$F$7=1),(Inputs!$H$7+Inputs!$L$7*(((Inputs!$I$7+(((A10)+1)/2)*(Inputs!$J$7-Inputs!$I$7)))/Inputs!$K$7)^2),NA())</x:f>
        <x:v>352.7284850000001</x:v>
      </x:c>
      <x:c r="BB10" s="9" t="n">
        <x:f>IF(OR(Inputs!$F$8=TRUE,Inputs!$F$8="TRUE",Inputs!$F$8=1),(Inputs!$H$8+Inputs!$L$8*(((Inputs!$I$8+(((A10)+1)/2)*(Inputs!$J$8-Inputs!$I$8)))/Inputs!$K$8)^2),NA())</x:f>
        <x:v>875.0218850000002</x:v>
      </x:c>
      <x:c r="BC10" s="9" t="n">
        <x:f>IF(OR(Inputs!$F$9=TRUE,Inputs!$F$9="TRUE",Inputs!$F$9=1),(Inputs!$H$9+Inputs!$L$9*(((Inputs!$I$9+(((A10)+1)/2)*(Inputs!$J$9-Inputs!$I$9)))/Inputs!$K$9)^2),NA())</x:f>
        <x:v>873.7267750000003</x:v>
      </x:c>
      <x:c r="BD10" s="10" t="n"/>
      <x:c r="BE10" s="9" t="n">
        <x:f>A10</x:f>
        <x:v>-0.933</x:v>
      </x:c>
      <x:c r="BF10" s="9" t="n">
        <x:f>0</x:f>
        <x:v>0</x:v>
      </x:c>
      <x:c r="BG10" s="9"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9"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9"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9"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9" t="n">
        <x:f>ROUND(-1+9*2/240,3)</x:f>
        <x:v>-0.925</x:v>
      </x:c>
      <x:c r="B11" s="9" t="n">
        <x:f>IF(OR(Inputs!$F$6=TRUE,Inputs!$F$6="TRUE",Inputs!$F$6=1),(Inputs!$H$6+Inputs!$L$6*(((Inputs!$I$6+(((A11)+1)/2)*(Inputs!$J$6-Inputs!$I$6)))/Inputs!$K$6)^2),NA())</x:f>
        <x:v>403.4225</x:v>
      </x:c>
      <x:c r="C11" s="9" t="n">
        <x:f>IF(OR(Inputs!$F$7=TRUE,Inputs!$F$7="TRUE",Inputs!$F$7=1),(Inputs!$H$7+Inputs!$L$7*(((Inputs!$I$7+(((A11)+1)/2)*(Inputs!$J$7-Inputs!$I$7)))/Inputs!$K$7)^2),NA())</x:f>
        <x:v>347.303125</x:v>
      </x:c>
      <x:c r="D11" s="9" t="n">
        <x:f>IF(OR(Inputs!$F$8=TRUE,Inputs!$F$8="TRUE",Inputs!$F$8=1),(Inputs!$H$8+Inputs!$L$8*(((Inputs!$I$8+(((A11)+1)/2)*(Inputs!$J$8-Inputs!$I$8)))/Inputs!$K$8)^2),NA())</x:f>
        <x:v>860.678125</x:v>
      </x:c>
      <x:c r="E11" s="9" t="n">
        <x:f>IF(OR(Inputs!$F$9=TRUE,Inputs!$F$9="TRUE",Inputs!$F$9=1),(Inputs!$H$9+Inputs!$L$9*(((Inputs!$I$9+(((A11)+1)/2)*(Inputs!$J$9-Inputs!$I$9)))/Inputs!$K$9)^2),NA())</x:f>
        <x:v>859.2343750000001</x:v>
      </x:c>
      <x:c r="F11" s="10" t="n"/>
      <x:c r="G11" s="9" t="n">
        <x:f>A11</x:f>
        <x:v>-0.925</x:v>
      </x:c>
      <x:c r="H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10" t="n"/>
      <x:c r="M11" s="9" t="n">
        <x:f>A11</x:f>
        <x:v>-0.925</x:v>
      </x:c>
      <x:c r="N11" s="9"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9"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9"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9"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10" t="n"/>
      <x:c r="S11" s="9" t="n">
        <x:f>A11</x:f>
        <x:v>-0.925</x:v>
      </x:c>
      <x:c r="T11" s="9" t="n">
        <x:f>(Inputs!$I$6+(((A11)+1)/2)*(Inputs!$J$6-Inputs!$I$6))</x:f>
        <x:v>-55.5</x:v>
      </x:c>
      <x:c r="U11" s="9" t="n">
        <x:f>(Inputs!$I$7+(((A11)+1)/2)*(Inputs!$J$7-Inputs!$I$7))</x:f>
        <x:v>-370</x:v>
      </x:c>
      <x:c r="V11" s="9" t="n">
        <x:f>(Inputs!$I$8+(((A11)+1)/2)*(Inputs!$J$8-Inputs!$I$8))</x:f>
        <x:v>-740</x:v>
      </x:c>
      <x:c r="W11" s="9" t="n">
        <x:f>(Inputs!$I$9+(((A11)+1)/2)*(Inputs!$J$9-Inputs!$I$9))</x:f>
        <x:v>-740</x:v>
      </x:c>
      <x:c r="X11" s="10" t="n"/>
      <x:c r="Y11" s="9" t="n">
        <x:f>A11</x:f>
        <x:v>-0.925</x:v>
      </x:c>
      <x:c r="Z11" s="9" t="n">
        <x:f>(Inputs!$H$6+Inputs!$L$6*(((Inputs!$I$6+(((A11)+1)/2)*(Inputs!$J$6-Inputs!$I$6)))/Inputs!$K$6)^2)</x:f>
        <x:v>403.4225</x:v>
      </x:c>
      <x:c r="AA11" s="9" t="n">
        <x:f>(Inputs!$H$7+Inputs!$L$7*(((Inputs!$I$7+(((A11)+1)/2)*(Inputs!$J$7-Inputs!$I$7)))/Inputs!$K$7)^2)</x:f>
        <x:v>347.303125</x:v>
      </x:c>
      <x:c r="AB11" s="9" t="n">
        <x:f>(Inputs!$H$8+Inputs!$L$8*(((Inputs!$I$8+(((A11)+1)/2)*(Inputs!$J$8-Inputs!$I$8)))/Inputs!$K$8)^2)</x:f>
        <x:v>860.678125</x:v>
      </x:c>
      <x:c r="AC11" s="9" t="n">
        <x:f>(Inputs!$H$9+Inputs!$L$9*(((Inputs!$I$9+(((A11)+1)/2)*(Inputs!$J$9-Inputs!$I$9)))/Inputs!$K$9)^2)</x:f>
        <x:v>859.2343750000001</x:v>
      </x:c>
      <x:c r="AD11" s="10" t="n"/>
      <x:c r="AE11" s="9" t="n">
        <x:f>A11</x:f>
        <x:v>-0.925</x:v>
      </x:c>
      <x:c r="AF11" s="9"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9"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9"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9"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10" t="n"/>
      <x:c r="AK11" s="9" t="n">
        <x:f>A11</x:f>
        <x:v>-0.925</x:v>
      </x:c>
      <x:c r="AL11" s="9"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9"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9"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9"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10" t="n"/>
      <x:c r="AQ11" s="9" t="n">
        <x:f>A11</x:f>
        <x:v>-0.925</x:v>
      </x:c>
      <x:c r="AR11" s="9" t="n">
        <x:f>0</x:f>
        <x:v>0</x:v>
      </x:c>
      <x:c r="AS11" s="9"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x:f>
        <x:v>160.57943103446084</x:v>
      </x:c>
      <x:c r="AT11" s="9"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x:f>
        <x:v>162.55768607297833</x:v>
      </x:c>
      <x:c r="AU11" s="9"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x:f>
        <x:v>152.39288583943994</x:v>
      </x:c>
      <x:c r="AV11" s="9"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x:f>
        <x:v>152.39288583943994</x:v>
      </x:c>
      <x:c r="AW11" s="10" t="n"/>
      <x:c r="AX11" s="9" t="n">
        <x:f>A11</x:f>
        <x:v>-0.925</x:v>
      </x:c>
      <x:c r="AY11" s="9" t="n">
        <x:f>0</x:f>
        <x:v>0</x:v>
      </x:c>
      <x:c r="AZ11" s="9" t="n">
        <x:f>IF(OR(Inputs!$F$6=TRUE,Inputs!$F$6="TRUE",Inputs!$F$6=1),(Inputs!$H$6+Inputs!$L$6*(((Inputs!$I$6+(((A11)+1)/2)*(Inputs!$J$6-Inputs!$I$6)))/Inputs!$K$6)^2),NA())</x:f>
        <x:v>403.4225</x:v>
      </x:c>
      <x:c r="BA11" s="9" t="n">
        <x:f>IF(OR(Inputs!$F$7=TRUE,Inputs!$F$7="TRUE",Inputs!$F$7=1),(Inputs!$H$7+Inputs!$L$7*(((Inputs!$I$7+(((A11)+1)/2)*(Inputs!$J$7-Inputs!$I$7)))/Inputs!$K$7)^2),NA())</x:f>
        <x:v>347.303125</x:v>
      </x:c>
      <x:c r="BB11" s="9" t="n">
        <x:f>IF(OR(Inputs!$F$8=TRUE,Inputs!$F$8="TRUE",Inputs!$F$8=1),(Inputs!$H$8+Inputs!$L$8*(((Inputs!$I$8+(((A11)+1)/2)*(Inputs!$J$8-Inputs!$I$8)))/Inputs!$K$8)^2),NA())</x:f>
        <x:v>860.678125</x:v>
      </x:c>
      <x:c r="BC11" s="9" t="n">
        <x:f>IF(OR(Inputs!$F$9=TRUE,Inputs!$F$9="TRUE",Inputs!$F$9=1),(Inputs!$H$9+Inputs!$L$9*(((Inputs!$I$9+(((A11)+1)/2)*(Inputs!$J$9-Inputs!$I$9)))/Inputs!$K$9)^2),NA())</x:f>
        <x:v>859.2343750000001</x:v>
      </x:c>
      <x:c r="BD11" s="10" t="n"/>
      <x:c r="BE11" s="9" t="n">
        <x:f>A11</x:f>
        <x:v>-0.925</x:v>
      </x:c>
      <x:c r="BF11" s="9" t="n">
        <x:f>0</x:f>
        <x:v>0</x:v>
      </x:c>
      <x:c r="BG11" s="9"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9"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9"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9"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9" t="n">
        <x:f>ROUND(-1+10*2/240,3)</x:f>
        <x:v>-0.917</x:v>
      </x:c>
      <x:c r="B12" s="9" t="n">
        <x:f>IF(OR(Inputs!$F$6=TRUE,Inputs!$F$6="TRUE",Inputs!$F$6=1),(Inputs!$H$6+Inputs!$L$6*(((Inputs!$I$6+(((A12)+1)/2)*(Inputs!$J$6-Inputs!$I$6)))/Inputs!$K$6)^2),NA())</x:f>
        <x:v>403.363556</x:v>
      </x:c>
      <x:c r="C12" s="9" t="n">
        <x:f>IF(OR(Inputs!$F$7=TRUE,Inputs!$F$7="TRUE",Inputs!$F$7=1),(Inputs!$H$7+Inputs!$L$7*(((Inputs!$I$7+(((A12)+1)/2)*(Inputs!$J$7-Inputs!$I$7)))/Inputs!$K$7)^2),NA())</x:f>
        <x:v>341.92448500000006</x:v>
      </x:c>
      <x:c r="D12" s="9" t="n">
        <x:f>IF(OR(Inputs!$F$8=TRUE,Inputs!$F$8="TRUE",Inputs!$F$8=1),(Inputs!$H$8+Inputs!$L$8*(((Inputs!$I$8+(((A12)+1)/2)*(Inputs!$J$8-Inputs!$I$8)))/Inputs!$K$8)^2),NA())</x:f>
        <x:v>846.4578850000001</x:v>
      </x:c>
      <x:c r="E12" s="9" t="n">
        <x:f>IF(OR(Inputs!$F$9=TRUE,Inputs!$F$9="TRUE",Inputs!$F$9=1),(Inputs!$H$9+Inputs!$L$9*(((Inputs!$I$9+(((A12)+1)/2)*(Inputs!$J$9-Inputs!$I$9)))/Inputs!$K$9)^2),NA())</x:f>
        <x:v>844.8667750000001</x:v>
      </x:c>
      <x:c r="F12" s="10" t="n"/>
      <x:c r="G12" s="9" t="n">
        <x:f>A12</x:f>
        <x:v>-0.917</x:v>
      </x:c>
      <x:c r="H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10" t="n"/>
      <x:c r="M12" s="9" t="n">
        <x:f>A12</x:f>
        <x:v>-0.917</x:v>
      </x:c>
      <x:c r="N12" s="9"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9"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9"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9"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10" t="n"/>
      <x:c r="S12" s="9" t="n">
        <x:f>A12</x:f>
        <x:v>-0.917</x:v>
      </x:c>
      <x:c r="T12" s="9" t="n">
        <x:f>(Inputs!$I$6+(((A12)+1)/2)*(Inputs!$J$6-Inputs!$I$6))</x:f>
        <x:v>-55.02</x:v>
      </x:c>
      <x:c r="U12" s="9" t="n">
        <x:f>(Inputs!$I$7+(((A12)+1)/2)*(Inputs!$J$7-Inputs!$I$7))</x:f>
        <x:v>-366.8</x:v>
      </x:c>
      <x:c r="V12" s="9" t="n">
        <x:f>(Inputs!$I$8+(((A12)+1)/2)*(Inputs!$J$8-Inputs!$I$8))</x:f>
        <x:v>-733.6</x:v>
      </x:c>
      <x:c r="W12" s="9" t="n">
        <x:f>(Inputs!$I$9+(((A12)+1)/2)*(Inputs!$J$9-Inputs!$I$9))</x:f>
        <x:v>-733.6</x:v>
      </x:c>
      <x:c r="X12" s="10" t="n"/>
      <x:c r="Y12" s="9" t="n">
        <x:f>A12</x:f>
        <x:v>-0.917</x:v>
      </x:c>
      <x:c r="Z12" s="9" t="n">
        <x:f>(Inputs!$H$6+Inputs!$L$6*(((Inputs!$I$6+(((A12)+1)/2)*(Inputs!$J$6-Inputs!$I$6)))/Inputs!$K$6)^2)</x:f>
        <x:v>403.363556</x:v>
      </x:c>
      <x:c r="AA12" s="9" t="n">
        <x:f>(Inputs!$H$7+Inputs!$L$7*(((Inputs!$I$7+(((A12)+1)/2)*(Inputs!$J$7-Inputs!$I$7)))/Inputs!$K$7)^2)</x:f>
        <x:v>341.92448500000006</x:v>
      </x:c>
      <x:c r="AB12" s="9" t="n">
        <x:f>(Inputs!$H$8+Inputs!$L$8*(((Inputs!$I$8+(((A12)+1)/2)*(Inputs!$J$8-Inputs!$I$8)))/Inputs!$K$8)^2)</x:f>
        <x:v>846.4578850000001</x:v>
      </x:c>
      <x:c r="AC12" s="9" t="n">
        <x:f>(Inputs!$H$9+Inputs!$L$9*(((Inputs!$I$9+(((A12)+1)/2)*(Inputs!$J$9-Inputs!$I$9)))/Inputs!$K$9)^2)</x:f>
        <x:v>844.8667750000001</x:v>
      </x:c>
      <x:c r="AD12" s="10" t="n"/>
      <x:c r="AE12" s="9" t="n">
        <x:f>A12</x:f>
        <x:v>-0.917</x:v>
      </x:c>
      <x:c r="AF12" s="9"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9"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9"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9"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10" t="n"/>
      <x:c r="AK12" s="9" t="n">
        <x:f>A12</x:f>
        <x:v>-0.917</x:v>
      </x:c>
      <x:c r="AL12" s="9"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9"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9"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9"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10" t="n"/>
      <x:c r="AQ12" s="9" t="n">
        <x:f>A12</x:f>
        <x:v>-0.917</x:v>
      </x:c>
      <x:c r="AR12" s="9" t="n">
        <x:f>0</x:f>
        <x:v>0</x:v>
      </x:c>
      <x:c r="AS12" s="9"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x:f>
        <x:v>188.12617506665845</x:v>
      </x:c>
      <x:c r="AT12" s="9"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x:f>
        <x:v>117.99053564072898</x:v>
      </x:c>
      <x:c r="AU12" s="9"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x:f>
        <x:v>182.22132501545047</x:v>
      </x:c>
      <x:c r="AV12" s="9"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x:f>
        <x:v>182.22132501545047</x:v>
      </x:c>
      <x:c r="AW12" s="10" t="n"/>
      <x:c r="AX12" s="9" t="n">
        <x:f>A12</x:f>
        <x:v>-0.917</x:v>
      </x:c>
      <x:c r="AY12" s="9" t="n">
        <x:f>0</x:f>
        <x:v>0</x:v>
      </x:c>
      <x:c r="AZ12" s="9" t="n">
        <x:f>IF(OR(Inputs!$F$6=TRUE,Inputs!$F$6="TRUE",Inputs!$F$6=1),(Inputs!$H$6+Inputs!$L$6*(((Inputs!$I$6+(((A12)+1)/2)*(Inputs!$J$6-Inputs!$I$6)))/Inputs!$K$6)^2),NA())</x:f>
        <x:v>403.363556</x:v>
      </x:c>
      <x:c r="BA12" s="9" t="n">
        <x:f>IF(OR(Inputs!$F$7=TRUE,Inputs!$F$7="TRUE",Inputs!$F$7=1),(Inputs!$H$7+Inputs!$L$7*(((Inputs!$I$7+(((A12)+1)/2)*(Inputs!$J$7-Inputs!$I$7)))/Inputs!$K$7)^2),NA())</x:f>
        <x:v>341.92448500000006</x:v>
      </x:c>
      <x:c r="BB12" s="9" t="n">
        <x:f>IF(OR(Inputs!$F$8=TRUE,Inputs!$F$8="TRUE",Inputs!$F$8=1),(Inputs!$H$8+Inputs!$L$8*(((Inputs!$I$8+(((A12)+1)/2)*(Inputs!$J$8-Inputs!$I$8)))/Inputs!$K$8)^2),NA())</x:f>
        <x:v>846.4578850000001</x:v>
      </x:c>
      <x:c r="BC12" s="9" t="n">
        <x:f>IF(OR(Inputs!$F$9=TRUE,Inputs!$F$9="TRUE",Inputs!$F$9=1),(Inputs!$H$9+Inputs!$L$9*(((Inputs!$I$9+(((A12)+1)/2)*(Inputs!$J$9-Inputs!$I$9)))/Inputs!$K$9)^2),NA())</x:f>
        <x:v>844.8667750000001</x:v>
      </x:c>
      <x:c r="BD12" s="10" t="n"/>
      <x:c r="BE12" s="9" t="n">
        <x:f>A12</x:f>
        <x:v>-0.917</x:v>
      </x:c>
      <x:c r="BF12" s="9" t="n">
        <x:f>0</x:f>
        <x:v>0</x:v>
      </x:c>
      <x:c r="BG12" s="9"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9"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9"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9"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9" t="n">
        <x:f>ROUND(-1+11*2/240,3)</x:f>
        <x:v>-0.908</x:v>
      </x:c>
      <x:c r="B13" s="9" t="n">
        <x:f>IF(OR(Inputs!$F$6=TRUE,Inputs!$F$6="TRUE",Inputs!$F$6=1),(Inputs!$H$6+Inputs!$L$6*(((Inputs!$I$6+(((A13)+1)/2)*(Inputs!$J$6-Inputs!$I$6)))/Inputs!$K$6)^2),NA())</x:f>
        <x:v>403.297856</x:v>
      </x:c>
      <x:c r="C13" s="9" t="n">
        <x:f>IF(OR(Inputs!$F$7=TRUE,Inputs!$F$7="TRUE",Inputs!$F$7=1),(Inputs!$H$7+Inputs!$L$7*(((Inputs!$I$7+(((A13)+1)/2)*(Inputs!$J$7-Inputs!$I$7)))/Inputs!$K$7)^2),NA())</x:f>
        <x:v>335.92936</x:v>
      </x:c>
      <x:c r="D13" s="9" t="n">
        <x:f>IF(OR(Inputs!$F$8=TRUE,Inputs!$F$8="TRUE",Inputs!$F$8=1),(Inputs!$H$8+Inputs!$L$8*(((Inputs!$I$8+(((A13)+1)/2)*(Inputs!$J$8-Inputs!$I$8)))/Inputs!$K$8)^2),NA())</x:f>
        <x:v>830.6077599999999</x:v>
      </x:c>
      <x:c r="E13" s="9" t="n">
        <x:f>IF(OR(Inputs!$F$9=TRUE,Inputs!$F$9="TRUE",Inputs!$F$9=1),(Inputs!$H$9+Inputs!$L$9*(((Inputs!$I$9+(((A13)+1)/2)*(Inputs!$J$9-Inputs!$I$9)))/Inputs!$K$9)^2),NA())</x:f>
        <x:v>828.8523999999999</x:v>
      </x:c>
      <x:c r="F13" s="10" t="n"/>
      <x:c r="G13" s="9" t="n">
        <x:f>A13</x:f>
        <x:v>-0.908</x:v>
      </x:c>
      <x:c r="H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10" t="n"/>
      <x:c r="M13" s="9" t="n">
        <x:f>A13</x:f>
        <x:v>-0.908</x:v>
      </x:c>
      <x:c r="N13" s="9"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9"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9"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9"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10" t="n"/>
      <x:c r="S13" s="9" t="n">
        <x:f>A13</x:f>
        <x:v>-0.908</x:v>
      </x:c>
      <x:c r="T13" s="9" t="n">
        <x:f>(Inputs!$I$6+(((A13)+1)/2)*(Inputs!$J$6-Inputs!$I$6))</x:f>
        <x:v>-54.480000000000004</x:v>
      </x:c>
      <x:c r="U13" s="9" t="n">
        <x:f>(Inputs!$I$7+(((A13)+1)/2)*(Inputs!$J$7-Inputs!$I$7))</x:f>
        <x:v>-363.2</x:v>
      </x:c>
      <x:c r="V13" s="9" t="n">
        <x:f>(Inputs!$I$8+(((A13)+1)/2)*(Inputs!$J$8-Inputs!$I$8))</x:f>
        <x:v>-726.4</x:v>
      </x:c>
      <x:c r="W13" s="9" t="n">
        <x:f>(Inputs!$I$9+(((A13)+1)/2)*(Inputs!$J$9-Inputs!$I$9))</x:f>
        <x:v>-726.4</x:v>
      </x:c>
      <x:c r="X13" s="10" t="n"/>
      <x:c r="Y13" s="9" t="n">
        <x:f>A13</x:f>
        <x:v>-0.908</x:v>
      </x:c>
      <x:c r="Z13" s="9" t="n">
        <x:f>(Inputs!$H$6+Inputs!$L$6*(((Inputs!$I$6+(((A13)+1)/2)*(Inputs!$J$6-Inputs!$I$6)))/Inputs!$K$6)^2)</x:f>
        <x:v>403.297856</x:v>
      </x:c>
      <x:c r="AA13" s="9" t="n">
        <x:f>(Inputs!$H$7+Inputs!$L$7*(((Inputs!$I$7+(((A13)+1)/2)*(Inputs!$J$7-Inputs!$I$7)))/Inputs!$K$7)^2)</x:f>
        <x:v>335.92936</x:v>
      </x:c>
      <x:c r="AB13" s="9" t="n">
        <x:f>(Inputs!$H$8+Inputs!$L$8*(((Inputs!$I$8+(((A13)+1)/2)*(Inputs!$J$8-Inputs!$I$8)))/Inputs!$K$8)^2)</x:f>
        <x:v>830.6077599999999</x:v>
      </x:c>
      <x:c r="AC13" s="9" t="n">
        <x:f>(Inputs!$H$9+Inputs!$L$9*(((Inputs!$I$9+(((A13)+1)/2)*(Inputs!$J$9-Inputs!$I$9)))/Inputs!$K$9)^2)</x:f>
        <x:v>828.8523999999999</x:v>
      </x:c>
      <x:c r="AD13" s="10" t="n"/>
      <x:c r="AE13" s="9" t="n">
        <x:f>A13</x:f>
        <x:v>-0.908</x:v>
      </x:c>
      <x:c r="AF13" s="9"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9"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9"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9"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10" t="n"/>
      <x:c r="AK13" s="9" t="n">
        <x:f>A13</x:f>
        <x:v>-0.908</x:v>
      </x:c>
      <x:c r="AL13" s="9"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9"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9"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9"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10" t="n"/>
      <x:c r="AQ13" s="9" t="n">
        <x:f>A13</x:f>
        <x:v>-0.908</x:v>
      </x:c>
      <x:c r="AR13" s="9" t="n">
        <x:f>0</x:f>
        <x:v>0</x:v>
      </x:c>
      <x:c r="AS13" s="9"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x:f>
        <x:v>200.43223979041218</x:v>
      </x:c>
      <x:c r="AT13" s="9"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x:f>
        <x:v>70.34462616622157</x:v>
      </x:c>
      <x:c r="AU13" s="9"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x:f>
        <x:v>104.97982188854878</x:v>
      </x:c>
      <x:c r="AV13" s="9"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x:f>
        <x:v>104.97982188854878</x:v>
      </x:c>
      <x:c r="AW13" s="10" t="n"/>
      <x:c r="AX13" s="9" t="n">
        <x:f>A13</x:f>
        <x:v>-0.908</x:v>
      </x:c>
      <x:c r="AY13" s="9" t="n">
        <x:f>0</x:f>
        <x:v>0</x:v>
      </x:c>
      <x:c r="AZ13" s="9" t="n">
        <x:f>IF(OR(Inputs!$F$6=TRUE,Inputs!$F$6="TRUE",Inputs!$F$6=1),(Inputs!$H$6+Inputs!$L$6*(((Inputs!$I$6+(((A13)+1)/2)*(Inputs!$J$6-Inputs!$I$6)))/Inputs!$K$6)^2),NA())</x:f>
        <x:v>403.297856</x:v>
      </x:c>
      <x:c r="BA13" s="9" t="n">
        <x:f>IF(OR(Inputs!$F$7=TRUE,Inputs!$F$7="TRUE",Inputs!$F$7=1),(Inputs!$H$7+Inputs!$L$7*(((Inputs!$I$7+(((A13)+1)/2)*(Inputs!$J$7-Inputs!$I$7)))/Inputs!$K$7)^2),NA())</x:f>
        <x:v>335.92936</x:v>
      </x:c>
      <x:c r="BB13" s="9" t="n">
        <x:f>IF(OR(Inputs!$F$8=TRUE,Inputs!$F$8="TRUE",Inputs!$F$8=1),(Inputs!$H$8+Inputs!$L$8*(((Inputs!$I$8+(((A13)+1)/2)*(Inputs!$J$8-Inputs!$I$8)))/Inputs!$K$8)^2),NA())</x:f>
        <x:v>830.6077599999999</x:v>
      </x:c>
      <x:c r="BC13" s="9" t="n">
        <x:f>IF(OR(Inputs!$F$9=TRUE,Inputs!$F$9="TRUE",Inputs!$F$9=1),(Inputs!$H$9+Inputs!$L$9*(((Inputs!$I$9+(((A13)+1)/2)*(Inputs!$J$9-Inputs!$I$9)))/Inputs!$K$9)^2),NA())</x:f>
        <x:v>828.8523999999999</x:v>
      </x:c>
      <x:c r="BD13" s="10" t="n"/>
      <x:c r="BE13" s="9" t="n">
        <x:f>A13</x:f>
        <x:v>-0.908</x:v>
      </x:c>
      <x:c r="BF13" s="9" t="n">
        <x:f>0</x:f>
        <x:v>0</x:v>
      </x:c>
      <x:c r="BG13" s="9"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9"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9"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9"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9" t="n">
        <x:f>ROUND(-1+12*2/240,3)</x:f>
        <x:v>-0.9</x:v>
      </x:c>
      <x:c r="B14" s="9" t="n">
        <x:f>IF(OR(Inputs!$F$6=TRUE,Inputs!$F$6="TRUE",Inputs!$F$6=1),(Inputs!$H$6+Inputs!$L$6*(((Inputs!$I$6+(((A14)+1)/2)*(Inputs!$J$6-Inputs!$I$6)))/Inputs!$K$6)^2),NA())</x:f>
        <x:v>403.24</x:v>
      </x:c>
      <x:c r="C14" s="9" t="n">
        <x:f>IF(OR(Inputs!$F$7=TRUE,Inputs!$F$7="TRUE",Inputs!$F$7=1),(Inputs!$H$7+Inputs!$L$7*(((Inputs!$I$7+(((A14)+1)/2)*(Inputs!$J$7-Inputs!$I$7)))/Inputs!$K$7)^2),NA())</x:f>
        <x:v>330.65000000000003</x:v>
      </x:c>
      <x:c r="D14" s="9" t="n">
        <x:f>IF(OR(Inputs!$F$8=TRUE,Inputs!$F$8="TRUE",Inputs!$F$8=1),(Inputs!$H$8+Inputs!$L$8*(((Inputs!$I$8+(((A14)+1)/2)*(Inputs!$J$8-Inputs!$I$8)))/Inputs!$K$8)^2),NA())</x:f>
        <x:v>816.6500000000001</x:v>
      </x:c>
      <x:c r="E14" s="9" t="n">
        <x:f>IF(OR(Inputs!$F$9=TRUE,Inputs!$F$9="TRUE",Inputs!$F$9=1),(Inputs!$H$9+Inputs!$L$9*(((Inputs!$I$9+(((A14)+1)/2)*(Inputs!$J$9-Inputs!$I$9)))/Inputs!$K$9)^2),NA())</x:f>
        <x:v>814.75</x:v>
      </x:c>
      <x:c r="F14" s="10" t="n"/>
      <x:c r="G14" s="9" t="n">
        <x:f>A14</x:f>
        <x:v>-0.9</x:v>
      </x:c>
      <x:c r="H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10" t="n"/>
      <x:c r="M14" s="9" t="n">
        <x:f>A14</x:f>
        <x:v>-0.9</x:v>
      </x:c>
      <x:c r="N14" s="9"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9"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9"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9"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10" t="n"/>
      <x:c r="S14" s="9" t="n">
        <x:f>A14</x:f>
        <x:v>-0.9</x:v>
      </x:c>
      <x:c r="T14" s="9" t="n">
        <x:f>(Inputs!$I$6+(((A14)+1)/2)*(Inputs!$J$6-Inputs!$I$6))</x:f>
        <x:v>-54</x:v>
      </x:c>
      <x:c r="U14" s="9" t="n">
        <x:f>(Inputs!$I$7+(((A14)+1)/2)*(Inputs!$J$7-Inputs!$I$7))</x:f>
        <x:v>-360</x:v>
      </x:c>
      <x:c r="V14" s="9" t="n">
        <x:f>(Inputs!$I$8+(((A14)+1)/2)*(Inputs!$J$8-Inputs!$I$8))</x:f>
        <x:v>-720</x:v>
      </x:c>
      <x:c r="W14" s="9" t="n">
        <x:f>(Inputs!$I$9+(((A14)+1)/2)*(Inputs!$J$9-Inputs!$I$9))</x:f>
        <x:v>-720</x:v>
      </x:c>
      <x:c r="X14" s="10" t="n"/>
      <x:c r="Y14" s="9" t="n">
        <x:f>A14</x:f>
        <x:v>-0.9</x:v>
      </x:c>
      <x:c r="Z14" s="9" t="n">
        <x:f>(Inputs!$H$6+Inputs!$L$6*(((Inputs!$I$6+(((A14)+1)/2)*(Inputs!$J$6-Inputs!$I$6)))/Inputs!$K$6)^2)</x:f>
        <x:v>403.24</x:v>
      </x:c>
      <x:c r="AA14" s="9" t="n">
        <x:f>(Inputs!$H$7+Inputs!$L$7*(((Inputs!$I$7+(((A14)+1)/2)*(Inputs!$J$7-Inputs!$I$7)))/Inputs!$K$7)^2)</x:f>
        <x:v>330.65000000000003</x:v>
      </x:c>
      <x:c r="AB14" s="9" t="n">
        <x:f>(Inputs!$H$8+Inputs!$L$8*(((Inputs!$I$8+(((A14)+1)/2)*(Inputs!$J$8-Inputs!$I$8)))/Inputs!$K$8)^2)</x:f>
        <x:v>816.6500000000001</x:v>
      </x:c>
      <x:c r="AC14" s="9" t="n">
        <x:f>(Inputs!$H$9+Inputs!$L$9*(((Inputs!$I$9+(((A14)+1)/2)*(Inputs!$J$9-Inputs!$I$9)))/Inputs!$K$9)^2)</x:f>
        <x:v>814.75</x:v>
      </x:c>
      <x:c r="AD14" s="10" t="n"/>
      <x:c r="AE14" s="9" t="n">
        <x:f>A14</x:f>
        <x:v>-0.9</x:v>
      </x:c>
      <x:c r="AF14" s="9"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9"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9"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9"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10" t="n"/>
      <x:c r="AK14" s="9" t="n">
        <x:f>A14</x:f>
        <x:v>-0.9</x:v>
      </x:c>
      <x:c r="AL14" s="9"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9"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9"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9"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10" t="n"/>
      <x:c r="AQ14" s="9" t="n">
        <x:f>A14</x:f>
        <x:v>-0.9</x:v>
      </x:c>
      <x:c r="AR14" s="9" t="n">
        <x:f>0</x:f>
        <x:v>0</x:v>
      </x:c>
      <x:c r="AS14" s="9"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x:f>
        <x:v>196.39629745562698</x:v>
      </x:c>
      <x:c r="AT14" s="9"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x:f>
        <x:v>99.30495865310719</x:v>
      </x:c>
      <x:c r="AU14" s="9"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x:f>
        <x:v>114.68773835895462</x:v>
      </x:c>
      <x:c r="AV14" s="9"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x:f>
        <x:v>114.68773835895462</x:v>
      </x:c>
      <x:c r="AW14" s="10" t="n"/>
      <x:c r="AX14" s="9" t="n">
        <x:f>A14</x:f>
        <x:v>-0.9</x:v>
      </x:c>
      <x:c r="AY14" s="9" t="n">
        <x:f>0</x:f>
        <x:v>0</x:v>
      </x:c>
      <x:c r="AZ14" s="9" t="n">
        <x:f>IF(OR(Inputs!$F$6=TRUE,Inputs!$F$6="TRUE",Inputs!$F$6=1),(Inputs!$H$6+Inputs!$L$6*(((Inputs!$I$6+(((A14)+1)/2)*(Inputs!$J$6-Inputs!$I$6)))/Inputs!$K$6)^2),NA())</x:f>
        <x:v>403.24</x:v>
      </x:c>
      <x:c r="BA14" s="9" t="n">
        <x:f>IF(OR(Inputs!$F$7=TRUE,Inputs!$F$7="TRUE",Inputs!$F$7=1),(Inputs!$H$7+Inputs!$L$7*(((Inputs!$I$7+(((A14)+1)/2)*(Inputs!$J$7-Inputs!$I$7)))/Inputs!$K$7)^2),NA())</x:f>
        <x:v>330.65000000000003</x:v>
      </x:c>
      <x:c r="BB14" s="9" t="n">
        <x:f>IF(OR(Inputs!$F$8=TRUE,Inputs!$F$8="TRUE",Inputs!$F$8=1),(Inputs!$H$8+Inputs!$L$8*(((Inputs!$I$8+(((A14)+1)/2)*(Inputs!$J$8-Inputs!$I$8)))/Inputs!$K$8)^2),NA())</x:f>
        <x:v>816.6500000000001</x:v>
      </x:c>
      <x:c r="BC14" s="9" t="n">
        <x:f>IF(OR(Inputs!$F$9=TRUE,Inputs!$F$9="TRUE",Inputs!$F$9=1),(Inputs!$H$9+Inputs!$L$9*(((Inputs!$I$9+(((A14)+1)/2)*(Inputs!$J$9-Inputs!$I$9)))/Inputs!$K$9)^2),NA())</x:f>
        <x:v>814.75</x:v>
      </x:c>
      <x:c r="BD14" s="10" t="n"/>
      <x:c r="BE14" s="9" t="n">
        <x:f>A14</x:f>
        <x:v>-0.9</x:v>
      </x:c>
      <x:c r="BF14" s="9" t="n">
        <x:f>0</x:f>
        <x:v>0</x:v>
      </x:c>
      <x:c r="BG14" s="9"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9"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9"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9"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9" t="n">
        <x:f>ROUND(-1+13*2/240,3)</x:f>
        <x:v>-0.892</x:v>
      </x:c>
      <x:c r="B15" s="9" t="n">
        <x:f>IF(OR(Inputs!$F$6=TRUE,Inputs!$F$6="TRUE",Inputs!$F$6=1),(Inputs!$H$6+Inputs!$L$6*(((Inputs!$I$6+(((A15)+1)/2)*(Inputs!$J$6-Inputs!$I$6)))/Inputs!$K$6)^2),NA())</x:f>
        <x:v>403.182656</x:v>
      </x:c>
      <x:c r="C15" s="9" t="n">
        <x:f>IF(OR(Inputs!$F$7=TRUE,Inputs!$F$7="TRUE",Inputs!$F$7=1),(Inputs!$H$7+Inputs!$L$7*(((Inputs!$I$7+(((A15)+1)/2)*(Inputs!$J$7-Inputs!$I$7)))/Inputs!$K$7)^2),NA())</x:f>
        <x:v>325.41736000000003</x:v>
      </x:c>
      <x:c r="D15" s="9" t="n">
        <x:f>IF(OR(Inputs!$F$8=TRUE,Inputs!$F$8="TRUE",Inputs!$F$8=1),(Inputs!$H$8+Inputs!$L$8*(((Inputs!$I$8+(((A15)+1)/2)*(Inputs!$J$8-Inputs!$I$8)))/Inputs!$K$8)^2),NA())</x:f>
        <x:v>802.8157600000001</x:v>
      </x:c>
      <x:c r="E15" s="9" t="n">
        <x:f>IF(OR(Inputs!$F$9=TRUE,Inputs!$F$9="TRUE",Inputs!$F$9=1),(Inputs!$H$9+Inputs!$L$9*(((Inputs!$I$9+(((A15)+1)/2)*(Inputs!$J$9-Inputs!$I$9)))/Inputs!$K$9)^2),NA())</x:f>
        <x:v>800.7724000000001</x:v>
      </x:c>
      <x:c r="F15" s="10" t="n"/>
      <x:c r="G15" s="9" t="n">
        <x:f>A15</x:f>
        <x:v>-0.892</x:v>
      </x:c>
      <x:c r="H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10" t="n"/>
      <x:c r="M15" s="9" t="n">
        <x:f>A15</x:f>
        <x:v>-0.892</x:v>
      </x:c>
      <x:c r="N15" s="9"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9"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9"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9"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10" t="n"/>
      <x:c r="S15" s="9" t="n">
        <x:f>A15</x:f>
        <x:v>-0.892</x:v>
      </x:c>
      <x:c r="T15" s="9" t="n">
        <x:f>(Inputs!$I$6+(((A15)+1)/2)*(Inputs!$J$6-Inputs!$I$6))</x:f>
        <x:v>-53.52</x:v>
      </x:c>
      <x:c r="U15" s="9" t="n">
        <x:f>(Inputs!$I$7+(((A15)+1)/2)*(Inputs!$J$7-Inputs!$I$7))</x:f>
        <x:v>-356.8</x:v>
      </x:c>
      <x:c r="V15" s="9" t="n">
        <x:f>(Inputs!$I$8+(((A15)+1)/2)*(Inputs!$J$8-Inputs!$I$8))</x:f>
        <x:v>-713.6</x:v>
      </x:c>
      <x:c r="W15" s="9" t="n">
        <x:f>(Inputs!$I$9+(((A15)+1)/2)*(Inputs!$J$9-Inputs!$I$9))</x:f>
        <x:v>-713.6</x:v>
      </x:c>
      <x:c r="X15" s="10" t="n"/>
      <x:c r="Y15" s="9" t="n">
        <x:f>A15</x:f>
        <x:v>-0.892</x:v>
      </x:c>
      <x:c r="Z15" s="9" t="n">
        <x:f>(Inputs!$H$6+Inputs!$L$6*(((Inputs!$I$6+(((A15)+1)/2)*(Inputs!$J$6-Inputs!$I$6)))/Inputs!$K$6)^2)</x:f>
        <x:v>403.182656</x:v>
      </x:c>
      <x:c r="AA15" s="9" t="n">
        <x:f>(Inputs!$H$7+Inputs!$L$7*(((Inputs!$I$7+(((A15)+1)/2)*(Inputs!$J$7-Inputs!$I$7)))/Inputs!$K$7)^2)</x:f>
        <x:v>325.41736000000003</x:v>
      </x:c>
      <x:c r="AB15" s="9" t="n">
        <x:f>(Inputs!$H$8+Inputs!$L$8*(((Inputs!$I$8+(((A15)+1)/2)*(Inputs!$J$8-Inputs!$I$8)))/Inputs!$K$8)^2)</x:f>
        <x:v>802.8157600000001</x:v>
      </x:c>
      <x:c r="AC15" s="9" t="n">
        <x:f>(Inputs!$H$9+Inputs!$L$9*(((Inputs!$I$9+(((A15)+1)/2)*(Inputs!$J$9-Inputs!$I$9)))/Inputs!$K$9)^2)</x:f>
        <x:v>800.7724000000001</x:v>
      </x:c>
      <x:c r="AD15" s="10" t="n"/>
      <x:c r="AE15" s="9" t="n">
        <x:f>A15</x:f>
        <x:v>-0.892</x:v>
      </x:c>
      <x:c r="AF15" s="9"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9"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9"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9"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10" t="n"/>
      <x:c r="AK15" s="9" t="n">
        <x:f>A15</x:f>
        <x:v>-0.892</x:v>
      </x:c>
      <x:c r="AL15" s="9"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9"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9"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9"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10" t="n"/>
      <x:c r="AQ15" s="9" t="n">
        <x:f>A15</x:f>
        <x:v>-0.892</x:v>
      </x:c>
      <x:c r="AR15" s="9" t="n">
        <x:f>0</x:f>
        <x:v>0</x:v>
      </x:c>
      <x:c r="AS15" s="9"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x:f>
        <x:v>223.50770882500376</x:v>
      </x:c>
      <x:c r="AT15" s="9"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x:f>
        <x:v>182.78083498257146</x:v>
      </x:c>
      <x:c r="AU15" s="9"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x:f>
        <x:v>177.618518747164</x:v>
      </x:c>
      <x:c r="AV15" s="9"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x:f>
        <x:v>177.618518747164</x:v>
      </x:c>
      <x:c r="AW15" s="10" t="n"/>
      <x:c r="AX15" s="9" t="n">
        <x:f>A15</x:f>
        <x:v>-0.892</x:v>
      </x:c>
      <x:c r="AY15" s="9" t="n">
        <x:f>0</x:f>
        <x:v>0</x:v>
      </x:c>
      <x:c r="AZ15" s="9" t="n">
        <x:f>IF(OR(Inputs!$F$6=TRUE,Inputs!$F$6="TRUE",Inputs!$F$6=1),(Inputs!$H$6+Inputs!$L$6*(((Inputs!$I$6+(((A15)+1)/2)*(Inputs!$J$6-Inputs!$I$6)))/Inputs!$K$6)^2),NA())</x:f>
        <x:v>403.182656</x:v>
      </x:c>
      <x:c r="BA15" s="9" t="n">
        <x:f>IF(OR(Inputs!$F$7=TRUE,Inputs!$F$7="TRUE",Inputs!$F$7=1),(Inputs!$H$7+Inputs!$L$7*(((Inputs!$I$7+(((A15)+1)/2)*(Inputs!$J$7-Inputs!$I$7)))/Inputs!$K$7)^2),NA())</x:f>
        <x:v>325.41736000000003</x:v>
      </x:c>
      <x:c r="BB15" s="9" t="n">
        <x:f>IF(OR(Inputs!$F$8=TRUE,Inputs!$F$8="TRUE",Inputs!$F$8=1),(Inputs!$H$8+Inputs!$L$8*(((Inputs!$I$8+(((A15)+1)/2)*(Inputs!$J$8-Inputs!$I$8)))/Inputs!$K$8)^2),NA())</x:f>
        <x:v>802.8157600000001</x:v>
      </x:c>
      <x:c r="BC15" s="9" t="n">
        <x:f>IF(OR(Inputs!$F$9=TRUE,Inputs!$F$9="TRUE",Inputs!$F$9=1),(Inputs!$H$9+Inputs!$L$9*(((Inputs!$I$9+(((A15)+1)/2)*(Inputs!$J$9-Inputs!$I$9)))/Inputs!$K$9)^2),NA())</x:f>
        <x:v>800.7724000000001</x:v>
      </x:c>
      <x:c r="BD15" s="10" t="n"/>
      <x:c r="BE15" s="9" t="n">
        <x:f>A15</x:f>
        <x:v>-0.892</x:v>
      </x:c>
      <x:c r="BF15" s="9" t="n">
        <x:f>0</x:f>
        <x:v>0</x:v>
      </x:c>
      <x:c r="BG15" s="9"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9"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9"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9"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9" t="n">
        <x:f>ROUND(-1+14*2/240,3)</x:f>
        <x:v>-0.883</x:v>
      </x:c>
      <x:c r="B16" s="9" t="n">
        <x:f>IF(OR(Inputs!$F$6=TRUE,Inputs!$F$6="TRUE",Inputs!$F$6=1),(Inputs!$H$6+Inputs!$L$6*(((Inputs!$I$6+(((A16)+1)/2)*(Inputs!$J$6-Inputs!$I$6)))/Inputs!$K$6)^2),NA())</x:f>
        <x:v>403.118756</x:v>
      </x:c>
      <x:c r="C16" s="9" t="n">
        <x:f>IF(OR(Inputs!$F$7=TRUE,Inputs!$F$7="TRUE",Inputs!$F$7=1),(Inputs!$H$7+Inputs!$L$7*(((Inputs!$I$7+(((A16)+1)/2)*(Inputs!$J$7-Inputs!$I$7)))/Inputs!$K$7)^2),NA())</x:f>
        <x:v>319.586485</x:v>
      </x:c>
      <x:c r="D16" s="9" t="n">
        <x:f>IF(OR(Inputs!$F$8=TRUE,Inputs!$F$8="TRUE",Inputs!$F$8=1),(Inputs!$H$8+Inputs!$L$8*(((Inputs!$I$8+(((A16)+1)/2)*(Inputs!$J$8-Inputs!$I$8)))/Inputs!$K$8)^2),NA())</x:f>
        <x:v>787.3998849999999</x:v>
      </x:c>
      <x:c r="E16" s="9" t="n">
        <x:f>IF(OR(Inputs!$F$9=TRUE,Inputs!$F$9="TRUE",Inputs!$F$9=1),(Inputs!$H$9+Inputs!$L$9*(((Inputs!$I$9+(((A16)+1)/2)*(Inputs!$J$9-Inputs!$I$9)))/Inputs!$K$9)^2),NA())</x:f>
        <x:v>785.196775</x:v>
      </x:c>
      <x:c r="F16" s="10" t="n"/>
      <x:c r="G16" s="9" t="n">
        <x:f>A16</x:f>
        <x:v>-0.883</x:v>
      </x:c>
      <x:c r="H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10" t="n"/>
      <x:c r="M16" s="9" t="n">
        <x:f>A16</x:f>
        <x:v>-0.883</x:v>
      </x:c>
      <x:c r="N16" s="9"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9"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9"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9"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10" t="n"/>
      <x:c r="S16" s="9" t="n">
        <x:f>A16</x:f>
        <x:v>-0.883</x:v>
      </x:c>
      <x:c r="T16" s="9" t="n">
        <x:f>(Inputs!$I$6+(((A16)+1)/2)*(Inputs!$J$6-Inputs!$I$6))</x:f>
        <x:v>-52.980000000000004</x:v>
      </x:c>
      <x:c r="U16" s="9" t="n">
        <x:f>(Inputs!$I$7+(((A16)+1)/2)*(Inputs!$J$7-Inputs!$I$7))</x:f>
        <x:v>-353.2</x:v>
      </x:c>
      <x:c r="V16" s="9" t="n">
        <x:f>(Inputs!$I$8+(((A16)+1)/2)*(Inputs!$J$8-Inputs!$I$8))</x:f>
        <x:v>-706.4</x:v>
      </x:c>
      <x:c r="W16" s="9" t="n">
        <x:f>(Inputs!$I$9+(((A16)+1)/2)*(Inputs!$J$9-Inputs!$I$9))</x:f>
        <x:v>-706.4</x:v>
      </x:c>
      <x:c r="X16" s="10" t="n"/>
      <x:c r="Y16" s="9" t="n">
        <x:f>A16</x:f>
        <x:v>-0.883</x:v>
      </x:c>
      <x:c r="Z16" s="9" t="n">
        <x:f>(Inputs!$H$6+Inputs!$L$6*(((Inputs!$I$6+(((A16)+1)/2)*(Inputs!$J$6-Inputs!$I$6)))/Inputs!$K$6)^2)</x:f>
        <x:v>403.118756</x:v>
      </x:c>
      <x:c r="AA16" s="9" t="n">
        <x:f>(Inputs!$H$7+Inputs!$L$7*(((Inputs!$I$7+(((A16)+1)/2)*(Inputs!$J$7-Inputs!$I$7)))/Inputs!$K$7)^2)</x:f>
        <x:v>319.586485</x:v>
      </x:c>
      <x:c r="AB16" s="9" t="n">
        <x:f>(Inputs!$H$8+Inputs!$L$8*(((Inputs!$I$8+(((A16)+1)/2)*(Inputs!$J$8-Inputs!$I$8)))/Inputs!$K$8)^2)</x:f>
        <x:v>787.3998849999999</x:v>
      </x:c>
      <x:c r="AC16" s="9" t="n">
        <x:f>(Inputs!$H$9+Inputs!$L$9*(((Inputs!$I$9+(((A16)+1)/2)*(Inputs!$J$9-Inputs!$I$9)))/Inputs!$K$9)^2)</x:f>
        <x:v>785.196775</x:v>
      </x:c>
      <x:c r="AD16" s="10" t="n"/>
      <x:c r="AE16" s="9" t="n">
        <x:f>A16</x:f>
        <x:v>-0.883</x:v>
      </x:c>
      <x:c r="AF16" s="9"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9"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9"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9"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10" t="n"/>
      <x:c r="AK16" s="9" t="n">
        <x:f>A16</x:f>
        <x:v>-0.883</x:v>
      </x:c>
      <x:c r="AL16" s="9"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9"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9"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9"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10" t="n"/>
      <x:c r="AQ16" s="9" t="n">
        <x:f>A16</x:f>
        <x:v>-0.883</x:v>
      </x:c>
      <x:c r="AR16" s="9" t="n">
        <x:f>0</x:f>
        <x:v>0</x:v>
      </x:c>
      <x:c r="AS16" s="9"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x:f>
        <x:v>236.14608519318855</x:v>
      </x:c>
      <x:c r="AT16" s="9"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x:f>
        <x:v>188.81151651277608</x:v>
      </x:c>
      <x:c r="AU16" s="9"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x:f>
        <x:v>79.15837759213171</x:v>
      </x:c>
      <x:c r="AV16" s="9"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x:f>
        <x:v>79.15837759213171</x:v>
      </x:c>
      <x:c r="AW16" s="10" t="n"/>
      <x:c r="AX16" s="9" t="n">
        <x:f>A16</x:f>
        <x:v>-0.883</x:v>
      </x:c>
      <x:c r="AY16" s="9" t="n">
        <x:f>0</x:f>
        <x:v>0</x:v>
      </x:c>
      <x:c r="AZ16" s="9" t="n">
        <x:f>IF(OR(Inputs!$F$6=TRUE,Inputs!$F$6="TRUE",Inputs!$F$6=1),(Inputs!$H$6+Inputs!$L$6*(((Inputs!$I$6+(((A16)+1)/2)*(Inputs!$J$6-Inputs!$I$6)))/Inputs!$K$6)^2),NA())</x:f>
        <x:v>403.118756</x:v>
      </x:c>
      <x:c r="BA16" s="9" t="n">
        <x:f>IF(OR(Inputs!$F$7=TRUE,Inputs!$F$7="TRUE",Inputs!$F$7=1),(Inputs!$H$7+Inputs!$L$7*(((Inputs!$I$7+(((A16)+1)/2)*(Inputs!$J$7-Inputs!$I$7)))/Inputs!$K$7)^2),NA())</x:f>
        <x:v>319.586485</x:v>
      </x:c>
      <x:c r="BB16" s="9" t="n">
        <x:f>IF(OR(Inputs!$F$8=TRUE,Inputs!$F$8="TRUE",Inputs!$F$8=1),(Inputs!$H$8+Inputs!$L$8*(((Inputs!$I$8+(((A16)+1)/2)*(Inputs!$J$8-Inputs!$I$8)))/Inputs!$K$8)^2),NA())</x:f>
        <x:v>787.3998849999999</x:v>
      </x:c>
      <x:c r="BC16" s="9" t="n">
        <x:f>IF(OR(Inputs!$F$9=TRUE,Inputs!$F$9="TRUE",Inputs!$F$9=1),(Inputs!$H$9+Inputs!$L$9*(((Inputs!$I$9+(((A16)+1)/2)*(Inputs!$J$9-Inputs!$I$9)))/Inputs!$K$9)^2),NA())</x:f>
        <x:v>785.196775</x:v>
      </x:c>
      <x:c r="BD16" s="10" t="n"/>
      <x:c r="BE16" s="9" t="n">
        <x:f>A16</x:f>
        <x:v>-0.883</x:v>
      </x:c>
      <x:c r="BF16" s="9" t="n">
        <x:f>0</x:f>
        <x:v>0</x:v>
      </x:c>
      <x:c r="BG16" s="9"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9"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9"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9"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9" t="n">
        <x:f>ROUND(-1+15*2/240,3)</x:f>
        <x:v>-0.875</x:v>
      </x:c>
      <x:c r="B17" s="9" t="n">
        <x:f>IF(OR(Inputs!$F$6=TRUE,Inputs!$F$6="TRUE",Inputs!$F$6=1),(Inputs!$H$6+Inputs!$L$6*(((Inputs!$I$6+(((A17)+1)/2)*(Inputs!$J$6-Inputs!$I$6)))/Inputs!$K$6)^2),NA())</x:f>
        <x:v>403.0625</x:v>
      </x:c>
      <x:c r="C17" s="9" t="n">
        <x:f>IF(OR(Inputs!$F$7=TRUE,Inputs!$F$7="TRUE",Inputs!$F$7=1),(Inputs!$H$7+Inputs!$L$7*(((Inputs!$I$7+(((A17)+1)/2)*(Inputs!$J$7-Inputs!$I$7)))/Inputs!$K$7)^2),NA())</x:f>
        <x:v>314.453125</x:v>
      </x:c>
      <x:c r="D17" s="9" t="n">
        <x:f>IF(OR(Inputs!$F$8=TRUE,Inputs!$F$8="TRUE",Inputs!$F$8=1),(Inputs!$H$8+Inputs!$L$8*(((Inputs!$I$8+(((A17)+1)/2)*(Inputs!$J$8-Inputs!$I$8)))/Inputs!$K$8)^2),NA())</x:f>
        <x:v>773.828125</x:v>
      </x:c>
      <x:c r="E17" s="9" t="n">
        <x:f>IF(OR(Inputs!$F$9=TRUE,Inputs!$F$9="TRUE",Inputs!$F$9=1),(Inputs!$H$9+Inputs!$L$9*(((Inputs!$I$9+(((A17)+1)/2)*(Inputs!$J$9-Inputs!$I$9)))/Inputs!$K$9)^2),NA())</x:f>
        <x:v>771.484375</x:v>
      </x:c>
      <x:c r="F17" s="10" t="n"/>
      <x:c r="G17" s="9" t="n">
        <x:f>A17</x:f>
        <x:v>-0.875</x:v>
      </x:c>
      <x:c r="H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10" t="n"/>
      <x:c r="M17" s="9" t="n">
        <x:f>A17</x:f>
        <x:v>-0.875</x:v>
      </x:c>
      <x:c r="N17" s="9"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9"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9"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9"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10" t="n"/>
      <x:c r="S17" s="9" t="n">
        <x:f>A17</x:f>
        <x:v>-0.875</x:v>
      </x:c>
      <x:c r="T17" s="9" t="n">
        <x:f>(Inputs!$I$6+(((A17)+1)/2)*(Inputs!$J$6-Inputs!$I$6))</x:f>
        <x:v>-52.5</x:v>
      </x:c>
      <x:c r="U17" s="9" t="n">
        <x:f>(Inputs!$I$7+(((A17)+1)/2)*(Inputs!$J$7-Inputs!$I$7))</x:f>
        <x:v>-350</x:v>
      </x:c>
      <x:c r="V17" s="9" t="n">
        <x:f>(Inputs!$I$8+(((A17)+1)/2)*(Inputs!$J$8-Inputs!$I$8))</x:f>
        <x:v>-700</x:v>
      </x:c>
      <x:c r="W17" s="9" t="n">
        <x:f>(Inputs!$I$9+(((A17)+1)/2)*(Inputs!$J$9-Inputs!$I$9))</x:f>
        <x:v>-700</x:v>
      </x:c>
      <x:c r="X17" s="10" t="n"/>
      <x:c r="Y17" s="9" t="n">
        <x:f>A17</x:f>
        <x:v>-0.875</x:v>
      </x:c>
      <x:c r="Z17" s="9" t="n">
        <x:f>(Inputs!$H$6+Inputs!$L$6*(((Inputs!$I$6+(((A17)+1)/2)*(Inputs!$J$6-Inputs!$I$6)))/Inputs!$K$6)^2)</x:f>
        <x:v>403.0625</x:v>
      </x:c>
      <x:c r="AA17" s="9" t="n">
        <x:f>(Inputs!$H$7+Inputs!$L$7*(((Inputs!$I$7+(((A17)+1)/2)*(Inputs!$J$7-Inputs!$I$7)))/Inputs!$K$7)^2)</x:f>
        <x:v>314.453125</x:v>
      </x:c>
      <x:c r="AB17" s="9" t="n">
        <x:f>(Inputs!$H$8+Inputs!$L$8*(((Inputs!$I$8+(((A17)+1)/2)*(Inputs!$J$8-Inputs!$I$8)))/Inputs!$K$8)^2)</x:f>
        <x:v>773.828125</x:v>
      </x:c>
      <x:c r="AC17" s="9" t="n">
        <x:f>(Inputs!$H$9+Inputs!$L$9*(((Inputs!$I$9+(((A17)+1)/2)*(Inputs!$J$9-Inputs!$I$9)))/Inputs!$K$9)^2)</x:f>
        <x:v>771.484375</x:v>
      </x:c>
      <x:c r="AD17" s="10" t="n"/>
      <x:c r="AE17" s="9" t="n">
        <x:f>A17</x:f>
        <x:v>-0.875</x:v>
      </x:c>
      <x:c r="AF17" s="9"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9"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9"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9"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10" t="n"/>
      <x:c r="AK17" s="9" t="n">
        <x:f>A17</x:f>
        <x:v>-0.875</x:v>
      </x:c>
      <x:c r="AL17" s="9"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9"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9"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9"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10" t="n"/>
      <x:c r="AQ17" s="9" t="n">
        <x:f>A17</x:f>
        <x:v>-0.875</x:v>
      </x:c>
      <x:c r="AR17" s="9" t="n">
        <x:f>0</x:f>
        <x:v>0</x:v>
      </x:c>
      <x:c r="AS17" s="9"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x:f>
        <x:v>228.48571186718385</x:v>
      </x:c>
      <x:c r="AT17" s="9"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x:f>
        <x:v>115.60367392194259</x:v>
      </x:c>
      <x:c r="AU17" s="9"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x:f>
        <x:v>170.48684029931871</x:v>
      </x:c>
      <x:c r="AV17" s="9"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x:f>
        <x:v>170.48684029931871</x:v>
      </x:c>
      <x:c r="AW17" s="10" t="n"/>
      <x:c r="AX17" s="9" t="n">
        <x:f>A17</x:f>
        <x:v>-0.875</x:v>
      </x:c>
      <x:c r="AY17" s="9" t="n">
        <x:f>0</x:f>
        <x:v>0</x:v>
      </x:c>
      <x:c r="AZ17" s="9" t="n">
        <x:f>IF(OR(Inputs!$F$6=TRUE,Inputs!$F$6="TRUE",Inputs!$F$6=1),(Inputs!$H$6+Inputs!$L$6*(((Inputs!$I$6+(((A17)+1)/2)*(Inputs!$J$6-Inputs!$I$6)))/Inputs!$K$6)^2),NA())</x:f>
        <x:v>403.0625</x:v>
      </x:c>
      <x:c r="BA17" s="9" t="n">
        <x:f>IF(OR(Inputs!$F$7=TRUE,Inputs!$F$7="TRUE",Inputs!$F$7=1),(Inputs!$H$7+Inputs!$L$7*(((Inputs!$I$7+(((A17)+1)/2)*(Inputs!$J$7-Inputs!$I$7)))/Inputs!$K$7)^2),NA())</x:f>
        <x:v>314.453125</x:v>
      </x:c>
      <x:c r="BB17" s="9" t="n">
        <x:f>IF(OR(Inputs!$F$8=TRUE,Inputs!$F$8="TRUE",Inputs!$F$8=1),(Inputs!$H$8+Inputs!$L$8*(((Inputs!$I$8+(((A17)+1)/2)*(Inputs!$J$8-Inputs!$I$8)))/Inputs!$K$8)^2),NA())</x:f>
        <x:v>773.828125</x:v>
      </x:c>
      <x:c r="BC17" s="9" t="n">
        <x:f>IF(OR(Inputs!$F$9=TRUE,Inputs!$F$9="TRUE",Inputs!$F$9=1),(Inputs!$H$9+Inputs!$L$9*(((Inputs!$I$9+(((A17)+1)/2)*(Inputs!$J$9-Inputs!$I$9)))/Inputs!$K$9)^2),NA())</x:f>
        <x:v>771.484375</x:v>
      </x:c>
      <x:c r="BD17" s="10" t="n"/>
      <x:c r="BE17" s="9" t="n">
        <x:f>A17</x:f>
        <x:v>-0.875</x:v>
      </x:c>
      <x:c r="BF17" s="9" t="n">
        <x:f>0</x:f>
        <x:v>0</x:v>
      </x:c>
      <x:c r="BG17" s="9"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9"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9"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9"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9" t="n">
        <x:f>ROUND(-1+16*2/240,3)</x:f>
        <x:v>-0.867</x:v>
      </x:c>
      <x:c r="B18" s="9" t="n">
        <x:f>IF(OR(Inputs!$F$6=TRUE,Inputs!$F$6="TRUE",Inputs!$F$6=1),(Inputs!$H$6+Inputs!$L$6*(((Inputs!$I$6+(((A18)+1)/2)*(Inputs!$J$6-Inputs!$I$6)))/Inputs!$K$6)^2),NA())</x:f>
        <x:v>403.006756</x:v>
      </x:c>
      <x:c r="C18" s="9" t="n">
        <x:f>IF(OR(Inputs!$F$7=TRUE,Inputs!$F$7="TRUE",Inputs!$F$7=1),(Inputs!$H$7+Inputs!$L$7*(((Inputs!$I$7+(((A18)+1)/2)*(Inputs!$J$7-Inputs!$I$7)))/Inputs!$K$7)^2),NA())</x:f>
        <x:v>309.36648499999995</x:v>
      </x:c>
      <x:c r="D18" s="9" t="n">
        <x:f>IF(OR(Inputs!$F$8=TRUE,Inputs!$F$8="TRUE",Inputs!$F$8=1),(Inputs!$H$8+Inputs!$L$8*(((Inputs!$I$8+(((A18)+1)/2)*(Inputs!$J$8-Inputs!$I$8)))/Inputs!$K$8)^2),NA())</x:f>
        <x:v>760.379885</x:v>
      </x:c>
      <x:c r="E18" s="9" t="n">
        <x:f>IF(OR(Inputs!$F$9=TRUE,Inputs!$F$9="TRUE",Inputs!$F$9=1),(Inputs!$H$9+Inputs!$L$9*(((Inputs!$I$9+(((A18)+1)/2)*(Inputs!$J$9-Inputs!$I$9)))/Inputs!$K$9)^2),NA())</x:f>
        <x:v>757.8967749999999</x:v>
      </x:c>
      <x:c r="F18" s="10" t="n"/>
      <x:c r="G18" s="9" t="n">
        <x:f>A18</x:f>
        <x:v>-0.867</x:v>
      </x:c>
      <x:c r="H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10" t="n"/>
      <x:c r="M18" s="9" t="n">
        <x:f>A18</x:f>
        <x:v>-0.867</x:v>
      </x:c>
      <x:c r="N18" s="9"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9"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9"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9"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10" t="n"/>
      <x:c r="S18" s="9" t="n">
        <x:f>A18</x:f>
        <x:v>-0.867</x:v>
      </x:c>
      <x:c r="T18" s="9" t="n">
        <x:f>(Inputs!$I$6+(((A18)+1)/2)*(Inputs!$J$6-Inputs!$I$6))</x:f>
        <x:v>-52.019999999999996</x:v>
      </x:c>
      <x:c r="U18" s="9" t="n">
        <x:f>(Inputs!$I$7+(((A18)+1)/2)*(Inputs!$J$7-Inputs!$I$7))</x:f>
        <x:v>-346.8</x:v>
      </x:c>
      <x:c r="V18" s="9" t="n">
        <x:f>(Inputs!$I$8+(((A18)+1)/2)*(Inputs!$J$8-Inputs!$I$8))</x:f>
        <x:v>-693.6</x:v>
      </x:c>
      <x:c r="W18" s="9" t="n">
        <x:f>(Inputs!$I$9+(((A18)+1)/2)*(Inputs!$J$9-Inputs!$I$9))</x:f>
        <x:v>-693.6</x:v>
      </x:c>
      <x:c r="X18" s="10" t="n"/>
      <x:c r="Y18" s="9" t="n">
        <x:f>A18</x:f>
        <x:v>-0.867</x:v>
      </x:c>
      <x:c r="Z18" s="9" t="n">
        <x:f>(Inputs!$H$6+Inputs!$L$6*(((Inputs!$I$6+(((A18)+1)/2)*(Inputs!$J$6-Inputs!$I$6)))/Inputs!$K$6)^2)</x:f>
        <x:v>403.006756</x:v>
      </x:c>
      <x:c r="AA18" s="9" t="n">
        <x:f>(Inputs!$H$7+Inputs!$L$7*(((Inputs!$I$7+(((A18)+1)/2)*(Inputs!$J$7-Inputs!$I$7)))/Inputs!$K$7)^2)</x:f>
        <x:v>309.36648499999995</x:v>
      </x:c>
      <x:c r="AB18" s="9" t="n">
        <x:f>(Inputs!$H$8+Inputs!$L$8*(((Inputs!$I$8+(((A18)+1)/2)*(Inputs!$J$8-Inputs!$I$8)))/Inputs!$K$8)^2)</x:f>
        <x:v>760.379885</x:v>
      </x:c>
      <x:c r="AC18" s="9" t="n">
        <x:f>(Inputs!$H$9+Inputs!$L$9*(((Inputs!$I$9+(((A18)+1)/2)*(Inputs!$J$9-Inputs!$I$9)))/Inputs!$K$9)^2)</x:f>
        <x:v>757.8967749999999</x:v>
      </x:c>
      <x:c r="AD18" s="10" t="n"/>
      <x:c r="AE18" s="9" t="n">
        <x:f>A18</x:f>
        <x:v>-0.867</x:v>
      </x:c>
      <x:c r="AF18" s="9"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9"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9"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9"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10" t="n"/>
      <x:c r="AK18" s="9" t="n">
        <x:f>A18</x:f>
        <x:v>-0.867</x:v>
      </x:c>
      <x:c r="AL18" s="9"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9"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9"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9"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10" t="n"/>
      <x:c r="AQ18" s="9" t="n">
        <x:f>A18</x:f>
        <x:v>-0.867</x:v>
      </x:c>
      <x:c r="AR18" s="9" t="n">
        <x:f>0</x:f>
        <x:v>0</x:v>
      </x:c>
      <x:c r="AS18" s="9"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x:f>
        <x:v>241.12752156253367</x:v>
      </x:c>
      <x:c r="AT18" s="9"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x:f>
        <x:v>88.3507717138881</x:v>
      </x:c>
      <x:c r="AU18" s="9"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x:f>
        <x:v>189.11252638529652</x:v>
      </x:c>
      <x:c r="AV18" s="9"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x:f>
        <x:v>189.11252638529652</x:v>
      </x:c>
      <x:c r="AW18" s="10" t="n"/>
      <x:c r="AX18" s="9" t="n">
        <x:f>A18</x:f>
        <x:v>-0.867</x:v>
      </x:c>
      <x:c r="AY18" s="9" t="n">
        <x:f>0</x:f>
        <x:v>0</x:v>
      </x:c>
      <x:c r="AZ18" s="9" t="n">
        <x:f>IF(OR(Inputs!$F$6=TRUE,Inputs!$F$6="TRUE",Inputs!$F$6=1),(Inputs!$H$6+Inputs!$L$6*(((Inputs!$I$6+(((A18)+1)/2)*(Inputs!$J$6-Inputs!$I$6)))/Inputs!$K$6)^2),NA())</x:f>
        <x:v>403.006756</x:v>
      </x:c>
      <x:c r="BA18" s="9" t="n">
        <x:f>IF(OR(Inputs!$F$7=TRUE,Inputs!$F$7="TRUE",Inputs!$F$7=1),(Inputs!$H$7+Inputs!$L$7*(((Inputs!$I$7+(((A18)+1)/2)*(Inputs!$J$7-Inputs!$I$7)))/Inputs!$K$7)^2),NA())</x:f>
        <x:v>309.36648499999995</x:v>
      </x:c>
      <x:c r="BB18" s="9" t="n">
        <x:f>IF(OR(Inputs!$F$8=TRUE,Inputs!$F$8="TRUE",Inputs!$F$8=1),(Inputs!$H$8+Inputs!$L$8*(((Inputs!$I$8+(((A18)+1)/2)*(Inputs!$J$8-Inputs!$I$8)))/Inputs!$K$8)^2),NA())</x:f>
        <x:v>760.379885</x:v>
      </x:c>
      <x:c r="BC18" s="9" t="n">
        <x:f>IF(OR(Inputs!$F$9=TRUE,Inputs!$F$9="TRUE",Inputs!$F$9=1),(Inputs!$H$9+Inputs!$L$9*(((Inputs!$I$9+(((A18)+1)/2)*(Inputs!$J$9-Inputs!$I$9)))/Inputs!$K$9)^2),NA())</x:f>
        <x:v>757.8967749999999</x:v>
      </x:c>
      <x:c r="BD18" s="10" t="n"/>
      <x:c r="BE18" s="9" t="n">
        <x:f>A18</x:f>
        <x:v>-0.867</x:v>
      </x:c>
      <x:c r="BF18" s="9" t="n">
        <x:f>0</x:f>
        <x:v>0</x:v>
      </x:c>
      <x:c r="BG18" s="9"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9"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9"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9"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9" t="n">
        <x:f>ROUND(-1+17*2/240,3)</x:f>
        <x:v>-0.858</x:v>
      </x:c>
      <x:c r="B19" s="9" t="n">
        <x:f>IF(OR(Inputs!$F$6=TRUE,Inputs!$F$6="TRUE",Inputs!$F$6=1),(Inputs!$H$6+Inputs!$L$6*(((Inputs!$I$6+(((A19)+1)/2)*(Inputs!$J$6-Inputs!$I$6)))/Inputs!$K$6)^2),NA())</x:f>
        <x:v>402.944656</x:v>
      </x:c>
      <x:c r="C19" s="9" t="n">
        <x:f>IF(OR(Inputs!$F$7=TRUE,Inputs!$F$7="TRUE",Inputs!$F$7=1),(Inputs!$H$7+Inputs!$L$7*(((Inputs!$I$7+(((A19)+1)/2)*(Inputs!$J$7-Inputs!$I$7)))/Inputs!$K$7)^2),NA())</x:f>
        <x:v>303.69986</x:v>
      </x:c>
      <x:c r="D19" s="9" t="n">
        <x:f>IF(OR(Inputs!$F$8=TRUE,Inputs!$F$8="TRUE",Inputs!$F$8=1),(Inputs!$H$8+Inputs!$L$8*(((Inputs!$I$8+(((A19)+1)/2)*(Inputs!$J$8-Inputs!$I$8)))/Inputs!$K$8)^2),NA())</x:f>
        <x:v>745.3982599999999</x:v>
      </x:c>
      <x:c r="E19" s="9" t="n">
        <x:f>IF(OR(Inputs!$F$9=TRUE,Inputs!$F$9="TRUE",Inputs!$F$9=1),(Inputs!$H$9+Inputs!$L$9*(((Inputs!$I$9+(((A19)+1)/2)*(Inputs!$J$9-Inputs!$I$9)))/Inputs!$K$9)^2),NA())</x:f>
        <x:v>742.7598999999999</x:v>
      </x:c>
      <x:c r="F19" s="10" t="n"/>
      <x:c r="G19" s="9" t="n">
        <x:f>A19</x:f>
        <x:v>-0.858</x:v>
      </x:c>
      <x:c r="H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10" t="n"/>
      <x:c r="M19" s="9" t="n">
        <x:f>A19</x:f>
        <x:v>-0.858</x:v>
      </x:c>
      <x:c r="N19" s="9"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9"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9"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9"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10" t="n"/>
      <x:c r="S19" s="9" t="n">
        <x:f>A19</x:f>
        <x:v>-0.858</x:v>
      </x:c>
      <x:c r="T19" s="9" t="n">
        <x:f>(Inputs!$I$6+(((A19)+1)/2)*(Inputs!$J$6-Inputs!$I$6))</x:f>
        <x:v>-51.48</x:v>
      </x:c>
      <x:c r="U19" s="9" t="n">
        <x:f>(Inputs!$I$7+(((A19)+1)/2)*(Inputs!$J$7-Inputs!$I$7))</x:f>
        <x:v>-343.2</x:v>
      </x:c>
      <x:c r="V19" s="9" t="n">
        <x:f>(Inputs!$I$8+(((A19)+1)/2)*(Inputs!$J$8-Inputs!$I$8))</x:f>
        <x:v>-686.4</x:v>
      </x:c>
      <x:c r="W19" s="9" t="n">
        <x:f>(Inputs!$I$9+(((A19)+1)/2)*(Inputs!$J$9-Inputs!$I$9))</x:f>
        <x:v>-686.4</x:v>
      </x:c>
      <x:c r="X19" s="10" t="n"/>
      <x:c r="Y19" s="9" t="n">
        <x:f>A19</x:f>
        <x:v>-0.858</x:v>
      </x:c>
      <x:c r="Z19" s="9" t="n">
        <x:f>(Inputs!$H$6+Inputs!$L$6*(((Inputs!$I$6+(((A19)+1)/2)*(Inputs!$J$6-Inputs!$I$6)))/Inputs!$K$6)^2)</x:f>
        <x:v>402.944656</x:v>
      </x:c>
      <x:c r="AA19" s="9" t="n">
        <x:f>(Inputs!$H$7+Inputs!$L$7*(((Inputs!$I$7+(((A19)+1)/2)*(Inputs!$J$7-Inputs!$I$7)))/Inputs!$K$7)^2)</x:f>
        <x:v>303.69986</x:v>
      </x:c>
      <x:c r="AB19" s="9" t="n">
        <x:f>(Inputs!$H$8+Inputs!$L$8*(((Inputs!$I$8+(((A19)+1)/2)*(Inputs!$J$8-Inputs!$I$8)))/Inputs!$K$8)^2)</x:f>
        <x:v>745.3982599999999</x:v>
      </x:c>
      <x:c r="AC19" s="9" t="n">
        <x:f>(Inputs!$H$9+Inputs!$L$9*(((Inputs!$I$9+(((A19)+1)/2)*(Inputs!$J$9-Inputs!$I$9)))/Inputs!$K$9)^2)</x:f>
        <x:v>742.7598999999999</x:v>
      </x:c>
      <x:c r="AD19" s="10" t="n"/>
      <x:c r="AE19" s="9" t="n">
        <x:f>A19</x:f>
        <x:v>-0.858</x:v>
      </x:c>
      <x:c r="AF19" s="9"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9"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9"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9"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10" t="n"/>
      <x:c r="AK19" s="9" t="n">
        <x:f>A19</x:f>
        <x:v>-0.858</x:v>
      </x:c>
      <x:c r="AL19" s="9"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9"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9"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9"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10" t="n"/>
      <x:c r="AQ19" s="9" t="n">
        <x:f>A19</x:f>
        <x:v>-0.858</x:v>
      </x:c>
      <x:c r="AR19" s="9" t="n">
        <x:f>0</x:f>
        <x:v>0</x:v>
      </x:c>
      <x:c r="AS19" s="9"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x:f>
        <x:v>254.77868261554545</x:v>
      </x:c>
      <x:c r="AT19" s="9"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x:f>
        <x:v>137.0803135521305</x:v>
      </x:c>
      <x:c r="AU19" s="9"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x:f>
        <x:v>84.84501726244247</x:v>
      </x:c>
      <x:c r="AV19" s="9"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x:f>
        <x:v>84.84501726244247</x:v>
      </x:c>
      <x:c r="AW19" s="10" t="n"/>
      <x:c r="AX19" s="9" t="n">
        <x:f>A19</x:f>
        <x:v>-0.858</x:v>
      </x:c>
      <x:c r="AY19" s="9" t="n">
        <x:f>0</x:f>
        <x:v>0</x:v>
      </x:c>
      <x:c r="AZ19" s="9" t="n">
        <x:f>IF(OR(Inputs!$F$6=TRUE,Inputs!$F$6="TRUE",Inputs!$F$6=1),(Inputs!$H$6+Inputs!$L$6*(((Inputs!$I$6+(((A19)+1)/2)*(Inputs!$J$6-Inputs!$I$6)))/Inputs!$K$6)^2),NA())</x:f>
        <x:v>402.944656</x:v>
      </x:c>
      <x:c r="BA19" s="9" t="n">
        <x:f>IF(OR(Inputs!$F$7=TRUE,Inputs!$F$7="TRUE",Inputs!$F$7=1),(Inputs!$H$7+Inputs!$L$7*(((Inputs!$I$7+(((A19)+1)/2)*(Inputs!$J$7-Inputs!$I$7)))/Inputs!$K$7)^2),NA())</x:f>
        <x:v>303.69986</x:v>
      </x:c>
      <x:c r="BB19" s="9" t="n">
        <x:f>IF(OR(Inputs!$F$8=TRUE,Inputs!$F$8="TRUE",Inputs!$F$8=1),(Inputs!$H$8+Inputs!$L$8*(((Inputs!$I$8+(((A19)+1)/2)*(Inputs!$J$8-Inputs!$I$8)))/Inputs!$K$8)^2),NA())</x:f>
        <x:v>745.3982599999999</x:v>
      </x:c>
      <x:c r="BC19" s="9" t="n">
        <x:f>IF(OR(Inputs!$F$9=TRUE,Inputs!$F$9="TRUE",Inputs!$F$9=1),(Inputs!$H$9+Inputs!$L$9*(((Inputs!$I$9+(((A19)+1)/2)*(Inputs!$J$9-Inputs!$I$9)))/Inputs!$K$9)^2),NA())</x:f>
        <x:v>742.7598999999999</x:v>
      </x:c>
      <x:c r="BD19" s="10" t="n"/>
      <x:c r="BE19" s="9" t="n">
        <x:f>A19</x:f>
        <x:v>-0.858</x:v>
      </x:c>
      <x:c r="BF19" s="9" t="n">
        <x:f>0</x:f>
        <x:v>0</x:v>
      </x:c>
      <x:c r="BG19" s="9"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9"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9"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9"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9" t="n">
        <x:f>ROUND(-1+18*2/240,3)</x:f>
        <x:v>-0.85</x:v>
      </x:c>
      <x:c r="B20" s="9" t="n">
        <x:f>IF(OR(Inputs!$F$6=TRUE,Inputs!$F$6="TRUE",Inputs!$F$6=1),(Inputs!$H$6+Inputs!$L$6*(((Inputs!$I$6+(((A20)+1)/2)*(Inputs!$J$6-Inputs!$I$6)))/Inputs!$K$6)^2),NA())</x:f>
        <x:v>402.89</x:v>
      </x:c>
      <x:c r="C20" s="9" t="n">
        <x:f>IF(OR(Inputs!$F$7=TRUE,Inputs!$F$7="TRUE",Inputs!$F$7=1),(Inputs!$H$7+Inputs!$L$7*(((Inputs!$I$7+(((A20)+1)/2)*(Inputs!$J$7-Inputs!$I$7)))/Inputs!$K$7)^2),NA())</x:f>
        <x:v>298.7125</x:v>
      </x:c>
      <x:c r="D20" s="9" t="n">
        <x:f>IF(OR(Inputs!$F$8=TRUE,Inputs!$F$8="TRUE",Inputs!$F$8=1),(Inputs!$H$8+Inputs!$L$8*(((Inputs!$I$8+(((A20)+1)/2)*(Inputs!$J$8-Inputs!$I$8)))/Inputs!$K$8)^2),NA())</x:f>
        <x:v>732.2125</x:v>
      </x:c>
      <x:c r="E20" s="9" t="n">
        <x:f>IF(OR(Inputs!$F$9=TRUE,Inputs!$F$9="TRUE",Inputs!$F$9=1),(Inputs!$H$9+Inputs!$L$9*(((Inputs!$I$9+(((A20)+1)/2)*(Inputs!$J$9-Inputs!$I$9)))/Inputs!$K$9)^2),NA())</x:f>
        <x:v>729.4374999999999</x:v>
      </x:c>
      <x:c r="F20" s="10" t="n"/>
      <x:c r="G20" s="9" t="n">
        <x:f>A20</x:f>
        <x:v>-0.85</x:v>
      </x:c>
      <x:c r="H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10" t="n"/>
      <x:c r="M20" s="9" t="n">
        <x:f>A20</x:f>
        <x:v>-0.85</x:v>
      </x:c>
      <x:c r="N20" s="9"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9"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9"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9"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10" t="n"/>
      <x:c r="S20" s="9" t="n">
        <x:f>A20</x:f>
        <x:v>-0.85</x:v>
      </x:c>
      <x:c r="T20" s="9" t="n">
        <x:f>(Inputs!$I$6+(((A20)+1)/2)*(Inputs!$J$6-Inputs!$I$6))</x:f>
        <x:v>-51</x:v>
      </x:c>
      <x:c r="U20" s="9" t="n">
        <x:f>(Inputs!$I$7+(((A20)+1)/2)*(Inputs!$J$7-Inputs!$I$7))</x:f>
        <x:v>-340</x:v>
      </x:c>
      <x:c r="V20" s="9" t="n">
        <x:f>(Inputs!$I$8+(((A20)+1)/2)*(Inputs!$J$8-Inputs!$I$8))</x:f>
        <x:v>-680</x:v>
      </x:c>
      <x:c r="W20" s="9" t="n">
        <x:f>(Inputs!$I$9+(((A20)+1)/2)*(Inputs!$J$9-Inputs!$I$9))</x:f>
        <x:v>-680</x:v>
      </x:c>
      <x:c r="X20" s="10" t="n"/>
      <x:c r="Y20" s="9" t="n">
        <x:f>A20</x:f>
        <x:v>-0.85</x:v>
      </x:c>
      <x:c r="Z20" s="9" t="n">
        <x:f>(Inputs!$H$6+Inputs!$L$6*(((Inputs!$I$6+(((A20)+1)/2)*(Inputs!$J$6-Inputs!$I$6)))/Inputs!$K$6)^2)</x:f>
        <x:v>402.89</x:v>
      </x:c>
      <x:c r="AA20" s="9" t="n">
        <x:f>(Inputs!$H$7+Inputs!$L$7*(((Inputs!$I$7+(((A20)+1)/2)*(Inputs!$J$7-Inputs!$I$7)))/Inputs!$K$7)^2)</x:f>
        <x:v>298.7125</x:v>
      </x:c>
      <x:c r="AB20" s="9" t="n">
        <x:f>(Inputs!$H$8+Inputs!$L$8*(((Inputs!$I$8+(((A20)+1)/2)*(Inputs!$J$8-Inputs!$I$8)))/Inputs!$K$8)^2)</x:f>
        <x:v>732.2125</x:v>
      </x:c>
      <x:c r="AC20" s="9" t="n">
        <x:f>(Inputs!$H$9+Inputs!$L$9*(((Inputs!$I$9+(((A20)+1)/2)*(Inputs!$J$9-Inputs!$I$9)))/Inputs!$K$9)^2)</x:f>
        <x:v>729.4374999999999</x:v>
      </x:c>
      <x:c r="AD20" s="10" t="n"/>
      <x:c r="AE20" s="9" t="n">
        <x:f>A20</x:f>
        <x:v>-0.85</x:v>
      </x:c>
      <x:c r="AF20" s="9"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9"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9"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9"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10" t="n"/>
      <x:c r="AK20" s="9" t="n">
        <x:f>A20</x:f>
        <x:v>-0.85</x:v>
      </x:c>
      <x:c r="AL20" s="9"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9"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9"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9"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10" t="n"/>
      <x:c r="AQ20" s="9" t="n">
        <x:f>A20</x:f>
        <x:v>-0.85</x:v>
      </x:c>
      <x:c r="AR20" s="9" t="n">
        <x:f>0</x:f>
        <x:v>0</x:v>
      </x:c>
      <x:c r="AS20" s="9"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x:f>
        <x:v>251.96732827517536</x:v>
      </x:c>
      <x:c r="AT20" s="9"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x:f>
        <x:v>177.9290517673453</x:v>
      </x:c>
      <x:c r="AU20" s="9"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x:f>
        <x:v>230.54302496831588</x:v>
      </x:c>
      <x:c r="AV20" s="9"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x:f>
        <x:v>230.54302496831588</x:v>
      </x:c>
      <x:c r="AW20" s="10" t="n"/>
      <x:c r="AX20" s="9" t="n">
        <x:f>A20</x:f>
        <x:v>-0.85</x:v>
      </x:c>
      <x:c r="AY20" s="9" t="n">
        <x:f>0</x:f>
        <x:v>0</x:v>
      </x:c>
      <x:c r="AZ20" s="9" t="n">
        <x:f>IF(OR(Inputs!$F$6=TRUE,Inputs!$F$6="TRUE",Inputs!$F$6=1),(Inputs!$H$6+Inputs!$L$6*(((Inputs!$I$6+(((A20)+1)/2)*(Inputs!$J$6-Inputs!$I$6)))/Inputs!$K$6)^2),NA())</x:f>
        <x:v>402.89</x:v>
      </x:c>
      <x:c r="BA20" s="9" t="n">
        <x:f>IF(OR(Inputs!$F$7=TRUE,Inputs!$F$7="TRUE",Inputs!$F$7=1),(Inputs!$H$7+Inputs!$L$7*(((Inputs!$I$7+(((A20)+1)/2)*(Inputs!$J$7-Inputs!$I$7)))/Inputs!$K$7)^2),NA())</x:f>
        <x:v>298.7125</x:v>
      </x:c>
      <x:c r="BB20" s="9" t="n">
        <x:f>IF(OR(Inputs!$F$8=TRUE,Inputs!$F$8="TRUE",Inputs!$F$8=1),(Inputs!$H$8+Inputs!$L$8*(((Inputs!$I$8+(((A20)+1)/2)*(Inputs!$J$8-Inputs!$I$8)))/Inputs!$K$8)^2),NA())</x:f>
        <x:v>732.2125</x:v>
      </x:c>
      <x:c r="BC20" s="9" t="n">
        <x:f>IF(OR(Inputs!$F$9=TRUE,Inputs!$F$9="TRUE",Inputs!$F$9=1),(Inputs!$H$9+Inputs!$L$9*(((Inputs!$I$9+(((A20)+1)/2)*(Inputs!$J$9-Inputs!$I$9)))/Inputs!$K$9)^2),NA())</x:f>
        <x:v>729.4374999999999</x:v>
      </x:c>
      <x:c r="BD20" s="10" t="n"/>
      <x:c r="BE20" s="9" t="n">
        <x:f>A20</x:f>
        <x:v>-0.85</x:v>
      </x:c>
      <x:c r="BF20" s="9" t="n">
        <x:f>0</x:f>
        <x:v>0</x:v>
      </x:c>
      <x:c r="BG20" s="9"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9"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9"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9"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9" t="n">
        <x:f>ROUND(-1+19*2/240,3)</x:f>
        <x:v>-0.842</x:v>
      </x:c>
      <x:c r="B21" s="9" t="n">
        <x:f>IF(OR(Inputs!$F$6=TRUE,Inputs!$F$6="TRUE",Inputs!$F$6=1),(Inputs!$H$6+Inputs!$L$6*(((Inputs!$I$6+(((A21)+1)/2)*(Inputs!$J$6-Inputs!$I$6)))/Inputs!$K$6)^2),NA())</x:f>
        <x:v>402.835856</x:v>
      </x:c>
      <x:c r="C21" s="9" t="n">
        <x:f>IF(OR(Inputs!$F$7=TRUE,Inputs!$F$7="TRUE",Inputs!$F$7=1),(Inputs!$H$7+Inputs!$L$7*(((Inputs!$I$7+(((A21)+1)/2)*(Inputs!$J$7-Inputs!$I$7)))/Inputs!$K$7)^2),NA())</x:f>
        <x:v>293.77186000000006</x:v>
      </x:c>
      <x:c r="D21" s="9" t="n">
        <x:f>IF(OR(Inputs!$F$8=TRUE,Inputs!$F$8="TRUE",Inputs!$F$8=1),(Inputs!$H$8+Inputs!$L$8*(((Inputs!$I$8+(((A21)+1)/2)*(Inputs!$J$8-Inputs!$I$8)))/Inputs!$K$8)^2),NA())</x:f>
        <x:v>719.1502600000001</x:v>
      </x:c>
      <x:c r="E21" s="9" t="n">
        <x:f>IF(OR(Inputs!$F$9=TRUE,Inputs!$F$9="TRUE",Inputs!$F$9=1),(Inputs!$H$9+Inputs!$L$9*(((Inputs!$I$9+(((A21)+1)/2)*(Inputs!$J$9-Inputs!$I$9)))/Inputs!$K$9)^2),NA())</x:f>
        <x:v>716.2399000000001</x:v>
      </x:c>
      <x:c r="F21" s="10" t="n"/>
      <x:c r="G21" s="9" t="n">
        <x:f>A21</x:f>
        <x:v>-0.842</x:v>
      </x:c>
      <x:c r="H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10" t="n"/>
      <x:c r="M21" s="9" t="n">
        <x:f>A21</x:f>
        <x:v>-0.842</x:v>
      </x:c>
      <x:c r="N21" s="9"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9"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9"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9"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10" t="n"/>
      <x:c r="S21" s="9" t="n">
        <x:f>A21</x:f>
        <x:v>-0.842</x:v>
      </x:c>
      <x:c r="T21" s="9" t="n">
        <x:f>(Inputs!$I$6+(((A21)+1)/2)*(Inputs!$J$6-Inputs!$I$6))</x:f>
        <x:v>-50.519999999999996</x:v>
      </x:c>
      <x:c r="U21" s="9" t="n">
        <x:f>(Inputs!$I$7+(((A21)+1)/2)*(Inputs!$J$7-Inputs!$I$7))</x:f>
        <x:v>-336.8</x:v>
      </x:c>
      <x:c r="V21" s="9" t="n">
        <x:f>(Inputs!$I$8+(((A21)+1)/2)*(Inputs!$J$8-Inputs!$I$8))</x:f>
        <x:v>-673.6</x:v>
      </x:c>
      <x:c r="W21" s="9" t="n">
        <x:f>(Inputs!$I$9+(((A21)+1)/2)*(Inputs!$J$9-Inputs!$I$9))</x:f>
        <x:v>-673.6</x:v>
      </x:c>
      <x:c r="X21" s="10" t="n"/>
      <x:c r="Y21" s="9" t="n">
        <x:f>A21</x:f>
        <x:v>-0.842</x:v>
      </x:c>
      <x:c r="Z21" s="9" t="n">
        <x:f>(Inputs!$H$6+Inputs!$L$6*(((Inputs!$I$6+(((A21)+1)/2)*(Inputs!$J$6-Inputs!$I$6)))/Inputs!$K$6)^2)</x:f>
        <x:v>402.835856</x:v>
      </x:c>
      <x:c r="AA21" s="9" t="n">
        <x:f>(Inputs!$H$7+Inputs!$L$7*(((Inputs!$I$7+(((A21)+1)/2)*(Inputs!$J$7-Inputs!$I$7)))/Inputs!$K$7)^2)</x:f>
        <x:v>293.77186000000006</x:v>
      </x:c>
      <x:c r="AB21" s="9" t="n">
        <x:f>(Inputs!$H$8+Inputs!$L$8*(((Inputs!$I$8+(((A21)+1)/2)*(Inputs!$J$8-Inputs!$I$8)))/Inputs!$K$8)^2)</x:f>
        <x:v>719.1502600000001</x:v>
      </x:c>
      <x:c r="AC21" s="9" t="n">
        <x:f>(Inputs!$H$9+Inputs!$L$9*(((Inputs!$I$9+(((A21)+1)/2)*(Inputs!$J$9-Inputs!$I$9)))/Inputs!$K$9)^2)</x:f>
        <x:v>716.2399000000001</x:v>
      </x:c>
      <x:c r="AD21" s="10" t="n"/>
      <x:c r="AE21" s="9" t="n">
        <x:f>A21</x:f>
        <x:v>-0.842</x:v>
      </x:c>
      <x:c r="AF21" s="9"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9"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9"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9"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10" t="n"/>
      <x:c r="AK21" s="9" t="n">
        <x:f>A21</x:f>
        <x:v>-0.842</x:v>
      </x:c>
      <x:c r="AL21" s="9"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9"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9"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9"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10" t="n"/>
      <x:c r="AQ21" s="9" t="n">
        <x:f>A21</x:f>
        <x:v>-0.842</x:v>
      </x:c>
      <x:c r="AR21" s="9" t="n">
        <x:f>0</x:f>
        <x:v>0</x:v>
      </x:c>
      <x:c r="AS21" s="9"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x:f>
        <x:v>250.5118977920592</x:v>
      </x:c>
      <x:c r="AT21" s="9"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x:f>
        <x:v>203.10743818058066</x:v>
      </x:c>
      <x:c r="AU21" s="9"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x:f>
        <x:v>111.3639822035904</x:v>
      </x:c>
      <x:c r="AV21" s="9"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x:f>
        <x:v>111.3639822035904</x:v>
      </x:c>
      <x:c r="AW21" s="10" t="n"/>
      <x:c r="AX21" s="9" t="n">
        <x:f>A21</x:f>
        <x:v>-0.842</x:v>
      </x:c>
      <x:c r="AY21" s="9" t="n">
        <x:f>0</x:f>
        <x:v>0</x:v>
      </x:c>
      <x:c r="AZ21" s="9" t="n">
        <x:f>IF(OR(Inputs!$F$6=TRUE,Inputs!$F$6="TRUE",Inputs!$F$6=1),(Inputs!$H$6+Inputs!$L$6*(((Inputs!$I$6+(((A21)+1)/2)*(Inputs!$J$6-Inputs!$I$6)))/Inputs!$K$6)^2),NA())</x:f>
        <x:v>402.835856</x:v>
      </x:c>
      <x:c r="BA21" s="9" t="n">
        <x:f>IF(OR(Inputs!$F$7=TRUE,Inputs!$F$7="TRUE",Inputs!$F$7=1),(Inputs!$H$7+Inputs!$L$7*(((Inputs!$I$7+(((A21)+1)/2)*(Inputs!$J$7-Inputs!$I$7)))/Inputs!$K$7)^2),NA())</x:f>
        <x:v>293.77186000000006</x:v>
      </x:c>
      <x:c r="BB21" s="9" t="n">
        <x:f>IF(OR(Inputs!$F$8=TRUE,Inputs!$F$8="TRUE",Inputs!$F$8=1),(Inputs!$H$8+Inputs!$L$8*(((Inputs!$I$8+(((A21)+1)/2)*(Inputs!$J$8-Inputs!$I$8)))/Inputs!$K$8)^2),NA())</x:f>
        <x:v>719.1502600000001</x:v>
      </x:c>
      <x:c r="BC21" s="9" t="n">
        <x:f>IF(OR(Inputs!$F$9=TRUE,Inputs!$F$9="TRUE",Inputs!$F$9=1),(Inputs!$H$9+Inputs!$L$9*(((Inputs!$I$9+(((A21)+1)/2)*(Inputs!$J$9-Inputs!$I$9)))/Inputs!$K$9)^2),NA())</x:f>
        <x:v>716.2399000000001</x:v>
      </x:c>
      <x:c r="BD21" s="10" t="n"/>
      <x:c r="BE21" s="9" t="n">
        <x:f>A21</x:f>
        <x:v>-0.842</x:v>
      </x:c>
      <x:c r="BF21" s="9" t="n">
        <x:f>0</x:f>
        <x:v>0</x:v>
      </x:c>
      <x:c r="BG21" s="9"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9"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9"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9"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9" t="n">
        <x:f>ROUND(-1+20*2/240,3)</x:f>
        <x:v>-0.833</x:v>
      </x:c>
      <x:c r="B22" s="9" t="n">
        <x:f>IF(OR(Inputs!$F$6=TRUE,Inputs!$F$6="TRUE",Inputs!$F$6=1),(Inputs!$H$6+Inputs!$L$6*(((Inputs!$I$6+(((A22)+1)/2)*(Inputs!$J$6-Inputs!$I$6)))/Inputs!$K$6)^2),NA())</x:f>
        <x:v>402.775556</x:v>
      </x:c>
      <x:c r="C22" s="9" t="n">
        <x:f>IF(OR(Inputs!$F$7=TRUE,Inputs!$F$7="TRUE",Inputs!$F$7=1),(Inputs!$H$7+Inputs!$L$7*(((Inputs!$I$7+(((A22)+1)/2)*(Inputs!$J$7-Inputs!$I$7)))/Inputs!$K$7)^2),NA())</x:f>
        <x:v>288.26948500000003</x:v>
      </x:c>
      <x:c r="D22" s="9" t="n">
        <x:f>IF(OR(Inputs!$F$8=TRUE,Inputs!$F$8="TRUE",Inputs!$F$8=1),(Inputs!$H$8+Inputs!$L$8*(((Inputs!$I$8+(((A22)+1)/2)*(Inputs!$J$8-Inputs!$I$8)))/Inputs!$K$8)^2),NA())</x:f>
        <x:v>704.602885</x:v>
      </x:c>
      <x:c r="E22" s="9" t="n">
        <x:f>IF(OR(Inputs!$F$9=TRUE,Inputs!$F$9="TRUE",Inputs!$F$9=1),(Inputs!$H$9+Inputs!$L$9*(((Inputs!$I$9+(((A22)+1)/2)*(Inputs!$J$9-Inputs!$I$9)))/Inputs!$K$9)^2),NA())</x:f>
        <x:v>701.541775</x:v>
      </x:c>
      <x:c r="F22" s="10" t="n"/>
      <x:c r="G22" s="9" t="n">
        <x:f>A22</x:f>
        <x:v>-0.833</x:v>
      </x:c>
      <x:c r="H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10" t="n"/>
      <x:c r="M22" s="9" t="n">
        <x:f>A22</x:f>
        <x:v>-0.833</x:v>
      </x:c>
      <x:c r="N22" s="9"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9"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9"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9"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10" t="n"/>
      <x:c r="S22" s="9" t="n">
        <x:f>A22</x:f>
        <x:v>-0.833</x:v>
      </x:c>
      <x:c r="T22" s="9" t="n">
        <x:f>(Inputs!$I$6+(((A22)+1)/2)*(Inputs!$J$6-Inputs!$I$6))</x:f>
        <x:v>-49.98</x:v>
      </x:c>
      <x:c r="U22" s="9" t="n">
        <x:f>(Inputs!$I$7+(((A22)+1)/2)*(Inputs!$J$7-Inputs!$I$7))</x:f>
        <x:v>-333.2</x:v>
      </x:c>
      <x:c r="V22" s="9" t="n">
        <x:f>(Inputs!$I$8+(((A22)+1)/2)*(Inputs!$J$8-Inputs!$I$8))</x:f>
        <x:v>-666.4</x:v>
      </x:c>
      <x:c r="W22" s="9" t="n">
        <x:f>(Inputs!$I$9+(((A22)+1)/2)*(Inputs!$J$9-Inputs!$I$9))</x:f>
        <x:v>-666.4</x:v>
      </x:c>
      <x:c r="X22" s="10" t="n"/>
      <x:c r="Y22" s="9" t="n">
        <x:f>A22</x:f>
        <x:v>-0.833</x:v>
      </x:c>
      <x:c r="Z22" s="9" t="n">
        <x:f>(Inputs!$H$6+Inputs!$L$6*(((Inputs!$I$6+(((A22)+1)/2)*(Inputs!$J$6-Inputs!$I$6)))/Inputs!$K$6)^2)</x:f>
        <x:v>402.775556</x:v>
      </x:c>
      <x:c r="AA22" s="9" t="n">
        <x:f>(Inputs!$H$7+Inputs!$L$7*(((Inputs!$I$7+(((A22)+1)/2)*(Inputs!$J$7-Inputs!$I$7)))/Inputs!$K$7)^2)</x:f>
        <x:v>288.26948500000003</x:v>
      </x:c>
      <x:c r="AB22" s="9" t="n">
        <x:f>(Inputs!$H$8+Inputs!$L$8*(((Inputs!$I$8+(((A22)+1)/2)*(Inputs!$J$8-Inputs!$I$8)))/Inputs!$K$8)^2)</x:f>
        <x:v>704.602885</x:v>
      </x:c>
      <x:c r="AC22" s="9" t="n">
        <x:f>(Inputs!$H$9+Inputs!$L$9*(((Inputs!$I$9+(((A22)+1)/2)*(Inputs!$J$9-Inputs!$I$9)))/Inputs!$K$9)^2)</x:f>
        <x:v>701.541775</x:v>
      </x:c>
      <x:c r="AD22" s="10" t="n"/>
      <x:c r="AE22" s="9" t="n">
        <x:f>A22</x:f>
        <x:v>-0.833</x:v>
      </x:c>
      <x:c r="AF22" s="9"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9"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9"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9"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10" t="n"/>
      <x:c r="AK22" s="9" t="n">
        <x:f>A22</x:f>
        <x:v>-0.833</x:v>
      </x:c>
      <x:c r="AL22" s="9"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9"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9"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9"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10" t="n"/>
      <x:c r="AQ22" s="9" t="n">
        <x:f>A22</x:f>
        <x:v>-0.833</x:v>
      </x:c>
      <x:c r="AR22" s="9" t="n">
        <x:f>0</x:f>
        <x:v>0</x:v>
      </x:c>
      <x:c r="AS22" s="9"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x:f>
        <x:v>254.3772486098363</x:v>
      </x:c>
      <x:c r="AT22" s="9"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x:f>
        <x:v>190.11343712392477</x:v>
      </x:c>
      <x:c r="AU22" s="9"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x:f>
        <x:v>155.03024510710588</x:v>
      </x:c>
      <x:c r="AV22" s="9"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x:f>
        <x:v>155.03024510710588</x:v>
      </x:c>
      <x:c r="AW22" s="10" t="n"/>
      <x:c r="AX22" s="9" t="n">
        <x:f>A22</x:f>
        <x:v>-0.833</x:v>
      </x:c>
      <x:c r="AY22" s="9" t="n">
        <x:f>0</x:f>
        <x:v>0</x:v>
      </x:c>
      <x:c r="AZ22" s="9" t="n">
        <x:f>IF(OR(Inputs!$F$6=TRUE,Inputs!$F$6="TRUE",Inputs!$F$6=1),(Inputs!$H$6+Inputs!$L$6*(((Inputs!$I$6+(((A22)+1)/2)*(Inputs!$J$6-Inputs!$I$6)))/Inputs!$K$6)^2),NA())</x:f>
        <x:v>402.775556</x:v>
      </x:c>
      <x:c r="BA22" s="9" t="n">
        <x:f>IF(OR(Inputs!$F$7=TRUE,Inputs!$F$7="TRUE",Inputs!$F$7=1),(Inputs!$H$7+Inputs!$L$7*(((Inputs!$I$7+(((A22)+1)/2)*(Inputs!$J$7-Inputs!$I$7)))/Inputs!$K$7)^2),NA())</x:f>
        <x:v>288.26948500000003</x:v>
      </x:c>
      <x:c r="BB22" s="9" t="n">
        <x:f>IF(OR(Inputs!$F$8=TRUE,Inputs!$F$8="TRUE",Inputs!$F$8=1),(Inputs!$H$8+Inputs!$L$8*(((Inputs!$I$8+(((A22)+1)/2)*(Inputs!$J$8-Inputs!$I$8)))/Inputs!$K$8)^2),NA())</x:f>
        <x:v>704.602885</x:v>
      </x:c>
      <x:c r="BC22" s="9" t="n">
        <x:f>IF(OR(Inputs!$F$9=TRUE,Inputs!$F$9="TRUE",Inputs!$F$9=1),(Inputs!$H$9+Inputs!$L$9*(((Inputs!$I$9+(((A22)+1)/2)*(Inputs!$J$9-Inputs!$I$9)))/Inputs!$K$9)^2),NA())</x:f>
        <x:v>701.541775</x:v>
      </x:c>
      <x:c r="BD22" s="10" t="n"/>
      <x:c r="BE22" s="9" t="n">
        <x:f>A22</x:f>
        <x:v>-0.833</x:v>
      </x:c>
      <x:c r="BF22" s="9" t="n">
        <x:f>0</x:f>
        <x:v>0</x:v>
      </x:c>
      <x:c r="BG22" s="9"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9"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9"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9"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9" t="n">
        <x:f>ROUND(-1+21*2/240,3)</x:f>
        <x:v>-0.825</x:v>
      </x:c>
      <x:c r="B23" s="9" t="n">
        <x:f>IF(OR(Inputs!$F$6=TRUE,Inputs!$F$6="TRUE",Inputs!$F$6=1),(Inputs!$H$6+Inputs!$L$6*(((Inputs!$I$6+(((A23)+1)/2)*(Inputs!$J$6-Inputs!$I$6)))/Inputs!$K$6)^2),NA())</x:f>
        <x:v>402.7225</x:v>
      </x:c>
      <x:c r="C23" s="9" t="n">
        <x:f>IF(OR(Inputs!$F$7=TRUE,Inputs!$F$7="TRUE",Inputs!$F$7=1),(Inputs!$H$7+Inputs!$L$7*(((Inputs!$I$7+(((A23)+1)/2)*(Inputs!$J$7-Inputs!$I$7)))/Inputs!$K$7)^2),NA())</x:f>
        <x:v>283.42812499999997</x:v>
      </x:c>
      <x:c r="D23" s="9" t="n">
        <x:f>IF(OR(Inputs!$F$8=TRUE,Inputs!$F$8="TRUE",Inputs!$F$8=1),(Inputs!$H$8+Inputs!$L$8*(((Inputs!$I$8+(((A23)+1)/2)*(Inputs!$J$8-Inputs!$I$8)))/Inputs!$K$8)^2),NA())</x:f>
        <x:v>691.8031249999999</x:v>
      </x:c>
      <x:c r="E23" s="9" t="n">
        <x:f>IF(OR(Inputs!$F$9=TRUE,Inputs!$F$9="TRUE",Inputs!$F$9=1),(Inputs!$H$9+Inputs!$L$9*(((Inputs!$I$9+(((A23)+1)/2)*(Inputs!$J$9-Inputs!$I$9)))/Inputs!$K$9)^2),NA())</x:f>
        <x:v>688.6093749999999</x:v>
      </x:c>
      <x:c r="F23" s="10" t="n"/>
      <x:c r="G23" s="9" t="n">
        <x:f>A23</x:f>
        <x:v>-0.825</x:v>
      </x:c>
      <x:c r="H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10" t="n"/>
      <x:c r="M23" s="9" t="n">
        <x:f>A23</x:f>
        <x:v>-0.825</x:v>
      </x:c>
      <x:c r="N23" s="9"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9"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9"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9"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10" t="n"/>
      <x:c r="S23" s="9" t="n">
        <x:f>A23</x:f>
        <x:v>-0.825</x:v>
      </x:c>
      <x:c r="T23" s="9" t="n">
        <x:f>(Inputs!$I$6+(((A23)+1)/2)*(Inputs!$J$6-Inputs!$I$6))</x:f>
        <x:v>-49.5</x:v>
      </x:c>
      <x:c r="U23" s="9" t="n">
        <x:f>(Inputs!$I$7+(((A23)+1)/2)*(Inputs!$J$7-Inputs!$I$7))</x:f>
        <x:v>-330</x:v>
      </x:c>
      <x:c r="V23" s="9" t="n">
        <x:f>(Inputs!$I$8+(((A23)+1)/2)*(Inputs!$J$8-Inputs!$I$8))</x:f>
        <x:v>-660</x:v>
      </x:c>
      <x:c r="W23" s="9" t="n">
        <x:f>(Inputs!$I$9+(((A23)+1)/2)*(Inputs!$J$9-Inputs!$I$9))</x:f>
        <x:v>-660</x:v>
      </x:c>
      <x:c r="X23" s="10" t="n"/>
      <x:c r="Y23" s="9" t="n">
        <x:f>A23</x:f>
        <x:v>-0.825</x:v>
      </x:c>
      <x:c r="Z23" s="9" t="n">
        <x:f>(Inputs!$H$6+Inputs!$L$6*(((Inputs!$I$6+(((A23)+1)/2)*(Inputs!$J$6-Inputs!$I$6)))/Inputs!$K$6)^2)</x:f>
        <x:v>402.7225</x:v>
      </x:c>
      <x:c r="AA23" s="9" t="n">
        <x:f>(Inputs!$H$7+Inputs!$L$7*(((Inputs!$I$7+(((A23)+1)/2)*(Inputs!$J$7-Inputs!$I$7)))/Inputs!$K$7)^2)</x:f>
        <x:v>283.42812499999997</x:v>
      </x:c>
      <x:c r="AB23" s="9" t="n">
        <x:f>(Inputs!$H$8+Inputs!$L$8*(((Inputs!$I$8+(((A23)+1)/2)*(Inputs!$J$8-Inputs!$I$8)))/Inputs!$K$8)^2)</x:f>
        <x:v>691.8031249999999</x:v>
      </x:c>
      <x:c r="AC23" s="9" t="n">
        <x:f>(Inputs!$H$9+Inputs!$L$9*(((Inputs!$I$9+(((A23)+1)/2)*(Inputs!$J$9-Inputs!$I$9)))/Inputs!$K$9)^2)</x:f>
        <x:v>688.6093749999999</x:v>
      </x:c>
      <x:c r="AD23" s="10" t="n"/>
      <x:c r="AE23" s="9" t="n">
        <x:f>A23</x:f>
        <x:v>-0.825</x:v>
      </x:c>
      <x:c r="AF23" s="9"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9"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9"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9"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10" t="n"/>
      <x:c r="AK23" s="9" t="n">
        <x:f>A23</x:f>
        <x:v>-0.825</x:v>
      </x:c>
      <x:c r="AL23" s="9"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9"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9"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9"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10" t="n"/>
      <x:c r="AQ23" s="9" t="n">
        <x:f>A23</x:f>
        <x:v>-0.825</x:v>
      </x:c>
      <x:c r="AR23" s="9" t="n">
        <x:f>0</x:f>
        <x:v>0</x:v>
      </x:c>
      <x:c r="AS23" s="9"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x:f>
        <x:v>258.91748425644914</x:v>
      </x:c>
      <x:c r="AT23" s="9"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x:f>
        <x:v>89.3271777741551</x:v>
      </x:c>
      <x:c r="AU23" s="9"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x:f>
        <x:v>167.2055085196115</x:v>
      </x:c>
      <x:c r="AV23" s="9"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x:f>
        <x:v>167.2055085196115</x:v>
      </x:c>
      <x:c r="AW23" s="10" t="n"/>
      <x:c r="AX23" s="9" t="n">
        <x:f>A23</x:f>
        <x:v>-0.825</x:v>
      </x:c>
      <x:c r="AY23" s="9" t="n">
        <x:f>0</x:f>
        <x:v>0</x:v>
      </x:c>
      <x:c r="AZ23" s="9" t="n">
        <x:f>IF(OR(Inputs!$F$6=TRUE,Inputs!$F$6="TRUE",Inputs!$F$6=1),(Inputs!$H$6+Inputs!$L$6*(((Inputs!$I$6+(((A23)+1)/2)*(Inputs!$J$6-Inputs!$I$6)))/Inputs!$K$6)^2),NA())</x:f>
        <x:v>402.7225</x:v>
      </x:c>
      <x:c r="BA23" s="9" t="n">
        <x:f>IF(OR(Inputs!$F$7=TRUE,Inputs!$F$7="TRUE",Inputs!$F$7=1),(Inputs!$H$7+Inputs!$L$7*(((Inputs!$I$7+(((A23)+1)/2)*(Inputs!$J$7-Inputs!$I$7)))/Inputs!$K$7)^2),NA())</x:f>
        <x:v>283.42812499999997</x:v>
      </x:c>
      <x:c r="BB23" s="9" t="n">
        <x:f>IF(OR(Inputs!$F$8=TRUE,Inputs!$F$8="TRUE",Inputs!$F$8=1),(Inputs!$H$8+Inputs!$L$8*(((Inputs!$I$8+(((A23)+1)/2)*(Inputs!$J$8-Inputs!$I$8)))/Inputs!$K$8)^2),NA())</x:f>
        <x:v>691.8031249999999</x:v>
      </x:c>
      <x:c r="BC23" s="9" t="n">
        <x:f>IF(OR(Inputs!$F$9=TRUE,Inputs!$F$9="TRUE",Inputs!$F$9=1),(Inputs!$H$9+Inputs!$L$9*(((Inputs!$I$9+(((A23)+1)/2)*(Inputs!$J$9-Inputs!$I$9)))/Inputs!$K$9)^2),NA())</x:f>
        <x:v>688.6093749999999</x:v>
      </x:c>
      <x:c r="BD23" s="10" t="n"/>
      <x:c r="BE23" s="9" t="n">
        <x:f>A23</x:f>
        <x:v>-0.825</x:v>
      </x:c>
      <x:c r="BF23" s="9" t="n">
        <x:f>0</x:f>
        <x:v>0</x:v>
      </x:c>
      <x:c r="BG23" s="9"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9"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9"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9"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9" t="n">
        <x:f>ROUND(-1+22*2/240,3)</x:f>
        <x:v>-0.817</x:v>
      </x:c>
      <x:c r="B24" s="9" t="n">
        <x:f>IF(OR(Inputs!$F$6=TRUE,Inputs!$F$6="TRUE",Inputs!$F$6=1),(Inputs!$H$6+Inputs!$L$6*(((Inputs!$I$6+(((A24)+1)/2)*(Inputs!$J$6-Inputs!$I$6)))/Inputs!$K$6)^2),NA())</x:f>
        <x:v>402.669956</x:v>
      </x:c>
      <x:c r="C24" s="9" t="n">
        <x:f>IF(OR(Inputs!$F$7=TRUE,Inputs!$F$7="TRUE",Inputs!$F$7=1),(Inputs!$H$7+Inputs!$L$7*(((Inputs!$I$7+(((A24)+1)/2)*(Inputs!$J$7-Inputs!$I$7)))/Inputs!$K$7)^2),NA())</x:f>
        <x:v>278.63348499999995</x:v>
      </x:c>
      <x:c r="D24" s="9" t="n">
        <x:f>IF(OR(Inputs!$F$8=TRUE,Inputs!$F$8="TRUE",Inputs!$F$8=1),(Inputs!$H$8+Inputs!$L$8*(((Inputs!$I$8+(((A24)+1)/2)*(Inputs!$J$8-Inputs!$I$8)))/Inputs!$K$8)^2),NA())</x:f>
        <x:v>679.1268849999998</x:v>
      </x:c>
      <x:c r="E24" s="9" t="n">
        <x:f>IF(OR(Inputs!$F$9=TRUE,Inputs!$F$9="TRUE",Inputs!$F$9=1),(Inputs!$H$9+Inputs!$L$9*(((Inputs!$I$9+(((A24)+1)/2)*(Inputs!$J$9-Inputs!$I$9)))/Inputs!$K$9)^2),NA())</x:f>
        <x:v>675.8017749999998</x:v>
      </x:c>
      <x:c r="F24" s="10" t="n"/>
      <x:c r="G24" s="9" t="n">
        <x:f>A24</x:f>
        <x:v>-0.817</x:v>
      </x:c>
      <x:c r="H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10" t="n"/>
      <x:c r="M24" s="9" t="n">
        <x:f>A24</x:f>
        <x:v>-0.817</x:v>
      </x:c>
      <x:c r="N24" s="9"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9"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9"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9"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10" t="n"/>
      <x:c r="S24" s="9" t="n">
        <x:f>A24</x:f>
        <x:v>-0.817</x:v>
      </x:c>
      <x:c r="T24" s="9" t="n">
        <x:f>(Inputs!$I$6+(((A24)+1)/2)*(Inputs!$J$6-Inputs!$I$6))</x:f>
        <x:v>-49.019999999999996</x:v>
      </x:c>
      <x:c r="U24" s="9" t="n">
        <x:f>(Inputs!$I$7+(((A24)+1)/2)*(Inputs!$J$7-Inputs!$I$7))</x:f>
        <x:v>-326.79999999999995</x:v>
      </x:c>
      <x:c r="V24" s="9" t="n">
        <x:f>(Inputs!$I$8+(((A24)+1)/2)*(Inputs!$J$8-Inputs!$I$8))</x:f>
        <x:v>-653.5999999999999</x:v>
      </x:c>
      <x:c r="W24" s="9" t="n">
        <x:f>(Inputs!$I$9+(((A24)+1)/2)*(Inputs!$J$9-Inputs!$I$9))</x:f>
        <x:v>-653.5999999999999</x:v>
      </x:c>
      <x:c r="X24" s="10" t="n"/>
      <x:c r="Y24" s="9" t="n">
        <x:f>A24</x:f>
        <x:v>-0.817</x:v>
      </x:c>
      <x:c r="Z24" s="9" t="n">
        <x:f>(Inputs!$H$6+Inputs!$L$6*(((Inputs!$I$6+(((A24)+1)/2)*(Inputs!$J$6-Inputs!$I$6)))/Inputs!$K$6)^2)</x:f>
        <x:v>402.669956</x:v>
      </x:c>
      <x:c r="AA24" s="9" t="n">
        <x:f>(Inputs!$H$7+Inputs!$L$7*(((Inputs!$I$7+(((A24)+1)/2)*(Inputs!$J$7-Inputs!$I$7)))/Inputs!$K$7)^2)</x:f>
        <x:v>278.63348499999995</x:v>
      </x:c>
      <x:c r="AB24" s="9" t="n">
        <x:f>(Inputs!$H$8+Inputs!$L$8*(((Inputs!$I$8+(((A24)+1)/2)*(Inputs!$J$8-Inputs!$I$8)))/Inputs!$K$8)^2)</x:f>
        <x:v>679.1268849999998</x:v>
      </x:c>
      <x:c r="AC24" s="9" t="n">
        <x:f>(Inputs!$H$9+Inputs!$L$9*(((Inputs!$I$9+(((A24)+1)/2)*(Inputs!$J$9-Inputs!$I$9)))/Inputs!$K$9)^2)</x:f>
        <x:v>675.8017749999998</x:v>
      </x:c>
      <x:c r="AD24" s="10" t="n"/>
      <x:c r="AE24" s="9" t="n">
        <x:f>A24</x:f>
        <x:v>-0.817</x:v>
      </x:c>
      <x:c r="AF24" s="9"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9"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9"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9"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10" t="n"/>
      <x:c r="AK24" s="9" t="n">
        <x:f>A24</x:f>
        <x:v>-0.817</x:v>
      </x:c>
      <x:c r="AL24" s="9"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9"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9"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9"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10" t="n"/>
      <x:c r="AQ24" s="9" t="n">
        <x:f>A24</x:f>
        <x:v>-0.817</x:v>
      </x:c>
      <x:c r="AR24" s="9" t="n">
        <x:f>0</x:f>
        <x:v>0</x:v>
      </x:c>
      <x:c r="AS24" s="9"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x:f>
        <x:v>254.85718956228195</x:v>
      </x:c>
      <x:c r="AT24" s="9"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x:f>
        <x:v>82.20330622747613</x:v>
      </x:c>
      <x:c r="AU24" s="9"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x:f>
        <x:v>87.26125896711163</x:v>
      </x:c>
      <x:c r="AV24" s="9"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x:f>
        <x:v>87.26125896711163</x:v>
      </x:c>
      <x:c r="AW24" s="10" t="n"/>
      <x:c r="AX24" s="9" t="n">
        <x:f>A24</x:f>
        <x:v>-0.817</x:v>
      </x:c>
      <x:c r="AY24" s="9" t="n">
        <x:f>0</x:f>
        <x:v>0</x:v>
      </x:c>
      <x:c r="AZ24" s="9" t="n">
        <x:f>IF(OR(Inputs!$F$6=TRUE,Inputs!$F$6="TRUE",Inputs!$F$6=1),(Inputs!$H$6+Inputs!$L$6*(((Inputs!$I$6+(((A24)+1)/2)*(Inputs!$J$6-Inputs!$I$6)))/Inputs!$K$6)^2),NA())</x:f>
        <x:v>402.669956</x:v>
      </x:c>
      <x:c r="BA24" s="9" t="n">
        <x:f>IF(OR(Inputs!$F$7=TRUE,Inputs!$F$7="TRUE",Inputs!$F$7=1),(Inputs!$H$7+Inputs!$L$7*(((Inputs!$I$7+(((A24)+1)/2)*(Inputs!$J$7-Inputs!$I$7)))/Inputs!$K$7)^2),NA())</x:f>
        <x:v>278.63348499999995</x:v>
      </x:c>
      <x:c r="BB24" s="9" t="n">
        <x:f>IF(OR(Inputs!$F$8=TRUE,Inputs!$F$8="TRUE",Inputs!$F$8=1),(Inputs!$H$8+Inputs!$L$8*(((Inputs!$I$8+(((A24)+1)/2)*(Inputs!$J$8-Inputs!$I$8)))/Inputs!$K$8)^2),NA())</x:f>
        <x:v>679.1268849999998</x:v>
      </x:c>
      <x:c r="BC24" s="9" t="n">
        <x:f>IF(OR(Inputs!$F$9=TRUE,Inputs!$F$9="TRUE",Inputs!$F$9=1),(Inputs!$H$9+Inputs!$L$9*(((Inputs!$I$9+(((A24)+1)/2)*(Inputs!$J$9-Inputs!$I$9)))/Inputs!$K$9)^2),NA())</x:f>
        <x:v>675.8017749999998</x:v>
      </x:c>
      <x:c r="BD24" s="10" t="n"/>
      <x:c r="BE24" s="9" t="n">
        <x:f>A24</x:f>
        <x:v>-0.817</x:v>
      </x:c>
      <x:c r="BF24" s="9" t="n">
        <x:f>0</x:f>
        <x:v>0</x:v>
      </x:c>
      <x:c r="BG24" s="9"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9"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9"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9"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9" t="n">
        <x:f>ROUND(-1+23*2/240,3)</x:f>
        <x:v>-0.808</x:v>
      </x:c>
      <x:c r="B25" s="9" t="n">
        <x:f>IF(OR(Inputs!$F$6=TRUE,Inputs!$F$6="TRUE",Inputs!$F$6=1),(Inputs!$H$6+Inputs!$L$6*(((Inputs!$I$6+(((A25)+1)/2)*(Inputs!$J$6-Inputs!$I$6)))/Inputs!$K$6)^2),NA())</x:f>
        <x:v>402.611456</x:v>
      </x:c>
      <x:c r="C25" s="9" t="n">
        <x:f>IF(OR(Inputs!$F$7=TRUE,Inputs!$F$7="TRUE",Inputs!$F$7=1),(Inputs!$H$7+Inputs!$L$7*(((Inputs!$I$7+(((A25)+1)/2)*(Inputs!$J$7-Inputs!$I$7)))/Inputs!$K$7)^2),NA())</x:f>
        <x:v>273.2953600000001</x:v>
      </x:c>
      <x:c r="D25" s="9" t="n">
        <x:f>IF(OR(Inputs!$F$8=TRUE,Inputs!$F$8="TRUE",Inputs!$F$8=1),(Inputs!$H$8+Inputs!$L$8*(((Inputs!$I$8+(((A25)+1)/2)*(Inputs!$J$8-Inputs!$I$8)))/Inputs!$K$8)^2),NA())</x:f>
        <x:v>665.0137600000002</x:v>
      </x:c>
      <x:c r="E25" s="9" t="n">
        <x:f>IF(OR(Inputs!$F$9=TRUE,Inputs!$F$9="TRUE",Inputs!$F$9=1),(Inputs!$H$9+Inputs!$L$9*(((Inputs!$I$9+(((A25)+1)/2)*(Inputs!$J$9-Inputs!$I$9)))/Inputs!$K$9)^2),NA())</x:f>
        <x:v>661.5424000000003</x:v>
      </x:c>
      <x:c r="F25" s="10" t="n"/>
      <x:c r="G25" s="9" t="n">
        <x:f>A25</x:f>
        <x:v>-0.808</x:v>
      </x:c>
      <x:c r="H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10" t="n"/>
      <x:c r="M25" s="9" t="n">
        <x:f>A25</x:f>
        <x:v>-0.808</x:v>
      </x:c>
      <x:c r="N25" s="9"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9"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9"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9"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10" t="n"/>
      <x:c r="S25" s="9" t="n">
        <x:f>A25</x:f>
        <x:v>-0.808</x:v>
      </x:c>
      <x:c r="T25" s="9" t="n">
        <x:f>(Inputs!$I$6+(((A25)+1)/2)*(Inputs!$J$6-Inputs!$I$6))</x:f>
        <x:v>-48.480000000000004</x:v>
      </x:c>
      <x:c r="U25" s="9" t="n">
        <x:f>(Inputs!$I$7+(((A25)+1)/2)*(Inputs!$J$7-Inputs!$I$7))</x:f>
        <x:v>-323.20000000000005</x:v>
      </x:c>
      <x:c r="V25" s="9" t="n">
        <x:f>(Inputs!$I$8+(((A25)+1)/2)*(Inputs!$J$8-Inputs!$I$8))</x:f>
        <x:v>-646.4000000000001</x:v>
      </x:c>
      <x:c r="W25" s="9" t="n">
        <x:f>(Inputs!$I$9+(((A25)+1)/2)*(Inputs!$J$9-Inputs!$I$9))</x:f>
        <x:v>-646.4000000000001</x:v>
      </x:c>
      <x:c r="X25" s="10" t="n"/>
      <x:c r="Y25" s="9" t="n">
        <x:f>A25</x:f>
        <x:v>-0.808</x:v>
      </x:c>
      <x:c r="Z25" s="9" t="n">
        <x:f>(Inputs!$H$6+Inputs!$L$6*(((Inputs!$I$6+(((A25)+1)/2)*(Inputs!$J$6-Inputs!$I$6)))/Inputs!$K$6)^2)</x:f>
        <x:v>402.611456</x:v>
      </x:c>
      <x:c r="AA25" s="9" t="n">
        <x:f>(Inputs!$H$7+Inputs!$L$7*(((Inputs!$I$7+(((A25)+1)/2)*(Inputs!$J$7-Inputs!$I$7)))/Inputs!$K$7)^2)</x:f>
        <x:v>273.2953600000001</x:v>
      </x:c>
      <x:c r="AB25" s="9" t="n">
        <x:f>(Inputs!$H$8+Inputs!$L$8*(((Inputs!$I$8+(((A25)+1)/2)*(Inputs!$J$8-Inputs!$I$8)))/Inputs!$K$8)^2)</x:f>
        <x:v>665.0137600000002</x:v>
      </x:c>
      <x:c r="AC25" s="9" t="n">
        <x:f>(Inputs!$H$9+Inputs!$L$9*(((Inputs!$I$9+(((A25)+1)/2)*(Inputs!$J$9-Inputs!$I$9)))/Inputs!$K$9)^2)</x:f>
        <x:v>661.5424000000003</x:v>
      </x:c>
      <x:c r="AD25" s="10" t="n"/>
      <x:c r="AE25" s="9" t="n">
        <x:f>A25</x:f>
        <x:v>-0.808</x:v>
      </x:c>
      <x:c r="AF25" s="9"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9"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9"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9"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10" t="n"/>
      <x:c r="AK25" s="9" t="n">
        <x:f>A25</x:f>
        <x:v>-0.808</x:v>
      </x:c>
      <x:c r="AL25" s="9"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9"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9"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9"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10" t="n"/>
      <x:c r="AQ25" s="9" t="n">
        <x:f>A25</x:f>
        <x:v>-0.808</x:v>
      </x:c>
      <x:c r="AR25" s="9" t="n">
        <x:f>0</x:f>
        <x:v>0</x:v>
      </x:c>
      <x:c r="AS25" s="9"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x:f>
        <x:v>258.8573475716749</x:v>
      </x:c>
      <x:c r="AT25" s="9"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x:f>
        <x:v>176.6453495633319</x:v>
      </x:c>
      <x:c r="AU25" s="9"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x:f>
        <x:v>149.74219201112138</x:v>
      </x:c>
      <x:c r="AV25" s="9"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x:f>
        <x:v>149.74219201112138</x:v>
      </x:c>
      <x:c r="AW25" s="10" t="n"/>
      <x:c r="AX25" s="9" t="n">
        <x:f>A25</x:f>
        <x:v>-0.808</x:v>
      </x:c>
      <x:c r="AY25" s="9" t="n">
        <x:f>0</x:f>
        <x:v>0</x:v>
      </x:c>
      <x:c r="AZ25" s="9" t="n">
        <x:f>IF(OR(Inputs!$F$6=TRUE,Inputs!$F$6="TRUE",Inputs!$F$6=1),(Inputs!$H$6+Inputs!$L$6*(((Inputs!$I$6+(((A25)+1)/2)*(Inputs!$J$6-Inputs!$I$6)))/Inputs!$K$6)^2),NA())</x:f>
        <x:v>402.611456</x:v>
      </x:c>
      <x:c r="BA25" s="9" t="n">
        <x:f>IF(OR(Inputs!$F$7=TRUE,Inputs!$F$7="TRUE",Inputs!$F$7=1),(Inputs!$H$7+Inputs!$L$7*(((Inputs!$I$7+(((A25)+1)/2)*(Inputs!$J$7-Inputs!$I$7)))/Inputs!$K$7)^2),NA())</x:f>
        <x:v>273.2953600000001</x:v>
      </x:c>
      <x:c r="BB25" s="9" t="n">
        <x:f>IF(OR(Inputs!$F$8=TRUE,Inputs!$F$8="TRUE",Inputs!$F$8=1),(Inputs!$H$8+Inputs!$L$8*(((Inputs!$I$8+(((A25)+1)/2)*(Inputs!$J$8-Inputs!$I$8)))/Inputs!$K$8)^2),NA())</x:f>
        <x:v>665.0137600000002</x:v>
      </x:c>
      <x:c r="BC25" s="9" t="n">
        <x:f>IF(OR(Inputs!$F$9=TRUE,Inputs!$F$9="TRUE",Inputs!$F$9=1),(Inputs!$H$9+Inputs!$L$9*(((Inputs!$I$9+(((A25)+1)/2)*(Inputs!$J$9-Inputs!$I$9)))/Inputs!$K$9)^2),NA())</x:f>
        <x:v>661.5424000000003</x:v>
      </x:c>
      <x:c r="BD25" s="10" t="n"/>
      <x:c r="BE25" s="9" t="n">
        <x:f>A25</x:f>
        <x:v>-0.808</x:v>
      </x:c>
      <x:c r="BF25" s="9" t="n">
        <x:f>0</x:f>
        <x:v>0</x:v>
      </x:c>
      <x:c r="BG25" s="9"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9"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9"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9"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9" t="n">
        <x:f>ROUND(-1+24*2/240,3)</x:f>
        <x:v>-0.8</x:v>
      </x:c>
      <x:c r="B26" s="9" t="n">
        <x:f>IF(OR(Inputs!$F$6=TRUE,Inputs!$F$6="TRUE",Inputs!$F$6=1),(Inputs!$H$6+Inputs!$L$6*(((Inputs!$I$6+(((A26)+1)/2)*(Inputs!$J$6-Inputs!$I$6)))/Inputs!$K$6)^2),NA())</x:f>
        <x:v>402.56</x:v>
      </x:c>
      <x:c r="C26" s="9" t="n">
        <x:f>IF(OR(Inputs!$F$7=TRUE,Inputs!$F$7="TRUE",Inputs!$F$7=1),(Inputs!$H$7+Inputs!$L$7*(((Inputs!$I$7+(((A26)+1)/2)*(Inputs!$J$7-Inputs!$I$7)))/Inputs!$K$7)^2),NA())</x:f>
        <x:v>268.6</x:v>
      </x:c>
      <x:c r="D26" s="9" t="n">
        <x:f>IF(OR(Inputs!$F$8=TRUE,Inputs!$F$8="TRUE",Inputs!$F$8=1),(Inputs!$H$8+Inputs!$L$8*(((Inputs!$I$8+(((A26)+1)/2)*(Inputs!$J$8-Inputs!$I$8)))/Inputs!$K$8)^2),NA())</x:f>
        <x:v>652.6000000000001</x:v>
      </x:c>
      <x:c r="E26" s="9" t="n">
        <x:f>IF(OR(Inputs!$F$9=TRUE,Inputs!$F$9="TRUE",Inputs!$F$9=1),(Inputs!$H$9+Inputs!$L$9*(((Inputs!$I$9+(((A26)+1)/2)*(Inputs!$J$9-Inputs!$I$9)))/Inputs!$K$9)^2),NA())</x:f>
        <x:v>649.0000000000001</x:v>
      </x:c>
      <x:c r="F26" s="10" t="n"/>
      <x:c r="G26" s="9" t="n">
        <x:f>A26</x:f>
        <x:v>-0.8</x:v>
      </x:c>
      <x:c r="H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10" t="n"/>
      <x:c r="M26" s="9" t="n">
        <x:f>A26</x:f>
        <x:v>-0.8</x:v>
      </x:c>
      <x:c r="N26" s="9"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9"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9"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9"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10" t="n"/>
      <x:c r="S26" s="9" t="n">
        <x:f>A26</x:f>
        <x:v>-0.8</x:v>
      </x:c>
      <x:c r="T26" s="9" t="n">
        <x:f>(Inputs!$I$6+(((A26)+1)/2)*(Inputs!$J$6-Inputs!$I$6))</x:f>
        <x:v>-48</x:v>
      </x:c>
      <x:c r="U26" s="9" t="n">
        <x:f>(Inputs!$I$7+(((A26)+1)/2)*(Inputs!$J$7-Inputs!$I$7))</x:f>
        <x:v>-320</x:v>
      </x:c>
      <x:c r="V26" s="9" t="n">
        <x:f>(Inputs!$I$8+(((A26)+1)/2)*(Inputs!$J$8-Inputs!$I$8))</x:f>
        <x:v>-640</x:v>
      </x:c>
      <x:c r="W26" s="9" t="n">
        <x:f>(Inputs!$I$9+(((A26)+1)/2)*(Inputs!$J$9-Inputs!$I$9))</x:f>
        <x:v>-640</x:v>
      </x:c>
      <x:c r="X26" s="10" t="n"/>
      <x:c r="Y26" s="9" t="n">
        <x:f>A26</x:f>
        <x:v>-0.8</x:v>
      </x:c>
      <x:c r="Z26" s="9" t="n">
        <x:f>(Inputs!$H$6+Inputs!$L$6*(((Inputs!$I$6+(((A26)+1)/2)*(Inputs!$J$6-Inputs!$I$6)))/Inputs!$K$6)^2)</x:f>
        <x:v>402.56</x:v>
      </x:c>
      <x:c r="AA26" s="9" t="n">
        <x:f>(Inputs!$H$7+Inputs!$L$7*(((Inputs!$I$7+(((A26)+1)/2)*(Inputs!$J$7-Inputs!$I$7)))/Inputs!$K$7)^2)</x:f>
        <x:v>268.6</x:v>
      </x:c>
      <x:c r="AB26" s="9" t="n">
        <x:f>(Inputs!$H$8+Inputs!$L$8*(((Inputs!$I$8+(((A26)+1)/2)*(Inputs!$J$8-Inputs!$I$8)))/Inputs!$K$8)^2)</x:f>
        <x:v>652.6000000000001</x:v>
      </x:c>
      <x:c r="AC26" s="9" t="n">
        <x:f>(Inputs!$H$9+Inputs!$L$9*(((Inputs!$I$9+(((A26)+1)/2)*(Inputs!$J$9-Inputs!$I$9)))/Inputs!$K$9)^2)</x:f>
        <x:v>649.0000000000001</x:v>
      </x:c>
      <x:c r="AD26" s="10" t="n"/>
      <x:c r="AE26" s="9" t="n">
        <x:f>A26</x:f>
        <x:v>-0.8</x:v>
      </x:c>
      <x:c r="AF26" s="9"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9"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9"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9"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10" t="n"/>
      <x:c r="AK26" s="9" t="n">
        <x:f>A26</x:f>
        <x:v>-0.8</x:v>
      </x:c>
      <x:c r="AL26" s="9"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9"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9"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9"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10" t="n"/>
      <x:c r="AQ26" s="9" t="n">
        <x:f>A26</x:f>
        <x:v>-0.8</x:v>
      </x:c>
      <x:c r="AR26" s="9" t="n">
        <x:f>0</x:f>
        <x:v>0</x:v>
      </x:c>
      <x:c r="AS26" s="9"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x:f>
        <x:v>253.6370227527636</x:v>
      </x:c>
      <x:c r="AT26" s="9"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x:f>
        <x:v>230.83673823808448</x:v>
      </x:c>
      <x:c r="AU26" s="9"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x:f>
        <x:v>136.6792647027118</x:v>
      </x:c>
      <x:c r="AV26" s="9"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x:f>
        <x:v>136.6792647027118</x:v>
      </x:c>
      <x:c r="AW26" s="10" t="n"/>
      <x:c r="AX26" s="9" t="n">
        <x:f>A26</x:f>
        <x:v>-0.8</x:v>
      </x:c>
      <x:c r="AY26" s="9" t="n">
        <x:f>0</x:f>
        <x:v>0</x:v>
      </x:c>
      <x:c r="AZ26" s="9" t="n">
        <x:f>IF(OR(Inputs!$F$6=TRUE,Inputs!$F$6="TRUE",Inputs!$F$6=1),(Inputs!$H$6+Inputs!$L$6*(((Inputs!$I$6+(((A26)+1)/2)*(Inputs!$J$6-Inputs!$I$6)))/Inputs!$K$6)^2),NA())</x:f>
        <x:v>402.56</x:v>
      </x:c>
      <x:c r="BA26" s="9" t="n">
        <x:f>IF(OR(Inputs!$F$7=TRUE,Inputs!$F$7="TRUE",Inputs!$F$7=1),(Inputs!$H$7+Inputs!$L$7*(((Inputs!$I$7+(((A26)+1)/2)*(Inputs!$J$7-Inputs!$I$7)))/Inputs!$K$7)^2),NA())</x:f>
        <x:v>268.6</x:v>
      </x:c>
      <x:c r="BB26" s="9" t="n">
        <x:f>IF(OR(Inputs!$F$8=TRUE,Inputs!$F$8="TRUE",Inputs!$F$8=1),(Inputs!$H$8+Inputs!$L$8*(((Inputs!$I$8+(((A26)+1)/2)*(Inputs!$J$8-Inputs!$I$8)))/Inputs!$K$8)^2),NA())</x:f>
        <x:v>652.6000000000001</x:v>
      </x:c>
      <x:c r="BC26" s="9" t="n">
        <x:f>IF(OR(Inputs!$F$9=TRUE,Inputs!$F$9="TRUE",Inputs!$F$9=1),(Inputs!$H$9+Inputs!$L$9*(((Inputs!$I$9+(((A26)+1)/2)*(Inputs!$J$9-Inputs!$I$9)))/Inputs!$K$9)^2),NA())</x:f>
        <x:v>649.0000000000001</x:v>
      </x:c>
      <x:c r="BD26" s="10" t="n"/>
      <x:c r="BE26" s="9" t="n">
        <x:f>A26</x:f>
        <x:v>-0.8</x:v>
      </x:c>
      <x:c r="BF26" s="9" t="n">
        <x:f>0</x:f>
        <x:v>0</x:v>
      </x:c>
      <x:c r="BG26" s="9"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9"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9"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9"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9" t="n">
        <x:f>ROUND(-1+25*2/240,3)</x:f>
        <x:v>-0.792</x:v>
      </x:c>
      <x:c r="B27" s="9" t="n">
        <x:f>IF(OR(Inputs!$F$6=TRUE,Inputs!$F$6="TRUE",Inputs!$F$6=1),(Inputs!$H$6+Inputs!$L$6*(((Inputs!$I$6+(((A27)+1)/2)*(Inputs!$J$6-Inputs!$I$6)))/Inputs!$K$6)^2),NA())</x:f>
        <x:v>402.509056</x:v>
      </x:c>
      <x:c r="C27" s="9" t="n">
        <x:f>IF(OR(Inputs!$F$7=TRUE,Inputs!$F$7="TRUE",Inputs!$F$7=1),(Inputs!$H$7+Inputs!$L$7*(((Inputs!$I$7+(((A27)+1)/2)*(Inputs!$J$7-Inputs!$I$7)))/Inputs!$K$7)^2),NA())</x:f>
        <x:v>263.95136</x:v>
      </x:c>
      <x:c r="D27" s="9" t="n">
        <x:f>IF(OR(Inputs!$F$8=TRUE,Inputs!$F$8="TRUE",Inputs!$F$8=1),(Inputs!$H$8+Inputs!$L$8*(((Inputs!$I$8+(((A27)+1)/2)*(Inputs!$J$8-Inputs!$I$8)))/Inputs!$K$8)^2),NA())</x:f>
        <x:v>640.3097600000001</x:v>
      </x:c>
      <x:c r="E27" s="9" t="n">
        <x:f>IF(OR(Inputs!$F$9=TRUE,Inputs!$F$9="TRUE",Inputs!$F$9=1),(Inputs!$H$9+Inputs!$L$9*(((Inputs!$I$9+(((A27)+1)/2)*(Inputs!$J$9-Inputs!$I$9)))/Inputs!$K$9)^2),NA())</x:f>
        <x:v>636.5824</x:v>
      </x:c>
      <x:c r="F27" s="10" t="n"/>
      <x:c r="G27" s="9" t="n">
        <x:f>A27</x:f>
        <x:v>-0.792</x:v>
      </x:c>
      <x:c r="H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10" t="n"/>
      <x:c r="M27" s="9" t="n">
        <x:f>A27</x:f>
        <x:v>-0.792</x:v>
      </x:c>
      <x:c r="N27" s="9"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9"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9"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9"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10" t="n"/>
      <x:c r="S27" s="9" t="n">
        <x:f>A27</x:f>
        <x:v>-0.792</x:v>
      </x:c>
      <x:c r="T27" s="9" t="n">
        <x:f>(Inputs!$I$6+(((A27)+1)/2)*(Inputs!$J$6-Inputs!$I$6))</x:f>
        <x:v>-47.52</x:v>
      </x:c>
      <x:c r="U27" s="9" t="n">
        <x:f>(Inputs!$I$7+(((A27)+1)/2)*(Inputs!$J$7-Inputs!$I$7))</x:f>
        <x:v>-316.8</x:v>
      </x:c>
      <x:c r="V27" s="9" t="n">
        <x:f>(Inputs!$I$8+(((A27)+1)/2)*(Inputs!$J$8-Inputs!$I$8))</x:f>
        <x:v>-633.6</x:v>
      </x:c>
      <x:c r="W27" s="9" t="n">
        <x:f>(Inputs!$I$9+(((A27)+1)/2)*(Inputs!$J$9-Inputs!$I$9))</x:f>
        <x:v>-633.6</x:v>
      </x:c>
      <x:c r="X27" s="10" t="n"/>
      <x:c r="Y27" s="9" t="n">
        <x:f>A27</x:f>
        <x:v>-0.792</x:v>
      </x:c>
      <x:c r="Z27" s="9" t="n">
        <x:f>(Inputs!$H$6+Inputs!$L$6*(((Inputs!$I$6+(((A27)+1)/2)*(Inputs!$J$6-Inputs!$I$6)))/Inputs!$K$6)^2)</x:f>
        <x:v>402.509056</x:v>
      </x:c>
      <x:c r="AA27" s="9" t="n">
        <x:f>(Inputs!$H$7+Inputs!$L$7*(((Inputs!$I$7+(((A27)+1)/2)*(Inputs!$J$7-Inputs!$I$7)))/Inputs!$K$7)^2)</x:f>
        <x:v>263.95136</x:v>
      </x:c>
      <x:c r="AB27" s="9" t="n">
        <x:f>(Inputs!$H$8+Inputs!$L$8*(((Inputs!$I$8+(((A27)+1)/2)*(Inputs!$J$8-Inputs!$I$8)))/Inputs!$K$8)^2)</x:f>
        <x:v>640.3097600000001</x:v>
      </x:c>
      <x:c r="AC27" s="9" t="n">
        <x:f>(Inputs!$H$9+Inputs!$L$9*(((Inputs!$I$9+(((A27)+1)/2)*(Inputs!$J$9-Inputs!$I$9)))/Inputs!$K$9)^2)</x:f>
        <x:v>636.5824</x:v>
      </x:c>
      <x:c r="AD27" s="10" t="n"/>
      <x:c r="AE27" s="9" t="n">
        <x:f>A27</x:f>
        <x:v>-0.792</x:v>
      </x:c>
      <x:c r="AF27" s="9"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9"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9"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9"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10" t="n"/>
      <x:c r="AK27" s="9" t="n">
        <x:f>A27</x:f>
        <x:v>-0.792</x:v>
      </x:c>
      <x:c r="AL27" s="9"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9"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9"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9"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10" t="n"/>
      <x:c r="AQ27" s="9" t="n">
        <x:f>A27</x:f>
        <x:v>-0.792</x:v>
      </x:c>
      <x:c r="AR27" s="9" t="n">
        <x:f>0</x:f>
        <x:v>0</x:v>
      </x:c>
      <x:c r="AS27" s="9"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x:f>
        <x:v>244.36421465386238</x:v>
      </x:c>
      <x:c r="AT27" s="9"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x:f>
        <x:v>173.99596572842944</x:v>
      </x:c>
      <x:c r="AU27" s="9"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x:f>
        <x:v>108.01116799428624</x:v>
      </x:c>
      <x:c r="AV27" s="9"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x:f>
        <x:v>108.01116799428624</x:v>
      </x:c>
      <x:c r="AW27" s="10" t="n"/>
      <x:c r="AX27" s="9" t="n">
        <x:f>A27</x:f>
        <x:v>-0.792</x:v>
      </x:c>
      <x:c r="AY27" s="9" t="n">
        <x:f>0</x:f>
        <x:v>0</x:v>
      </x:c>
      <x:c r="AZ27" s="9" t="n">
        <x:f>IF(OR(Inputs!$F$6=TRUE,Inputs!$F$6="TRUE",Inputs!$F$6=1),(Inputs!$H$6+Inputs!$L$6*(((Inputs!$I$6+(((A27)+1)/2)*(Inputs!$J$6-Inputs!$I$6)))/Inputs!$K$6)^2),NA())</x:f>
        <x:v>402.509056</x:v>
      </x:c>
      <x:c r="BA27" s="9" t="n">
        <x:f>IF(OR(Inputs!$F$7=TRUE,Inputs!$F$7="TRUE",Inputs!$F$7=1),(Inputs!$H$7+Inputs!$L$7*(((Inputs!$I$7+(((A27)+1)/2)*(Inputs!$J$7-Inputs!$I$7)))/Inputs!$K$7)^2),NA())</x:f>
        <x:v>263.95136</x:v>
      </x:c>
      <x:c r="BB27" s="9" t="n">
        <x:f>IF(OR(Inputs!$F$8=TRUE,Inputs!$F$8="TRUE",Inputs!$F$8=1),(Inputs!$H$8+Inputs!$L$8*(((Inputs!$I$8+(((A27)+1)/2)*(Inputs!$J$8-Inputs!$I$8)))/Inputs!$K$8)^2),NA())</x:f>
        <x:v>640.3097600000001</x:v>
      </x:c>
      <x:c r="BC27" s="9" t="n">
        <x:f>IF(OR(Inputs!$F$9=TRUE,Inputs!$F$9="TRUE",Inputs!$F$9=1),(Inputs!$H$9+Inputs!$L$9*(((Inputs!$I$9+(((A27)+1)/2)*(Inputs!$J$9-Inputs!$I$9)))/Inputs!$K$9)^2),NA())</x:f>
        <x:v>636.5824</x:v>
      </x:c>
      <x:c r="BD27" s="10" t="n"/>
      <x:c r="BE27" s="9" t="n">
        <x:f>A27</x:f>
        <x:v>-0.792</x:v>
      </x:c>
      <x:c r="BF27" s="9" t="n">
        <x:f>0</x:f>
        <x:v>0</x:v>
      </x:c>
      <x:c r="BG27" s="9"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9"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9"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9"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9" t="n">
        <x:f>ROUND(-1+26*2/240,3)</x:f>
        <x:v>-0.783</x:v>
      </x:c>
      <x:c r="B28" s="9" t="n">
        <x:f>IF(OR(Inputs!$F$6=TRUE,Inputs!$F$6="TRUE",Inputs!$F$6=1),(Inputs!$H$6+Inputs!$L$6*(((Inputs!$I$6+(((A28)+1)/2)*(Inputs!$J$6-Inputs!$I$6)))/Inputs!$K$6)^2),NA())</x:f>
        <x:v>402.452356</x:v>
      </x:c>
      <x:c r="C28" s="9" t="n">
        <x:f>IF(OR(Inputs!$F$7=TRUE,Inputs!$F$7="TRUE",Inputs!$F$7=1),(Inputs!$H$7+Inputs!$L$7*(((Inputs!$I$7+(((A28)+1)/2)*(Inputs!$J$7-Inputs!$I$7)))/Inputs!$K$7)^2),NA())</x:f>
        <x:v>258.77748500000007</x:v>
      </x:c>
      <x:c r="D28" s="9" t="n">
        <x:f>IF(OR(Inputs!$F$8=TRUE,Inputs!$F$8="TRUE",Inputs!$F$8=1),(Inputs!$H$8+Inputs!$L$8*(((Inputs!$I$8+(((A28)+1)/2)*(Inputs!$J$8-Inputs!$I$8)))/Inputs!$K$8)^2),NA())</x:f>
        <x:v>626.6308850000003</x:v>
      </x:c>
      <x:c r="E28" s="9" t="n">
        <x:f>IF(OR(Inputs!$F$9=TRUE,Inputs!$F$9="TRUE",Inputs!$F$9=1),(Inputs!$H$9+Inputs!$L$9*(((Inputs!$I$9+(((A28)+1)/2)*(Inputs!$J$9-Inputs!$I$9)))/Inputs!$K$9)^2),NA())</x:f>
        <x:v>622.7617750000002</x:v>
      </x:c>
      <x:c r="F28" s="10" t="n"/>
      <x:c r="G28" s="9" t="n">
        <x:f>A28</x:f>
        <x:v>-0.783</x:v>
      </x:c>
      <x:c r="H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10" t="n"/>
      <x:c r="M28" s="9" t="n">
        <x:f>A28</x:f>
        <x:v>-0.783</x:v>
      </x:c>
      <x:c r="N28" s="9"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9"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9"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9"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10" t="n"/>
      <x:c r="S28" s="9" t="n">
        <x:f>A28</x:f>
        <x:v>-0.783</x:v>
      </x:c>
      <x:c r="T28" s="9" t="n">
        <x:f>(Inputs!$I$6+(((A28)+1)/2)*(Inputs!$J$6-Inputs!$I$6))</x:f>
        <x:v>-46.980000000000004</x:v>
      </x:c>
      <x:c r="U28" s="9" t="n">
        <x:f>(Inputs!$I$7+(((A28)+1)/2)*(Inputs!$J$7-Inputs!$I$7))</x:f>
        <x:v>-313.20000000000005</x:v>
      </x:c>
      <x:c r="V28" s="9" t="n">
        <x:f>(Inputs!$I$8+(((A28)+1)/2)*(Inputs!$J$8-Inputs!$I$8))</x:f>
        <x:v>-626.4000000000001</x:v>
      </x:c>
      <x:c r="W28" s="9" t="n">
        <x:f>(Inputs!$I$9+(((A28)+1)/2)*(Inputs!$J$9-Inputs!$I$9))</x:f>
        <x:v>-626.4000000000001</x:v>
      </x:c>
      <x:c r="X28" s="10" t="n"/>
      <x:c r="Y28" s="9" t="n">
        <x:f>A28</x:f>
        <x:v>-0.783</x:v>
      </x:c>
      <x:c r="Z28" s="9" t="n">
        <x:f>(Inputs!$H$6+Inputs!$L$6*(((Inputs!$I$6+(((A28)+1)/2)*(Inputs!$J$6-Inputs!$I$6)))/Inputs!$K$6)^2)</x:f>
        <x:v>402.452356</x:v>
      </x:c>
      <x:c r="AA28" s="9" t="n">
        <x:f>(Inputs!$H$7+Inputs!$L$7*(((Inputs!$I$7+(((A28)+1)/2)*(Inputs!$J$7-Inputs!$I$7)))/Inputs!$K$7)^2)</x:f>
        <x:v>258.77748500000007</x:v>
      </x:c>
      <x:c r="AB28" s="9" t="n">
        <x:f>(Inputs!$H$8+Inputs!$L$8*(((Inputs!$I$8+(((A28)+1)/2)*(Inputs!$J$8-Inputs!$I$8)))/Inputs!$K$8)^2)</x:f>
        <x:v>626.6308850000003</x:v>
      </x:c>
      <x:c r="AC28" s="9" t="n">
        <x:f>(Inputs!$H$9+Inputs!$L$9*(((Inputs!$I$9+(((A28)+1)/2)*(Inputs!$J$9-Inputs!$I$9)))/Inputs!$K$9)^2)</x:f>
        <x:v>622.7617750000002</x:v>
      </x:c>
      <x:c r="AD28" s="10" t="n"/>
      <x:c r="AE28" s="9" t="n">
        <x:f>A28</x:f>
        <x:v>-0.783</x:v>
      </x:c>
      <x:c r="AF28" s="9"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9"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9"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9"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10" t="n"/>
      <x:c r="AK28" s="9" t="n">
        <x:f>A28</x:f>
        <x:v>-0.783</x:v>
      </x:c>
      <x:c r="AL28" s="9"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9"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9"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9"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10" t="n"/>
      <x:c r="AQ28" s="9" t="n">
        <x:f>A28</x:f>
        <x:v>-0.783</x:v>
      </x:c>
      <x:c r="AR28" s="9" t="n">
        <x:f>0</x:f>
        <x:v>0</x:v>
      </x:c>
      <x:c r="AS28" s="9"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x:f>
        <x:v>254.63529199517342</x:v>
      </x:c>
      <x:c r="AT28" s="9"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x:f>
        <x:v>97.13666626546501</x:v>
      </x:c>
      <x:c r="AU28" s="9"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x:f>
        <x:v>199.06597739804502</x:v>
      </x:c>
      <x:c r="AV28" s="9"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x:f>
        <x:v>199.06597739804502</x:v>
      </x:c>
      <x:c r="AW28" s="10" t="n"/>
      <x:c r="AX28" s="9" t="n">
        <x:f>A28</x:f>
        <x:v>-0.783</x:v>
      </x:c>
      <x:c r="AY28" s="9" t="n">
        <x:f>0</x:f>
        <x:v>0</x:v>
      </x:c>
      <x:c r="AZ28" s="9" t="n">
        <x:f>IF(OR(Inputs!$F$6=TRUE,Inputs!$F$6="TRUE",Inputs!$F$6=1),(Inputs!$H$6+Inputs!$L$6*(((Inputs!$I$6+(((A28)+1)/2)*(Inputs!$J$6-Inputs!$I$6)))/Inputs!$K$6)^2),NA())</x:f>
        <x:v>402.452356</x:v>
      </x:c>
      <x:c r="BA28" s="9" t="n">
        <x:f>IF(OR(Inputs!$F$7=TRUE,Inputs!$F$7="TRUE",Inputs!$F$7=1),(Inputs!$H$7+Inputs!$L$7*(((Inputs!$I$7+(((A28)+1)/2)*(Inputs!$J$7-Inputs!$I$7)))/Inputs!$K$7)^2),NA())</x:f>
        <x:v>258.77748500000007</x:v>
      </x:c>
      <x:c r="BB28" s="9" t="n">
        <x:f>IF(OR(Inputs!$F$8=TRUE,Inputs!$F$8="TRUE",Inputs!$F$8=1),(Inputs!$H$8+Inputs!$L$8*(((Inputs!$I$8+(((A28)+1)/2)*(Inputs!$J$8-Inputs!$I$8)))/Inputs!$K$8)^2),NA())</x:f>
        <x:v>626.6308850000003</x:v>
      </x:c>
      <x:c r="BC28" s="9" t="n">
        <x:f>IF(OR(Inputs!$F$9=TRUE,Inputs!$F$9="TRUE",Inputs!$F$9=1),(Inputs!$H$9+Inputs!$L$9*(((Inputs!$I$9+(((A28)+1)/2)*(Inputs!$J$9-Inputs!$I$9)))/Inputs!$K$9)^2),NA())</x:f>
        <x:v>622.7617750000002</x:v>
      </x:c>
      <x:c r="BD28" s="10" t="n"/>
      <x:c r="BE28" s="9" t="n">
        <x:f>A28</x:f>
        <x:v>-0.783</x:v>
      </x:c>
      <x:c r="BF28" s="9" t="n">
        <x:f>0</x:f>
        <x:v>0</x:v>
      </x:c>
      <x:c r="BG28" s="9"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9"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9"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9"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9" t="n">
        <x:f>ROUND(-1+27*2/240,3)</x:f>
        <x:v>-0.775</x:v>
      </x:c>
      <x:c r="B29" s="9" t="n">
        <x:f>IF(OR(Inputs!$F$6=TRUE,Inputs!$F$6="TRUE",Inputs!$F$6=1),(Inputs!$H$6+Inputs!$L$6*(((Inputs!$I$6+(((A29)+1)/2)*(Inputs!$J$6-Inputs!$I$6)))/Inputs!$K$6)^2),NA())</x:f>
        <x:v>402.4025</x:v>
      </x:c>
      <x:c r="C29" s="9" t="n">
        <x:f>IF(OR(Inputs!$F$7=TRUE,Inputs!$F$7="TRUE",Inputs!$F$7=1),(Inputs!$H$7+Inputs!$L$7*(((Inputs!$I$7+(((A29)+1)/2)*(Inputs!$J$7-Inputs!$I$7)))/Inputs!$K$7)^2),NA())</x:f>
        <x:v>254.22812500000003</x:v>
      </x:c>
      <x:c r="D29" s="9" t="n">
        <x:f>IF(OR(Inputs!$F$8=TRUE,Inputs!$F$8="TRUE",Inputs!$F$8=1),(Inputs!$H$8+Inputs!$L$8*(((Inputs!$I$8+(((A29)+1)/2)*(Inputs!$J$8-Inputs!$I$8)))/Inputs!$K$8)^2),NA())</x:f>
        <x:v>614.6031250000001</x:v>
      </x:c>
      <x:c r="E29" s="9" t="n">
        <x:f>IF(OR(Inputs!$F$9=TRUE,Inputs!$F$9="TRUE",Inputs!$F$9=1),(Inputs!$H$9+Inputs!$L$9*(((Inputs!$I$9+(((A29)+1)/2)*(Inputs!$J$9-Inputs!$I$9)))/Inputs!$K$9)^2),NA())</x:f>
        <x:v>610.6093750000001</x:v>
      </x:c>
      <x:c r="F29" s="10" t="n"/>
      <x:c r="G29" s="9" t="n">
        <x:f>A29</x:f>
        <x:v>-0.775</x:v>
      </x:c>
      <x:c r="H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10" t="n"/>
      <x:c r="M29" s="9" t="n">
        <x:f>A29</x:f>
        <x:v>-0.775</x:v>
      </x:c>
      <x:c r="N29" s="9"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9"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9"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9"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10" t="n"/>
      <x:c r="S29" s="9" t="n">
        <x:f>A29</x:f>
        <x:v>-0.775</x:v>
      </x:c>
      <x:c r="T29" s="9" t="n">
        <x:f>(Inputs!$I$6+(((A29)+1)/2)*(Inputs!$J$6-Inputs!$I$6))</x:f>
        <x:v>-46.5</x:v>
      </x:c>
      <x:c r="U29" s="9" t="n">
        <x:f>(Inputs!$I$7+(((A29)+1)/2)*(Inputs!$J$7-Inputs!$I$7))</x:f>
        <x:v>-310</x:v>
      </x:c>
      <x:c r="V29" s="9" t="n">
        <x:f>(Inputs!$I$8+(((A29)+1)/2)*(Inputs!$J$8-Inputs!$I$8))</x:f>
        <x:v>-620</x:v>
      </x:c>
      <x:c r="W29" s="9" t="n">
        <x:f>(Inputs!$I$9+(((A29)+1)/2)*(Inputs!$J$9-Inputs!$I$9))</x:f>
        <x:v>-620</x:v>
      </x:c>
      <x:c r="X29" s="10" t="n"/>
      <x:c r="Y29" s="9" t="n">
        <x:f>A29</x:f>
        <x:v>-0.775</x:v>
      </x:c>
      <x:c r="Z29" s="9" t="n">
        <x:f>(Inputs!$H$6+Inputs!$L$6*(((Inputs!$I$6+(((A29)+1)/2)*(Inputs!$J$6-Inputs!$I$6)))/Inputs!$K$6)^2)</x:f>
        <x:v>402.4025</x:v>
      </x:c>
      <x:c r="AA29" s="9" t="n">
        <x:f>(Inputs!$H$7+Inputs!$L$7*(((Inputs!$I$7+(((A29)+1)/2)*(Inputs!$J$7-Inputs!$I$7)))/Inputs!$K$7)^2)</x:f>
        <x:v>254.22812500000003</x:v>
      </x:c>
      <x:c r="AB29" s="9" t="n">
        <x:f>(Inputs!$H$8+Inputs!$L$8*(((Inputs!$I$8+(((A29)+1)/2)*(Inputs!$J$8-Inputs!$I$8)))/Inputs!$K$8)^2)</x:f>
        <x:v>614.6031250000001</x:v>
      </x:c>
      <x:c r="AC29" s="9" t="n">
        <x:f>(Inputs!$H$9+Inputs!$L$9*(((Inputs!$I$9+(((A29)+1)/2)*(Inputs!$J$9-Inputs!$I$9)))/Inputs!$K$9)^2)</x:f>
        <x:v>610.6093750000001</x:v>
      </x:c>
      <x:c r="AD29" s="10" t="n"/>
      <x:c r="AE29" s="9" t="n">
        <x:f>A29</x:f>
        <x:v>-0.775</x:v>
      </x:c>
      <x:c r="AF29" s="9"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9"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9"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9"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10" t="n"/>
      <x:c r="AK29" s="9" t="n">
        <x:f>A29</x:f>
        <x:v>-0.775</x:v>
      </x:c>
      <x:c r="AL29" s="9"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9"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9"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9"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10" t="n"/>
      <x:c r="AQ29" s="9" t="n">
        <x:f>A29</x:f>
        <x:v>-0.775</x:v>
      </x:c>
      <x:c r="AR29" s="9" t="n">
        <x:f>0</x:f>
        <x:v>0</x:v>
      </x:c>
      <x:c r="AS29" s="9"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x:f>
        <x:v>253.748238320312</x:v>
      </x:c>
      <x:c r="AT29" s="9"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x:f>
        <x:v>90.56883677245813</x:v>
      </x:c>
      <x:c r="AU29" s="9"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x:f>
        <x:v>178.20756047601193</x:v>
      </x:c>
      <x:c r="AV29" s="9"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x:f>
        <x:v>178.20756047601193</x:v>
      </x:c>
      <x:c r="AW29" s="10" t="n"/>
      <x:c r="AX29" s="9" t="n">
        <x:f>A29</x:f>
        <x:v>-0.775</x:v>
      </x:c>
      <x:c r="AY29" s="9" t="n">
        <x:f>0</x:f>
        <x:v>0</x:v>
      </x:c>
      <x:c r="AZ29" s="9" t="n">
        <x:f>IF(OR(Inputs!$F$6=TRUE,Inputs!$F$6="TRUE",Inputs!$F$6=1),(Inputs!$H$6+Inputs!$L$6*(((Inputs!$I$6+(((A29)+1)/2)*(Inputs!$J$6-Inputs!$I$6)))/Inputs!$K$6)^2),NA())</x:f>
        <x:v>402.4025</x:v>
      </x:c>
      <x:c r="BA29" s="9" t="n">
        <x:f>IF(OR(Inputs!$F$7=TRUE,Inputs!$F$7="TRUE",Inputs!$F$7=1),(Inputs!$H$7+Inputs!$L$7*(((Inputs!$I$7+(((A29)+1)/2)*(Inputs!$J$7-Inputs!$I$7)))/Inputs!$K$7)^2),NA())</x:f>
        <x:v>254.22812500000003</x:v>
      </x:c>
      <x:c r="BB29" s="9" t="n">
        <x:f>IF(OR(Inputs!$F$8=TRUE,Inputs!$F$8="TRUE",Inputs!$F$8=1),(Inputs!$H$8+Inputs!$L$8*(((Inputs!$I$8+(((A29)+1)/2)*(Inputs!$J$8-Inputs!$I$8)))/Inputs!$K$8)^2),NA())</x:f>
        <x:v>614.6031250000001</x:v>
      </x:c>
      <x:c r="BC29" s="9" t="n">
        <x:f>IF(OR(Inputs!$F$9=TRUE,Inputs!$F$9="TRUE",Inputs!$F$9=1),(Inputs!$H$9+Inputs!$L$9*(((Inputs!$I$9+(((A29)+1)/2)*(Inputs!$J$9-Inputs!$I$9)))/Inputs!$K$9)^2),NA())</x:f>
        <x:v>610.6093750000001</x:v>
      </x:c>
      <x:c r="BD29" s="10" t="n"/>
      <x:c r="BE29" s="9" t="n">
        <x:f>A29</x:f>
        <x:v>-0.775</x:v>
      </x:c>
      <x:c r="BF29" s="9" t="n">
        <x:f>0</x:f>
        <x:v>0</x:v>
      </x:c>
      <x:c r="BG29" s="9"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9"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9"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9"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9" t="n">
        <x:f>ROUND(-1+28*2/240,3)</x:f>
        <x:v>-0.767</x:v>
      </x:c>
      <x:c r="B30" s="9" t="n">
        <x:f>IF(OR(Inputs!$F$6=TRUE,Inputs!$F$6="TRUE",Inputs!$F$6=1),(Inputs!$H$6+Inputs!$L$6*(((Inputs!$I$6+(((A30)+1)/2)*(Inputs!$J$6-Inputs!$I$6)))/Inputs!$K$6)^2),NA())</x:f>
        <x:v>402.353156</x:v>
      </x:c>
      <x:c r="C30" s="9" t="n">
        <x:f>IF(OR(Inputs!$F$7=TRUE,Inputs!$F$7="TRUE",Inputs!$F$7=1),(Inputs!$H$7+Inputs!$L$7*(((Inputs!$I$7+(((A30)+1)/2)*(Inputs!$J$7-Inputs!$I$7)))/Inputs!$K$7)^2),NA())</x:f>
        <x:v>249.72548500000002</x:v>
      </x:c>
      <x:c r="D30" s="9" t="n">
        <x:f>IF(OR(Inputs!$F$8=TRUE,Inputs!$F$8="TRUE",Inputs!$F$8=1),(Inputs!$H$8+Inputs!$L$8*(((Inputs!$I$8+(((A30)+1)/2)*(Inputs!$J$8-Inputs!$I$8)))/Inputs!$K$8)^2),NA())</x:f>
        <x:v>602.698885</x:v>
      </x:c>
      <x:c r="E30" s="9" t="n">
        <x:f>IF(OR(Inputs!$F$9=TRUE,Inputs!$F$9="TRUE",Inputs!$F$9=1),(Inputs!$H$9+Inputs!$L$9*(((Inputs!$I$9+(((A30)+1)/2)*(Inputs!$J$9-Inputs!$I$9)))/Inputs!$K$9)^2),NA())</x:f>
        <x:v>598.5817750000001</x:v>
      </x:c>
      <x:c r="F30" s="10" t="n"/>
      <x:c r="G30" s="9" t="n">
        <x:f>A30</x:f>
        <x:v>-0.767</x:v>
      </x:c>
      <x:c r="H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10" t="n"/>
      <x:c r="M30" s="9" t="n">
        <x:f>A30</x:f>
        <x:v>-0.767</x:v>
      </x:c>
      <x:c r="N30" s="9"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9"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9"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9"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10" t="n"/>
      <x:c r="S30" s="9" t="n">
        <x:f>A30</x:f>
        <x:v>-0.767</x:v>
      </x:c>
      <x:c r="T30" s="9" t="n">
        <x:f>(Inputs!$I$6+(((A30)+1)/2)*(Inputs!$J$6-Inputs!$I$6))</x:f>
        <x:v>-46.02</x:v>
      </x:c>
      <x:c r="U30" s="9" t="n">
        <x:f>(Inputs!$I$7+(((A30)+1)/2)*(Inputs!$J$7-Inputs!$I$7))</x:f>
        <x:v>-306.8</x:v>
      </x:c>
      <x:c r="V30" s="9" t="n">
        <x:f>(Inputs!$I$8+(((A30)+1)/2)*(Inputs!$J$8-Inputs!$I$8))</x:f>
        <x:v>-613.6</x:v>
      </x:c>
      <x:c r="W30" s="9" t="n">
        <x:f>(Inputs!$I$9+(((A30)+1)/2)*(Inputs!$J$9-Inputs!$I$9))</x:f>
        <x:v>-613.6</x:v>
      </x:c>
      <x:c r="X30" s="10" t="n"/>
      <x:c r="Y30" s="9" t="n">
        <x:f>A30</x:f>
        <x:v>-0.767</x:v>
      </x:c>
      <x:c r="Z30" s="9" t="n">
        <x:f>(Inputs!$H$6+Inputs!$L$6*(((Inputs!$I$6+(((A30)+1)/2)*(Inputs!$J$6-Inputs!$I$6)))/Inputs!$K$6)^2)</x:f>
        <x:v>402.353156</x:v>
      </x:c>
      <x:c r="AA30" s="9" t="n">
        <x:f>(Inputs!$H$7+Inputs!$L$7*(((Inputs!$I$7+(((A30)+1)/2)*(Inputs!$J$7-Inputs!$I$7)))/Inputs!$K$7)^2)</x:f>
        <x:v>249.72548500000002</x:v>
      </x:c>
      <x:c r="AB30" s="9" t="n">
        <x:f>(Inputs!$H$8+Inputs!$L$8*(((Inputs!$I$8+(((A30)+1)/2)*(Inputs!$J$8-Inputs!$I$8)))/Inputs!$K$8)^2)</x:f>
        <x:v>602.698885</x:v>
      </x:c>
      <x:c r="AC30" s="9" t="n">
        <x:f>(Inputs!$H$9+Inputs!$L$9*(((Inputs!$I$9+(((A30)+1)/2)*(Inputs!$J$9-Inputs!$I$9)))/Inputs!$K$9)^2)</x:f>
        <x:v>598.5817750000001</x:v>
      </x:c>
      <x:c r="AD30" s="10" t="n"/>
      <x:c r="AE30" s="9" t="n">
        <x:f>A30</x:f>
        <x:v>-0.767</x:v>
      </x:c>
      <x:c r="AF30" s="9"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9"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9"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9"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10" t="n"/>
      <x:c r="AK30" s="9" t="n">
        <x:f>A30</x:f>
        <x:v>-0.767</x:v>
      </x:c>
      <x:c r="AL30" s="9"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9"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9"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9"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10" t="n"/>
      <x:c r="AQ30" s="9" t="n">
        <x:f>A30</x:f>
        <x:v>-0.767</x:v>
      </x:c>
      <x:c r="AR30" s="9" t="n">
        <x:f>0</x:f>
        <x:v>0</x:v>
      </x:c>
      <x:c r="AS30" s="9"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x:f>
        <x:v>227.51735986959815</x:v>
      </x:c>
      <x:c r="AT30" s="9"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x:f>
        <x:v>137.84985488141712</x:v>
      </x:c>
      <x:c r="AU30" s="9"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x:f>
        <x:v>109.75575537848928</x:v>
      </x:c>
      <x:c r="AV30" s="9"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x:f>
        <x:v>109.75575537848928</x:v>
      </x:c>
      <x:c r="AW30" s="10" t="n"/>
      <x:c r="AX30" s="9" t="n">
        <x:f>A30</x:f>
        <x:v>-0.767</x:v>
      </x:c>
      <x:c r="AY30" s="9" t="n">
        <x:f>0</x:f>
        <x:v>0</x:v>
      </x:c>
      <x:c r="AZ30" s="9" t="n">
        <x:f>IF(OR(Inputs!$F$6=TRUE,Inputs!$F$6="TRUE",Inputs!$F$6=1),(Inputs!$H$6+Inputs!$L$6*(((Inputs!$I$6+(((A30)+1)/2)*(Inputs!$J$6-Inputs!$I$6)))/Inputs!$K$6)^2),NA())</x:f>
        <x:v>402.353156</x:v>
      </x:c>
      <x:c r="BA30" s="9" t="n">
        <x:f>IF(OR(Inputs!$F$7=TRUE,Inputs!$F$7="TRUE",Inputs!$F$7=1),(Inputs!$H$7+Inputs!$L$7*(((Inputs!$I$7+(((A30)+1)/2)*(Inputs!$J$7-Inputs!$I$7)))/Inputs!$K$7)^2),NA())</x:f>
        <x:v>249.72548500000002</x:v>
      </x:c>
      <x:c r="BB30" s="9" t="n">
        <x:f>IF(OR(Inputs!$F$8=TRUE,Inputs!$F$8="TRUE",Inputs!$F$8=1),(Inputs!$H$8+Inputs!$L$8*(((Inputs!$I$8+(((A30)+1)/2)*(Inputs!$J$8-Inputs!$I$8)))/Inputs!$K$8)^2),NA())</x:f>
        <x:v>602.698885</x:v>
      </x:c>
      <x:c r="BC30" s="9" t="n">
        <x:f>IF(OR(Inputs!$F$9=TRUE,Inputs!$F$9="TRUE",Inputs!$F$9=1),(Inputs!$H$9+Inputs!$L$9*(((Inputs!$I$9+(((A30)+1)/2)*(Inputs!$J$9-Inputs!$I$9)))/Inputs!$K$9)^2),NA())</x:f>
        <x:v>598.5817750000001</x:v>
      </x:c>
      <x:c r="BD30" s="10" t="n"/>
      <x:c r="BE30" s="9" t="n">
        <x:f>A30</x:f>
        <x:v>-0.767</x:v>
      </x:c>
      <x:c r="BF30" s="9" t="n">
        <x:f>0</x:f>
        <x:v>0</x:v>
      </x:c>
      <x:c r="BG30" s="9"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9"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9"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9"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9" t="n">
        <x:f>ROUND(-1+29*2/240,3)</x:f>
        <x:v>-0.758</x:v>
      </x:c>
      <x:c r="B31" s="9" t="n">
        <x:f>IF(OR(Inputs!$F$6=TRUE,Inputs!$F$6="TRUE",Inputs!$F$6=1),(Inputs!$H$6+Inputs!$L$6*(((Inputs!$I$6+(((A31)+1)/2)*(Inputs!$J$6-Inputs!$I$6)))/Inputs!$K$6)^2),NA())</x:f>
        <x:v>402.298256</x:v>
      </x:c>
      <x:c r="C31" s="9" t="n">
        <x:f>IF(OR(Inputs!$F$7=TRUE,Inputs!$F$7="TRUE",Inputs!$F$7=1),(Inputs!$H$7+Inputs!$L$7*(((Inputs!$I$7+(((A31)+1)/2)*(Inputs!$J$7-Inputs!$I$7)))/Inputs!$K$7)^2),NA())</x:f>
        <x:v>244.71586</x:v>
      </x:c>
      <x:c r="D31" s="9" t="n">
        <x:f>IF(OR(Inputs!$F$8=TRUE,Inputs!$F$8="TRUE",Inputs!$F$8=1),(Inputs!$H$8+Inputs!$L$8*(((Inputs!$I$8+(((A31)+1)/2)*(Inputs!$J$8-Inputs!$I$8)))/Inputs!$K$8)^2),NA())</x:f>
        <x:v>589.45426</x:v>
      </x:c>
      <x:c r="E31" s="9" t="n">
        <x:f>IF(OR(Inputs!$F$9=TRUE,Inputs!$F$9="TRUE",Inputs!$F$9=1),(Inputs!$H$9+Inputs!$L$9*(((Inputs!$I$9+(((A31)+1)/2)*(Inputs!$J$9-Inputs!$I$9)))/Inputs!$K$9)^2),NA())</x:f>
        <x:v>585.1999</x:v>
      </x:c>
      <x:c r="F31" s="10" t="n"/>
      <x:c r="G31" s="9" t="n">
        <x:f>A31</x:f>
        <x:v>-0.758</x:v>
      </x:c>
      <x:c r="H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10" t="n"/>
      <x:c r="M31" s="9" t="n">
        <x:f>A31</x:f>
        <x:v>-0.758</x:v>
      </x:c>
      <x:c r="N31" s="9"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9"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9"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9"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10" t="n"/>
      <x:c r="S31" s="9" t="n">
        <x:f>A31</x:f>
        <x:v>-0.758</x:v>
      </x:c>
      <x:c r="T31" s="9" t="n">
        <x:f>(Inputs!$I$6+(((A31)+1)/2)*(Inputs!$J$6-Inputs!$I$6))</x:f>
        <x:v>-45.480000000000004</x:v>
      </x:c>
      <x:c r="U31" s="9" t="n">
        <x:f>(Inputs!$I$7+(((A31)+1)/2)*(Inputs!$J$7-Inputs!$I$7))</x:f>
        <x:v>-303.2</x:v>
      </x:c>
      <x:c r="V31" s="9" t="n">
        <x:f>(Inputs!$I$8+(((A31)+1)/2)*(Inputs!$J$8-Inputs!$I$8))</x:f>
        <x:v>-606.4</x:v>
      </x:c>
      <x:c r="W31" s="9" t="n">
        <x:f>(Inputs!$I$9+(((A31)+1)/2)*(Inputs!$J$9-Inputs!$I$9))</x:f>
        <x:v>-606.4</x:v>
      </x:c>
      <x:c r="X31" s="10" t="n"/>
      <x:c r="Y31" s="9" t="n">
        <x:f>A31</x:f>
        <x:v>-0.758</x:v>
      </x:c>
      <x:c r="Z31" s="9" t="n">
        <x:f>(Inputs!$H$6+Inputs!$L$6*(((Inputs!$I$6+(((A31)+1)/2)*(Inputs!$J$6-Inputs!$I$6)))/Inputs!$K$6)^2)</x:f>
        <x:v>402.298256</x:v>
      </x:c>
      <x:c r="AA31" s="9" t="n">
        <x:f>(Inputs!$H$7+Inputs!$L$7*(((Inputs!$I$7+(((A31)+1)/2)*(Inputs!$J$7-Inputs!$I$7)))/Inputs!$K$7)^2)</x:f>
        <x:v>244.71586</x:v>
      </x:c>
      <x:c r="AB31" s="9" t="n">
        <x:f>(Inputs!$H$8+Inputs!$L$8*(((Inputs!$I$8+(((A31)+1)/2)*(Inputs!$J$8-Inputs!$I$8)))/Inputs!$K$8)^2)</x:f>
        <x:v>589.45426</x:v>
      </x:c>
      <x:c r="AC31" s="9" t="n">
        <x:f>(Inputs!$H$9+Inputs!$L$9*(((Inputs!$I$9+(((A31)+1)/2)*(Inputs!$J$9-Inputs!$I$9)))/Inputs!$K$9)^2)</x:f>
        <x:v>585.1999</x:v>
      </x:c>
      <x:c r="AD31" s="10" t="n"/>
      <x:c r="AE31" s="9" t="n">
        <x:f>A31</x:f>
        <x:v>-0.758</x:v>
      </x:c>
      <x:c r="AF31" s="9"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9"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9"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9"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10" t="n"/>
      <x:c r="AK31" s="9" t="n">
        <x:f>A31</x:f>
        <x:v>-0.758</x:v>
      </x:c>
      <x:c r="AL31" s="9"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9"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9"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9"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10" t="n"/>
      <x:c r="AQ31" s="9" t="n">
        <x:f>A31</x:f>
        <x:v>-0.758</x:v>
      </x:c>
      <x:c r="AR31" s="9" t="n">
        <x:f>0</x:f>
        <x:v>0</x:v>
      </x:c>
      <x:c r="AS31" s="9"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x:f>
        <x:v>219.8221031321638</x:v>
      </x:c>
      <x:c r="AT31" s="9"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x:f>
        <x:v>168.4652257883235</x:v>
      </x:c>
      <x:c r="AU31" s="9"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x:f>
        <x:v>237.0533659753516</x:v>
      </x:c>
      <x:c r="AV31" s="9"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x:f>
        <x:v>237.0533659753516</x:v>
      </x:c>
      <x:c r="AW31" s="10" t="n"/>
      <x:c r="AX31" s="9" t="n">
        <x:f>A31</x:f>
        <x:v>-0.758</x:v>
      </x:c>
      <x:c r="AY31" s="9" t="n">
        <x:f>0</x:f>
        <x:v>0</x:v>
      </x:c>
      <x:c r="AZ31" s="9" t="n">
        <x:f>IF(OR(Inputs!$F$6=TRUE,Inputs!$F$6="TRUE",Inputs!$F$6=1),(Inputs!$H$6+Inputs!$L$6*(((Inputs!$I$6+(((A31)+1)/2)*(Inputs!$J$6-Inputs!$I$6)))/Inputs!$K$6)^2),NA())</x:f>
        <x:v>402.298256</x:v>
      </x:c>
      <x:c r="BA31" s="9" t="n">
        <x:f>IF(OR(Inputs!$F$7=TRUE,Inputs!$F$7="TRUE",Inputs!$F$7=1),(Inputs!$H$7+Inputs!$L$7*(((Inputs!$I$7+(((A31)+1)/2)*(Inputs!$J$7-Inputs!$I$7)))/Inputs!$K$7)^2),NA())</x:f>
        <x:v>244.71586</x:v>
      </x:c>
      <x:c r="BB31" s="9" t="n">
        <x:f>IF(OR(Inputs!$F$8=TRUE,Inputs!$F$8="TRUE",Inputs!$F$8=1),(Inputs!$H$8+Inputs!$L$8*(((Inputs!$I$8+(((A31)+1)/2)*(Inputs!$J$8-Inputs!$I$8)))/Inputs!$K$8)^2),NA())</x:f>
        <x:v>589.45426</x:v>
      </x:c>
      <x:c r="BC31" s="9" t="n">
        <x:f>IF(OR(Inputs!$F$9=TRUE,Inputs!$F$9="TRUE",Inputs!$F$9=1),(Inputs!$H$9+Inputs!$L$9*(((Inputs!$I$9+(((A31)+1)/2)*(Inputs!$J$9-Inputs!$I$9)))/Inputs!$K$9)^2),NA())</x:f>
        <x:v>585.1999</x:v>
      </x:c>
      <x:c r="BD31" s="10" t="n"/>
      <x:c r="BE31" s="9" t="n">
        <x:f>A31</x:f>
        <x:v>-0.758</x:v>
      </x:c>
      <x:c r="BF31" s="9" t="n">
        <x:f>0</x:f>
        <x:v>0</x:v>
      </x:c>
      <x:c r="BG31" s="9"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9"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9"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9"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9" t="n">
        <x:f>ROUND(-1+30*2/240,3)</x:f>
        <x:v>-0.75</x:v>
      </x:c>
      <x:c r="B32" s="9" t="n">
        <x:f>IF(OR(Inputs!$F$6=TRUE,Inputs!$F$6="TRUE",Inputs!$F$6=1),(Inputs!$H$6+Inputs!$L$6*(((Inputs!$I$6+(((A32)+1)/2)*(Inputs!$J$6-Inputs!$I$6)))/Inputs!$K$6)^2),NA())</x:f>
        <x:v>402.25</x:v>
      </x:c>
      <x:c r="C32" s="9" t="n">
        <x:f>IF(OR(Inputs!$F$7=TRUE,Inputs!$F$7="TRUE",Inputs!$F$7=1),(Inputs!$H$7+Inputs!$L$7*(((Inputs!$I$7+(((A32)+1)/2)*(Inputs!$J$7-Inputs!$I$7)))/Inputs!$K$7)^2),NA())</x:f>
        <x:v>240.3125</x:v>
      </x:c>
      <x:c r="D32" s="9" t="n">
        <x:f>IF(OR(Inputs!$F$8=TRUE,Inputs!$F$8="TRUE",Inputs!$F$8=1),(Inputs!$H$8+Inputs!$L$8*(((Inputs!$I$8+(((A32)+1)/2)*(Inputs!$J$8-Inputs!$I$8)))/Inputs!$K$8)^2),NA())</x:f>
        <x:v>577.8125</x:v>
      </x:c>
      <x:c r="E32" s="9" t="n">
        <x:f>IF(OR(Inputs!$F$9=TRUE,Inputs!$F$9="TRUE",Inputs!$F$9=1),(Inputs!$H$9+Inputs!$L$9*(((Inputs!$I$9+(((A32)+1)/2)*(Inputs!$J$9-Inputs!$I$9)))/Inputs!$K$9)^2),NA())</x:f>
        <x:v>573.4375</x:v>
      </x:c>
      <x:c r="F32" s="10" t="n"/>
      <x:c r="G32" s="9" t="n">
        <x:f>A32</x:f>
        <x:v>-0.75</x:v>
      </x:c>
      <x:c r="H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10" t="n"/>
      <x:c r="M32" s="9" t="n">
        <x:f>A32</x:f>
        <x:v>-0.75</x:v>
      </x:c>
      <x:c r="N32" s="9"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9"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9"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9"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10" t="n"/>
      <x:c r="S32" s="9" t="n">
        <x:f>A32</x:f>
        <x:v>-0.75</x:v>
      </x:c>
      <x:c r="T32" s="9" t="n">
        <x:f>(Inputs!$I$6+(((A32)+1)/2)*(Inputs!$J$6-Inputs!$I$6))</x:f>
        <x:v>-45</x:v>
      </x:c>
      <x:c r="U32" s="9" t="n">
        <x:f>(Inputs!$I$7+(((A32)+1)/2)*(Inputs!$J$7-Inputs!$I$7))</x:f>
        <x:v>-300</x:v>
      </x:c>
      <x:c r="V32" s="9" t="n">
        <x:f>(Inputs!$I$8+(((A32)+1)/2)*(Inputs!$J$8-Inputs!$I$8))</x:f>
        <x:v>-600</x:v>
      </x:c>
      <x:c r="W32" s="9" t="n">
        <x:f>(Inputs!$I$9+(((A32)+1)/2)*(Inputs!$J$9-Inputs!$I$9))</x:f>
        <x:v>-600</x:v>
      </x:c>
      <x:c r="X32" s="10" t="n"/>
      <x:c r="Y32" s="9" t="n">
        <x:f>A32</x:f>
        <x:v>-0.75</x:v>
      </x:c>
      <x:c r="Z32" s="9" t="n">
        <x:f>(Inputs!$H$6+Inputs!$L$6*(((Inputs!$I$6+(((A32)+1)/2)*(Inputs!$J$6-Inputs!$I$6)))/Inputs!$K$6)^2)</x:f>
        <x:v>402.25</x:v>
      </x:c>
      <x:c r="AA32" s="9" t="n">
        <x:f>(Inputs!$H$7+Inputs!$L$7*(((Inputs!$I$7+(((A32)+1)/2)*(Inputs!$J$7-Inputs!$I$7)))/Inputs!$K$7)^2)</x:f>
        <x:v>240.3125</x:v>
      </x:c>
      <x:c r="AB32" s="9" t="n">
        <x:f>(Inputs!$H$8+Inputs!$L$8*(((Inputs!$I$8+(((A32)+1)/2)*(Inputs!$J$8-Inputs!$I$8)))/Inputs!$K$8)^2)</x:f>
        <x:v>577.8125</x:v>
      </x:c>
      <x:c r="AC32" s="9" t="n">
        <x:f>(Inputs!$H$9+Inputs!$L$9*(((Inputs!$I$9+(((A32)+1)/2)*(Inputs!$J$9-Inputs!$I$9)))/Inputs!$K$9)^2)</x:f>
        <x:v>573.4375</x:v>
      </x:c>
      <x:c r="AD32" s="10" t="n"/>
      <x:c r="AE32" s="9" t="n">
        <x:f>A32</x:f>
        <x:v>-0.75</x:v>
      </x:c>
      <x:c r="AF32" s="9"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9"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9"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9"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10" t="n"/>
      <x:c r="AK32" s="9" t="n">
        <x:f>A32</x:f>
        <x:v>-0.75</x:v>
      </x:c>
      <x:c r="AL32" s="9"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9"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9"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9"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10" t="n"/>
      <x:c r="AQ32" s="9" t="n">
        <x:f>A32</x:f>
        <x:v>-0.75</x:v>
      </x:c>
      <x:c r="AR32" s="9" t="n">
        <x:f>0</x:f>
        <x:v>0</x:v>
      </x:c>
      <x:c r="AS32" s="9"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x:f>
        <x:v>208.8220272535724</x:v>
      </x:c>
      <x:c r="AT32" s="9"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x:f>
        <x:v>172.6892729513056</x:v>
      </x:c>
      <x:c r="AU32" s="9"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x:f>
        <x:v>77.587070989353</x:v>
      </x:c>
      <x:c r="AV32" s="9"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x:f>
        <x:v>77.587070989353</x:v>
      </x:c>
      <x:c r="AW32" s="10" t="n"/>
      <x:c r="AX32" s="9" t="n">
        <x:f>A32</x:f>
        <x:v>-0.75</x:v>
      </x:c>
      <x:c r="AY32" s="9" t="n">
        <x:f>0</x:f>
        <x:v>0</x:v>
      </x:c>
      <x:c r="AZ32" s="9" t="n">
        <x:f>IF(OR(Inputs!$F$6=TRUE,Inputs!$F$6="TRUE",Inputs!$F$6=1),(Inputs!$H$6+Inputs!$L$6*(((Inputs!$I$6+(((A32)+1)/2)*(Inputs!$J$6-Inputs!$I$6)))/Inputs!$K$6)^2),NA())</x:f>
        <x:v>402.25</x:v>
      </x:c>
      <x:c r="BA32" s="9" t="n">
        <x:f>IF(OR(Inputs!$F$7=TRUE,Inputs!$F$7="TRUE",Inputs!$F$7=1),(Inputs!$H$7+Inputs!$L$7*(((Inputs!$I$7+(((A32)+1)/2)*(Inputs!$J$7-Inputs!$I$7)))/Inputs!$K$7)^2),NA())</x:f>
        <x:v>240.3125</x:v>
      </x:c>
      <x:c r="BB32" s="9" t="n">
        <x:f>IF(OR(Inputs!$F$8=TRUE,Inputs!$F$8="TRUE",Inputs!$F$8=1),(Inputs!$H$8+Inputs!$L$8*(((Inputs!$I$8+(((A32)+1)/2)*(Inputs!$J$8-Inputs!$I$8)))/Inputs!$K$8)^2),NA())</x:f>
        <x:v>577.8125</x:v>
      </x:c>
      <x:c r="BC32" s="9" t="n">
        <x:f>IF(OR(Inputs!$F$9=TRUE,Inputs!$F$9="TRUE",Inputs!$F$9=1),(Inputs!$H$9+Inputs!$L$9*(((Inputs!$I$9+(((A32)+1)/2)*(Inputs!$J$9-Inputs!$I$9)))/Inputs!$K$9)^2),NA())</x:f>
        <x:v>573.4375</x:v>
      </x:c>
      <x:c r="BD32" s="10" t="n"/>
      <x:c r="BE32" s="9" t="n">
        <x:f>A32</x:f>
        <x:v>-0.75</x:v>
      </x:c>
      <x:c r="BF32" s="9" t="n">
        <x:f>0</x:f>
        <x:v>0</x:v>
      </x:c>
      <x:c r="BG32" s="9"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9"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9"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9"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9" t="n">
        <x:f>ROUND(-1+31*2/240,3)</x:f>
        <x:v>-0.742</x:v>
      </x:c>
      <x:c r="B33" s="9" t="n">
        <x:f>IF(OR(Inputs!$F$6=TRUE,Inputs!$F$6="TRUE",Inputs!$F$6=1),(Inputs!$H$6+Inputs!$L$6*(((Inputs!$I$6+(((A33)+1)/2)*(Inputs!$J$6-Inputs!$I$6)))/Inputs!$K$6)^2),NA())</x:f>
        <x:v>402.202256</x:v>
      </x:c>
      <x:c r="C33" s="9" t="n">
        <x:f>IF(OR(Inputs!$F$7=TRUE,Inputs!$F$7="TRUE",Inputs!$F$7=1),(Inputs!$H$7+Inputs!$L$7*(((Inputs!$I$7+(((A33)+1)/2)*(Inputs!$J$7-Inputs!$I$7)))/Inputs!$K$7)^2),NA())</x:f>
        <x:v>235.95585999999997</x:v>
      </x:c>
      <x:c r="D33" s="9" t="n">
        <x:f>IF(OR(Inputs!$F$8=TRUE,Inputs!$F$8="TRUE",Inputs!$F$8=1),(Inputs!$H$8+Inputs!$L$8*(((Inputs!$I$8+(((A33)+1)/2)*(Inputs!$J$8-Inputs!$I$8)))/Inputs!$K$8)^2),NA())</x:f>
        <x:v>566.2942599999999</x:v>
      </x:c>
      <x:c r="E33" s="9" t="n">
        <x:f>IF(OR(Inputs!$F$9=TRUE,Inputs!$F$9="TRUE",Inputs!$F$9=1),(Inputs!$H$9+Inputs!$L$9*(((Inputs!$I$9+(((A33)+1)/2)*(Inputs!$J$9-Inputs!$I$9)))/Inputs!$K$9)^2),NA())</x:f>
        <x:v>561.7999</x:v>
      </x:c>
      <x:c r="F33" s="10" t="n"/>
      <x:c r="G33" s="9" t="n">
        <x:f>A33</x:f>
        <x:v>-0.742</x:v>
      </x:c>
      <x:c r="H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10" t="n"/>
      <x:c r="M33" s="9" t="n">
        <x:f>A33</x:f>
        <x:v>-0.742</x:v>
      </x:c>
      <x:c r="N33" s="9"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9"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9"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9"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10" t="n"/>
      <x:c r="S33" s="9" t="n">
        <x:f>A33</x:f>
        <x:v>-0.742</x:v>
      </x:c>
      <x:c r="T33" s="9" t="n">
        <x:f>(Inputs!$I$6+(((A33)+1)/2)*(Inputs!$J$6-Inputs!$I$6))</x:f>
        <x:v>-44.519999999999996</x:v>
      </x:c>
      <x:c r="U33" s="9" t="n">
        <x:f>(Inputs!$I$7+(((A33)+1)/2)*(Inputs!$J$7-Inputs!$I$7))</x:f>
        <x:v>-296.8</x:v>
      </x:c>
      <x:c r="V33" s="9" t="n">
        <x:f>(Inputs!$I$8+(((A33)+1)/2)*(Inputs!$J$8-Inputs!$I$8))</x:f>
        <x:v>-593.6</x:v>
      </x:c>
      <x:c r="W33" s="9" t="n">
        <x:f>(Inputs!$I$9+(((A33)+1)/2)*(Inputs!$J$9-Inputs!$I$9))</x:f>
        <x:v>-593.6</x:v>
      </x:c>
      <x:c r="X33" s="10" t="n"/>
      <x:c r="Y33" s="9" t="n">
        <x:f>A33</x:f>
        <x:v>-0.742</x:v>
      </x:c>
      <x:c r="Z33" s="9" t="n">
        <x:f>(Inputs!$H$6+Inputs!$L$6*(((Inputs!$I$6+(((A33)+1)/2)*(Inputs!$J$6-Inputs!$I$6)))/Inputs!$K$6)^2)</x:f>
        <x:v>402.202256</x:v>
      </x:c>
      <x:c r="AA33" s="9" t="n">
        <x:f>(Inputs!$H$7+Inputs!$L$7*(((Inputs!$I$7+(((A33)+1)/2)*(Inputs!$J$7-Inputs!$I$7)))/Inputs!$K$7)^2)</x:f>
        <x:v>235.95585999999997</x:v>
      </x:c>
      <x:c r="AB33" s="9" t="n">
        <x:f>(Inputs!$H$8+Inputs!$L$8*(((Inputs!$I$8+(((A33)+1)/2)*(Inputs!$J$8-Inputs!$I$8)))/Inputs!$K$8)^2)</x:f>
        <x:v>566.2942599999999</x:v>
      </x:c>
      <x:c r="AC33" s="9" t="n">
        <x:f>(Inputs!$H$9+Inputs!$L$9*(((Inputs!$I$9+(((A33)+1)/2)*(Inputs!$J$9-Inputs!$I$9)))/Inputs!$K$9)^2)</x:f>
        <x:v>561.7999</x:v>
      </x:c>
      <x:c r="AD33" s="10" t="n"/>
      <x:c r="AE33" s="9" t="n">
        <x:f>A33</x:f>
        <x:v>-0.742</x:v>
      </x:c>
      <x:c r="AF33" s="9"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9"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9"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9"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10" t="n"/>
      <x:c r="AK33" s="9" t="n">
        <x:f>A33</x:f>
        <x:v>-0.742</x:v>
      </x:c>
      <x:c r="AL33" s="9"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9"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9"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9"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10" t="n"/>
      <x:c r="AQ33" s="9" t="n">
        <x:f>A33</x:f>
        <x:v>-0.742</x:v>
      </x:c>
      <x:c r="AR33" s="9" t="n">
        <x:f>0</x:f>
        <x:v>0</x:v>
      </x:c>
      <x:c r="AS33" s="9"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x:f>
        <x:v>213.11731003163493</x:v>
      </x:c>
      <x:c r="AT33" s="9"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x:f>
        <x:v>127.26970521376022</x:v>
      </x:c>
      <x:c r="AU33" s="9"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x:f>
        <x:v>165.6434772081614</x:v>
      </x:c>
      <x:c r="AV33" s="9"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x:f>
        <x:v>165.6434772081614</x:v>
      </x:c>
      <x:c r="AW33" s="10" t="n"/>
      <x:c r="AX33" s="9" t="n">
        <x:f>A33</x:f>
        <x:v>-0.742</x:v>
      </x:c>
      <x:c r="AY33" s="9" t="n">
        <x:f>0</x:f>
        <x:v>0</x:v>
      </x:c>
      <x:c r="AZ33" s="9" t="n">
        <x:f>IF(OR(Inputs!$F$6=TRUE,Inputs!$F$6="TRUE",Inputs!$F$6=1),(Inputs!$H$6+Inputs!$L$6*(((Inputs!$I$6+(((A33)+1)/2)*(Inputs!$J$6-Inputs!$I$6)))/Inputs!$K$6)^2),NA())</x:f>
        <x:v>402.202256</x:v>
      </x:c>
      <x:c r="BA33" s="9" t="n">
        <x:f>IF(OR(Inputs!$F$7=TRUE,Inputs!$F$7="TRUE",Inputs!$F$7=1),(Inputs!$H$7+Inputs!$L$7*(((Inputs!$I$7+(((A33)+1)/2)*(Inputs!$J$7-Inputs!$I$7)))/Inputs!$K$7)^2),NA())</x:f>
        <x:v>235.95585999999997</x:v>
      </x:c>
      <x:c r="BB33" s="9" t="n">
        <x:f>IF(OR(Inputs!$F$8=TRUE,Inputs!$F$8="TRUE",Inputs!$F$8=1),(Inputs!$H$8+Inputs!$L$8*(((Inputs!$I$8+(((A33)+1)/2)*(Inputs!$J$8-Inputs!$I$8)))/Inputs!$K$8)^2),NA())</x:f>
        <x:v>566.2942599999999</x:v>
      </x:c>
      <x:c r="BC33" s="9" t="n">
        <x:f>IF(OR(Inputs!$F$9=TRUE,Inputs!$F$9="TRUE",Inputs!$F$9=1),(Inputs!$H$9+Inputs!$L$9*(((Inputs!$I$9+(((A33)+1)/2)*(Inputs!$J$9-Inputs!$I$9)))/Inputs!$K$9)^2),NA())</x:f>
        <x:v>561.7999</x:v>
      </x:c>
      <x:c r="BD33" s="10" t="n"/>
      <x:c r="BE33" s="9" t="n">
        <x:f>A33</x:f>
        <x:v>-0.742</x:v>
      </x:c>
      <x:c r="BF33" s="9" t="n">
        <x:f>0</x:f>
        <x:v>0</x:v>
      </x:c>
      <x:c r="BG33" s="9"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9"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9"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9"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9" t="n">
        <x:f>ROUND(-1+32*2/240,3)</x:f>
        <x:v>-0.733</x:v>
      </x:c>
      <x:c r="B34" s="9" t="n">
        <x:f>IF(OR(Inputs!$F$6=TRUE,Inputs!$F$6="TRUE",Inputs!$F$6=1),(Inputs!$H$6+Inputs!$L$6*(((Inputs!$I$6+(((A34)+1)/2)*(Inputs!$J$6-Inputs!$I$6)))/Inputs!$K$6)^2),NA())</x:f>
        <x:v>402.149156</x:v>
      </x:c>
      <x:c r="C34" s="9" t="n">
        <x:f>IF(OR(Inputs!$F$7=TRUE,Inputs!$F$7="TRUE",Inputs!$F$7=1),(Inputs!$H$7+Inputs!$L$7*(((Inputs!$I$7+(((A34)+1)/2)*(Inputs!$J$7-Inputs!$I$7)))/Inputs!$K$7)^2),NA())</x:f>
        <x:v>231.110485</x:v>
      </x:c>
      <x:c r="D34" s="9" t="n">
        <x:f>IF(OR(Inputs!$F$8=TRUE,Inputs!$F$8="TRUE",Inputs!$F$8=1),(Inputs!$H$8+Inputs!$L$8*(((Inputs!$I$8+(((A34)+1)/2)*(Inputs!$J$8-Inputs!$I$8)))/Inputs!$K$8)^2),NA())</x:f>
        <x:v>553.483885</x:v>
      </x:c>
      <x:c r="E34" s="9" t="n">
        <x:f>IF(OR(Inputs!$F$9=TRUE,Inputs!$F$9="TRUE",Inputs!$F$9=1),(Inputs!$H$9+Inputs!$L$9*(((Inputs!$I$9+(((A34)+1)/2)*(Inputs!$J$9-Inputs!$I$9)))/Inputs!$K$9)^2),NA())</x:f>
        <x:v>548.856775</x:v>
      </x:c>
      <x:c r="F34" s="10" t="n"/>
      <x:c r="G34" s="9" t="n">
        <x:f>A34</x:f>
        <x:v>-0.733</x:v>
      </x:c>
      <x:c r="H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10" t="n"/>
      <x:c r="M34" s="9" t="n">
        <x:f>A34</x:f>
        <x:v>-0.733</x:v>
      </x:c>
      <x:c r="N34" s="9"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9"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9"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9"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10" t="n"/>
      <x:c r="S34" s="9" t="n">
        <x:f>A34</x:f>
        <x:v>-0.733</x:v>
      </x:c>
      <x:c r="T34" s="9" t="n">
        <x:f>(Inputs!$I$6+(((A34)+1)/2)*(Inputs!$J$6-Inputs!$I$6))</x:f>
        <x:v>-43.980000000000004</x:v>
      </x:c>
      <x:c r="U34" s="9" t="n">
        <x:f>(Inputs!$I$7+(((A34)+1)/2)*(Inputs!$J$7-Inputs!$I$7))</x:f>
        <x:v>-293.2</x:v>
      </x:c>
      <x:c r="V34" s="9" t="n">
        <x:f>(Inputs!$I$8+(((A34)+1)/2)*(Inputs!$J$8-Inputs!$I$8))</x:f>
        <x:v>-586.4</x:v>
      </x:c>
      <x:c r="W34" s="9" t="n">
        <x:f>(Inputs!$I$9+(((A34)+1)/2)*(Inputs!$J$9-Inputs!$I$9))</x:f>
        <x:v>-586.4</x:v>
      </x:c>
      <x:c r="X34" s="10" t="n"/>
      <x:c r="Y34" s="9" t="n">
        <x:f>A34</x:f>
        <x:v>-0.733</x:v>
      </x:c>
      <x:c r="Z34" s="9" t="n">
        <x:f>(Inputs!$H$6+Inputs!$L$6*(((Inputs!$I$6+(((A34)+1)/2)*(Inputs!$J$6-Inputs!$I$6)))/Inputs!$K$6)^2)</x:f>
        <x:v>402.149156</x:v>
      </x:c>
      <x:c r="AA34" s="9" t="n">
        <x:f>(Inputs!$H$7+Inputs!$L$7*(((Inputs!$I$7+(((A34)+1)/2)*(Inputs!$J$7-Inputs!$I$7)))/Inputs!$K$7)^2)</x:f>
        <x:v>231.110485</x:v>
      </x:c>
      <x:c r="AB34" s="9" t="n">
        <x:f>(Inputs!$H$8+Inputs!$L$8*(((Inputs!$I$8+(((A34)+1)/2)*(Inputs!$J$8-Inputs!$I$8)))/Inputs!$K$8)^2)</x:f>
        <x:v>553.483885</x:v>
      </x:c>
      <x:c r="AC34" s="9" t="n">
        <x:f>(Inputs!$H$9+Inputs!$L$9*(((Inputs!$I$9+(((A34)+1)/2)*(Inputs!$J$9-Inputs!$I$9)))/Inputs!$K$9)^2)</x:f>
        <x:v>548.856775</x:v>
      </x:c>
      <x:c r="AD34" s="10" t="n"/>
      <x:c r="AE34" s="9" t="n">
        <x:f>A34</x:f>
        <x:v>-0.733</x:v>
      </x:c>
      <x:c r="AF34" s="9"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9"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9"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9"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10" t="n"/>
      <x:c r="AK34" s="9" t="n">
        <x:f>A34</x:f>
        <x:v>-0.733</x:v>
      </x:c>
      <x:c r="AL34" s="9"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9"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9"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9"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10" t="n"/>
      <x:c r="AQ34" s="9" t="n">
        <x:f>A34</x:f>
        <x:v>-0.733</x:v>
      </x:c>
      <x:c r="AR34" s="9" t="n">
        <x:f>0</x:f>
        <x:v>0</x:v>
      </x:c>
      <x:c r="AS34" s="9"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x:f>
        <x:v>207.52992748890685</x:v>
      </x:c>
      <x:c r="AT34" s="9"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x:f>
        <x:v>98.8211957213276</x:v>
      </x:c>
      <x:c r="AU34" s="9"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x:f>
        <x:v>171.21879508465193</x:v>
      </x:c>
      <x:c r="AV34" s="9"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x:f>
        <x:v>171.21879508465193</x:v>
      </x:c>
      <x:c r="AW34" s="10" t="n"/>
      <x:c r="AX34" s="9" t="n">
        <x:f>A34</x:f>
        <x:v>-0.733</x:v>
      </x:c>
      <x:c r="AY34" s="9" t="n">
        <x:f>0</x:f>
        <x:v>0</x:v>
      </x:c>
      <x:c r="AZ34" s="9" t="n">
        <x:f>IF(OR(Inputs!$F$6=TRUE,Inputs!$F$6="TRUE",Inputs!$F$6=1),(Inputs!$H$6+Inputs!$L$6*(((Inputs!$I$6+(((A34)+1)/2)*(Inputs!$J$6-Inputs!$I$6)))/Inputs!$K$6)^2),NA())</x:f>
        <x:v>402.149156</x:v>
      </x:c>
      <x:c r="BA34" s="9" t="n">
        <x:f>IF(OR(Inputs!$F$7=TRUE,Inputs!$F$7="TRUE",Inputs!$F$7=1),(Inputs!$H$7+Inputs!$L$7*(((Inputs!$I$7+(((A34)+1)/2)*(Inputs!$J$7-Inputs!$I$7)))/Inputs!$K$7)^2),NA())</x:f>
        <x:v>231.110485</x:v>
      </x:c>
      <x:c r="BB34" s="9" t="n">
        <x:f>IF(OR(Inputs!$F$8=TRUE,Inputs!$F$8="TRUE",Inputs!$F$8=1),(Inputs!$H$8+Inputs!$L$8*(((Inputs!$I$8+(((A34)+1)/2)*(Inputs!$J$8-Inputs!$I$8)))/Inputs!$K$8)^2),NA())</x:f>
        <x:v>553.483885</x:v>
      </x:c>
      <x:c r="BC34" s="9" t="n">
        <x:f>IF(OR(Inputs!$F$9=TRUE,Inputs!$F$9="TRUE",Inputs!$F$9=1),(Inputs!$H$9+Inputs!$L$9*(((Inputs!$I$9+(((A34)+1)/2)*(Inputs!$J$9-Inputs!$I$9)))/Inputs!$K$9)^2),NA())</x:f>
        <x:v>548.856775</x:v>
      </x:c>
      <x:c r="BD34" s="10" t="n"/>
      <x:c r="BE34" s="9" t="n">
        <x:f>A34</x:f>
        <x:v>-0.733</x:v>
      </x:c>
      <x:c r="BF34" s="9" t="n">
        <x:f>0</x:f>
        <x:v>0</x:v>
      </x:c>
      <x:c r="BG34" s="9"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9"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9"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9"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9" t="n">
        <x:f>ROUND(-1+33*2/240,3)</x:f>
        <x:v>-0.725</x:v>
      </x:c>
      <x:c r="B35" s="9" t="n">
        <x:f>IF(OR(Inputs!$F$6=TRUE,Inputs!$F$6="TRUE",Inputs!$F$6=1),(Inputs!$H$6+Inputs!$L$6*(((Inputs!$I$6+(((A35)+1)/2)*(Inputs!$J$6-Inputs!$I$6)))/Inputs!$K$6)^2),NA())</x:f>
        <x:v>402.1025</x:v>
      </x:c>
      <x:c r="C35" s="9" t="n">
        <x:f>IF(OR(Inputs!$F$7=TRUE,Inputs!$F$7="TRUE",Inputs!$F$7=1),(Inputs!$H$7+Inputs!$L$7*(((Inputs!$I$7+(((A35)+1)/2)*(Inputs!$J$7-Inputs!$I$7)))/Inputs!$K$7)^2),NA())</x:f>
        <x:v>226.853125</x:v>
      </x:c>
      <x:c r="D35" s="9" t="n">
        <x:f>IF(OR(Inputs!$F$8=TRUE,Inputs!$F$8="TRUE",Inputs!$F$8=1),(Inputs!$H$8+Inputs!$L$8*(((Inputs!$I$8+(((A35)+1)/2)*(Inputs!$J$8-Inputs!$I$8)))/Inputs!$K$8)^2),NA())</x:f>
        <x:v>542.2281250000001</x:v>
      </x:c>
      <x:c r="E35" s="9" t="n">
        <x:f>IF(OR(Inputs!$F$9=TRUE,Inputs!$F$9="TRUE",Inputs!$F$9=1),(Inputs!$H$9+Inputs!$L$9*(((Inputs!$I$9+(((A35)+1)/2)*(Inputs!$J$9-Inputs!$I$9)))/Inputs!$K$9)^2),NA())</x:f>
        <x:v>537.484375</x:v>
      </x:c>
      <x:c r="F35" s="10" t="n"/>
      <x:c r="G35" s="9" t="n">
        <x:f>A35</x:f>
        <x:v>-0.725</x:v>
      </x:c>
      <x:c r="H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10" t="n"/>
      <x:c r="M35" s="9" t="n">
        <x:f>A35</x:f>
        <x:v>-0.725</x:v>
      </x:c>
      <x:c r="N35" s="9"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9"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9"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9"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10" t="n"/>
      <x:c r="S35" s="9" t="n">
        <x:f>A35</x:f>
        <x:v>-0.725</x:v>
      </x:c>
      <x:c r="T35" s="9" t="n">
        <x:f>(Inputs!$I$6+(((A35)+1)/2)*(Inputs!$J$6-Inputs!$I$6))</x:f>
        <x:v>-43.5</x:v>
      </x:c>
      <x:c r="U35" s="9" t="n">
        <x:f>(Inputs!$I$7+(((A35)+1)/2)*(Inputs!$J$7-Inputs!$I$7))</x:f>
        <x:v>-290</x:v>
      </x:c>
      <x:c r="V35" s="9" t="n">
        <x:f>(Inputs!$I$8+(((A35)+1)/2)*(Inputs!$J$8-Inputs!$I$8))</x:f>
        <x:v>-580</x:v>
      </x:c>
      <x:c r="W35" s="9" t="n">
        <x:f>(Inputs!$I$9+(((A35)+1)/2)*(Inputs!$J$9-Inputs!$I$9))</x:f>
        <x:v>-580</x:v>
      </x:c>
      <x:c r="X35" s="10" t="n"/>
      <x:c r="Y35" s="9" t="n">
        <x:f>A35</x:f>
        <x:v>-0.725</x:v>
      </x:c>
      <x:c r="Z35" s="9" t="n">
        <x:f>(Inputs!$H$6+Inputs!$L$6*(((Inputs!$I$6+(((A35)+1)/2)*(Inputs!$J$6-Inputs!$I$6)))/Inputs!$K$6)^2)</x:f>
        <x:v>402.1025</x:v>
      </x:c>
      <x:c r="AA35" s="9" t="n">
        <x:f>(Inputs!$H$7+Inputs!$L$7*(((Inputs!$I$7+(((A35)+1)/2)*(Inputs!$J$7-Inputs!$I$7)))/Inputs!$K$7)^2)</x:f>
        <x:v>226.853125</x:v>
      </x:c>
      <x:c r="AB35" s="9" t="n">
        <x:f>(Inputs!$H$8+Inputs!$L$8*(((Inputs!$I$8+(((A35)+1)/2)*(Inputs!$J$8-Inputs!$I$8)))/Inputs!$K$8)^2)</x:f>
        <x:v>542.2281250000001</x:v>
      </x:c>
      <x:c r="AC35" s="9" t="n">
        <x:f>(Inputs!$H$9+Inputs!$L$9*(((Inputs!$I$9+(((A35)+1)/2)*(Inputs!$J$9-Inputs!$I$9)))/Inputs!$K$9)^2)</x:f>
        <x:v>537.484375</x:v>
      </x:c>
      <x:c r="AD35" s="10" t="n"/>
      <x:c r="AE35" s="9" t="n">
        <x:f>A35</x:f>
        <x:v>-0.725</x:v>
      </x:c>
      <x:c r="AF35" s="9"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9"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9"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9"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10" t="n"/>
      <x:c r="AK35" s="9" t="n">
        <x:f>A35</x:f>
        <x:v>-0.725</x:v>
      </x:c>
      <x:c r="AL35" s="9"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9"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9"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9"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10" t="n"/>
      <x:c r="AQ35" s="9" t="n">
        <x:f>A35</x:f>
        <x:v>-0.725</x:v>
      </x:c>
      <x:c r="AR35" s="9" t="n">
        <x:f>0</x:f>
        <x:v>0</x:v>
      </x:c>
      <x:c r="AS35" s="9"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x:f>
        <x:v>210.8483953416035</x:v>
      </x:c>
      <x:c r="AT35" s="9"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x:f>
        <x:v>113.86344028709524</x:v>
      </x:c>
      <x:c r="AU35" s="9"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x:f>
        <x:v>54.6280079108482</x:v>
      </x:c>
      <x:c r="AV35" s="9"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x:f>
        <x:v>54.6280079108482</x:v>
      </x:c>
      <x:c r="AW35" s="10" t="n"/>
      <x:c r="AX35" s="9" t="n">
        <x:f>A35</x:f>
        <x:v>-0.725</x:v>
      </x:c>
      <x:c r="AY35" s="9" t="n">
        <x:f>0</x:f>
        <x:v>0</x:v>
      </x:c>
      <x:c r="AZ35" s="9" t="n">
        <x:f>IF(OR(Inputs!$F$6=TRUE,Inputs!$F$6="TRUE",Inputs!$F$6=1),(Inputs!$H$6+Inputs!$L$6*(((Inputs!$I$6+(((A35)+1)/2)*(Inputs!$J$6-Inputs!$I$6)))/Inputs!$K$6)^2),NA())</x:f>
        <x:v>402.1025</x:v>
      </x:c>
      <x:c r="BA35" s="9" t="n">
        <x:f>IF(OR(Inputs!$F$7=TRUE,Inputs!$F$7="TRUE",Inputs!$F$7=1),(Inputs!$H$7+Inputs!$L$7*(((Inputs!$I$7+(((A35)+1)/2)*(Inputs!$J$7-Inputs!$I$7)))/Inputs!$K$7)^2),NA())</x:f>
        <x:v>226.853125</x:v>
      </x:c>
      <x:c r="BB35" s="9" t="n">
        <x:f>IF(OR(Inputs!$F$8=TRUE,Inputs!$F$8="TRUE",Inputs!$F$8=1),(Inputs!$H$8+Inputs!$L$8*(((Inputs!$I$8+(((A35)+1)/2)*(Inputs!$J$8-Inputs!$I$8)))/Inputs!$K$8)^2),NA())</x:f>
        <x:v>542.2281250000001</x:v>
      </x:c>
      <x:c r="BC35" s="9" t="n">
        <x:f>IF(OR(Inputs!$F$9=TRUE,Inputs!$F$9="TRUE",Inputs!$F$9=1),(Inputs!$H$9+Inputs!$L$9*(((Inputs!$I$9+(((A35)+1)/2)*(Inputs!$J$9-Inputs!$I$9)))/Inputs!$K$9)^2),NA())</x:f>
        <x:v>537.484375</x:v>
      </x:c>
      <x:c r="BD35" s="10" t="n"/>
      <x:c r="BE35" s="9" t="n">
        <x:f>A35</x:f>
        <x:v>-0.725</x:v>
      </x:c>
      <x:c r="BF35" s="9" t="n">
        <x:f>0</x:f>
        <x:v>0</x:v>
      </x:c>
      <x:c r="BG35" s="9"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9"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9"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9"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9" t="n">
        <x:f>ROUND(-1+34*2/240,3)</x:f>
        <x:v>-0.717</x:v>
      </x:c>
      <x:c r="B36" s="9" t="n">
        <x:f>IF(OR(Inputs!$F$6=TRUE,Inputs!$F$6="TRUE",Inputs!$F$6=1),(Inputs!$H$6+Inputs!$L$6*(((Inputs!$I$6+(((A36)+1)/2)*(Inputs!$J$6-Inputs!$I$6)))/Inputs!$K$6)^2),NA())</x:f>
        <x:v>402.056356</x:v>
      </x:c>
      <x:c r="C36" s="9" t="n">
        <x:f>IF(OR(Inputs!$F$7=TRUE,Inputs!$F$7="TRUE",Inputs!$F$7=1),(Inputs!$H$7+Inputs!$L$7*(((Inputs!$I$7+(((A36)+1)/2)*(Inputs!$J$7-Inputs!$I$7)))/Inputs!$K$7)^2),NA())</x:f>
        <x:v>222.64248499999994</x:v>
      </x:c>
      <x:c r="D36" s="9" t="n">
        <x:f>IF(OR(Inputs!$F$8=TRUE,Inputs!$F$8="TRUE",Inputs!$F$8=1),(Inputs!$H$8+Inputs!$L$8*(((Inputs!$I$8+(((A36)+1)/2)*(Inputs!$J$8-Inputs!$I$8)))/Inputs!$K$8)^2),NA())</x:f>
        <x:v>531.0958849999997</x:v>
      </x:c>
      <x:c r="E36" s="9" t="n">
        <x:f>IF(OR(Inputs!$F$9=TRUE,Inputs!$F$9="TRUE",Inputs!$F$9=1),(Inputs!$H$9+Inputs!$L$9*(((Inputs!$I$9+(((A36)+1)/2)*(Inputs!$J$9-Inputs!$I$9)))/Inputs!$K$9)^2),NA())</x:f>
        <x:v>526.2367749999999</x:v>
      </x:c>
      <x:c r="F36" s="10" t="n"/>
      <x:c r="G36" s="9" t="n">
        <x:f>A36</x:f>
        <x:v>-0.717</x:v>
      </x:c>
      <x:c r="H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10" t="n"/>
      <x:c r="M36" s="9" t="n">
        <x:f>A36</x:f>
        <x:v>-0.717</x:v>
      </x:c>
      <x:c r="N36" s="9"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9"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9"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9"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10" t="n"/>
      <x:c r="S36" s="9" t="n">
        <x:f>A36</x:f>
        <x:v>-0.717</x:v>
      </x:c>
      <x:c r="T36" s="9" t="n">
        <x:f>(Inputs!$I$6+(((A36)+1)/2)*(Inputs!$J$6-Inputs!$I$6))</x:f>
        <x:v>-43.019999999999996</x:v>
      </x:c>
      <x:c r="U36" s="9" t="n">
        <x:f>(Inputs!$I$7+(((A36)+1)/2)*(Inputs!$J$7-Inputs!$I$7))</x:f>
        <x:v>-286.79999999999995</x:v>
      </x:c>
      <x:c r="V36" s="9" t="n">
        <x:f>(Inputs!$I$8+(((A36)+1)/2)*(Inputs!$J$8-Inputs!$I$8))</x:f>
        <x:v>-573.5999999999999</x:v>
      </x:c>
      <x:c r="W36" s="9" t="n">
        <x:f>(Inputs!$I$9+(((A36)+1)/2)*(Inputs!$J$9-Inputs!$I$9))</x:f>
        <x:v>-573.5999999999999</x:v>
      </x:c>
      <x:c r="X36" s="10" t="n"/>
      <x:c r="Y36" s="9" t="n">
        <x:f>A36</x:f>
        <x:v>-0.717</x:v>
      </x:c>
      <x:c r="Z36" s="9" t="n">
        <x:f>(Inputs!$H$6+Inputs!$L$6*(((Inputs!$I$6+(((A36)+1)/2)*(Inputs!$J$6-Inputs!$I$6)))/Inputs!$K$6)^2)</x:f>
        <x:v>402.056356</x:v>
      </x:c>
      <x:c r="AA36" s="9" t="n">
        <x:f>(Inputs!$H$7+Inputs!$L$7*(((Inputs!$I$7+(((A36)+1)/2)*(Inputs!$J$7-Inputs!$I$7)))/Inputs!$K$7)^2)</x:f>
        <x:v>222.64248499999994</x:v>
      </x:c>
      <x:c r="AB36" s="9" t="n">
        <x:f>(Inputs!$H$8+Inputs!$L$8*(((Inputs!$I$8+(((A36)+1)/2)*(Inputs!$J$8-Inputs!$I$8)))/Inputs!$K$8)^2)</x:f>
        <x:v>531.0958849999997</x:v>
      </x:c>
      <x:c r="AC36" s="9" t="n">
        <x:f>(Inputs!$H$9+Inputs!$L$9*(((Inputs!$I$9+(((A36)+1)/2)*(Inputs!$J$9-Inputs!$I$9)))/Inputs!$K$9)^2)</x:f>
        <x:v>526.2367749999999</x:v>
      </x:c>
      <x:c r="AD36" s="10" t="n"/>
      <x:c r="AE36" s="9" t="n">
        <x:f>A36</x:f>
        <x:v>-0.717</x:v>
      </x:c>
      <x:c r="AF36" s="9"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9"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9"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9"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10" t="n"/>
      <x:c r="AK36" s="9" t="n">
        <x:f>A36</x:f>
        <x:v>-0.717</x:v>
      </x:c>
      <x:c r="AL36" s="9"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9"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9"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9"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10" t="n"/>
      <x:c r="AQ36" s="9" t="n">
        <x:f>A36</x:f>
        <x:v>-0.717</x:v>
      </x:c>
      <x:c r="AR36" s="9" t="n">
        <x:f>0</x:f>
        <x:v>0</x:v>
      </x:c>
      <x:c r="AS36" s="9"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x:f>
        <x:v>193.73926812733336</x:v>
      </x:c>
      <x:c r="AT36" s="9"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x:f>
        <x:v>157.9662629044829</x:v>
      </x:c>
      <x:c r="AU36" s="9"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x:f>
        <x:v>192.31491037022525</x:v>
      </x:c>
      <x:c r="AV36" s="9"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x:f>
        <x:v>192.31491037022525</x:v>
      </x:c>
      <x:c r="AW36" s="10" t="n"/>
      <x:c r="AX36" s="9" t="n">
        <x:f>A36</x:f>
        <x:v>-0.717</x:v>
      </x:c>
      <x:c r="AY36" s="9" t="n">
        <x:f>0</x:f>
        <x:v>0</x:v>
      </x:c>
      <x:c r="AZ36" s="9" t="n">
        <x:f>IF(OR(Inputs!$F$6=TRUE,Inputs!$F$6="TRUE",Inputs!$F$6=1),(Inputs!$H$6+Inputs!$L$6*(((Inputs!$I$6+(((A36)+1)/2)*(Inputs!$J$6-Inputs!$I$6)))/Inputs!$K$6)^2),NA())</x:f>
        <x:v>402.056356</x:v>
      </x:c>
      <x:c r="BA36" s="9" t="n">
        <x:f>IF(OR(Inputs!$F$7=TRUE,Inputs!$F$7="TRUE",Inputs!$F$7=1),(Inputs!$H$7+Inputs!$L$7*(((Inputs!$I$7+(((A36)+1)/2)*(Inputs!$J$7-Inputs!$I$7)))/Inputs!$K$7)^2),NA())</x:f>
        <x:v>222.64248499999994</x:v>
      </x:c>
      <x:c r="BB36" s="9" t="n">
        <x:f>IF(OR(Inputs!$F$8=TRUE,Inputs!$F$8="TRUE",Inputs!$F$8=1),(Inputs!$H$8+Inputs!$L$8*(((Inputs!$I$8+(((A36)+1)/2)*(Inputs!$J$8-Inputs!$I$8)))/Inputs!$K$8)^2),NA())</x:f>
        <x:v>531.0958849999997</x:v>
      </x:c>
      <x:c r="BC36" s="9" t="n">
        <x:f>IF(OR(Inputs!$F$9=TRUE,Inputs!$F$9="TRUE",Inputs!$F$9=1),(Inputs!$H$9+Inputs!$L$9*(((Inputs!$I$9+(((A36)+1)/2)*(Inputs!$J$9-Inputs!$I$9)))/Inputs!$K$9)^2),NA())</x:f>
        <x:v>526.2367749999999</x:v>
      </x:c>
      <x:c r="BD36" s="10" t="n"/>
      <x:c r="BE36" s="9" t="n">
        <x:f>A36</x:f>
        <x:v>-0.717</x:v>
      </x:c>
      <x:c r="BF36" s="9" t="n">
        <x:f>0</x:f>
        <x:v>0</x:v>
      </x:c>
      <x:c r="BG36" s="9"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9"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9"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9"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9" t="n">
        <x:f>ROUND(-1+35*2/240,3)</x:f>
        <x:v>-0.708</x:v>
      </x:c>
      <x:c r="B37" s="9" t="n">
        <x:f>IF(OR(Inputs!$F$6=TRUE,Inputs!$F$6="TRUE",Inputs!$F$6=1),(Inputs!$H$6+Inputs!$L$6*(((Inputs!$I$6+(((A37)+1)/2)*(Inputs!$J$6-Inputs!$I$6)))/Inputs!$K$6)^2),NA())</x:f>
        <x:v>402.005056</x:v>
      </x:c>
      <x:c r="C37" s="9" t="n">
        <x:f>IF(OR(Inputs!$F$7=TRUE,Inputs!$F$7="TRUE",Inputs!$F$7=1),(Inputs!$H$7+Inputs!$L$7*(((Inputs!$I$7+(((A37)+1)/2)*(Inputs!$J$7-Inputs!$I$7)))/Inputs!$K$7)^2),NA())</x:f>
        <x:v>217.96135999999998</x:v>
      </x:c>
      <x:c r="D37" s="9" t="n">
        <x:f>IF(OR(Inputs!$F$8=TRUE,Inputs!$F$8="TRUE",Inputs!$F$8=1),(Inputs!$H$8+Inputs!$L$8*(((Inputs!$I$8+(((A37)+1)/2)*(Inputs!$J$8-Inputs!$I$8)))/Inputs!$K$8)^2),NA())</x:f>
        <x:v>518.71976</x:v>
      </x:c>
      <x:c r="E37" s="9" t="n">
        <x:f>IF(OR(Inputs!$F$9=TRUE,Inputs!$F$9="TRUE",Inputs!$F$9=1),(Inputs!$H$9+Inputs!$L$9*(((Inputs!$I$9+(((A37)+1)/2)*(Inputs!$J$9-Inputs!$I$9)))/Inputs!$K$9)^2),NA())</x:f>
        <x:v>513.7323999999999</x:v>
      </x:c>
      <x:c r="F37" s="10" t="n"/>
      <x:c r="G37" s="9" t="n">
        <x:f>A37</x:f>
        <x:v>-0.708</x:v>
      </x:c>
      <x:c r="H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10" t="n"/>
      <x:c r="M37" s="9" t="n">
        <x:f>A37</x:f>
        <x:v>-0.708</x:v>
      </x:c>
      <x:c r="N37" s="9"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9"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9"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9"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10" t="n"/>
      <x:c r="S37" s="9" t="n">
        <x:f>A37</x:f>
        <x:v>-0.708</x:v>
      </x:c>
      <x:c r="T37" s="9" t="n">
        <x:f>(Inputs!$I$6+(((A37)+1)/2)*(Inputs!$J$6-Inputs!$I$6))</x:f>
        <x:v>-42.48</x:v>
      </x:c>
      <x:c r="U37" s="9" t="n">
        <x:f>(Inputs!$I$7+(((A37)+1)/2)*(Inputs!$J$7-Inputs!$I$7))</x:f>
        <x:v>-283.2</x:v>
      </x:c>
      <x:c r="V37" s="9" t="n">
        <x:f>(Inputs!$I$8+(((A37)+1)/2)*(Inputs!$J$8-Inputs!$I$8))</x:f>
        <x:v>-566.4</x:v>
      </x:c>
      <x:c r="W37" s="9" t="n">
        <x:f>(Inputs!$I$9+(((A37)+1)/2)*(Inputs!$J$9-Inputs!$I$9))</x:f>
        <x:v>-566.4</x:v>
      </x:c>
      <x:c r="X37" s="10" t="n"/>
      <x:c r="Y37" s="9" t="n">
        <x:f>A37</x:f>
        <x:v>-0.708</x:v>
      </x:c>
      <x:c r="Z37" s="9" t="n">
        <x:f>(Inputs!$H$6+Inputs!$L$6*(((Inputs!$I$6+(((A37)+1)/2)*(Inputs!$J$6-Inputs!$I$6)))/Inputs!$K$6)^2)</x:f>
        <x:v>402.005056</x:v>
      </x:c>
      <x:c r="AA37" s="9" t="n">
        <x:f>(Inputs!$H$7+Inputs!$L$7*(((Inputs!$I$7+(((A37)+1)/2)*(Inputs!$J$7-Inputs!$I$7)))/Inputs!$K$7)^2)</x:f>
        <x:v>217.96135999999998</x:v>
      </x:c>
      <x:c r="AB37" s="9" t="n">
        <x:f>(Inputs!$H$8+Inputs!$L$8*(((Inputs!$I$8+(((A37)+1)/2)*(Inputs!$J$8-Inputs!$I$8)))/Inputs!$K$8)^2)</x:f>
        <x:v>518.71976</x:v>
      </x:c>
      <x:c r="AC37" s="9" t="n">
        <x:f>(Inputs!$H$9+Inputs!$L$9*(((Inputs!$I$9+(((A37)+1)/2)*(Inputs!$J$9-Inputs!$I$9)))/Inputs!$K$9)^2)</x:f>
        <x:v>513.7323999999999</x:v>
      </x:c>
      <x:c r="AD37" s="10" t="n"/>
      <x:c r="AE37" s="9" t="n">
        <x:f>A37</x:f>
        <x:v>-0.708</x:v>
      </x:c>
      <x:c r="AF37" s="9"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9"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9"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9"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10" t="n"/>
      <x:c r="AK37" s="9" t="n">
        <x:f>A37</x:f>
        <x:v>-0.708</x:v>
      </x:c>
      <x:c r="AL37" s="9"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9"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9"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9"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10" t="n"/>
      <x:c r="AQ37" s="9" t="n">
        <x:f>A37</x:f>
        <x:v>-0.708</x:v>
      </x:c>
      <x:c r="AR37" s="9" t="n">
        <x:f>0</x:f>
        <x:v>0</x:v>
      </x:c>
      <x:c r="AS37" s="9"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x:f>
        <x:v>189.65875456847797</x:v>
      </x:c>
      <x:c r="AT37" s="9"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x:f>
        <x:v>187.2623925722182</x:v>
      </x:c>
      <x:c r="AU37" s="9"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x:f>
        <x:v>107.87047204021204</x:v>
      </x:c>
      <x:c r="AV37" s="9"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x:f>
        <x:v>107.87047204021204</x:v>
      </x:c>
      <x:c r="AW37" s="10" t="n"/>
      <x:c r="AX37" s="9" t="n">
        <x:f>A37</x:f>
        <x:v>-0.708</x:v>
      </x:c>
      <x:c r="AY37" s="9" t="n">
        <x:f>0</x:f>
        <x:v>0</x:v>
      </x:c>
      <x:c r="AZ37" s="9" t="n">
        <x:f>IF(OR(Inputs!$F$6=TRUE,Inputs!$F$6="TRUE",Inputs!$F$6=1),(Inputs!$H$6+Inputs!$L$6*(((Inputs!$I$6+(((A37)+1)/2)*(Inputs!$J$6-Inputs!$I$6)))/Inputs!$K$6)^2),NA())</x:f>
        <x:v>402.005056</x:v>
      </x:c>
      <x:c r="BA37" s="9" t="n">
        <x:f>IF(OR(Inputs!$F$7=TRUE,Inputs!$F$7="TRUE",Inputs!$F$7=1),(Inputs!$H$7+Inputs!$L$7*(((Inputs!$I$7+(((A37)+1)/2)*(Inputs!$J$7-Inputs!$I$7)))/Inputs!$K$7)^2),NA())</x:f>
        <x:v>217.96135999999998</x:v>
      </x:c>
      <x:c r="BB37" s="9" t="n">
        <x:f>IF(OR(Inputs!$F$8=TRUE,Inputs!$F$8="TRUE",Inputs!$F$8=1),(Inputs!$H$8+Inputs!$L$8*(((Inputs!$I$8+(((A37)+1)/2)*(Inputs!$J$8-Inputs!$I$8)))/Inputs!$K$8)^2),NA())</x:f>
        <x:v>518.71976</x:v>
      </x:c>
      <x:c r="BC37" s="9" t="n">
        <x:f>IF(OR(Inputs!$F$9=TRUE,Inputs!$F$9="TRUE",Inputs!$F$9=1),(Inputs!$H$9+Inputs!$L$9*(((Inputs!$I$9+(((A37)+1)/2)*(Inputs!$J$9-Inputs!$I$9)))/Inputs!$K$9)^2),NA())</x:f>
        <x:v>513.7323999999999</x:v>
      </x:c>
      <x:c r="BD37" s="10" t="n"/>
      <x:c r="BE37" s="9" t="n">
        <x:f>A37</x:f>
        <x:v>-0.708</x:v>
      </x:c>
      <x:c r="BF37" s="9" t="n">
        <x:f>0</x:f>
        <x:v>0</x:v>
      </x:c>
      <x:c r="BG37" s="9"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9"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9"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9"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9" t="n">
        <x:f>ROUND(-1+36*2/240,3)</x:f>
        <x:v>-0.7</x:v>
      </x:c>
      <x:c r="B38" s="9" t="n">
        <x:f>IF(OR(Inputs!$F$6=TRUE,Inputs!$F$6="TRUE",Inputs!$F$6=1),(Inputs!$H$6+Inputs!$L$6*(((Inputs!$I$6+(((A38)+1)/2)*(Inputs!$J$6-Inputs!$I$6)))/Inputs!$K$6)^2),NA())</x:f>
        <x:v>401.96</x:v>
      </x:c>
      <x:c r="C38" s="9" t="n">
        <x:f>IF(OR(Inputs!$F$7=TRUE,Inputs!$F$7="TRUE",Inputs!$F$7=1),(Inputs!$H$7+Inputs!$L$7*(((Inputs!$I$7+(((A38)+1)/2)*(Inputs!$J$7-Inputs!$I$7)))/Inputs!$K$7)^2),NA())</x:f>
        <x:v>213.84999999999997</x:v>
      </x:c>
      <x:c r="D38" s="9" t="n">
        <x:f>IF(OR(Inputs!$F$8=TRUE,Inputs!$F$8="TRUE",Inputs!$F$8=1),(Inputs!$H$8+Inputs!$L$8*(((Inputs!$I$8+(((A38)+1)/2)*(Inputs!$J$8-Inputs!$I$8)))/Inputs!$K$8)^2),NA())</x:f>
        <x:v>507.84999999999997</x:v>
      </x:c>
      <x:c r="E38" s="9" t="n">
        <x:f>IF(OR(Inputs!$F$9=TRUE,Inputs!$F$9="TRUE",Inputs!$F$9=1),(Inputs!$H$9+Inputs!$L$9*(((Inputs!$I$9+(((A38)+1)/2)*(Inputs!$J$9-Inputs!$I$9)))/Inputs!$K$9)^2),NA())</x:f>
        <x:v>502.74999999999994</x:v>
      </x:c>
      <x:c r="F38" s="10" t="n"/>
      <x:c r="G38" s="9" t="n">
        <x:f>A38</x:f>
        <x:v>-0.7</x:v>
      </x:c>
      <x:c r="H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10" t="n"/>
      <x:c r="M38" s="9" t="n">
        <x:f>A38</x:f>
        <x:v>-0.7</x:v>
      </x:c>
      <x:c r="N38" s="9"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9"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9"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9"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10" t="n"/>
      <x:c r="S38" s="9" t="n">
        <x:f>A38</x:f>
        <x:v>-0.7</x:v>
      </x:c>
      <x:c r="T38" s="9" t="n">
        <x:f>(Inputs!$I$6+(((A38)+1)/2)*(Inputs!$J$6-Inputs!$I$6))</x:f>
        <x:v>-42</x:v>
      </x:c>
      <x:c r="U38" s="9" t="n">
        <x:f>(Inputs!$I$7+(((A38)+1)/2)*(Inputs!$J$7-Inputs!$I$7))</x:f>
        <x:v>-280</x:v>
      </x:c>
      <x:c r="V38" s="9" t="n">
        <x:f>(Inputs!$I$8+(((A38)+1)/2)*(Inputs!$J$8-Inputs!$I$8))</x:f>
        <x:v>-560</x:v>
      </x:c>
      <x:c r="W38" s="9" t="n">
        <x:f>(Inputs!$I$9+(((A38)+1)/2)*(Inputs!$J$9-Inputs!$I$9))</x:f>
        <x:v>-560</x:v>
      </x:c>
      <x:c r="X38" s="10" t="n"/>
      <x:c r="Y38" s="9" t="n">
        <x:f>A38</x:f>
        <x:v>-0.7</x:v>
      </x:c>
      <x:c r="Z38" s="9" t="n">
        <x:f>(Inputs!$H$6+Inputs!$L$6*(((Inputs!$I$6+(((A38)+1)/2)*(Inputs!$J$6-Inputs!$I$6)))/Inputs!$K$6)^2)</x:f>
        <x:v>401.96</x:v>
      </x:c>
      <x:c r="AA38" s="9" t="n">
        <x:f>(Inputs!$H$7+Inputs!$L$7*(((Inputs!$I$7+(((A38)+1)/2)*(Inputs!$J$7-Inputs!$I$7)))/Inputs!$K$7)^2)</x:f>
        <x:v>213.84999999999997</x:v>
      </x:c>
      <x:c r="AB38" s="9" t="n">
        <x:f>(Inputs!$H$8+Inputs!$L$8*(((Inputs!$I$8+(((A38)+1)/2)*(Inputs!$J$8-Inputs!$I$8)))/Inputs!$K$8)^2)</x:f>
        <x:v>507.84999999999997</x:v>
      </x:c>
      <x:c r="AC38" s="9" t="n">
        <x:f>(Inputs!$H$9+Inputs!$L$9*(((Inputs!$I$9+(((A38)+1)/2)*(Inputs!$J$9-Inputs!$I$9)))/Inputs!$K$9)^2)</x:f>
        <x:v>502.74999999999994</x:v>
      </x:c>
      <x:c r="AD38" s="10" t="n"/>
      <x:c r="AE38" s="9" t="n">
        <x:f>A38</x:f>
        <x:v>-0.7</x:v>
      </x:c>
      <x:c r="AF38" s="9"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9"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9"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9"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10" t="n"/>
      <x:c r="AK38" s="9" t="n">
        <x:f>A38</x:f>
        <x:v>-0.7</x:v>
      </x:c>
      <x:c r="AL38" s="9"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9"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9"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9"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10" t="n"/>
      <x:c r="AQ38" s="9" t="n">
        <x:f>A38</x:f>
        <x:v>-0.7</x:v>
      </x:c>
      <x:c r="AR38" s="9" t="n">
        <x:f>0</x:f>
        <x:v>0</x:v>
      </x:c>
      <x:c r="AS38" s="9"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x:f>
        <x:v>170.62817299697477</x:v>
      </x:c>
      <x:c r="AT38" s="9"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x:f>
        <x:v>165.51370619149404</x:v>
      </x:c>
      <x:c r="AU38" s="9"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x:f>
        <x:v>117.65346976001054</x:v>
      </x:c>
      <x:c r="AV38" s="9"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x:f>
        <x:v>117.65346976001054</x:v>
      </x:c>
      <x:c r="AW38" s="10" t="n"/>
      <x:c r="AX38" s="9" t="n">
        <x:f>A38</x:f>
        <x:v>-0.7</x:v>
      </x:c>
      <x:c r="AY38" s="9" t="n">
        <x:f>0</x:f>
        <x:v>0</x:v>
      </x:c>
      <x:c r="AZ38" s="9" t="n">
        <x:f>IF(OR(Inputs!$F$6=TRUE,Inputs!$F$6="TRUE",Inputs!$F$6=1),(Inputs!$H$6+Inputs!$L$6*(((Inputs!$I$6+(((A38)+1)/2)*(Inputs!$J$6-Inputs!$I$6)))/Inputs!$K$6)^2),NA())</x:f>
        <x:v>401.96</x:v>
      </x:c>
      <x:c r="BA38" s="9" t="n">
        <x:f>IF(OR(Inputs!$F$7=TRUE,Inputs!$F$7="TRUE",Inputs!$F$7=1),(Inputs!$H$7+Inputs!$L$7*(((Inputs!$I$7+(((A38)+1)/2)*(Inputs!$J$7-Inputs!$I$7)))/Inputs!$K$7)^2),NA())</x:f>
        <x:v>213.84999999999997</x:v>
      </x:c>
      <x:c r="BB38" s="9" t="n">
        <x:f>IF(OR(Inputs!$F$8=TRUE,Inputs!$F$8="TRUE",Inputs!$F$8=1),(Inputs!$H$8+Inputs!$L$8*(((Inputs!$I$8+(((A38)+1)/2)*(Inputs!$J$8-Inputs!$I$8)))/Inputs!$K$8)^2),NA())</x:f>
        <x:v>507.84999999999997</x:v>
      </x:c>
      <x:c r="BC38" s="9" t="n">
        <x:f>IF(OR(Inputs!$F$9=TRUE,Inputs!$F$9="TRUE",Inputs!$F$9=1),(Inputs!$H$9+Inputs!$L$9*(((Inputs!$I$9+(((A38)+1)/2)*(Inputs!$J$9-Inputs!$I$9)))/Inputs!$K$9)^2),NA())</x:f>
        <x:v>502.74999999999994</x:v>
      </x:c>
      <x:c r="BD38" s="10" t="n"/>
      <x:c r="BE38" s="9" t="n">
        <x:f>A38</x:f>
        <x:v>-0.7</x:v>
      </x:c>
      <x:c r="BF38" s="9" t="n">
        <x:f>0</x:f>
        <x:v>0</x:v>
      </x:c>
      <x:c r="BG38" s="9"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9"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9"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9"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9" t="n">
        <x:f>ROUND(-1+37*2/240,3)</x:f>
        <x:v>-0.692</x:v>
      </x:c>
      <x:c r="B39" s="9" t="n">
        <x:f>IF(OR(Inputs!$F$6=TRUE,Inputs!$F$6="TRUE",Inputs!$F$6=1),(Inputs!$H$6+Inputs!$L$6*(((Inputs!$I$6+(((A39)+1)/2)*(Inputs!$J$6-Inputs!$I$6)))/Inputs!$K$6)^2),NA())</x:f>
        <x:v>401.915456</x:v>
      </x:c>
      <x:c r="C39" s="9" t="n">
        <x:f>IF(OR(Inputs!$F$7=TRUE,Inputs!$F$7="TRUE",Inputs!$F$7=1),(Inputs!$H$7+Inputs!$L$7*(((Inputs!$I$7+(((A39)+1)/2)*(Inputs!$J$7-Inputs!$I$7)))/Inputs!$K$7)^2),NA())</x:f>
        <x:v>209.7853599999999</x:v>
      </x:c>
      <x:c r="D39" s="9" t="n">
        <x:f>IF(OR(Inputs!$F$8=TRUE,Inputs!$F$8="TRUE",Inputs!$F$8=1),(Inputs!$H$8+Inputs!$L$8*(((Inputs!$I$8+(((A39)+1)/2)*(Inputs!$J$8-Inputs!$I$8)))/Inputs!$K$8)^2),NA())</x:f>
        <x:v>497.1037599999998</x:v>
      </x:c>
      <x:c r="E39" s="9" t="n">
        <x:f>IF(OR(Inputs!$F$9=TRUE,Inputs!$F$9="TRUE",Inputs!$F$9=1),(Inputs!$H$9+Inputs!$L$9*(((Inputs!$I$9+(((A39)+1)/2)*(Inputs!$J$9-Inputs!$I$9)))/Inputs!$K$9)^2),NA())</x:f>
        <x:v>491.8923999999998</x:v>
      </x:c>
      <x:c r="F39" s="10" t="n"/>
      <x:c r="G39" s="9" t="n">
        <x:f>A39</x:f>
        <x:v>-0.692</x:v>
      </x:c>
      <x:c r="H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10" t="n"/>
      <x:c r="M39" s="9" t="n">
        <x:f>A39</x:f>
        <x:v>-0.692</x:v>
      </x:c>
      <x:c r="N39" s="9"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9"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9"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9"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10" t="n"/>
      <x:c r="S39" s="9" t="n">
        <x:f>A39</x:f>
        <x:v>-0.692</x:v>
      </x:c>
      <x:c r="T39" s="9" t="n">
        <x:f>(Inputs!$I$6+(((A39)+1)/2)*(Inputs!$J$6-Inputs!$I$6))</x:f>
        <x:v>-41.519999999999996</x:v>
      </x:c>
      <x:c r="U39" s="9" t="n">
        <x:f>(Inputs!$I$7+(((A39)+1)/2)*(Inputs!$J$7-Inputs!$I$7))</x:f>
        <x:v>-276.79999999999995</x:v>
      </x:c>
      <x:c r="V39" s="9" t="n">
        <x:f>(Inputs!$I$8+(((A39)+1)/2)*(Inputs!$J$8-Inputs!$I$8))</x:f>
        <x:v>-553.5999999999999</x:v>
      </x:c>
      <x:c r="W39" s="9" t="n">
        <x:f>(Inputs!$I$9+(((A39)+1)/2)*(Inputs!$J$9-Inputs!$I$9))</x:f>
        <x:v>-553.5999999999999</x:v>
      </x:c>
      <x:c r="X39" s="10" t="n"/>
      <x:c r="Y39" s="9" t="n">
        <x:f>A39</x:f>
        <x:v>-0.692</x:v>
      </x:c>
      <x:c r="Z39" s="9" t="n">
        <x:f>(Inputs!$H$6+Inputs!$L$6*(((Inputs!$I$6+(((A39)+1)/2)*(Inputs!$J$6-Inputs!$I$6)))/Inputs!$K$6)^2)</x:f>
        <x:v>401.915456</x:v>
      </x:c>
      <x:c r="AA39" s="9" t="n">
        <x:f>(Inputs!$H$7+Inputs!$L$7*(((Inputs!$I$7+(((A39)+1)/2)*(Inputs!$J$7-Inputs!$I$7)))/Inputs!$K$7)^2)</x:f>
        <x:v>209.7853599999999</x:v>
      </x:c>
      <x:c r="AB39" s="9" t="n">
        <x:f>(Inputs!$H$8+Inputs!$L$8*(((Inputs!$I$8+(((A39)+1)/2)*(Inputs!$J$8-Inputs!$I$8)))/Inputs!$K$8)^2)</x:f>
        <x:v>497.1037599999998</x:v>
      </x:c>
      <x:c r="AC39" s="9" t="n">
        <x:f>(Inputs!$H$9+Inputs!$L$9*(((Inputs!$I$9+(((A39)+1)/2)*(Inputs!$J$9-Inputs!$I$9)))/Inputs!$K$9)^2)</x:f>
        <x:v>491.8923999999998</x:v>
      </x:c>
      <x:c r="AD39" s="10" t="n"/>
      <x:c r="AE39" s="9" t="n">
        <x:f>A39</x:f>
        <x:v>-0.692</x:v>
      </x:c>
      <x:c r="AF39" s="9"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9"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9"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9"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10" t="n"/>
      <x:c r="AK39" s="9" t="n">
        <x:f>A39</x:f>
        <x:v>-0.692</x:v>
      </x:c>
      <x:c r="AL39" s="9"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9"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9"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9"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10" t="n"/>
      <x:c r="AQ39" s="9" t="n">
        <x:f>A39</x:f>
        <x:v>-0.692</x:v>
      </x:c>
      <x:c r="AR39" s="9" t="n">
        <x:f>0</x:f>
        <x:v>0</x:v>
      </x:c>
      <x:c r="AS39" s="9"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x:f>
        <x:v>170.32340444835148</x:v>
      </x:c>
      <x:c r="AT39" s="9"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x:f>
        <x:v>109.75803098864128</x:v>
      </x:c>
      <x:c r="AU39" s="9"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x:f>
        <x:v>193.95377403916262</x:v>
      </x:c>
      <x:c r="AV39" s="9"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x:f>
        <x:v>193.95377403916262</x:v>
      </x:c>
      <x:c r="AW39" s="10" t="n"/>
      <x:c r="AX39" s="9" t="n">
        <x:f>A39</x:f>
        <x:v>-0.692</x:v>
      </x:c>
      <x:c r="AY39" s="9" t="n">
        <x:f>0</x:f>
        <x:v>0</x:v>
      </x:c>
      <x:c r="AZ39" s="9" t="n">
        <x:f>IF(OR(Inputs!$F$6=TRUE,Inputs!$F$6="TRUE",Inputs!$F$6=1),(Inputs!$H$6+Inputs!$L$6*(((Inputs!$I$6+(((A39)+1)/2)*(Inputs!$J$6-Inputs!$I$6)))/Inputs!$K$6)^2),NA())</x:f>
        <x:v>401.915456</x:v>
      </x:c>
      <x:c r="BA39" s="9" t="n">
        <x:f>IF(OR(Inputs!$F$7=TRUE,Inputs!$F$7="TRUE",Inputs!$F$7=1),(Inputs!$H$7+Inputs!$L$7*(((Inputs!$I$7+(((A39)+1)/2)*(Inputs!$J$7-Inputs!$I$7)))/Inputs!$K$7)^2),NA())</x:f>
        <x:v>209.7853599999999</x:v>
      </x:c>
      <x:c r="BB39" s="9" t="n">
        <x:f>IF(OR(Inputs!$F$8=TRUE,Inputs!$F$8="TRUE",Inputs!$F$8=1),(Inputs!$H$8+Inputs!$L$8*(((Inputs!$I$8+(((A39)+1)/2)*(Inputs!$J$8-Inputs!$I$8)))/Inputs!$K$8)^2),NA())</x:f>
        <x:v>497.1037599999998</x:v>
      </x:c>
      <x:c r="BC39" s="9" t="n">
        <x:f>IF(OR(Inputs!$F$9=TRUE,Inputs!$F$9="TRUE",Inputs!$F$9=1),(Inputs!$H$9+Inputs!$L$9*(((Inputs!$I$9+(((A39)+1)/2)*(Inputs!$J$9-Inputs!$I$9)))/Inputs!$K$9)^2),NA())</x:f>
        <x:v>491.8923999999998</x:v>
      </x:c>
      <x:c r="BD39" s="10" t="n"/>
      <x:c r="BE39" s="9" t="n">
        <x:f>A39</x:f>
        <x:v>-0.692</x:v>
      </x:c>
      <x:c r="BF39" s="9" t="n">
        <x:f>0</x:f>
        <x:v>0</x:v>
      </x:c>
      <x:c r="BG39" s="9"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9"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9"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9"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9" t="n">
        <x:f>ROUND(-1+38*2/240,3)</x:f>
        <x:v>-0.683</x:v>
      </x:c>
      <x:c r="B40" s="9" t="n">
        <x:f>IF(OR(Inputs!$F$6=TRUE,Inputs!$F$6="TRUE",Inputs!$F$6=1),(Inputs!$H$6+Inputs!$L$6*(((Inputs!$I$6+(((A40)+1)/2)*(Inputs!$J$6-Inputs!$I$6)))/Inputs!$K$6)^2),NA())</x:f>
        <x:v>401.865956</x:v>
      </x:c>
      <x:c r="C40" s="9" t="n">
        <x:f>IF(OR(Inputs!$F$7=TRUE,Inputs!$F$7="TRUE",Inputs!$F$7=1),(Inputs!$H$7+Inputs!$L$7*(((Inputs!$I$7+(((A40)+1)/2)*(Inputs!$J$7-Inputs!$I$7)))/Inputs!$K$7)^2),NA())</x:f>
        <x:v>205.26848500000008</x:v>
      </x:c>
      <x:c r="D40" s="9" t="n">
        <x:f>IF(OR(Inputs!$F$8=TRUE,Inputs!$F$8="TRUE",Inputs!$F$8=1),(Inputs!$H$8+Inputs!$L$8*(((Inputs!$I$8+(((A40)+1)/2)*(Inputs!$J$8-Inputs!$I$8)))/Inputs!$K$8)^2),NA())</x:f>
        <x:v>485.1618850000002</x:v>
      </x:c>
      <x:c r="E40" s="9" t="n">
        <x:f>IF(OR(Inputs!$F$9=TRUE,Inputs!$F$9="TRUE",Inputs!$F$9=1),(Inputs!$H$9+Inputs!$L$9*(((Inputs!$I$9+(((A40)+1)/2)*(Inputs!$J$9-Inputs!$I$9)))/Inputs!$K$9)^2),NA())</x:f>
        <x:v>479.8267750000002</x:v>
      </x:c>
      <x:c r="F40" s="10" t="n"/>
      <x:c r="G40" s="9" t="n">
        <x:f>A40</x:f>
        <x:v>-0.683</x:v>
      </x:c>
      <x:c r="H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10" t="n"/>
      <x:c r="M40" s="9" t="n">
        <x:f>A40</x:f>
        <x:v>-0.683</x:v>
      </x:c>
      <x:c r="N40" s="9"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9"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9"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9"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10" t="n"/>
      <x:c r="S40" s="9" t="n">
        <x:f>A40</x:f>
        <x:v>-0.683</x:v>
      </x:c>
      <x:c r="T40" s="9" t="n">
        <x:f>(Inputs!$I$6+(((A40)+1)/2)*(Inputs!$J$6-Inputs!$I$6))</x:f>
        <x:v>-40.980000000000004</x:v>
      </x:c>
      <x:c r="U40" s="9" t="n">
        <x:f>(Inputs!$I$7+(((A40)+1)/2)*(Inputs!$J$7-Inputs!$I$7))</x:f>
        <x:v>-273.20000000000005</x:v>
      </x:c>
      <x:c r="V40" s="9" t="n">
        <x:f>(Inputs!$I$8+(((A40)+1)/2)*(Inputs!$J$8-Inputs!$I$8))</x:f>
        <x:v>-546.4000000000001</x:v>
      </x:c>
      <x:c r="W40" s="9" t="n">
        <x:f>(Inputs!$I$9+(((A40)+1)/2)*(Inputs!$J$9-Inputs!$I$9))</x:f>
        <x:v>-546.4000000000001</x:v>
      </x:c>
      <x:c r="X40" s="10" t="n"/>
      <x:c r="Y40" s="9" t="n">
        <x:f>A40</x:f>
        <x:v>-0.683</x:v>
      </x:c>
      <x:c r="Z40" s="9" t="n">
        <x:f>(Inputs!$H$6+Inputs!$L$6*(((Inputs!$I$6+(((A40)+1)/2)*(Inputs!$J$6-Inputs!$I$6)))/Inputs!$K$6)^2)</x:f>
        <x:v>401.865956</x:v>
      </x:c>
      <x:c r="AA40" s="9" t="n">
        <x:f>(Inputs!$H$7+Inputs!$L$7*(((Inputs!$I$7+(((A40)+1)/2)*(Inputs!$J$7-Inputs!$I$7)))/Inputs!$K$7)^2)</x:f>
        <x:v>205.26848500000008</x:v>
      </x:c>
      <x:c r="AB40" s="9" t="n">
        <x:f>(Inputs!$H$8+Inputs!$L$8*(((Inputs!$I$8+(((A40)+1)/2)*(Inputs!$J$8-Inputs!$I$8)))/Inputs!$K$8)^2)</x:f>
        <x:v>485.1618850000002</x:v>
      </x:c>
      <x:c r="AC40" s="9" t="n">
        <x:f>(Inputs!$H$9+Inputs!$L$9*(((Inputs!$I$9+(((A40)+1)/2)*(Inputs!$J$9-Inputs!$I$9)))/Inputs!$K$9)^2)</x:f>
        <x:v>479.8267750000002</x:v>
      </x:c>
      <x:c r="AD40" s="10" t="n"/>
      <x:c r="AE40" s="9" t="n">
        <x:f>A40</x:f>
        <x:v>-0.683</x:v>
      </x:c>
      <x:c r="AF40" s="9"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9"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9"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9"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10" t="n"/>
      <x:c r="AK40" s="9" t="n">
        <x:f>A40</x:f>
        <x:v>-0.683</x:v>
      </x:c>
      <x:c r="AL40" s="9"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9"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9"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9"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10" t="n"/>
      <x:c r="AQ40" s="9" t="n">
        <x:f>A40</x:f>
        <x:v>-0.683</x:v>
      </x:c>
      <x:c r="AR40" s="9" t="n">
        <x:f>0</x:f>
        <x:v>0</x:v>
      </x:c>
      <x:c r="AS40" s="9"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x:f>
        <x:v>183.9499474411341</x:v>
      </x:c>
      <x:c r="AT40" s="9"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x:f>
        <x:v>136.94644195306483</x:v>
      </x:c>
      <x:c r="AU40" s="9"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x:f>
        <x:v>134.0103845751267</x:v>
      </x:c>
      <x:c r="AV40" s="9"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x:f>
        <x:v>134.0103845751267</x:v>
      </x:c>
      <x:c r="AW40" s="10" t="n"/>
      <x:c r="AX40" s="9" t="n">
        <x:f>A40</x:f>
        <x:v>-0.683</x:v>
      </x:c>
      <x:c r="AY40" s="9" t="n">
        <x:f>0</x:f>
        <x:v>0</x:v>
      </x:c>
      <x:c r="AZ40" s="9" t="n">
        <x:f>IF(OR(Inputs!$F$6=TRUE,Inputs!$F$6="TRUE",Inputs!$F$6=1),(Inputs!$H$6+Inputs!$L$6*(((Inputs!$I$6+(((A40)+1)/2)*(Inputs!$J$6-Inputs!$I$6)))/Inputs!$K$6)^2),NA())</x:f>
        <x:v>401.865956</x:v>
      </x:c>
      <x:c r="BA40" s="9" t="n">
        <x:f>IF(OR(Inputs!$F$7=TRUE,Inputs!$F$7="TRUE",Inputs!$F$7=1),(Inputs!$H$7+Inputs!$L$7*(((Inputs!$I$7+(((A40)+1)/2)*(Inputs!$J$7-Inputs!$I$7)))/Inputs!$K$7)^2),NA())</x:f>
        <x:v>205.26848500000008</x:v>
      </x:c>
      <x:c r="BB40" s="9" t="n">
        <x:f>IF(OR(Inputs!$F$8=TRUE,Inputs!$F$8="TRUE",Inputs!$F$8=1),(Inputs!$H$8+Inputs!$L$8*(((Inputs!$I$8+(((A40)+1)/2)*(Inputs!$J$8-Inputs!$I$8)))/Inputs!$K$8)^2),NA())</x:f>
        <x:v>485.1618850000002</x:v>
      </x:c>
      <x:c r="BC40" s="9" t="n">
        <x:f>IF(OR(Inputs!$F$9=TRUE,Inputs!$F$9="TRUE",Inputs!$F$9=1),(Inputs!$H$9+Inputs!$L$9*(((Inputs!$I$9+(((A40)+1)/2)*(Inputs!$J$9-Inputs!$I$9)))/Inputs!$K$9)^2),NA())</x:f>
        <x:v>479.8267750000002</x:v>
      </x:c>
      <x:c r="BD40" s="10" t="n"/>
      <x:c r="BE40" s="9" t="n">
        <x:f>A40</x:f>
        <x:v>-0.683</x:v>
      </x:c>
      <x:c r="BF40" s="9" t="n">
        <x:f>0</x:f>
        <x:v>0</x:v>
      </x:c>
      <x:c r="BG40" s="9"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9"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9"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9"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9" t="n">
        <x:f>ROUND(-1+39*2/240,3)</x:f>
        <x:v>-0.675</x:v>
      </x:c>
      <x:c r="B41" s="9" t="n">
        <x:f>IF(OR(Inputs!$F$6=TRUE,Inputs!$F$6="TRUE",Inputs!$F$6=1),(Inputs!$H$6+Inputs!$L$6*(((Inputs!$I$6+(((A41)+1)/2)*(Inputs!$J$6-Inputs!$I$6)))/Inputs!$K$6)^2),NA())</x:f>
        <x:v>401.8225</x:v>
      </x:c>
      <x:c r="C41" s="9" t="n">
        <x:f>IF(OR(Inputs!$F$7=TRUE,Inputs!$F$7="TRUE",Inputs!$F$7=1),(Inputs!$H$7+Inputs!$L$7*(((Inputs!$I$7+(((A41)+1)/2)*(Inputs!$J$7-Inputs!$I$7)))/Inputs!$K$7)^2),NA())</x:f>
        <x:v>201.30312500000002</x:v>
      </x:c>
      <x:c r="D41" s="9" t="n">
        <x:f>IF(OR(Inputs!$F$8=TRUE,Inputs!$F$8="TRUE",Inputs!$F$8=1),(Inputs!$H$8+Inputs!$L$8*(((Inputs!$I$8+(((A41)+1)/2)*(Inputs!$J$8-Inputs!$I$8)))/Inputs!$K$8)^2),NA())</x:f>
        <x:v>474.6781250000001</x:v>
      </x:c>
      <x:c r="E41" s="9" t="n">
        <x:f>IF(OR(Inputs!$F$9=TRUE,Inputs!$F$9="TRUE",Inputs!$F$9=1),(Inputs!$H$9+Inputs!$L$9*(((Inputs!$I$9+(((A41)+1)/2)*(Inputs!$J$9-Inputs!$I$9)))/Inputs!$K$9)^2),NA())</x:f>
        <x:v>469.23437500000006</x:v>
      </x:c>
      <x:c r="F41" s="10" t="n"/>
      <x:c r="G41" s="9" t="n">
        <x:f>A41</x:f>
        <x:v>-0.675</x:v>
      </x:c>
      <x:c r="H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10" t="n"/>
      <x:c r="M41" s="9" t="n">
        <x:f>A41</x:f>
        <x:v>-0.675</x:v>
      </x:c>
      <x:c r="N41" s="9"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9"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9"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9"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10" t="n"/>
      <x:c r="S41" s="9" t="n">
        <x:f>A41</x:f>
        <x:v>-0.675</x:v>
      </x:c>
      <x:c r="T41" s="9" t="n">
        <x:f>(Inputs!$I$6+(((A41)+1)/2)*(Inputs!$J$6-Inputs!$I$6))</x:f>
        <x:v>-40.5</x:v>
      </x:c>
      <x:c r="U41" s="9" t="n">
        <x:f>(Inputs!$I$7+(((A41)+1)/2)*(Inputs!$J$7-Inputs!$I$7))</x:f>
        <x:v>-270</x:v>
      </x:c>
      <x:c r="V41" s="9" t="n">
        <x:f>(Inputs!$I$8+(((A41)+1)/2)*(Inputs!$J$8-Inputs!$I$8))</x:f>
        <x:v>-540</x:v>
      </x:c>
      <x:c r="W41" s="9" t="n">
        <x:f>(Inputs!$I$9+(((A41)+1)/2)*(Inputs!$J$9-Inputs!$I$9))</x:f>
        <x:v>-540</x:v>
      </x:c>
      <x:c r="X41" s="10" t="n"/>
      <x:c r="Y41" s="9" t="n">
        <x:f>A41</x:f>
        <x:v>-0.675</x:v>
      </x:c>
      <x:c r="Z41" s="9" t="n">
        <x:f>(Inputs!$H$6+Inputs!$L$6*(((Inputs!$I$6+(((A41)+1)/2)*(Inputs!$J$6-Inputs!$I$6)))/Inputs!$K$6)^2)</x:f>
        <x:v>401.8225</x:v>
      </x:c>
      <x:c r="AA41" s="9" t="n">
        <x:f>(Inputs!$H$7+Inputs!$L$7*(((Inputs!$I$7+(((A41)+1)/2)*(Inputs!$J$7-Inputs!$I$7)))/Inputs!$K$7)^2)</x:f>
        <x:v>201.30312500000002</x:v>
      </x:c>
      <x:c r="AB41" s="9" t="n">
        <x:f>(Inputs!$H$8+Inputs!$L$8*(((Inputs!$I$8+(((A41)+1)/2)*(Inputs!$J$8-Inputs!$I$8)))/Inputs!$K$8)^2)</x:f>
        <x:v>474.6781250000001</x:v>
      </x:c>
      <x:c r="AC41" s="9" t="n">
        <x:f>(Inputs!$H$9+Inputs!$L$9*(((Inputs!$I$9+(((A41)+1)/2)*(Inputs!$J$9-Inputs!$I$9)))/Inputs!$K$9)^2)</x:f>
        <x:v>469.23437500000006</x:v>
      </x:c>
      <x:c r="AD41" s="10" t="n"/>
      <x:c r="AE41" s="9" t="n">
        <x:f>A41</x:f>
        <x:v>-0.675</x:v>
      </x:c>
      <x:c r="AF41" s="9"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9"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9"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9"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10" t="n"/>
      <x:c r="AK41" s="9" t="n">
        <x:f>A41</x:f>
        <x:v>-0.675</x:v>
      </x:c>
      <x:c r="AL41" s="9"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9"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9"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9"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10" t="n"/>
      <x:c r="AQ41" s="9" t="n">
        <x:f>A41</x:f>
        <x:v>-0.675</x:v>
      </x:c>
      <x:c r="AR41" s="9" t="n">
        <x:f>0</x:f>
        <x:v>0</x:v>
      </x:c>
      <x:c r="AS41" s="9"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x:f>
        <x:v>191.24651788731785</x:v>
      </x:c>
      <x:c r="AT41" s="9"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x:f>
        <x:v>151.4832420513476</x:v>
      </x:c>
      <x:c r="AU41" s="9"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x:f>
        <x:v>139.8789917709623</x:v>
      </x:c>
      <x:c r="AV41" s="9"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x:f>
        <x:v>139.8789917709623</x:v>
      </x:c>
      <x:c r="AW41" s="10" t="n"/>
      <x:c r="AX41" s="9" t="n">
        <x:f>A41</x:f>
        <x:v>-0.675</x:v>
      </x:c>
      <x:c r="AY41" s="9" t="n">
        <x:f>0</x:f>
        <x:v>0</x:v>
      </x:c>
      <x:c r="AZ41" s="9" t="n">
        <x:f>IF(OR(Inputs!$F$6=TRUE,Inputs!$F$6="TRUE",Inputs!$F$6=1),(Inputs!$H$6+Inputs!$L$6*(((Inputs!$I$6+(((A41)+1)/2)*(Inputs!$J$6-Inputs!$I$6)))/Inputs!$K$6)^2),NA())</x:f>
        <x:v>401.8225</x:v>
      </x:c>
      <x:c r="BA41" s="9" t="n">
        <x:f>IF(OR(Inputs!$F$7=TRUE,Inputs!$F$7="TRUE",Inputs!$F$7=1),(Inputs!$H$7+Inputs!$L$7*(((Inputs!$I$7+(((A41)+1)/2)*(Inputs!$J$7-Inputs!$I$7)))/Inputs!$K$7)^2),NA())</x:f>
        <x:v>201.30312500000002</x:v>
      </x:c>
      <x:c r="BB41" s="9" t="n">
        <x:f>IF(OR(Inputs!$F$8=TRUE,Inputs!$F$8="TRUE",Inputs!$F$8=1),(Inputs!$H$8+Inputs!$L$8*(((Inputs!$I$8+(((A41)+1)/2)*(Inputs!$J$8-Inputs!$I$8)))/Inputs!$K$8)^2),NA())</x:f>
        <x:v>474.6781250000001</x:v>
      </x:c>
      <x:c r="BC41" s="9" t="n">
        <x:f>IF(OR(Inputs!$F$9=TRUE,Inputs!$F$9="TRUE",Inputs!$F$9=1),(Inputs!$H$9+Inputs!$L$9*(((Inputs!$I$9+(((A41)+1)/2)*(Inputs!$J$9-Inputs!$I$9)))/Inputs!$K$9)^2),NA())</x:f>
        <x:v>469.23437500000006</x:v>
      </x:c>
      <x:c r="BD41" s="10" t="n"/>
      <x:c r="BE41" s="9" t="n">
        <x:f>A41</x:f>
        <x:v>-0.675</x:v>
      </x:c>
      <x:c r="BF41" s="9" t="n">
        <x:f>0</x:f>
        <x:v>0</x:v>
      </x:c>
      <x:c r="BG41" s="9"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9"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9"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9"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9" t="n">
        <x:f>ROUND(-1+40*2/240,3)</x:f>
        <x:v>-0.667</x:v>
      </x:c>
      <x:c r="B42" s="9" t="n">
        <x:f>IF(OR(Inputs!$F$6=TRUE,Inputs!$F$6="TRUE",Inputs!$F$6=1),(Inputs!$H$6+Inputs!$L$6*(((Inputs!$I$6+(((A42)+1)/2)*(Inputs!$J$6-Inputs!$I$6)))/Inputs!$K$6)^2),NA())</x:f>
        <x:v>401.779556</x:v>
      </x:c>
      <x:c r="C42" s="9" t="n">
        <x:f>IF(OR(Inputs!$F$7=TRUE,Inputs!$F$7="TRUE",Inputs!$F$7=1),(Inputs!$H$7+Inputs!$L$7*(((Inputs!$I$7+(((A42)+1)/2)*(Inputs!$J$7-Inputs!$I$7)))/Inputs!$K$7)^2),NA())</x:f>
        <x:v>197.384485</x:v>
      </x:c>
      <x:c r="D42" s="9" t="n">
        <x:f>IF(OR(Inputs!$F$8=TRUE,Inputs!$F$8="TRUE",Inputs!$F$8=1),(Inputs!$H$8+Inputs!$L$8*(((Inputs!$I$8+(((A42)+1)/2)*(Inputs!$J$8-Inputs!$I$8)))/Inputs!$K$8)^2),NA())</x:f>
        <x:v>464.31788500000005</x:v>
      </x:c>
      <x:c r="E42" s="9" t="n">
        <x:f>IF(OR(Inputs!$F$9=TRUE,Inputs!$F$9="TRUE",Inputs!$F$9=1),(Inputs!$H$9+Inputs!$L$9*(((Inputs!$I$9+(((A42)+1)/2)*(Inputs!$J$9-Inputs!$I$9)))/Inputs!$K$9)^2),NA())</x:f>
        <x:v>458.76677500000005</x:v>
      </x:c>
      <x:c r="F42" s="10" t="n"/>
      <x:c r="G42" s="9" t="n">
        <x:f>A42</x:f>
        <x:v>-0.667</x:v>
      </x:c>
      <x:c r="H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10" t="n"/>
      <x:c r="M42" s="9" t="n">
        <x:f>A42</x:f>
        <x:v>-0.667</x:v>
      </x:c>
      <x:c r="N42" s="9"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9"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9"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9"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10" t="n"/>
      <x:c r="S42" s="9" t="n">
        <x:f>A42</x:f>
        <x:v>-0.667</x:v>
      </x:c>
      <x:c r="T42" s="9" t="n">
        <x:f>(Inputs!$I$6+(((A42)+1)/2)*(Inputs!$J$6-Inputs!$I$6))</x:f>
        <x:v>-40.02</x:v>
      </x:c>
      <x:c r="U42" s="9" t="n">
        <x:f>(Inputs!$I$7+(((A42)+1)/2)*(Inputs!$J$7-Inputs!$I$7))</x:f>
        <x:v>-266.8</x:v>
      </x:c>
      <x:c r="V42" s="9" t="n">
        <x:f>(Inputs!$I$8+(((A42)+1)/2)*(Inputs!$J$8-Inputs!$I$8))</x:f>
        <x:v>-533.6</x:v>
      </x:c>
      <x:c r="W42" s="9" t="n">
        <x:f>(Inputs!$I$9+(((A42)+1)/2)*(Inputs!$J$9-Inputs!$I$9))</x:f>
        <x:v>-533.6</x:v>
      </x:c>
      <x:c r="X42" s="10" t="n"/>
      <x:c r="Y42" s="9" t="n">
        <x:f>A42</x:f>
        <x:v>-0.667</x:v>
      </x:c>
      <x:c r="Z42" s="9" t="n">
        <x:f>(Inputs!$H$6+Inputs!$L$6*(((Inputs!$I$6+(((A42)+1)/2)*(Inputs!$J$6-Inputs!$I$6)))/Inputs!$K$6)^2)</x:f>
        <x:v>401.779556</x:v>
      </x:c>
      <x:c r="AA42" s="9" t="n">
        <x:f>(Inputs!$H$7+Inputs!$L$7*(((Inputs!$I$7+(((A42)+1)/2)*(Inputs!$J$7-Inputs!$I$7)))/Inputs!$K$7)^2)</x:f>
        <x:v>197.384485</x:v>
      </x:c>
      <x:c r="AB42" s="9" t="n">
        <x:f>(Inputs!$H$8+Inputs!$L$8*(((Inputs!$I$8+(((A42)+1)/2)*(Inputs!$J$8-Inputs!$I$8)))/Inputs!$K$8)^2)</x:f>
        <x:v>464.31788500000005</x:v>
      </x:c>
      <x:c r="AC42" s="9" t="n">
        <x:f>(Inputs!$H$9+Inputs!$L$9*(((Inputs!$I$9+(((A42)+1)/2)*(Inputs!$J$9-Inputs!$I$9)))/Inputs!$K$9)^2)</x:f>
        <x:v>458.76677500000005</x:v>
      </x:c>
      <x:c r="AD42" s="10" t="n"/>
      <x:c r="AE42" s="9" t="n">
        <x:f>A42</x:f>
        <x:v>-0.667</x:v>
      </x:c>
      <x:c r="AF42" s="9"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9"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9"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9"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10" t="n"/>
      <x:c r="AK42" s="9" t="n">
        <x:f>A42</x:f>
        <x:v>-0.667</x:v>
      </x:c>
      <x:c r="AL42" s="9"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9"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9"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9"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10" t="n"/>
      <x:c r="AQ42" s="9" t="n">
        <x:f>A42</x:f>
        <x:v>-0.667</x:v>
      </x:c>
      <x:c r="AR42" s="9" t="n">
        <x:f>0</x:f>
        <x:v>0</x:v>
      </x:c>
      <x:c r="AS42" s="9"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x:f>
        <x:v>179.4896616518568</x:v>
      </x:c>
      <x:c r="AT42" s="9"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x:f>
        <x:v>192.41801871907217</x:v>
      </x:c>
      <x:c r="AU42" s="9"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x:f>
        <x:v>209.69649268233258</x:v>
      </x:c>
      <x:c r="AV42" s="9"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x:f>
        <x:v>209.69649268233258</x:v>
      </x:c>
      <x:c r="AW42" s="10" t="n"/>
      <x:c r="AX42" s="9" t="n">
        <x:f>A42</x:f>
        <x:v>-0.667</x:v>
      </x:c>
      <x:c r="AY42" s="9" t="n">
        <x:f>0</x:f>
        <x:v>0</x:v>
      </x:c>
      <x:c r="AZ42" s="9" t="n">
        <x:f>IF(OR(Inputs!$F$6=TRUE,Inputs!$F$6="TRUE",Inputs!$F$6=1),(Inputs!$H$6+Inputs!$L$6*(((Inputs!$I$6+(((A42)+1)/2)*(Inputs!$J$6-Inputs!$I$6)))/Inputs!$K$6)^2),NA())</x:f>
        <x:v>401.779556</x:v>
      </x:c>
      <x:c r="BA42" s="9" t="n">
        <x:f>IF(OR(Inputs!$F$7=TRUE,Inputs!$F$7="TRUE",Inputs!$F$7=1),(Inputs!$H$7+Inputs!$L$7*(((Inputs!$I$7+(((A42)+1)/2)*(Inputs!$J$7-Inputs!$I$7)))/Inputs!$K$7)^2),NA())</x:f>
        <x:v>197.384485</x:v>
      </x:c>
      <x:c r="BB42" s="9" t="n">
        <x:f>IF(OR(Inputs!$F$8=TRUE,Inputs!$F$8="TRUE",Inputs!$F$8=1),(Inputs!$H$8+Inputs!$L$8*(((Inputs!$I$8+(((A42)+1)/2)*(Inputs!$J$8-Inputs!$I$8)))/Inputs!$K$8)^2),NA())</x:f>
        <x:v>464.31788500000005</x:v>
      </x:c>
      <x:c r="BC42" s="9" t="n">
        <x:f>IF(OR(Inputs!$F$9=TRUE,Inputs!$F$9="TRUE",Inputs!$F$9=1),(Inputs!$H$9+Inputs!$L$9*(((Inputs!$I$9+(((A42)+1)/2)*(Inputs!$J$9-Inputs!$I$9)))/Inputs!$K$9)^2),NA())</x:f>
        <x:v>458.76677500000005</x:v>
      </x:c>
      <x:c r="BD42" s="10" t="n"/>
      <x:c r="BE42" s="9" t="n">
        <x:f>A42</x:f>
        <x:v>-0.667</x:v>
      </x:c>
      <x:c r="BF42" s="9" t="n">
        <x:f>0</x:f>
        <x:v>0</x:v>
      </x:c>
      <x:c r="BG42" s="9"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9"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9"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9"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9" t="n">
        <x:f>ROUND(-1+41*2/240,3)</x:f>
        <x:v>-0.658</x:v>
      </x:c>
      <x:c r="B43" s="9" t="n">
        <x:f>IF(OR(Inputs!$F$6=TRUE,Inputs!$F$6="TRUE",Inputs!$F$6=1),(Inputs!$H$6+Inputs!$L$6*(((Inputs!$I$6+(((A43)+1)/2)*(Inputs!$J$6-Inputs!$I$6)))/Inputs!$K$6)^2),NA())</x:f>
        <x:v>401.731856</x:v>
      </x:c>
      <x:c r="C43" s="9" t="n">
        <x:f>IF(OR(Inputs!$F$7=TRUE,Inputs!$F$7="TRUE",Inputs!$F$7=1),(Inputs!$H$7+Inputs!$L$7*(((Inputs!$I$7+(((A43)+1)/2)*(Inputs!$J$7-Inputs!$I$7)))/Inputs!$K$7)^2),NA())</x:f>
        <x:v>193.03186000000008</x:v>
      </x:c>
      <x:c r="D43" s="9" t="n">
        <x:f>IF(OR(Inputs!$F$8=TRUE,Inputs!$F$8="TRUE",Inputs!$F$8=1),(Inputs!$H$8+Inputs!$L$8*(((Inputs!$I$8+(((A43)+1)/2)*(Inputs!$J$8-Inputs!$I$8)))/Inputs!$K$8)^2),NA())</x:f>
        <x:v>452.8102600000002</x:v>
      </x:c>
      <x:c r="E43" s="9" t="n">
        <x:f>IF(OR(Inputs!$F$9=TRUE,Inputs!$F$9="TRUE",Inputs!$F$9=1),(Inputs!$H$9+Inputs!$L$9*(((Inputs!$I$9+(((A43)+1)/2)*(Inputs!$J$9-Inputs!$I$9)))/Inputs!$K$9)^2),NA())</x:f>
        <x:v>447.1399000000002</x:v>
      </x:c>
      <x:c r="F43" s="10" t="n"/>
      <x:c r="G43" s="9" t="n">
        <x:f>A43</x:f>
        <x:v>-0.658</x:v>
      </x:c>
      <x:c r="H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10" t="n"/>
      <x:c r="M43" s="9" t="n">
        <x:f>A43</x:f>
        <x:v>-0.658</x:v>
      </x:c>
      <x:c r="N43" s="9"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9"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9"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9"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10" t="n"/>
      <x:c r="S43" s="9" t="n">
        <x:f>A43</x:f>
        <x:v>-0.658</x:v>
      </x:c>
      <x:c r="T43" s="9" t="n">
        <x:f>(Inputs!$I$6+(((A43)+1)/2)*(Inputs!$J$6-Inputs!$I$6))</x:f>
        <x:v>-39.480000000000004</x:v>
      </x:c>
      <x:c r="U43" s="9" t="n">
        <x:f>(Inputs!$I$7+(((A43)+1)/2)*(Inputs!$J$7-Inputs!$I$7))</x:f>
        <x:v>-263.20000000000005</x:v>
      </x:c>
      <x:c r="V43" s="9" t="n">
        <x:f>(Inputs!$I$8+(((A43)+1)/2)*(Inputs!$J$8-Inputs!$I$8))</x:f>
        <x:v>-526.4000000000001</x:v>
      </x:c>
      <x:c r="W43" s="9" t="n">
        <x:f>(Inputs!$I$9+(((A43)+1)/2)*(Inputs!$J$9-Inputs!$I$9))</x:f>
        <x:v>-526.4000000000001</x:v>
      </x:c>
      <x:c r="X43" s="10" t="n"/>
      <x:c r="Y43" s="9" t="n">
        <x:f>A43</x:f>
        <x:v>-0.658</x:v>
      </x:c>
      <x:c r="Z43" s="9" t="n">
        <x:f>(Inputs!$H$6+Inputs!$L$6*(((Inputs!$I$6+(((A43)+1)/2)*(Inputs!$J$6-Inputs!$I$6)))/Inputs!$K$6)^2)</x:f>
        <x:v>401.731856</x:v>
      </x:c>
      <x:c r="AA43" s="9" t="n">
        <x:f>(Inputs!$H$7+Inputs!$L$7*(((Inputs!$I$7+(((A43)+1)/2)*(Inputs!$J$7-Inputs!$I$7)))/Inputs!$K$7)^2)</x:f>
        <x:v>193.03186000000008</x:v>
      </x:c>
      <x:c r="AB43" s="9" t="n">
        <x:f>(Inputs!$H$8+Inputs!$L$8*(((Inputs!$I$8+(((A43)+1)/2)*(Inputs!$J$8-Inputs!$I$8)))/Inputs!$K$8)^2)</x:f>
        <x:v>452.8102600000002</x:v>
      </x:c>
      <x:c r="AC43" s="9" t="n">
        <x:f>(Inputs!$H$9+Inputs!$L$9*(((Inputs!$I$9+(((A43)+1)/2)*(Inputs!$J$9-Inputs!$I$9)))/Inputs!$K$9)^2)</x:f>
        <x:v>447.1399000000002</x:v>
      </x:c>
      <x:c r="AD43" s="10" t="n"/>
      <x:c r="AE43" s="9" t="n">
        <x:f>A43</x:f>
        <x:v>-0.658</x:v>
      </x:c>
      <x:c r="AF43" s="9"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9"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9"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9"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10" t="n"/>
      <x:c r="AK43" s="9" t="n">
        <x:f>A43</x:f>
        <x:v>-0.658</x:v>
      </x:c>
      <x:c r="AL43" s="9"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9"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9"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9"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10" t="n"/>
      <x:c r="AQ43" s="9" t="n">
        <x:f>A43</x:f>
        <x:v>-0.658</x:v>
      </x:c>
      <x:c r="AR43" s="9" t="n">
        <x:f>0</x:f>
        <x:v>0</x:v>
      </x:c>
      <x:c r="AS43" s="9"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x:f>
        <x:v>178.65691485258185</x:v>
      </x:c>
      <x:c r="AT43" s="9"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x:f>
        <x:v>210.6238728721736</x:v>
      </x:c>
      <x:c r="AU43" s="9"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x:f>
        <x:v>100.43687701849716</x:v>
      </x:c>
      <x:c r="AV43" s="9"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x:f>
        <x:v>100.43687701849716</x:v>
      </x:c>
      <x:c r="AW43" s="10" t="n"/>
      <x:c r="AX43" s="9" t="n">
        <x:f>A43</x:f>
        <x:v>-0.658</x:v>
      </x:c>
      <x:c r="AY43" s="9" t="n">
        <x:f>0</x:f>
        <x:v>0</x:v>
      </x:c>
      <x:c r="AZ43" s="9" t="n">
        <x:f>IF(OR(Inputs!$F$6=TRUE,Inputs!$F$6="TRUE",Inputs!$F$6=1),(Inputs!$H$6+Inputs!$L$6*(((Inputs!$I$6+(((A43)+1)/2)*(Inputs!$J$6-Inputs!$I$6)))/Inputs!$K$6)^2),NA())</x:f>
        <x:v>401.731856</x:v>
      </x:c>
      <x:c r="BA43" s="9" t="n">
        <x:f>IF(OR(Inputs!$F$7=TRUE,Inputs!$F$7="TRUE",Inputs!$F$7=1),(Inputs!$H$7+Inputs!$L$7*(((Inputs!$I$7+(((A43)+1)/2)*(Inputs!$J$7-Inputs!$I$7)))/Inputs!$K$7)^2),NA())</x:f>
        <x:v>193.03186000000008</x:v>
      </x:c>
      <x:c r="BB43" s="9" t="n">
        <x:f>IF(OR(Inputs!$F$8=TRUE,Inputs!$F$8="TRUE",Inputs!$F$8=1),(Inputs!$H$8+Inputs!$L$8*(((Inputs!$I$8+(((A43)+1)/2)*(Inputs!$J$8-Inputs!$I$8)))/Inputs!$K$8)^2),NA())</x:f>
        <x:v>452.8102600000002</x:v>
      </x:c>
      <x:c r="BC43" s="9" t="n">
        <x:f>IF(OR(Inputs!$F$9=TRUE,Inputs!$F$9="TRUE",Inputs!$F$9=1),(Inputs!$H$9+Inputs!$L$9*(((Inputs!$I$9+(((A43)+1)/2)*(Inputs!$J$9-Inputs!$I$9)))/Inputs!$K$9)^2),NA())</x:f>
        <x:v>447.1399000000002</x:v>
      </x:c>
      <x:c r="BD43" s="10" t="n"/>
      <x:c r="BE43" s="9" t="n">
        <x:f>A43</x:f>
        <x:v>-0.658</x:v>
      </x:c>
      <x:c r="BF43" s="9" t="n">
        <x:f>0</x:f>
        <x:v>0</x:v>
      </x:c>
      <x:c r="BG43" s="9"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9"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9"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9"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9" t="n">
        <x:f>ROUND(-1+42*2/240,3)</x:f>
        <x:v>-0.65</x:v>
      </x:c>
      <x:c r="B44" s="9" t="n">
        <x:f>IF(OR(Inputs!$F$6=TRUE,Inputs!$F$6="TRUE",Inputs!$F$6=1),(Inputs!$H$6+Inputs!$L$6*(((Inputs!$I$6+(((A44)+1)/2)*(Inputs!$J$6-Inputs!$I$6)))/Inputs!$K$6)^2),NA())</x:f>
        <x:v>401.69</x:v>
      </x:c>
      <x:c r="C44" s="9" t="n">
        <x:f>IF(OR(Inputs!$F$7=TRUE,Inputs!$F$7="TRUE",Inputs!$F$7=1),(Inputs!$H$7+Inputs!$L$7*(((Inputs!$I$7+(((A44)+1)/2)*(Inputs!$J$7-Inputs!$I$7)))/Inputs!$K$7)^2),NA())</x:f>
        <x:v>189.2125</x:v>
      </x:c>
      <x:c r="D44" s="9" t="n">
        <x:f>IF(OR(Inputs!$F$8=TRUE,Inputs!$F$8="TRUE",Inputs!$F$8=1),(Inputs!$H$8+Inputs!$L$8*(((Inputs!$I$8+(((A44)+1)/2)*(Inputs!$J$8-Inputs!$I$8)))/Inputs!$K$8)^2),NA())</x:f>
        <x:v>442.71250000000003</x:v>
      </x:c>
      <x:c r="E44" s="9" t="n">
        <x:f>IF(OR(Inputs!$F$9=TRUE,Inputs!$F$9="TRUE",Inputs!$F$9=1),(Inputs!$H$9+Inputs!$L$9*(((Inputs!$I$9+(((A44)+1)/2)*(Inputs!$J$9-Inputs!$I$9)))/Inputs!$K$9)^2),NA())</x:f>
        <x:v>436.93750000000006</x:v>
      </x:c>
      <x:c r="F44" s="10" t="n"/>
      <x:c r="G44" s="9" t="n">
        <x:f>A44</x:f>
        <x:v>-0.65</x:v>
      </x:c>
      <x:c r="H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10" t="n"/>
      <x:c r="M44" s="9" t="n">
        <x:f>A44</x:f>
        <x:v>-0.65</x:v>
      </x:c>
      <x:c r="N44" s="9"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9"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9"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9"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10" t="n"/>
      <x:c r="S44" s="9" t="n">
        <x:f>A44</x:f>
        <x:v>-0.65</x:v>
      </x:c>
      <x:c r="T44" s="9" t="n">
        <x:f>(Inputs!$I$6+(((A44)+1)/2)*(Inputs!$J$6-Inputs!$I$6))</x:f>
        <x:v>-39</x:v>
      </x:c>
      <x:c r="U44" s="9" t="n">
        <x:f>(Inputs!$I$7+(((A44)+1)/2)*(Inputs!$J$7-Inputs!$I$7))</x:f>
        <x:v>-260</x:v>
      </x:c>
      <x:c r="V44" s="9" t="n">
        <x:f>(Inputs!$I$8+(((A44)+1)/2)*(Inputs!$J$8-Inputs!$I$8))</x:f>
        <x:v>-520</x:v>
      </x:c>
      <x:c r="W44" s="9" t="n">
        <x:f>(Inputs!$I$9+(((A44)+1)/2)*(Inputs!$J$9-Inputs!$I$9))</x:f>
        <x:v>-520</x:v>
      </x:c>
      <x:c r="X44" s="10" t="n"/>
      <x:c r="Y44" s="9" t="n">
        <x:f>A44</x:f>
        <x:v>-0.65</x:v>
      </x:c>
      <x:c r="Z44" s="9" t="n">
        <x:f>(Inputs!$H$6+Inputs!$L$6*(((Inputs!$I$6+(((A44)+1)/2)*(Inputs!$J$6-Inputs!$I$6)))/Inputs!$K$6)^2)</x:f>
        <x:v>401.69</x:v>
      </x:c>
      <x:c r="AA44" s="9" t="n">
        <x:f>(Inputs!$H$7+Inputs!$L$7*(((Inputs!$I$7+(((A44)+1)/2)*(Inputs!$J$7-Inputs!$I$7)))/Inputs!$K$7)^2)</x:f>
        <x:v>189.2125</x:v>
      </x:c>
      <x:c r="AB44" s="9" t="n">
        <x:f>(Inputs!$H$8+Inputs!$L$8*(((Inputs!$I$8+(((A44)+1)/2)*(Inputs!$J$8-Inputs!$I$8)))/Inputs!$K$8)^2)</x:f>
        <x:v>442.71250000000003</x:v>
      </x:c>
      <x:c r="AC44" s="9" t="n">
        <x:f>(Inputs!$H$9+Inputs!$L$9*(((Inputs!$I$9+(((A44)+1)/2)*(Inputs!$J$9-Inputs!$I$9)))/Inputs!$K$9)^2)</x:f>
        <x:v>436.93750000000006</x:v>
      </x:c>
      <x:c r="AD44" s="10" t="n"/>
      <x:c r="AE44" s="9" t="n">
        <x:f>A44</x:f>
        <x:v>-0.65</x:v>
      </x:c>
      <x:c r="AF44" s="9"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9"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9"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9"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10" t="n"/>
      <x:c r="AK44" s="9" t="n">
        <x:f>A44</x:f>
        <x:v>-0.65</x:v>
      </x:c>
      <x:c r="AL44" s="9"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9"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9"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9"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10" t="n"/>
      <x:c r="AQ44" s="9" t="n">
        <x:f>A44</x:f>
        <x:v>-0.65</x:v>
      </x:c>
      <x:c r="AR44" s="9" t="n">
        <x:f>0</x:f>
        <x:v>0</x:v>
      </x:c>
      <x:c r="AS44" s="9"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x:f>
        <x:v>184.54420924136062</x:v>
      </x:c>
      <x:c r="AT44" s="9"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x:f>
        <x:v>175.19977595405177</x:v>
      </x:c>
      <x:c r="AU44" s="9"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x:f>
        <x:v>168.3306347152109</x:v>
      </x:c>
      <x:c r="AV44" s="9"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x:f>
        <x:v>168.3306347152109</x:v>
      </x:c>
      <x:c r="AW44" s="10" t="n"/>
      <x:c r="AX44" s="9" t="n">
        <x:f>A44</x:f>
        <x:v>-0.65</x:v>
      </x:c>
      <x:c r="AY44" s="9" t="n">
        <x:f>0</x:f>
        <x:v>0</x:v>
      </x:c>
      <x:c r="AZ44" s="9" t="n">
        <x:f>IF(OR(Inputs!$F$6=TRUE,Inputs!$F$6="TRUE",Inputs!$F$6=1),(Inputs!$H$6+Inputs!$L$6*(((Inputs!$I$6+(((A44)+1)/2)*(Inputs!$J$6-Inputs!$I$6)))/Inputs!$K$6)^2),NA())</x:f>
        <x:v>401.69</x:v>
      </x:c>
      <x:c r="BA44" s="9" t="n">
        <x:f>IF(OR(Inputs!$F$7=TRUE,Inputs!$F$7="TRUE",Inputs!$F$7=1),(Inputs!$H$7+Inputs!$L$7*(((Inputs!$I$7+(((A44)+1)/2)*(Inputs!$J$7-Inputs!$I$7)))/Inputs!$K$7)^2),NA())</x:f>
        <x:v>189.2125</x:v>
      </x:c>
      <x:c r="BB44" s="9" t="n">
        <x:f>IF(OR(Inputs!$F$8=TRUE,Inputs!$F$8="TRUE",Inputs!$F$8=1),(Inputs!$H$8+Inputs!$L$8*(((Inputs!$I$8+(((A44)+1)/2)*(Inputs!$J$8-Inputs!$I$8)))/Inputs!$K$8)^2),NA())</x:f>
        <x:v>442.71250000000003</x:v>
      </x:c>
      <x:c r="BC44" s="9" t="n">
        <x:f>IF(OR(Inputs!$F$9=TRUE,Inputs!$F$9="TRUE",Inputs!$F$9=1),(Inputs!$H$9+Inputs!$L$9*(((Inputs!$I$9+(((A44)+1)/2)*(Inputs!$J$9-Inputs!$I$9)))/Inputs!$K$9)^2),NA())</x:f>
        <x:v>436.93750000000006</x:v>
      </x:c>
      <x:c r="BD44" s="10" t="n"/>
      <x:c r="BE44" s="9" t="n">
        <x:f>A44</x:f>
        <x:v>-0.65</x:v>
      </x:c>
      <x:c r="BF44" s="9" t="n">
        <x:f>0</x:f>
        <x:v>0</x:v>
      </x:c>
      <x:c r="BG44" s="9"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9"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9"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9"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9" t="n">
        <x:f>ROUND(-1+43*2/240,3)</x:f>
        <x:v>-0.642</x:v>
      </x:c>
      <x:c r="B45" s="9" t="n">
        <x:f>IF(OR(Inputs!$F$6=TRUE,Inputs!$F$6="TRUE",Inputs!$F$6=1),(Inputs!$H$6+Inputs!$L$6*(((Inputs!$I$6+(((A45)+1)/2)*(Inputs!$J$6-Inputs!$I$6)))/Inputs!$K$6)^2),NA())</x:f>
        <x:v>401.648656</x:v>
      </x:c>
      <x:c r="C45" s="9" t="n">
        <x:f>IF(OR(Inputs!$F$7=TRUE,Inputs!$F$7="TRUE",Inputs!$F$7=1),(Inputs!$H$7+Inputs!$L$7*(((Inputs!$I$7+(((A45)+1)/2)*(Inputs!$J$7-Inputs!$I$7)))/Inputs!$K$7)^2),NA())</x:f>
        <x:v>185.43986</x:v>
      </x:c>
      <x:c r="D45" s="9" t="n">
        <x:f>IF(OR(Inputs!$F$8=TRUE,Inputs!$F$8="TRUE",Inputs!$F$8=1),(Inputs!$H$8+Inputs!$L$8*(((Inputs!$I$8+(((A45)+1)/2)*(Inputs!$J$8-Inputs!$I$8)))/Inputs!$K$8)^2),NA())</x:f>
        <x:v>432.73826</x:v>
      </x:c>
      <x:c r="E45" s="9" t="n">
        <x:f>IF(OR(Inputs!$F$9=TRUE,Inputs!$F$9="TRUE",Inputs!$F$9=1),(Inputs!$H$9+Inputs!$L$9*(((Inputs!$I$9+(((A45)+1)/2)*(Inputs!$J$9-Inputs!$I$9)))/Inputs!$K$9)^2),NA())</x:f>
        <x:v>426.85990000000004</x:v>
      </x:c>
      <x:c r="F45" s="10" t="n"/>
      <x:c r="G45" s="9" t="n">
        <x:f>A45</x:f>
        <x:v>-0.642</x:v>
      </x:c>
      <x:c r="H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10" t="n"/>
      <x:c r="M45" s="9" t="n">
        <x:f>A45</x:f>
        <x:v>-0.642</x:v>
      </x:c>
      <x:c r="N45" s="9"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9"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9"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9"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10" t="n"/>
      <x:c r="S45" s="9" t="n">
        <x:f>A45</x:f>
        <x:v>-0.642</x:v>
      </x:c>
      <x:c r="T45" s="9" t="n">
        <x:f>(Inputs!$I$6+(((A45)+1)/2)*(Inputs!$J$6-Inputs!$I$6))</x:f>
        <x:v>-38.519999999999996</x:v>
      </x:c>
      <x:c r="U45" s="9" t="n">
        <x:f>(Inputs!$I$7+(((A45)+1)/2)*(Inputs!$J$7-Inputs!$I$7))</x:f>
        <x:v>-256.8</x:v>
      </x:c>
      <x:c r="V45" s="9" t="n">
        <x:f>(Inputs!$I$8+(((A45)+1)/2)*(Inputs!$J$8-Inputs!$I$8))</x:f>
        <x:v>-513.6</x:v>
      </x:c>
      <x:c r="W45" s="9" t="n">
        <x:f>(Inputs!$I$9+(((A45)+1)/2)*(Inputs!$J$9-Inputs!$I$9))</x:f>
        <x:v>-513.6</x:v>
      </x:c>
      <x:c r="X45" s="10" t="n"/>
      <x:c r="Y45" s="9" t="n">
        <x:f>A45</x:f>
        <x:v>-0.642</x:v>
      </x:c>
      <x:c r="Z45" s="9" t="n">
        <x:f>(Inputs!$H$6+Inputs!$L$6*(((Inputs!$I$6+(((A45)+1)/2)*(Inputs!$J$6-Inputs!$I$6)))/Inputs!$K$6)^2)</x:f>
        <x:v>401.648656</x:v>
      </x:c>
      <x:c r="AA45" s="9" t="n">
        <x:f>(Inputs!$H$7+Inputs!$L$7*(((Inputs!$I$7+(((A45)+1)/2)*(Inputs!$J$7-Inputs!$I$7)))/Inputs!$K$7)^2)</x:f>
        <x:v>185.43986</x:v>
      </x:c>
      <x:c r="AB45" s="9" t="n">
        <x:f>(Inputs!$H$8+Inputs!$L$8*(((Inputs!$I$8+(((A45)+1)/2)*(Inputs!$J$8-Inputs!$I$8)))/Inputs!$K$8)^2)</x:f>
        <x:v>432.73826</x:v>
      </x:c>
      <x:c r="AC45" s="9" t="n">
        <x:f>(Inputs!$H$9+Inputs!$L$9*(((Inputs!$I$9+(((A45)+1)/2)*(Inputs!$J$9-Inputs!$I$9)))/Inputs!$K$9)^2)</x:f>
        <x:v>426.85990000000004</x:v>
      </x:c>
      <x:c r="AD45" s="10" t="n"/>
      <x:c r="AE45" s="9" t="n">
        <x:f>A45</x:f>
        <x:v>-0.642</x:v>
      </x:c>
      <x:c r="AF45" s="9"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9"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9"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9"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10" t="n"/>
      <x:c r="AK45" s="9" t="n">
        <x:f>A45</x:f>
        <x:v>-0.642</x:v>
      </x:c>
      <x:c r="AL45" s="9"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9"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9"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9"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10" t="n"/>
      <x:c r="AQ45" s="9" t="n">
        <x:f>A45</x:f>
        <x:v>-0.642</x:v>
      </x:c>
      <x:c r="AR45" s="9" t="n">
        <x:f>0</x:f>
        <x:v>0</x:v>
      </x:c>
      <x:c r="AS45" s="9"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x:f>
        <x:v>207.43387159269426</x:v>
      </x:c>
      <x:c r="AT45" s="9"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x:f>
        <x:v>105.45369627834019</x:v>
      </x:c>
      <x:c r="AU45" s="9"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x:f>
        <x:v>163.94457717807984</x:v>
      </x:c>
      <x:c r="AV45" s="9"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x:f>
        <x:v>163.94457717807984</x:v>
      </x:c>
      <x:c r="AW45" s="10" t="n"/>
      <x:c r="AX45" s="9" t="n">
        <x:f>A45</x:f>
        <x:v>-0.642</x:v>
      </x:c>
      <x:c r="AY45" s="9" t="n">
        <x:f>0</x:f>
        <x:v>0</x:v>
      </x:c>
      <x:c r="AZ45" s="9" t="n">
        <x:f>IF(OR(Inputs!$F$6=TRUE,Inputs!$F$6="TRUE",Inputs!$F$6=1),(Inputs!$H$6+Inputs!$L$6*(((Inputs!$I$6+(((A45)+1)/2)*(Inputs!$J$6-Inputs!$I$6)))/Inputs!$K$6)^2),NA())</x:f>
        <x:v>401.648656</x:v>
      </x:c>
      <x:c r="BA45" s="9" t="n">
        <x:f>IF(OR(Inputs!$F$7=TRUE,Inputs!$F$7="TRUE",Inputs!$F$7=1),(Inputs!$H$7+Inputs!$L$7*(((Inputs!$I$7+(((A45)+1)/2)*(Inputs!$J$7-Inputs!$I$7)))/Inputs!$K$7)^2),NA())</x:f>
        <x:v>185.43986</x:v>
      </x:c>
      <x:c r="BB45" s="9" t="n">
        <x:f>IF(OR(Inputs!$F$8=TRUE,Inputs!$F$8="TRUE",Inputs!$F$8=1),(Inputs!$H$8+Inputs!$L$8*(((Inputs!$I$8+(((A45)+1)/2)*(Inputs!$J$8-Inputs!$I$8)))/Inputs!$K$8)^2),NA())</x:f>
        <x:v>432.73826</x:v>
      </x:c>
      <x:c r="BC45" s="9" t="n">
        <x:f>IF(OR(Inputs!$F$9=TRUE,Inputs!$F$9="TRUE",Inputs!$F$9=1),(Inputs!$H$9+Inputs!$L$9*(((Inputs!$I$9+(((A45)+1)/2)*(Inputs!$J$9-Inputs!$I$9)))/Inputs!$K$9)^2),NA())</x:f>
        <x:v>426.85990000000004</x:v>
      </x:c>
      <x:c r="BD45" s="10" t="n"/>
      <x:c r="BE45" s="9" t="n">
        <x:f>A45</x:f>
        <x:v>-0.642</x:v>
      </x:c>
      <x:c r="BF45" s="9" t="n">
        <x:f>0</x:f>
        <x:v>0</x:v>
      </x:c>
      <x:c r="BG45" s="9"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9"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9"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9"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9" t="n">
        <x:f>ROUND(-1+44*2/240,3)</x:f>
        <x:v>-0.633</x:v>
      </x:c>
      <x:c r="B46" s="9" t="n">
        <x:f>IF(OR(Inputs!$F$6=TRUE,Inputs!$F$6="TRUE",Inputs!$F$6=1),(Inputs!$H$6+Inputs!$L$6*(((Inputs!$I$6+(((A46)+1)/2)*(Inputs!$J$6-Inputs!$I$6)))/Inputs!$K$6)^2),NA())</x:f>
        <x:v>401.602756</x:v>
      </x:c>
      <x:c r="C46" s="9" t="n">
        <x:f>IF(OR(Inputs!$F$7=TRUE,Inputs!$F$7="TRUE",Inputs!$F$7=1),(Inputs!$H$7+Inputs!$L$7*(((Inputs!$I$7+(((A46)+1)/2)*(Inputs!$J$7-Inputs!$I$7)))/Inputs!$K$7)^2),NA())</x:f>
        <x:v>181.251485</x:v>
      </x:c>
      <x:c r="D46" s="9" t="n">
        <x:f>IF(OR(Inputs!$F$8=TRUE,Inputs!$F$8="TRUE",Inputs!$F$8=1),(Inputs!$H$8+Inputs!$L$8*(((Inputs!$I$8+(((A46)+1)/2)*(Inputs!$J$8-Inputs!$I$8)))/Inputs!$K$8)^2),NA())</x:f>
        <x:v>421.664885</x:v>
      </x:c>
      <x:c r="E46" s="9" t="n">
        <x:f>IF(OR(Inputs!$F$9=TRUE,Inputs!$F$9="TRUE",Inputs!$F$9=1),(Inputs!$H$9+Inputs!$L$9*(((Inputs!$I$9+(((A46)+1)/2)*(Inputs!$J$9-Inputs!$I$9)))/Inputs!$K$9)^2),NA())</x:f>
        <x:v>415.671775</x:v>
      </x:c>
      <x:c r="F46" s="10" t="n"/>
      <x:c r="G46" s="9" t="n">
        <x:f>A46</x:f>
        <x:v>-0.633</x:v>
      </x:c>
      <x:c r="H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10" t="n"/>
      <x:c r="M46" s="9" t="n">
        <x:f>A46</x:f>
        <x:v>-0.633</x:v>
      </x:c>
      <x:c r="N46" s="9"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9"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9"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9"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10" t="n"/>
      <x:c r="S46" s="9" t="n">
        <x:f>A46</x:f>
        <x:v>-0.633</x:v>
      </x:c>
      <x:c r="T46" s="9" t="n">
        <x:f>(Inputs!$I$6+(((A46)+1)/2)*(Inputs!$J$6-Inputs!$I$6))</x:f>
        <x:v>-37.980000000000004</x:v>
      </x:c>
      <x:c r="U46" s="9" t="n">
        <x:f>(Inputs!$I$7+(((A46)+1)/2)*(Inputs!$J$7-Inputs!$I$7))</x:f>
        <x:v>-253.2</x:v>
      </x:c>
      <x:c r="V46" s="9" t="n">
        <x:f>(Inputs!$I$8+(((A46)+1)/2)*(Inputs!$J$8-Inputs!$I$8))</x:f>
        <x:v>-506.4</x:v>
      </x:c>
      <x:c r="W46" s="9" t="n">
        <x:f>(Inputs!$I$9+(((A46)+1)/2)*(Inputs!$J$9-Inputs!$I$9))</x:f>
        <x:v>-506.4</x:v>
      </x:c>
      <x:c r="X46" s="10" t="n"/>
      <x:c r="Y46" s="9" t="n">
        <x:f>A46</x:f>
        <x:v>-0.633</x:v>
      </x:c>
      <x:c r="Z46" s="9" t="n">
        <x:f>(Inputs!$H$6+Inputs!$L$6*(((Inputs!$I$6+(((A46)+1)/2)*(Inputs!$J$6-Inputs!$I$6)))/Inputs!$K$6)^2)</x:f>
        <x:v>401.602756</x:v>
      </x:c>
      <x:c r="AA46" s="9" t="n">
        <x:f>(Inputs!$H$7+Inputs!$L$7*(((Inputs!$I$7+(((A46)+1)/2)*(Inputs!$J$7-Inputs!$I$7)))/Inputs!$K$7)^2)</x:f>
        <x:v>181.251485</x:v>
      </x:c>
      <x:c r="AB46" s="9" t="n">
        <x:f>(Inputs!$H$8+Inputs!$L$8*(((Inputs!$I$8+(((A46)+1)/2)*(Inputs!$J$8-Inputs!$I$8)))/Inputs!$K$8)^2)</x:f>
        <x:v>421.664885</x:v>
      </x:c>
      <x:c r="AC46" s="9" t="n">
        <x:f>(Inputs!$H$9+Inputs!$L$9*(((Inputs!$I$9+(((A46)+1)/2)*(Inputs!$J$9-Inputs!$I$9)))/Inputs!$K$9)^2)</x:f>
        <x:v>415.671775</x:v>
      </x:c>
      <x:c r="AD46" s="10" t="n"/>
      <x:c r="AE46" s="9" t="n">
        <x:f>A46</x:f>
        <x:v>-0.633</x:v>
      </x:c>
      <x:c r="AF46" s="9"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9"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9"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9"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10" t="n"/>
      <x:c r="AK46" s="9" t="n">
        <x:f>A46</x:f>
        <x:v>-0.633</x:v>
      </x:c>
      <x:c r="AL46" s="9"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9"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9"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9"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10" t="n"/>
      <x:c r="AQ46" s="9" t="n">
        <x:f>A46</x:f>
        <x:v>-0.633</x:v>
      </x:c>
      <x:c r="AR46" s="9" t="n">
        <x:f>0</x:f>
        <x:v>0</x:v>
      </x:c>
      <x:c r="AS46" s="9"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x:f>
        <x:v>221.80669101467785</x:v>
      </x:c>
      <x:c r="AT46" s="9"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x:f>
        <x:v>99.71643975295198</x:v>
      </x:c>
      <x:c r="AU46" s="9"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x:f>
        <x:v>62.16832576320465</x:v>
      </x:c>
      <x:c r="AV46" s="9"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x:f>
        <x:v>62.16832576320465</x:v>
      </x:c>
      <x:c r="AW46" s="10" t="n"/>
      <x:c r="AX46" s="9" t="n">
        <x:f>A46</x:f>
        <x:v>-0.633</x:v>
      </x:c>
      <x:c r="AY46" s="9" t="n">
        <x:f>0</x:f>
        <x:v>0</x:v>
      </x:c>
      <x:c r="AZ46" s="9" t="n">
        <x:f>IF(OR(Inputs!$F$6=TRUE,Inputs!$F$6="TRUE",Inputs!$F$6=1),(Inputs!$H$6+Inputs!$L$6*(((Inputs!$I$6+(((A46)+1)/2)*(Inputs!$J$6-Inputs!$I$6)))/Inputs!$K$6)^2),NA())</x:f>
        <x:v>401.602756</x:v>
      </x:c>
      <x:c r="BA46" s="9" t="n">
        <x:f>IF(OR(Inputs!$F$7=TRUE,Inputs!$F$7="TRUE",Inputs!$F$7=1),(Inputs!$H$7+Inputs!$L$7*(((Inputs!$I$7+(((A46)+1)/2)*(Inputs!$J$7-Inputs!$I$7)))/Inputs!$K$7)^2),NA())</x:f>
        <x:v>181.251485</x:v>
      </x:c>
      <x:c r="BB46" s="9" t="n">
        <x:f>IF(OR(Inputs!$F$8=TRUE,Inputs!$F$8="TRUE",Inputs!$F$8=1),(Inputs!$H$8+Inputs!$L$8*(((Inputs!$I$8+(((A46)+1)/2)*(Inputs!$J$8-Inputs!$I$8)))/Inputs!$K$8)^2),NA())</x:f>
        <x:v>421.664885</x:v>
      </x:c>
      <x:c r="BC46" s="9" t="n">
        <x:f>IF(OR(Inputs!$F$9=TRUE,Inputs!$F$9="TRUE",Inputs!$F$9=1),(Inputs!$H$9+Inputs!$L$9*(((Inputs!$I$9+(((A46)+1)/2)*(Inputs!$J$9-Inputs!$I$9)))/Inputs!$K$9)^2),NA())</x:f>
        <x:v>415.671775</x:v>
      </x:c>
      <x:c r="BD46" s="10" t="n"/>
      <x:c r="BE46" s="9" t="n">
        <x:f>A46</x:f>
        <x:v>-0.633</x:v>
      </x:c>
      <x:c r="BF46" s="9" t="n">
        <x:f>0</x:f>
        <x:v>0</x:v>
      </x:c>
      <x:c r="BG46" s="9"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9"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9"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9"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9" t="n">
        <x:f>ROUND(-1+45*2/240,3)</x:f>
        <x:v>-0.625</x:v>
      </x:c>
      <x:c r="B47" s="9" t="n">
        <x:f>IF(OR(Inputs!$F$6=TRUE,Inputs!$F$6="TRUE",Inputs!$F$6=1),(Inputs!$H$6+Inputs!$L$6*(((Inputs!$I$6+(((A47)+1)/2)*(Inputs!$J$6-Inputs!$I$6)))/Inputs!$K$6)^2),NA())</x:f>
        <x:v>401.5625</x:v>
      </x:c>
      <x:c r="C47" s="9" t="n">
        <x:f>IF(OR(Inputs!$F$7=TRUE,Inputs!$F$7="TRUE",Inputs!$F$7=1),(Inputs!$H$7+Inputs!$L$7*(((Inputs!$I$7+(((A47)+1)/2)*(Inputs!$J$7-Inputs!$I$7)))/Inputs!$K$7)^2),NA())</x:f>
        <x:v>177.578125</x:v>
      </x:c>
      <x:c r="D47" s="9" t="n">
        <x:f>IF(OR(Inputs!$F$8=TRUE,Inputs!$F$8="TRUE",Inputs!$F$8=1),(Inputs!$H$8+Inputs!$L$8*(((Inputs!$I$8+(((A47)+1)/2)*(Inputs!$J$8-Inputs!$I$8)))/Inputs!$K$8)^2),NA())</x:f>
        <x:v>411.953125</x:v>
      </x:c>
      <x:c r="E47" s="9" t="n">
        <x:f>IF(OR(Inputs!$F$9=TRUE,Inputs!$F$9="TRUE",Inputs!$F$9=1),(Inputs!$H$9+Inputs!$L$9*(((Inputs!$I$9+(((A47)+1)/2)*(Inputs!$J$9-Inputs!$I$9)))/Inputs!$K$9)^2),NA())</x:f>
        <x:v>405.859375</x:v>
      </x:c>
      <x:c r="F47" s="10" t="n"/>
      <x:c r="G47" s="9" t="n">
        <x:f>A47</x:f>
        <x:v>-0.625</x:v>
      </x:c>
      <x:c r="H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10" t="n"/>
      <x:c r="M47" s="9" t="n">
        <x:f>A47</x:f>
        <x:v>-0.625</x:v>
      </x:c>
      <x:c r="N47" s="9"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9"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9"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9"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10" t="n"/>
      <x:c r="S47" s="9" t="n">
        <x:f>A47</x:f>
        <x:v>-0.625</x:v>
      </x:c>
      <x:c r="T47" s="9" t="n">
        <x:f>(Inputs!$I$6+(((A47)+1)/2)*(Inputs!$J$6-Inputs!$I$6))</x:f>
        <x:v>-37.5</x:v>
      </x:c>
      <x:c r="U47" s="9" t="n">
        <x:f>(Inputs!$I$7+(((A47)+1)/2)*(Inputs!$J$7-Inputs!$I$7))</x:f>
        <x:v>-250</x:v>
      </x:c>
      <x:c r="V47" s="9" t="n">
        <x:f>(Inputs!$I$8+(((A47)+1)/2)*(Inputs!$J$8-Inputs!$I$8))</x:f>
        <x:v>-500</x:v>
      </x:c>
      <x:c r="W47" s="9" t="n">
        <x:f>(Inputs!$I$9+(((A47)+1)/2)*(Inputs!$J$9-Inputs!$I$9))</x:f>
        <x:v>-500</x:v>
      </x:c>
      <x:c r="X47" s="10" t="n"/>
      <x:c r="Y47" s="9" t="n">
        <x:f>A47</x:f>
        <x:v>-0.625</x:v>
      </x:c>
      <x:c r="Z47" s="9" t="n">
        <x:f>(Inputs!$H$6+Inputs!$L$6*(((Inputs!$I$6+(((A47)+1)/2)*(Inputs!$J$6-Inputs!$I$6)))/Inputs!$K$6)^2)</x:f>
        <x:v>401.5625</x:v>
      </x:c>
      <x:c r="AA47" s="9" t="n">
        <x:f>(Inputs!$H$7+Inputs!$L$7*(((Inputs!$I$7+(((A47)+1)/2)*(Inputs!$J$7-Inputs!$I$7)))/Inputs!$K$7)^2)</x:f>
        <x:v>177.578125</x:v>
      </x:c>
      <x:c r="AB47" s="9" t="n">
        <x:f>(Inputs!$H$8+Inputs!$L$8*(((Inputs!$I$8+(((A47)+1)/2)*(Inputs!$J$8-Inputs!$I$8)))/Inputs!$K$8)^2)</x:f>
        <x:v>411.953125</x:v>
      </x:c>
      <x:c r="AC47" s="9" t="n">
        <x:f>(Inputs!$H$9+Inputs!$L$9*(((Inputs!$I$9+(((A47)+1)/2)*(Inputs!$J$9-Inputs!$I$9)))/Inputs!$K$9)^2)</x:f>
        <x:v>405.859375</x:v>
      </x:c>
      <x:c r="AD47" s="10" t="n"/>
      <x:c r="AE47" s="9" t="n">
        <x:f>A47</x:f>
        <x:v>-0.625</x:v>
      </x:c>
      <x:c r="AF47" s="9"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9"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9"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9"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10" t="n"/>
      <x:c r="AK47" s="9" t="n">
        <x:f>A47</x:f>
        <x:v>-0.625</x:v>
      </x:c>
      <x:c r="AL47" s="9"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9"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9"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9"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10" t="n"/>
      <x:c r="AQ47" s="9" t="n">
        <x:f>A47</x:f>
        <x:v>-0.625</x:v>
      </x:c>
      <x:c r="AR47" s="9" t="n">
        <x:f>0</x:f>
        <x:v>0</x:v>
      </x:c>
      <x:c r="AS47" s="9"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x:f>
        <x:v>239.1871485288169</x:v>
      </x:c>
      <x:c r="AT47" s="9"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x:f>
        <x:v>196.01945683662166</x:v>
      </x:c>
      <x:c r="AU47" s="9"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x:f>
        <x:v>219.11341659274927</x:v>
      </x:c>
      <x:c r="AV47" s="9"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x:f>
        <x:v>219.11341659274927</x:v>
      </x:c>
      <x:c r="AW47" s="10" t="n"/>
      <x:c r="AX47" s="9" t="n">
        <x:f>A47</x:f>
        <x:v>-0.625</x:v>
      </x:c>
      <x:c r="AY47" s="9" t="n">
        <x:f>0</x:f>
        <x:v>0</x:v>
      </x:c>
      <x:c r="AZ47" s="9" t="n">
        <x:f>IF(OR(Inputs!$F$6=TRUE,Inputs!$F$6="TRUE",Inputs!$F$6=1),(Inputs!$H$6+Inputs!$L$6*(((Inputs!$I$6+(((A47)+1)/2)*(Inputs!$J$6-Inputs!$I$6)))/Inputs!$K$6)^2),NA())</x:f>
        <x:v>401.5625</x:v>
      </x:c>
      <x:c r="BA47" s="9" t="n">
        <x:f>IF(OR(Inputs!$F$7=TRUE,Inputs!$F$7="TRUE",Inputs!$F$7=1),(Inputs!$H$7+Inputs!$L$7*(((Inputs!$I$7+(((A47)+1)/2)*(Inputs!$J$7-Inputs!$I$7)))/Inputs!$K$7)^2),NA())</x:f>
        <x:v>177.578125</x:v>
      </x:c>
      <x:c r="BB47" s="9" t="n">
        <x:f>IF(OR(Inputs!$F$8=TRUE,Inputs!$F$8="TRUE",Inputs!$F$8=1),(Inputs!$H$8+Inputs!$L$8*(((Inputs!$I$8+(((A47)+1)/2)*(Inputs!$J$8-Inputs!$I$8)))/Inputs!$K$8)^2),NA())</x:f>
        <x:v>411.953125</x:v>
      </x:c>
      <x:c r="BC47" s="9" t="n">
        <x:f>IF(OR(Inputs!$F$9=TRUE,Inputs!$F$9="TRUE",Inputs!$F$9=1),(Inputs!$H$9+Inputs!$L$9*(((Inputs!$I$9+(((A47)+1)/2)*(Inputs!$J$9-Inputs!$I$9)))/Inputs!$K$9)^2),NA())</x:f>
        <x:v>405.859375</x:v>
      </x:c>
      <x:c r="BD47" s="10" t="n"/>
      <x:c r="BE47" s="9" t="n">
        <x:f>A47</x:f>
        <x:v>-0.625</x:v>
      </x:c>
      <x:c r="BF47" s="9" t="n">
        <x:f>0</x:f>
        <x:v>0</x:v>
      </x:c>
      <x:c r="BG47" s="9"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9"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9"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9"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9" t="n">
        <x:f>ROUND(-1+46*2/240,3)</x:f>
        <x:v>-0.617</x:v>
      </x:c>
      <x:c r="B48" s="9" t="n">
        <x:f>IF(OR(Inputs!$F$6=TRUE,Inputs!$F$6="TRUE",Inputs!$F$6=1),(Inputs!$H$6+Inputs!$L$6*(((Inputs!$I$6+(((A48)+1)/2)*(Inputs!$J$6-Inputs!$I$6)))/Inputs!$K$6)^2),NA())</x:f>
        <x:v>401.522756</x:v>
      </x:c>
      <x:c r="C48" s="9" t="n">
        <x:f>IF(OR(Inputs!$F$7=TRUE,Inputs!$F$7="TRUE",Inputs!$F$7=1),(Inputs!$H$7+Inputs!$L$7*(((Inputs!$I$7+(((A48)+1)/2)*(Inputs!$J$7-Inputs!$I$7)))/Inputs!$K$7)^2),NA())</x:f>
        <x:v>173.951485</x:v>
      </x:c>
      <x:c r="D48" s="9" t="n">
        <x:f>IF(OR(Inputs!$F$8=TRUE,Inputs!$F$8="TRUE",Inputs!$F$8=1),(Inputs!$H$8+Inputs!$L$8*(((Inputs!$I$8+(((A48)+1)/2)*(Inputs!$J$8-Inputs!$I$8)))/Inputs!$K$8)^2),NA())</x:f>
        <x:v>402.364885</x:v>
      </x:c>
      <x:c r="E48" s="9" t="n">
        <x:f>IF(OR(Inputs!$F$9=TRUE,Inputs!$F$9="TRUE",Inputs!$F$9=1),(Inputs!$H$9+Inputs!$L$9*(((Inputs!$I$9+(((A48)+1)/2)*(Inputs!$J$9-Inputs!$I$9)))/Inputs!$K$9)^2),NA())</x:f>
        <x:v>396.171775</x:v>
      </x:c>
      <x:c r="F48" s="10" t="n"/>
      <x:c r="G48" s="9" t="n">
        <x:f>A48</x:f>
        <x:v>-0.617</x:v>
      </x:c>
      <x:c r="H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10" t="n"/>
      <x:c r="M48" s="9" t="n">
        <x:f>A48</x:f>
        <x:v>-0.617</x:v>
      </x:c>
      <x:c r="N48" s="9"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9"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9"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9"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10" t="n"/>
      <x:c r="S48" s="9" t="n">
        <x:f>A48</x:f>
        <x:v>-0.617</x:v>
      </x:c>
      <x:c r="T48" s="9" t="n">
        <x:f>(Inputs!$I$6+(((A48)+1)/2)*(Inputs!$J$6-Inputs!$I$6))</x:f>
        <x:v>-37.019999999999996</x:v>
      </x:c>
      <x:c r="U48" s="9" t="n">
        <x:f>(Inputs!$I$7+(((A48)+1)/2)*(Inputs!$J$7-Inputs!$I$7))</x:f>
        <x:v>-246.8</x:v>
      </x:c>
      <x:c r="V48" s="9" t="n">
        <x:f>(Inputs!$I$8+(((A48)+1)/2)*(Inputs!$J$8-Inputs!$I$8))</x:f>
        <x:v>-493.6</x:v>
      </x:c>
      <x:c r="W48" s="9" t="n">
        <x:f>(Inputs!$I$9+(((A48)+1)/2)*(Inputs!$J$9-Inputs!$I$9))</x:f>
        <x:v>-493.6</x:v>
      </x:c>
      <x:c r="X48" s="10" t="n"/>
      <x:c r="Y48" s="9" t="n">
        <x:f>A48</x:f>
        <x:v>-0.617</x:v>
      </x:c>
      <x:c r="Z48" s="9" t="n">
        <x:f>(Inputs!$H$6+Inputs!$L$6*(((Inputs!$I$6+(((A48)+1)/2)*(Inputs!$J$6-Inputs!$I$6)))/Inputs!$K$6)^2)</x:f>
        <x:v>401.522756</x:v>
      </x:c>
      <x:c r="AA48" s="9" t="n">
        <x:f>(Inputs!$H$7+Inputs!$L$7*(((Inputs!$I$7+(((A48)+1)/2)*(Inputs!$J$7-Inputs!$I$7)))/Inputs!$K$7)^2)</x:f>
        <x:v>173.951485</x:v>
      </x:c>
      <x:c r="AB48" s="9" t="n">
        <x:f>(Inputs!$H$8+Inputs!$L$8*(((Inputs!$I$8+(((A48)+1)/2)*(Inputs!$J$8-Inputs!$I$8)))/Inputs!$K$8)^2)</x:f>
        <x:v>402.364885</x:v>
      </x:c>
      <x:c r="AC48" s="9" t="n">
        <x:f>(Inputs!$H$9+Inputs!$L$9*(((Inputs!$I$9+(((A48)+1)/2)*(Inputs!$J$9-Inputs!$I$9)))/Inputs!$K$9)^2)</x:f>
        <x:v>396.171775</x:v>
      </x:c>
      <x:c r="AD48" s="10" t="n"/>
      <x:c r="AE48" s="9" t="n">
        <x:f>A48</x:f>
        <x:v>-0.617</x:v>
      </x:c>
      <x:c r="AF48" s="9"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9"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9"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9"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10" t="n"/>
      <x:c r="AK48" s="9" t="n">
        <x:f>A48</x:f>
        <x:v>-0.617</x:v>
      </x:c>
      <x:c r="AL48" s="9"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9"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9"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9"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10" t="n"/>
      <x:c r="AQ48" s="9" t="n">
        <x:f>A48</x:f>
        <x:v>-0.617</x:v>
      </x:c>
      <x:c r="AR48" s="9" t="n">
        <x:f>0</x:f>
        <x:v>0</x:v>
      </x:c>
      <x:c r="AS48" s="9"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x:f>
        <x:v>229.91270151811244</x:v>
      </x:c>
      <x:c r="AT48" s="9"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x:f>
        <x:v>211.86545609886312</x:v>
      </x:c>
      <x:c r="AU48" s="9"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x:f>
        <x:v>99.982990803907</x:v>
      </x:c>
      <x:c r="AV48" s="9"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x:f>
        <x:v>99.982990803907</x:v>
      </x:c>
      <x:c r="AW48" s="10" t="n"/>
      <x:c r="AX48" s="9" t="n">
        <x:f>A48</x:f>
        <x:v>-0.617</x:v>
      </x:c>
      <x:c r="AY48" s="9" t="n">
        <x:f>0</x:f>
        <x:v>0</x:v>
      </x:c>
      <x:c r="AZ48" s="9" t="n">
        <x:f>IF(OR(Inputs!$F$6=TRUE,Inputs!$F$6="TRUE",Inputs!$F$6=1),(Inputs!$H$6+Inputs!$L$6*(((Inputs!$I$6+(((A48)+1)/2)*(Inputs!$J$6-Inputs!$I$6)))/Inputs!$K$6)^2),NA())</x:f>
        <x:v>401.522756</x:v>
      </x:c>
      <x:c r="BA48" s="9" t="n">
        <x:f>IF(OR(Inputs!$F$7=TRUE,Inputs!$F$7="TRUE",Inputs!$F$7=1),(Inputs!$H$7+Inputs!$L$7*(((Inputs!$I$7+(((A48)+1)/2)*(Inputs!$J$7-Inputs!$I$7)))/Inputs!$K$7)^2),NA())</x:f>
        <x:v>173.951485</x:v>
      </x:c>
      <x:c r="BB48" s="9" t="n">
        <x:f>IF(OR(Inputs!$F$8=TRUE,Inputs!$F$8="TRUE",Inputs!$F$8=1),(Inputs!$H$8+Inputs!$L$8*(((Inputs!$I$8+(((A48)+1)/2)*(Inputs!$J$8-Inputs!$I$8)))/Inputs!$K$8)^2),NA())</x:f>
        <x:v>402.364885</x:v>
      </x:c>
      <x:c r="BC48" s="9" t="n">
        <x:f>IF(OR(Inputs!$F$9=TRUE,Inputs!$F$9="TRUE",Inputs!$F$9=1),(Inputs!$H$9+Inputs!$L$9*(((Inputs!$I$9+(((A48)+1)/2)*(Inputs!$J$9-Inputs!$I$9)))/Inputs!$K$9)^2),NA())</x:f>
        <x:v>396.171775</x:v>
      </x:c>
      <x:c r="BD48" s="10" t="n"/>
      <x:c r="BE48" s="9" t="n">
        <x:f>A48</x:f>
        <x:v>-0.617</x:v>
      </x:c>
      <x:c r="BF48" s="9" t="n">
        <x:f>0</x:f>
        <x:v>0</x:v>
      </x:c>
      <x:c r="BG48" s="9"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9"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9"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9"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9" t="n">
        <x:f>ROUND(-1+47*2/240,3)</x:f>
        <x:v>-0.608</x:v>
      </x:c>
      <x:c r="B49" s="9" t="n">
        <x:f>IF(OR(Inputs!$F$6=TRUE,Inputs!$F$6="TRUE",Inputs!$F$6=1),(Inputs!$H$6+Inputs!$L$6*(((Inputs!$I$6+(((A49)+1)/2)*(Inputs!$J$6-Inputs!$I$6)))/Inputs!$K$6)^2),NA())</x:f>
        <x:v>401.478656</x:v>
      </x:c>
      <x:c r="C49" s="9" t="n">
        <x:f>IF(OR(Inputs!$F$7=TRUE,Inputs!$F$7="TRUE",Inputs!$F$7=1),(Inputs!$H$7+Inputs!$L$7*(((Inputs!$I$7+(((A49)+1)/2)*(Inputs!$J$7-Inputs!$I$7)))/Inputs!$K$7)^2),NA())</x:f>
        <x:v>169.92736</x:v>
      </x:c>
      <x:c r="D49" s="9" t="n">
        <x:f>IF(OR(Inputs!$F$8=TRUE,Inputs!$F$8="TRUE",Inputs!$F$8=1),(Inputs!$H$8+Inputs!$L$8*(((Inputs!$I$8+(((A49)+1)/2)*(Inputs!$J$8-Inputs!$I$8)))/Inputs!$K$8)^2),NA())</x:f>
        <x:v>391.72576</x:v>
      </x:c>
      <x:c r="E49" s="9" t="n">
        <x:f>IF(OR(Inputs!$F$9=TRUE,Inputs!$F$9="TRUE",Inputs!$F$9=1),(Inputs!$H$9+Inputs!$L$9*(((Inputs!$I$9+(((A49)+1)/2)*(Inputs!$J$9-Inputs!$I$9)))/Inputs!$K$9)^2),NA())</x:f>
        <x:v>385.4224</x:v>
      </x:c>
      <x:c r="F49" s="10" t="n"/>
      <x:c r="G49" s="9" t="n">
        <x:f>A49</x:f>
        <x:v>-0.608</x:v>
      </x:c>
      <x:c r="H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10" t="n"/>
      <x:c r="M49" s="9" t="n">
        <x:f>A49</x:f>
        <x:v>-0.608</x:v>
      </x:c>
      <x:c r="N49" s="9"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9"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9"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9"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10" t="n"/>
      <x:c r="S49" s="9" t="n">
        <x:f>A49</x:f>
        <x:v>-0.608</x:v>
      </x:c>
      <x:c r="T49" s="9" t="n">
        <x:f>(Inputs!$I$6+(((A49)+1)/2)*(Inputs!$J$6-Inputs!$I$6))</x:f>
        <x:v>-36.480000000000004</x:v>
      </x:c>
      <x:c r="U49" s="9" t="n">
        <x:f>(Inputs!$I$7+(((A49)+1)/2)*(Inputs!$J$7-Inputs!$I$7))</x:f>
        <x:v>-243.2</x:v>
      </x:c>
      <x:c r="V49" s="9" t="n">
        <x:f>(Inputs!$I$8+(((A49)+1)/2)*(Inputs!$J$8-Inputs!$I$8))</x:f>
        <x:v>-486.4</x:v>
      </x:c>
      <x:c r="W49" s="9" t="n">
        <x:f>(Inputs!$I$9+(((A49)+1)/2)*(Inputs!$J$9-Inputs!$I$9))</x:f>
        <x:v>-486.4</x:v>
      </x:c>
      <x:c r="X49" s="10" t="n"/>
      <x:c r="Y49" s="9" t="n">
        <x:f>A49</x:f>
        <x:v>-0.608</x:v>
      </x:c>
      <x:c r="Z49" s="9" t="n">
        <x:f>(Inputs!$H$6+Inputs!$L$6*(((Inputs!$I$6+(((A49)+1)/2)*(Inputs!$J$6-Inputs!$I$6)))/Inputs!$K$6)^2)</x:f>
        <x:v>401.478656</x:v>
      </x:c>
      <x:c r="AA49" s="9" t="n">
        <x:f>(Inputs!$H$7+Inputs!$L$7*(((Inputs!$I$7+(((A49)+1)/2)*(Inputs!$J$7-Inputs!$I$7)))/Inputs!$K$7)^2)</x:f>
        <x:v>169.92736</x:v>
      </x:c>
      <x:c r="AB49" s="9" t="n">
        <x:f>(Inputs!$H$8+Inputs!$L$8*(((Inputs!$I$8+(((A49)+1)/2)*(Inputs!$J$8-Inputs!$I$8)))/Inputs!$K$8)^2)</x:f>
        <x:v>391.72576</x:v>
      </x:c>
      <x:c r="AC49" s="9" t="n">
        <x:f>(Inputs!$H$9+Inputs!$L$9*(((Inputs!$I$9+(((A49)+1)/2)*(Inputs!$J$9-Inputs!$I$9)))/Inputs!$K$9)^2)</x:f>
        <x:v>385.4224</x:v>
      </x:c>
      <x:c r="AD49" s="10" t="n"/>
      <x:c r="AE49" s="9" t="n">
        <x:f>A49</x:f>
        <x:v>-0.608</x:v>
      </x:c>
      <x:c r="AF49" s="9"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9"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9"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9"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10" t="n"/>
      <x:c r="AK49" s="9" t="n">
        <x:f>A49</x:f>
        <x:v>-0.608</x:v>
      </x:c>
      <x:c r="AL49" s="9"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9"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9"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9"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10" t="n"/>
      <x:c r="AQ49" s="9" t="n">
        <x:f>A49</x:f>
        <x:v>-0.608</x:v>
      </x:c>
      <x:c r="AR49" s="9" t="n">
        <x:f>0</x:f>
        <x:v>0</x:v>
      </x:c>
      <x:c r="AS49" s="9"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x:f>
        <x:v>251.17538260809548</x:v>
      </x:c>
      <x:c r="AT49" s="9"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x:f>
        <x:v>117.54168733327995</x:v>
      </x:c>
      <x:c r="AU49" s="9"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x:f>
        <x:v>155.64899651393102</x:v>
      </x:c>
      <x:c r="AV49" s="9"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x:f>
        <x:v>155.64899651393102</x:v>
      </x:c>
      <x:c r="AW49" s="10" t="n"/>
      <x:c r="AX49" s="9" t="n">
        <x:f>A49</x:f>
        <x:v>-0.608</x:v>
      </x:c>
      <x:c r="AY49" s="9" t="n">
        <x:f>0</x:f>
        <x:v>0</x:v>
      </x:c>
      <x:c r="AZ49" s="9" t="n">
        <x:f>IF(OR(Inputs!$F$6=TRUE,Inputs!$F$6="TRUE",Inputs!$F$6=1),(Inputs!$H$6+Inputs!$L$6*(((Inputs!$I$6+(((A49)+1)/2)*(Inputs!$J$6-Inputs!$I$6)))/Inputs!$K$6)^2),NA())</x:f>
        <x:v>401.478656</x:v>
      </x:c>
      <x:c r="BA49" s="9" t="n">
        <x:f>IF(OR(Inputs!$F$7=TRUE,Inputs!$F$7="TRUE",Inputs!$F$7=1),(Inputs!$H$7+Inputs!$L$7*(((Inputs!$I$7+(((A49)+1)/2)*(Inputs!$J$7-Inputs!$I$7)))/Inputs!$K$7)^2),NA())</x:f>
        <x:v>169.92736</x:v>
      </x:c>
      <x:c r="BB49" s="9" t="n">
        <x:f>IF(OR(Inputs!$F$8=TRUE,Inputs!$F$8="TRUE",Inputs!$F$8=1),(Inputs!$H$8+Inputs!$L$8*(((Inputs!$I$8+(((A49)+1)/2)*(Inputs!$J$8-Inputs!$I$8)))/Inputs!$K$8)^2),NA())</x:f>
        <x:v>391.72576</x:v>
      </x:c>
      <x:c r="BC49" s="9" t="n">
        <x:f>IF(OR(Inputs!$F$9=TRUE,Inputs!$F$9="TRUE",Inputs!$F$9=1),(Inputs!$H$9+Inputs!$L$9*(((Inputs!$I$9+(((A49)+1)/2)*(Inputs!$J$9-Inputs!$I$9)))/Inputs!$K$9)^2),NA())</x:f>
        <x:v>385.4224</x:v>
      </x:c>
      <x:c r="BD49" s="10" t="n"/>
      <x:c r="BE49" s="9" t="n">
        <x:f>A49</x:f>
        <x:v>-0.608</x:v>
      </x:c>
      <x:c r="BF49" s="9" t="n">
        <x:f>0</x:f>
        <x:v>0</x:v>
      </x:c>
      <x:c r="BG49" s="9"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9"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9"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9"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9" t="n">
        <x:f>ROUND(-1+48*2/240,3)</x:f>
        <x:v>-0.6</x:v>
      </x:c>
      <x:c r="B50" s="9" t="n">
        <x:f>IF(OR(Inputs!$F$6=TRUE,Inputs!$F$6="TRUE",Inputs!$F$6=1),(Inputs!$H$6+Inputs!$L$6*(((Inputs!$I$6+(((A50)+1)/2)*(Inputs!$J$6-Inputs!$I$6)))/Inputs!$K$6)^2),NA())</x:f>
        <x:v>401.44</x:v>
      </x:c>
      <x:c r="C50" s="9" t="n">
        <x:f>IF(OR(Inputs!$F$7=TRUE,Inputs!$F$7="TRUE",Inputs!$F$7=1),(Inputs!$H$7+Inputs!$L$7*(((Inputs!$I$7+(((A50)+1)/2)*(Inputs!$J$7-Inputs!$I$7)))/Inputs!$K$7)^2),NA())</x:f>
        <x:v>166.4</x:v>
      </x:c>
      <x:c r="D50" s="9" t="n">
        <x:f>IF(OR(Inputs!$F$8=TRUE,Inputs!$F$8="TRUE",Inputs!$F$8=1),(Inputs!$H$8+Inputs!$L$8*(((Inputs!$I$8+(((A50)+1)/2)*(Inputs!$J$8-Inputs!$I$8)))/Inputs!$K$8)^2),NA())</x:f>
        <x:v>382.4</x:v>
      </x:c>
      <x:c r="E50" s="9" t="n">
        <x:f>IF(OR(Inputs!$F$9=TRUE,Inputs!$F$9="TRUE",Inputs!$F$9=1),(Inputs!$H$9+Inputs!$L$9*(((Inputs!$I$9+(((A50)+1)/2)*(Inputs!$J$9-Inputs!$I$9)))/Inputs!$K$9)^2),NA())</x:f>
        <x:v>376</x:v>
      </x:c>
      <x:c r="F50" s="10" t="n"/>
      <x:c r="G50" s="9" t="n">
        <x:f>A50</x:f>
        <x:v>-0.6</x:v>
      </x:c>
      <x:c r="H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10" t="n"/>
      <x:c r="M50" s="9" t="n">
        <x:f>A50</x:f>
        <x:v>-0.6</x:v>
      </x:c>
      <x:c r="N50" s="9"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9"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9"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9"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10" t="n"/>
      <x:c r="S50" s="9" t="n">
        <x:f>A50</x:f>
        <x:v>-0.6</x:v>
      </x:c>
      <x:c r="T50" s="9" t="n">
        <x:f>(Inputs!$I$6+(((A50)+1)/2)*(Inputs!$J$6-Inputs!$I$6))</x:f>
        <x:v>-36</x:v>
      </x:c>
      <x:c r="U50" s="9" t="n">
        <x:f>(Inputs!$I$7+(((A50)+1)/2)*(Inputs!$J$7-Inputs!$I$7))</x:f>
        <x:v>-240</x:v>
      </x:c>
      <x:c r="V50" s="9" t="n">
        <x:f>(Inputs!$I$8+(((A50)+1)/2)*(Inputs!$J$8-Inputs!$I$8))</x:f>
        <x:v>-480</x:v>
      </x:c>
      <x:c r="W50" s="9" t="n">
        <x:f>(Inputs!$I$9+(((A50)+1)/2)*(Inputs!$J$9-Inputs!$I$9))</x:f>
        <x:v>-480</x:v>
      </x:c>
      <x:c r="X50" s="10" t="n"/>
      <x:c r="Y50" s="9" t="n">
        <x:f>A50</x:f>
        <x:v>-0.6</x:v>
      </x:c>
      <x:c r="Z50" s="9" t="n">
        <x:f>(Inputs!$H$6+Inputs!$L$6*(((Inputs!$I$6+(((A50)+1)/2)*(Inputs!$J$6-Inputs!$I$6)))/Inputs!$K$6)^2)</x:f>
        <x:v>401.44</x:v>
      </x:c>
      <x:c r="AA50" s="9" t="n">
        <x:f>(Inputs!$H$7+Inputs!$L$7*(((Inputs!$I$7+(((A50)+1)/2)*(Inputs!$J$7-Inputs!$I$7)))/Inputs!$K$7)^2)</x:f>
        <x:v>166.4</x:v>
      </x:c>
      <x:c r="AB50" s="9" t="n">
        <x:f>(Inputs!$H$8+Inputs!$L$8*(((Inputs!$I$8+(((A50)+1)/2)*(Inputs!$J$8-Inputs!$I$8)))/Inputs!$K$8)^2)</x:f>
        <x:v>382.4</x:v>
      </x:c>
      <x:c r="AC50" s="9" t="n">
        <x:f>(Inputs!$H$9+Inputs!$L$9*(((Inputs!$I$9+(((A50)+1)/2)*(Inputs!$J$9-Inputs!$I$9)))/Inputs!$K$9)^2)</x:f>
        <x:v>376</x:v>
      </x:c>
      <x:c r="AD50" s="10" t="n"/>
      <x:c r="AE50" s="9" t="n">
        <x:f>A50</x:f>
        <x:v>-0.6</x:v>
      </x:c>
      <x:c r="AF50" s="9"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9"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9"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9"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10" t="n"/>
      <x:c r="AK50" s="9" t="n">
        <x:f>A50</x:f>
        <x:v>-0.6</x:v>
      </x:c>
      <x:c r="AL50" s="9"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9"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9"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9"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10" t="n"/>
      <x:c r="AQ50" s="9" t="n">
        <x:f>A50</x:f>
        <x:v>-0.6</x:v>
      </x:c>
      <x:c r="AR50" s="9" t="n">
        <x:f>0</x:f>
        <x:v>0</x:v>
      </x:c>
      <x:c r="AS50" s="9"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x:f>
        <x:v>273.24610443212225</x:v>
      </x:c>
      <x:c r="AT50" s="9"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x:f>
        <x:v>69.60354848630779</x:v>
      </x:c>
      <x:c r="AU50" s="9"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x:f>
        <x:v>194.43846107375953</x:v>
      </x:c>
      <x:c r="AV50" s="9"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x:f>
        <x:v>194.43846107375953</x:v>
      </x:c>
      <x:c r="AW50" s="10" t="n"/>
      <x:c r="AX50" s="9" t="n">
        <x:f>A50</x:f>
        <x:v>-0.6</x:v>
      </x:c>
      <x:c r="AY50" s="9" t="n">
        <x:f>0</x:f>
        <x:v>0</x:v>
      </x:c>
      <x:c r="AZ50" s="9" t="n">
        <x:f>IF(OR(Inputs!$F$6=TRUE,Inputs!$F$6="TRUE",Inputs!$F$6=1),(Inputs!$H$6+Inputs!$L$6*(((Inputs!$I$6+(((A50)+1)/2)*(Inputs!$J$6-Inputs!$I$6)))/Inputs!$K$6)^2),NA())</x:f>
        <x:v>401.44</x:v>
      </x:c>
      <x:c r="BA50" s="9" t="n">
        <x:f>IF(OR(Inputs!$F$7=TRUE,Inputs!$F$7="TRUE",Inputs!$F$7=1),(Inputs!$H$7+Inputs!$L$7*(((Inputs!$I$7+(((A50)+1)/2)*(Inputs!$J$7-Inputs!$I$7)))/Inputs!$K$7)^2),NA())</x:f>
        <x:v>166.4</x:v>
      </x:c>
      <x:c r="BB50" s="9" t="n">
        <x:f>IF(OR(Inputs!$F$8=TRUE,Inputs!$F$8="TRUE",Inputs!$F$8=1),(Inputs!$H$8+Inputs!$L$8*(((Inputs!$I$8+(((A50)+1)/2)*(Inputs!$J$8-Inputs!$I$8)))/Inputs!$K$8)^2),NA())</x:f>
        <x:v>382.4</x:v>
      </x:c>
      <x:c r="BC50" s="9" t="n">
        <x:f>IF(OR(Inputs!$F$9=TRUE,Inputs!$F$9="TRUE",Inputs!$F$9=1),(Inputs!$H$9+Inputs!$L$9*(((Inputs!$I$9+(((A50)+1)/2)*(Inputs!$J$9-Inputs!$I$9)))/Inputs!$K$9)^2),NA())</x:f>
        <x:v>376</x:v>
      </x:c>
      <x:c r="BD50" s="10" t="n"/>
      <x:c r="BE50" s="9" t="n">
        <x:f>A50</x:f>
        <x:v>-0.6</x:v>
      </x:c>
      <x:c r="BF50" s="9" t="n">
        <x:f>0</x:f>
        <x:v>0</x:v>
      </x:c>
      <x:c r="BG50" s="9"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9"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9"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9"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9" t="n">
        <x:f>ROUND(-1+49*2/240,3)</x:f>
        <x:v>-0.592</x:v>
      </x:c>
      <x:c r="B51" s="9" t="n">
        <x:f>IF(OR(Inputs!$F$6=TRUE,Inputs!$F$6="TRUE",Inputs!$F$6=1),(Inputs!$H$6+Inputs!$L$6*(((Inputs!$I$6+(((A51)+1)/2)*(Inputs!$J$6-Inputs!$I$6)))/Inputs!$K$6)^2),NA())</x:f>
        <x:v>401.401856</x:v>
      </x:c>
      <x:c r="C51" s="9" t="n">
        <x:f>IF(OR(Inputs!$F$7=TRUE,Inputs!$F$7="TRUE",Inputs!$F$7=1),(Inputs!$H$7+Inputs!$L$7*(((Inputs!$I$7+(((A51)+1)/2)*(Inputs!$J$7-Inputs!$I$7)))/Inputs!$K$7)^2),NA())</x:f>
        <x:v>162.91935999999998</x:v>
      </x:c>
      <x:c r="D51" s="9" t="n">
        <x:f>IF(OR(Inputs!$F$8=TRUE,Inputs!$F$8="TRUE",Inputs!$F$8=1),(Inputs!$H$8+Inputs!$L$8*(((Inputs!$I$8+(((A51)+1)/2)*(Inputs!$J$8-Inputs!$I$8)))/Inputs!$K$8)^2),NA())</x:f>
        <x:v>373.19775999999996</x:v>
      </x:c>
      <x:c r="E51" s="9" t="n">
        <x:f>IF(OR(Inputs!$F$9=TRUE,Inputs!$F$9="TRUE",Inputs!$F$9=1),(Inputs!$H$9+Inputs!$L$9*(((Inputs!$I$9+(((A51)+1)/2)*(Inputs!$J$9-Inputs!$I$9)))/Inputs!$K$9)^2),NA())</x:f>
        <x:v>366.70239999999995</x:v>
      </x:c>
      <x:c r="F51" s="10" t="n"/>
      <x:c r="G51" s="9" t="n">
        <x:f>A51</x:f>
        <x:v>-0.592</x:v>
      </x:c>
      <x:c r="H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10" t="n"/>
      <x:c r="M51" s="9" t="n">
        <x:f>A51</x:f>
        <x:v>-0.592</x:v>
      </x:c>
      <x:c r="N51" s="9"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9"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9"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9"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10" t="n"/>
      <x:c r="S51" s="9" t="n">
        <x:f>A51</x:f>
        <x:v>-0.592</x:v>
      </x:c>
      <x:c r="T51" s="9" t="n">
        <x:f>(Inputs!$I$6+(((A51)+1)/2)*(Inputs!$J$6-Inputs!$I$6))</x:f>
        <x:v>-35.519999999999996</x:v>
      </x:c>
      <x:c r="U51" s="9" t="n">
        <x:f>(Inputs!$I$7+(((A51)+1)/2)*(Inputs!$J$7-Inputs!$I$7))</x:f>
        <x:v>-236.79999999999998</x:v>
      </x:c>
      <x:c r="V51" s="9" t="n">
        <x:f>(Inputs!$I$8+(((A51)+1)/2)*(Inputs!$J$8-Inputs!$I$8))</x:f>
        <x:v>-473.59999999999997</x:v>
      </x:c>
      <x:c r="W51" s="9" t="n">
        <x:f>(Inputs!$I$9+(((A51)+1)/2)*(Inputs!$J$9-Inputs!$I$9))</x:f>
        <x:v>-473.59999999999997</x:v>
      </x:c>
      <x:c r="X51" s="10" t="n"/>
      <x:c r="Y51" s="9" t="n">
        <x:f>A51</x:f>
        <x:v>-0.592</x:v>
      </x:c>
      <x:c r="Z51" s="9" t="n">
        <x:f>(Inputs!$H$6+Inputs!$L$6*(((Inputs!$I$6+(((A51)+1)/2)*(Inputs!$J$6-Inputs!$I$6)))/Inputs!$K$6)^2)</x:f>
        <x:v>401.401856</x:v>
      </x:c>
      <x:c r="AA51" s="9" t="n">
        <x:f>(Inputs!$H$7+Inputs!$L$7*(((Inputs!$I$7+(((A51)+1)/2)*(Inputs!$J$7-Inputs!$I$7)))/Inputs!$K$7)^2)</x:f>
        <x:v>162.91935999999998</x:v>
      </x:c>
      <x:c r="AB51" s="9" t="n">
        <x:f>(Inputs!$H$8+Inputs!$L$8*(((Inputs!$I$8+(((A51)+1)/2)*(Inputs!$J$8-Inputs!$I$8)))/Inputs!$K$8)^2)</x:f>
        <x:v>373.19775999999996</x:v>
      </x:c>
      <x:c r="AC51" s="9" t="n">
        <x:f>(Inputs!$H$9+Inputs!$L$9*(((Inputs!$I$9+(((A51)+1)/2)*(Inputs!$J$9-Inputs!$I$9)))/Inputs!$K$9)^2)</x:f>
        <x:v>366.70239999999995</x:v>
      </x:c>
      <x:c r="AD51" s="10" t="n"/>
      <x:c r="AE51" s="9" t="n">
        <x:f>A51</x:f>
        <x:v>-0.592</x:v>
      </x:c>
      <x:c r="AF51" s="9"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9"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9"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9"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10" t="n"/>
      <x:c r="AK51" s="9" t="n">
        <x:f>A51</x:f>
        <x:v>-0.592</x:v>
      </x:c>
      <x:c r="AL51" s="9"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9"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9"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9"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10" t="n"/>
      <x:c r="AQ51" s="9" t="n">
        <x:f>A51</x:f>
        <x:v>-0.592</x:v>
      </x:c>
      <x:c r="AR51" s="9" t="n">
        <x:f>0</x:f>
        <x:v>0</x:v>
      </x:c>
      <x:c r="AS51" s="9"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x:f>
        <x:v>278.7581133802063</x:v>
      </x:c>
      <x:c r="AT51" s="9"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x:f>
        <x:v>83.6346969575074</x:v>
      </x:c>
      <x:c r="AU51" s="9"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x:f>
        <x:v>115.45384072880037</x:v>
      </x:c>
      <x:c r="AV51" s="9"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x:f>
        <x:v>115.45384072880037</x:v>
      </x:c>
      <x:c r="AW51" s="10" t="n"/>
      <x:c r="AX51" s="9" t="n">
        <x:f>A51</x:f>
        <x:v>-0.592</x:v>
      </x:c>
      <x:c r="AY51" s="9" t="n">
        <x:f>0</x:f>
        <x:v>0</x:v>
      </x:c>
      <x:c r="AZ51" s="9" t="n">
        <x:f>IF(OR(Inputs!$F$6=TRUE,Inputs!$F$6="TRUE",Inputs!$F$6=1),(Inputs!$H$6+Inputs!$L$6*(((Inputs!$I$6+(((A51)+1)/2)*(Inputs!$J$6-Inputs!$I$6)))/Inputs!$K$6)^2),NA())</x:f>
        <x:v>401.401856</x:v>
      </x:c>
      <x:c r="BA51" s="9" t="n">
        <x:f>IF(OR(Inputs!$F$7=TRUE,Inputs!$F$7="TRUE",Inputs!$F$7=1),(Inputs!$H$7+Inputs!$L$7*(((Inputs!$I$7+(((A51)+1)/2)*(Inputs!$J$7-Inputs!$I$7)))/Inputs!$K$7)^2),NA())</x:f>
        <x:v>162.91935999999998</x:v>
      </x:c>
      <x:c r="BB51" s="9" t="n">
        <x:f>IF(OR(Inputs!$F$8=TRUE,Inputs!$F$8="TRUE",Inputs!$F$8=1),(Inputs!$H$8+Inputs!$L$8*(((Inputs!$I$8+(((A51)+1)/2)*(Inputs!$J$8-Inputs!$I$8)))/Inputs!$K$8)^2),NA())</x:f>
        <x:v>373.19775999999996</x:v>
      </x:c>
      <x:c r="BC51" s="9" t="n">
        <x:f>IF(OR(Inputs!$F$9=TRUE,Inputs!$F$9="TRUE",Inputs!$F$9=1),(Inputs!$H$9+Inputs!$L$9*(((Inputs!$I$9+(((A51)+1)/2)*(Inputs!$J$9-Inputs!$I$9)))/Inputs!$K$9)^2),NA())</x:f>
        <x:v>366.70239999999995</x:v>
      </x:c>
      <x:c r="BD51" s="10" t="n"/>
      <x:c r="BE51" s="9" t="n">
        <x:f>A51</x:f>
        <x:v>-0.592</x:v>
      </x:c>
      <x:c r="BF51" s="9" t="n">
        <x:f>0</x:f>
        <x:v>0</x:v>
      </x:c>
      <x:c r="BG51" s="9"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9"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9"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9"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9" t="n">
        <x:f>ROUND(-1+50*2/240,3)</x:f>
        <x:v>-0.583</x:v>
      </x:c>
      <x:c r="B52" s="9" t="n">
        <x:f>IF(OR(Inputs!$F$6=TRUE,Inputs!$F$6="TRUE",Inputs!$F$6=1),(Inputs!$H$6+Inputs!$L$6*(((Inputs!$I$6+(((A52)+1)/2)*(Inputs!$J$6-Inputs!$I$6)))/Inputs!$K$6)^2),NA())</x:f>
        <x:v>401.359556</x:v>
      </x:c>
      <x:c r="C52" s="9" t="n">
        <x:f>IF(OR(Inputs!$F$7=TRUE,Inputs!$F$7="TRUE",Inputs!$F$7=1),(Inputs!$H$7+Inputs!$L$7*(((Inputs!$I$7+(((A52)+1)/2)*(Inputs!$J$7-Inputs!$I$7)))/Inputs!$K$7)^2),NA())</x:f>
        <x:v>159.059485</x:v>
      </x:c>
      <x:c r="D52" s="9" t="n">
        <x:f>IF(OR(Inputs!$F$8=TRUE,Inputs!$F$8="TRUE",Inputs!$F$8=1),(Inputs!$H$8+Inputs!$L$8*(((Inputs!$I$8+(((A52)+1)/2)*(Inputs!$J$8-Inputs!$I$8)))/Inputs!$K$8)^2),NA())</x:f>
        <x:v>362.99288499999994</x:v>
      </x:c>
      <x:c r="E52" s="9" t="n">
        <x:f>IF(OR(Inputs!$F$9=TRUE,Inputs!$F$9="TRUE",Inputs!$F$9=1),(Inputs!$H$9+Inputs!$L$9*(((Inputs!$I$9+(((A52)+1)/2)*(Inputs!$J$9-Inputs!$I$9)))/Inputs!$K$9)^2),NA())</x:f>
        <x:v>356.39177499999994</x:v>
      </x:c>
      <x:c r="F52" s="10" t="n"/>
      <x:c r="G52" s="9" t="n">
        <x:f>A52</x:f>
        <x:v>-0.583</x:v>
      </x:c>
      <x:c r="H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10" t="n"/>
      <x:c r="M52" s="9" t="n">
        <x:f>A52</x:f>
        <x:v>-0.583</x:v>
      </x:c>
      <x:c r="N52" s="9"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9"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9"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9"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10" t="n"/>
      <x:c r="S52" s="9" t="n">
        <x:f>A52</x:f>
        <x:v>-0.583</x:v>
      </x:c>
      <x:c r="T52" s="9" t="n">
        <x:f>(Inputs!$I$6+(((A52)+1)/2)*(Inputs!$J$6-Inputs!$I$6))</x:f>
        <x:v>-34.98</x:v>
      </x:c>
      <x:c r="U52" s="9" t="n">
        <x:f>(Inputs!$I$7+(((A52)+1)/2)*(Inputs!$J$7-Inputs!$I$7))</x:f>
        <x:v>-233.2</x:v>
      </x:c>
      <x:c r="V52" s="9" t="n">
        <x:f>(Inputs!$I$8+(((A52)+1)/2)*(Inputs!$J$8-Inputs!$I$8))</x:f>
        <x:v>-466.4</x:v>
      </x:c>
      <x:c r="W52" s="9" t="n">
        <x:f>(Inputs!$I$9+(((A52)+1)/2)*(Inputs!$J$9-Inputs!$I$9))</x:f>
        <x:v>-466.4</x:v>
      </x:c>
      <x:c r="X52" s="10" t="n"/>
      <x:c r="Y52" s="9" t="n">
        <x:f>A52</x:f>
        <x:v>-0.583</x:v>
      </x:c>
      <x:c r="Z52" s="9" t="n">
        <x:f>(Inputs!$H$6+Inputs!$L$6*(((Inputs!$I$6+(((A52)+1)/2)*(Inputs!$J$6-Inputs!$I$6)))/Inputs!$K$6)^2)</x:f>
        <x:v>401.359556</x:v>
      </x:c>
      <x:c r="AA52" s="9" t="n">
        <x:f>(Inputs!$H$7+Inputs!$L$7*(((Inputs!$I$7+(((A52)+1)/2)*(Inputs!$J$7-Inputs!$I$7)))/Inputs!$K$7)^2)</x:f>
        <x:v>159.059485</x:v>
      </x:c>
      <x:c r="AB52" s="9" t="n">
        <x:f>(Inputs!$H$8+Inputs!$L$8*(((Inputs!$I$8+(((A52)+1)/2)*(Inputs!$J$8-Inputs!$I$8)))/Inputs!$K$8)^2)</x:f>
        <x:v>362.99288499999994</x:v>
      </x:c>
      <x:c r="AC52" s="9" t="n">
        <x:f>(Inputs!$H$9+Inputs!$L$9*(((Inputs!$I$9+(((A52)+1)/2)*(Inputs!$J$9-Inputs!$I$9)))/Inputs!$K$9)^2)</x:f>
        <x:v>356.39177499999994</x:v>
      </x:c>
      <x:c r="AD52" s="10" t="n"/>
      <x:c r="AE52" s="9" t="n">
        <x:f>A52</x:f>
        <x:v>-0.583</x:v>
      </x:c>
      <x:c r="AF52" s="9"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9"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9"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9"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10" t="n"/>
      <x:c r="AK52" s="9" t="n">
        <x:f>A52</x:f>
        <x:v>-0.583</x:v>
      </x:c>
      <x:c r="AL52" s="9"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9"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9"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9"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10" t="n"/>
      <x:c r="AQ52" s="9" t="n">
        <x:f>A52</x:f>
        <x:v>-0.583</x:v>
      </x:c>
      <x:c r="AR52" s="9" t="n">
        <x:f>0</x:f>
        <x:v>0</x:v>
      </x:c>
      <x:c r="AS52" s="9"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x:f>
        <x:v>291.40358146269375</x:v>
      </x:c>
      <x:c r="AT52" s="9"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x:f>
        <x:v>147.04921781546284</x:v>
      </x:c>
      <x:c r="AU52" s="9"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x:f>
        <x:v>195.8125842564638</x:v>
      </x:c>
      <x:c r="AV52" s="9"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x:f>
        <x:v>195.8125842564638</x:v>
      </x:c>
      <x:c r="AW52" s="10" t="n"/>
      <x:c r="AX52" s="9" t="n">
        <x:f>A52</x:f>
        <x:v>-0.583</x:v>
      </x:c>
      <x:c r="AY52" s="9" t="n">
        <x:f>0</x:f>
        <x:v>0</x:v>
      </x:c>
      <x:c r="AZ52" s="9" t="n">
        <x:f>IF(OR(Inputs!$F$6=TRUE,Inputs!$F$6="TRUE",Inputs!$F$6=1),(Inputs!$H$6+Inputs!$L$6*(((Inputs!$I$6+(((A52)+1)/2)*(Inputs!$J$6-Inputs!$I$6)))/Inputs!$K$6)^2),NA())</x:f>
        <x:v>401.359556</x:v>
      </x:c>
      <x:c r="BA52" s="9" t="n">
        <x:f>IF(OR(Inputs!$F$7=TRUE,Inputs!$F$7="TRUE",Inputs!$F$7=1),(Inputs!$H$7+Inputs!$L$7*(((Inputs!$I$7+(((A52)+1)/2)*(Inputs!$J$7-Inputs!$I$7)))/Inputs!$K$7)^2),NA())</x:f>
        <x:v>159.059485</x:v>
      </x:c>
      <x:c r="BB52" s="9" t="n">
        <x:f>IF(OR(Inputs!$F$8=TRUE,Inputs!$F$8="TRUE",Inputs!$F$8=1),(Inputs!$H$8+Inputs!$L$8*(((Inputs!$I$8+(((A52)+1)/2)*(Inputs!$J$8-Inputs!$I$8)))/Inputs!$K$8)^2),NA())</x:f>
        <x:v>362.99288499999994</x:v>
      </x:c>
      <x:c r="BC52" s="9" t="n">
        <x:f>IF(OR(Inputs!$F$9=TRUE,Inputs!$F$9="TRUE",Inputs!$F$9=1),(Inputs!$H$9+Inputs!$L$9*(((Inputs!$I$9+(((A52)+1)/2)*(Inputs!$J$9-Inputs!$I$9)))/Inputs!$K$9)^2),NA())</x:f>
        <x:v>356.39177499999994</x:v>
      </x:c>
      <x:c r="BD52" s="10" t="n"/>
      <x:c r="BE52" s="9" t="n">
        <x:f>A52</x:f>
        <x:v>-0.583</x:v>
      </x:c>
      <x:c r="BF52" s="9" t="n">
        <x:f>0</x:f>
        <x:v>0</x:v>
      </x:c>
      <x:c r="BG52" s="9"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9"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9"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9"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9" t="n">
        <x:f>ROUND(-1+51*2/240,3)</x:f>
        <x:v>-0.575</x:v>
      </x:c>
      <x:c r="B53" s="9" t="n">
        <x:f>IF(OR(Inputs!$F$6=TRUE,Inputs!$F$6="TRUE",Inputs!$F$6=1),(Inputs!$H$6+Inputs!$L$6*(((Inputs!$I$6+(((A53)+1)/2)*(Inputs!$J$6-Inputs!$I$6)))/Inputs!$K$6)^2),NA())</x:f>
        <x:v>401.3225</x:v>
      </x:c>
      <x:c r="C53" s="9" t="n">
        <x:f>IF(OR(Inputs!$F$7=TRUE,Inputs!$F$7="TRUE",Inputs!$F$7=1),(Inputs!$H$7+Inputs!$L$7*(((Inputs!$I$7+(((A53)+1)/2)*(Inputs!$J$7-Inputs!$I$7)))/Inputs!$K$7)^2),NA())</x:f>
        <x:v>155.67812499999997</x:v>
      </x:c>
      <x:c r="D53" s="9" t="n">
        <x:f>IF(OR(Inputs!$F$8=TRUE,Inputs!$F$8="TRUE",Inputs!$F$8=1),(Inputs!$H$8+Inputs!$L$8*(((Inputs!$I$8+(((A53)+1)/2)*(Inputs!$J$8-Inputs!$I$8)))/Inputs!$K$8)^2),NA())</x:f>
        <x:v>354.05312499999997</x:v>
      </x:c>
      <x:c r="E53" s="9" t="n">
        <x:f>IF(OR(Inputs!$F$9=TRUE,Inputs!$F$9="TRUE",Inputs!$F$9=1),(Inputs!$H$9+Inputs!$L$9*(((Inputs!$I$9+(((A53)+1)/2)*(Inputs!$J$9-Inputs!$I$9)))/Inputs!$K$9)^2),NA())</x:f>
        <x:v>347.35937499999994</x:v>
      </x:c>
      <x:c r="F53" s="10" t="n"/>
      <x:c r="G53" s="9" t="n">
        <x:f>A53</x:f>
        <x:v>-0.575</x:v>
      </x:c>
      <x:c r="H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10" t="n"/>
      <x:c r="M53" s="9" t="n">
        <x:f>A53</x:f>
        <x:v>-0.575</x:v>
      </x:c>
      <x:c r="N53" s="9"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9"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9"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9"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10" t="n"/>
      <x:c r="S53" s="9" t="n">
        <x:f>A53</x:f>
        <x:v>-0.575</x:v>
      </x:c>
      <x:c r="T53" s="9" t="n">
        <x:f>(Inputs!$I$6+(((A53)+1)/2)*(Inputs!$J$6-Inputs!$I$6))</x:f>
        <x:v>-34.5</x:v>
      </x:c>
      <x:c r="U53" s="9" t="n">
        <x:f>(Inputs!$I$7+(((A53)+1)/2)*(Inputs!$J$7-Inputs!$I$7))</x:f>
        <x:v>-229.99999999999997</x:v>
      </x:c>
      <x:c r="V53" s="9" t="n">
        <x:f>(Inputs!$I$8+(((A53)+1)/2)*(Inputs!$J$8-Inputs!$I$8))</x:f>
        <x:v>-459.99999999999994</x:v>
      </x:c>
      <x:c r="W53" s="9" t="n">
        <x:f>(Inputs!$I$9+(((A53)+1)/2)*(Inputs!$J$9-Inputs!$I$9))</x:f>
        <x:v>-459.99999999999994</x:v>
      </x:c>
      <x:c r="X53" s="10" t="n"/>
      <x:c r="Y53" s="9" t="n">
        <x:f>A53</x:f>
        <x:v>-0.575</x:v>
      </x:c>
      <x:c r="Z53" s="9" t="n">
        <x:f>(Inputs!$H$6+Inputs!$L$6*(((Inputs!$I$6+(((A53)+1)/2)*(Inputs!$J$6-Inputs!$I$6)))/Inputs!$K$6)^2)</x:f>
        <x:v>401.3225</x:v>
      </x:c>
      <x:c r="AA53" s="9" t="n">
        <x:f>(Inputs!$H$7+Inputs!$L$7*(((Inputs!$I$7+(((A53)+1)/2)*(Inputs!$J$7-Inputs!$I$7)))/Inputs!$K$7)^2)</x:f>
        <x:v>155.67812499999997</x:v>
      </x:c>
      <x:c r="AB53" s="9" t="n">
        <x:f>(Inputs!$H$8+Inputs!$L$8*(((Inputs!$I$8+(((A53)+1)/2)*(Inputs!$J$8-Inputs!$I$8)))/Inputs!$K$8)^2)</x:f>
        <x:v>354.05312499999997</x:v>
      </x:c>
      <x:c r="AC53" s="9" t="n">
        <x:f>(Inputs!$H$9+Inputs!$L$9*(((Inputs!$I$9+(((A53)+1)/2)*(Inputs!$J$9-Inputs!$I$9)))/Inputs!$K$9)^2)</x:f>
        <x:v>347.35937499999994</x:v>
      </x:c>
      <x:c r="AD53" s="10" t="n"/>
      <x:c r="AE53" s="9" t="n">
        <x:f>A53</x:f>
        <x:v>-0.575</x:v>
      </x:c>
      <x:c r="AF53" s="9"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9"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9"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9"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10" t="n"/>
      <x:c r="AK53" s="9" t="n">
        <x:f>A53</x:f>
        <x:v>-0.575</x:v>
      </x:c>
      <x:c r="AL53" s="9"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9"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9"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9"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10" t="n"/>
      <x:c r="AQ53" s="9" t="n">
        <x:f>A53</x:f>
        <x:v>-0.575</x:v>
      </x:c>
      <x:c r="AR53" s="9" t="n">
        <x:f>0</x:f>
        <x:v>0</x:v>
      </x:c>
      <x:c r="AS53" s="9"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x:f>
        <x:v>316.314878049505</x:v>
      </x:c>
      <x:c r="AT53" s="9"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x:f>
        <x:v>191.33740398954353</x:v>
      </x:c>
      <x:c r="AU53" s="9"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x:f>
        <x:v>165.06402099993767</x:v>
      </x:c>
      <x:c r="AV53" s="9"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x:f>
        <x:v>165.06402099993767</x:v>
      </x:c>
      <x:c r="AW53" s="10" t="n"/>
      <x:c r="AX53" s="9" t="n">
        <x:f>A53</x:f>
        <x:v>-0.575</x:v>
      </x:c>
      <x:c r="AY53" s="9" t="n">
        <x:f>0</x:f>
        <x:v>0</x:v>
      </x:c>
      <x:c r="AZ53" s="9" t="n">
        <x:f>IF(OR(Inputs!$F$6=TRUE,Inputs!$F$6="TRUE",Inputs!$F$6=1),(Inputs!$H$6+Inputs!$L$6*(((Inputs!$I$6+(((A53)+1)/2)*(Inputs!$J$6-Inputs!$I$6)))/Inputs!$K$6)^2),NA())</x:f>
        <x:v>401.3225</x:v>
      </x:c>
      <x:c r="BA53" s="9" t="n">
        <x:f>IF(OR(Inputs!$F$7=TRUE,Inputs!$F$7="TRUE",Inputs!$F$7=1),(Inputs!$H$7+Inputs!$L$7*(((Inputs!$I$7+(((A53)+1)/2)*(Inputs!$J$7-Inputs!$I$7)))/Inputs!$K$7)^2),NA())</x:f>
        <x:v>155.67812499999997</x:v>
      </x:c>
      <x:c r="BB53" s="9" t="n">
        <x:f>IF(OR(Inputs!$F$8=TRUE,Inputs!$F$8="TRUE",Inputs!$F$8=1),(Inputs!$H$8+Inputs!$L$8*(((Inputs!$I$8+(((A53)+1)/2)*(Inputs!$J$8-Inputs!$I$8)))/Inputs!$K$8)^2),NA())</x:f>
        <x:v>354.05312499999997</x:v>
      </x:c>
      <x:c r="BC53" s="9" t="n">
        <x:f>IF(OR(Inputs!$F$9=TRUE,Inputs!$F$9="TRUE",Inputs!$F$9=1),(Inputs!$H$9+Inputs!$L$9*(((Inputs!$I$9+(((A53)+1)/2)*(Inputs!$J$9-Inputs!$I$9)))/Inputs!$K$9)^2),NA())</x:f>
        <x:v>347.35937499999994</x:v>
      </x:c>
      <x:c r="BD53" s="10" t="n"/>
      <x:c r="BE53" s="9" t="n">
        <x:f>A53</x:f>
        <x:v>-0.575</x:v>
      </x:c>
      <x:c r="BF53" s="9" t="n">
        <x:f>0</x:f>
        <x:v>0</x:v>
      </x:c>
      <x:c r="BG53" s="9"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9"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9"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9"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9" t="n">
        <x:f>ROUND(-1+52*2/240,3)</x:f>
        <x:v>-0.567</x:v>
      </x:c>
      <x:c r="B54" s="9" t="n">
        <x:f>IF(OR(Inputs!$F$6=TRUE,Inputs!$F$6="TRUE",Inputs!$F$6=1),(Inputs!$H$6+Inputs!$L$6*(((Inputs!$I$6+(((A54)+1)/2)*(Inputs!$J$6-Inputs!$I$6)))/Inputs!$K$6)^2),NA())</x:f>
        <x:v>401.285956</x:v>
      </x:c>
      <x:c r="C54" s="9" t="n">
        <x:f>IF(OR(Inputs!$F$7=TRUE,Inputs!$F$7="TRUE",Inputs!$F$7=1),(Inputs!$H$7+Inputs!$L$7*(((Inputs!$I$7+(((A54)+1)/2)*(Inputs!$J$7-Inputs!$I$7)))/Inputs!$K$7)^2),NA())</x:f>
        <x:v>152.343485</x:v>
      </x:c>
      <x:c r="D54" s="9" t="n">
        <x:f>IF(OR(Inputs!$F$8=TRUE,Inputs!$F$8="TRUE",Inputs!$F$8=1),(Inputs!$H$8+Inputs!$L$8*(((Inputs!$I$8+(((A54)+1)/2)*(Inputs!$J$8-Inputs!$I$8)))/Inputs!$K$8)^2),NA())</x:f>
        <x:v>345.236885</x:v>
      </x:c>
      <x:c r="E54" s="9" t="n">
        <x:f>IF(OR(Inputs!$F$9=TRUE,Inputs!$F$9="TRUE",Inputs!$F$9=1),(Inputs!$H$9+Inputs!$L$9*(((Inputs!$I$9+(((A54)+1)/2)*(Inputs!$J$9-Inputs!$I$9)))/Inputs!$K$9)^2),NA())</x:f>
        <x:v>338.451775</x:v>
      </x:c>
      <x:c r="F54" s="10" t="n"/>
      <x:c r="G54" s="9" t="n">
        <x:f>A54</x:f>
        <x:v>-0.567</x:v>
      </x:c>
      <x:c r="H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10" t="n"/>
      <x:c r="M54" s="9" t="n">
        <x:f>A54</x:f>
        <x:v>-0.567</x:v>
      </x:c>
      <x:c r="N54" s="9"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9"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9"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9"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10" t="n"/>
      <x:c r="S54" s="9" t="n">
        <x:f>A54</x:f>
        <x:v>-0.567</x:v>
      </x:c>
      <x:c r="T54" s="9" t="n">
        <x:f>(Inputs!$I$6+(((A54)+1)/2)*(Inputs!$J$6-Inputs!$I$6))</x:f>
        <x:v>-34.019999999999996</x:v>
      </x:c>
      <x:c r="U54" s="9" t="n">
        <x:f>(Inputs!$I$7+(((A54)+1)/2)*(Inputs!$J$7-Inputs!$I$7))</x:f>
        <x:v>-226.79999999999998</x:v>
      </x:c>
      <x:c r="V54" s="9" t="n">
        <x:f>(Inputs!$I$8+(((A54)+1)/2)*(Inputs!$J$8-Inputs!$I$8))</x:f>
        <x:v>-453.59999999999997</x:v>
      </x:c>
      <x:c r="W54" s="9" t="n">
        <x:f>(Inputs!$I$9+(((A54)+1)/2)*(Inputs!$J$9-Inputs!$I$9))</x:f>
        <x:v>-453.59999999999997</x:v>
      </x:c>
      <x:c r="X54" s="10" t="n"/>
      <x:c r="Y54" s="9" t="n">
        <x:f>A54</x:f>
        <x:v>-0.567</x:v>
      </x:c>
      <x:c r="Z54" s="9" t="n">
        <x:f>(Inputs!$H$6+Inputs!$L$6*(((Inputs!$I$6+(((A54)+1)/2)*(Inputs!$J$6-Inputs!$I$6)))/Inputs!$K$6)^2)</x:f>
        <x:v>401.285956</x:v>
      </x:c>
      <x:c r="AA54" s="9" t="n">
        <x:f>(Inputs!$H$7+Inputs!$L$7*(((Inputs!$I$7+(((A54)+1)/2)*(Inputs!$J$7-Inputs!$I$7)))/Inputs!$K$7)^2)</x:f>
        <x:v>152.343485</x:v>
      </x:c>
      <x:c r="AB54" s="9" t="n">
        <x:f>(Inputs!$H$8+Inputs!$L$8*(((Inputs!$I$8+(((A54)+1)/2)*(Inputs!$J$8-Inputs!$I$8)))/Inputs!$K$8)^2)</x:f>
        <x:v>345.236885</x:v>
      </x:c>
      <x:c r="AC54" s="9" t="n">
        <x:f>(Inputs!$H$9+Inputs!$L$9*(((Inputs!$I$9+(((A54)+1)/2)*(Inputs!$J$9-Inputs!$I$9)))/Inputs!$K$9)^2)</x:f>
        <x:v>338.451775</x:v>
      </x:c>
      <x:c r="AD54" s="10" t="n"/>
      <x:c r="AE54" s="9" t="n">
        <x:f>A54</x:f>
        <x:v>-0.567</x:v>
      </x:c>
      <x:c r="AF54" s="9"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9"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9"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9"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10" t="n"/>
      <x:c r="AK54" s="9" t="n">
        <x:f>A54</x:f>
        <x:v>-0.567</x:v>
      </x:c>
      <x:c r="AL54" s="9"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9"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9"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9"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10" t="n"/>
      <x:c r="AQ54" s="9" t="n">
        <x:f>A54</x:f>
        <x:v>-0.567</x:v>
      </x:c>
      <x:c r="AR54" s="9" t="n">
        <x:f>0</x:f>
        <x:v>0</x:v>
      </x:c>
      <x:c r="AS54" s="9"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x:f>
        <x:v>311.83376355089536</x:v>
      </x:c>
      <x:c r="AT54" s="9"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x:f>
        <x:v>164.6012238855945</x:v>
      </x:c>
      <x:c r="AU54" s="9"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x:f>
        <x:v>103.85429106132455</x:v>
      </x:c>
      <x:c r="AV54" s="9"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x:f>
        <x:v>103.85429106132455</x:v>
      </x:c>
      <x:c r="AW54" s="10" t="n"/>
      <x:c r="AX54" s="9" t="n">
        <x:f>A54</x:f>
        <x:v>-0.567</x:v>
      </x:c>
      <x:c r="AY54" s="9" t="n">
        <x:f>0</x:f>
        <x:v>0</x:v>
      </x:c>
      <x:c r="AZ54" s="9" t="n">
        <x:f>IF(OR(Inputs!$F$6=TRUE,Inputs!$F$6="TRUE",Inputs!$F$6=1),(Inputs!$H$6+Inputs!$L$6*(((Inputs!$I$6+(((A54)+1)/2)*(Inputs!$J$6-Inputs!$I$6)))/Inputs!$K$6)^2),NA())</x:f>
        <x:v>401.285956</x:v>
      </x:c>
      <x:c r="BA54" s="9" t="n">
        <x:f>IF(OR(Inputs!$F$7=TRUE,Inputs!$F$7="TRUE",Inputs!$F$7=1),(Inputs!$H$7+Inputs!$L$7*(((Inputs!$I$7+(((A54)+1)/2)*(Inputs!$J$7-Inputs!$I$7)))/Inputs!$K$7)^2),NA())</x:f>
        <x:v>152.343485</x:v>
      </x:c>
      <x:c r="BB54" s="9" t="n">
        <x:f>IF(OR(Inputs!$F$8=TRUE,Inputs!$F$8="TRUE",Inputs!$F$8=1),(Inputs!$H$8+Inputs!$L$8*(((Inputs!$I$8+(((A54)+1)/2)*(Inputs!$J$8-Inputs!$I$8)))/Inputs!$K$8)^2),NA())</x:f>
        <x:v>345.236885</x:v>
      </x:c>
      <x:c r="BC54" s="9" t="n">
        <x:f>IF(OR(Inputs!$F$9=TRUE,Inputs!$F$9="TRUE",Inputs!$F$9=1),(Inputs!$H$9+Inputs!$L$9*(((Inputs!$I$9+(((A54)+1)/2)*(Inputs!$J$9-Inputs!$I$9)))/Inputs!$K$9)^2),NA())</x:f>
        <x:v>338.451775</x:v>
      </x:c>
      <x:c r="BD54" s="10" t="n"/>
      <x:c r="BE54" s="9" t="n">
        <x:f>A54</x:f>
        <x:v>-0.567</x:v>
      </x:c>
      <x:c r="BF54" s="9" t="n">
        <x:f>0</x:f>
        <x:v>0</x:v>
      </x:c>
      <x:c r="BG54" s="9"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9"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9"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9"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9" t="n">
        <x:f>ROUND(-1+53*2/240,3)</x:f>
        <x:v>-0.558</x:v>
      </x:c>
      <x:c r="B55" s="9" t="n">
        <x:f>IF(OR(Inputs!$F$6=TRUE,Inputs!$F$6="TRUE",Inputs!$F$6=1),(Inputs!$H$6+Inputs!$L$6*(((Inputs!$I$6+(((A55)+1)/2)*(Inputs!$J$6-Inputs!$I$6)))/Inputs!$K$6)^2),NA())</x:f>
        <x:v>401.245456</x:v>
      </x:c>
      <x:c r="C55" s="9" t="n">
        <x:f>IF(OR(Inputs!$F$7=TRUE,Inputs!$F$7="TRUE",Inputs!$F$7=1),(Inputs!$H$7+Inputs!$L$7*(((Inputs!$I$7+(((A55)+1)/2)*(Inputs!$J$7-Inputs!$I$7)))/Inputs!$K$7)^2),NA())</x:f>
        <x:v>148.64786000000004</x:v>
      </x:c>
      <x:c r="D55" s="9" t="n">
        <x:f>IF(OR(Inputs!$F$8=TRUE,Inputs!$F$8="TRUE",Inputs!$F$8=1),(Inputs!$H$8+Inputs!$L$8*(((Inputs!$I$8+(((A55)+1)/2)*(Inputs!$J$8-Inputs!$I$8)))/Inputs!$K$8)^2),NA())</x:f>
        <x:v>335.4662600000001</x:v>
      </x:c>
      <x:c r="E55" s="9" t="n">
        <x:f>IF(OR(Inputs!$F$9=TRUE,Inputs!$F$9="TRUE",Inputs!$F$9=1),(Inputs!$H$9+Inputs!$L$9*(((Inputs!$I$9+(((A55)+1)/2)*(Inputs!$J$9-Inputs!$I$9)))/Inputs!$K$9)^2),NA())</x:f>
        <x:v>328.57990000000007</x:v>
      </x:c>
      <x:c r="F55" s="10" t="n"/>
      <x:c r="G55" s="9" t="n">
        <x:f>A55</x:f>
        <x:v>-0.558</x:v>
      </x:c>
      <x:c r="H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10" t="n"/>
      <x:c r="M55" s="9" t="n">
        <x:f>A55</x:f>
        <x:v>-0.558</x:v>
      </x:c>
      <x:c r="N55" s="9"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9"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9"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9"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10" t="n"/>
      <x:c r="S55" s="9" t="n">
        <x:f>A55</x:f>
        <x:v>-0.558</x:v>
      </x:c>
      <x:c r="T55" s="9" t="n">
        <x:f>(Inputs!$I$6+(((A55)+1)/2)*(Inputs!$J$6-Inputs!$I$6))</x:f>
        <x:v>-33.480000000000004</x:v>
      </x:c>
      <x:c r="U55" s="9" t="n">
        <x:f>(Inputs!$I$7+(((A55)+1)/2)*(Inputs!$J$7-Inputs!$I$7))</x:f>
        <x:v>-223.20000000000002</x:v>
      </x:c>
      <x:c r="V55" s="9" t="n">
        <x:f>(Inputs!$I$8+(((A55)+1)/2)*(Inputs!$J$8-Inputs!$I$8))</x:f>
        <x:v>-446.40000000000003</x:v>
      </x:c>
      <x:c r="W55" s="9" t="n">
        <x:f>(Inputs!$I$9+(((A55)+1)/2)*(Inputs!$J$9-Inputs!$I$9))</x:f>
        <x:v>-446.40000000000003</x:v>
      </x:c>
      <x:c r="X55" s="10" t="n"/>
      <x:c r="Y55" s="9" t="n">
        <x:f>A55</x:f>
        <x:v>-0.558</x:v>
      </x:c>
      <x:c r="Z55" s="9" t="n">
        <x:f>(Inputs!$H$6+Inputs!$L$6*(((Inputs!$I$6+(((A55)+1)/2)*(Inputs!$J$6-Inputs!$I$6)))/Inputs!$K$6)^2)</x:f>
        <x:v>401.245456</x:v>
      </x:c>
      <x:c r="AA55" s="9" t="n">
        <x:f>(Inputs!$H$7+Inputs!$L$7*(((Inputs!$I$7+(((A55)+1)/2)*(Inputs!$J$7-Inputs!$I$7)))/Inputs!$K$7)^2)</x:f>
        <x:v>148.64786000000004</x:v>
      </x:c>
      <x:c r="AB55" s="9" t="n">
        <x:f>(Inputs!$H$8+Inputs!$L$8*(((Inputs!$I$8+(((A55)+1)/2)*(Inputs!$J$8-Inputs!$I$8)))/Inputs!$K$8)^2)</x:f>
        <x:v>335.4662600000001</x:v>
      </x:c>
      <x:c r="AC55" s="9" t="n">
        <x:f>(Inputs!$H$9+Inputs!$L$9*(((Inputs!$I$9+(((A55)+1)/2)*(Inputs!$J$9-Inputs!$I$9)))/Inputs!$K$9)^2)</x:f>
        <x:v>328.57990000000007</x:v>
      </x:c>
      <x:c r="AD55" s="10" t="n"/>
      <x:c r="AE55" s="9" t="n">
        <x:f>A55</x:f>
        <x:v>-0.558</x:v>
      </x:c>
      <x:c r="AF55" s="9"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9"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9"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9"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10" t="n"/>
      <x:c r="AK55" s="9" t="n">
        <x:f>A55</x:f>
        <x:v>-0.558</x:v>
      </x:c>
      <x:c r="AL55" s="9"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9"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9"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9"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10" t="n"/>
      <x:c r="AQ55" s="9" t="n">
        <x:f>A55</x:f>
        <x:v>-0.558</x:v>
      </x:c>
      <x:c r="AR55" s="9" t="n">
        <x:f>0</x:f>
        <x:v>0</x:v>
      </x:c>
      <x:c r="AS55" s="9"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x:f>
        <x:v>339.5699423794875</x:v>
      </x:c>
      <x:c r="AT55" s="9"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x:f>
        <x:v>74.90030040313073</x:v>
      </x:c>
      <x:c r="AU55" s="9"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x:f>
        <x:v>163.0323565171826</x:v>
      </x:c>
      <x:c r="AV55" s="9"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x:f>
        <x:v>163.0323565171826</x:v>
      </x:c>
      <x:c r="AW55" s="10" t="n"/>
      <x:c r="AX55" s="9" t="n">
        <x:f>A55</x:f>
        <x:v>-0.558</x:v>
      </x:c>
      <x:c r="AY55" s="9" t="n">
        <x:f>0</x:f>
        <x:v>0</x:v>
      </x:c>
      <x:c r="AZ55" s="9" t="n">
        <x:f>IF(OR(Inputs!$F$6=TRUE,Inputs!$F$6="TRUE",Inputs!$F$6=1),(Inputs!$H$6+Inputs!$L$6*(((Inputs!$I$6+(((A55)+1)/2)*(Inputs!$J$6-Inputs!$I$6)))/Inputs!$K$6)^2),NA())</x:f>
        <x:v>401.245456</x:v>
      </x:c>
      <x:c r="BA55" s="9" t="n">
        <x:f>IF(OR(Inputs!$F$7=TRUE,Inputs!$F$7="TRUE",Inputs!$F$7=1),(Inputs!$H$7+Inputs!$L$7*(((Inputs!$I$7+(((A55)+1)/2)*(Inputs!$J$7-Inputs!$I$7)))/Inputs!$K$7)^2),NA())</x:f>
        <x:v>148.64786000000004</x:v>
      </x:c>
      <x:c r="BB55" s="9" t="n">
        <x:f>IF(OR(Inputs!$F$8=TRUE,Inputs!$F$8="TRUE",Inputs!$F$8=1),(Inputs!$H$8+Inputs!$L$8*(((Inputs!$I$8+(((A55)+1)/2)*(Inputs!$J$8-Inputs!$I$8)))/Inputs!$K$8)^2),NA())</x:f>
        <x:v>335.4662600000001</x:v>
      </x:c>
      <x:c r="BC55" s="9" t="n">
        <x:f>IF(OR(Inputs!$F$9=TRUE,Inputs!$F$9="TRUE",Inputs!$F$9=1),(Inputs!$H$9+Inputs!$L$9*(((Inputs!$I$9+(((A55)+1)/2)*(Inputs!$J$9-Inputs!$I$9)))/Inputs!$K$9)^2),NA())</x:f>
        <x:v>328.57990000000007</x:v>
      </x:c>
      <x:c r="BD55" s="10" t="n"/>
      <x:c r="BE55" s="9" t="n">
        <x:f>A55</x:f>
        <x:v>-0.558</x:v>
      </x:c>
      <x:c r="BF55" s="9" t="n">
        <x:f>0</x:f>
        <x:v>0</x:v>
      </x:c>
      <x:c r="BG55" s="9"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9"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9"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9"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9" t="n">
        <x:f>ROUND(-1+54*2/240,3)</x:f>
        <x:v>-0.55</x:v>
      </x:c>
      <x:c r="B56" s="9" t="n">
        <x:f>IF(OR(Inputs!$F$6=TRUE,Inputs!$F$6="TRUE",Inputs!$F$6=1),(Inputs!$H$6+Inputs!$L$6*(((Inputs!$I$6+(((A56)+1)/2)*(Inputs!$J$6-Inputs!$I$6)))/Inputs!$K$6)^2),NA())</x:f>
        <x:v>401.21</x:v>
      </x:c>
      <x:c r="C56" s="9" t="n">
        <x:f>IF(OR(Inputs!$F$7=TRUE,Inputs!$F$7="TRUE",Inputs!$F$7=1),(Inputs!$H$7+Inputs!$L$7*(((Inputs!$I$7+(((A56)+1)/2)*(Inputs!$J$7-Inputs!$I$7)))/Inputs!$K$7)^2),NA())</x:f>
        <x:v>145.41250000000002</x:v>
      </x:c>
      <x:c r="D56" s="9" t="n">
        <x:f>IF(OR(Inputs!$F$8=TRUE,Inputs!$F$8="TRUE",Inputs!$F$8=1),(Inputs!$H$8+Inputs!$L$8*(((Inputs!$I$8+(((A56)+1)/2)*(Inputs!$J$8-Inputs!$I$8)))/Inputs!$K$8)^2),NA())</x:f>
        <x:v>326.9125</x:v>
      </x:c>
      <x:c r="E56" s="9" t="n">
        <x:f>IF(OR(Inputs!$F$9=TRUE,Inputs!$F$9="TRUE",Inputs!$F$9=1),(Inputs!$H$9+Inputs!$L$9*(((Inputs!$I$9+(((A56)+1)/2)*(Inputs!$J$9-Inputs!$I$9)))/Inputs!$K$9)^2),NA())</x:f>
        <x:v>319.93750000000006</x:v>
      </x:c>
      <x:c r="F56" s="10" t="n"/>
      <x:c r="G56" s="9" t="n">
        <x:f>A56</x:f>
        <x:v>-0.55</x:v>
      </x:c>
      <x:c r="H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10" t="n"/>
      <x:c r="M56" s="9" t="n">
        <x:f>A56</x:f>
        <x:v>-0.55</x:v>
      </x:c>
      <x:c r="N56" s="9"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9"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9"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9"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10" t="n"/>
      <x:c r="S56" s="9" t="n">
        <x:f>A56</x:f>
        <x:v>-0.55</x:v>
      </x:c>
      <x:c r="T56" s="9" t="n">
        <x:f>(Inputs!$I$6+(((A56)+1)/2)*(Inputs!$J$6-Inputs!$I$6))</x:f>
        <x:v>-33</x:v>
      </x:c>
      <x:c r="U56" s="9" t="n">
        <x:f>(Inputs!$I$7+(((A56)+1)/2)*(Inputs!$J$7-Inputs!$I$7))</x:f>
        <x:v>-220.00000000000003</x:v>
      </x:c>
      <x:c r="V56" s="9" t="n">
        <x:f>(Inputs!$I$8+(((A56)+1)/2)*(Inputs!$J$8-Inputs!$I$8))</x:f>
        <x:v>-440.00000000000006</x:v>
      </x:c>
      <x:c r="W56" s="9" t="n">
        <x:f>(Inputs!$I$9+(((A56)+1)/2)*(Inputs!$J$9-Inputs!$I$9))</x:f>
        <x:v>-440.00000000000006</x:v>
      </x:c>
      <x:c r="X56" s="10" t="n"/>
      <x:c r="Y56" s="9" t="n">
        <x:f>A56</x:f>
        <x:v>-0.55</x:v>
      </x:c>
      <x:c r="Z56" s="9" t="n">
        <x:f>(Inputs!$H$6+Inputs!$L$6*(((Inputs!$I$6+(((A56)+1)/2)*(Inputs!$J$6-Inputs!$I$6)))/Inputs!$K$6)^2)</x:f>
        <x:v>401.21</x:v>
      </x:c>
      <x:c r="AA56" s="9" t="n">
        <x:f>(Inputs!$H$7+Inputs!$L$7*(((Inputs!$I$7+(((A56)+1)/2)*(Inputs!$J$7-Inputs!$I$7)))/Inputs!$K$7)^2)</x:f>
        <x:v>145.41250000000002</x:v>
      </x:c>
      <x:c r="AB56" s="9" t="n">
        <x:f>(Inputs!$H$8+Inputs!$L$8*(((Inputs!$I$8+(((A56)+1)/2)*(Inputs!$J$8-Inputs!$I$8)))/Inputs!$K$8)^2)</x:f>
        <x:v>326.9125</x:v>
      </x:c>
      <x:c r="AC56" s="9" t="n">
        <x:f>(Inputs!$H$9+Inputs!$L$9*(((Inputs!$I$9+(((A56)+1)/2)*(Inputs!$J$9-Inputs!$I$9)))/Inputs!$K$9)^2)</x:f>
        <x:v>319.93750000000006</x:v>
      </x:c>
      <x:c r="AD56" s="10" t="n"/>
      <x:c r="AE56" s="9" t="n">
        <x:f>A56</x:f>
        <x:v>-0.55</x:v>
      </x:c>
      <x:c r="AF56" s="9"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9"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9"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9"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10" t="n"/>
      <x:c r="AK56" s="9" t="n">
        <x:f>A56</x:f>
        <x:v>-0.55</x:v>
      </x:c>
      <x:c r="AL56" s="9"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9"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9"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9"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10" t="n"/>
      <x:c r="AQ56" s="9" t="n">
        <x:f>A56</x:f>
        <x:v>-0.55</x:v>
      </x:c>
      <x:c r="AR56" s="9" t="n">
        <x:f>0</x:f>
        <x:v>0</x:v>
      </x:c>
      <x:c r="AS56" s="9"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x:f>
        <x:v>342.0571204684842</x:v>
      </x:c>
      <x:c r="AT56" s="9"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x:f>
        <x:v>59.092313072187835</x:v>
      </x:c>
      <x:c r="AU56" s="9"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x:f>
        <x:v>150.94769857103955</x:v>
      </x:c>
      <x:c r="AV56" s="9"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x:f>
        <x:v>150.94769857103955</x:v>
      </x:c>
      <x:c r="AW56" s="10" t="n"/>
      <x:c r="AX56" s="9" t="n">
        <x:f>A56</x:f>
        <x:v>-0.55</x:v>
      </x:c>
      <x:c r="AY56" s="9" t="n">
        <x:f>0</x:f>
        <x:v>0</x:v>
      </x:c>
      <x:c r="AZ56" s="9" t="n">
        <x:f>IF(OR(Inputs!$F$6=TRUE,Inputs!$F$6="TRUE",Inputs!$F$6=1),(Inputs!$H$6+Inputs!$L$6*(((Inputs!$I$6+(((A56)+1)/2)*(Inputs!$J$6-Inputs!$I$6)))/Inputs!$K$6)^2),NA())</x:f>
        <x:v>401.21</x:v>
      </x:c>
      <x:c r="BA56" s="9" t="n">
        <x:f>IF(OR(Inputs!$F$7=TRUE,Inputs!$F$7="TRUE",Inputs!$F$7=1),(Inputs!$H$7+Inputs!$L$7*(((Inputs!$I$7+(((A56)+1)/2)*(Inputs!$J$7-Inputs!$I$7)))/Inputs!$K$7)^2),NA())</x:f>
        <x:v>145.41250000000002</x:v>
      </x:c>
      <x:c r="BB56" s="9" t="n">
        <x:f>IF(OR(Inputs!$F$8=TRUE,Inputs!$F$8="TRUE",Inputs!$F$8=1),(Inputs!$H$8+Inputs!$L$8*(((Inputs!$I$8+(((A56)+1)/2)*(Inputs!$J$8-Inputs!$I$8)))/Inputs!$K$8)^2),NA())</x:f>
        <x:v>326.9125</x:v>
      </x:c>
      <x:c r="BC56" s="9" t="n">
        <x:f>IF(OR(Inputs!$F$9=TRUE,Inputs!$F$9="TRUE",Inputs!$F$9=1),(Inputs!$H$9+Inputs!$L$9*(((Inputs!$I$9+(((A56)+1)/2)*(Inputs!$J$9-Inputs!$I$9)))/Inputs!$K$9)^2),NA())</x:f>
        <x:v>319.93750000000006</x:v>
      </x:c>
      <x:c r="BD56" s="10" t="n"/>
      <x:c r="BE56" s="9" t="n">
        <x:f>A56</x:f>
        <x:v>-0.55</x:v>
      </x:c>
      <x:c r="BF56" s="9" t="n">
        <x:f>0</x:f>
        <x:v>0</x:v>
      </x:c>
      <x:c r="BG56" s="9"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9"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9"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9"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9" t="n">
        <x:f>ROUND(-1+55*2/240,3)</x:f>
        <x:v>-0.542</x:v>
      </x:c>
      <x:c r="B57" s="9" t="n">
        <x:f>IF(OR(Inputs!$F$6=TRUE,Inputs!$F$6="TRUE",Inputs!$F$6=1),(Inputs!$H$6+Inputs!$L$6*(((Inputs!$I$6+(((A57)+1)/2)*(Inputs!$J$6-Inputs!$I$6)))/Inputs!$K$6)^2),NA())</x:f>
        <x:v>401.175056</x:v>
      </x:c>
      <x:c r="C57" s="9" t="n">
        <x:f>IF(OR(Inputs!$F$7=TRUE,Inputs!$F$7="TRUE",Inputs!$F$7=1),(Inputs!$H$7+Inputs!$L$7*(((Inputs!$I$7+(((A57)+1)/2)*(Inputs!$J$7-Inputs!$I$7)))/Inputs!$K$7)^2),NA())</x:f>
        <x:v>142.22386</x:v>
      </x:c>
      <x:c r="D57" s="9" t="n">
        <x:f>IF(OR(Inputs!$F$8=TRUE,Inputs!$F$8="TRUE",Inputs!$F$8=1),(Inputs!$H$8+Inputs!$L$8*(((Inputs!$I$8+(((A57)+1)/2)*(Inputs!$J$8-Inputs!$I$8)))/Inputs!$K$8)^2),NA())</x:f>
        <x:v>318.48226</x:v>
      </x:c>
      <x:c r="E57" s="9" t="n">
        <x:f>IF(OR(Inputs!$F$9=TRUE,Inputs!$F$9="TRUE",Inputs!$F$9=1),(Inputs!$H$9+Inputs!$L$9*(((Inputs!$I$9+(((A57)+1)/2)*(Inputs!$J$9-Inputs!$I$9)))/Inputs!$K$9)^2),NA())</x:f>
        <x:v>311.41990000000004</x:v>
      </x:c>
      <x:c r="F57" s="10" t="n"/>
      <x:c r="G57" s="9" t="n">
        <x:f>A57</x:f>
        <x:v>-0.542</x:v>
      </x:c>
      <x:c r="H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10" t="n"/>
      <x:c r="M57" s="9" t="n">
        <x:f>A57</x:f>
        <x:v>-0.542</x:v>
      </x:c>
      <x:c r="N57" s="9"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9"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9"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9"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10" t="n"/>
      <x:c r="S57" s="9" t="n">
        <x:f>A57</x:f>
        <x:v>-0.542</x:v>
      </x:c>
      <x:c r="T57" s="9" t="n">
        <x:f>(Inputs!$I$6+(((A57)+1)/2)*(Inputs!$J$6-Inputs!$I$6))</x:f>
        <x:v>-32.52</x:v>
      </x:c>
      <x:c r="U57" s="9" t="n">
        <x:f>(Inputs!$I$7+(((A57)+1)/2)*(Inputs!$J$7-Inputs!$I$7))</x:f>
        <x:v>-216.8</x:v>
      </x:c>
      <x:c r="V57" s="9" t="n">
        <x:f>(Inputs!$I$8+(((A57)+1)/2)*(Inputs!$J$8-Inputs!$I$8))</x:f>
        <x:v>-433.6</x:v>
      </x:c>
      <x:c r="W57" s="9" t="n">
        <x:f>(Inputs!$I$9+(((A57)+1)/2)*(Inputs!$J$9-Inputs!$I$9))</x:f>
        <x:v>-433.6</x:v>
      </x:c>
      <x:c r="X57" s="10" t="n"/>
      <x:c r="Y57" s="9" t="n">
        <x:f>A57</x:f>
        <x:v>-0.542</x:v>
      </x:c>
      <x:c r="Z57" s="9" t="n">
        <x:f>(Inputs!$H$6+Inputs!$L$6*(((Inputs!$I$6+(((A57)+1)/2)*(Inputs!$J$6-Inputs!$I$6)))/Inputs!$K$6)^2)</x:f>
        <x:v>401.175056</x:v>
      </x:c>
      <x:c r="AA57" s="9" t="n">
        <x:f>(Inputs!$H$7+Inputs!$L$7*(((Inputs!$I$7+(((A57)+1)/2)*(Inputs!$J$7-Inputs!$I$7)))/Inputs!$K$7)^2)</x:f>
        <x:v>142.22386</x:v>
      </x:c>
      <x:c r="AB57" s="9" t="n">
        <x:f>(Inputs!$H$8+Inputs!$L$8*(((Inputs!$I$8+(((A57)+1)/2)*(Inputs!$J$8-Inputs!$I$8)))/Inputs!$K$8)^2)</x:f>
        <x:v>318.48226</x:v>
      </x:c>
      <x:c r="AC57" s="9" t="n">
        <x:f>(Inputs!$H$9+Inputs!$L$9*(((Inputs!$I$9+(((A57)+1)/2)*(Inputs!$J$9-Inputs!$I$9)))/Inputs!$K$9)^2)</x:f>
        <x:v>311.41990000000004</x:v>
      </x:c>
      <x:c r="AD57" s="10" t="n"/>
      <x:c r="AE57" s="9" t="n">
        <x:f>A57</x:f>
        <x:v>-0.542</x:v>
      </x:c>
      <x:c r="AF57" s="9"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9"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9"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9"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10" t="n"/>
      <x:c r="AK57" s="9" t="n">
        <x:f>A57</x:f>
        <x:v>-0.542</x:v>
      </x:c>
      <x:c r="AL57" s="9"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9"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9"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9"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10" t="n"/>
      <x:c r="AQ57" s="9" t="n">
        <x:f>A57</x:f>
        <x:v>-0.542</x:v>
      </x:c>
      <x:c r="AR57" s="9" t="n">
        <x:f>0</x:f>
        <x:v>0</x:v>
      </x:c>
      <x:c r="AS57" s="9"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x:f>
        <x:v>334.10969838197406</x:v>
      </x:c>
      <x:c r="AT57" s="9"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x:f>
        <x:v>133.800812179081</x:v>
      </x:c>
      <x:c r="AU57" s="9"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x:f>
        <x:v>65.40122120167689</x:v>
      </x:c>
      <x:c r="AV57" s="9"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x:f>
        <x:v>65.40122120167689</x:v>
      </x:c>
      <x:c r="AW57" s="10" t="n"/>
      <x:c r="AX57" s="9" t="n">
        <x:f>A57</x:f>
        <x:v>-0.542</x:v>
      </x:c>
      <x:c r="AY57" s="9" t="n">
        <x:f>0</x:f>
        <x:v>0</x:v>
      </x:c>
      <x:c r="AZ57" s="9" t="n">
        <x:f>IF(OR(Inputs!$F$6=TRUE,Inputs!$F$6="TRUE",Inputs!$F$6=1),(Inputs!$H$6+Inputs!$L$6*(((Inputs!$I$6+(((A57)+1)/2)*(Inputs!$J$6-Inputs!$I$6)))/Inputs!$K$6)^2),NA())</x:f>
        <x:v>401.175056</x:v>
      </x:c>
      <x:c r="BA57" s="9" t="n">
        <x:f>IF(OR(Inputs!$F$7=TRUE,Inputs!$F$7="TRUE",Inputs!$F$7=1),(Inputs!$H$7+Inputs!$L$7*(((Inputs!$I$7+(((A57)+1)/2)*(Inputs!$J$7-Inputs!$I$7)))/Inputs!$K$7)^2),NA())</x:f>
        <x:v>142.22386</x:v>
      </x:c>
      <x:c r="BB57" s="9" t="n">
        <x:f>IF(OR(Inputs!$F$8=TRUE,Inputs!$F$8="TRUE",Inputs!$F$8=1),(Inputs!$H$8+Inputs!$L$8*(((Inputs!$I$8+(((A57)+1)/2)*(Inputs!$J$8-Inputs!$I$8)))/Inputs!$K$8)^2),NA())</x:f>
        <x:v>318.48226</x:v>
      </x:c>
      <x:c r="BC57" s="9" t="n">
        <x:f>IF(OR(Inputs!$F$9=TRUE,Inputs!$F$9="TRUE",Inputs!$F$9=1),(Inputs!$H$9+Inputs!$L$9*(((Inputs!$I$9+(((A57)+1)/2)*(Inputs!$J$9-Inputs!$I$9)))/Inputs!$K$9)^2),NA())</x:f>
        <x:v>311.41990000000004</x:v>
      </x:c>
      <x:c r="BD57" s="10" t="n"/>
      <x:c r="BE57" s="9" t="n">
        <x:f>A57</x:f>
        <x:v>-0.542</x:v>
      </x:c>
      <x:c r="BF57" s="9" t="n">
        <x:f>0</x:f>
        <x:v>0</x:v>
      </x:c>
      <x:c r="BG57" s="9"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9"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9"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9"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9" t="n">
        <x:f>ROUND(-1+56*2/240,3)</x:f>
        <x:v>-0.533</x:v>
      </x:c>
      <x:c r="B58" s="9" t="n">
        <x:f>IF(OR(Inputs!$F$6=TRUE,Inputs!$F$6="TRUE",Inputs!$F$6=1),(Inputs!$H$6+Inputs!$L$6*(((Inputs!$I$6+(((A58)+1)/2)*(Inputs!$J$6-Inputs!$I$6)))/Inputs!$K$6)^2),NA())</x:f>
        <x:v>401.136356</x:v>
      </x:c>
      <x:c r="C58" s="9" t="n">
        <x:f>IF(OR(Inputs!$F$7=TRUE,Inputs!$F$7="TRUE",Inputs!$F$7=1),(Inputs!$H$7+Inputs!$L$7*(((Inputs!$I$7+(((A58)+1)/2)*(Inputs!$J$7-Inputs!$I$7)))/Inputs!$K$7)^2),NA())</x:f>
        <x:v>138.69248500000003</x:v>
      </x:c>
      <x:c r="D58" s="9" t="n">
        <x:f>IF(OR(Inputs!$F$8=TRUE,Inputs!$F$8="TRUE",Inputs!$F$8=1),(Inputs!$H$8+Inputs!$L$8*(((Inputs!$I$8+(((A58)+1)/2)*(Inputs!$J$8-Inputs!$I$8)))/Inputs!$K$8)^2),NA())</x:f>
        <x:v>309.145885</x:v>
      </x:c>
      <x:c r="E58" s="9" t="n">
        <x:f>IF(OR(Inputs!$F$9=TRUE,Inputs!$F$9="TRUE",Inputs!$F$9=1),(Inputs!$H$9+Inputs!$L$9*(((Inputs!$I$9+(((A58)+1)/2)*(Inputs!$J$9-Inputs!$I$9)))/Inputs!$K$9)^2),NA())</x:f>
        <x:v>301.986775</x:v>
      </x:c>
      <x:c r="F58" s="10" t="n"/>
      <x:c r="G58" s="9" t="n">
        <x:f>A58</x:f>
        <x:v>-0.533</x:v>
      </x:c>
      <x:c r="H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10" t="n"/>
      <x:c r="M58" s="9" t="n">
        <x:f>A58</x:f>
        <x:v>-0.533</x:v>
      </x:c>
      <x:c r="N58" s="9"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9"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9"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9"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10" t="n"/>
      <x:c r="S58" s="9" t="n">
        <x:f>A58</x:f>
        <x:v>-0.533</x:v>
      </x:c>
      <x:c r="T58" s="9" t="n">
        <x:f>(Inputs!$I$6+(((A58)+1)/2)*(Inputs!$J$6-Inputs!$I$6))</x:f>
        <x:v>-31.98</x:v>
      </x:c>
      <x:c r="U58" s="9" t="n">
        <x:f>(Inputs!$I$7+(((A58)+1)/2)*(Inputs!$J$7-Inputs!$I$7))</x:f>
        <x:v>-213.20000000000002</x:v>
      </x:c>
      <x:c r="V58" s="9" t="n">
        <x:f>(Inputs!$I$8+(((A58)+1)/2)*(Inputs!$J$8-Inputs!$I$8))</x:f>
        <x:v>-426.40000000000003</x:v>
      </x:c>
      <x:c r="W58" s="9" t="n">
        <x:f>(Inputs!$I$9+(((A58)+1)/2)*(Inputs!$J$9-Inputs!$I$9))</x:f>
        <x:v>-426.40000000000003</x:v>
      </x:c>
      <x:c r="X58" s="10" t="n"/>
      <x:c r="Y58" s="9" t="n">
        <x:f>A58</x:f>
        <x:v>-0.533</x:v>
      </x:c>
      <x:c r="Z58" s="9" t="n">
        <x:f>(Inputs!$H$6+Inputs!$L$6*(((Inputs!$I$6+(((A58)+1)/2)*(Inputs!$J$6-Inputs!$I$6)))/Inputs!$K$6)^2)</x:f>
        <x:v>401.136356</x:v>
      </x:c>
      <x:c r="AA58" s="9" t="n">
        <x:f>(Inputs!$H$7+Inputs!$L$7*(((Inputs!$I$7+(((A58)+1)/2)*(Inputs!$J$7-Inputs!$I$7)))/Inputs!$K$7)^2)</x:f>
        <x:v>138.69248500000003</x:v>
      </x:c>
      <x:c r="AB58" s="9" t="n">
        <x:f>(Inputs!$H$8+Inputs!$L$8*(((Inputs!$I$8+(((A58)+1)/2)*(Inputs!$J$8-Inputs!$I$8)))/Inputs!$K$8)^2)</x:f>
        <x:v>309.145885</x:v>
      </x:c>
      <x:c r="AC58" s="9" t="n">
        <x:f>(Inputs!$H$9+Inputs!$L$9*(((Inputs!$I$9+(((A58)+1)/2)*(Inputs!$J$9-Inputs!$I$9)))/Inputs!$K$9)^2)</x:f>
        <x:v>301.986775</x:v>
      </x:c>
      <x:c r="AD58" s="10" t="n"/>
      <x:c r="AE58" s="9" t="n">
        <x:f>A58</x:f>
        <x:v>-0.533</x:v>
      </x:c>
      <x:c r="AF58" s="9"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9"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9"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9"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10" t="n"/>
      <x:c r="AK58" s="9" t="n">
        <x:f>A58</x:f>
        <x:v>-0.533</x:v>
      </x:c>
      <x:c r="AL58" s="9"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9"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9"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9"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10" t="n"/>
      <x:c r="AQ58" s="9" t="n">
        <x:f>A58</x:f>
        <x:v>-0.533</x:v>
      </x:c>
      <x:c r="AR58" s="9" t="n">
        <x:f>0</x:f>
        <x:v>0</x:v>
      </x:c>
      <x:c r="AS58" s="9"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x:f>
        <x:v>356.35230458683765</x:v>
      </x:c>
      <x:c r="AT58" s="9"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x:f>
        <x:v>183.48378695917194</x:v>
      </x:c>
      <x:c r="AU58" s="9"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x:f>
        <x:v>212.40877485298893</x:v>
      </x:c>
      <x:c r="AV58" s="9"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x:f>
        <x:v>212.40877485298893</x:v>
      </x:c>
      <x:c r="AW58" s="10" t="n"/>
      <x:c r="AX58" s="9" t="n">
        <x:f>A58</x:f>
        <x:v>-0.533</x:v>
      </x:c>
      <x:c r="AY58" s="9" t="n">
        <x:f>0</x:f>
        <x:v>0</x:v>
      </x:c>
      <x:c r="AZ58" s="9" t="n">
        <x:f>IF(OR(Inputs!$F$6=TRUE,Inputs!$F$6="TRUE",Inputs!$F$6=1),(Inputs!$H$6+Inputs!$L$6*(((Inputs!$I$6+(((A58)+1)/2)*(Inputs!$J$6-Inputs!$I$6)))/Inputs!$K$6)^2),NA())</x:f>
        <x:v>401.136356</x:v>
      </x:c>
      <x:c r="BA58" s="9" t="n">
        <x:f>IF(OR(Inputs!$F$7=TRUE,Inputs!$F$7="TRUE",Inputs!$F$7=1),(Inputs!$H$7+Inputs!$L$7*(((Inputs!$I$7+(((A58)+1)/2)*(Inputs!$J$7-Inputs!$I$7)))/Inputs!$K$7)^2),NA())</x:f>
        <x:v>138.69248500000003</x:v>
      </x:c>
      <x:c r="BB58" s="9" t="n">
        <x:f>IF(OR(Inputs!$F$8=TRUE,Inputs!$F$8="TRUE",Inputs!$F$8=1),(Inputs!$H$8+Inputs!$L$8*(((Inputs!$I$8+(((A58)+1)/2)*(Inputs!$J$8-Inputs!$I$8)))/Inputs!$K$8)^2),NA())</x:f>
        <x:v>309.145885</x:v>
      </x:c>
      <x:c r="BC58" s="9" t="n">
        <x:f>IF(OR(Inputs!$F$9=TRUE,Inputs!$F$9="TRUE",Inputs!$F$9=1),(Inputs!$H$9+Inputs!$L$9*(((Inputs!$I$9+(((A58)+1)/2)*(Inputs!$J$9-Inputs!$I$9)))/Inputs!$K$9)^2),NA())</x:f>
        <x:v>301.986775</x:v>
      </x:c>
      <x:c r="BD58" s="10" t="n"/>
      <x:c r="BE58" s="9" t="n">
        <x:f>A58</x:f>
        <x:v>-0.533</x:v>
      </x:c>
      <x:c r="BF58" s="9" t="n">
        <x:f>0</x:f>
        <x:v>0</x:v>
      </x:c>
      <x:c r="BG58" s="9"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9"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9"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9"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9" t="n">
        <x:f>ROUND(-1+57*2/240,3)</x:f>
        <x:v>-0.525</x:v>
      </x:c>
      <x:c r="B59" s="9" t="n">
        <x:f>IF(OR(Inputs!$F$6=TRUE,Inputs!$F$6="TRUE",Inputs!$F$6=1),(Inputs!$H$6+Inputs!$L$6*(((Inputs!$I$6+(((A59)+1)/2)*(Inputs!$J$6-Inputs!$I$6)))/Inputs!$K$6)^2),NA())</x:f>
        <x:v>401.1025</x:v>
      </x:c>
      <x:c r="C59" s="9" t="n">
        <x:f>IF(OR(Inputs!$F$7=TRUE,Inputs!$F$7="TRUE",Inputs!$F$7=1),(Inputs!$H$7+Inputs!$L$7*(((Inputs!$I$7+(((A59)+1)/2)*(Inputs!$J$7-Inputs!$I$7)))/Inputs!$K$7)^2),NA())</x:f>
        <x:v>135.603125</x:v>
      </x:c>
      <x:c r="D59" s="9" t="n">
        <x:f>IF(OR(Inputs!$F$8=TRUE,Inputs!$F$8="TRUE",Inputs!$F$8=1),(Inputs!$H$8+Inputs!$L$8*(((Inputs!$I$8+(((A59)+1)/2)*(Inputs!$J$8-Inputs!$I$8)))/Inputs!$K$8)^2),NA())</x:f>
        <x:v>300.97812500000003</x:v>
      </x:c>
      <x:c r="E59" s="9" t="n">
        <x:f>IF(OR(Inputs!$F$9=TRUE,Inputs!$F$9="TRUE",Inputs!$F$9=1),(Inputs!$H$9+Inputs!$L$9*(((Inputs!$I$9+(((A59)+1)/2)*(Inputs!$J$9-Inputs!$I$9)))/Inputs!$K$9)^2),NA())</x:f>
        <x:v>293.734375</x:v>
      </x:c>
      <x:c r="F59" s="10" t="n"/>
      <x:c r="G59" s="9" t="n">
        <x:f>A59</x:f>
        <x:v>-0.525</x:v>
      </x:c>
      <x:c r="H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10" t="n"/>
      <x:c r="M59" s="9" t="n">
        <x:f>A59</x:f>
        <x:v>-0.525</x:v>
      </x:c>
      <x:c r="N59" s="9"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9"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9"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9"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10" t="n"/>
      <x:c r="S59" s="9" t="n">
        <x:f>A59</x:f>
        <x:v>-0.525</x:v>
      </x:c>
      <x:c r="T59" s="9" t="n">
        <x:f>(Inputs!$I$6+(((A59)+1)/2)*(Inputs!$J$6-Inputs!$I$6))</x:f>
        <x:v>-31.5</x:v>
      </x:c>
      <x:c r="U59" s="9" t="n">
        <x:f>(Inputs!$I$7+(((A59)+1)/2)*(Inputs!$J$7-Inputs!$I$7))</x:f>
        <x:v>-210</x:v>
      </x:c>
      <x:c r="V59" s="9" t="n">
        <x:f>(Inputs!$I$8+(((A59)+1)/2)*(Inputs!$J$8-Inputs!$I$8))</x:f>
        <x:v>-420</x:v>
      </x:c>
      <x:c r="W59" s="9" t="n">
        <x:f>(Inputs!$I$9+(((A59)+1)/2)*(Inputs!$J$9-Inputs!$I$9))</x:f>
        <x:v>-420</x:v>
      </x:c>
      <x:c r="X59" s="10" t="n"/>
      <x:c r="Y59" s="9" t="n">
        <x:f>A59</x:f>
        <x:v>-0.525</x:v>
      </x:c>
      <x:c r="Z59" s="9" t="n">
        <x:f>(Inputs!$H$6+Inputs!$L$6*(((Inputs!$I$6+(((A59)+1)/2)*(Inputs!$J$6-Inputs!$I$6)))/Inputs!$K$6)^2)</x:f>
        <x:v>401.1025</x:v>
      </x:c>
      <x:c r="AA59" s="9" t="n">
        <x:f>(Inputs!$H$7+Inputs!$L$7*(((Inputs!$I$7+(((A59)+1)/2)*(Inputs!$J$7-Inputs!$I$7)))/Inputs!$K$7)^2)</x:f>
        <x:v>135.603125</x:v>
      </x:c>
      <x:c r="AB59" s="9" t="n">
        <x:f>(Inputs!$H$8+Inputs!$L$8*(((Inputs!$I$8+(((A59)+1)/2)*(Inputs!$J$8-Inputs!$I$8)))/Inputs!$K$8)^2)</x:f>
        <x:v>300.97812500000003</x:v>
      </x:c>
      <x:c r="AC59" s="9" t="n">
        <x:f>(Inputs!$H$9+Inputs!$L$9*(((Inputs!$I$9+(((A59)+1)/2)*(Inputs!$J$9-Inputs!$I$9)))/Inputs!$K$9)^2)</x:f>
        <x:v>293.734375</x:v>
      </x:c>
      <x:c r="AD59" s="10" t="n"/>
      <x:c r="AE59" s="9" t="n">
        <x:f>A59</x:f>
        <x:v>-0.525</x:v>
      </x:c>
      <x:c r="AF59" s="9"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9"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9"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9"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10" t="n"/>
      <x:c r="AK59" s="9" t="n">
        <x:f>A59</x:f>
        <x:v>-0.525</x:v>
      </x:c>
      <x:c r="AL59" s="9"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9"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9"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9"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10" t="n"/>
      <x:c r="AQ59" s="9" t="n">
        <x:f>A59</x:f>
        <x:v>-0.525</x:v>
      </x:c>
      <x:c r="AR59" s="9" t="n">
        <x:f>0</x:f>
        <x:v>0</x:v>
      </x:c>
      <x:c r="AS59" s="9"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x:f>
        <x:v>355.15219987006986</x:v>
      </x:c>
      <x:c r="AT59" s="9"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x:f>
        <x:v>174.88445258075103</x:v>
      </x:c>
      <x:c r="AU59" s="9"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x:f>
        <x:v>84.2269312547811</x:v>
      </x:c>
      <x:c r="AV59" s="9"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x:f>
        <x:v>84.2269312547811</x:v>
      </x:c>
      <x:c r="AW59" s="10" t="n"/>
      <x:c r="AX59" s="9" t="n">
        <x:f>A59</x:f>
        <x:v>-0.525</x:v>
      </x:c>
      <x:c r="AY59" s="9" t="n">
        <x:f>0</x:f>
        <x:v>0</x:v>
      </x:c>
      <x:c r="AZ59" s="9" t="n">
        <x:f>IF(OR(Inputs!$F$6=TRUE,Inputs!$F$6="TRUE",Inputs!$F$6=1),(Inputs!$H$6+Inputs!$L$6*(((Inputs!$I$6+(((A59)+1)/2)*(Inputs!$J$6-Inputs!$I$6)))/Inputs!$K$6)^2),NA())</x:f>
        <x:v>401.1025</x:v>
      </x:c>
      <x:c r="BA59" s="9" t="n">
        <x:f>IF(OR(Inputs!$F$7=TRUE,Inputs!$F$7="TRUE",Inputs!$F$7=1),(Inputs!$H$7+Inputs!$L$7*(((Inputs!$I$7+(((A59)+1)/2)*(Inputs!$J$7-Inputs!$I$7)))/Inputs!$K$7)^2),NA())</x:f>
        <x:v>135.603125</x:v>
      </x:c>
      <x:c r="BB59" s="9" t="n">
        <x:f>IF(OR(Inputs!$F$8=TRUE,Inputs!$F$8="TRUE",Inputs!$F$8=1),(Inputs!$H$8+Inputs!$L$8*(((Inputs!$I$8+(((A59)+1)/2)*(Inputs!$J$8-Inputs!$I$8)))/Inputs!$K$8)^2),NA())</x:f>
        <x:v>300.97812500000003</x:v>
      </x:c>
      <x:c r="BC59" s="9" t="n">
        <x:f>IF(OR(Inputs!$F$9=TRUE,Inputs!$F$9="TRUE",Inputs!$F$9=1),(Inputs!$H$9+Inputs!$L$9*(((Inputs!$I$9+(((A59)+1)/2)*(Inputs!$J$9-Inputs!$I$9)))/Inputs!$K$9)^2),NA())</x:f>
        <x:v>293.734375</x:v>
      </x:c>
      <x:c r="BD59" s="10" t="n"/>
      <x:c r="BE59" s="9" t="n">
        <x:f>A59</x:f>
        <x:v>-0.525</x:v>
      </x:c>
      <x:c r="BF59" s="9" t="n">
        <x:f>0</x:f>
        <x:v>0</x:v>
      </x:c>
      <x:c r="BG59" s="9"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9"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9"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9"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9" t="n">
        <x:f>ROUND(-1+58*2/240,3)</x:f>
        <x:v>-0.517</x:v>
      </x:c>
      <x:c r="B60" s="9" t="n">
        <x:f>IF(OR(Inputs!$F$6=TRUE,Inputs!$F$6="TRUE",Inputs!$F$6=1),(Inputs!$H$6+Inputs!$L$6*(((Inputs!$I$6+(((A60)+1)/2)*(Inputs!$J$6-Inputs!$I$6)))/Inputs!$K$6)^2),NA())</x:f>
        <x:v>401.069156</x:v>
      </x:c>
      <x:c r="C60" s="9" t="n">
        <x:f>IF(OR(Inputs!$F$7=TRUE,Inputs!$F$7="TRUE",Inputs!$F$7=1),(Inputs!$H$7+Inputs!$L$7*(((Inputs!$I$7+(((A60)+1)/2)*(Inputs!$J$7-Inputs!$I$7)))/Inputs!$K$7)^2),NA())</x:f>
        <x:v>132.560485</x:v>
      </x:c>
      <x:c r="D60" s="9" t="n">
        <x:f>IF(OR(Inputs!$F$8=TRUE,Inputs!$F$8="TRUE",Inputs!$F$8=1),(Inputs!$H$8+Inputs!$L$8*(((Inputs!$I$8+(((A60)+1)/2)*(Inputs!$J$8-Inputs!$I$8)))/Inputs!$K$8)^2),NA())</x:f>
        <x:v>292.933885</x:v>
      </x:c>
      <x:c r="E60" s="9" t="n">
        <x:f>IF(OR(Inputs!$F$9=TRUE,Inputs!$F$9="TRUE",Inputs!$F$9=1),(Inputs!$H$9+Inputs!$L$9*(((Inputs!$I$9+(((A60)+1)/2)*(Inputs!$J$9-Inputs!$I$9)))/Inputs!$K$9)^2),NA())</x:f>
        <x:v>285.60677499999997</x:v>
      </x:c>
      <x:c r="F60" s="10" t="n"/>
      <x:c r="G60" s="9" t="n">
        <x:f>A60</x:f>
        <x:v>-0.517</x:v>
      </x:c>
      <x:c r="H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10" t="n"/>
      <x:c r="M60" s="9" t="n">
        <x:f>A60</x:f>
        <x:v>-0.517</x:v>
      </x:c>
      <x:c r="N60" s="9"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9"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9"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9"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10" t="n"/>
      <x:c r="S60" s="9" t="n">
        <x:f>A60</x:f>
        <x:v>-0.517</x:v>
      </x:c>
      <x:c r="T60" s="9" t="n">
        <x:f>(Inputs!$I$6+(((A60)+1)/2)*(Inputs!$J$6-Inputs!$I$6))</x:f>
        <x:v>-31.02</x:v>
      </x:c>
      <x:c r="U60" s="9" t="n">
        <x:f>(Inputs!$I$7+(((A60)+1)/2)*(Inputs!$J$7-Inputs!$I$7))</x:f>
        <x:v>-206.8</x:v>
      </x:c>
      <x:c r="V60" s="9" t="n">
        <x:f>(Inputs!$I$8+(((A60)+1)/2)*(Inputs!$J$8-Inputs!$I$8))</x:f>
        <x:v>-413.6</x:v>
      </x:c>
      <x:c r="W60" s="9" t="n">
        <x:f>(Inputs!$I$9+(((A60)+1)/2)*(Inputs!$J$9-Inputs!$I$9))</x:f>
        <x:v>-413.6</x:v>
      </x:c>
      <x:c r="X60" s="10" t="n"/>
      <x:c r="Y60" s="9" t="n">
        <x:f>A60</x:f>
        <x:v>-0.517</x:v>
      </x:c>
      <x:c r="Z60" s="9" t="n">
        <x:f>(Inputs!$H$6+Inputs!$L$6*(((Inputs!$I$6+(((A60)+1)/2)*(Inputs!$J$6-Inputs!$I$6)))/Inputs!$K$6)^2)</x:f>
        <x:v>401.069156</x:v>
      </x:c>
      <x:c r="AA60" s="9" t="n">
        <x:f>(Inputs!$H$7+Inputs!$L$7*(((Inputs!$I$7+(((A60)+1)/2)*(Inputs!$J$7-Inputs!$I$7)))/Inputs!$K$7)^2)</x:f>
        <x:v>132.560485</x:v>
      </x:c>
      <x:c r="AB60" s="9" t="n">
        <x:f>(Inputs!$H$8+Inputs!$L$8*(((Inputs!$I$8+(((A60)+1)/2)*(Inputs!$J$8-Inputs!$I$8)))/Inputs!$K$8)^2)</x:f>
        <x:v>292.933885</x:v>
      </x:c>
      <x:c r="AC60" s="9" t="n">
        <x:f>(Inputs!$H$9+Inputs!$L$9*(((Inputs!$I$9+(((A60)+1)/2)*(Inputs!$J$9-Inputs!$I$9)))/Inputs!$K$9)^2)</x:f>
        <x:v>285.60677499999997</x:v>
      </x:c>
      <x:c r="AD60" s="10" t="n"/>
      <x:c r="AE60" s="9" t="n">
        <x:f>A60</x:f>
        <x:v>-0.517</x:v>
      </x:c>
      <x:c r="AF60" s="9"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9"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9"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9"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10" t="n"/>
      <x:c r="AK60" s="9" t="n">
        <x:f>A60</x:f>
        <x:v>-0.517</x:v>
      </x:c>
      <x:c r="AL60" s="9"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9"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9"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9"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10" t="n"/>
      <x:c r="AQ60" s="9" t="n">
        <x:f>A60</x:f>
        <x:v>-0.517</x:v>
      </x:c>
      <x:c r="AR60" s="9" t="n">
        <x:f>0</x:f>
        <x:v>0</x:v>
      </x:c>
      <x:c r="AS60" s="9"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x:f>
        <x:v>348.41775448813667</x:v>
      </x:c>
      <x:c r="AT60" s="9"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x:f>
        <x:v>116.94295620721593</x:v>
      </x:c>
      <x:c r="AU60" s="9"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x:f>
        <x:v>156.8605522525044</x:v>
      </x:c>
      <x:c r="AV60" s="9"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x:f>
        <x:v>156.8605522525044</x:v>
      </x:c>
      <x:c r="AW60" s="10" t="n"/>
      <x:c r="AX60" s="9" t="n">
        <x:f>A60</x:f>
        <x:v>-0.517</x:v>
      </x:c>
      <x:c r="AY60" s="9" t="n">
        <x:f>0</x:f>
        <x:v>0</x:v>
      </x:c>
      <x:c r="AZ60" s="9" t="n">
        <x:f>IF(OR(Inputs!$F$6=TRUE,Inputs!$F$6="TRUE",Inputs!$F$6=1),(Inputs!$H$6+Inputs!$L$6*(((Inputs!$I$6+(((A60)+1)/2)*(Inputs!$J$6-Inputs!$I$6)))/Inputs!$K$6)^2),NA())</x:f>
        <x:v>401.069156</x:v>
      </x:c>
      <x:c r="BA60" s="9" t="n">
        <x:f>IF(OR(Inputs!$F$7=TRUE,Inputs!$F$7="TRUE",Inputs!$F$7=1),(Inputs!$H$7+Inputs!$L$7*(((Inputs!$I$7+(((A60)+1)/2)*(Inputs!$J$7-Inputs!$I$7)))/Inputs!$K$7)^2),NA())</x:f>
        <x:v>132.560485</x:v>
      </x:c>
      <x:c r="BB60" s="9" t="n">
        <x:f>IF(OR(Inputs!$F$8=TRUE,Inputs!$F$8="TRUE",Inputs!$F$8=1),(Inputs!$H$8+Inputs!$L$8*(((Inputs!$I$8+(((A60)+1)/2)*(Inputs!$J$8-Inputs!$I$8)))/Inputs!$K$8)^2),NA())</x:f>
        <x:v>292.933885</x:v>
      </x:c>
      <x:c r="BC60" s="9" t="n">
        <x:f>IF(OR(Inputs!$F$9=TRUE,Inputs!$F$9="TRUE",Inputs!$F$9=1),(Inputs!$H$9+Inputs!$L$9*(((Inputs!$I$9+(((A60)+1)/2)*(Inputs!$J$9-Inputs!$I$9)))/Inputs!$K$9)^2),NA())</x:f>
        <x:v>285.60677499999997</x:v>
      </x:c>
      <x:c r="BD60" s="10" t="n"/>
      <x:c r="BE60" s="9" t="n">
        <x:f>A60</x:f>
        <x:v>-0.517</x:v>
      </x:c>
      <x:c r="BF60" s="9" t="n">
        <x:f>0</x:f>
        <x:v>0</x:v>
      </x:c>
      <x:c r="BG60" s="9"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9"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9"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9"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9" t="n">
        <x:f>ROUND(-1+59*2/240,3)</x:f>
        <x:v>-0.508</x:v>
      </x:c>
      <x:c r="B61" s="9" t="n">
        <x:f>IF(OR(Inputs!$F$6=TRUE,Inputs!$F$6="TRUE",Inputs!$F$6=1),(Inputs!$H$6+Inputs!$L$6*(((Inputs!$I$6+(((A61)+1)/2)*(Inputs!$J$6-Inputs!$I$6)))/Inputs!$K$6)^2),NA())</x:f>
        <x:v>401.032256</x:v>
      </x:c>
      <x:c r="C61" s="9" t="n">
        <x:f>IF(OR(Inputs!$F$7=TRUE,Inputs!$F$7="TRUE",Inputs!$F$7=1),(Inputs!$H$7+Inputs!$L$7*(((Inputs!$I$7+(((A61)+1)/2)*(Inputs!$J$7-Inputs!$I$7)))/Inputs!$K$7)^2),NA())</x:f>
        <x:v>129.19336</x:v>
      </x:c>
      <x:c r="D61" s="9" t="n">
        <x:f>IF(OR(Inputs!$F$8=TRUE,Inputs!$F$8="TRUE",Inputs!$F$8=1),(Inputs!$H$8+Inputs!$L$8*(((Inputs!$I$8+(((A61)+1)/2)*(Inputs!$J$8-Inputs!$I$8)))/Inputs!$K$8)^2),NA())</x:f>
        <x:v>284.03176</x:v>
      </x:c>
      <x:c r="E61" s="9" t="n">
        <x:f>IF(OR(Inputs!$F$9=TRUE,Inputs!$F$9="TRUE",Inputs!$F$9=1),(Inputs!$H$9+Inputs!$L$9*(((Inputs!$I$9+(((A61)+1)/2)*(Inputs!$J$9-Inputs!$I$9)))/Inputs!$K$9)^2),NA())</x:f>
        <x:v>276.6124</x:v>
      </x:c>
      <x:c r="F61" s="10" t="n"/>
      <x:c r="G61" s="9" t="n">
        <x:f>A61</x:f>
        <x:v>-0.508</x:v>
      </x:c>
      <x:c r="H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10" t="n"/>
      <x:c r="M61" s="9" t="n">
        <x:f>A61</x:f>
        <x:v>-0.508</x:v>
      </x:c>
      <x:c r="N61" s="9"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9"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9"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9"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10" t="n"/>
      <x:c r="S61" s="9" t="n">
        <x:f>A61</x:f>
        <x:v>-0.508</x:v>
      </x:c>
      <x:c r="T61" s="9" t="n">
        <x:f>(Inputs!$I$6+(((A61)+1)/2)*(Inputs!$J$6-Inputs!$I$6))</x:f>
        <x:v>-30.48</x:v>
      </x:c>
      <x:c r="U61" s="9" t="n">
        <x:f>(Inputs!$I$7+(((A61)+1)/2)*(Inputs!$J$7-Inputs!$I$7))</x:f>
        <x:v>-203.2</x:v>
      </x:c>
      <x:c r="V61" s="9" t="n">
        <x:f>(Inputs!$I$8+(((A61)+1)/2)*(Inputs!$J$8-Inputs!$I$8))</x:f>
        <x:v>-406.4</x:v>
      </x:c>
      <x:c r="W61" s="9" t="n">
        <x:f>(Inputs!$I$9+(((A61)+1)/2)*(Inputs!$J$9-Inputs!$I$9))</x:f>
        <x:v>-406.4</x:v>
      </x:c>
      <x:c r="X61" s="10" t="n"/>
      <x:c r="Y61" s="9" t="n">
        <x:f>A61</x:f>
        <x:v>-0.508</x:v>
      </x:c>
      <x:c r="Z61" s="9" t="n">
        <x:f>(Inputs!$H$6+Inputs!$L$6*(((Inputs!$I$6+(((A61)+1)/2)*(Inputs!$J$6-Inputs!$I$6)))/Inputs!$K$6)^2)</x:f>
        <x:v>401.032256</x:v>
      </x:c>
      <x:c r="AA61" s="9" t="n">
        <x:f>(Inputs!$H$7+Inputs!$L$7*(((Inputs!$I$7+(((A61)+1)/2)*(Inputs!$J$7-Inputs!$I$7)))/Inputs!$K$7)^2)</x:f>
        <x:v>129.19336</x:v>
      </x:c>
      <x:c r="AB61" s="9" t="n">
        <x:f>(Inputs!$H$8+Inputs!$L$8*(((Inputs!$I$8+(((A61)+1)/2)*(Inputs!$J$8-Inputs!$I$8)))/Inputs!$K$8)^2)</x:f>
        <x:v>284.03176</x:v>
      </x:c>
      <x:c r="AC61" s="9" t="n">
        <x:f>(Inputs!$H$9+Inputs!$L$9*(((Inputs!$I$9+(((A61)+1)/2)*(Inputs!$J$9-Inputs!$I$9)))/Inputs!$K$9)^2)</x:f>
        <x:v>276.6124</x:v>
      </x:c>
      <x:c r="AD61" s="10" t="n"/>
      <x:c r="AE61" s="9" t="n">
        <x:f>A61</x:f>
        <x:v>-0.508</x:v>
      </x:c>
      <x:c r="AF61" s="9"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9"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9"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9"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10" t="n"/>
      <x:c r="AK61" s="9" t="n">
        <x:f>A61</x:f>
        <x:v>-0.508</x:v>
      </x:c>
      <x:c r="AL61" s="9"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9"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9"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9"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10" t="n"/>
      <x:c r="AQ61" s="9" t="n">
        <x:f>A61</x:f>
        <x:v>-0.508</x:v>
      </x:c>
      <x:c r="AR61" s="9" t="n">
        <x:f>0</x:f>
        <x:v>0</x:v>
      </x:c>
      <x:c r="AS61" s="9"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x:f>
        <x:v>336.5337904221099</x:v>
      </x:c>
      <x:c r="AT61" s="9"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x:f>
        <x:v>96.30405618901038</x:v>
      </x:c>
      <x:c r="AU61" s="9"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x:f>
        <x:v>188.6266833438749</x:v>
      </x:c>
      <x:c r="AV61" s="9"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x:f>
        <x:v>188.6266833438749</x:v>
      </x:c>
      <x:c r="AW61" s="10" t="n"/>
      <x:c r="AX61" s="9" t="n">
        <x:f>A61</x:f>
        <x:v>-0.508</x:v>
      </x:c>
      <x:c r="AY61" s="9" t="n">
        <x:f>0</x:f>
        <x:v>0</x:v>
      </x:c>
      <x:c r="AZ61" s="9" t="n">
        <x:f>IF(OR(Inputs!$F$6=TRUE,Inputs!$F$6="TRUE",Inputs!$F$6=1),(Inputs!$H$6+Inputs!$L$6*(((Inputs!$I$6+(((A61)+1)/2)*(Inputs!$J$6-Inputs!$I$6)))/Inputs!$K$6)^2),NA())</x:f>
        <x:v>401.032256</x:v>
      </x:c>
      <x:c r="BA61" s="9" t="n">
        <x:f>IF(OR(Inputs!$F$7=TRUE,Inputs!$F$7="TRUE",Inputs!$F$7=1),(Inputs!$H$7+Inputs!$L$7*(((Inputs!$I$7+(((A61)+1)/2)*(Inputs!$J$7-Inputs!$I$7)))/Inputs!$K$7)^2),NA())</x:f>
        <x:v>129.19336</x:v>
      </x:c>
      <x:c r="BB61" s="9" t="n">
        <x:f>IF(OR(Inputs!$F$8=TRUE,Inputs!$F$8="TRUE",Inputs!$F$8=1),(Inputs!$H$8+Inputs!$L$8*(((Inputs!$I$8+(((A61)+1)/2)*(Inputs!$J$8-Inputs!$I$8)))/Inputs!$K$8)^2),NA())</x:f>
        <x:v>284.03176</x:v>
      </x:c>
      <x:c r="BC61" s="9" t="n">
        <x:f>IF(OR(Inputs!$F$9=TRUE,Inputs!$F$9="TRUE",Inputs!$F$9=1),(Inputs!$H$9+Inputs!$L$9*(((Inputs!$I$9+(((A61)+1)/2)*(Inputs!$J$9-Inputs!$I$9)))/Inputs!$K$9)^2),NA())</x:f>
        <x:v>276.6124</x:v>
      </x:c>
      <x:c r="BD61" s="10" t="n"/>
      <x:c r="BE61" s="9" t="n">
        <x:f>A61</x:f>
        <x:v>-0.508</x:v>
      </x:c>
      <x:c r="BF61" s="9" t="n">
        <x:f>0</x:f>
        <x:v>0</x:v>
      </x:c>
      <x:c r="BG61" s="9"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9"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9"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9"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9" t="n">
        <x:f>ROUND(-1+60*2/240,3)</x:f>
        <x:v>-0.5</x:v>
      </x:c>
      <x:c r="B62" s="9" t="n">
        <x:f>IF(OR(Inputs!$F$6=TRUE,Inputs!$F$6="TRUE",Inputs!$F$6=1),(Inputs!$H$6+Inputs!$L$6*(((Inputs!$I$6+(((A62)+1)/2)*(Inputs!$J$6-Inputs!$I$6)))/Inputs!$K$6)^2),NA())</x:f>
        <x:v>401</x:v>
      </x:c>
      <x:c r="C62" s="9" t="n">
        <x:f>IF(OR(Inputs!$F$7=TRUE,Inputs!$F$7="TRUE",Inputs!$F$7=1),(Inputs!$H$7+Inputs!$L$7*(((Inputs!$I$7+(((A62)+1)/2)*(Inputs!$J$7-Inputs!$I$7)))/Inputs!$K$7)^2),NA())</x:f>
        <x:v>126.25</x:v>
      </x:c>
      <x:c r="D62" s="9" t="n">
        <x:f>IF(OR(Inputs!$F$8=TRUE,Inputs!$F$8="TRUE",Inputs!$F$8=1),(Inputs!$H$8+Inputs!$L$8*(((Inputs!$I$8+(((A62)+1)/2)*(Inputs!$J$8-Inputs!$I$8)))/Inputs!$K$8)^2),NA())</x:f>
        <x:v>276.25</x:v>
      </x:c>
      <x:c r="E62" s="9" t="n">
        <x:f>IF(OR(Inputs!$F$9=TRUE,Inputs!$F$9="TRUE",Inputs!$F$9=1),(Inputs!$H$9+Inputs!$L$9*(((Inputs!$I$9+(((A62)+1)/2)*(Inputs!$J$9-Inputs!$I$9)))/Inputs!$K$9)^2),NA())</x:f>
        <x:v>268.75</x:v>
      </x:c>
      <x:c r="F62" s="10" t="n"/>
      <x:c r="G62" s="9" t="n">
        <x:f>A62</x:f>
        <x:v>-0.5</x:v>
      </x:c>
      <x:c r="H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10" t="n"/>
      <x:c r="M62" s="9" t="n">
        <x:f>A62</x:f>
        <x:v>-0.5</x:v>
      </x:c>
      <x:c r="N62" s="9"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9"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9"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9"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10" t="n"/>
      <x:c r="S62" s="9" t="n">
        <x:f>A62</x:f>
        <x:v>-0.5</x:v>
      </x:c>
      <x:c r="T62" s="9" t="n">
        <x:f>(Inputs!$I$6+(((A62)+1)/2)*(Inputs!$J$6-Inputs!$I$6))</x:f>
        <x:v>-30</x:v>
      </x:c>
      <x:c r="U62" s="9" t="n">
        <x:f>(Inputs!$I$7+(((A62)+1)/2)*(Inputs!$J$7-Inputs!$I$7))</x:f>
        <x:v>-200</x:v>
      </x:c>
      <x:c r="V62" s="9" t="n">
        <x:f>(Inputs!$I$8+(((A62)+1)/2)*(Inputs!$J$8-Inputs!$I$8))</x:f>
        <x:v>-400</x:v>
      </x:c>
      <x:c r="W62" s="9" t="n">
        <x:f>(Inputs!$I$9+(((A62)+1)/2)*(Inputs!$J$9-Inputs!$I$9))</x:f>
        <x:v>-400</x:v>
      </x:c>
      <x:c r="X62" s="10" t="n"/>
      <x:c r="Y62" s="9" t="n">
        <x:f>A62</x:f>
        <x:v>-0.5</x:v>
      </x:c>
      <x:c r="Z62" s="9" t="n">
        <x:f>(Inputs!$H$6+Inputs!$L$6*(((Inputs!$I$6+(((A62)+1)/2)*(Inputs!$J$6-Inputs!$I$6)))/Inputs!$K$6)^2)</x:f>
        <x:v>401</x:v>
      </x:c>
      <x:c r="AA62" s="9" t="n">
        <x:f>(Inputs!$H$7+Inputs!$L$7*(((Inputs!$I$7+(((A62)+1)/2)*(Inputs!$J$7-Inputs!$I$7)))/Inputs!$K$7)^2)</x:f>
        <x:v>126.25</x:v>
      </x:c>
      <x:c r="AB62" s="9" t="n">
        <x:f>(Inputs!$H$8+Inputs!$L$8*(((Inputs!$I$8+(((A62)+1)/2)*(Inputs!$J$8-Inputs!$I$8)))/Inputs!$K$8)^2)</x:f>
        <x:v>276.25</x:v>
      </x:c>
      <x:c r="AC62" s="9" t="n">
        <x:f>(Inputs!$H$9+Inputs!$L$9*(((Inputs!$I$9+(((A62)+1)/2)*(Inputs!$J$9-Inputs!$I$9)))/Inputs!$K$9)^2)</x:f>
        <x:v>268.75</x:v>
      </x:c>
      <x:c r="AD62" s="10" t="n"/>
      <x:c r="AE62" s="9" t="n">
        <x:f>A62</x:f>
        <x:v>-0.5</x:v>
      </x:c>
      <x:c r="AF62" s="9"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9"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9"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9"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10" t="n"/>
      <x:c r="AK62" s="9" t="n">
        <x:f>A62</x:f>
        <x:v>-0.5</x:v>
      </x:c>
      <x:c r="AL62" s="9"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9"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9"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9"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10" t="n"/>
      <x:c r="AQ62" s="9" t="n">
        <x:f>A62</x:f>
        <x:v>-0.5</x:v>
      </x:c>
      <x:c r="AR62" s="9" t="n">
        <x:f>0</x:f>
        <x:v>0</x:v>
      </x:c>
      <x:c r="AS62" s="9"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x:f>
        <x:v>336.97644838088075</x:v>
      </x:c>
      <x:c r="AT62" s="9"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x:f>
        <x:v>148.2272687423736</x:v>
      </x:c>
      <x:c r="AU62" s="9"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x:f>
        <x:v>102.57205251432374</x:v>
      </x:c>
      <x:c r="AV62" s="9"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x:f>
        <x:v>102.57205251432374</x:v>
      </x:c>
      <x:c r="AW62" s="10" t="n"/>
      <x:c r="AX62" s="9" t="n">
        <x:f>A62</x:f>
        <x:v>-0.5</x:v>
      </x:c>
      <x:c r="AY62" s="9" t="n">
        <x:f>0</x:f>
        <x:v>0</x:v>
      </x:c>
      <x:c r="AZ62" s="9" t="n">
        <x:f>IF(OR(Inputs!$F$6=TRUE,Inputs!$F$6="TRUE",Inputs!$F$6=1),(Inputs!$H$6+Inputs!$L$6*(((Inputs!$I$6+(((A62)+1)/2)*(Inputs!$J$6-Inputs!$I$6)))/Inputs!$K$6)^2),NA())</x:f>
        <x:v>401</x:v>
      </x:c>
      <x:c r="BA62" s="9" t="n">
        <x:f>IF(OR(Inputs!$F$7=TRUE,Inputs!$F$7="TRUE",Inputs!$F$7=1),(Inputs!$H$7+Inputs!$L$7*(((Inputs!$I$7+(((A62)+1)/2)*(Inputs!$J$7-Inputs!$I$7)))/Inputs!$K$7)^2),NA())</x:f>
        <x:v>126.25</x:v>
      </x:c>
      <x:c r="BB62" s="9" t="n">
        <x:f>IF(OR(Inputs!$F$8=TRUE,Inputs!$F$8="TRUE",Inputs!$F$8=1),(Inputs!$H$8+Inputs!$L$8*(((Inputs!$I$8+(((A62)+1)/2)*(Inputs!$J$8-Inputs!$I$8)))/Inputs!$K$8)^2),NA())</x:f>
        <x:v>276.25</x:v>
      </x:c>
      <x:c r="BC62" s="9" t="n">
        <x:f>IF(OR(Inputs!$F$9=TRUE,Inputs!$F$9="TRUE",Inputs!$F$9=1),(Inputs!$H$9+Inputs!$L$9*(((Inputs!$I$9+(((A62)+1)/2)*(Inputs!$J$9-Inputs!$I$9)))/Inputs!$K$9)^2),NA())</x:f>
        <x:v>268.75</x:v>
      </x:c>
      <x:c r="BD62" s="10" t="n"/>
      <x:c r="BE62" s="9" t="n">
        <x:f>A62</x:f>
        <x:v>-0.5</x:v>
      </x:c>
      <x:c r="BF62" s="9" t="n">
        <x:f>0</x:f>
        <x:v>0</x:v>
      </x:c>
      <x:c r="BG62" s="9"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9"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9"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9"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9" t="n">
        <x:f>ROUND(-1+61*2/240,3)</x:f>
        <x:v>-0.492</x:v>
      </x:c>
      <x:c r="B63" s="9" t="n">
        <x:f>IF(OR(Inputs!$F$6=TRUE,Inputs!$F$6="TRUE",Inputs!$F$6=1),(Inputs!$H$6+Inputs!$L$6*(((Inputs!$I$6+(((A63)+1)/2)*(Inputs!$J$6-Inputs!$I$6)))/Inputs!$K$6)^2),NA())</x:f>
        <x:v>400.968256</x:v>
      </x:c>
      <x:c r="C63" s="9" t="n">
        <x:f>IF(OR(Inputs!$F$7=TRUE,Inputs!$F$7="TRUE",Inputs!$F$7=1),(Inputs!$H$7+Inputs!$L$7*(((Inputs!$I$7+(((A63)+1)/2)*(Inputs!$J$7-Inputs!$I$7)))/Inputs!$K$7)^2),NA())</x:f>
        <x:v>123.35336000000002</x:v>
      </x:c>
      <x:c r="D63" s="9" t="n">
        <x:f>IF(OR(Inputs!$F$8=TRUE,Inputs!$F$8="TRUE",Inputs!$F$8=1),(Inputs!$H$8+Inputs!$L$8*(((Inputs!$I$8+(((A63)+1)/2)*(Inputs!$J$8-Inputs!$I$8)))/Inputs!$K$8)^2),NA())</x:f>
        <x:v>268.59176</x:v>
      </x:c>
      <x:c r="E63" s="9" t="n">
        <x:f>IF(OR(Inputs!$F$9=TRUE,Inputs!$F$9="TRUE",Inputs!$F$9=1),(Inputs!$H$9+Inputs!$L$9*(((Inputs!$I$9+(((A63)+1)/2)*(Inputs!$J$9-Inputs!$I$9)))/Inputs!$K$9)^2),NA())</x:f>
        <x:v>261.01240000000007</x:v>
      </x:c>
      <x:c r="F63" s="10" t="n"/>
      <x:c r="G63" s="9" t="n">
        <x:f>A63</x:f>
        <x:v>-0.492</x:v>
      </x:c>
      <x:c r="H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10" t="n"/>
      <x:c r="M63" s="9" t="n">
        <x:f>A63</x:f>
        <x:v>-0.492</x:v>
      </x:c>
      <x:c r="N63" s="9"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9"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9"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9"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10" t="n"/>
      <x:c r="S63" s="9" t="n">
        <x:f>A63</x:f>
        <x:v>-0.492</x:v>
      </x:c>
      <x:c r="T63" s="9" t="n">
        <x:f>(Inputs!$I$6+(((A63)+1)/2)*(Inputs!$J$6-Inputs!$I$6))</x:f>
        <x:v>-29.52</x:v>
      </x:c>
      <x:c r="U63" s="9" t="n">
        <x:f>(Inputs!$I$7+(((A63)+1)/2)*(Inputs!$J$7-Inputs!$I$7))</x:f>
        <x:v>-196.8</x:v>
      </x:c>
      <x:c r="V63" s="9" t="n">
        <x:f>(Inputs!$I$8+(((A63)+1)/2)*(Inputs!$J$8-Inputs!$I$8))</x:f>
        <x:v>-393.6</x:v>
      </x:c>
      <x:c r="W63" s="9" t="n">
        <x:f>(Inputs!$I$9+(((A63)+1)/2)*(Inputs!$J$9-Inputs!$I$9))</x:f>
        <x:v>-393.6</x:v>
      </x:c>
      <x:c r="X63" s="10" t="n"/>
      <x:c r="Y63" s="9" t="n">
        <x:f>A63</x:f>
        <x:v>-0.492</x:v>
      </x:c>
      <x:c r="Z63" s="9" t="n">
        <x:f>(Inputs!$H$6+Inputs!$L$6*(((Inputs!$I$6+(((A63)+1)/2)*(Inputs!$J$6-Inputs!$I$6)))/Inputs!$K$6)^2)</x:f>
        <x:v>400.968256</x:v>
      </x:c>
      <x:c r="AA63" s="9" t="n">
        <x:f>(Inputs!$H$7+Inputs!$L$7*(((Inputs!$I$7+(((A63)+1)/2)*(Inputs!$J$7-Inputs!$I$7)))/Inputs!$K$7)^2)</x:f>
        <x:v>123.35336000000002</x:v>
      </x:c>
      <x:c r="AB63" s="9" t="n">
        <x:f>(Inputs!$H$8+Inputs!$L$8*(((Inputs!$I$8+(((A63)+1)/2)*(Inputs!$J$8-Inputs!$I$8)))/Inputs!$K$8)^2)</x:f>
        <x:v>268.59176</x:v>
      </x:c>
      <x:c r="AC63" s="9" t="n">
        <x:f>(Inputs!$H$9+Inputs!$L$9*(((Inputs!$I$9+(((A63)+1)/2)*(Inputs!$J$9-Inputs!$I$9)))/Inputs!$K$9)^2)</x:f>
        <x:v>261.01240000000007</x:v>
      </x:c>
      <x:c r="AD63" s="10" t="n"/>
      <x:c r="AE63" s="9" t="n">
        <x:f>A63</x:f>
        <x:v>-0.492</x:v>
      </x:c>
      <x:c r="AF63" s="9"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9"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9"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9"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10" t="n"/>
      <x:c r="AK63" s="9" t="n">
        <x:f>A63</x:f>
        <x:v>-0.492</x:v>
      </x:c>
      <x:c r="AL63" s="9"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9"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9"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9"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10" t="n"/>
      <x:c r="AQ63" s="9" t="n">
        <x:f>A63</x:f>
        <x:v>-0.492</x:v>
      </x:c>
      <x:c r="AR63" s="9" t="n">
        <x:f>0</x:f>
        <x:v>0</x:v>
      </x:c>
      <x:c r="AS63" s="9"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x:f>
        <x:v>325.29162233376644</x:v>
      </x:c>
      <x:c r="AT63" s="9"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x:f>
        <x:v>182.5608679528587</x:v>
      </x:c>
      <x:c r="AU63" s="9"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x:f>
        <x:v>217.06648222521574</x:v>
      </x:c>
      <x:c r="AV63" s="9"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x:f>
        <x:v>217.06648222521574</x:v>
      </x:c>
      <x:c r="AW63" s="10" t="n"/>
      <x:c r="AX63" s="9" t="n">
        <x:f>A63</x:f>
        <x:v>-0.492</x:v>
      </x:c>
      <x:c r="AY63" s="9" t="n">
        <x:f>0</x:f>
        <x:v>0</x:v>
      </x:c>
      <x:c r="AZ63" s="9" t="n">
        <x:f>IF(OR(Inputs!$F$6=TRUE,Inputs!$F$6="TRUE",Inputs!$F$6=1),(Inputs!$H$6+Inputs!$L$6*(((Inputs!$I$6+(((A63)+1)/2)*(Inputs!$J$6-Inputs!$I$6)))/Inputs!$K$6)^2),NA())</x:f>
        <x:v>400.968256</x:v>
      </x:c>
      <x:c r="BA63" s="9" t="n">
        <x:f>IF(OR(Inputs!$F$7=TRUE,Inputs!$F$7="TRUE",Inputs!$F$7=1),(Inputs!$H$7+Inputs!$L$7*(((Inputs!$I$7+(((A63)+1)/2)*(Inputs!$J$7-Inputs!$I$7)))/Inputs!$K$7)^2),NA())</x:f>
        <x:v>123.35336000000002</x:v>
      </x:c>
      <x:c r="BB63" s="9" t="n">
        <x:f>IF(OR(Inputs!$F$8=TRUE,Inputs!$F$8="TRUE",Inputs!$F$8=1),(Inputs!$H$8+Inputs!$L$8*(((Inputs!$I$8+(((A63)+1)/2)*(Inputs!$J$8-Inputs!$I$8)))/Inputs!$K$8)^2),NA())</x:f>
        <x:v>268.59176</x:v>
      </x:c>
      <x:c r="BC63" s="9" t="n">
        <x:f>IF(OR(Inputs!$F$9=TRUE,Inputs!$F$9="TRUE",Inputs!$F$9=1),(Inputs!$H$9+Inputs!$L$9*(((Inputs!$I$9+(((A63)+1)/2)*(Inputs!$J$9-Inputs!$I$9)))/Inputs!$K$9)^2),NA())</x:f>
        <x:v>261.01240000000007</x:v>
      </x:c>
      <x:c r="BD63" s="10" t="n"/>
      <x:c r="BE63" s="9" t="n">
        <x:f>A63</x:f>
        <x:v>-0.492</x:v>
      </x:c>
      <x:c r="BF63" s="9" t="n">
        <x:f>0</x:f>
        <x:v>0</x:v>
      </x:c>
      <x:c r="BG63" s="9"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9"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9"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9"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9" t="n">
        <x:f>ROUND(-1+62*2/240,3)</x:f>
        <x:v>-0.483</x:v>
      </x:c>
      <x:c r="B64" s="9" t="n">
        <x:f>IF(OR(Inputs!$F$6=TRUE,Inputs!$F$6="TRUE",Inputs!$F$6=1),(Inputs!$H$6+Inputs!$L$6*(((Inputs!$I$6+(((A64)+1)/2)*(Inputs!$J$6-Inputs!$I$6)))/Inputs!$K$6)^2),NA())</x:f>
        <x:v>400.933156</x:v>
      </x:c>
      <x:c r="C64" s="9" t="n">
        <x:f>IF(OR(Inputs!$F$7=TRUE,Inputs!$F$7="TRUE",Inputs!$F$7=1),(Inputs!$H$7+Inputs!$L$7*(((Inputs!$I$7+(((A64)+1)/2)*(Inputs!$J$7-Inputs!$I$7)))/Inputs!$K$7)^2),NA())</x:f>
        <x:v>120.150485</x:v>
      </x:c>
      <x:c r="D64" s="9" t="n">
        <x:f>IF(OR(Inputs!$F$8=TRUE,Inputs!$F$8="TRUE",Inputs!$F$8=1),(Inputs!$H$8+Inputs!$L$8*(((Inputs!$I$8+(((A64)+1)/2)*(Inputs!$J$8-Inputs!$I$8)))/Inputs!$K$8)^2),NA())</x:f>
        <x:v>260.123885</x:v>
      </x:c>
      <x:c r="E64" s="9" t="n">
        <x:f>IF(OR(Inputs!$F$9=TRUE,Inputs!$F$9="TRUE",Inputs!$F$9=1),(Inputs!$H$9+Inputs!$L$9*(((Inputs!$I$9+(((A64)+1)/2)*(Inputs!$J$9-Inputs!$I$9)))/Inputs!$K$9)^2),NA())</x:f>
        <x:v>252.456775</x:v>
      </x:c>
      <x:c r="F64" s="10" t="n"/>
      <x:c r="G64" s="9" t="n">
        <x:f>A64</x:f>
        <x:v>-0.483</x:v>
      </x:c>
      <x:c r="H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10" t="n"/>
      <x:c r="M64" s="9" t="n">
        <x:f>A64</x:f>
        <x:v>-0.483</x:v>
      </x:c>
      <x:c r="N64" s="9"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9"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9"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9"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10" t="n"/>
      <x:c r="S64" s="9" t="n">
        <x:f>A64</x:f>
        <x:v>-0.483</x:v>
      </x:c>
      <x:c r="T64" s="9" t="n">
        <x:f>(Inputs!$I$6+(((A64)+1)/2)*(Inputs!$J$6-Inputs!$I$6))</x:f>
        <x:v>-28.98</x:v>
      </x:c>
      <x:c r="U64" s="9" t="n">
        <x:f>(Inputs!$I$7+(((A64)+1)/2)*(Inputs!$J$7-Inputs!$I$7))</x:f>
        <x:v>-193.2</x:v>
      </x:c>
      <x:c r="V64" s="9" t="n">
        <x:f>(Inputs!$I$8+(((A64)+1)/2)*(Inputs!$J$8-Inputs!$I$8))</x:f>
        <x:v>-386.4</x:v>
      </x:c>
      <x:c r="W64" s="9" t="n">
        <x:f>(Inputs!$I$9+(((A64)+1)/2)*(Inputs!$J$9-Inputs!$I$9))</x:f>
        <x:v>-386.4</x:v>
      </x:c>
      <x:c r="X64" s="10" t="n"/>
      <x:c r="Y64" s="9" t="n">
        <x:f>A64</x:f>
        <x:v>-0.483</x:v>
      </x:c>
      <x:c r="Z64" s="9" t="n">
        <x:f>(Inputs!$H$6+Inputs!$L$6*(((Inputs!$I$6+(((A64)+1)/2)*(Inputs!$J$6-Inputs!$I$6)))/Inputs!$K$6)^2)</x:f>
        <x:v>400.933156</x:v>
      </x:c>
      <x:c r="AA64" s="9" t="n">
        <x:f>(Inputs!$H$7+Inputs!$L$7*(((Inputs!$I$7+(((A64)+1)/2)*(Inputs!$J$7-Inputs!$I$7)))/Inputs!$K$7)^2)</x:f>
        <x:v>120.150485</x:v>
      </x:c>
      <x:c r="AB64" s="9" t="n">
        <x:f>(Inputs!$H$8+Inputs!$L$8*(((Inputs!$I$8+(((A64)+1)/2)*(Inputs!$J$8-Inputs!$I$8)))/Inputs!$K$8)^2)</x:f>
        <x:v>260.123885</x:v>
      </x:c>
      <x:c r="AC64" s="9" t="n">
        <x:f>(Inputs!$H$9+Inputs!$L$9*(((Inputs!$I$9+(((A64)+1)/2)*(Inputs!$J$9-Inputs!$I$9)))/Inputs!$K$9)^2)</x:f>
        <x:v>252.456775</x:v>
      </x:c>
      <x:c r="AD64" s="10" t="n"/>
      <x:c r="AE64" s="9" t="n">
        <x:f>A64</x:f>
        <x:v>-0.483</x:v>
      </x:c>
      <x:c r="AF64" s="9"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9"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9"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9"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10" t="n"/>
      <x:c r="AK64" s="9" t="n">
        <x:f>A64</x:f>
        <x:v>-0.483</x:v>
      </x:c>
      <x:c r="AL64" s="9"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9"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9"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9"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10" t="n"/>
      <x:c r="AQ64" s="9" t="n">
        <x:f>A64</x:f>
        <x:v>-0.483</x:v>
      </x:c>
      <x:c r="AR64" s="9" t="n">
        <x:f>0</x:f>
        <x:v>0</x:v>
      </x:c>
      <x:c r="AS64" s="9"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x:f>
        <x:v>313.3993516115093</x:v>
      </x:c>
      <x:c r="AT64" s="9"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x:f>
        <x:v>181.68211217090496</x:v>
      </x:c>
      <x:c r="AU64" s="9"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x:f>
        <x:v>119.39759898169983</x:v>
      </x:c>
      <x:c r="AV64" s="9"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x:f>
        <x:v>119.39759898169983</x:v>
      </x:c>
      <x:c r="AW64" s="10" t="n"/>
      <x:c r="AX64" s="9" t="n">
        <x:f>A64</x:f>
        <x:v>-0.483</x:v>
      </x:c>
      <x:c r="AY64" s="9" t="n">
        <x:f>0</x:f>
        <x:v>0</x:v>
      </x:c>
      <x:c r="AZ64" s="9" t="n">
        <x:f>IF(OR(Inputs!$F$6=TRUE,Inputs!$F$6="TRUE",Inputs!$F$6=1),(Inputs!$H$6+Inputs!$L$6*(((Inputs!$I$6+(((A64)+1)/2)*(Inputs!$J$6-Inputs!$I$6)))/Inputs!$K$6)^2),NA())</x:f>
        <x:v>400.933156</x:v>
      </x:c>
      <x:c r="BA64" s="9" t="n">
        <x:f>IF(OR(Inputs!$F$7=TRUE,Inputs!$F$7="TRUE",Inputs!$F$7=1),(Inputs!$H$7+Inputs!$L$7*(((Inputs!$I$7+(((A64)+1)/2)*(Inputs!$J$7-Inputs!$I$7)))/Inputs!$K$7)^2),NA())</x:f>
        <x:v>120.150485</x:v>
      </x:c>
      <x:c r="BB64" s="9" t="n">
        <x:f>IF(OR(Inputs!$F$8=TRUE,Inputs!$F$8="TRUE",Inputs!$F$8=1),(Inputs!$H$8+Inputs!$L$8*(((Inputs!$I$8+(((A64)+1)/2)*(Inputs!$J$8-Inputs!$I$8)))/Inputs!$K$8)^2),NA())</x:f>
        <x:v>260.123885</x:v>
      </x:c>
      <x:c r="BC64" s="9" t="n">
        <x:f>IF(OR(Inputs!$F$9=TRUE,Inputs!$F$9="TRUE",Inputs!$F$9=1),(Inputs!$H$9+Inputs!$L$9*(((Inputs!$I$9+(((A64)+1)/2)*(Inputs!$J$9-Inputs!$I$9)))/Inputs!$K$9)^2),NA())</x:f>
        <x:v>252.456775</x:v>
      </x:c>
      <x:c r="BD64" s="10" t="n"/>
      <x:c r="BE64" s="9" t="n">
        <x:f>A64</x:f>
        <x:v>-0.483</x:v>
      </x:c>
      <x:c r="BF64" s="9" t="n">
        <x:f>0</x:f>
        <x:v>0</x:v>
      </x:c>
      <x:c r="BG64" s="9"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9"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9"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9"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9" t="n">
        <x:f>ROUND(-1+63*2/240,3)</x:f>
        <x:v>-0.475</x:v>
      </x:c>
      <x:c r="B65" s="9" t="n">
        <x:f>IF(OR(Inputs!$F$6=TRUE,Inputs!$F$6="TRUE",Inputs!$F$6=1),(Inputs!$H$6+Inputs!$L$6*(((Inputs!$I$6+(((A65)+1)/2)*(Inputs!$J$6-Inputs!$I$6)))/Inputs!$K$6)^2),NA())</x:f>
        <x:v>400.9025</x:v>
      </x:c>
      <x:c r="C65" s="9" t="n">
        <x:f>IF(OR(Inputs!$F$7=TRUE,Inputs!$F$7="TRUE",Inputs!$F$7=1),(Inputs!$H$7+Inputs!$L$7*(((Inputs!$I$7+(((A65)+1)/2)*(Inputs!$J$7-Inputs!$I$7)))/Inputs!$K$7)^2),NA())</x:f>
        <x:v>117.35312499999999</x:v>
      </x:c>
      <x:c r="D65" s="9" t="n">
        <x:f>IF(OR(Inputs!$F$8=TRUE,Inputs!$F$8="TRUE",Inputs!$F$8=1),(Inputs!$H$8+Inputs!$L$8*(((Inputs!$I$8+(((A65)+1)/2)*(Inputs!$J$8-Inputs!$I$8)))/Inputs!$K$8)^2),NA())</x:f>
        <x:v>252.728125</x:v>
      </x:c>
      <x:c r="E65" s="9" t="n">
        <x:f>IF(OR(Inputs!$F$9=TRUE,Inputs!$F$9="TRUE",Inputs!$F$9=1),(Inputs!$H$9+Inputs!$L$9*(((Inputs!$I$9+(((A65)+1)/2)*(Inputs!$J$9-Inputs!$I$9)))/Inputs!$K$9)^2),NA())</x:f>
        <x:v>244.984375</x:v>
      </x:c>
      <x:c r="F65" s="10" t="n"/>
      <x:c r="G65" s="9" t="n">
        <x:f>A65</x:f>
        <x:v>-0.475</x:v>
      </x:c>
      <x:c r="H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10" t="n"/>
      <x:c r="M65" s="9" t="n">
        <x:f>A65</x:f>
        <x:v>-0.475</x:v>
      </x:c>
      <x:c r="N65" s="9"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9"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9"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9"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10" t="n"/>
      <x:c r="S65" s="9" t="n">
        <x:f>A65</x:f>
        <x:v>-0.475</x:v>
      </x:c>
      <x:c r="T65" s="9" t="n">
        <x:f>(Inputs!$I$6+(((A65)+1)/2)*(Inputs!$J$6-Inputs!$I$6))</x:f>
        <x:v>-28.5</x:v>
      </x:c>
      <x:c r="U65" s="9" t="n">
        <x:f>(Inputs!$I$7+(((A65)+1)/2)*(Inputs!$J$7-Inputs!$I$7))</x:f>
        <x:v>-190</x:v>
      </x:c>
      <x:c r="V65" s="9" t="n">
        <x:f>(Inputs!$I$8+(((A65)+1)/2)*(Inputs!$J$8-Inputs!$I$8))</x:f>
        <x:v>-380</x:v>
      </x:c>
      <x:c r="W65" s="9" t="n">
        <x:f>(Inputs!$I$9+(((A65)+1)/2)*(Inputs!$J$9-Inputs!$I$9))</x:f>
        <x:v>-380</x:v>
      </x:c>
      <x:c r="X65" s="10" t="n"/>
      <x:c r="Y65" s="9" t="n">
        <x:f>A65</x:f>
        <x:v>-0.475</x:v>
      </x:c>
      <x:c r="Z65" s="9" t="n">
        <x:f>(Inputs!$H$6+Inputs!$L$6*(((Inputs!$I$6+(((A65)+1)/2)*(Inputs!$J$6-Inputs!$I$6)))/Inputs!$K$6)^2)</x:f>
        <x:v>400.9025</x:v>
      </x:c>
      <x:c r="AA65" s="9" t="n">
        <x:f>(Inputs!$H$7+Inputs!$L$7*(((Inputs!$I$7+(((A65)+1)/2)*(Inputs!$J$7-Inputs!$I$7)))/Inputs!$K$7)^2)</x:f>
        <x:v>117.35312499999999</x:v>
      </x:c>
      <x:c r="AB65" s="9" t="n">
        <x:f>(Inputs!$H$8+Inputs!$L$8*(((Inputs!$I$8+(((A65)+1)/2)*(Inputs!$J$8-Inputs!$I$8)))/Inputs!$K$8)^2)</x:f>
        <x:v>252.728125</x:v>
      </x:c>
      <x:c r="AC65" s="9" t="n">
        <x:f>(Inputs!$H$9+Inputs!$L$9*(((Inputs!$I$9+(((A65)+1)/2)*(Inputs!$J$9-Inputs!$I$9)))/Inputs!$K$9)^2)</x:f>
        <x:v>244.984375</x:v>
      </x:c>
      <x:c r="AD65" s="10" t="n"/>
      <x:c r="AE65" s="9" t="n">
        <x:f>A65</x:f>
        <x:v>-0.475</x:v>
      </x:c>
      <x:c r="AF65" s="9"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9"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9"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9"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10" t="n"/>
      <x:c r="AK65" s="9" t="n">
        <x:f>A65</x:f>
        <x:v>-0.475</x:v>
      </x:c>
      <x:c r="AL65" s="9"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9"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9"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9"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10" t="n"/>
      <x:c r="AQ65" s="9" t="n">
        <x:f>A65</x:f>
        <x:v>-0.475</x:v>
      </x:c>
      <x:c r="AR65" s="9" t="n">
        <x:f>0</x:f>
        <x:v>0</x:v>
      </x:c>
      <x:c r="AS65" s="9"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x:f>
        <x:v>310.24247262167495</x:v>
      </x:c>
      <x:c r="AT65" s="9"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x:f>
        <x:v>192.36525445858373</x:v>
      </x:c>
      <x:c r="AU65" s="9"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x:f>
        <x:v>124.30714013426088</x:v>
      </x:c>
      <x:c r="AV65" s="9"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x:f>
        <x:v>124.30714013426088</x:v>
      </x:c>
      <x:c r="AW65" s="10" t="n"/>
      <x:c r="AX65" s="9" t="n">
        <x:f>A65</x:f>
        <x:v>-0.475</x:v>
      </x:c>
      <x:c r="AY65" s="9" t="n">
        <x:f>0</x:f>
        <x:v>0</x:v>
      </x:c>
      <x:c r="AZ65" s="9" t="n">
        <x:f>IF(OR(Inputs!$F$6=TRUE,Inputs!$F$6="TRUE",Inputs!$F$6=1),(Inputs!$H$6+Inputs!$L$6*(((Inputs!$I$6+(((A65)+1)/2)*(Inputs!$J$6-Inputs!$I$6)))/Inputs!$K$6)^2),NA())</x:f>
        <x:v>400.9025</x:v>
      </x:c>
      <x:c r="BA65" s="9" t="n">
        <x:f>IF(OR(Inputs!$F$7=TRUE,Inputs!$F$7="TRUE",Inputs!$F$7=1),(Inputs!$H$7+Inputs!$L$7*(((Inputs!$I$7+(((A65)+1)/2)*(Inputs!$J$7-Inputs!$I$7)))/Inputs!$K$7)^2),NA())</x:f>
        <x:v>117.35312499999999</x:v>
      </x:c>
      <x:c r="BB65" s="9" t="n">
        <x:f>IF(OR(Inputs!$F$8=TRUE,Inputs!$F$8="TRUE",Inputs!$F$8=1),(Inputs!$H$8+Inputs!$L$8*(((Inputs!$I$8+(((A65)+1)/2)*(Inputs!$J$8-Inputs!$I$8)))/Inputs!$K$8)^2),NA())</x:f>
        <x:v>252.728125</x:v>
      </x:c>
      <x:c r="BC65" s="9" t="n">
        <x:f>IF(OR(Inputs!$F$9=TRUE,Inputs!$F$9="TRUE",Inputs!$F$9=1),(Inputs!$H$9+Inputs!$L$9*(((Inputs!$I$9+(((A65)+1)/2)*(Inputs!$J$9-Inputs!$I$9)))/Inputs!$K$9)^2),NA())</x:f>
        <x:v>244.984375</x:v>
      </x:c>
      <x:c r="BD65" s="10" t="n"/>
      <x:c r="BE65" s="9" t="n">
        <x:f>A65</x:f>
        <x:v>-0.475</x:v>
      </x:c>
      <x:c r="BF65" s="9" t="n">
        <x:f>0</x:f>
        <x:v>0</x:v>
      </x:c>
      <x:c r="BG65" s="9"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9"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9"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9"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9" t="n">
        <x:f>ROUND(-1+64*2/240,3)</x:f>
        <x:v>-0.467</x:v>
      </x:c>
      <x:c r="B66" s="9" t="n">
        <x:f>IF(OR(Inputs!$F$6=TRUE,Inputs!$F$6="TRUE",Inputs!$F$6=1),(Inputs!$H$6+Inputs!$L$6*(((Inputs!$I$6+(((A66)+1)/2)*(Inputs!$J$6-Inputs!$I$6)))/Inputs!$K$6)^2),NA())</x:f>
        <x:v>400.872356</x:v>
      </x:c>
      <x:c r="C66" s="9" t="n">
        <x:f>IF(OR(Inputs!$F$7=TRUE,Inputs!$F$7="TRUE",Inputs!$F$7=1),(Inputs!$H$7+Inputs!$L$7*(((Inputs!$I$7+(((A66)+1)/2)*(Inputs!$J$7-Inputs!$I$7)))/Inputs!$K$7)^2),NA())</x:f>
        <x:v>114.60248500000003</x:v>
      </x:c>
      <x:c r="D66" s="9" t="n">
        <x:f>IF(OR(Inputs!$F$8=TRUE,Inputs!$F$8="TRUE",Inputs!$F$8=1),(Inputs!$H$8+Inputs!$L$8*(((Inputs!$I$8+(((A66)+1)/2)*(Inputs!$J$8-Inputs!$I$8)))/Inputs!$K$8)^2),NA())</x:f>
        <x:v>245.45588500000008</x:v>
      </x:c>
      <x:c r="E66" s="9" t="n">
        <x:f>IF(OR(Inputs!$F$9=TRUE,Inputs!$F$9="TRUE",Inputs!$F$9=1),(Inputs!$H$9+Inputs!$L$9*(((Inputs!$I$9+(((A66)+1)/2)*(Inputs!$J$9-Inputs!$I$9)))/Inputs!$K$9)^2),NA())</x:f>
        <x:v>237.63677500000009</x:v>
      </x:c>
      <x:c r="F66" s="10" t="n"/>
      <x:c r="G66" s="9" t="n">
        <x:f>A66</x:f>
        <x:v>-0.467</x:v>
      </x:c>
      <x:c r="H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10" t="n"/>
      <x:c r="M66" s="9" t="n">
        <x:f>A66</x:f>
        <x:v>-0.467</x:v>
      </x:c>
      <x:c r="N66" s="9"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9"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9"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9"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10" t="n"/>
      <x:c r="S66" s="9" t="n">
        <x:f>A66</x:f>
        <x:v>-0.467</x:v>
      </x:c>
      <x:c r="T66" s="9" t="n">
        <x:f>(Inputs!$I$6+(((A66)+1)/2)*(Inputs!$J$6-Inputs!$I$6))</x:f>
        <x:v>-28.020000000000003</x:v>
      </x:c>
      <x:c r="U66" s="9" t="n">
        <x:f>(Inputs!$I$7+(((A66)+1)/2)*(Inputs!$J$7-Inputs!$I$7))</x:f>
        <x:v>-186.80000000000004</x:v>
      </x:c>
      <x:c r="V66" s="9" t="n">
        <x:f>(Inputs!$I$8+(((A66)+1)/2)*(Inputs!$J$8-Inputs!$I$8))</x:f>
        <x:v>-373.6000000000001</x:v>
      </x:c>
      <x:c r="W66" s="9" t="n">
        <x:f>(Inputs!$I$9+(((A66)+1)/2)*(Inputs!$J$9-Inputs!$I$9))</x:f>
        <x:v>-373.6000000000001</x:v>
      </x:c>
      <x:c r="X66" s="10" t="n"/>
      <x:c r="Y66" s="9" t="n">
        <x:f>A66</x:f>
        <x:v>-0.467</x:v>
      </x:c>
      <x:c r="Z66" s="9" t="n">
        <x:f>(Inputs!$H$6+Inputs!$L$6*(((Inputs!$I$6+(((A66)+1)/2)*(Inputs!$J$6-Inputs!$I$6)))/Inputs!$K$6)^2)</x:f>
        <x:v>400.872356</x:v>
      </x:c>
      <x:c r="AA66" s="9" t="n">
        <x:f>(Inputs!$H$7+Inputs!$L$7*(((Inputs!$I$7+(((A66)+1)/2)*(Inputs!$J$7-Inputs!$I$7)))/Inputs!$K$7)^2)</x:f>
        <x:v>114.60248500000003</x:v>
      </x:c>
      <x:c r="AB66" s="9" t="n">
        <x:f>(Inputs!$H$8+Inputs!$L$8*(((Inputs!$I$8+(((A66)+1)/2)*(Inputs!$J$8-Inputs!$I$8)))/Inputs!$K$8)^2)</x:f>
        <x:v>245.45588500000008</x:v>
      </x:c>
      <x:c r="AC66" s="9" t="n">
        <x:f>(Inputs!$H$9+Inputs!$L$9*(((Inputs!$I$9+(((A66)+1)/2)*(Inputs!$J$9-Inputs!$I$9)))/Inputs!$K$9)^2)</x:f>
        <x:v>237.63677500000009</x:v>
      </x:c>
      <x:c r="AD66" s="10" t="n"/>
      <x:c r="AE66" s="9" t="n">
        <x:f>A66</x:f>
        <x:v>-0.467</x:v>
      </x:c>
      <x:c r="AF66" s="9"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9"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9"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9"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10" t="n"/>
      <x:c r="AK66" s="9" t="n">
        <x:f>A66</x:f>
        <x:v>-0.467</x:v>
      </x:c>
      <x:c r="AL66" s="9"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9"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9"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9"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10" t="n"/>
      <x:c r="AQ66" s="9" t="n">
        <x:f>A66</x:f>
        <x:v>-0.467</x:v>
      </x:c>
      <x:c r="AR66" s="9" t="n">
        <x:f>0</x:f>
        <x:v>0</x:v>
      </x:c>
      <x:c r="AS66" s="9"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x:f>
        <x:v>309.7202524852771</x:v>
      </x:c>
      <x:c r="AT66" s="9"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x:f>
        <x:v>159.22773232045836</x:v>
      </x:c>
      <x:c r="AU66" s="9"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x:f>
        <x:v>169.8404375178821</x:v>
      </x:c>
      <x:c r="AV66" s="9"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x:f>
        <x:v>169.8404375178821</x:v>
      </x:c>
      <x:c r="AW66" s="10" t="n"/>
      <x:c r="AX66" s="9" t="n">
        <x:f>A66</x:f>
        <x:v>-0.467</x:v>
      </x:c>
      <x:c r="AY66" s="9" t="n">
        <x:f>0</x:f>
        <x:v>0</x:v>
      </x:c>
      <x:c r="AZ66" s="9" t="n">
        <x:f>IF(OR(Inputs!$F$6=TRUE,Inputs!$F$6="TRUE",Inputs!$F$6=1),(Inputs!$H$6+Inputs!$L$6*(((Inputs!$I$6+(((A66)+1)/2)*(Inputs!$J$6-Inputs!$I$6)))/Inputs!$K$6)^2),NA())</x:f>
        <x:v>400.872356</x:v>
      </x:c>
      <x:c r="BA66" s="9" t="n">
        <x:f>IF(OR(Inputs!$F$7=TRUE,Inputs!$F$7="TRUE",Inputs!$F$7=1),(Inputs!$H$7+Inputs!$L$7*(((Inputs!$I$7+(((A66)+1)/2)*(Inputs!$J$7-Inputs!$I$7)))/Inputs!$K$7)^2),NA())</x:f>
        <x:v>114.60248500000003</x:v>
      </x:c>
      <x:c r="BB66" s="9" t="n">
        <x:f>IF(OR(Inputs!$F$8=TRUE,Inputs!$F$8="TRUE",Inputs!$F$8=1),(Inputs!$H$8+Inputs!$L$8*(((Inputs!$I$8+(((A66)+1)/2)*(Inputs!$J$8-Inputs!$I$8)))/Inputs!$K$8)^2),NA())</x:f>
        <x:v>245.45588500000008</x:v>
      </x:c>
      <x:c r="BC66" s="9" t="n">
        <x:f>IF(OR(Inputs!$F$9=TRUE,Inputs!$F$9="TRUE",Inputs!$F$9=1),(Inputs!$H$9+Inputs!$L$9*(((Inputs!$I$9+(((A66)+1)/2)*(Inputs!$J$9-Inputs!$I$9)))/Inputs!$K$9)^2),NA())</x:f>
        <x:v>237.63677500000009</x:v>
      </x:c>
      <x:c r="BD66" s="10" t="n"/>
      <x:c r="BE66" s="9" t="n">
        <x:f>A66</x:f>
        <x:v>-0.467</x:v>
      </x:c>
      <x:c r="BF66" s="9" t="n">
        <x:f>0</x:f>
        <x:v>0</x:v>
      </x:c>
      <x:c r="BG66" s="9"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9"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9"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9"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9" t="n">
        <x:f>ROUND(-1+65*2/240,3)</x:f>
        <x:v>-0.458</x:v>
      </x:c>
      <x:c r="B67" s="9" t="n">
        <x:f>IF(OR(Inputs!$F$6=TRUE,Inputs!$F$6="TRUE",Inputs!$F$6=1),(Inputs!$H$6+Inputs!$L$6*(((Inputs!$I$6+(((A67)+1)/2)*(Inputs!$J$6-Inputs!$I$6)))/Inputs!$K$6)^2),NA())</x:f>
        <x:v>400.839056</x:v>
      </x:c>
      <x:c r="C67" s="9" t="n">
        <x:f>IF(OR(Inputs!$F$7=TRUE,Inputs!$F$7="TRUE",Inputs!$F$7=1),(Inputs!$H$7+Inputs!$L$7*(((Inputs!$I$7+(((A67)+1)/2)*(Inputs!$J$7-Inputs!$I$7)))/Inputs!$K$7)^2),NA())</x:f>
        <x:v>111.56385999999999</x:v>
      </x:c>
      <x:c r="D67" s="9" t="n">
        <x:f>IF(OR(Inputs!$F$8=TRUE,Inputs!$F$8="TRUE",Inputs!$F$8=1),(Inputs!$H$8+Inputs!$L$8*(((Inputs!$I$8+(((A67)+1)/2)*(Inputs!$J$8-Inputs!$I$8)))/Inputs!$K$8)^2),NA())</x:f>
        <x:v>237.42225999999997</x:v>
      </x:c>
      <x:c r="E67" s="9" t="n">
        <x:f>IF(OR(Inputs!$F$9=TRUE,Inputs!$F$9="TRUE",Inputs!$F$9=1),(Inputs!$H$9+Inputs!$L$9*(((Inputs!$I$9+(((A67)+1)/2)*(Inputs!$J$9-Inputs!$I$9)))/Inputs!$K$9)^2),NA())</x:f>
        <x:v>229.51989999999998</x:v>
      </x:c>
      <x:c r="F67" s="10" t="n"/>
      <x:c r="G67" s="9" t="n">
        <x:f>A67</x:f>
        <x:v>-0.458</x:v>
      </x:c>
      <x:c r="H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10" t="n"/>
      <x:c r="M67" s="9" t="n">
        <x:f>A67</x:f>
        <x:v>-0.458</x:v>
      </x:c>
      <x:c r="N67" s="9"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9"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9"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9"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10" t="n"/>
      <x:c r="S67" s="9" t="n">
        <x:f>A67</x:f>
        <x:v>-0.458</x:v>
      </x:c>
      <x:c r="T67" s="9" t="n">
        <x:f>(Inputs!$I$6+(((A67)+1)/2)*(Inputs!$J$6-Inputs!$I$6))</x:f>
        <x:v>-27.479999999999997</x:v>
      </x:c>
      <x:c r="U67" s="9" t="n">
        <x:f>(Inputs!$I$7+(((A67)+1)/2)*(Inputs!$J$7-Inputs!$I$7))</x:f>
        <x:v>-183.2</x:v>
      </x:c>
      <x:c r="V67" s="9" t="n">
        <x:f>(Inputs!$I$8+(((A67)+1)/2)*(Inputs!$J$8-Inputs!$I$8))</x:f>
        <x:v>-366.4</x:v>
      </x:c>
      <x:c r="W67" s="9" t="n">
        <x:f>(Inputs!$I$9+(((A67)+1)/2)*(Inputs!$J$9-Inputs!$I$9))</x:f>
        <x:v>-366.4</x:v>
      </x:c>
      <x:c r="X67" s="10" t="n"/>
      <x:c r="Y67" s="9" t="n">
        <x:f>A67</x:f>
        <x:v>-0.458</x:v>
      </x:c>
      <x:c r="Z67" s="9" t="n">
        <x:f>(Inputs!$H$6+Inputs!$L$6*(((Inputs!$I$6+(((A67)+1)/2)*(Inputs!$J$6-Inputs!$I$6)))/Inputs!$K$6)^2)</x:f>
        <x:v>400.839056</x:v>
      </x:c>
      <x:c r="AA67" s="9" t="n">
        <x:f>(Inputs!$H$7+Inputs!$L$7*(((Inputs!$I$7+(((A67)+1)/2)*(Inputs!$J$7-Inputs!$I$7)))/Inputs!$K$7)^2)</x:f>
        <x:v>111.56385999999999</x:v>
      </x:c>
      <x:c r="AB67" s="9" t="n">
        <x:f>(Inputs!$H$8+Inputs!$L$8*(((Inputs!$I$8+(((A67)+1)/2)*(Inputs!$J$8-Inputs!$I$8)))/Inputs!$K$8)^2)</x:f>
        <x:v>237.42225999999997</x:v>
      </x:c>
      <x:c r="AC67" s="9" t="n">
        <x:f>(Inputs!$H$9+Inputs!$L$9*(((Inputs!$I$9+(((A67)+1)/2)*(Inputs!$J$9-Inputs!$I$9)))/Inputs!$K$9)^2)</x:f>
        <x:v>229.51989999999998</x:v>
      </x:c>
      <x:c r="AD67" s="10" t="n"/>
      <x:c r="AE67" s="9" t="n">
        <x:f>A67</x:f>
        <x:v>-0.458</x:v>
      </x:c>
      <x:c r="AF67" s="9"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9"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9"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9"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10" t="n"/>
      <x:c r="AK67" s="9" t="n">
        <x:f>A67</x:f>
        <x:v>-0.458</x:v>
      </x:c>
      <x:c r="AL67" s="9"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9"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9"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9"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10" t="n"/>
      <x:c r="AQ67" s="9" t="n">
        <x:f>A67</x:f>
        <x:v>-0.458</x:v>
      </x:c>
      <x:c r="AR67" s="9" t="n">
        <x:f>0</x:f>
        <x:v>0</x:v>
      </x:c>
      <x:c r="AS67" s="9"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x:f>
        <x:v>291.14730692281495</x:v>
      </x:c>
      <x:c r="AT67" s="9"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x:f>
        <x:v>87.90272205454784</x:v>
      </x:c>
      <x:c r="AU67" s="9"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x:f>
        <x:v>107.46005409193637</x:v>
      </x:c>
      <x:c r="AV67" s="9"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x:f>
        <x:v>107.46005409193637</x:v>
      </x:c>
      <x:c r="AW67" s="10" t="n"/>
      <x:c r="AX67" s="9" t="n">
        <x:f>A67</x:f>
        <x:v>-0.458</x:v>
      </x:c>
      <x:c r="AY67" s="9" t="n">
        <x:f>0</x:f>
        <x:v>0</x:v>
      </x:c>
      <x:c r="AZ67" s="9" t="n">
        <x:f>IF(OR(Inputs!$F$6=TRUE,Inputs!$F$6="TRUE",Inputs!$F$6=1),(Inputs!$H$6+Inputs!$L$6*(((Inputs!$I$6+(((A67)+1)/2)*(Inputs!$J$6-Inputs!$I$6)))/Inputs!$K$6)^2),NA())</x:f>
        <x:v>400.839056</x:v>
      </x:c>
      <x:c r="BA67" s="9" t="n">
        <x:f>IF(OR(Inputs!$F$7=TRUE,Inputs!$F$7="TRUE",Inputs!$F$7=1),(Inputs!$H$7+Inputs!$L$7*(((Inputs!$I$7+(((A67)+1)/2)*(Inputs!$J$7-Inputs!$I$7)))/Inputs!$K$7)^2),NA())</x:f>
        <x:v>111.56385999999999</x:v>
      </x:c>
      <x:c r="BB67" s="9" t="n">
        <x:f>IF(OR(Inputs!$F$8=TRUE,Inputs!$F$8="TRUE",Inputs!$F$8=1),(Inputs!$H$8+Inputs!$L$8*(((Inputs!$I$8+(((A67)+1)/2)*(Inputs!$J$8-Inputs!$I$8)))/Inputs!$K$8)^2),NA())</x:f>
        <x:v>237.42225999999997</x:v>
      </x:c>
      <x:c r="BC67" s="9" t="n">
        <x:f>IF(OR(Inputs!$F$9=TRUE,Inputs!$F$9="TRUE",Inputs!$F$9=1),(Inputs!$H$9+Inputs!$L$9*(((Inputs!$I$9+(((A67)+1)/2)*(Inputs!$J$9-Inputs!$I$9)))/Inputs!$K$9)^2),NA())</x:f>
        <x:v>229.51989999999998</x:v>
      </x:c>
      <x:c r="BD67" s="10" t="n"/>
      <x:c r="BE67" s="9" t="n">
        <x:f>A67</x:f>
        <x:v>-0.458</x:v>
      </x:c>
      <x:c r="BF67" s="9" t="n">
        <x:f>0</x:f>
        <x:v>0</x:v>
      </x:c>
      <x:c r="BG67" s="9"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9"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9"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9"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9" t="n">
        <x:f>ROUND(-1+66*2/240,3)</x:f>
        <x:v>-0.45</x:v>
      </x:c>
      <x:c r="B68" s="9" t="n">
        <x:f>IF(OR(Inputs!$F$6=TRUE,Inputs!$F$6="TRUE",Inputs!$F$6=1),(Inputs!$H$6+Inputs!$L$6*(((Inputs!$I$6+(((A68)+1)/2)*(Inputs!$J$6-Inputs!$I$6)))/Inputs!$K$6)^2),NA())</x:f>
        <x:v>400.81</x:v>
      </x:c>
      <x:c r="C68" s="9" t="n">
        <x:f>IF(OR(Inputs!$F$7=TRUE,Inputs!$F$7="TRUE",Inputs!$F$7=1),(Inputs!$H$7+Inputs!$L$7*(((Inputs!$I$7+(((A68)+1)/2)*(Inputs!$J$7-Inputs!$I$7)))/Inputs!$K$7)^2),NA())</x:f>
        <x:v>108.91249999999998</x:v>
      </x:c>
      <x:c r="D68" s="9" t="n">
        <x:f>IF(OR(Inputs!$F$8=TRUE,Inputs!$F$8="TRUE",Inputs!$F$8=1),(Inputs!$H$8+Inputs!$L$8*(((Inputs!$I$8+(((A68)+1)/2)*(Inputs!$J$8-Inputs!$I$8)))/Inputs!$K$8)^2),NA())</x:f>
        <x:v>230.41249999999997</x:v>
      </x:c>
      <x:c r="E68" s="9" t="n">
        <x:f>IF(OR(Inputs!$F$9=TRUE,Inputs!$F$9="TRUE",Inputs!$F$9=1),(Inputs!$H$9+Inputs!$L$9*(((Inputs!$I$9+(((A68)+1)/2)*(Inputs!$J$9-Inputs!$I$9)))/Inputs!$K$9)^2),NA())</x:f>
        <x:v>222.43749999999997</x:v>
      </x:c>
      <x:c r="F68" s="10" t="n"/>
      <x:c r="G68" s="9" t="n">
        <x:f>A68</x:f>
        <x:v>-0.45</x:v>
      </x:c>
      <x:c r="H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10" t="n"/>
      <x:c r="M68" s="9" t="n">
        <x:f>A68</x:f>
        <x:v>-0.45</x:v>
      </x:c>
      <x:c r="N68" s="9"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9"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9"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9"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10" t="n"/>
      <x:c r="S68" s="9" t="n">
        <x:f>A68</x:f>
        <x:v>-0.45</x:v>
      </x:c>
      <x:c r="T68" s="9" t="n">
        <x:f>(Inputs!$I$6+(((A68)+1)/2)*(Inputs!$J$6-Inputs!$I$6))</x:f>
        <x:v>-27</x:v>
      </x:c>
      <x:c r="U68" s="9" t="n">
        <x:f>(Inputs!$I$7+(((A68)+1)/2)*(Inputs!$J$7-Inputs!$I$7))</x:f>
        <x:v>-179.99999999999997</x:v>
      </x:c>
      <x:c r="V68" s="9" t="n">
        <x:f>(Inputs!$I$8+(((A68)+1)/2)*(Inputs!$J$8-Inputs!$I$8))</x:f>
        <x:v>-359.99999999999994</x:v>
      </x:c>
      <x:c r="W68" s="9" t="n">
        <x:f>(Inputs!$I$9+(((A68)+1)/2)*(Inputs!$J$9-Inputs!$I$9))</x:f>
        <x:v>-359.99999999999994</x:v>
      </x:c>
      <x:c r="X68" s="10" t="n"/>
      <x:c r="Y68" s="9" t="n">
        <x:f>A68</x:f>
        <x:v>-0.45</x:v>
      </x:c>
      <x:c r="Z68" s="9" t="n">
        <x:f>(Inputs!$H$6+Inputs!$L$6*(((Inputs!$I$6+(((A68)+1)/2)*(Inputs!$J$6-Inputs!$I$6)))/Inputs!$K$6)^2)</x:f>
        <x:v>400.81</x:v>
      </x:c>
      <x:c r="AA68" s="9" t="n">
        <x:f>(Inputs!$H$7+Inputs!$L$7*(((Inputs!$I$7+(((A68)+1)/2)*(Inputs!$J$7-Inputs!$I$7)))/Inputs!$K$7)^2)</x:f>
        <x:v>108.91249999999998</x:v>
      </x:c>
      <x:c r="AB68" s="9" t="n">
        <x:f>(Inputs!$H$8+Inputs!$L$8*(((Inputs!$I$8+(((A68)+1)/2)*(Inputs!$J$8-Inputs!$I$8)))/Inputs!$K$8)^2)</x:f>
        <x:v>230.41249999999997</x:v>
      </x:c>
      <x:c r="AC68" s="9" t="n">
        <x:f>(Inputs!$H$9+Inputs!$L$9*(((Inputs!$I$9+(((A68)+1)/2)*(Inputs!$J$9-Inputs!$I$9)))/Inputs!$K$9)^2)</x:f>
        <x:v>222.43749999999997</x:v>
      </x:c>
      <x:c r="AD68" s="10" t="n"/>
      <x:c r="AE68" s="9" t="n">
        <x:f>A68</x:f>
        <x:v>-0.45</x:v>
      </x:c>
      <x:c r="AF68" s="9"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9"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9"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9"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10" t="n"/>
      <x:c r="AK68" s="9" t="n">
        <x:f>A68</x:f>
        <x:v>-0.45</x:v>
      </x:c>
      <x:c r="AL68" s="9"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9"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9"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9"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10" t="n"/>
      <x:c r="AQ68" s="9" t="n">
        <x:f>A68</x:f>
        <x:v>-0.45</x:v>
      </x:c>
      <x:c r="AR68" s="9" t="n">
        <x:f>0</x:f>
        <x:v>0</x:v>
      </x:c>
      <x:c r="AS68" s="9"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x:f>
        <x:v>289.34226854097847</x:v>
      </x:c>
      <x:c r="AT68" s="9"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x:f>
        <x:v>141.81143429065708</x:v>
      </x:c>
      <x:c r="AU68" s="9"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x:f>
        <x:v>99.30495969282518</x:v>
      </x:c>
      <x:c r="AV68" s="9"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x:f>
        <x:v>99.30495969282518</x:v>
      </x:c>
      <x:c r="AW68" s="10" t="n"/>
      <x:c r="AX68" s="9" t="n">
        <x:f>A68</x:f>
        <x:v>-0.45</x:v>
      </x:c>
      <x:c r="AY68" s="9" t="n">
        <x:f>0</x:f>
        <x:v>0</x:v>
      </x:c>
      <x:c r="AZ68" s="9" t="n">
        <x:f>IF(OR(Inputs!$F$6=TRUE,Inputs!$F$6="TRUE",Inputs!$F$6=1),(Inputs!$H$6+Inputs!$L$6*(((Inputs!$I$6+(((A68)+1)/2)*(Inputs!$J$6-Inputs!$I$6)))/Inputs!$K$6)^2),NA())</x:f>
        <x:v>400.81</x:v>
      </x:c>
      <x:c r="BA68" s="9" t="n">
        <x:f>IF(OR(Inputs!$F$7=TRUE,Inputs!$F$7="TRUE",Inputs!$F$7=1),(Inputs!$H$7+Inputs!$L$7*(((Inputs!$I$7+(((A68)+1)/2)*(Inputs!$J$7-Inputs!$I$7)))/Inputs!$K$7)^2),NA())</x:f>
        <x:v>108.91249999999998</x:v>
      </x:c>
      <x:c r="BB68" s="9" t="n">
        <x:f>IF(OR(Inputs!$F$8=TRUE,Inputs!$F$8="TRUE",Inputs!$F$8=1),(Inputs!$H$8+Inputs!$L$8*(((Inputs!$I$8+(((A68)+1)/2)*(Inputs!$J$8-Inputs!$I$8)))/Inputs!$K$8)^2),NA())</x:f>
        <x:v>230.41249999999997</x:v>
      </x:c>
      <x:c r="BC68" s="9" t="n">
        <x:f>IF(OR(Inputs!$F$9=TRUE,Inputs!$F$9="TRUE",Inputs!$F$9=1),(Inputs!$H$9+Inputs!$L$9*(((Inputs!$I$9+(((A68)+1)/2)*(Inputs!$J$9-Inputs!$I$9)))/Inputs!$K$9)^2),NA())</x:f>
        <x:v>222.43749999999997</x:v>
      </x:c>
      <x:c r="BD68" s="10" t="n"/>
      <x:c r="BE68" s="9" t="n">
        <x:f>A68</x:f>
        <x:v>-0.45</x:v>
      </x:c>
      <x:c r="BF68" s="9" t="n">
        <x:f>0</x:f>
        <x:v>0</x:v>
      </x:c>
      <x:c r="BG68" s="9"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9"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9"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9"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9" t="n">
        <x:f>ROUND(-1+67*2/240,3)</x:f>
        <x:v>-0.442</x:v>
      </x:c>
      <x:c r="B69" s="9" t="n">
        <x:f>IF(OR(Inputs!$F$6=TRUE,Inputs!$F$6="TRUE",Inputs!$F$6=1),(Inputs!$H$6+Inputs!$L$6*(((Inputs!$I$6+(((A69)+1)/2)*(Inputs!$J$6-Inputs!$I$6)))/Inputs!$K$6)^2),NA())</x:f>
        <x:v>400.781456</x:v>
      </x:c>
      <x:c r="C69" s="9" t="n">
        <x:f>IF(OR(Inputs!$F$7=TRUE,Inputs!$F$7="TRUE",Inputs!$F$7=1),(Inputs!$H$7+Inputs!$L$7*(((Inputs!$I$7+(((A69)+1)/2)*(Inputs!$J$7-Inputs!$I$7)))/Inputs!$K$7)^2),NA())</x:f>
        <x:v>106.30785999999998</x:v>
      </x:c>
      <x:c r="D69" s="9" t="n">
        <x:f>IF(OR(Inputs!$F$8=TRUE,Inputs!$F$8="TRUE",Inputs!$F$8=1),(Inputs!$H$8+Inputs!$L$8*(((Inputs!$I$8+(((A69)+1)/2)*(Inputs!$J$8-Inputs!$I$8)))/Inputs!$K$8)^2),NA())</x:f>
        <x:v>223.52625999999995</x:v>
      </x:c>
      <x:c r="E69" s="9" t="n">
        <x:f>IF(OR(Inputs!$F$9=TRUE,Inputs!$F$9="TRUE",Inputs!$F$9=1),(Inputs!$H$9+Inputs!$L$9*(((Inputs!$I$9+(((A69)+1)/2)*(Inputs!$J$9-Inputs!$I$9)))/Inputs!$K$9)^2),NA())</x:f>
        <x:v>215.47989999999996</x:v>
      </x:c>
      <x:c r="F69" s="10" t="n"/>
      <x:c r="G69" s="9" t="n">
        <x:f>A69</x:f>
        <x:v>-0.442</x:v>
      </x:c>
      <x:c r="H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10" t="n"/>
      <x:c r="M69" s="9" t="n">
        <x:f>A69</x:f>
        <x:v>-0.442</x:v>
      </x:c>
      <x:c r="N69" s="9"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9"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9"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9"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10" t="n"/>
      <x:c r="S69" s="9" t="n">
        <x:f>A69</x:f>
        <x:v>-0.442</x:v>
      </x:c>
      <x:c r="T69" s="9" t="n">
        <x:f>(Inputs!$I$6+(((A69)+1)/2)*(Inputs!$J$6-Inputs!$I$6))</x:f>
        <x:v>-26.519999999999996</x:v>
      </x:c>
      <x:c r="U69" s="9" t="n">
        <x:f>(Inputs!$I$7+(((A69)+1)/2)*(Inputs!$J$7-Inputs!$I$7))</x:f>
        <x:v>-176.79999999999998</x:v>
      </x:c>
      <x:c r="V69" s="9" t="n">
        <x:f>(Inputs!$I$8+(((A69)+1)/2)*(Inputs!$J$8-Inputs!$I$8))</x:f>
        <x:v>-353.59999999999997</x:v>
      </x:c>
      <x:c r="W69" s="9" t="n">
        <x:f>(Inputs!$I$9+(((A69)+1)/2)*(Inputs!$J$9-Inputs!$I$9))</x:f>
        <x:v>-353.59999999999997</x:v>
      </x:c>
      <x:c r="X69" s="10" t="n"/>
      <x:c r="Y69" s="9" t="n">
        <x:f>A69</x:f>
        <x:v>-0.442</x:v>
      </x:c>
      <x:c r="Z69" s="9" t="n">
        <x:f>(Inputs!$H$6+Inputs!$L$6*(((Inputs!$I$6+(((A69)+1)/2)*(Inputs!$J$6-Inputs!$I$6)))/Inputs!$K$6)^2)</x:f>
        <x:v>400.781456</x:v>
      </x:c>
      <x:c r="AA69" s="9" t="n">
        <x:f>(Inputs!$H$7+Inputs!$L$7*(((Inputs!$I$7+(((A69)+1)/2)*(Inputs!$J$7-Inputs!$I$7)))/Inputs!$K$7)^2)</x:f>
        <x:v>106.30785999999998</x:v>
      </x:c>
      <x:c r="AB69" s="9" t="n">
        <x:f>(Inputs!$H$8+Inputs!$L$8*(((Inputs!$I$8+(((A69)+1)/2)*(Inputs!$J$8-Inputs!$I$8)))/Inputs!$K$8)^2)</x:f>
        <x:v>223.52625999999995</x:v>
      </x:c>
      <x:c r="AC69" s="9" t="n">
        <x:f>(Inputs!$H$9+Inputs!$L$9*(((Inputs!$I$9+(((A69)+1)/2)*(Inputs!$J$9-Inputs!$I$9)))/Inputs!$K$9)^2)</x:f>
        <x:v>215.47989999999996</x:v>
      </x:c>
      <x:c r="AD69" s="10" t="n"/>
      <x:c r="AE69" s="9" t="n">
        <x:f>A69</x:f>
        <x:v>-0.442</x:v>
      </x:c>
      <x:c r="AF69" s="9"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9"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9"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9"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10" t="n"/>
      <x:c r="AK69" s="9" t="n">
        <x:f>A69</x:f>
        <x:v>-0.442</x:v>
      </x:c>
      <x:c r="AL69" s="9"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9"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9"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9"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10" t="n"/>
      <x:c r="AQ69" s="9" t="n">
        <x:f>A69</x:f>
        <x:v>-0.442</x:v>
      </x:c>
      <x:c r="AR69" s="9" t="n">
        <x:f>0</x:f>
        <x:v>0</x:v>
      </x:c>
      <x:c r="AS69" s="9"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x:f>
        <x:v>274.52106022361886</x:v>
      </x:c>
      <x:c r="AT69" s="9"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x:f>
        <x:v>213.2773726761311</x:v>
      </x:c>
      <x:c r="AU69" s="9"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x:f>
        <x:v>196.89962334566582</x:v>
      </x:c>
      <x:c r="AV69" s="9"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x:f>
        <x:v>196.89962334566582</x:v>
      </x:c>
      <x:c r="AW69" s="10" t="n"/>
      <x:c r="AX69" s="9" t="n">
        <x:f>A69</x:f>
        <x:v>-0.442</x:v>
      </x:c>
      <x:c r="AY69" s="9" t="n">
        <x:f>0</x:f>
        <x:v>0</x:v>
      </x:c>
      <x:c r="AZ69" s="9" t="n">
        <x:f>IF(OR(Inputs!$F$6=TRUE,Inputs!$F$6="TRUE",Inputs!$F$6=1),(Inputs!$H$6+Inputs!$L$6*(((Inputs!$I$6+(((A69)+1)/2)*(Inputs!$J$6-Inputs!$I$6)))/Inputs!$K$6)^2),NA())</x:f>
        <x:v>400.781456</x:v>
      </x:c>
      <x:c r="BA69" s="9" t="n">
        <x:f>IF(OR(Inputs!$F$7=TRUE,Inputs!$F$7="TRUE",Inputs!$F$7=1),(Inputs!$H$7+Inputs!$L$7*(((Inputs!$I$7+(((A69)+1)/2)*(Inputs!$J$7-Inputs!$I$7)))/Inputs!$K$7)^2),NA())</x:f>
        <x:v>106.30785999999998</x:v>
      </x:c>
      <x:c r="BB69" s="9" t="n">
        <x:f>IF(OR(Inputs!$F$8=TRUE,Inputs!$F$8="TRUE",Inputs!$F$8=1),(Inputs!$H$8+Inputs!$L$8*(((Inputs!$I$8+(((A69)+1)/2)*(Inputs!$J$8-Inputs!$I$8)))/Inputs!$K$8)^2),NA())</x:f>
        <x:v>223.52625999999995</x:v>
      </x:c>
      <x:c r="BC69" s="9" t="n">
        <x:f>IF(OR(Inputs!$F$9=TRUE,Inputs!$F$9="TRUE",Inputs!$F$9=1),(Inputs!$H$9+Inputs!$L$9*(((Inputs!$I$9+(((A69)+1)/2)*(Inputs!$J$9-Inputs!$I$9)))/Inputs!$K$9)^2),NA())</x:f>
        <x:v>215.47989999999996</x:v>
      </x:c>
      <x:c r="BD69" s="10" t="n"/>
      <x:c r="BE69" s="9" t="n">
        <x:f>A69</x:f>
        <x:v>-0.442</x:v>
      </x:c>
      <x:c r="BF69" s="9" t="n">
        <x:f>0</x:f>
        <x:v>0</x:v>
      </x:c>
      <x:c r="BG69" s="9"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9"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9"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9"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9" t="n">
        <x:f>ROUND(-1+68*2/240,3)</x:f>
        <x:v>-0.433</x:v>
      </x:c>
      <x:c r="B70" s="9" t="n">
        <x:f>IF(OR(Inputs!$F$6=TRUE,Inputs!$F$6="TRUE",Inputs!$F$6=1),(Inputs!$H$6+Inputs!$L$6*(((Inputs!$I$6+(((A70)+1)/2)*(Inputs!$J$6-Inputs!$I$6)))/Inputs!$K$6)^2),NA())</x:f>
        <x:v>400.749956</x:v>
      </x:c>
      <x:c r="C70" s="9" t="n">
        <x:f>IF(OR(Inputs!$F$7=TRUE,Inputs!$F$7="TRUE",Inputs!$F$7=1),(Inputs!$H$7+Inputs!$L$7*(((Inputs!$I$7+(((A70)+1)/2)*(Inputs!$J$7-Inputs!$I$7)))/Inputs!$K$7)^2),NA())</x:f>
        <x:v>103.43348500000002</x:v>
      </x:c>
      <x:c r="D70" s="9" t="n">
        <x:f>IF(OR(Inputs!$F$8=TRUE,Inputs!$F$8="TRUE",Inputs!$F$8=1),(Inputs!$H$8+Inputs!$L$8*(((Inputs!$I$8+(((A70)+1)/2)*(Inputs!$J$8-Inputs!$I$8)))/Inputs!$K$8)^2),NA())</x:f>
        <x:v>215.92688500000006</x:v>
      </x:c>
      <x:c r="E70" s="9" t="n">
        <x:f>IF(OR(Inputs!$F$9=TRUE,Inputs!$F$9="TRUE",Inputs!$F$9=1),(Inputs!$H$9+Inputs!$L$9*(((Inputs!$I$9+(((A70)+1)/2)*(Inputs!$J$9-Inputs!$I$9)))/Inputs!$K$9)^2),NA())</x:f>
        <x:v>207.80177500000005</x:v>
      </x:c>
      <x:c r="F70" s="10" t="n"/>
      <x:c r="G70" s="9" t="n">
        <x:f>A70</x:f>
        <x:v>-0.433</x:v>
      </x:c>
      <x:c r="H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10" t="n"/>
      <x:c r="M70" s="9" t="n">
        <x:f>A70</x:f>
        <x:v>-0.433</x:v>
      </x:c>
      <x:c r="N70" s="9"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9"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9"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9"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10" t="n"/>
      <x:c r="S70" s="9" t="n">
        <x:f>A70</x:f>
        <x:v>-0.433</x:v>
      </x:c>
      <x:c r="T70" s="9" t="n">
        <x:f>(Inputs!$I$6+(((A70)+1)/2)*(Inputs!$J$6-Inputs!$I$6))</x:f>
        <x:v>-25.980000000000004</x:v>
      </x:c>
      <x:c r="U70" s="9" t="n">
        <x:f>(Inputs!$I$7+(((A70)+1)/2)*(Inputs!$J$7-Inputs!$I$7))</x:f>
        <x:v>-173.20000000000002</x:v>
      </x:c>
      <x:c r="V70" s="9" t="n">
        <x:f>(Inputs!$I$8+(((A70)+1)/2)*(Inputs!$J$8-Inputs!$I$8))</x:f>
        <x:v>-346.40000000000003</x:v>
      </x:c>
      <x:c r="W70" s="9" t="n">
        <x:f>(Inputs!$I$9+(((A70)+1)/2)*(Inputs!$J$9-Inputs!$I$9))</x:f>
        <x:v>-346.40000000000003</x:v>
      </x:c>
      <x:c r="X70" s="10" t="n"/>
      <x:c r="Y70" s="9" t="n">
        <x:f>A70</x:f>
        <x:v>-0.433</x:v>
      </x:c>
      <x:c r="Z70" s="9" t="n">
        <x:f>(Inputs!$H$6+Inputs!$L$6*(((Inputs!$I$6+(((A70)+1)/2)*(Inputs!$J$6-Inputs!$I$6)))/Inputs!$K$6)^2)</x:f>
        <x:v>400.749956</x:v>
      </x:c>
      <x:c r="AA70" s="9" t="n">
        <x:f>(Inputs!$H$7+Inputs!$L$7*(((Inputs!$I$7+(((A70)+1)/2)*(Inputs!$J$7-Inputs!$I$7)))/Inputs!$K$7)^2)</x:f>
        <x:v>103.43348500000002</x:v>
      </x:c>
      <x:c r="AB70" s="9" t="n">
        <x:f>(Inputs!$H$8+Inputs!$L$8*(((Inputs!$I$8+(((A70)+1)/2)*(Inputs!$J$8-Inputs!$I$8)))/Inputs!$K$8)^2)</x:f>
        <x:v>215.92688500000006</x:v>
      </x:c>
      <x:c r="AC70" s="9" t="n">
        <x:f>(Inputs!$H$9+Inputs!$L$9*(((Inputs!$I$9+(((A70)+1)/2)*(Inputs!$J$9-Inputs!$I$9)))/Inputs!$K$9)^2)</x:f>
        <x:v>207.80177500000005</x:v>
      </x:c>
      <x:c r="AD70" s="10" t="n"/>
      <x:c r="AE70" s="9" t="n">
        <x:f>A70</x:f>
        <x:v>-0.433</x:v>
      </x:c>
      <x:c r="AF70" s="9"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9"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9"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9"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10" t="n"/>
      <x:c r="AK70" s="9" t="n">
        <x:f>A70</x:f>
        <x:v>-0.433</x:v>
      </x:c>
      <x:c r="AL70" s="9"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9"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9"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9"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10" t="n"/>
      <x:c r="AQ70" s="9" t="n">
        <x:f>A70</x:f>
        <x:v>-0.433</x:v>
      </x:c>
      <x:c r="AR70" s="9" t="n">
        <x:f>0</x:f>
        <x:v>0</x:v>
      </x:c>
      <x:c r="AS70" s="9"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x:f>
        <x:v>273.4337353871225</x:v>
      </x:c>
      <x:c r="AT70" s="9"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x:f>
        <x:v>174.20048025772203</x:v>
      </x:c>
      <x:c r="AU70" s="9"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x:f>
        <x:v>92.7921672822971</x:v>
      </x:c>
      <x:c r="AV70" s="9"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x:f>
        <x:v>92.7921672822971</x:v>
      </x:c>
      <x:c r="AW70" s="10" t="n"/>
      <x:c r="AX70" s="9" t="n">
        <x:f>A70</x:f>
        <x:v>-0.433</x:v>
      </x:c>
      <x:c r="AY70" s="9" t="n">
        <x:f>0</x:f>
        <x:v>0</x:v>
      </x:c>
      <x:c r="AZ70" s="9" t="n">
        <x:f>IF(OR(Inputs!$F$6=TRUE,Inputs!$F$6="TRUE",Inputs!$F$6=1),(Inputs!$H$6+Inputs!$L$6*(((Inputs!$I$6+(((A70)+1)/2)*(Inputs!$J$6-Inputs!$I$6)))/Inputs!$K$6)^2),NA())</x:f>
        <x:v>400.749956</x:v>
      </x:c>
      <x:c r="BA70" s="9" t="n">
        <x:f>IF(OR(Inputs!$F$7=TRUE,Inputs!$F$7="TRUE",Inputs!$F$7=1),(Inputs!$H$7+Inputs!$L$7*(((Inputs!$I$7+(((A70)+1)/2)*(Inputs!$J$7-Inputs!$I$7)))/Inputs!$K$7)^2),NA())</x:f>
        <x:v>103.43348500000002</x:v>
      </x:c>
      <x:c r="BB70" s="9" t="n">
        <x:f>IF(OR(Inputs!$F$8=TRUE,Inputs!$F$8="TRUE",Inputs!$F$8=1),(Inputs!$H$8+Inputs!$L$8*(((Inputs!$I$8+(((A70)+1)/2)*(Inputs!$J$8-Inputs!$I$8)))/Inputs!$K$8)^2),NA())</x:f>
        <x:v>215.92688500000006</x:v>
      </x:c>
      <x:c r="BC70" s="9" t="n">
        <x:f>IF(OR(Inputs!$F$9=TRUE,Inputs!$F$9="TRUE",Inputs!$F$9=1),(Inputs!$H$9+Inputs!$L$9*(((Inputs!$I$9+(((A70)+1)/2)*(Inputs!$J$9-Inputs!$I$9)))/Inputs!$K$9)^2),NA())</x:f>
        <x:v>207.80177500000005</x:v>
      </x:c>
      <x:c r="BD70" s="10" t="n"/>
      <x:c r="BE70" s="9" t="n">
        <x:f>A70</x:f>
        <x:v>-0.433</x:v>
      </x:c>
      <x:c r="BF70" s="9" t="n">
        <x:f>0</x:f>
        <x:v>0</x:v>
      </x:c>
      <x:c r="BG70" s="9"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9"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9"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9"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9" t="n">
        <x:f>ROUND(-1+69*2/240,3)</x:f>
        <x:v>-0.425</x:v>
      </x:c>
      <x:c r="B71" s="9" t="n">
        <x:f>IF(OR(Inputs!$F$6=TRUE,Inputs!$F$6="TRUE",Inputs!$F$6=1),(Inputs!$H$6+Inputs!$L$6*(((Inputs!$I$6+(((A71)+1)/2)*(Inputs!$J$6-Inputs!$I$6)))/Inputs!$K$6)^2),NA())</x:f>
        <x:v>400.7225</x:v>
      </x:c>
      <x:c r="C71" s="9" t="n">
        <x:f>IF(OR(Inputs!$F$7=TRUE,Inputs!$F$7="TRUE",Inputs!$F$7=1),(Inputs!$H$7+Inputs!$L$7*(((Inputs!$I$7+(((A71)+1)/2)*(Inputs!$J$7-Inputs!$I$7)))/Inputs!$K$7)^2),NA())</x:f>
        <x:v>100.92812500000001</x:v>
      </x:c>
      <x:c r="D71" s="9" t="n">
        <x:f>IF(OR(Inputs!$F$8=TRUE,Inputs!$F$8="TRUE",Inputs!$F$8=1),(Inputs!$H$8+Inputs!$L$8*(((Inputs!$I$8+(((A71)+1)/2)*(Inputs!$J$8-Inputs!$I$8)))/Inputs!$K$8)^2),NA())</x:f>
        <x:v>209.30312500000002</x:v>
      </x:c>
      <x:c r="E71" s="9" t="n">
        <x:f>IF(OR(Inputs!$F$9=TRUE,Inputs!$F$9="TRUE",Inputs!$F$9=1),(Inputs!$H$9+Inputs!$L$9*(((Inputs!$I$9+(((A71)+1)/2)*(Inputs!$J$9-Inputs!$I$9)))/Inputs!$K$9)^2),NA())</x:f>
        <x:v>201.10937500000003</x:v>
      </x:c>
      <x:c r="F71" s="10" t="n"/>
      <x:c r="G71" s="9" t="n">
        <x:f>A71</x:f>
        <x:v>-0.425</x:v>
      </x:c>
      <x:c r="H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10" t="n"/>
      <x:c r="M71" s="9" t="n">
        <x:f>A71</x:f>
        <x:v>-0.425</x:v>
      </x:c>
      <x:c r="N71" s="9"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9"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9"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9"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10" t="n"/>
      <x:c r="S71" s="9" t="n">
        <x:f>A71</x:f>
        <x:v>-0.425</x:v>
      </x:c>
      <x:c r="T71" s="9" t="n">
        <x:f>(Inputs!$I$6+(((A71)+1)/2)*(Inputs!$J$6-Inputs!$I$6))</x:f>
        <x:v>-25.5</x:v>
      </x:c>
      <x:c r="U71" s="9" t="n">
        <x:f>(Inputs!$I$7+(((A71)+1)/2)*(Inputs!$J$7-Inputs!$I$7))</x:f>
        <x:v>-170.00000000000003</x:v>
      </x:c>
      <x:c r="V71" s="9" t="n">
        <x:f>(Inputs!$I$8+(((A71)+1)/2)*(Inputs!$J$8-Inputs!$I$8))</x:f>
        <x:v>-340.00000000000006</x:v>
      </x:c>
      <x:c r="W71" s="9" t="n">
        <x:f>(Inputs!$I$9+(((A71)+1)/2)*(Inputs!$J$9-Inputs!$I$9))</x:f>
        <x:v>-340.00000000000006</x:v>
      </x:c>
      <x:c r="X71" s="10" t="n"/>
      <x:c r="Y71" s="9" t="n">
        <x:f>A71</x:f>
        <x:v>-0.425</x:v>
      </x:c>
      <x:c r="Z71" s="9" t="n">
        <x:f>(Inputs!$H$6+Inputs!$L$6*(((Inputs!$I$6+(((A71)+1)/2)*(Inputs!$J$6-Inputs!$I$6)))/Inputs!$K$6)^2)</x:f>
        <x:v>400.7225</x:v>
      </x:c>
      <x:c r="AA71" s="9" t="n">
        <x:f>(Inputs!$H$7+Inputs!$L$7*(((Inputs!$I$7+(((A71)+1)/2)*(Inputs!$J$7-Inputs!$I$7)))/Inputs!$K$7)^2)</x:f>
        <x:v>100.92812500000001</x:v>
      </x:c>
      <x:c r="AB71" s="9" t="n">
        <x:f>(Inputs!$H$8+Inputs!$L$8*(((Inputs!$I$8+(((A71)+1)/2)*(Inputs!$J$8-Inputs!$I$8)))/Inputs!$K$8)^2)</x:f>
        <x:v>209.30312500000002</x:v>
      </x:c>
      <x:c r="AC71" s="9" t="n">
        <x:f>(Inputs!$H$9+Inputs!$L$9*(((Inputs!$I$9+(((A71)+1)/2)*(Inputs!$J$9-Inputs!$I$9)))/Inputs!$K$9)^2)</x:f>
        <x:v>201.10937500000003</x:v>
      </x:c>
      <x:c r="AD71" s="10" t="n"/>
      <x:c r="AE71" s="9" t="n">
        <x:f>A71</x:f>
        <x:v>-0.425</x:v>
      </x:c>
      <x:c r="AF71" s="9"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9"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9"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9"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10" t="n"/>
      <x:c r="AK71" s="9" t="n">
        <x:f>A71</x:f>
        <x:v>-0.425</x:v>
      </x:c>
      <x:c r="AL71" s="9"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9"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9"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9"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10" t="n"/>
      <x:c r="AQ71" s="9" t="n">
        <x:f>A71</x:f>
        <x:v>-0.425</x:v>
      </x:c>
      <x:c r="AR71" s="9" t="n">
        <x:f>0</x:f>
        <x:v>0</x:v>
      </x:c>
      <x:c r="AS71" s="9"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x:f>
        <x:v>271.72277085410076</x:v>
      </x:c>
      <x:c r="AT71" s="9"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x:f>
        <x:v>114.50242234257864</x:v>
      </x:c>
      <x:c r="AU71" s="9"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x:f>
        <x:v>177.9290525886078</x:v>
      </x:c>
      <x:c r="AV71" s="9"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x:f>
        <x:v>177.9290525886078</x:v>
      </x:c>
      <x:c r="AW71" s="10" t="n"/>
      <x:c r="AX71" s="9" t="n">
        <x:f>A71</x:f>
        <x:v>-0.425</x:v>
      </x:c>
      <x:c r="AY71" s="9" t="n">
        <x:f>0</x:f>
        <x:v>0</x:v>
      </x:c>
      <x:c r="AZ71" s="9" t="n">
        <x:f>IF(OR(Inputs!$F$6=TRUE,Inputs!$F$6="TRUE",Inputs!$F$6=1),(Inputs!$H$6+Inputs!$L$6*(((Inputs!$I$6+(((A71)+1)/2)*(Inputs!$J$6-Inputs!$I$6)))/Inputs!$K$6)^2),NA())</x:f>
        <x:v>400.7225</x:v>
      </x:c>
      <x:c r="BA71" s="9" t="n">
        <x:f>IF(OR(Inputs!$F$7=TRUE,Inputs!$F$7="TRUE",Inputs!$F$7=1),(Inputs!$H$7+Inputs!$L$7*(((Inputs!$I$7+(((A71)+1)/2)*(Inputs!$J$7-Inputs!$I$7)))/Inputs!$K$7)^2),NA())</x:f>
        <x:v>100.92812500000001</x:v>
      </x:c>
      <x:c r="BB71" s="9" t="n">
        <x:f>IF(OR(Inputs!$F$8=TRUE,Inputs!$F$8="TRUE",Inputs!$F$8=1),(Inputs!$H$8+Inputs!$L$8*(((Inputs!$I$8+(((A71)+1)/2)*(Inputs!$J$8-Inputs!$I$8)))/Inputs!$K$8)^2),NA())</x:f>
        <x:v>209.30312500000002</x:v>
      </x:c>
      <x:c r="BC71" s="9" t="n">
        <x:f>IF(OR(Inputs!$F$9=TRUE,Inputs!$F$9="TRUE",Inputs!$F$9=1),(Inputs!$H$9+Inputs!$L$9*(((Inputs!$I$9+(((A71)+1)/2)*(Inputs!$J$9-Inputs!$I$9)))/Inputs!$K$9)^2),NA())</x:f>
        <x:v>201.10937500000003</x:v>
      </x:c>
      <x:c r="BD71" s="10" t="n"/>
      <x:c r="BE71" s="9" t="n">
        <x:f>A71</x:f>
        <x:v>-0.425</x:v>
      </x:c>
      <x:c r="BF71" s="9" t="n">
        <x:f>0</x:f>
        <x:v>0</x:v>
      </x:c>
      <x:c r="BG71" s="9"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9"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9"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9"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9" t="n">
        <x:f>ROUND(-1+70*2/240,3)</x:f>
        <x:v>-0.417</x:v>
      </x:c>
      <x:c r="B72" s="9" t="n">
        <x:f>IF(OR(Inputs!$F$6=TRUE,Inputs!$F$6="TRUE",Inputs!$F$6=1),(Inputs!$H$6+Inputs!$L$6*(((Inputs!$I$6+(((A72)+1)/2)*(Inputs!$J$6-Inputs!$I$6)))/Inputs!$K$6)^2),NA())</x:f>
        <x:v>400.695556</x:v>
      </x:c>
      <x:c r="C72" s="9" t="n">
        <x:f>IF(OR(Inputs!$F$7=TRUE,Inputs!$F$7="TRUE",Inputs!$F$7=1),(Inputs!$H$7+Inputs!$L$7*(((Inputs!$I$7+(((A72)+1)/2)*(Inputs!$J$7-Inputs!$I$7)))/Inputs!$K$7)^2),NA())</x:f>
        <x:v>98.46948500000002</x:v>
      </x:c>
      <x:c r="D72" s="9" t="n">
        <x:f>IF(OR(Inputs!$F$8=TRUE,Inputs!$F$8="TRUE",Inputs!$F$8=1),(Inputs!$H$8+Inputs!$L$8*(((Inputs!$I$8+(((A72)+1)/2)*(Inputs!$J$8-Inputs!$I$8)))/Inputs!$K$8)^2),NA())</x:f>
        <x:v>202.80288500000003</x:v>
      </x:c>
      <x:c r="E72" s="9" t="n">
        <x:f>IF(OR(Inputs!$F$9=TRUE,Inputs!$F$9="TRUE",Inputs!$F$9=1),(Inputs!$H$9+Inputs!$L$9*(((Inputs!$I$9+(((A72)+1)/2)*(Inputs!$J$9-Inputs!$I$9)))/Inputs!$K$9)^2),NA())</x:f>
        <x:v>194.54177500000003</x:v>
      </x:c>
      <x:c r="F72" s="10" t="n"/>
      <x:c r="G72" s="9" t="n">
        <x:f>A72</x:f>
        <x:v>-0.417</x:v>
      </x:c>
      <x:c r="H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10" t="n"/>
      <x:c r="M72" s="9" t="n">
        <x:f>A72</x:f>
        <x:v>-0.417</x:v>
      </x:c>
      <x:c r="N72" s="9"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9"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9"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9"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10" t="n"/>
      <x:c r="S72" s="9" t="n">
        <x:f>A72</x:f>
        <x:v>-0.417</x:v>
      </x:c>
      <x:c r="T72" s="9" t="n">
        <x:f>(Inputs!$I$6+(((A72)+1)/2)*(Inputs!$J$6-Inputs!$I$6))</x:f>
        <x:v>-25.020000000000003</x:v>
      </x:c>
      <x:c r="U72" s="9" t="n">
        <x:f>(Inputs!$I$7+(((A72)+1)/2)*(Inputs!$J$7-Inputs!$I$7))</x:f>
        <x:v>-166.8</x:v>
      </x:c>
      <x:c r="V72" s="9" t="n">
        <x:f>(Inputs!$I$8+(((A72)+1)/2)*(Inputs!$J$8-Inputs!$I$8))</x:f>
        <x:v>-333.6</x:v>
      </x:c>
      <x:c r="W72" s="9" t="n">
        <x:f>(Inputs!$I$9+(((A72)+1)/2)*(Inputs!$J$9-Inputs!$I$9))</x:f>
        <x:v>-333.6</x:v>
      </x:c>
      <x:c r="X72" s="10" t="n"/>
      <x:c r="Y72" s="9" t="n">
        <x:f>A72</x:f>
        <x:v>-0.417</x:v>
      </x:c>
      <x:c r="Z72" s="9" t="n">
        <x:f>(Inputs!$H$6+Inputs!$L$6*(((Inputs!$I$6+(((A72)+1)/2)*(Inputs!$J$6-Inputs!$I$6)))/Inputs!$K$6)^2)</x:f>
        <x:v>400.695556</x:v>
      </x:c>
      <x:c r="AA72" s="9" t="n">
        <x:f>(Inputs!$H$7+Inputs!$L$7*(((Inputs!$I$7+(((A72)+1)/2)*(Inputs!$J$7-Inputs!$I$7)))/Inputs!$K$7)^2)</x:f>
        <x:v>98.46948500000002</x:v>
      </x:c>
      <x:c r="AB72" s="9" t="n">
        <x:f>(Inputs!$H$8+Inputs!$L$8*(((Inputs!$I$8+(((A72)+1)/2)*(Inputs!$J$8-Inputs!$I$8)))/Inputs!$K$8)^2)</x:f>
        <x:v>202.80288500000003</x:v>
      </x:c>
      <x:c r="AC72" s="9" t="n">
        <x:f>(Inputs!$H$9+Inputs!$L$9*(((Inputs!$I$9+(((A72)+1)/2)*(Inputs!$J$9-Inputs!$I$9)))/Inputs!$K$9)^2)</x:f>
        <x:v>194.54177500000003</x:v>
      </x:c>
      <x:c r="AD72" s="10" t="n"/>
      <x:c r="AE72" s="9" t="n">
        <x:f>A72</x:f>
        <x:v>-0.417</x:v>
      </x:c>
      <x:c r="AF72" s="9"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9"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9"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9"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10" t="n"/>
      <x:c r="AK72" s="9" t="n">
        <x:f>A72</x:f>
        <x:v>-0.417</x:v>
      </x:c>
      <x:c r="AL72" s="9"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9"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9"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9"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10" t="n"/>
      <x:c r="AQ72" s="9" t="n">
        <x:f>A72</x:f>
        <x:v>-0.417</x:v>
      </x:c>
      <x:c r="AR72" s="9" t="n">
        <x:f>0</x:f>
        <x:v>0</x:v>
      </x:c>
      <x:c r="AS72" s="9"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x:f>
        <x:v>281.1229347309233</x:v>
      </x:c>
      <x:c r="AT72" s="9"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x:f>
        <x:v>81.28578813790453</x:v>
      </x:c>
      <x:c r="AU72" s="9"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x:f>
        <x:v>184.54757753114495</x:v>
      </x:c>
      <x:c r="AV72" s="9"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x:f>
        <x:v>184.54757753114495</x:v>
      </x:c>
      <x:c r="AW72" s="10" t="n"/>
      <x:c r="AX72" s="9" t="n">
        <x:f>A72</x:f>
        <x:v>-0.417</x:v>
      </x:c>
      <x:c r="AY72" s="9" t="n">
        <x:f>0</x:f>
        <x:v>0</x:v>
      </x:c>
      <x:c r="AZ72" s="9" t="n">
        <x:f>IF(OR(Inputs!$F$6=TRUE,Inputs!$F$6="TRUE",Inputs!$F$6=1),(Inputs!$H$6+Inputs!$L$6*(((Inputs!$I$6+(((A72)+1)/2)*(Inputs!$J$6-Inputs!$I$6)))/Inputs!$K$6)^2),NA())</x:f>
        <x:v>400.695556</x:v>
      </x:c>
      <x:c r="BA72" s="9" t="n">
        <x:f>IF(OR(Inputs!$F$7=TRUE,Inputs!$F$7="TRUE",Inputs!$F$7=1),(Inputs!$H$7+Inputs!$L$7*(((Inputs!$I$7+(((A72)+1)/2)*(Inputs!$J$7-Inputs!$I$7)))/Inputs!$K$7)^2),NA())</x:f>
        <x:v>98.46948500000002</x:v>
      </x:c>
      <x:c r="BB72" s="9" t="n">
        <x:f>IF(OR(Inputs!$F$8=TRUE,Inputs!$F$8="TRUE",Inputs!$F$8=1),(Inputs!$H$8+Inputs!$L$8*(((Inputs!$I$8+(((A72)+1)/2)*(Inputs!$J$8-Inputs!$I$8)))/Inputs!$K$8)^2),NA())</x:f>
        <x:v>202.80288500000003</x:v>
      </x:c>
      <x:c r="BC72" s="9" t="n">
        <x:f>IF(OR(Inputs!$F$9=TRUE,Inputs!$F$9="TRUE",Inputs!$F$9=1),(Inputs!$H$9+Inputs!$L$9*(((Inputs!$I$9+(((A72)+1)/2)*(Inputs!$J$9-Inputs!$I$9)))/Inputs!$K$9)^2),NA())</x:f>
        <x:v>194.54177500000003</x:v>
      </x:c>
      <x:c r="BD72" s="10" t="n"/>
      <x:c r="BE72" s="9" t="n">
        <x:f>A72</x:f>
        <x:v>-0.417</x:v>
      </x:c>
      <x:c r="BF72" s="9" t="n">
        <x:f>0</x:f>
        <x:v>0</x:v>
      </x:c>
      <x:c r="BG72" s="9"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9"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9"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9"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9" t="n">
        <x:f>ROUND(-1+71*2/240,3)</x:f>
        <x:v>-0.408</x:v>
      </x:c>
      <x:c r="B73" s="9" t="n">
        <x:f>IF(OR(Inputs!$F$6=TRUE,Inputs!$F$6="TRUE",Inputs!$F$6=1),(Inputs!$H$6+Inputs!$L$6*(((Inputs!$I$6+(((A73)+1)/2)*(Inputs!$J$6-Inputs!$I$6)))/Inputs!$K$6)^2),NA())</x:f>
        <x:v>400.665856</x:v>
      </x:c>
      <x:c r="C73" s="9" t="n">
        <x:f>IF(OR(Inputs!$F$7=TRUE,Inputs!$F$7="TRUE",Inputs!$F$7=1),(Inputs!$H$7+Inputs!$L$7*(((Inputs!$I$7+(((A73)+1)/2)*(Inputs!$J$7-Inputs!$I$7)))/Inputs!$K$7)^2),NA())</x:f>
        <x:v>95.75935999999999</x:v>
      </x:c>
      <x:c r="D73" s="9" t="n">
        <x:f>IF(OR(Inputs!$F$8=TRUE,Inputs!$F$8="TRUE",Inputs!$F$8=1),(Inputs!$H$8+Inputs!$L$8*(((Inputs!$I$8+(((A73)+1)/2)*(Inputs!$J$8-Inputs!$I$8)))/Inputs!$K$8)^2),NA())</x:f>
        <x:v>195.63775999999996</x:v>
      </x:c>
      <x:c r="E73" s="9" t="n">
        <x:f>IF(OR(Inputs!$F$9=TRUE,Inputs!$F$9="TRUE",Inputs!$F$9=1),(Inputs!$H$9+Inputs!$L$9*(((Inputs!$I$9+(((A73)+1)/2)*(Inputs!$J$9-Inputs!$I$9)))/Inputs!$K$9)^2),NA())</x:f>
        <x:v>187.30239999999995</x:v>
      </x:c>
      <x:c r="F73" s="10" t="n"/>
      <x:c r="G73" s="9" t="n">
        <x:f>A73</x:f>
        <x:v>-0.408</x:v>
      </x:c>
      <x:c r="H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10" t="n"/>
      <x:c r="M73" s="9" t="n">
        <x:f>A73</x:f>
        <x:v>-0.408</x:v>
      </x:c>
      <x:c r="N73" s="9"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9"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9"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9"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10" t="n"/>
      <x:c r="S73" s="9" t="n">
        <x:f>A73</x:f>
        <x:v>-0.408</x:v>
      </x:c>
      <x:c r="T73" s="9" t="n">
        <x:f>(Inputs!$I$6+(((A73)+1)/2)*(Inputs!$J$6-Inputs!$I$6))</x:f>
        <x:v>-24.479999999999997</x:v>
      </x:c>
      <x:c r="U73" s="9" t="n">
        <x:f>(Inputs!$I$7+(((A73)+1)/2)*(Inputs!$J$7-Inputs!$I$7))</x:f>
        <x:v>-163.19999999999996</x:v>
      </x:c>
      <x:c r="V73" s="9" t="n">
        <x:f>(Inputs!$I$8+(((A73)+1)/2)*(Inputs!$J$8-Inputs!$I$8))</x:f>
        <x:v>-326.3999999999999</x:v>
      </x:c>
      <x:c r="W73" s="9" t="n">
        <x:f>(Inputs!$I$9+(((A73)+1)/2)*(Inputs!$J$9-Inputs!$I$9))</x:f>
        <x:v>-326.3999999999999</x:v>
      </x:c>
      <x:c r="X73" s="10" t="n"/>
      <x:c r="Y73" s="9" t="n">
        <x:f>A73</x:f>
        <x:v>-0.408</x:v>
      </x:c>
      <x:c r="Z73" s="9" t="n">
        <x:f>(Inputs!$H$6+Inputs!$L$6*(((Inputs!$I$6+(((A73)+1)/2)*(Inputs!$J$6-Inputs!$I$6)))/Inputs!$K$6)^2)</x:f>
        <x:v>400.665856</x:v>
      </x:c>
      <x:c r="AA73" s="9" t="n">
        <x:f>(Inputs!$H$7+Inputs!$L$7*(((Inputs!$I$7+(((A73)+1)/2)*(Inputs!$J$7-Inputs!$I$7)))/Inputs!$K$7)^2)</x:f>
        <x:v>95.75935999999999</x:v>
      </x:c>
      <x:c r="AB73" s="9" t="n">
        <x:f>(Inputs!$H$8+Inputs!$L$8*(((Inputs!$I$8+(((A73)+1)/2)*(Inputs!$J$8-Inputs!$I$8)))/Inputs!$K$8)^2)</x:f>
        <x:v>195.63775999999996</x:v>
      </x:c>
      <x:c r="AC73" s="9" t="n">
        <x:f>(Inputs!$H$9+Inputs!$L$9*(((Inputs!$I$9+(((A73)+1)/2)*(Inputs!$J$9-Inputs!$I$9)))/Inputs!$K$9)^2)</x:f>
        <x:v>187.30239999999995</x:v>
      </x:c>
      <x:c r="AD73" s="10" t="n"/>
      <x:c r="AE73" s="9" t="n">
        <x:f>A73</x:f>
        <x:v>-0.408</x:v>
      </x:c>
      <x:c r="AF73" s="9"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9"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9"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9"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10" t="n"/>
      <x:c r="AK73" s="9" t="n">
        <x:f>A73</x:f>
        <x:v>-0.408</x:v>
      </x:c>
      <x:c r="AL73" s="9"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9"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9"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9"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10" t="n"/>
      <x:c r="AQ73" s="9" t="n">
        <x:f>A73</x:f>
        <x:v>-0.408</x:v>
      </x:c>
      <x:c r="AR73" s="9" t="n">
        <x:f>0</x:f>
        <x:v>0</x:v>
      </x:c>
      <x:c r="AS73" s="9"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x:f>
        <x:v>259.89680022722393</x:v>
      </x:c>
      <x:c r="AT73" s="9"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x:f>
        <x:v>102.95017423788758</x:v>
      </x:c>
      <x:c r="AU73" s="9"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x:f>
        <x:v>86.539393953296</x:v>
      </x:c>
      <x:c r="AV73" s="9"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x:f>
        <x:v>86.539393953296</x:v>
      </x:c>
      <x:c r="AW73" s="10" t="n"/>
      <x:c r="AX73" s="9" t="n">
        <x:f>A73</x:f>
        <x:v>-0.408</x:v>
      </x:c>
      <x:c r="AY73" s="9" t="n">
        <x:f>0</x:f>
        <x:v>0</x:v>
      </x:c>
      <x:c r="AZ73" s="9" t="n">
        <x:f>IF(OR(Inputs!$F$6=TRUE,Inputs!$F$6="TRUE",Inputs!$F$6=1),(Inputs!$H$6+Inputs!$L$6*(((Inputs!$I$6+(((A73)+1)/2)*(Inputs!$J$6-Inputs!$I$6)))/Inputs!$K$6)^2),NA())</x:f>
        <x:v>400.665856</x:v>
      </x:c>
      <x:c r="BA73" s="9" t="n">
        <x:f>IF(OR(Inputs!$F$7=TRUE,Inputs!$F$7="TRUE",Inputs!$F$7=1),(Inputs!$H$7+Inputs!$L$7*(((Inputs!$I$7+(((A73)+1)/2)*(Inputs!$J$7-Inputs!$I$7)))/Inputs!$K$7)^2),NA())</x:f>
        <x:v>95.75935999999999</x:v>
      </x:c>
      <x:c r="BB73" s="9" t="n">
        <x:f>IF(OR(Inputs!$F$8=TRUE,Inputs!$F$8="TRUE",Inputs!$F$8=1),(Inputs!$H$8+Inputs!$L$8*(((Inputs!$I$8+(((A73)+1)/2)*(Inputs!$J$8-Inputs!$I$8)))/Inputs!$K$8)^2),NA())</x:f>
        <x:v>195.63775999999996</x:v>
      </x:c>
      <x:c r="BC73" s="9" t="n">
        <x:f>IF(OR(Inputs!$F$9=TRUE,Inputs!$F$9="TRUE",Inputs!$F$9=1),(Inputs!$H$9+Inputs!$L$9*(((Inputs!$I$9+(((A73)+1)/2)*(Inputs!$J$9-Inputs!$I$9)))/Inputs!$K$9)^2),NA())</x:f>
        <x:v>187.30239999999995</x:v>
      </x:c>
      <x:c r="BD73" s="10" t="n"/>
      <x:c r="BE73" s="9" t="n">
        <x:f>A73</x:f>
        <x:v>-0.408</x:v>
      </x:c>
      <x:c r="BF73" s="9" t="n">
        <x:f>0</x:f>
        <x:v>0</x:v>
      </x:c>
      <x:c r="BG73" s="9"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9"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9"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9"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9" t="n">
        <x:f>ROUND(-1+72*2/240,3)</x:f>
        <x:v>-0.4</x:v>
      </x:c>
      <x:c r="B74" s="9" t="n">
        <x:f>IF(OR(Inputs!$F$6=TRUE,Inputs!$F$6="TRUE",Inputs!$F$6=1),(Inputs!$H$6+Inputs!$L$6*(((Inputs!$I$6+(((A74)+1)/2)*(Inputs!$J$6-Inputs!$I$6)))/Inputs!$K$6)^2),NA())</x:f>
        <x:v>400.64</x:v>
      </x:c>
      <x:c r="C74" s="9" t="n">
        <x:f>IF(OR(Inputs!$F$7=TRUE,Inputs!$F$7="TRUE",Inputs!$F$7=1),(Inputs!$H$7+Inputs!$L$7*(((Inputs!$I$7+(((A74)+1)/2)*(Inputs!$J$7-Inputs!$I$7)))/Inputs!$K$7)^2),NA())</x:f>
        <x:v>93.4</x:v>
      </x:c>
      <x:c r="D74" s="9" t="n">
        <x:f>IF(OR(Inputs!$F$8=TRUE,Inputs!$F$8="TRUE",Inputs!$F$8=1),(Inputs!$H$8+Inputs!$L$8*(((Inputs!$I$8+(((A74)+1)/2)*(Inputs!$J$8-Inputs!$I$8)))/Inputs!$K$8)^2),NA())</x:f>
        <x:v>189.40000000000003</x:v>
      </x:c>
      <x:c r="E74" s="9" t="n">
        <x:f>IF(OR(Inputs!$F$9=TRUE,Inputs!$F$9="TRUE",Inputs!$F$9=1),(Inputs!$H$9+Inputs!$L$9*(((Inputs!$I$9+(((A74)+1)/2)*(Inputs!$J$9-Inputs!$I$9)))/Inputs!$K$9)^2),NA())</x:f>
        <x:v>181.00000000000003</x:v>
      </x:c>
      <x:c r="F74" s="10" t="n"/>
      <x:c r="G74" s="9" t="n">
        <x:f>A74</x:f>
        <x:v>-0.4</x:v>
      </x:c>
      <x:c r="H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10" t="n"/>
      <x:c r="M74" s="9" t="n">
        <x:f>A74</x:f>
        <x:v>-0.4</x:v>
      </x:c>
      <x:c r="N74" s="9"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9"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9"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9"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10" t="n"/>
      <x:c r="S74" s="9" t="n">
        <x:f>A74</x:f>
        <x:v>-0.4</x:v>
      </x:c>
      <x:c r="T74" s="9" t="n">
        <x:f>(Inputs!$I$6+(((A74)+1)/2)*(Inputs!$J$6-Inputs!$I$6))</x:f>
        <x:v>-24</x:v>
      </x:c>
      <x:c r="U74" s="9" t="n">
        <x:f>(Inputs!$I$7+(((A74)+1)/2)*(Inputs!$J$7-Inputs!$I$7))</x:f>
        <x:v>-160</x:v>
      </x:c>
      <x:c r="V74" s="9" t="n">
        <x:f>(Inputs!$I$8+(((A74)+1)/2)*(Inputs!$J$8-Inputs!$I$8))</x:f>
        <x:v>-320</x:v>
      </x:c>
      <x:c r="W74" s="9" t="n">
        <x:f>(Inputs!$I$9+(((A74)+1)/2)*(Inputs!$J$9-Inputs!$I$9))</x:f>
        <x:v>-320</x:v>
      </x:c>
      <x:c r="X74" s="10" t="n"/>
      <x:c r="Y74" s="9" t="n">
        <x:f>A74</x:f>
        <x:v>-0.4</x:v>
      </x:c>
      <x:c r="Z74" s="9" t="n">
        <x:f>(Inputs!$H$6+Inputs!$L$6*(((Inputs!$I$6+(((A74)+1)/2)*(Inputs!$J$6-Inputs!$I$6)))/Inputs!$K$6)^2)</x:f>
        <x:v>400.64</x:v>
      </x:c>
      <x:c r="AA74" s="9" t="n">
        <x:f>(Inputs!$H$7+Inputs!$L$7*(((Inputs!$I$7+(((A74)+1)/2)*(Inputs!$J$7-Inputs!$I$7)))/Inputs!$K$7)^2)</x:f>
        <x:v>93.4</x:v>
      </x:c>
      <x:c r="AB74" s="9" t="n">
        <x:f>(Inputs!$H$8+Inputs!$L$8*(((Inputs!$I$8+(((A74)+1)/2)*(Inputs!$J$8-Inputs!$I$8)))/Inputs!$K$8)^2)</x:f>
        <x:v>189.40000000000003</x:v>
      </x:c>
      <x:c r="AC74" s="9" t="n">
        <x:f>(Inputs!$H$9+Inputs!$L$9*(((Inputs!$I$9+(((A74)+1)/2)*(Inputs!$J$9-Inputs!$I$9)))/Inputs!$K$9)^2)</x:f>
        <x:v>181.00000000000003</x:v>
      </x:c>
      <x:c r="AD74" s="10" t="n"/>
      <x:c r="AE74" s="9" t="n">
        <x:f>A74</x:f>
        <x:v>-0.4</x:v>
      </x:c>
      <x:c r="AF74" s="9"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9"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9"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9"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10" t="n"/>
      <x:c r="AK74" s="9" t="n">
        <x:f>A74</x:f>
        <x:v>-0.4</x:v>
      </x:c>
      <x:c r="AL74" s="9"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9"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9"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9"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10" t="n"/>
      <x:c r="AQ74" s="9" t="n">
        <x:f>A74</x:f>
        <x:v>-0.4</x:v>
      </x:c>
      <x:c r="AR74" s="9" t="n">
        <x:f>0</x:f>
        <x:v>0</x:v>
      </x:c>
      <x:c r="AS74" s="9"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x:f>
        <x:v>268.5791759815676</x:v>
      </x:c>
      <x:c r="AT74" s="9"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x:f>
        <x:v>138.70370323809672</x:v>
      </x:c>
      <x:c r="AU74" s="9"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x:f>
        <x:v>230.83673823808448</x:v>
      </x:c>
      <x:c r="AV74" s="9"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x:f>
        <x:v>230.83673823808448</x:v>
      </x:c>
      <x:c r="AW74" s="10" t="n"/>
      <x:c r="AX74" s="9" t="n">
        <x:f>A74</x:f>
        <x:v>-0.4</x:v>
      </x:c>
      <x:c r="AY74" s="9" t="n">
        <x:f>0</x:f>
        <x:v>0</x:v>
      </x:c>
      <x:c r="AZ74" s="9" t="n">
        <x:f>IF(OR(Inputs!$F$6=TRUE,Inputs!$F$6="TRUE",Inputs!$F$6=1),(Inputs!$H$6+Inputs!$L$6*(((Inputs!$I$6+(((A74)+1)/2)*(Inputs!$J$6-Inputs!$I$6)))/Inputs!$K$6)^2),NA())</x:f>
        <x:v>400.64</x:v>
      </x:c>
      <x:c r="BA74" s="9" t="n">
        <x:f>IF(OR(Inputs!$F$7=TRUE,Inputs!$F$7="TRUE",Inputs!$F$7=1),(Inputs!$H$7+Inputs!$L$7*(((Inputs!$I$7+(((A74)+1)/2)*(Inputs!$J$7-Inputs!$I$7)))/Inputs!$K$7)^2),NA())</x:f>
        <x:v>93.4</x:v>
      </x:c>
      <x:c r="BB74" s="9" t="n">
        <x:f>IF(OR(Inputs!$F$8=TRUE,Inputs!$F$8="TRUE",Inputs!$F$8=1),(Inputs!$H$8+Inputs!$L$8*(((Inputs!$I$8+(((A74)+1)/2)*(Inputs!$J$8-Inputs!$I$8)))/Inputs!$K$8)^2),NA())</x:f>
        <x:v>189.40000000000003</x:v>
      </x:c>
      <x:c r="BC74" s="9" t="n">
        <x:f>IF(OR(Inputs!$F$9=TRUE,Inputs!$F$9="TRUE",Inputs!$F$9=1),(Inputs!$H$9+Inputs!$L$9*(((Inputs!$I$9+(((A74)+1)/2)*(Inputs!$J$9-Inputs!$I$9)))/Inputs!$K$9)^2),NA())</x:f>
        <x:v>181.00000000000003</x:v>
      </x:c>
      <x:c r="BD74" s="10" t="n"/>
      <x:c r="BE74" s="9" t="n">
        <x:f>A74</x:f>
        <x:v>-0.4</x:v>
      </x:c>
      <x:c r="BF74" s="9" t="n">
        <x:f>0</x:f>
        <x:v>0</x:v>
      </x:c>
      <x:c r="BG74" s="9"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9"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9"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9"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9" t="n">
        <x:f>ROUND(-1+73*2/240,3)</x:f>
        <x:v>-0.392</x:v>
      </x:c>
      <x:c r="B75" s="9" t="n">
        <x:f>IF(OR(Inputs!$F$6=TRUE,Inputs!$F$6="TRUE",Inputs!$F$6=1),(Inputs!$H$6+Inputs!$L$6*(((Inputs!$I$6+(((A75)+1)/2)*(Inputs!$J$6-Inputs!$I$6)))/Inputs!$K$6)^2),NA())</x:f>
        <x:v>400.614656</x:v>
      </x:c>
      <x:c r="C75" s="9" t="n">
        <x:f>IF(OR(Inputs!$F$7=TRUE,Inputs!$F$7="TRUE",Inputs!$F$7=1),(Inputs!$H$7+Inputs!$L$7*(((Inputs!$I$7+(((A75)+1)/2)*(Inputs!$J$7-Inputs!$I$7)))/Inputs!$K$7)^2),NA())</x:f>
        <x:v>91.08736000000002</x:v>
      </x:c>
      <x:c r="D75" s="9" t="n">
        <x:f>IF(OR(Inputs!$F$8=TRUE,Inputs!$F$8="TRUE",Inputs!$F$8=1),(Inputs!$H$8+Inputs!$L$8*(((Inputs!$I$8+(((A75)+1)/2)*(Inputs!$J$8-Inputs!$I$8)))/Inputs!$K$8)^2),NA())</x:f>
        <x:v>183.28576</x:v>
      </x:c>
      <x:c r="E75" s="9" t="n">
        <x:f>IF(OR(Inputs!$F$9=TRUE,Inputs!$F$9="TRUE",Inputs!$F$9=1),(Inputs!$H$9+Inputs!$L$9*(((Inputs!$I$9+(((A75)+1)/2)*(Inputs!$J$9-Inputs!$I$9)))/Inputs!$K$9)^2),NA())</x:f>
        <x:v>174.82240000000002</x:v>
      </x:c>
      <x:c r="F75" s="10" t="n"/>
      <x:c r="G75" s="9" t="n">
        <x:f>A75</x:f>
        <x:v>-0.392</x:v>
      </x:c>
      <x:c r="H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10" t="n"/>
      <x:c r="M75" s="9" t="n">
        <x:f>A75</x:f>
        <x:v>-0.392</x:v>
      </x:c>
      <x:c r="N75" s="9"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9"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9"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9"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10" t="n"/>
      <x:c r="S75" s="9" t="n">
        <x:f>A75</x:f>
        <x:v>-0.392</x:v>
      </x:c>
      <x:c r="T75" s="9" t="n">
        <x:f>(Inputs!$I$6+(((A75)+1)/2)*(Inputs!$J$6-Inputs!$I$6))</x:f>
        <x:v>-23.520000000000003</x:v>
      </x:c>
      <x:c r="U75" s="9" t="n">
        <x:f>(Inputs!$I$7+(((A75)+1)/2)*(Inputs!$J$7-Inputs!$I$7))</x:f>
        <x:v>-156.8</x:v>
      </x:c>
      <x:c r="V75" s="9" t="n">
        <x:f>(Inputs!$I$8+(((A75)+1)/2)*(Inputs!$J$8-Inputs!$I$8))</x:f>
        <x:v>-313.6</x:v>
      </x:c>
      <x:c r="W75" s="9" t="n">
        <x:f>(Inputs!$I$9+(((A75)+1)/2)*(Inputs!$J$9-Inputs!$I$9))</x:f>
        <x:v>-313.6</x:v>
      </x:c>
      <x:c r="X75" s="10" t="n"/>
      <x:c r="Y75" s="9" t="n">
        <x:f>A75</x:f>
        <x:v>-0.392</x:v>
      </x:c>
      <x:c r="Z75" s="9" t="n">
        <x:f>(Inputs!$H$6+Inputs!$L$6*(((Inputs!$I$6+(((A75)+1)/2)*(Inputs!$J$6-Inputs!$I$6)))/Inputs!$K$6)^2)</x:f>
        <x:v>400.614656</x:v>
      </x:c>
      <x:c r="AA75" s="9" t="n">
        <x:f>(Inputs!$H$7+Inputs!$L$7*(((Inputs!$I$7+(((A75)+1)/2)*(Inputs!$J$7-Inputs!$I$7)))/Inputs!$K$7)^2)</x:f>
        <x:v>91.08736000000002</x:v>
      </x:c>
      <x:c r="AB75" s="9" t="n">
        <x:f>(Inputs!$H$8+Inputs!$L$8*(((Inputs!$I$8+(((A75)+1)/2)*(Inputs!$J$8-Inputs!$I$8)))/Inputs!$K$8)^2)</x:f>
        <x:v>183.28576</x:v>
      </x:c>
      <x:c r="AC75" s="9" t="n">
        <x:f>(Inputs!$H$9+Inputs!$L$9*(((Inputs!$I$9+(((A75)+1)/2)*(Inputs!$J$9-Inputs!$I$9)))/Inputs!$K$9)^2)</x:f>
        <x:v>174.82240000000002</x:v>
      </x:c>
      <x:c r="AD75" s="10" t="n"/>
      <x:c r="AE75" s="9" t="n">
        <x:f>A75</x:f>
        <x:v>-0.392</x:v>
      </x:c>
      <x:c r="AF75" s="9"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9"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9"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9"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10" t="n"/>
      <x:c r="AK75" s="9" t="n">
        <x:f>A75</x:f>
        <x:v>-0.392</x:v>
      </x:c>
      <x:c r="AL75" s="9"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9"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9"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9"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10" t="n"/>
      <x:c r="AQ75" s="9" t="n">
        <x:f>A75</x:f>
        <x:v>-0.392</x:v>
      </x:c>
      <x:c r="AR75" s="9" t="n">
        <x:f>0</x:f>
        <x:v>0</x:v>
      </x:c>
      <x:c r="AS75" s="9"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x:f>
        <x:v>294.44993900710983</x:v>
      </x:c>
      <x:c r="AT75" s="9"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x:f>
        <x:v>196.08717045831813</x:v>
      </x:c>
      <x:c r="AU75" s="9"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x:f>
        <x:v>100.74451979110265</x:v>
      </x:c>
      <x:c r="AV75" s="9"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x:f>
        <x:v>100.74451979110265</x:v>
      </x:c>
      <x:c r="AW75" s="10" t="n"/>
      <x:c r="AX75" s="9" t="n">
        <x:f>A75</x:f>
        <x:v>-0.392</x:v>
      </x:c>
      <x:c r="AY75" s="9" t="n">
        <x:f>0</x:f>
        <x:v>0</x:v>
      </x:c>
      <x:c r="AZ75" s="9" t="n">
        <x:f>IF(OR(Inputs!$F$6=TRUE,Inputs!$F$6="TRUE",Inputs!$F$6=1),(Inputs!$H$6+Inputs!$L$6*(((Inputs!$I$6+(((A75)+1)/2)*(Inputs!$J$6-Inputs!$I$6)))/Inputs!$K$6)^2),NA())</x:f>
        <x:v>400.614656</x:v>
      </x:c>
      <x:c r="BA75" s="9" t="n">
        <x:f>IF(OR(Inputs!$F$7=TRUE,Inputs!$F$7="TRUE",Inputs!$F$7=1),(Inputs!$H$7+Inputs!$L$7*(((Inputs!$I$7+(((A75)+1)/2)*(Inputs!$J$7-Inputs!$I$7)))/Inputs!$K$7)^2),NA())</x:f>
        <x:v>91.08736000000002</x:v>
      </x:c>
      <x:c r="BB75" s="9" t="n">
        <x:f>IF(OR(Inputs!$F$8=TRUE,Inputs!$F$8="TRUE",Inputs!$F$8=1),(Inputs!$H$8+Inputs!$L$8*(((Inputs!$I$8+(((A75)+1)/2)*(Inputs!$J$8-Inputs!$I$8)))/Inputs!$K$8)^2),NA())</x:f>
        <x:v>183.28576</x:v>
      </x:c>
      <x:c r="BC75" s="9" t="n">
        <x:f>IF(OR(Inputs!$F$9=TRUE,Inputs!$F$9="TRUE",Inputs!$F$9=1),(Inputs!$H$9+Inputs!$L$9*(((Inputs!$I$9+(((A75)+1)/2)*(Inputs!$J$9-Inputs!$I$9)))/Inputs!$K$9)^2),NA())</x:f>
        <x:v>174.82240000000002</x:v>
      </x:c>
      <x:c r="BD75" s="10" t="n"/>
      <x:c r="BE75" s="9" t="n">
        <x:f>A75</x:f>
        <x:v>-0.392</x:v>
      </x:c>
      <x:c r="BF75" s="9" t="n">
        <x:f>0</x:f>
        <x:v>0</x:v>
      </x:c>
      <x:c r="BG75" s="9"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9"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9"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9"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9" t="n">
        <x:f>ROUND(-1+74*2/240,3)</x:f>
        <x:v>-0.383</x:v>
      </x:c>
      <x:c r="B76" s="9" t="n">
        <x:f>IF(OR(Inputs!$F$6=TRUE,Inputs!$F$6="TRUE",Inputs!$F$6=1),(Inputs!$H$6+Inputs!$L$6*(((Inputs!$I$6+(((A76)+1)/2)*(Inputs!$J$6-Inputs!$I$6)))/Inputs!$K$6)^2),NA())</x:f>
        <x:v>400.586756</x:v>
      </x:c>
      <x:c r="C76" s="9" t="n">
        <x:f>IF(OR(Inputs!$F$7=TRUE,Inputs!$F$7="TRUE",Inputs!$F$7=1),(Inputs!$H$7+Inputs!$L$7*(((Inputs!$I$7+(((A76)+1)/2)*(Inputs!$J$7-Inputs!$I$7)))/Inputs!$K$7)^2),NA())</x:f>
        <x:v>88.541485</x:v>
      </x:c>
      <x:c r="D76" s="9" t="n">
        <x:f>IF(OR(Inputs!$F$8=TRUE,Inputs!$F$8="TRUE",Inputs!$F$8=1),(Inputs!$H$8+Inputs!$L$8*(((Inputs!$I$8+(((A76)+1)/2)*(Inputs!$J$8-Inputs!$I$8)))/Inputs!$K$8)^2),NA())</x:f>
        <x:v>176.55488499999996</x:v>
      </x:c>
      <x:c r="E76" s="9" t="n">
        <x:f>IF(OR(Inputs!$F$9=TRUE,Inputs!$F$9="TRUE",Inputs!$F$9=1),(Inputs!$H$9+Inputs!$L$9*(((Inputs!$I$9+(((A76)+1)/2)*(Inputs!$J$9-Inputs!$I$9)))/Inputs!$K$9)^2),NA())</x:f>
        <x:v>168.02177499999996</x:v>
      </x:c>
      <x:c r="F76" s="10" t="n"/>
      <x:c r="G76" s="9" t="n">
        <x:f>A76</x:f>
        <x:v>-0.383</x:v>
      </x:c>
      <x:c r="H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10" t="n"/>
      <x:c r="M76" s="9" t="n">
        <x:f>A76</x:f>
        <x:v>-0.383</x:v>
      </x:c>
      <x:c r="N76" s="9"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9"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9"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9"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10" t="n"/>
      <x:c r="S76" s="9" t="n">
        <x:f>A76</x:f>
        <x:v>-0.383</x:v>
      </x:c>
      <x:c r="T76" s="9" t="n">
        <x:f>(Inputs!$I$6+(((A76)+1)/2)*(Inputs!$J$6-Inputs!$I$6))</x:f>
        <x:v>-22.980000000000004</x:v>
      </x:c>
      <x:c r="U76" s="9" t="n">
        <x:f>(Inputs!$I$7+(((A76)+1)/2)*(Inputs!$J$7-Inputs!$I$7))</x:f>
        <x:v>-153.2</x:v>
      </x:c>
      <x:c r="V76" s="9" t="n">
        <x:f>(Inputs!$I$8+(((A76)+1)/2)*(Inputs!$J$8-Inputs!$I$8))</x:f>
        <x:v>-306.4</x:v>
      </x:c>
      <x:c r="W76" s="9" t="n">
        <x:f>(Inputs!$I$9+(((A76)+1)/2)*(Inputs!$J$9-Inputs!$I$9))</x:f>
        <x:v>-306.4</x:v>
      </x:c>
      <x:c r="X76" s="10" t="n"/>
      <x:c r="Y76" s="9" t="n">
        <x:f>A76</x:f>
        <x:v>-0.383</x:v>
      </x:c>
      <x:c r="Z76" s="9" t="n">
        <x:f>(Inputs!$H$6+Inputs!$L$6*(((Inputs!$I$6+(((A76)+1)/2)*(Inputs!$J$6-Inputs!$I$6)))/Inputs!$K$6)^2)</x:f>
        <x:v>400.586756</x:v>
      </x:c>
      <x:c r="AA76" s="9" t="n">
        <x:f>(Inputs!$H$7+Inputs!$L$7*(((Inputs!$I$7+(((A76)+1)/2)*(Inputs!$J$7-Inputs!$I$7)))/Inputs!$K$7)^2)</x:f>
        <x:v>88.541485</x:v>
      </x:c>
      <x:c r="AB76" s="9" t="n">
        <x:f>(Inputs!$H$8+Inputs!$L$8*(((Inputs!$I$8+(((A76)+1)/2)*(Inputs!$J$8-Inputs!$I$8)))/Inputs!$K$8)^2)</x:f>
        <x:v>176.55488499999996</x:v>
      </x:c>
      <x:c r="AC76" s="9" t="n">
        <x:f>(Inputs!$H$9+Inputs!$L$9*(((Inputs!$I$9+(((A76)+1)/2)*(Inputs!$J$9-Inputs!$I$9)))/Inputs!$K$9)^2)</x:f>
        <x:v>168.02177499999996</x:v>
      </x:c>
      <x:c r="AD76" s="10" t="n"/>
      <x:c r="AE76" s="9" t="n">
        <x:f>A76</x:f>
        <x:v>-0.383</x:v>
      </x:c>
      <x:c r="AF76" s="9"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9"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9"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9"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10" t="n"/>
      <x:c r="AK76" s="9" t="n">
        <x:f>A76</x:f>
        <x:v>-0.383</x:v>
      </x:c>
      <x:c r="AL76" s="9"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9"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9"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9"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10" t="n"/>
      <x:c r="AQ76" s="9" t="n">
        <x:f>A76</x:f>
        <x:v>-0.383</x:v>
      </x:c>
      <x:c r="AR76" s="9" t="n">
        <x:f>0</x:f>
        <x:v>0</x:v>
      </x:c>
      <x:c r="AS76" s="9"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x:f>
        <x:v>282.16327342785746</x:v>
      </x:c>
      <x:c r="AT76" s="9"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x:f>
        <x:v>154.02382606022226</x:v>
      </x:c>
      <x:c r="AU76" s="9"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x:f>
        <x:v>152.82930948380636</x:v>
      </x:c>
      <x:c r="AV76" s="9"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x:f>
        <x:v>152.82930948380636</x:v>
      </x:c>
      <x:c r="AW76" s="10" t="n"/>
      <x:c r="AX76" s="9" t="n">
        <x:f>A76</x:f>
        <x:v>-0.383</x:v>
      </x:c>
      <x:c r="AY76" s="9" t="n">
        <x:f>0</x:f>
        <x:v>0</x:v>
      </x:c>
      <x:c r="AZ76" s="9" t="n">
        <x:f>IF(OR(Inputs!$F$6=TRUE,Inputs!$F$6="TRUE",Inputs!$F$6=1),(Inputs!$H$6+Inputs!$L$6*(((Inputs!$I$6+(((A76)+1)/2)*(Inputs!$J$6-Inputs!$I$6)))/Inputs!$K$6)^2),NA())</x:f>
        <x:v>400.586756</x:v>
      </x:c>
      <x:c r="BA76" s="9" t="n">
        <x:f>IF(OR(Inputs!$F$7=TRUE,Inputs!$F$7="TRUE",Inputs!$F$7=1),(Inputs!$H$7+Inputs!$L$7*(((Inputs!$I$7+(((A76)+1)/2)*(Inputs!$J$7-Inputs!$I$7)))/Inputs!$K$7)^2),NA())</x:f>
        <x:v>88.541485</x:v>
      </x:c>
      <x:c r="BB76" s="9" t="n">
        <x:f>IF(OR(Inputs!$F$8=TRUE,Inputs!$F$8="TRUE",Inputs!$F$8=1),(Inputs!$H$8+Inputs!$L$8*(((Inputs!$I$8+(((A76)+1)/2)*(Inputs!$J$8-Inputs!$I$8)))/Inputs!$K$8)^2),NA())</x:f>
        <x:v>176.55488499999996</x:v>
      </x:c>
      <x:c r="BC76" s="9" t="n">
        <x:f>IF(OR(Inputs!$F$9=TRUE,Inputs!$F$9="TRUE",Inputs!$F$9=1),(Inputs!$H$9+Inputs!$L$9*(((Inputs!$I$9+(((A76)+1)/2)*(Inputs!$J$9-Inputs!$I$9)))/Inputs!$K$9)^2),NA())</x:f>
        <x:v>168.02177499999996</x:v>
      </x:c>
      <x:c r="BD76" s="10" t="n"/>
      <x:c r="BE76" s="9" t="n">
        <x:f>A76</x:f>
        <x:v>-0.383</x:v>
      </x:c>
      <x:c r="BF76" s="9" t="n">
        <x:f>0</x:f>
        <x:v>0</x:v>
      </x:c>
      <x:c r="BG76" s="9"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9"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9"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9"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9" t="n">
        <x:f>ROUND(-1+75*2/240,3)</x:f>
        <x:v>-0.375</x:v>
      </x:c>
      <x:c r="B77" s="9" t="n">
        <x:f>IF(OR(Inputs!$F$6=TRUE,Inputs!$F$6="TRUE",Inputs!$F$6=1),(Inputs!$H$6+Inputs!$L$6*(((Inputs!$I$6+(((A77)+1)/2)*(Inputs!$J$6-Inputs!$I$6)))/Inputs!$K$6)^2),NA())</x:f>
        <x:v>400.5625</x:v>
      </x:c>
      <x:c r="C77" s="9" t="n">
        <x:f>IF(OR(Inputs!$F$7=TRUE,Inputs!$F$7="TRUE",Inputs!$F$7=1),(Inputs!$H$7+Inputs!$L$7*(((Inputs!$I$7+(((A77)+1)/2)*(Inputs!$J$7-Inputs!$I$7)))/Inputs!$K$7)^2),NA())</x:f>
        <x:v>86.328125</x:v>
      </x:c>
      <x:c r="D77" s="9" t="n">
        <x:f>IF(OR(Inputs!$F$8=TRUE,Inputs!$F$8="TRUE",Inputs!$F$8=1),(Inputs!$H$8+Inputs!$L$8*(((Inputs!$I$8+(((A77)+1)/2)*(Inputs!$J$8-Inputs!$I$8)))/Inputs!$K$8)^2),NA())</x:f>
        <x:v>170.703125</x:v>
      </x:c>
      <x:c r="E77" s="9" t="n">
        <x:f>IF(OR(Inputs!$F$9=TRUE,Inputs!$F$9="TRUE",Inputs!$F$9=1),(Inputs!$H$9+Inputs!$L$9*(((Inputs!$I$9+(((A77)+1)/2)*(Inputs!$J$9-Inputs!$I$9)))/Inputs!$K$9)^2),NA())</x:f>
        <x:v>162.109375</x:v>
      </x:c>
      <x:c r="F77" s="10" t="n"/>
      <x:c r="G77" s="9" t="n">
        <x:f>A77</x:f>
        <x:v>-0.375</x:v>
      </x:c>
      <x:c r="H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10" t="n"/>
      <x:c r="M77" s="9" t="n">
        <x:f>A77</x:f>
        <x:v>-0.375</x:v>
      </x:c>
      <x:c r="N77" s="9"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9"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9"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9"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10" t="n"/>
      <x:c r="S77" s="9" t="n">
        <x:f>A77</x:f>
        <x:v>-0.375</x:v>
      </x:c>
      <x:c r="T77" s="9" t="n">
        <x:f>(Inputs!$I$6+(((A77)+1)/2)*(Inputs!$J$6-Inputs!$I$6))</x:f>
        <x:v>-22.5</x:v>
      </x:c>
      <x:c r="U77" s="9" t="n">
        <x:f>(Inputs!$I$7+(((A77)+1)/2)*(Inputs!$J$7-Inputs!$I$7))</x:f>
        <x:v>-150</x:v>
      </x:c>
      <x:c r="V77" s="9" t="n">
        <x:f>(Inputs!$I$8+(((A77)+1)/2)*(Inputs!$J$8-Inputs!$I$8))</x:f>
        <x:v>-300</x:v>
      </x:c>
      <x:c r="W77" s="9" t="n">
        <x:f>(Inputs!$I$9+(((A77)+1)/2)*(Inputs!$J$9-Inputs!$I$9))</x:f>
        <x:v>-300</x:v>
      </x:c>
      <x:c r="X77" s="10" t="n"/>
      <x:c r="Y77" s="9" t="n">
        <x:f>A77</x:f>
        <x:v>-0.375</x:v>
      </x:c>
      <x:c r="Z77" s="9" t="n">
        <x:f>(Inputs!$H$6+Inputs!$L$6*(((Inputs!$I$6+(((A77)+1)/2)*(Inputs!$J$6-Inputs!$I$6)))/Inputs!$K$6)^2)</x:f>
        <x:v>400.5625</x:v>
      </x:c>
      <x:c r="AA77" s="9" t="n">
        <x:f>(Inputs!$H$7+Inputs!$L$7*(((Inputs!$I$7+(((A77)+1)/2)*(Inputs!$J$7-Inputs!$I$7)))/Inputs!$K$7)^2)</x:f>
        <x:v>86.328125</x:v>
      </x:c>
      <x:c r="AB77" s="9" t="n">
        <x:f>(Inputs!$H$8+Inputs!$L$8*(((Inputs!$I$8+(((A77)+1)/2)*(Inputs!$J$8-Inputs!$I$8)))/Inputs!$K$8)^2)</x:f>
        <x:v>170.703125</x:v>
      </x:c>
      <x:c r="AC77" s="9" t="n">
        <x:f>(Inputs!$H$9+Inputs!$L$9*(((Inputs!$I$9+(((A77)+1)/2)*(Inputs!$J$9-Inputs!$I$9)))/Inputs!$K$9)^2)</x:f>
        <x:v>162.109375</x:v>
      </x:c>
      <x:c r="AD77" s="10" t="n"/>
      <x:c r="AE77" s="9" t="n">
        <x:f>A77</x:f>
        <x:v>-0.375</x:v>
      </x:c>
      <x:c r="AF77" s="9"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9"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9"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9"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10" t="n"/>
      <x:c r="AK77" s="9" t="n">
        <x:f>A77</x:f>
        <x:v>-0.375</x:v>
      </x:c>
      <x:c r="AL77" s="9"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9"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9"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9"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10" t="n"/>
      <x:c r="AQ77" s="9" t="n">
        <x:f>A77</x:f>
        <x:v>-0.375</x:v>
      </x:c>
      <x:c r="AR77" s="9" t="n">
        <x:f>0</x:f>
        <x:v>0</x:v>
      </x:c>
      <x:c r="AS77" s="9"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x:f>
        <x:v>286.69936407981004</x:v>
      </x:c>
      <x:c r="AT77" s="9"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x:f>
        <x:v>62.28555176667266</x:v>
      </x:c>
      <x:c r="AU77" s="9"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x:f>
        <x:v>172.6892729513056</x:v>
      </x:c>
      <x:c r="AV77" s="9"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x:f>
        <x:v>172.6892729513056</x:v>
      </x:c>
      <x:c r="AW77" s="10" t="n"/>
      <x:c r="AX77" s="9" t="n">
        <x:f>A77</x:f>
        <x:v>-0.375</x:v>
      </x:c>
      <x:c r="AY77" s="9" t="n">
        <x:f>0</x:f>
        <x:v>0</x:v>
      </x:c>
      <x:c r="AZ77" s="9" t="n">
        <x:f>IF(OR(Inputs!$F$6=TRUE,Inputs!$F$6="TRUE",Inputs!$F$6=1),(Inputs!$H$6+Inputs!$L$6*(((Inputs!$I$6+(((A77)+1)/2)*(Inputs!$J$6-Inputs!$I$6)))/Inputs!$K$6)^2),NA())</x:f>
        <x:v>400.5625</x:v>
      </x:c>
      <x:c r="BA77" s="9" t="n">
        <x:f>IF(OR(Inputs!$F$7=TRUE,Inputs!$F$7="TRUE",Inputs!$F$7=1),(Inputs!$H$7+Inputs!$L$7*(((Inputs!$I$7+(((A77)+1)/2)*(Inputs!$J$7-Inputs!$I$7)))/Inputs!$K$7)^2),NA())</x:f>
        <x:v>86.328125</x:v>
      </x:c>
      <x:c r="BB77" s="9" t="n">
        <x:f>IF(OR(Inputs!$F$8=TRUE,Inputs!$F$8="TRUE",Inputs!$F$8=1),(Inputs!$H$8+Inputs!$L$8*(((Inputs!$I$8+(((A77)+1)/2)*(Inputs!$J$8-Inputs!$I$8)))/Inputs!$K$8)^2),NA())</x:f>
        <x:v>170.703125</x:v>
      </x:c>
      <x:c r="BC77" s="9" t="n">
        <x:f>IF(OR(Inputs!$F$9=TRUE,Inputs!$F$9="TRUE",Inputs!$F$9=1),(Inputs!$H$9+Inputs!$L$9*(((Inputs!$I$9+(((A77)+1)/2)*(Inputs!$J$9-Inputs!$I$9)))/Inputs!$K$9)^2),NA())</x:f>
        <x:v>162.109375</x:v>
      </x:c>
      <x:c r="BD77" s="10" t="n"/>
      <x:c r="BE77" s="9" t="n">
        <x:f>A77</x:f>
        <x:v>-0.375</x:v>
      </x:c>
      <x:c r="BF77" s="9" t="n">
        <x:f>0</x:f>
        <x:v>0</x:v>
      </x:c>
      <x:c r="BG77" s="9"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9"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9"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9"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9" t="n">
        <x:f>ROUND(-1+76*2/240,3)</x:f>
        <x:v>-0.367</x:v>
      </x:c>
      <x:c r="B78" s="9" t="n">
        <x:f>IF(OR(Inputs!$F$6=TRUE,Inputs!$F$6="TRUE",Inputs!$F$6=1),(Inputs!$H$6+Inputs!$L$6*(((Inputs!$I$6+(((A78)+1)/2)*(Inputs!$J$6-Inputs!$I$6)))/Inputs!$K$6)^2),NA())</x:f>
        <x:v>400.538756</x:v>
      </x:c>
      <x:c r="C78" s="9" t="n">
        <x:f>IF(OR(Inputs!$F$7=TRUE,Inputs!$F$7="TRUE",Inputs!$F$7=1),(Inputs!$H$7+Inputs!$L$7*(((Inputs!$I$7+(((A78)+1)/2)*(Inputs!$J$7-Inputs!$I$7)))/Inputs!$K$7)^2),NA())</x:f>
        <x:v>84.16148500000001</x:v>
      </x:c>
      <x:c r="D78" s="9" t="n">
        <x:f>IF(OR(Inputs!$F$8=TRUE,Inputs!$F$8="TRUE",Inputs!$F$8=1),(Inputs!$H$8+Inputs!$L$8*(((Inputs!$I$8+(((A78)+1)/2)*(Inputs!$J$8-Inputs!$I$8)))/Inputs!$K$8)^2),NA())</x:f>
        <x:v>164.97488500000003</x:v>
      </x:c>
      <x:c r="E78" s="9" t="n">
        <x:f>IF(OR(Inputs!$F$9=TRUE,Inputs!$F$9="TRUE",Inputs!$F$9=1),(Inputs!$H$9+Inputs!$L$9*(((Inputs!$I$9+(((A78)+1)/2)*(Inputs!$J$9-Inputs!$I$9)))/Inputs!$K$9)^2),NA())</x:f>
        <x:v>156.32177500000003</x:v>
      </x:c>
      <x:c r="F78" s="10" t="n"/>
      <x:c r="G78" s="9" t="n">
        <x:f>A78</x:f>
        <x:v>-0.367</x:v>
      </x:c>
      <x:c r="H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10" t="n"/>
      <x:c r="M78" s="9" t="n">
        <x:f>A78</x:f>
        <x:v>-0.367</x:v>
      </x:c>
      <x:c r="N78" s="9"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9"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9"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9"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10" t="n"/>
      <x:c r="S78" s="9" t="n">
        <x:f>A78</x:f>
        <x:v>-0.367</x:v>
      </x:c>
      <x:c r="T78" s="9" t="n">
        <x:f>(Inputs!$I$6+(((A78)+1)/2)*(Inputs!$J$6-Inputs!$I$6))</x:f>
        <x:v>-22.019999999999996</x:v>
      </x:c>
      <x:c r="U78" s="9" t="n">
        <x:f>(Inputs!$I$7+(((A78)+1)/2)*(Inputs!$J$7-Inputs!$I$7))</x:f>
        <x:v>-146.8</x:v>
      </x:c>
      <x:c r="V78" s="9" t="n">
        <x:f>(Inputs!$I$8+(((A78)+1)/2)*(Inputs!$J$8-Inputs!$I$8))</x:f>
        <x:v>-293.6</x:v>
      </x:c>
      <x:c r="W78" s="9" t="n">
        <x:f>(Inputs!$I$9+(((A78)+1)/2)*(Inputs!$J$9-Inputs!$I$9))</x:f>
        <x:v>-293.6</x:v>
      </x:c>
      <x:c r="X78" s="10" t="n"/>
      <x:c r="Y78" s="9" t="n">
        <x:f>A78</x:f>
        <x:v>-0.367</x:v>
      </x:c>
      <x:c r="Z78" s="9" t="n">
        <x:f>(Inputs!$H$6+Inputs!$L$6*(((Inputs!$I$6+(((A78)+1)/2)*(Inputs!$J$6-Inputs!$I$6)))/Inputs!$K$6)^2)</x:f>
        <x:v>400.538756</x:v>
      </x:c>
      <x:c r="AA78" s="9" t="n">
        <x:f>(Inputs!$H$7+Inputs!$L$7*(((Inputs!$I$7+(((A78)+1)/2)*(Inputs!$J$7-Inputs!$I$7)))/Inputs!$K$7)^2)</x:f>
        <x:v>84.16148500000001</x:v>
      </x:c>
      <x:c r="AB78" s="9" t="n">
        <x:f>(Inputs!$H$8+Inputs!$L$8*(((Inputs!$I$8+(((A78)+1)/2)*(Inputs!$J$8-Inputs!$I$8)))/Inputs!$K$8)^2)</x:f>
        <x:v>164.97488500000003</x:v>
      </x:c>
      <x:c r="AC78" s="9" t="n">
        <x:f>(Inputs!$H$9+Inputs!$L$9*(((Inputs!$I$9+(((A78)+1)/2)*(Inputs!$J$9-Inputs!$I$9)))/Inputs!$K$9)^2)</x:f>
        <x:v>156.32177500000003</x:v>
      </x:c>
      <x:c r="AD78" s="10" t="n"/>
      <x:c r="AE78" s="9" t="n">
        <x:f>A78</x:f>
        <x:v>-0.367</x:v>
      </x:c>
      <x:c r="AF78" s="9"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9"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9"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9"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10" t="n"/>
      <x:c r="AK78" s="9" t="n">
        <x:f>A78</x:f>
        <x:v>-0.367</x:v>
      </x:c>
      <x:c r="AL78" s="9"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9"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9"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9"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10" t="n"/>
      <x:c r="AQ78" s="9" t="n">
        <x:f>A78</x:f>
        <x:v>-0.367</x:v>
      </x:c>
      <x:c r="AR78" s="9" t="n">
        <x:f>0</x:f>
        <x:v>0</x:v>
      </x:c>
      <x:c r="AS78" s="9"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x:f>
        <x:v>310.91396483385586</x:v>
      </x:c>
      <x:c r="AT78" s="9"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x:f>
        <x:v>77.53288374729674</x:v>
      </x:c>
      <x:c r="AU78" s="9"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x:f>
        <x:v>95.83689312889756</x:v>
      </x:c>
      <x:c r="AV78" s="9"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x:f>
        <x:v>95.83689312889756</x:v>
      </x:c>
      <x:c r="AW78" s="10" t="n"/>
      <x:c r="AX78" s="9" t="n">
        <x:f>A78</x:f>
        <x:v>-0.367</x:v>
      </x:c>
      <x:c r="AY78" s="9" t="n">
        <x:f>0</x:f>
        <x:v>0</x:v>
      </x:c>
      <x:c r="AZ78" s="9" t="n">
        <x:f>IF(OR(Inputs!$F$6=TRUE,Inputs!$F$6="TRUE",Inputs!$F$6=1),(Inputs!$H$6+Inputs!$L$6*(((Inputs!$I$6+(((A78)+1)/2)*(Inputs!$J$6-Inputs!$I$6)))/Inputs!$K$6)^2),NA())</x:f>
        <x:v>400.538756</x:v>
      </x:c>
      <x:c r="BA78" s="9" t="n">
        <x:f>IF(OR(Inputs!$F$7=TRUE,Inputs!$F$7="TRUE",Inputs!$F$7=1),(Inputs!$H$7+Inputs!$L$7*(((Inputs!$I$7+(((A78)+1)/2)*(Inputs!$J$7-Inputs!$I$7)))/Inputs!$K$7)^2),NA())</x:f>
        <x:v>84.16148500000001</x:v>
      </x:c>
      <x:c r="BB78" s="9" t="n">
        <x:f>IF(OR(Inputs!$F$8=TRUE,Inputs!$F$8="TRUE",Inputs!$F$8=1),(Inputs!$H$8+Inputs!$L$8*(((Inputs!$I$8+(((A78)+1)/2)*(Inputs!$J$8-Inputs!$I$8)))/Inputs!$K$8)^2),NA())</x:f>
        <x:v>164.97488500000003</x:v>
      </x:c>
      <x:c r="BC78" s="9" t="n">
        <x:f>IF(OR(Inputs!$F$9=TRUE,Inputs!$F$9="TRUE",Inputs!$F$9=1),(Inputs!$H$9+Inputs!$L$9*(((Inputs!$I$9+(((A78)+1)/2)*(Inputs!$J$9-Inputs!$I$9)))/Inputs!$K$9)^2),NA())</x:f>
        <x:v>156.32177500000003</x:v>
      </x:c>
      <x:c r="BD78" s="10" t="n"/>
      <x:c r="BE78" s="9" t="n">
        <x:f>A78</x:f>
        <x:v>-0.367</x:v>
      </x:c>
      <x:c r="BF78" s="9" t="n">
        <x:f>0</x:f>
        <x:v>0</x:v>
      </x:c>
      <x:c r="BG78" s="9"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9"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9"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9"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9" t="n">
        <x:f>ROUND(-1+77*2/240,3)</x:f>
        <x:v>-0.358</x:v>
      </x:c>
      <x:c r="B79" s="9" t="n">
        <x:f>IF(OR(Inputs!$F$6=TRUE,Inputs!$F$6="TRUE",Inputs!$F$6=1),(Inputs!$H$6+Inputs!$L$6*(((Inputs!$I$6+(((A79)+1)/2)*(Inputs!$J$6-Inputs!$I$6)))/Inputs!$K$6)^2),NA())</x:f>
        <x:v>400.512656</x:v>
      </x:c>
      <x:c r="C79" s="9" t="n">
        <x:f>IF(OR(Inputs!$F$7=TRUE,Inputs!$F$7="TRUE",Inputs!$F$7=1),(Inputs!$H$7+Inputs!$L$7*(((Inputs!$I$7+(((A79)+1)/2)*(Inputs!$J$7-Inputs!$I$7)))/Inputs!$K$7)^2),NA())</x:f>
        <x:v>81.77986</x:v>
      </x:c>
      <x:c r="D79" s="9" t="n">
        <x:f>IF(OR(Inputs!$F$8=TRUE,Inputs!$F$8="TRUE",Inputs!$F$8=1),(Inputs!$H$8+Inputs!$L$8*(((Inputs!$I$8+(((A79)+1)/2)*(Inputs!$J$8-Inputs!$I$8)))/Inputs!$K$8)^2),NA())</x:f>
        <x:v>158.67826</x:v>
      </x:c>
      <x:c r="E79" s="9" t="n">
        <x:f>IF(OR(Inputs!$F$9=TRUE,Inputs!$F$9="TRUE",Inputs!$F$9=1),(Inputs!$H$9+Inputs!$L$9*(((Inputs!$I$9+(((A79)+1)/2)*(Inputs!$J$9-Inputs!$I$9)))/Inputs!$K$9)^2),NA())</x:f>
        <x:v>149.9599</x:v>
      </x:c>
      <x:c r="F79" s="10" t="n"/>
      <x:c r="G79" s="9" t="n">
        <x:f>A79</x:f>
        <x:v>-0.358</x:v>
      </x:c>
      <x:c r="H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10" t="n"/>
      <x:c r="M79" s="9" t="n">
        <x:f>A79</x:f>
        <x:v>-0.358</x:v>
      </x:c>
      <x:c r="N79" s="9"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9"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9"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9"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10" t="n"/>
      <x:c r="S79" s="9" t="n">
        <x:f>A79</x:f>
        <x:v>-0.358</x:v>
      </x:c>
      <x:c r="T79" s="9" t="n">
        <x:f>(Inputs!$I$6+(((A79)+1)/2)*(Inputs!$J$6-Inputs!$I$6))</x:f>
        <x:v>-21.479999999999997</x:v>
      </x:c>
      <x:c r="U79" s="9" t="n">
        <x:f>(Inputs!$I$7+(((A79)+1)/2)*(Inputs!$J$7-Inputs!$I$7))</x:f>
        <x:v>-143.2</x:v>
      </x:c>
      <x:c r="V79" s="9" t="n">
        <x:f>(Inputs!$I$8+(((A79)+1)/2)*(Inputs!$J$8-Inputs!$I$8))</x:f>
        <x:v>-286.4</x:v>
      </x:c>
      <x:c r="W79" s="9" t="n">
        <x:f>(Inputs!$I$9+(((A79)+1)/2)*(Inputs!$J$9-Inputs!$I$9))</x:f>
        <x:v>-286.4</x:v>
      </x:c>
      <x:c r="X79" s="10" t="n"/>
      <x:c r="Y79" s="9" t="n">
        <x:f>A79</x:f>
        <x:v>-0.358</x:v>
      </x:c>
      <x:c r="Z79" s="9" t="n">
        <x:f>(Inputs!$H$6+Inputs!$L$6*(((Inputs!$I$6+(((A79)+1)/2)*(Inputs!$J$6-Inputs!$I$6)))/Inputs!$K$6)^2)</x:f>
        <x:v>400.512656</x:v>
      </x:c>
      <x:c r="AA79" s="9" t="n">
        <x:f>(Inputs!$H$7+Inputs!$L$7*(((Inputs!$I$7+(((A79)+1)/2)*(Inputs!$J$7-Inputs!$I$7)))/Inputs!$K$7)^2)</x:f>
        <x:v>81.77986</x:v>
      </x:c>
      <x:c r="AB79" s="9" t="n">
        <x:f>(Inputs!$H$8+Inputs!$L$8*(((Inputs!$I$8+(((A79)+1)/2)*(Inputs!$J$8-Inputs!$I$8)))/Inputs!$K$8)^2)</x:f>
        <x:v>158.67826</x:v>
      </x:c>
      <x:c r="AC79" s="9" t="n">
        <x:f>(Inputs!$H$9+Inputs!$L$9*(((Inputs!$I$9+(((A79)+1)/2)*(Inputs!$J$9-Inputs!$I$9)))/Inputs!$K$9)^2)</x:f>
        <x:v>149.9599</x:v>
      </x:c>
      <x:c r="AD79" s="10" t="n"/>
      <x:c r="AE79" s="9" t="n">
        <x:f>A79</x:f>
        <x:v>-0.358</x:v>
      </x:c>
      <x:c r="AF79" s="9"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9"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9"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9"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10" t="n"/>
      <x:c r="AK79" s="9" t="n">
        <x:f>A79</x:f>
        <x:v>-0.358</x:v>
      </x:c>
      <x:c r="AL79" s="9"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9"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9"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9"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10" t="n"/>
      <x:c r="AQ79" s="9" t="n">
        <x:f>A79</x:f>
        <x:v>-0.358</x:v>
      </x:c>
      <x:c r="AR79" s="9" t="n">
        <x:f>0</x:f>
        <x:v>0</x:v>
      </x:c>
      <x:c r="AS79" s="9"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x:f>
        <x:v>332.09835231911904</x:v>
      </x:c>
      <x:c r="AT79" s="9"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x:f>
        <x:v>174.06783789927727</x:v>
      </x:c>
      <x:c r="AU79" s="9"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x:f>
        <x:v>168.78610805388928</x:v>
      </x:c>
      <x:c r="AV79" s="9"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x:f>
        <x:v>168.78610805388928</x:v>
      </x:c>
      <x:c r="AW79" s="10" t="n"/>
      <x:c r="AX79" s="9" t="n">
        <x:f>A79</x:f>
        <x:v>-0.358</x:v>
      </x:c>
      <x:c r="AY79" s="9" t="n">
        <x:f>0</x:f>
        <x:v>0</x:v>
      </x:c>
      <x:c r="AZ79" s="9" t="n">
        <x:f>IF(OR(Inputs!$F$6=TRUE,Inputs!$F$6="TRUE",Inputs!$F$6=1),(Inputs!$H$6+Inputs!$L$6*(((Inputs!$I$6+(((A79)+1)/2)*(Inputs!$J$6-Inputs!$I$6)))/Inputs!$K$6)^2),NA())</x:f>
        <x:v>400.512656</x:v>
      </x:c>
      <x:c r="BA79" s="9" t="n">
        <x:f>IF(OR(Inputs!$F$7=TRUE,Inputs!$F$7="TRUE",Inputs!$F$7=1),(Inputs!$H$7+Inputs!$L$7*(((Inputs!$I$7+(((A79)+1)/2)*(Inputs!$J$7-Inputs!$I$7)))/Inputs!$K$7)^2),NA())</x:f>
        <x:v>81.77986</x:v>
      </x:c>
      <x:c r="BB79" s="9" t="n">
        <x:f>IF(OR(Inputs!$F$8=TRUE,Inputs!$F$8="TRUE",Inputs!$F$8=1),(Inputs!$H$8+Inputs!$L$8*(((Inputs!$I$8+(((A79)+1)/2)*(Inputs!$J$8-Inputs!$I$8)))/Inputs!$K$8)^2),NA())</x:f>
        <x:v>158.67826</x:v>
      </x:c>
      <x:c r="BC79" s="9" t="n">
        <x:f>IF(OR(Inputs!$F$9=TRUE,Inputs!$F$9="TRUE",Inputs!$F$9=1),(Inputs!$H$9+Inputs!$L$9*(((Inputs!$I$9+(((A79)+1)/2)*(Inputs!$J$9-Inputs!$I$9)))/Inputs!$K$9)^2),NA())</x:f>
        <x:v>149.9599</x:v>
      </x:c>
      <x:c r="BD79" s="10" t="n"/>
      <x:c r="BE79" s="9" t="n">
        <x:f>A79</x:f>
        <x:v>-0.358</x:v>
      </x:c>
      <x:c r="BF79" s="9" t="n">
        <x:f>0</x:f>
        <x:v>0</x:v>
      </x:c>
      <x:c r="BG79" s="9"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9"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9"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9"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9" t="n">
        <x:f>ROUND(-1+78*2/240,3)</x:f>
        <x:v>-0.35</x:v>
      </x:c>
      <x:c r="B80" s="9" t="n">
        <x:f>IF(OR(Inputs!$F$6=TRUE,Inputs!$F$6="TRUE",Inputs!$F$6=1),(Inputs!$H$6+Inputs!$L$6*(((Inputs!$I$6+(((A80)+1)/2)*(Inputs!$J$6-Inputs!$I$6)))/Inputs!$K$6)^2),NA())</x:f>
        <x:v>400.49</x:v>
      </x:c>
      <x:c r="C80" s="9" t="n">
        <x:f>IF(OR(Inputs!$F$7=TRUE,Inputs!$F$7="TRUE",Inputs!$F$7=1),(Inputs!$H$7+Inputs!$L$7*(((Inputs!$I$7+(((A80)+1)/2)*(Inputs!$J$7-Inputs!$I$7)))/Inputs!$K$7)^2),NA())</x:f>
        <x:v>79.71249999999999</x:v>
      </x:c>
      <x:c r="D80" s="9" t="n">
        <x:f>IF(OR(Inputs!$F$8=TRUE,Inputs!$F$8="TRUE",Inputs!$F$8=1),(Inputs!$H$8+Inputs!$L$8*(((Inputs!$I$8+(((A80)+1)/2)*(Inputs!$J$8-Inputs!$I$8)))/Inputs!$K$8)^2),NA())</x:f>
        <x:v>153.21249999999998</x:v>
      </x:c>
      <x:c r="E80" s="9" t="n">
        <x:f>IF(OR(Inputs!$F$9=TRUE,Inputs!$F$9="TRUE",Inputs!$F$9=1),(Inputs!$H$9+Inputs!$L$9*(((Inputs!$I$9+(((A80)+1)/2)*(Inputs!$J$9-Inputs!$I$9)))/Inputs!$K$9)^2),NA())</x:f>
        <x:v>144.4375</x:v>
      </x:c>
      <x:c r="F80" s="10" t="n"/>
      <x:c r="G80" s="9" t="n">
        <x:f>A80</x:f>
        <x:v>-0.35</x:v>
      </x:c>
      <x:c r="H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10" t="n"/>
      <x:c r="M80" s="9" t="n">
        <x:f>A80</x:f>
        <x:v>-0.35</x:v>
      </x:c>
      <x:c r="N80" s="9"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9"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9"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9"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10" t="n"/>
      <x:c r="S80" s="9" t="n">
        <x:f>A80</x:f>
        <x:v>-0.35</x:v>
      </x:c>
      <x:c r="T80" s="9" t="n">
        <x:f>(Inputs!$I$6+(((A80)+1)/2)*(Inputs!$J$6-Inputs!$I$6))</x:f>
        <x:v>-21</x:v>
      </x:c>
      <x:c r="U80" s="9" t="n">
        <x:f>(Inputs!$I$7+(((A80)+1)/2)*(Inputs!$J$7-Inputs!$I$7))</x:f>
        <x:v>-140</x:v>
      </x:c>
      <x:c r="V80" s="9" t="n">
        <x:f>(Inputs!$I$8+(((A80)+1)/2)*(Inputs!$J$8-Inputs!$I$8))</x:f>
        <x:v>-280</x:v>
      </x:c>
      <x:c r="W80" s="9" t="n">
        <x:f>(Inputs!$I$9+(((A80)+1)/2)*(Inputs!$J$9-Inputs!$I$9))</x:f>
        <x:v>-280</x:v>
      </x:c>
      <x:c r="X80" s="10" t="n"/>
      <x:c r="Y80" s="9" t="n">
        <x:f>A80</x:f>
        <x:v>-0.35</x:v>
      </x:c>
      <x:c r="Z80" s="9" t="n">
        <x:f>(Inputs!$H$6+Inputs!$L$6*(((Inputs!$I$6+(((A80)+1)/2)*(Inputs!$J$6-Inputs!$I$6)))/Inputs!$K$6)^2)</x:f>
        <x:v>400.49</x:v>
      </x:c>
      <x:c r="AA80" s="9" t="n">
        <x:f>(Inputs!$H$7+Inputs!$L$7*(((Inputs!$I$7+(((A80)+1)/2)*(Inputs!$J$7-Inputs!$I$7)))/Inputs!$K$7)^2)</x:f>
        <x:v>79.71249999999999</x:v>
      </x:c>
      <x:c r="AB80" s="9" t="n">
        <x:f>(Inputs!$H$8+Inputs!$L$8*(((Inputs!$I$8+(((A80)+1)/2)*(Inputs!$J$8-Inputs!$I$8)))/Inputs!$K$8)^2)</x:f>
        <x:v>153.21249999999998</x:v>
      </x:c>
      <x:c r="AC80" s="9" t="n">
        <x:f>(Inputs!$H$9+Inputs!$L$9*(((Inputs!$I$9+(((A80)+1)/2)*(Inputs!$J$9-Inputs!$I$9)))/Inputs!$K$9)^2)</x:f>
        <x:v>144.4375</x:v>
      </x:c>
      <x:c r="AD80" s="10" t="n"/>
      <x:c r="AE80" s="9" t="n">
        <x:f>A80</x:f>
        <x:v>-0.35</x:v>
      </x:c>
      <x:c r="AF80" s="9"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9"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9"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9"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10" t="n"/>
      <x:c r="AK80" s="9" t="n">
        <x:f>A80</x:f>
        <x:v>-0.35</x:v>
      </x:c>
      <x:c r="AL80" s="9"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9"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9"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9"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10" t="n"/>
      <x:c r="AQ80" s="9" t="n">
        <x:f>A80</x:f>
        <x:v>-0.35</x:v>
      </x:c>
      <x:c r="AR80" s="9" t="n">
        <x:f>0</x:f>
        <x:v>0</x:v>
      </x:c>
      <x:c r="AS80" s="9"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x:f>
        <x:v>317.91812880175183</x:v>
      </x:c>
      <x:c r="AT80" s="9"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x:f>
        <x:v>204.7986580113276</x:v>
      </x:c>
      <x:c r="AU80" s="9"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x:f>
        <x:v>165.51370619149404</x:v>
      </x:c>
      <x:c r="AV80" s="9"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x:f>
        <x:v>165.51370619149404</x:v>
      </x:c>
      <x:c r="AW80" s="10" t="n"/>
      <x:c r="AX80" s="9" t="n">
        <x:f>A80</x:f>
        <x:v>-0.35</x:v>
      </x:c>
      <x:c r="AY80" s="9" t="n">
        <x:f>0</x:f>
        <x:v>0</x:v>
      </x:c>
      <x:c r="AZ80" s="9" t="n">
        <x:f>IF(OR(Inputs!$F$6=TRUE,Inputs!$F$6="TRUE",Inputs!$F$6=1),(Inputs!$H$6+Inputs!$L$6*(((Inputs!$I$6+(((A80)+1)/2)*(Inputs!$J$6-Inputs!$I$6)))/Inputs!$K$6)^2),NA())</x:f>
        <x:v>400.49</x:v>
      </x:c>
      <x:c r="BA80" s="9" t="n">
        <x:f>IF(OR(Inputs!$F$7=TRUE,Inputs!$F$7="TRUE",Inputs!$F$7=1),(Inputs!$H$7+Inputs!$L$7*(((Inputs!$I$7+(((A80)+1)/2)*(Inputs!$J$7-Inputs!$I$7)))/Inputs!$K$7)^2),NA())</x:f>
        <x:v>79.71249999999999</x:v>
      </x:c>
      <x:c r="BB80" s="9" t="n">
        <x:f>IF(OR(Inputs!$F$8=TRUE,Inputs!$F$8="TRUE",Inputs!$F$8=1),(Inputs!$H$8+Inputs!$L$8*(((Inputs!$I$8+(((A80)+1)/2)*(Inputs!$J$8-Inputs!$I$8)))/Inputs!$K$8)^2),NA())</x:f>
        <x:v>153.21249999999998</x:v>
      </x:c>
      <x:c r="BC80" s="9" t="n">
        <x:f>IF(OR(Inputs!$F$9=TRUE,Inputs!$F$9="TRUE",Inputs!$F$9=1),(Inputs!$H$9+Inputs!$L$9*(((Inputs!$I$9+(((A80)+1)/2)*(Inputs!$J$9-Inputs!$I$9)))/Inputs!$K$9)^2),NA())</x:f>
        <x:v>144.4375</x:v>
      </x:c>
      <x:c r="BD80" s="10" t="n"/>
      <x:c r="BE80" s="9" t="n">
        <x:f>A80</x:f>
        <x:v>-0.35</x:v>
      </x:c>
      <x:c r="BF80" s="9" t="n">
        <x:f>0</x:f>
        <x:v>0</x:v>
      </x:c>
      <x:c r="BG80" s="9"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9"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9"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9"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9" t="n">
        <x:f>ROUND(-1+79*2/240,3)</x:f>
        <x:v>-0.342</x:v>
      </x:c>
      <x:c r="B81" s="9" t="n">
        <x:f>IF(OR(Inputs!$F$6=TRUE,Inputs!$F$6="TRUE",Inputs!$F$6=1),(Inputs!$H$6+Inputs!$L$6*(((Inputs!$I$6+(((A81)+1)/2)*(Inputs!$J$6-Inputs!$I$6)))/Inputs!$K$6)^2),NA())</x:f>
        <x:v>400.467856</x:v>
      </x:c>
      <x:c r="C81" s="9" t="n">
        <x:f>IF(OR(Inputs!$F$7=TRUE,Inputs!$F$7="TRUE",Inputs!$F$7=1),(Inputs!$H$7+Inputs!$L$7*(((Inputs!$I$7+(((A81)+1)/2)*(Inputs!$J$7-Inputs!$I$7)))/Inputs!$K$7)^2),NA())</x:f>
        <x:v>77.69186</x:v>
      </x:c>
      <x:c r="D81" s="9" t="n">
        <x:f>IF(OR(Inputs!$F$8=TRUE,Inputs!$F$8="TRUE",Inputs!$F$8=1),(Inputs!$H$8+Inputs!$L$8*(((Inputs!$I$8+(((A81)+1)/2)*(Inputs!$J$8-Inputs!$I$8)))/Inputs!$K$8)^2),NA())</x:f>
        <x:v>147.87026000000003</x:v>
      </x:c>
      <x:c r="E81" s="9" t="n">
        <x:f>IF(OR(Inputs!$F$9=TRUE,Inputs!$F$9="TRUE",Inputs!$F$9=1),(Inputs!$H$9+Inputs!$L$9*(((Inputs!$I$9+(((A81)+1)/2)*(Inputs!$J$9-Inputs!$I$9)))/Inputs!$K$9)^2),NA())</x:f>
        <x:v>139.03990000000002</x:v>
      </x:c>
      <x:c r="F81" s="10" t="n"/>
      <x:c r="G81" s="9" t="n">
        <x:f>A81</x:f>
        <x:v>-0.342</x:v>
      </x:c>
      <x:c r="H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10" t="n"/>
      <x:c r="M81" s="9" t="n">
        <x:f>A81</x:f>
        <x:v>-0.342</x:v>
      </x:c>
      <x:c r="N81" s="9"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9"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9"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9"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10" t="n"/>
      <x:c r="S81" s="9" t="n">
        <x:f>A81</x:f>
        <x:v>-0.342</x:v>
      </x:c>
      <x:c r="T81" s="9" t="n">
        <x:f>(Inputs!$I$6+(((A81)+1)/2)*(Inputs!$J$6-Inputs!$I$6))</x:f>
        <x:v>-20.520000000000003</x:v>
      </x:c>
      <x:c r="U81" s="9" t="n">
        <x:f>(Inputs!$I$7+(((A81)+1)/2)*(Inputs!$J$7-Inputs!$I$7))</x:f>
        <x:v>-136.8</x:v>
      </x:c>
      <x:c r="V81" s="9" t="n">
        <x:f>(Inputs!$I$8+(((A81)+1)/2)*(Inputs!$J$8-Inputs!$I$8))</x:f>
        <x:v>-273.6</x:v>
      </x:c>
      <x:c r="W81" s="9" t="n">
        <x:f>(Inputs!$I$9+(((A81)+1)/2)*(Inputs!$J$9-Inputs!$I$9))</x:f>
        <x:v>-273.6</x:v>
      </x:c>
      <x:c r="X81" s="10" t="n"/>
      <x:c r="Y81" s="9" t="n">
        <x:f>A81</x:f>
        <x:v>-0.342</x:v>
      </x:c>
      <x:c r="Z81" s="9" t="n">
        <x:f>(Inputs!$H$6+Inputs!$L$6*(((Inputs!$I$6+(((A81)+1)/2)*(Inputs!$J$6-Inputs!$I$6)))/Inputs!$K$6)^2)</x:f>
        <x:v>400.467856</x:v>
      </x:c>
      <x:c r="AA81" s="9" t="n">
        <x:f>(Inputs!$H$7+Inputs!$L$7*(((Inputs!$I$7+(((A81)+1)/2)*(Inputs!$J$7-Inputs!$I$7)))/Inputs!$K$7)^2)</x:f>
        <x:v>77.69186</x:v>
      </x:c>
      <x:c r="AB81" s="9" t="n">
        <x:f>(Inputs!$H$8+Inputs!$L$8*(((Inputs!$I$8+(((A81)+1)/2)*(Inputs!$J$8-Inputs!$I$8)))/Inputs!$K$8)^2)</x:f>
        <x:v>147.87026000000003</x:v>
      </x:c>
      <x:c r="AC81" s="9" t="n">
        <x:f>(Inputs!$H$9+Inputs!$L$9*(((Inputs!$I$9+(((A81)+1)/2)*(Inputs!$J$9-Inputs!$I$9)))/Inputs!$K$9)^2)</x:f>
        <x:v>139.03990000000002</x:v>
      </x:c>
      <x:c r="AD81" s="10" t="n"/>
      <x:c r="AE81" s="9" t="n">
        <x:f>A81</x:f>
        <x:v>-0.342</x:v>
      </x:c>
      <x:c r="AF81" s="9"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9"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9"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9"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10" t="n"/>
      <x:c r="AK81" s="9" t="n">
        <x:f>A81</x:f>
        <x:v>-0.342</x:v>
      </x:c>
      <x:c r="AL81" s="9"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9"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9"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9"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10" t="n"/>
      <x:c r="AQ81" s="9" t="n">
        <x:f>A81</x:f>
        <x:v>-0.342</x:v>
      </x:c>
      <x:c r="AR81" s="9" t="n">
        <x:f>0</x:f>
        <x:v>0</x:v>
      </x:c>
      <x:c r="AS81" s="9"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x:f>
        <x:v>339.4113234312429</x:v>
      </x:c>
      <x:c r="AT81" s="9"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x:f>
        <x:v>162.32750479230745</x:v>
      </x:c>
      <x:c r="AU81" s="9"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x:f>
        <x:v>122.27219530903733</x:v>
      </x:c>
      <x:c r="AV81" s="9"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x:f>
        <x:v>122.27219530903733</x:v>
      </x:c>
      <x:c r="AW81" s="10" t="n"/>
      <x:c r="AX81" s="9" t="n">
        <x:f>A81</x:f>
        <x:v>-0.342</x:v>
      </x:c>
      <x:c r="AY81" s="9" t="n">
        <x:f>0</x:f>
        <x:v>0</x:v>
      </x:c>
      <x:c r="AZ81" s="9" t="n">
        <x:f>IF(OR(Inputs!$F$6=TRUE,Inputs!$F$6="TRUE",Inputs!$F$6=1),(Inputs!$H$6+Inputs!$L$6*(((Inputs!$I$6+(((A81)+1)/2)*(Inputs!$J$6-Inputs!$I$6)))/Inputs!$K$6)^2),NA())</x:f>
        <x:v>400.467856</x:v>
      </x:c>
      <x:c r="BA81" s="9" t="n">
        <x:f>IF(OR(Inputs!$F$7=TRUE,Inputs!$F$7="TRUE",Inputs!$F$7=1),(Inputs!$H$7+Inputs!$L$7*(((Inputs!$I$7+(((A81)+1)/2)*(Inputs!$J$7-Inputs!$I$7)))/Inputs!$K$7)^2),NA())</x:f>
        <x:v>77.69186</x:v>
      </x:c>
      <x:c r="BB81" s="9" t="n">
        <x:f>IF(OR(Inputs!$F$8=TRUE,Inputs!$F$8="TRUE",Inputs!$F$8=1),(Inputs!$H$8+Inputs!$L$8*(((Inputs!$I$8+(((A81)+1)/2)*(Inputs!$J$8-Inputs!$I$8)))/Inputs!$K$8)^2),NA())</x:f>
        <x:v>147.87026000000003</x:v>
      </x:c>
      <x:c r="BC81" s="9" t="n">
        <x:f>IF(OR(Inputs!$F$9=TRUE,Inputs!$F$9="TRUE",Inputs!$F$9=1),(Inputs!$H$9+Inputs!$L$9*(((Inputs!$I$9+(((A81)+1)/2)*(Inputs!$J$9-Inputs!$I$9)))/Inputs!$K$9)^2),NA())</x:f>
        <x:v>139.03990000000002</x:v>
      </x:c>
      <x:c r="BD81" s="10" t="n"/>
      <x:c r="BE81" s="9" t="n">
        <x:f>A81</x:f>
        <x:v>-0.342</x:v>
      </x:c>
      <x:c r="BF81" s="9" t="n">
        <x:f>0</x:f>
        <x:v>0</x:v>
      </x:c>
      <x:c r="BG81" s="9"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9"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9"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9"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9" t="n">
        <x:f>ROUND(-1+80*2/240,3)</x:f>
        <x:v>-0.333</x:v>
      </x:c>
      <x:c r="B82" s="9" t="n">
        <x:f>IF(OR(Inputs!$F$6=TRUE,Inputs!$F$6="TRUE",Inputs!$F$6=1),(Inputs!$H$6+Inputs!$L$6*(((Inputs!$I$6+(((A82)+1)/2)*(Inputs!$J$6-Inputs!$I$6)))/Inputs!$K$6)^2),NA())</x:f>
        <x:v>400.443556</x:v>
      </x:c>
      <x:c r="C82" s="9" t="n">
        <x:f>IF(OR(Inputs!$F$7=TRUE,Inputs!$F$7="TRUE",Inputs!$F$7=1),(Inputs!$H$7+Inputs!$L$7*(((Inputs!$I$7+(((A82)+1)/2)*(Inputs!$J$7-Inputs!$I$7)))/Inputs!$K$7)^2),NA())</x:f>
        <x:v>75.47448499999999</x:v>
      </x:c>
      <x:c r="D82" s="9" t="n">
        <x:f>IF(OR(Inputs!$F$8=TRUE,Inputs!$F$8="TRUE",Inputs!$F$8=1),(Inputs!$H$8+Inputs!$L$8*(((Inputs!$I$8+(((A82)+1)/2)*(Inputs!$J$8-Inputs!$I$8)))/Inputs!$K$8)^2),NA())</x:f>
        <x:v>142.007885</x:v>
      </x:c>
      <x:c r="E82" s="9" t="n">
        <x:f>IF(OR(Inputs!$F$9=TRUE,Inputs!$F$9="TRUE",Inputs!$F$9=1),(Inputs!$H$9+Inputs!$L$9*(((Inputs!$I$9+(((A82)+1)/2)*(Inputs!$J$9-Inputs!$I$9)))/Inputs!$K$9)^2),NA())</x:f>
        <x:v>133.11677499999996</x:v>
      </x:c>
      <x:c r="F82" s="10" t="n"/>
      <x:c r="G82" s="9" t="n">
        <x:f>A82</x:f>
        <x:v>-0.333</x:v>
      </x:c>
      <x:c r="H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10" t="n"/>
      <x:c r="M82" s="9" t="n">
        <x:f>A82</x:f>
        <x:v>-0.333</x:v>
      </x:c>
      <x:c r="N82" s="9"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9"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9"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9"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10" t="n"/>
      <x:c r="S82" s="9" t="n">
        <x:f>A82</x:f>
        <x:v>-0.333</x:v>
      </x:c>
      <x:c r="T82" s="9" t="n">
        <x:f>(Inputs!$I$6+(((A82)+1)/2)*(Inputs!$J$6-Inputs!$I$6))</x:f>
        <x:v>-19.979999999999997</x:v>
      </x:c>
      <x:c r="U82" s="9" t="n">
        <x:f>(Inputs!$I$7+(((A82)+1)/2)*(Inputs!$J$7-Inputs!$I$7))</x:f>
        <x:v>-133.2</x:v>
      </x:c>
      <x:c r="V82" s="9" t="n">
        <x:f>(Inputs!$I$8+(((A82)+1)/2)*(Inputs!$J$8-Inputs!$I$8))</x:f>
        <x:v>-266.4</x:v>
      </x:c>
      <x:c r="W82" s="9" t="n">
        <x:f>(Inputs!$I$9+(((A82)+1)/2)*(Inputs!$J$9-Inputs!$I$9))</x:f>
        <x:v>-266.4</x:v>
      </x:c>
      <x:c r="X82" s="10" t="n"/>
      <x:c r="Y82" s="9" t="n">
        <x:f>A82</x:f>
        <x:v>-0.333</x:v>
      </x:c>
      <x:c r="Z82" s="9" t="n">
        <x:f>(Inputs!$H$6+Inputs!$L$6*(((Inputs!$I$6+(((A82)+1)/2)*(Inputs!$J$6-Inputs!$I$6)))/Inputs!$K$6)^2)</x:f>
        <x:v>400.443556</x:v>
      </x:c>
      <x:c r="AA82" s="9" t="n">
        <x:f>(Inputs!$H$7+Inputs!$L$7*(((Inputs!$I$7+(((A82)+1)/2)*(Inputs!$J$7-Inputs!$I$7)))/Inputs!$K$7)^2)</x:f>
        <x:v>75.47448499999999</x:v>
      </x:c>
      <x:c r="AB82" s="9" t="n">
        <x:f>(Inputs!$H$8+Inputs!$L$8*(((Inputs!$I$8+(((A82)+1)/2)*(Inputs!$J$8-Inputs!$I$8)))/Inputs!$K$8)^2)</x:f>
        <x:v>142.007885</x:v>
      </x:c>
      <x:c r="AC82" s="9" t="n">
        <x:f>(Inputs!$H$9+Inputs!$L$9*(((Inputs!$I$9+(((A82)+1)/2)*(Inputs!$J$9-Inputs!$I$9)))/Inputs!$K$9)^2)</x:f>
        <x:v>133.11677499999996</x:v>
      </x:c>
      <x:c r="AD82" s="10" t="n"/>
      <x:c r="AE82" s="9" t="n">
        <x:f>A82</x:f>
        <x:v>-0.333</x:v>
      </x:c>
      <x:c r="AF82" s="9"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9"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9"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9"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10" t="n"/>
      <x:c r="AK82" s="9" t="n">
        <x:f>A82</x:f>
        <x:v>-0.333</x:v>
      </x:c>
      <x:c r="AL82" s="9"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9"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9"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9"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10" t="n"/>
      <x:c r="AQ82" s="9" t="n">
        <x:f>A82</x:f>
        <x:v>-0.333</x:v>
      </x:c>
      <x:c r="AR82" s="9" t="n">
        <x:f>0</x:f>
        <x:v>0</x:v>
      </x:c>
      <x:c r="AS82" s="9"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x:f>
        <x:v>340.4623013664275</x:v>
      </x:c>
      <x:c r="AT82" s="9"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x:f>
        <x:v>106.55345093398108</x:v>
      </x:c>
      <x:c r="AU82" s="9"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x:f>
        <x:v>189.5685678542016</x:v>
      </x:c>
      <x:c r="AV82" s="9"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x:f>
        <x:v>189.5685678542016</x:v>
      </x:c>
      <x:c r="AW82" s="10" t="n"/>
      <x:c r="AX82" s="9" t="n">
        <x:f>A82</x:f>
        <x:v>-0.333</x:v>
      </x:c>
      <x:c r="AY82" s="9" t="n">
        <x:f>0</x:f>
        <x:v>0</x:v>
      </x:c>
      <x:c r="AZ82" s="9" t="n">
        <x:f>IF(OR(Inputs!$F$6=TRUE,Inputs!$F$6="TRUE",Inputs!$F$6=1),(Inputs!$H$6+Inputs!$L$6*(((Inputs!$I$6+(((A82)+1)/2)*(Inputs!$J$6-Inputs!$I$6)))/Inputs!$K$6)^2),NA())</x:f>
        <x:v>400.443556</x:v>
      </x:c>
      <x:c r="BA82" s="9" t="n">
        <x:f>IF(OR(Inputs!$F$7=TRUE,Inputs!$F$7="TRUE",Inputs!$F$7=1),(Inputs!$H$7+Inputs!$L$7*(((Inputs!$I$7+(((A82)+1)/2)*(Inputs!$J$7-Inputs!$I$7)))/Inputs!$K$7)^2),NA())</x:f>
        <x:v>75.47448499999999</x:v>
      </x:c>
      <x:c r="BB82" s="9" t="n">
        <x:f>IF(OR(Inputs!$F$8=TRUE,Inputs!$F$8="TRUE",Inputs!$F$8=1),(Inputs!$H$8+Inputs!$L$8*(((Inputs!$I$8+(((A82)+1)/2)*(Inputs!$J$8-Inputs!$I$8)))/Inputs!$K$8)^2),NA())</x:f>
        <x:v>142.007885</x:v>
      </x:c>
      <x:c r="BC82" s="9" t="n">
        <x:f>IF(OR(Inputs!$F$9=TRUE,Inputs!$F$9="TRUE",Inputs!$F$9=1),(Inputs!$H$9+Inputs!$L$9*(((Inputs!$I$9+(((A82)+1)/2)*(Inputs!$J$9-Inputs!$I$9)))/Inputs!$K$9)^2),NA())</x:f>
        <x:v>133.11677499999996</x:v>
      </x:c>
      <x:c r="BD82" s="10" t="n"/>
      <x:c r="BE82" s="9" t="n">
        <x:f>A82</x:f>
        <x:v>-0.333</x:v>
      </x:c>
      <x:c r="BF82" s="9" t="n">
        <x:f>0</x:f>
        <x:v>0</x:v>
      </x:c>
      <x:c r="BG82" s="9"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9"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9"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9"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9" t="n">
        <x:f>ROUND(-1+81*2/240,3)</x:f>
        <x:v>-0.325</x:v>
      </x:c>
      <x:c r="B83" s="9" t="n">
        <x:f>IF(OR(Inputs!$F$6=TRUE,Inputs!$F$6="TRUE",Inputs!$F$6=1),(Inputs!$H$6+Inputs!$L$6*(((Inputs!$I$6+(((A83)+1)/2)*(Inputs!$J$6-Inputs!$I$6)))/Inputs!$K$6)^2),NA())</x:f>
        <x:v>400.4225</x:v>
      </x:c>
      <x:c r="C83" s="9" t="n">
        <x:f>IF(OR(Inputs!$F$7=TRUE,Inputs!$F$7="TRUE",Inputs!$F$7=1),(Inputs!$H$7+Inputs!$L$7*(((Inputs!$I$7+(((A83)+1)/2)*(Inputs!$J$7-Inputs!$I$7)))/Inputs!$K$7)^2),NA())</x:f>
        <x:v>73.553125</x:v>
      </x:c>
      <x:c r="D83" s="9" t="n">
        <x:f>IF(OR(Inputs!$F$8=TRUE,Inputs!$F$8="TRUE",Inputs!$F$8=1),(Inputs!$H$8+Inputs!$L$8*(((Inputs!$I$8+(((A83)+1)/2)*(Inputs!$J$8-Inputs!$I$8)))/Inputs!$K$8)^2),NA())</x:f>
        <x:v>136.92812500000002</x:v>
      </x:c>
      <x:c r="E83" s="9" t="n">
        <x:f>IF(OR(Inputs!$F$9=TRUE,Inputs!$F$9="TRUE",Inputs!$F$9=1),(Inputs!$H$9+Inputs!$L$9*(((Inputs!$I$9+(((A83)+1)/2)*(Inputs!$J$9-Inputs!$I$9)))/Inputs!$K$9)^2),NA())</x:f>
        <x:v>127.98437500000001</x:v>
      </x:c>
      <x:c r="F83" s="10" t="n"/>
      <x:c r="G83" s="9" t="n">
        <x:f>A83</x:f>
        <x:v>-0.325</x:v>
      </x:c>
      <x:c r="H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10" t="n"/>
      <x:c r="M83" s="9" t="n">
        <x:f>A83</x:f>
        <x:v>-0.325</x:v>
      </x:c>
      <x:c r="N83" s="9"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9"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9"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9"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10" t="n"/>
      <x:c r="S83" s="9" t="n">
        <x:f>A83</x:f>
        <x:v>-0.325</x:v>
      </x:c>
      <x:c r="T83" s="9" t="n">
        <x:f>(Inputs!$I$6+(((A83)+1)/2)*(Inputs!$J$6-Inputs!$I$6))</x:f>
        <x:v>-19.5</x:v>
      </x:c>
      <x:c r="U83" s="9" t="n">
        <x:f>(Inputs!$I$7+(((A83)+1)/2)*(Inputs!$J$7-Inputs!$I$7))</x:f>
        <x:v>-130</x:v>
      </x:c>
      <x:c r="V83" s="9" t="n">
        <x:f>(Inputs!$I$8+(((A83)+1)/2)*(Inputs!$J$8-Inputs!$I$8))</x:f>
        <x:v>-260</x:v>
      </x:c>
      <x:c r="W83" s="9" t="n">
        <x:f>(Inputs!$I$9+(((A83)+1)/2)*(Inputs!$J$9-Inputs!$I$9))</x:f>
        <x:v>-260</x:v>
      </x:c>
      <x:c r="X83" s="10" t="n"/>
      <x:c r="Y83" s="9" t="n">
        <x:f>A83</x:f>
        <x:v>-0.325</x:v>
      </x:c>
      <x:c r="Z83" s="9" t="n">
        <x:f>(Inputs!$H$6+Inputs!$L$6*(((Inputs!$I$6+(((A83)+1)/2)*(Inputs!$J$6-Inputs!$I$6)))/Inputs!$K$6)^2)</x:f>
        <x:v>400.4225</x:v>
      </x:c>
      <x:c r="AA83" s="9" t="n">
        <x:f>(Inputs!$H$7+Inputs!$L$7*(((Inputs!$I$7+(((A83)+1)/2)*(Inputs!$J$7-Inputs!$I$7)))/Inputs!$K$7)^2)</x:f>
        <x:v>73.553125</x:v>
      </x:c>
      <x:c r="AB83" s="9" t="n">
        <x:f>(Inputs!$H$8+Inputs!$L$8*(((Inputs!$I$8+(((A83)+1)/2)*(Inputs!$J$8-Inputs!$I$8)))/Inputs!$K$8)^2)</x:f>
        <x:v>136.92812500000002</x:v>
      </x:c>
      <x:c r="AC83" s="9" t="n">
        <x:f>(Inputs!$H$9+Inputs!$L$9*(((Inputs!$I$9+(((A83)+1)/2)*(Inputs!$J$9-Inputs!$I$9)))/Inputs!$K$9)^2)</x:f>
        <x:v>127.98437500000001</x:v>
      </x:c>
      <x:c r="AD83" s="10" t="n"/>
      <x:c r="AE83" s="9" t="n">
        <x:f>A83</x:f>
        <x:v>-0.325</x:v>
      </x:c>
      <x:c r="AF83" s="9"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9"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9"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9"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10" t="n"/>
      <x:c r="AK83" s="9" t="n">
        <x:f>A83</x:f>
        <x:v>-0.325</x:v>
      </x:c>
      <x:c r="AL83" s="9"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9"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9"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9"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10" t="n"/>
      <x:c r="AQ83" s="9" t="n">
        <x:f>A83</x:f>
        <x:v>-0.325</x:v>
      </x:c>
      <x:c r="AR83" s="9" t="n">
        <x:f>0</x:f>
        <x:v>0</x:v>
      </x:c>
      <x:c r="AS83" s="9"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x:f>
        <x:v>363.81454233496186</x:v>
      </x:c>
      <x:c r="AT83" s="9"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x:f>
        <x:v>117.5912562060257</x:v>
      </x:c>
      <x:c r="AU83" s="9"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x:f>
        <x:v>175.19977595405177</x:v>
      </x:c>
      <x:c r="AV83" s="9"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x:f>
        <x:v>175.19977595405177</x:v>
      </x:c>
      <x:c r="AW83" s="10" t="n"/>
      <x:c r="AX83" s="9" t="n">
        <x:f>A83</x:f>
        <x:v>-0.325</x:v>
      </x:c>
      <x:c r="AY83" s="9" t="n">
        <x:f>0</x:f>
        <x:v>0</x:v>
      </x:c>
      <x:c r="AZ83" s="9" t="n">
        <x:f>IF(OR(Inputs!$F$6=TRUE,Inputs!$F$6="TRUE",Inputs!$F$6=1),(Inputs!$H$6+Inputs!$L$6*(((Inputs!$I$6+(((A83)+1)/2)*(Inputs!$J$6-Inputs!$I$6)))/Inputs!$K$6)^2),NA())</x:f>
        <x:v>400.4225</x:v>
      </x:c>
      <x:c r="BA83" s="9" t="n">
        <x:f>IF(OR(Inputs!$F$7=TRUE,Inputs!$F$7="TRUE",Inputs!$F$7=1),(Inputs!$H$7+Inputs!$L$7*(((Inputs!$I$7+(((A83)+1)/2)*(Inputs!$J$7-Inputs!$I$7)))/Inputs!$K$7)^2),NA())</x:f>
        <x:v>73.553125</x:v>
      </x:c>
      <x:c r="BB83" s="9" t="n">
        <x:f>IF(OR(Inputs!$F$8=TRUE,Inputs!$F$8="TRUE",Inputs!$F$8=1),(Inputs!$H$8+Inputs!$L$8*(((Inputs!$I$8+(((A83)+1)/2)*(Inputs!$J$8-Inputs!$I$8)))/Inputs!$K$8)^2),NA())</x:f>
        <x:v>136.92812500000002</x:v>
      </x:c>
      <x:c r="BC83" s="9" t="n">
        <x:f>IF(OR(Inputs!$F$9=TRUE,Inputs!$F$9="TRUE",Inputs!$F$9=1),(Inputs!$H$9+Inputs!$L$9*(((Inputs!$I$9+(((A83)+1)/2)*(Inputs!$J$9-Inputs!$I$9)))/Inputs!$K$9)^2),NA())</x:f>
        <x:v>127.98437500000001</x:v>
      </x:c>
      <x:c r="BD83" s="10" t="n"/>
      <x:c r="BE83" s="9" t="n">
        <x:f>A83</x:f>
        <x:v>-0.325</x:v>
      </x:c>
      <x:c r="BF83" s="9" t="n">
        <x:f>0</x:f>
        <x:v>0</x:v>
      </x:c>
      <x:c r="BG83" s="9"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9"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9"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9"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9" t="n">
        <x:f>ROUND(-1+82*2/240,3)</x:f>
        <x:v>-0.317</x:v>
      </x:c>
      <x:c r="B84" s="9" t="n">
        <x:f>IF(OR(Inputs!$F$6=TRUE,Inputs!$F$6="TRUE",Inputs!$F$6=1),(Inputs!$H$6+Inputs!$L$6*(((Inputs!$I$6+(((A84)+1)/2)*(Inputs!$J$6-Inputs!$I$6)))/Inputs!$K$6)^2),NA())</x:f>
        <x:v>400.401956</x:v>
      </x:c>
      <x:c r="C84" s="9" t="n">
        <x:f>IF(OR(Inputs!$F$7=TRUE,Inputs!$F$7="TRUE",Inputs!$F$7=1),(Inputs!$H$7+Inputs!$L$7*(((Inputs!$I$7+(((A84)+1)/2)*(Inputs!$J$7-Inputs!$I$7)))/Inputs!$K$7)^2),NA())</x:f>
        <x:v>71.67848499999997</x:v>
      </x:c>
      <x:c r="D84" s="9" t="n">
        <x:f>IF(OR(Inputs!$F$8=TRUE,Inputs!$F$8="TRUE",Inputs!$F$8=1),(Inputs!$H$8+Inputs!$L$8*(((Inputs!$I$8+(((A84)+1)/2)*(Inputs!$J$8-Inputs!$I$8)))/Inputs!$K$8)^2),NA())</x:f>
        <x:v>131.97188499999993</x:v>
      </x:c>
      <x:c r="E84" s="9" t="n">
        <x:f>IF(OR(Inputs!$F$9=TRUE,Inputs!$F$9="TRUE",Inputs!$F$9=1),(Inputs!$H$9+Inputs!$L$9*(((Inputs!$I$9+(((A84)+1)/2)*(Inputs!$J$9-Inputs!$I$9)))/Inputs!$K$9)^2),NA())</x:f>
        <x:v>122.97677499999993</x:v>
      </x:c>
      <x:c r="F84" s="10" t="n"/>
      <x:c r="G84" s="9" t="n">
        <x:f>A84</x:f>
        <x:v>-0.317</x:v>
      </x:c>
      <x:c r="H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10" t="n"/>
      <x:c r="M84" s="9" t="n">
        <x:f>A84</x:f>
        <x:v>-0.317</x:v>
      </x:c>
      <x:c r="N84" s="9"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9"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9"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9"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10" t="n"/>
      <x:c r="S84" s="9" t="n">
        <x:f>A84</x:f>
        <x:v>-0.317</x:v>
      </x:c>
      <x:c r="T84" s="9" t="n">
        <x:f>(Inputs!$I$6+(((A84)+1)/2)*(Inputs!$J$6-Inputs!$I$6))</x:f>
        <x:v>-19.019999999999996</x:v>
      </x:c>
      <x:c r="U84" s="9" t="n">
        <x:f>(Inputs!$I$7+(((A84)+1)/2)*(Inputs!$J$7-Inputs!$I$7))</x:f>
        <x:v>-126.79999999999995</x:v>
      </x:c>
      <x:c r="V84" s="9" t="n">
        <x:f>(Inputs!$I$8+(((A84)+1)/2)*(Inputs!$J$8-Inputs!$I$8))</x:f>
        <x:v>-253.5999999999999</x:v>
      </x:c>
      <x:c r="W84" s="9" t="n">
        <x:f>(Inputs!$I$9+(((A84)+1)/2)*(Inputs!$J$9-Inputs!$I$9))</x:f>
        <x:v>-253.5999999999999</x:v>
      </x:c>
      <x:c r="X84" s="10" t="n"/>
      <x:c r="Y84" s="9" t="n">
        <x:f>A84</x:f>
        <x:v>-0.317</x:v>
      </x:c>
      <x:c r="Z84" s="9" t="n">
        <x:f>(Inputs!$H$6+Inputs!$L$6*(((Inputs!$I$6+(((A84)+1)/2)*(Inputs!$J$6-Inputs!$I$6)))/Inputs!$K$6)^2)</x:f>
        <x:v>400.401956</x:v>
      </x:c>
      <x:c r="AA84" s="9" t="n">
        <x:f>(Inputs!$H$7+Inputs!$L$7*(((Inputs!$I$7+(((A84)+1)/2)*(Inputs!$J$7-Inputs!$I$7)))/Inputs!$K$7)^2)</x:f>
        <x:v>71.67848499999997</x:v>
      </x:c>
      <x:c r="AB84" s="9" t="n">
        <x:f>(Inputs!$H$8+Inputs!$L$8*(((Inputs!$I$8+(((A84)+1)/2)*(Inputs!$J$8-Inputs!$I$8)))/Inputs!$K$8)^2)</x:f>
        <x:v>131.97188499999993</x:v>
      </x:c>
      <x:c r="AC84" s="9" t="n">
        <x:f>(Inputs!$H$9+Inputs!$L$9*(((Inputs!$I$9+(((A84)+1)/2)*(Inputs!$J$9-Inputs!$I$9)))/Inputs!$K$9)^2)</x:f>
        <x:v>122.97677499999993</x:v>
      </x:c>
      <x:c r="AD84" s="10" t="n"/>
      <x:c r="AE84" s="9" t="n">
        <x:f>A84</x:f>
        <x:v>-0.317</x:v>
      </x:c>
      <x:c r="AF84" s="9"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9"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9"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9"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10" t="n"/>
      <x:c r="AK84" s="9" t="n">
        <x:f>A84</x:f>
        <x:v>-0.317</x:v>
      </x:c>
      <x:c r="AL84" s="9"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9"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9"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9"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10" t="n"/>
      <x:c r="AQ84" s="9" t="n">
        <x:f>A84</x:f>
        <x:v>-0.317</x:v>
      </x:c>
      <x:c r="AR84" s="9" t="n">
        <x:f>0</x:f>
        <x:v>0</x:v>
      </x:c>
      <x:c r="AS84" s="9"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x:f>
        <x:v>361.8338049067382</x:v>
      </x:c>
      <x:c r="AT84" s="9"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x:f>
        <x:v>173.73194471752504</x:v>
      </x:c>
      <x:c r="AU84" s="9"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x:f>
        <x:v>106.5081984940548</x:v>
      </x:c>
      <x:c r="AV84" s="9"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x:f>
        <x:v>106.5081984940548</x:v>
      </x:c>
      <x:c r="AW84" s="10" t="n"/>
      <x:c r="AX84" s="9" t="n">
        <x:f>A84</x:f>
        <x:v>-0.317</x:v>
      </x:c>
      <x:c r="AY84" s="9" t="n">
        <x:f>0</x:f>
        <x:v>0</x:v>
      </x:c>
      <x:c r="AZ84" s="9" t="n">
        <x:f>IF(OR(Inputs!$F$6=TRUE,Inputs!$F$6="TRUE",Inputs!$F$6=1),(Inputs!$H$6+Inputs!$L$6*(((Inputs!$I$6+(((A84)+1)/2)*(Inputs!$J$6-Inputs!$I$6)))/Inputs!$K$6)^2),NA())</x:f>
        <x:v>400.401956</x:v>
      </x:c>
      <x:c r="BA84" s="9" t="n">
        <x:f>IF(OR(Inputs!$F$7=TRUE,Inputs!$F$7="TRUE",Inputs!$F$7=1),(Inputs!$H$7+Inputs!$L$7*(((Inputs!$I$7+(((A84)+1)/2)*(Inputs!$J$7-Inputs!$I$7)))/Inputs!$K$7)^2),NA())</x:f>
        <x:v>71.67848499999997</x:v>
      </x:c>
      <x:c r="BB84" s="9" t="n">
        <x:f>IF(OR(Inputs!$F$8=TRUE,Inputs!$F$8="TRUE",Inputs!$F$8=1),(Inputs!$H$8+Inputs!$L$8*(((Inputs!$I$8+(((A84)+1)/2)*(Inputs!$J$8-Inputs!$I$8)))/Inputs!$K$8)^2),NA())</x:f>
        <x:v>131.97188499999993</x:v>
      </x:c>
      <x:c r="BC84" s="9" t="n">
        <x:f>IF(OR(Inputs!$F$9=TRUE,Inputs!$F$9="TRUE",Inputs!$F$9=1),(Inputs!$H$9+Inputs!$L$9*(((Inputs!$I$9+(((A84)+1)/2)*(Inputs!$J$9-Inputs!$I$9)))/Inputs!$K$9)^2),NA())</x:f>
        <x:v>122.97677499999993</x:v>
      </x:c>
      <x:c r="BD84" s="10" t="n"/>
      <x:c r="BE84" s="9" t="n">
        <x:f>A84</x:f>
        <x:v>-0.317</x:v>
      </x:c>
      <x:c r="BF84" s="9" t="n">
        <x:f>0</x:f>
        <x:v>0</x:v>
      </x:c>
      <x:c r="BG84" s="9"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9"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9"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9"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9" t="n">
        <x:f>ROUND(-1+83*2/240,3)</x:f>
        <x:v>-0.308</x:v>
      </x:c>
      <x:c r="B85" s="9" t="n">
        <x:f>IF(OR(Inputs!$F$6=TRUE,Inputs!$F$6="TRUE",Inputs!$F$6=1),(Inputs!$H$6+Inputs!$L$6*(((Inputs!$I$6+(((A85)+1)/2)*(Inputs!$J$6-Inputs!$I$6)))/Inputs!$K$6)^2),NA())</x:f>
        <x:v>400.379456</x:v>
      </x:c>
      <x:c r="C85" s="9" t="n">
        <x:f>IF(OR(Inputs!$F$7=TRUE,Inputs!$F$7="TRUE",Inputs!$F$7=1),(Inputs!$H$7+Inputs!$L$7*(((Inputs!$I$7+(((A85)+1)/2)*(Inputs!$J$7-Inputs!$I$7)))/Inputs!$K$7)^2),NA())</x:f>
        <x:v>69.62536000000003</x:v>
      </x:c>
      <x:c r="D85" s="9" t="n">
        <x:f>IF(OR(Inputs!$F$8=TRUE,Inputs!$F$8="TRUE",Inputs!$F$8=1),(Inputs!$H$8+Inputs!$L$8*(((Inputs!$I$8+(((A85)+1)/2)*(Inputs!$J$8-Inputs!$I$8)))/Inputs!$K$8)^2),NA())</x:f>
        <x:v>126.54376000000006</x:v>
      </x:c>
      <x:c r="E85" s="9" t="n">
        <x:f>IF(OR(Inputs!$F$9=TRUE,Inputs!$F$9="TRUE",Inputs!$F$9=1),(Inputs!$H$9+Inputs!$L$9*(((Inputs!$I$9+(((A85)+1)/2)*(Inputs!$J$9-Inputs!$I$9)))/Inputs!$K$9)^2),NA())</x:f>
        <x:v>117.49240000000006</x:v>
      </x:c>
      <x:c r="F85" s="10" t="n"/>
      <x:c r="G85" s="9" t="n">
        <x:f>A85</x:f>
        <x:v>-0.308</x:v>
      </x:c>
      <x:c r="H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10" t="n"/>
      <x:c r="M85" s="9" t="n">
        <x:f>A85</x:f>
        <x:v>-0.308</x:v>
      </x:c>
      <x:c r="N85" s="9"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9"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9"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9"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10" t="n"/>
      <x:c r="S85" s="9" t="n">
        <x:f>A85</x:f>
        <x:v>-0.308</x:v>
      </x:c>
      <x:c r="T85" s="9" t="n">
        <x:f>(Inputs!$I$6+(((A85)+1)/2)*(Inputs!$J$6-Inputs!$I$6))</x:f>
        <x:v>-18.480000000000004</x:v>
      </x:c>
      <x:c r="U85" s="9" t="n">
        <x:f>(Inputs!$I$7+(((A85)+1)/2)*(Inputs!$J$7-Inputs!$I$7))</x:f>
        <x:v>-123.20000000000005</x:v>
      </x:c>
      <x:c r="V85" s="9" t="n">
        <x:f>(Inputs!$I$8+(((A85)+1)/2)*(Inputs!$J$8-Inputs!$I$8))</x:f>
        <x:v>-246.4000000000001</x:v>
      </x:c>
      <x:c r="W85" s="9" t="n">
        <x:f>(Inputs!$I$9+(((A85)+1)/2)*(Inputs!$J$9-Inputs!$I$9))</x:f>
        <x:v>-246.4000000000001</x:v>
      </x:c>
      <x:c r="X85" s="10" t="n"/>
      <x:c r="Y85" s="9" t="n">
        <x:f>A85</x:f>
        <x:v>-0.308</x:v>
      </x:c>
      <x:c r="Z85" s="9" t="n">
        <x:f>(Inputs!$H$6+Inputs!$L$6*(((Inputs!$I$6+(((A85)+1)/2)*(Inputs!$J$6-Inputs!$I$6)))/Inputs!$K$6)^2)</x:f>
        <x:v>400.379456</x:v>
      </x:c>
      <x:c r="AA85" s="9" t="n">
        <x:f>(Inputs!$H$7+Inputs!$L$7*(((Inputs!$I$7+(((A85)+1)/2)*(Inputs!$J$7-Inputs!$I$7)))/Inputs!$K$7)^2)</x:f>
        <x:v>69.62536000000003</x:v>
      </x:c>
      <x:c r="AB85" s="9" t="n">
        <x:f>(Inputs!$H$8+Inputs!$L$8*(((Inputs!$I$8+(((A85)+1)/2)*(Inputs!$J$8-Inputs!$I$8)))/Inputs!$K$8)^2)</x:f>
        <x:v>126.54376000000006</x:v>
      </x:c>
      <x:c r="AC85" s="9" t="n">
        <x:f>(Inputs!$H$9+Inputs!$L$9*(((Inputs!$I$9+(((A85)+1)/2)*(Inputs!$J$9-Inputs!$I$9)))/Inputs!$K$9)^2)</x:f>
        <x:v>117.49240000000006</x:v>
      </x:c>
      <x:c r="AD85" s="10" t="n"/>
      <x:c r="AE85" s="9" t="n">
        <x:f>A85</x:f>
        <x:v>-0.308</x:v>
      </x:c>
      <x:c r="AF85" s="9"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9"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9"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9"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10" t="n"/>
      <x:c r="AK85" s="9" t="n">
        <x:f>A85</x:f>
        <x:v>-0.308</x:v>
      </x:c>
      <x:c r="AL85" s="9"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9"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9"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9"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10" t="n"/>
      <x:c r="AQ85" s="9" t="n">
        <x:f>A85</x:f>
        <x:v>-0.308</x:v>
      </x:c>
      <x:c r="AR85" s="9" t="n">
        <x:f>0</x:f>
        <x:v>0</x:v>
      </x:c>
      <x:c r="AS85" s="9"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x:f>
        <x:v>379.8713470592348</x:v>
      </x:c>
      <x:c r="AT85" s="9"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x:f>
        <x:v>191.20807783550785</x:v>
      </x:c>
      <x:c r="AU85" s="9"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x:f>
        <x:v>220.2565592212486</x:v>
      </x:c>
      <x:c r="AV85" s="9"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x:f>
        <x:v>220.2565592212486</x:v>
      </x:c>
      <x:c r="AW85" s="10" t="n"/>
      <x:c r="AX85" s="9" t="n">
        <x:f>A85</x:f>
        <x:v>-0.308</x:v>
      </x:c>
      <x:c r="AY85" s="9" t="n">
        <x:f>0</x:f>
        <x:v>0</x:v>
      </x:c>
      <x:c r="AZ85" s="9" t="n">
        <x:f>IF(OR(Inputs!$F$6=TRUE,Inputs!$F$6="TRUE",Inputs!$F$6=1),(Inputs!$H$6+Inputs!$L$6*(((Inputs!$I$6+(((A85)+1)/2)*(Inputs!$J$6-Inputs!$I$6)))/Inputs!$K$6)^2),NA())</x:f>
        <x:v>400.379456</x:v>
      </x:c>
      <x:c r="BA85" s="9" t="n">
        <x:f>IF(OR(Inputs!$F$7=TRUE,Inputs!$F$7="TRUE",Inputs!$F$7=1),(Inputs!$H$7+Inputs!$L$7*(((Inputs!$I$7+(((A85)+1)/2)*(Inputs!$J$7-Inputs!$I$7)))/Inputs!$K$7)^2),NA())</x:f>
        <x:v>69.62536000000003</x:v>
      </x:c>
      <x:c r="BB85" s="9" t="n">
        <x:f>IF(OR(Inputs!$F$8=TRUE,Inputs!$F$8="TRUE",Inputs!$F$8=1),(Inputs!$H$8+Inputs!$L$8*(((Inputs!$I$8+(((A85)+1)/2)*(Inputs!$J$8-Inputs!$I$8)))/Inputs!$K$8)^2),NA())</x:f>
        <x:v>126.54376000000006</x:v>
      </x:c>
      <x:c r="BC85" s="9" t="n">
        <x:f>IF(OR(Inputs!$F$9=TRUE,Inputs!$F$9="TRUE",Inputs!$F$9=1),(Inputs!$H$9+Inputs!$L$9*(((Inputs!$I$9+(((A85)+1)/2)*(Inputs!$J$9-Inputs!$I$9)))/Inputs!$K$9)^2),NA())</x:f>
        <x:v>117.49240000000006</x:v>
      </x:c>
      <x:c r="BD85" s="10" t="n"/>
      <x:c r="BE85" s="9" t="n">
        <x:f>A85</x:f>
        <x:v>-0.308</x:v>
      </x:c>
      <x:c r="BF85" s="9" t="n">
        <x:f>0</x:f>
        <x:v>0</x:v>
      </x:c>
      <x:c r="BG85" s="9"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9"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9"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9"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9" t="n">
        <x:f>ROUND(-1+84*2/240,3)</x:f>
        <x:v>-0.3</x:v>
      </x:c>
      <x:c r="B86" s="9" t="n">
        <x:f>IF(OR(Inputs!$F$6=TRUE,Inputs!$F$6="TRUE",Inputs!$F$6=1),(Inputs!$H$6+Inputs!$L$6*(((Inputs!$I$6+(((A86)+1)/2)*(Inputs!$J$6-Inputs!$I$6)))/Inputs!$K$6)^2),NA())</x:f>
        <x:v>400.36</x:v>
      </x:c>
      <x:c r="C86" s="9" t="n">
        <x:f>IF(OR(Inputs!$F$7=TRUE,Inputs!$F$7="TRUE",Inputs!$F$7=1),(Inputs!$H$7+Inputs!$L$7*(((Inputs!$I$7+(((A86)+1)/2)*(Inputs!$J$7-Inputs!$I$7)))/Inputs!$K$7)^2),NA())</x:f>
        <x:v>67.85</x:v>
      </x:c>
      <x:c r="D86" s="9" t="n">
        <x:f>IF(OR(Inputs!$F$8=TRUE,Inputs!$F$8="TRUE",Inputs!$F$8=1),(Inputs!$H$8+Inputs!$L$8*(((Inputs!$I$8+(((A86)+1)/2)*(Inputs!$J$8-Inputs!$I$8)))/Inputs!$K$8)^2),NA())</x:f>
        <x:v>121.85</x:v>
      </x:c>
      <x:c r="E86" s="9" t="n">
        <x:f>IF(OR(Inputs!$F$9=TRUE,Inputs!$F$9="TRUE",Inputs!$F$9=1),(Inputs!$H$9+Inputs!$L$9*(((Inputs!$I$9+(((A86)+1)/2)*(Inputs!$J$9-Inputs!$I$9)))/Inputs!$K$9)^2),NA())</x:f>
        <x:v>112.75</x:v>
      </x:c>
      <x:c r="F86" s="10" t="n"/>
      <x:c r="G86" s="9" t="n">
        <x:f>A86</x:f>
        <x:v>-0.3</x:v>
      </x:c>
      <x:c r="H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10" t="n"/>
      <x:c r="M86" s="9" t="n">
        <x:f>A86</x:f>
        <x:v>-0.3</x:v>
      </x:c>
      <x:c r="N86" s="9"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9"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9"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9"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10" t="n"/>
      <x:c r="S86" s="9" t="n">
        <x:f>A86</x:f>
        <x:v>-0.3</x:v>
      </x:c>
      <x:c r="T86" s="9" t="n">
        <x:f>(Inputs!$I$6+(((A86)+1)/2)*(Inputs!$J$6-Inputs!$I$6))</x:f>
        <x:v>-18</x:v>
      </x:c>
      <x:c r="U86" s="9" t="n">
        <x:f>(Inputs!$I$7+(((A86)+1)/2)*(Inputs!$J$7-Inputs!$I$7))</x:f>
        <x:v>-120</x:v>
      </x:c>
      <x:c r="V86" s="9" t="n">
        <x:f>(Inputs!$I$8+(((A86)+1)/2)*(Inputs!$J$8-Inputs!$I$8))</x:f>
        <x:v>-240</x:v>
      </x:c>
      <x:c r="W86" s="9" t="n">
        <x:f>(Inputs!$I$9+(((A86)+1)/2)*(Inputs!$J$9-Inputs!$I$9))</x:f>
        <x:v>-240</x:v>
      </x:c>
      <x:c r="X86" s="10" t="n"/>
      <x:c r="Y86" s="9" t="n">
        <x:f>A86</x:f>
        <x:v>-0.3</x:v>
      </x:c>
      <x:c r="Z86" s="9" t="n">
        <x:f>(Inputs!$H$6+Inputs!$L$6*(((Inputs!$I$6+(((A86)+1)/2)*(Inputs!$J$6-Inputs!$I$6)))/Inputs!$K$6)^2)</x:f>
        <x:v>400.36</x:v>
      </x:c>
      <x:c r="AA86" s="9" t="n">
        <x:f>(Inputs!$H$7+Inputs!$L$7*(((Inputs!$I$7+(((A86)+1)/2)*(Inputs!$J$7-Inputs!$I$7)))/Inputs!$K$7)^2)</x:f>
        <x:v>67.85</x:v>
      </x:c>
      <x:c r="AB86" s="9" t="n">
        <x:f>(Inputs!$H$8+Inputs!$L$8*(((Inputs!$I$8+(((A86)+1)/2)*(Inputs!$J$8-Inputs!$I$8)))/Inputs!$K$8)^2)</x:f>
        <x:v>121.85</x:v>
      </x:c>
      <x:c r="AC86" s="9" t="n">
        <x:f>(Inputs!$H$9+Inputs!$L$9*(((Inputs!$I$9+(((A86)+1)/2)*(Inputs!$J$9-Inputs!$I$9)))/Inputs!$K$9)^2)</x:f>
        <x:v>112.75</x:v>
      </x:c>
      <x:c r="AD86" s="10" t="n"/>
      <x:c r="AE86" s="9" t="n">
        <x:f>A86</x:f>
        <x:v>-0.3</x:v>
      </x:c>
      <x:c r="AF86" s="9"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9"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9"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9"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10" t="n"/>
      <x:c r="AK86" s="9" t="n">
        <x:f>A86</x:f>
        <x:v>-0.3</x:v>
      </x:c>
      <x:c r="AL86" s="9"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9"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9"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9"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10" t="n"/>
      <x:c r="AQ86" s="9" t="n">
        <x:f>A86</x:f>
        <x:v>-0.3</x:v>
      </x:c>
      <x:c r="AR86" s="9" t="n">
        <x:f>0</x:f>
        <x:v>0</x:v>
      </x:c>
      <x:c r="AS86" s="9"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x:f>
        <x:v>392.0220541536099</x:v>
      </x:c>
      <x:c r="AT86" s="9"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x:f>
        <x:v>187.74824264735327</x:v>
      </x:c>
      <x:c r="AU86" s="9"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x:f>
        <x:v>69.60354848630779</x:v>
      </x:c>
      <x:c r="AV86" s="9"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x:f>
        <x:v>69.60354848630779</x:v>
      </x:c>
      <x:c r="AW86" s="10" t="n"/>
      <x:c r="AX86" s="9" t="n">
        <x:f>A86</x:f>
        <x:v>-0.3</x:v>
      </x:c>
      <x:c r="AY86" s="9" t="n">
        <x:f>0</x:f>
        <x:v>0</x:v>
      </x:c>
      <x:c r="AZ86" s="9" t="n">
        <x:f>IF(OR(Inputs!$F$6=TRUE,Inputs!$F$6="TRUE",Inputs!$F$6=1),(Inputs!$H$6+Inputs!$L$6*(((Inputs!$I$6+(((A86)+1)/2)*(Inputs!$J$6-Inputs!$I$6)))/Inputs!$K$6)^2),NA())</x:f>
        <x:v>400.36</x:v>
      </x:c>
      <x:c r="BA86" s="9" t="n">
        <x:f>IF(OR(Inputs!$F$7=TRUE,Inputs!$F$7="TRUE",Inputs!$F$7=1),(Inputs!$H$7+Inputs!$L$7*(((Inputs!$I$7+(((A86)+1)/2)*(Inputs!$J$7-Inputs!$I$7)))/Inputs!$K$7)^2),NA())</x:f>
        <x:v>67.85</x:v>
      </x:c>
      <x:c r="BB86" s="9" t="n">
        <x:f>IF(OR(Inputs!$F$8=TRUE,Inputs!$F$8="TRUE",Inputs!$F$8=1),(Inputs!$H$8+Inputs!$L$8*(((Inputs!$I$8+(((A86)+1)/2)*(Inputs!$J$8-Inputs!$I$8)))/Inputs!$K$8)^2),NA())</x:f>
        <x:v>121.85</x:v>
      </x:c>
      <x:c r="BC86" s="9" t="n">
        <x:f>IF(OR(Inputs!$F$9=TRUE,Inputs!$F$9="TRUE",Inputs!$F$9=1),(Inputs!$H$9+Inputs!$L$9*(((Inputs!$I$9+(((A86)+1)/2)*(Inputs!$J$9-Inputs!$I$9)))/Inputs!$K$9)^2),NA())</x:f>
        <x:v>112.75</x:v>
      </x:c>
      <x:c r="BD86" s="10" t="n"/>
      <x:c r="BE86" s="9" t="n">
        <x:f>A86</x:f>
        <x:v>-0.3</x:v>
      </x:c>
      <x:c r="BF86" s="9" t="n">
        <x:f>0</x:f>
        <x:v>0</x:v>
      </x:c>
      <x:c r="BG86" s="9"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9"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9"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9"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9" t="n">
        <x:f>ROUND(-1+85*2/240,3)</x:f>
        <x:v>-0.292</x:v>
      </x:c>
      <x:c r="B87" s="9" t="n">
        <x:f>IF(OR(Inputs!$F$6=TRUE,Inputs!$F$6="TRUE",Inputs!$F$6=1),(Inputs!$H$6+Inputs!$L$6*(((Inputs!$I$6+(((A87)+1)/2)*(Inputs!$J$6-Inputs!$I$6)))/Inputs!$K$6)^2),NA())</x:f>
        <x:v>400.341056</x:v>
      </x:c>
      <x:c r="C87" s="9" t="n">
        <x:f>IF(OR(Inputs!$F$7=TRUE,Inputs!$F$7="TRUE",Inputs!$F$7=1),(Inputs!$H$7+Inputs!$L$7*(((Inputs!$I$7+(((A87)+1)/2)*(Inputs!$J$7-Inputs!$I$7)))/Inputs!$K$7)^2),NA())</x:f>
        <x:v>66.12136000000001</x:v>
      </x:c>
      <x:c r="D87" s="9" t="n">
        <x:f>IF(OR(Inputs!$F$8=TRUE,Inputs!$F$8="TRUE",Inputs!$F$8=1),(Inputs!$H$8+Inputs!$L$8*(((Inputs!$I$8+(((A87)+1)/2)*(Inputs!$J$8-Inputs!$I$8)))/Inputs!$K$8)^2),NA())</x:f>
        <x:v>117.27976000000002</x:v>
      </x:c>
      <x:c r="E87" s="9" t="n">
        <x:f>IF(OR(Inputs!$F$9=TRUE,Inputs!$F$9="TRUE",Inputs!$F$9=1),(Inputs!$H$9+Inputs!$L$9*(((Inputs!$I$9+(((A87)+1)/2)*(Inputs!$J$9-Inputs!$I$9)))/Inputs!$K$9)^2),NA())</x:f>
        <x:v>108.13240000000002</x:v>
      </x:c>
      <x:c r="F87" s="10" t="n"/>
      <x:c r="G87" s="9" t="n">
        <x:f>A87</x:f>
        <x:v>-0.292</x:v>
      </x:c>
      <x:c r="H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10" t="n"/>
      <x:c r="M87" s="9" t="n">
        <x:f>A87</x:f>
        <x:v>-0.292</x:v>
      </x:c>
      <x:c r="N87" s="9"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9"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9"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9"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10" t="n"/>
      <x:c r="S87" s="9" t="n">
        <x:f>A87</x:f>
        <x:v>-0.292</x:v>
      </x:c>
      <x:c r="T87" s="9" t="n">
        <x:f>(Inputs!$I$6+(((A87)+1)/2)*(Inputs!$J$6-Inputs!$I$6))</x:f>
        <x:v>-17.520000000000003</x:v>
      </x:c>
      <x:c r="U87" s="9" t="n">
        <x:f>(Inputs!$I$7+(((A87)+1)/2)*(Inputs!$J$7-Inputs!$I$7))</x:f>
        <x:v>-116.80000000000001</x:v>
      </x:c>
      <x:c r="V87" s="9" t="n">
        <x:f>(Inputs!$I$8+(((A87)+1)/2)*(Inputs!$J$8-Inputs!$I$8))</x:f>
        <x:v>-233.60000000000002</x:v>
      </x:c>
      <x:c r="W87" s="9" t="n">
        <x:f>(Inputs!$I$9+(((A87)+1)/2)*(Inputs!$J$9-Inputs!$I$9))</x:f>
        <x:v>-233.60000000000002</x:v>
      </x:c>
      <x:c r="X87" s="10" t="n"/>
      <x:c r="Y87" s="9" t="n">
        <x:f>A87</x:f>
        <x:v>-0.292</x:v>
      </x:c>
      <x:c r="Z87" s="9" t="n">
        <x:f>(Inputs!$H$6+Inputs!$L$6*(((Inputs!$I$6+(((A87)+1)/2)*(Inputs!$J$6-Inputs!$I$6)))/Inputs!$K$6)^2)</x:f>
        <x:v>400.341056</x:v>
      </x:c>
      <x:c r="AA87" s="9" t="n">
        <x:f>(Inputs!$H$7+Inputs!$L$7*(((Inputs!$I$7+(((A87)+1)/2)*(Inputs!$J$7-Inputs!$I$7)))/Inputs!$K$7)^2)</x:f>
        <x:v>66.12136000000001</x:v>
      </x:c>
      <x:c r="AB87" s="9" t="n">
        <x:f>(Inputs!$H$8+Inputs!$L$8*(((Inputs!$I$8+(((A87)+1)/2)*(Inputs!$J$8-Inputs!$I$8)))/Inputs!$K$8)^2)</x:f>
        <x:v>117.27976000000002</x:v>
      </x:c>
      <x:c r="AC87" s="9" t="n">
        <x:f>(Inputs!$H$9+Inputs!$L$9*(((Inputs!$I$9+(((A87)+1)/2)*(Inputs!$J$9-Inputs!$I$9)))/Inputs!$K$9)^2)</x:f>
        <x:v>108.13240000000002</x:v>
      </x:c>
      <x:c r="AD87" s="10" t="n"/>
      <x:c r="AE87" s="9" t="n">
        <x:f>A87</x:f>
        <x:v>-0.292</x:v>
      </x:c>
      <x:c r="AF87" s="9"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9"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9"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9"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10" t="n"/>
      <x:c r="AK87" s="9" t="n">
        <x:f>A87</x:f>
        <x:v>-0.292</x:v>
      </x:c>
      <x:c r="AL87" s="9"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9"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9"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9"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10" t="n"/>
      <x:c r="AQ87" s="9" t="n">
        <x:f>A87</x:f>
        <x:v>-0.292</x:v>
      </x:c>
      <x:c r="AR87" s="9" t="n">
        <x:f>0</x:f>
        <x:v>0</x:v>
      </x:c>
      <x:c r="AS87" s="9"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x:f>
        <x:v>395.37288831251874</x:v>
      </x:c>
      <x:c r="AT87" s="9"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x:f>
        <x:v>166.1708306315741</x:v>
      </x:c>
      <x:c r="AU87" s="9"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x:f>
        <x:v>142.71283057846875</x:v>
      </x:c>
      <x:c r="AV87" s="9"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x:f>
        <x:v>142.71283057846875</x:v>
      </x:c>
      <x:c r="AW87" s="10" t="n"/>
      <x:c r="AX87" s="9" t="n">
        <x:f>A87</x:f>
        <x:v>-0.292</x:v>
      </x:c>
      <x:c r="AY87" s="9" t="n">
        <x:f>0</x:f>
        <x:v>0</x:v>
      </x:c>
      <x:c r="AZ87" s="9" t="n">
        <x:f>IF(OR(Inputs!$F$6=TRUE,Inputs!$F$6="TRUE",Inputs!$F$6=1),(Inputs!$H$6+Inputs!$L$6*(((Inputs!$I$6+(((A87)+1)/2)*(Inputs!$J$6-Inputs!$I$6)))/Inputs!$K$6)^2),NA())</x:f>
        <x:v>400.341056</x:v>
      </x:c>
      <x:c r="BA87" s="9" t="n">
        <x:f>IF(OR(Inputs!$F$7=TRUE,Inputs!$F$7="TRUE",Inputs!$F$7=1),(Inputs!$H$7+Inputs!$L$7*(((Inputs!$I$7+(((A87)+1)/2)*(Inputs!$J$7-Inputs!$I$7)))/Inputs!$K$7)^2),NA())</x:f>
        <x:v>66.12136000000001</x:v>
      </x:c>
      <x:c r="BB87" s="9" t="n">
        <x:f>IF(OR(Inputs!$F$8=TRUE,Inputs!$F$8="TRUE",Inputs!$F$8=1),(Inputs!$H$8+Inputs!$L$8*(((Inputs!$I$8+(((A87)+1)/2)*(Inputs!$J$8-Inputs!$I$8)))/Inputs!$K$8)^2),NA())</x:f>
        <x:v>117.27976000000002</x:v>
      </x:c>
      <x:c r="BC87" s="9" t="n">
        <x:f>IF(OR(Inputs!$F$9=TRUE,Inputs!$F$9="TRUE",Inputs!$F$9=1),(Inputs!$H$9+Inputs!$L$9*(((Inputs!$I$9+(((A87)+1)/2)*(Inputs!$J$9-Inputs!$I$9)))/Inputs!$K$9)^2),NA())</x:f>
        <x:v>108.13240000000002</x:v>
      </x:c>
      <x:c r="BD87" s="10" t="n"/>
      <x:c r="BE87" s="9" t="n">
        <x:f>A87</x:f>
        <x:v>-0.292</x:v>
      </x:c>
      <x:c r="BF87" s="9" t="n">
        <x:f>0</x:f>
        <x:v>0</x:v>
      </x:c>
      <x:c r="BG87" s="9"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9"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9"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9"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9" t="n">
        <x:f>ROUND(-1+86*2/240,3)</x:f>
        <x:v>-0.283</x:v>
      </x:c>
      <x:c r="B88" s="9" t="n">
        <x:f>IF(OR(Inputs!$F$6=TRUE,Inputs!$F$6="TRUE",Inputs!$F$6=1),(Inputs!$H$6+Inputs!$L$6*(((Inputs!$I$6+(((A88)+1)/2)*(Inputs!$J$6-Inputs!$I$6)))/Inputs!$K$6)^2),NA())</x:f>
        <x:v>400.320356</x:v>
      </x:c>
      <x:c r="C88" s="9" t="n">
        <x:f>IF(OR(Inputs!$F$7=TRUE,Inputs!$F$7="TRUE",Inputs!$F$7=1),(Inputs!$H$7+Inputs!$L$7*(((Inputs!$I$7+(((A88)+1)/2)*(Inputs!$J$7-Inputs!$I$7)))/Inputs!$K$7)^2),NA())</x:f>
        <x:v>64.232485</x:v>
      </x:c>
      <x:c r="D88" s="9" t="n">
        <x:f>IF(OR(Inputs!$F$8=TRUE,Inputs!$F$8="TRUE",Inputs!$F$8=1),(Inputs!$H$8+Inputs!$L$8*(((Inputs!$I$8+(((A88)+1)/2)*(Inputs!$J$8-Inputs!$I$8)))/Inputs!$K$8)^2),NA())</x:f>
        <x:v>112.28588499999998</x:v>
      </x:c>
      <x:c r="E88" s="9" t="n">
        <x:f>IF(OR(Inputs!$F$9=TRUE,Inputs!$F$9="TRUE",Inputs!$F$9=1),(Inputs!$H$9+Inputs!$L$9*(((Inputs!$I$9+(((A88)+1)/2)*(Inputs!$J$9-Inputs!$I$9)))/Inputs!$K$9)^2),NA())</x:f>
        <x:v>103.08677499999997</x:v>
      </x:c>
      <x:c r="F88" s="10" t="n"/>
      <x:c r="G88" s="9" t="n">
        <x:f>A88</x:f>
        <x:v>-0.283</x:v>
      </x:c>
      <x:c r="H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10" t="n"/>
      <x:c r="M88" s="9" t="n">
        <x:f>A88</x:f>
        <x:v>-0.283</x:v>
      </x:c>
      <x:c r="N88" s="9"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9"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9"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9"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10" t="n"/>
      <x:c r="S88" s="9" t="n">
        <x:f>A88</x:f>
        <x:v>-0.283</x:v>
      </x:c>
      <x:c r="T88" s="9" t="n">
        <x:f>(Inputs!$I$6+(((A88)+1)/2)*(Inputs!$J$6-Inputs!$I$6))</x:f>
        <x:v>-16.979999999999997</x:v>
      </x:c>
      <x:c r="U88" s="9" t="n">
        <x:f>(Inputs!$I$7+(((A88)+1)/2)*(Inputs!$J$7-Inputs!$I$7))</x:f>
        <x:v>-113.19999999999999</x:v>
      </x:c>
      <x:c r="V88" s="9" t="n">
        <x:f>(Inputs!$I$8+(((A88)+1)/2)*(Inputs!$J$8-Inputs!$I$8))</x:f>
        <x:v>-226.39999999999998</x:v>
      </x:c>
      <x:c r="W88" s="9" t="n">
        <x:f>(Inputs!$I$9+(((A88)+1)/2)*(Inputs!$J$9-Inputs!$I$9))</x:f>
        <x:v>-226.39999999999998</x:v>
      </x:c>
      <x:c r="X88" s="10" t="n"/>
      <x:c r="Y88" s="9" t="n">
        <x:f>A88</x:f>
        <x:v>-0.283</x:v>
      </x:c>
      <x:c r="Z88" s="9" t="n">
        <x:f>(Inputs!$H$6+Inputs!$L$6*(((Inputs!$I$6+(((A88)+1)/2)*(Inputs!$J$6-Inputs!$I$6)))/Inputs!$K$6)^2)</x:f>
        <x:v>400.320356</x:v>
      </x:c>
      <x:c r="AA88" s="9" t="n">
        <x:f>(Inputs!$H$7+Inputs!$L$7*(((Inputs!$I$7+(((A88)+1)/2)*(Inputs!$J$7-Inputs!$I$7)))/Inputs!$K$7)^2)</x:f>
        <x:v>64.232485</x:v>
      </x:c>
      <x:c r="AB88" s="9" t="n">
        <x:f>(Inputs!$H$8+Inputs!$L$8*(((Inputs!$I$8+(((A88)+1)/2)*(Inputs!$J$8-Inputs!$I$8)))/Inputs!$K$8)^2)</x:f>
        <x:v>112.28588499999998</x:v>
      </x:c>
      <x:c r="AC88" s="9" t="n">
        <x:f>(Inputs!$H$9+Inputs!$L$9*(((Inputs!$I$9+(((A88)+1)/2)*(Inputs!$J$9-Inputs!$I$9)))/Inputs!$K$9)^2)</x:f>
        <x:v>103.08677499999997</x:v>
      </x:c>
      <x:c r="AD88" s="10" t="n"/>
      <x:c r="AE88" s="9" t="n">
        <x:f>A88</x:f>
        <x:v>-0.283</x:v>
      </x:c>
      <x:c r="AF88" s="9"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9"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9"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9"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10" t="n"/>
      <x:c r="AK88" s="9" t="n">
        <x:f>A88</x:f>
        <x:v>-0.283</x:v>
      </x:c>
      <x:c r="AL88" s="9"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9"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9"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9"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10" t="n"/>
      <x:c r="AQ88" s="9" t="n">
        <x:f>A88</x:f>
        <x:v>-0.283</x:v>
      </x:c>
      <x:c r="AR88" s="9" t="n">
        <x:f>0</x:f>
        <x:v>0</x:v>
      </x:c>
      <x:c r="AS88" s="9"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x:f>
        <x:v>391.83521152426374</x:v>
      </x:c>
      <x:c r="AT88" s="9"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x:f>
        <x:v>106.97667359655283</x:v>
      </x:c>
      <x:c r="AU88" s="9"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x:f>
        <x:v>144.72885879136467</x:v>
      </x:c>
      <x:c r="AV88" s="9"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x:f>
        <x:v>144.72885879136467</x:v>
      </x:c>
      <x:c r="AW88" s="10" t="n"/>
      <x:c r="AX88" s="9" t="n">
        <x:f>A88</x:f>
        <x:v>-0.283</x:v>
      </x:c>
      <x:c r="AY88" s="9" t="n">
        <x:f>0</x:f>
        <x:v>0</x:v>
      </x:c>
      <x:c r="AZ88" s="9" t="n">
        <x:f>IF(OR(Inputs!$F$6=TRUE,Inputs!$F$6="TRUE",Inputs!$F$6=1),(Inputs!$H$6+Inputs!$L$6*(((Inputs!$I$6+(((A88)+1)/2)*(Inputs!$J$6-Inputs!$I$6)))/Inputs!$K$6)^2),NA())</x:f>
        <x:v>400.320356</x:v>
      </x:c>
      <x:c r="BA88" s="9" t="n">
        <x:f>IF(OR(Inputs!$F$7=TRUE,Inputs!$F$7="TRUE",Inputs!$F$7=1),(Inputs!$H$7+Inputs!$L$7*(((Inputs!$I$7+(((A88)+1)/2)*(Inputs!$J$7-Inputs!$I$7)))/Inputs!$K$7)^2),NA())</x:f>
        <x:v>64.232485</x:v>
      </x:c>
      <x:c r="BB88" s="9" t="n">
        <x:f>IF(OR(Inputs!$F$8=TRUE,Inputs!$F$8="TRUE",Inputs!$F$8=1),(Inputs!$H$8+Inputs!$L$8*(((Inputs!$I$8+(((A88)+1)/2)*(Inputs!$J$8-Inputs!$I$8)))/Inputs!$K$8)^2),NA())</x:f>
        <x:v>112.28588499999998</x:v>
      </x:c>
      <x:c r="BC88" s="9" t="n">
        <x:f>IF(OR(Inputs!$F$9=TRUE,Inputs!$F$9="TRUE",Inputs!$F$9=1),(Inputs!$H$9+Inputs!$L$9*(((Inputs!$I$9+(((A88)+1)/2)*(Inputs!$J$9-Inputs!$I$9)))/Inputs!$K$9)^2),NA())</x:f>
        <x:v>103.08677499999997</x:v>
      </x:c>
      <x:c r="BD88" s="10" t="n"/>
      <x:c r="BE88" s="9" t="n">
        <x:f>A88</x:f>
        <x:v>-0.283</x:v>
      </x:c>
      <x:c r="BF88" s="9" t="n">
        <x:f>0</x:f>
        <x:v>0</x:v>
      </x:c>
      <x:c r="BG88" s="9"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9"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9"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9"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9" t="n">
        <x:f>ROUND(-1+87*2/240,3)</x:f>
        <x:v>-0.275</x:v>
      </x:c>
      <x:c r="B89" s="9" t="n">
        <x:f>IF(OR(Inputs!$F$6=TRUE,Inputs!$F$6="TRUE",Inputs!$F$6=1),(Inputs!$H$6+Inputs!$L$6*(((Inputs!$I$6+(((A89)+1)/2)*(Inputs!$J$6-Inputs!$I$6)))/Inputs!$K$6)^2),NA())</x:f>
        <x:v>400.3025</x:v>
      </x:c>
      <x:c r="C89" s="9" t="n">
        <x:f>IF(OR(Inputs!$F$7=TRUE,Inputs!$F$7="TRUE",Inputs!$F$7=1),(Inputs!$H$7+Inputs!$L$7*(((Inputs!$I$7+(((A89)+1)/2)*(Inputs!$J$7-Inputs!$I$7)))/Inputs!$K$7)^2),NA())</x:f>
        <x:v>62.603125000000006</x:v>
      </x:c>
      <x:c r="D89" s="9" t="n">
        <x:f>IF(OR(Inputs!$F$8=TRUE,Inputs!$F$8="TRUE",Inputs!$F$8=1),(Inputs!$H$8+Inputs!$L$8*(((Inputs!$I$8+(((A89)+1)/2)*(Inputs!$J$8-Inputs!$I$8)))/Inputs!$K$8)^2),NA())</x:f>
        <x:v>107.978125</x:v>
      </x:c>
      <x:c r="E89" s="9" t="n">
        <x:f>IF(OR(Inputs!$F$9=TRUE,Inputs!$F$9="TRUE",Inputs!$F$9=1),(Inputs!$H$9+Inputs!$L$9*(((Inputs!$I$9+(((A89)+1)/2)*(Inputs!$J$9-Inputs!$I$9)))/Inputs!$K$9)^2),NA())</x:f>
        <x:v>98.73437500000001</x:v>
      </x:c>
      <x:c r="F89" s="10" t="n"/>
      <x:c r="G89" s="9" t="n">
        <x:f>A89</x:f>
        <x:v>-0.275</x:v>
      </x:c>
      <x:c r="H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10" t="n"/>
      <x:c r="M89" s="9" t="n">
        <x:f>A89</x:f>
        <x:v>-0.275</x:v>
      </x:c>
      <x:c r="N89" s="9"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9"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9"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9"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10" t="n"/>
      <x:c r="S89" s="9" t="n">
        <x:f>A89</x:f>
        <x:v>-0.275</x:v>
      </x:c>
      <x:c r="T89" s="9" t="n">
        <x:f>(Inputs!$I$6+(((A89)+1)/2)*(Inputs!$J$6-Inputs!$I$6))</x:f>
        <x:v>-16.5</x:v>
      </x:c>
      <x:c r="U89" s="9" t="n">
        <x:f>(Inputs!$I$7+(((A89)+1)/2)*(Inputs!$J$7-Inputs!$I$7))</x:f>
        <x:v>-110</x:v>
      </x:c>
      <x:c r="V89" s="9" t="n">
        <x:f>(Inputs!$I$8+(((A89)+1)/2)*(Inputs!$J$8-Inputs!$I$8))</x:f>
        <x:v>-220</x:v>
      </x:c>
      <x:c r="W89" s="9" t="n">
        <x:f>(Inputs!$I$9+(((A89)+1)/2)*(Inputs!$J$9-Inputs!$I$9))</x:f>
        <x:v>-220</x:v>
      </x:c>
      <x:c r="X89" s="10" t="n"/>
      <x:c r="Y89" s="9" t="n">
        <x:f>A89</x:f>
        <x:v>-0.275</x:v>
      </x:c>
      <x:c r="Z89" s="9" t="n">
        <x:f>(Inputs!$H$6+Inputs!$L$6*(((Inputs!$I$6+(((A89)+1)/2)*(Inputs!$J$6-Inputs!$I$6)))/Inputs!$K$6)^2)</x:f>
        <x:v>400.3025</x:v>
      </x:c>
      <x:c r="AA89" s="9" t="n">
        <x:f>(Inputs!$H$7+Inputs!$L$7*(((Inputs!$I$7+(((A89)+1)/2)*(Inputs!$J$7-Inputs!$I$7)))/Inputs!$K$7)^2)</x:f>
        <x:v>62.603125000000006</x:v>
      </x:c>
      <x:c r="AB89" s="9" t="n">
        <x:f>(Inputs!$H$8+Inputs!$L$8*(((Inputs!$I$8+(((A89)+1)/2)*(Inputs!$J$8-Inputs!$I$8)))/Inputs!$K$8)^2)</x:f>
        <x:v>107.978125</x:v>
      </x:c>
      <x:c r="AC89" s="9" t="n">
        <x:f>(Inputs!$H$9+Inputs!$L$9*(((Inputs!$I$9+(((A89)+1)/2)*(Inputs!$J$9-Inputs!$I$9)))/Inputs!$K$9)^2)</x:f>
        <x:v>98.73437500000001</x:v>
      </x:c>
      <x:c r="AD89" s="10" t="n"/>
      <x:c r="AE89" s="9" t="n">
        <x:f>A89</x:f>
        <x:v>-0.275</x:v>
      </x:c>
      <x:c r="AF89" s="9"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9"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9"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9"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10" t="n"/>
      <x:c r="AK89" s="9" t="n">
        <x:f>A89</x:f>
        <x:v>-0.275</x:v>
      </x:c>
      <x:c r="AL89" s="9"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9"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9"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9"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10" t="n"/>
      <x:c r="AQ89" s="9" t="n">
        <x:f>A89</x:f>
        <x:v>-0.275</x:v>
      </x:c>
      <x:c r="AR89" s="9" t="n">
        <x:f>0</x:f>
        <x:v>0</x:v>
      </x:c>
      <x:c r="AS89" s="9"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x:f>
        <x:v>387.1431058674635</x:v>
      </x:c>
      <x:c r="AT89" s="9"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x:f>
        <x:v>119.85391272646716</x:v>
      </x:c>
      <x:c r="AU89" s="9"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x:f>
        <x:v>59.09231307218772</x:v>
      </x:c>
      <x:c r="AV89" s="9"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x:f>
        <x:v>59.09231307218772</x:v>
      </x:c>
      <x:c r="AW89" s="10" t="n"/>
      <x:c r="AX89" s="9" t="n">
        <x:f>A89</x:f>
        <x:v>-0.275</x:v>
      </x:c>
      <x:c r="AY89" s="9" t="n">
        <x:f>0</x:f>
        <x:v>0</x:v>
      </x:c>
      <x:c r="AZ89" s="9" t="n">
        <x:f>IF(OR(Inputs!$F$6=TRUE,Inputs!$F$6="TRUE",Inputs!$F$6=1),(Inputs!$H$6+Inputs!$L$6*(((Inputs!$I$6+(((A89)+1)/2)*(Inputs!$J$6-Inputs!$I$6)))/Inputs!$K$6)^2),NA())</x:f>
        <x:v>400.3025</x:v>
      </x:c>
      <x:c r="BA89" s="9" t="n">
        <x:f>IF(OR(Inputs!$F$7=TRUE,Inputs!$F$7="TRUE",Inputs!$F$7=1),(Inputs!$H$7+Inputs!$L$7*(((Inputs!$I$7+(((A89)+1)/2)*(Inputs!$J$7-Inputs!$I$7)))/Inputs!$K$7)^2),NA())</x:f>
        <x:v>62.603125000000006</x:v>
      </x:c>
      <x:c r="BB89" s="9" t="n">
        <x:f>IF(OR(Inputs!$F$8=TRUE,Inputs!$F$8="TRUE",Inputs!$F$8=1),(Inputs!$H$8+Inputs!$L$8*(((Inputs!$I$8+(((A89)+1)/2)*(Inputs!$J$8-Inputs!$I$8)))/Inputs!$K$8)^2),NA())</x:f>
        <x:v>107.978125</x:v>
      </x:c>
      <x:c r="BC89" s="9" t="n">
        <x:f>IF(OR(Inputs!$F$9=TRUE,Inputs!$F$9="TRUE",Inputs!$F$9=1),(Inputs!$H$9+Inputs!$L$9*(((Inputs!$I$9+(((A89)+1)/2)*(Inputs!$J$9-Inputs!$I$9)))/Inputs!$K$9)^2),NA())</x:f>
        <x:v>98.73437500000001</x:v>
      </x:c>
      <x:c r="BD89" s="10" t="n"/>
      <x:c r="BE89" s="9" t="n">
        <x:f>A89</x:f>
        <x:v>-0.275</x:v>
      </x:c>
      <x:c r="BF89" s="9" t="n">
        <x:f>0</x:f>
        <x:v>0</x:v>
      </x:c>
      <x:c r="BG89" s="9"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9"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9"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9"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9" t="n">
        <x:f>ROUND(-1+88*2/240,3)</x:f>
        <x:v>-0.267</x:v>
      </x:c>
      <x:c r="B90" s="9" t="n">
        <x:f>IF(OR(Inputs!$F$6=TRUE,Inputs!$F$6="TRUE",Inputs!$F$6=1),(Inputs!$H$6+Inputs!$L$6*(((Inputs!$I$6+(((A90)+1)/2)*(Inputs!$J$6-Inputs!$I$6)))/Inputs!$K$6)^2),NA())</x:f>
        <x:v>400.285156</x:v>
      </x:c>
      <x:c r="C90" s="9" t="n">
        <x:f>IF(OR(Inputs!$F$7=TRUE,Inputs!$F$7="TRUE",Inputs!$F$7=1),(Inputs!$H$7+Inputs!$L$7*(((Inputs!$I$7+(((A90)+1)/2)*(Inputs!$J$7-Inputs!$I$7)))/Inputs!$K$7)^2),NA())</x:f>
        <x:v>61.020485</x:v>
      </x:c>
      <x:c r="D90" s="9" t="n">
        <x:f>IF(OR(Inputs!$F$8=TRUE,Inputs!$F$8="TRUE",Inputs!$F$8=1),(Inputs!$H$8+Inputs!$L$8*(((Inputs!$I$8+(((A90)+1)/2)*(Inputs!$J$8-Inputs!$I$8)))/Inputs!$K$8)^2),NA())</x:f>
        <x:v>103.793885</x:v>
      </x:c>
      <x:c r="E90" s="9" t="n">
        <x:f>IF(OR(Inputs!$F$9=TRUE,Inputs!$F$9="TRUE",Inputs!$F$9=1),(Inputs!$H$9+Inputs!$L$9*(((Inputs!$I$9+(((A90)+1)/2)*(Inputs!$J$9-Inputs!$I$9)))/Inputs!$K$9)^2),NA())</x:f>
        <x:v>94.506775</x:v>
      </x:c>
      <x:c r="F90" s="10" t="n"/>
      <x:c r="G90" s="9" t="n">
        <x:f>A90</x:f>
        <x:v>-0.267</x:v>
      </x:c>
      <x:c r="H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10" t="n"/>
      <x:c r="M90" s="9" t="n">
        <x:f>A90</x:f>
        <x:v>-0.267</x:v>
      </x:c>
      <x:c r="N90" s="9"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9"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9"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9"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10" t="n"/>
      <x:c r="S90" s="9" t="n">
        <x:f>A90</x:f>
        <x:v>-0.267</x:v>
      </x:c>
      <x:c r="T90" s="9" t="n">
        <x:f>(Inputs!$I$6+(((A90)+1)/2)*(Inputs!$J$6-Inputs!$I$6))</x:f>
        <x:v>-16.020000000000003</x:v>
      </x:c>
      <x:c r="U90" s="9" t="n">
        <x:f>(Inputs!$I$7+(((A90)+1)/2)*(Inputs!$J$7-Inputs!$I$7))</x:f>
        <x:v>-106.80000000000001</x:v>
      </x:c>
      <x:c r="V90" s="9" t="n">
        <x:f>(Inputs!$I$8+(((A90)+1)/2)*(Inputs!$J$8-Inputs!$I$8))</x:f>
        <x:v>-213.60000000000002</x:v>
      </x:c>
      <x:c r="W90" s="9" t="n">
        <x:f>(Inputs!$I$9+(((A90)+1)/2)*(Inputs!$J$9-Inputs!$I$9))</x:f>
        <x:v>-213.60000000000002</x:v>
      </x:c>
      <x:c r="X90" s="10" t="n"/>
      <x:c r="Y90" s="9" t="n">
        <x:f>A90</x:f>
        <x:v>-0.267</x:v>
      </x:c>
      <x:c r="Z90" s="9" t="n">
        <x:f>(Inputs!$H$6+Inputs!$L$6*(((Inputs!$I$6+(((A90)+1)/2)*(Inputs!$J$6-Inputs!$I$6)))/Inputs!$K$6)^2)</x:f>
        <x:v>400.285156</x:v>
      </x:c>
      <x:c r="AA90" s="9" t="n">
        <x:f>(Inputs!$H$7+Inputs!$L$7*(((Inputs!$I$7+(((A90)+1)/2)*(Inputs!$J$7-Inputs!$I$7)))/Inputs!$K$7)^2)</x:f>
        <x:v>61.020485</x:v>
      </x:c>
      <x:c r="AB90" s="9" t="n">
        <x:f>(Inputs!$H$8+Inputs!$L$8*(((Inputs!$I$8+(((A90)+1)/2)*(Inputs!$J$8-Inputs!$I$8)))/Inputs!$K$8)^2)</x:f>
        <x:v>103.793885</x:v>
      </x:c>
      <x:c r="AC90" s="9" t="n">
        <x:f>(Inputs!$H$9+Inputs!$L$9*(((Inputs!$I$9+(((A90)+1)/2)*(Inputs!$J$9-Inputs!$I$9)))/Inputs!$K$9)^2)</x:f>
        <x:v>94.506775</x:v>
      </x:c>
      <x:c r="AD90" s="10" t="n"/>
      <x:c r="AE90" s="9" t="n">
        <x:f>A90</x:f>
        <x:v>-0.267</x:v>
      </x:c>
      <x:c r="AF90" s="9"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9"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9"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9"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10" t="n"/>
      <x:c r="AK90" s="9" t="n">
        <x:f>A90</x:f>
        <x:v>-0.267</x:v>
      </x:c>
      <x:c r="AL90" s="9"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9"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9"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9"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10" t="n"/>
      <x:c r="AQ90" s="9" t="n">
        <x:f>A90</x:f>
        <x:v>-0.267</x:v>
      </x:c>
      <x:c r="AR90" s="9" t="n">
        <x:f>0</x:f>
        <x:v>0</x:v>
      </x:c>
      <x:c r="AS90" s="9"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x:f>
        <x:v>411.95834992609537</x:v>
      </x:c>
      <x:c r="AT90" s="9"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x:f>
        <x:v>170.54952463049938</x:v>
      </x:c>
      <x:c r="AU90" s="9"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x:f>
        <x:v>183.09682132314393</x:v>
      </x:c>
      <x:c r="AV90" s="9"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x:f>
        <x:v>183.09682132314393</x:v>
      </x:c>
      <x:c r="AW90" s="10" t="n"/>
      <x:c r="AX90" s="9" t="n">
        <x:f>A90</x:f>
        <x:v>-0.267</x:v>
      </x:c>
      <x:c r="AY90" s="9" t="n">
        <x:f>0</x:f>
        <x:v>0</x:v>
      </x:c>
      <x:c r="AZ90" s="9" t="n">
        <x:f>IF(OR(Inputs!$F$6=TRUE,Inputs!$F$6="TRUE",Inputs!$F$6=1),(Inputs!$H$6+Inputs!$L$6*(((Inputs!$I$6+(((A90)+1)/2)*(Inputs!$J$6-Inputs!$I$6)))/Inputs!$K$6)^2),NA())</x:f>
        <x:v>400.285156</x:v>
      </x:c>
      <x:c r="BA90" s="9" t="n">
        <x:f>IF(OR(Inputs!$F$7=TRUE,Inputs!$F$7="TRUE",Inputs!$F$7=1),(Inputs!$H$7+Inputs!$L$7*(((Inputs!$I$7+(((A90)+1)/2)*(Inputs!$J$7-Inputs!$I$7)))/Inputs!$K$7)^2),NA())</x:f>
        <x:v>61.020485</x:v>
      </x:c>
      <x:c r="BB90" s="9" t="n">
        <x:f>IF(OR(Inputs!$F$8=TRUE,Inputs!$F$8="TRUE",Inputs!$F$8=1),(Inputs!$H$8+Inputs!$L$8*(((Inputs!$I$8+(((A90)+1)/2)*(Inputs!$J$8-Inputs!$I$8)))/Inputs!$K$8)^2),NA())</x:f>
        <x:v>103.793885</x:v>
      </x:c>
      <x:c r="BC90" s="9" t="n">
        <x:f>IF(OR(Inputs!$F$9=TRUE,Inputs!$F$9="TRUE",Inputs!$F$9=1),(Inputs!$H$9+Inputs!$L$9*(((Inputs!$I$9+(((A90)+1)/2)*(Inputs!$J$9-Inputs!$I$9)))/Inputs!$K$9)^2),NA())</x:f>
        <x:v>94.506775</x:v>
      </x:c>
      <x:c r="BD90" s="10" t="n"/>
      <x:c r="BE90" s="9" t="n">
        <x:f>A90</x:f>
        <x:v>-0.267</x:v>
      </x:c>
      <x:c r="BF90" s="9" t="n">
        <x:f>0</x:f>
        <x:v>0</x:v>
      </x:c>
      <x:c r="BG90" s="9"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9"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9"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9"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9" t="n">
        <x:f>ROUND(-1+89*2/240,3)</x:f>
        <x:v>-0.258</x:v>
      </x:c>
      <x:c r="B91" s="9" t="n">
        <x:f>IF(OR(Inputs!$F$6=TRUE,Inputs!$F$6="TRUE",Inputs!$F$6=1),(Inputs!$H$6+Inputs!$L$6*(((Inputs!$I$6+(((A91)+1)/2)*(Inputs!$J$6-Inputs!$I$6)))/Inputs!$K$6)^2),NA())</x:f>
        <x:v>400.266256</x:v>
      </x:c>
      <x:c r="C91" s="9" t="n">
        <x:f>IF(OR(Inputs!$F$7=TRUE,Inputs!$F$7="TRUE",Inputs!$F$7=1),(Inputs!$H$7+Inputs!$L$7*(((Inputs!$I$7+(((A91)+1)/2)*(Inputs!$J$7-Inputs!$I$7)))/Inputs!$K$7)^2),NA())</x:f>
        <x:v>59.29585999999999</x:v>
      </x:c>
      <x:c r="D91" s="9" t="n">
        <x:f>IF(OR(Inputs!$F$8=TRUE,Inputs!$F$8="TRUE",Inputs!$F$8=1),(Inputs!$H$8+Inputs!$L$8*(((Inputs!$I$8+(((A91)+1)/2)*(Inputs!$J$8-Inputs!$I$8)))/Inputs!$K$8)^2),NA())</x:f>
        <x:v>99.23425999999998</x:v>
      </x:c>
      <x:c r="E91" s="9" t="n">
        <x:f>IF(OR(Inputs!$F$9=TRUE,Inputs!$F$9="TRUE",Inputs!$F$9=1),(Inputs!$H$9+Inputs!$L$9*(((Inputs!$I$9+(((A91)+1)/2)*(Inputs!$J$9-Inputs!$I$9)))/Inputs!$K$9)^2),NA())</x:f>
        <x:v>89.89989999999997</x:v>
      </x:c>
      <x:c r="F91" s="10" t="n"/>
      <x:c r="G91" s="9" t="n">
        <x:f>A91</x:f>
        <x:v>-0.258</x:v>
      </x:c>
      <x:c r="H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10" t="n"/>
      <x:c r="M91" s="9" t="n">
        <x:f>A91</x:f>
        <x:v>-0.258</x:v>
      </x:c>
      <x:c r="N91" s="9"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9"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9"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9"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10" t="n"/>
      <x:c r="S91" s="9" t="n">
        <x:f>A91</x:f>
        <x:v>-0.258</x:v>
      </x:c>
      <x:c r="T91" s="9" t="n">
        <x:f>(Inputs!$I$6+(((A91)+1)/2)*(Inputs!$J$6-Inputs!$I$6))</x:f>
        <x:v>-15.480000000000004</x:v>
      </x:c>
      <x:c r="U91" s="9" t="n">
        <x:f>(Inputs!$I$7+(((A91)+1)/2)*(Inputs!$J$7-Inputs!$I$7))</x:f>
        <x:v>-103.19999999999999</x:v>
      </x:c>
      <x:c r="V91" s="9" t="n">
        <x:f>(Inputs!$I$8+(((A91)+1)/2)*(Inputs!$J$8-Inputs!$I$8))</x:f>
        <x:v>-206.39999999999998</x:v>
      </x:c>
      <x:c r="W91" s="9" t="n">
        <x:f>(Inputs!$I$9+(((A91)+1)/2)*(Inputs!$J$9-Inputs!$I$9))</x:f>
        <x:v>-206.39999999999998</x:v>
      </x:c>
      <x:c r="X91" s="10" t="n"/>
      <x:c r="Y91" s="9" t="n">
        <x:f>A91</x:f>
        <x:v>-0.258</x:v>
      </x:c>
      <x:c r="Z91" s="9" t="n">
        <x:f>(Inputs!$H$6+Inputs!$L$6*(((Inputs!$I$6+(((A91)+1)/2)*(Inputs!$J$6-Inputs!$I$6)))/Inputs!$K$6)^2)</x:f>
        <x:v>400.266256</x:v>
      </x:c>
      <x:c r="AA91" s="9" t="n">
        <x:f>(Inputs!$H$7+Inputs!$L$7*(((Inputs!$I$7+(((A91)+1)/2)*(Inputs!$J$7-Inputs!$I$7)))/Inputs!$K$7)^2)</x:f>
        <x:v>59.29585999999999</x:v>
      </x:c>
      <x:c r="AB91" s="9" t="n">
        <x:f>(Inputs!$H$8+Inputs!$L$8*(((Inputs!$I$8+(((A91)+1)/2)*(Inputs!$J$8-Inputs!$I$8)))/Inputs!$K$8)^2)</x:f>
        <x:v>99.23425999999998</x:v>
      </x:c>
      <x:c r="AC91" s="9" t="n">
        <x:f>(Inputs!$H$9+Inputs!$L$9*(((Inputs!$I$9+(((A91)+1)/2)*(Inputs!$J$9-Inputs!$I$9)))/Inputs!$K$9)^2)</x:f>
        <x:v>89.89989999999997</x:v>
      </x:c>
      <x:c r="AD91" s="10" t="n"/>
      <x:c r="AE91" s="9" t="n">
        <x:f>A91</x:f>
        <x:v>-0.258</x:v>
      </x:c>
      <x:c r="AF91" s="9"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9"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9"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9"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10" t="n"/>
      <x:c r="AK91" s="9" t="n">
        <x:f>A91</x:f>
        <x:v>-0.258</x:v>
      </x:c>
      <x:c r="AL91" s="9"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9"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9"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9"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10" t="n"/>
      <x:c r="AQ91" s="9" t="n">
        <x:f>A91</x:f>
        <x:v>-0.258</x:v>
      </x:c>
      <x:c r="AR91" s="9" t="n">
        <x:f>0</x:f>
        <x:v>0</x:v>
      </x:c>
      <x:c r="AS91" s="9"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x:f>
        <x:v>398.02576729991495</x:v>
      </x:c>
      <x:c r="AT91" s="9"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x:f>
        <x:v>184.56314417059855</x:v>
      </x:c>
      <x:c r="AU91" s="9"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x:f>
        <x:v>121.8970743858531</x:v>
      </x:c>
      <x:c r="AV91" s="9"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x:f>
        <x:v>121.8970743858531</x:v>
      </x:c>
      <x:c r="AW91" s="10" t="n"/>
      <x:c r="AX91" s="9" t="n">
        <x:f>A91</x:f>
        <x:v>-0.258</x:v>
      </x:c>
      <x:c r="AY91" s="9" t="n">
        <x:f>0</x:f>
        <x:v>0</x:v>
      </x:c>
      <x:c r="AZ91" s="9" t="n">
        <x:f>IF(OR(Inputs!$F$6=TRUE,Inputs!$F$6="TRUE",Inputs!$F$6=1),(Inputs!$H$6+Inputs!$L$6*(((Inputs!$I$6+(((A91)+1)/2)*(Inputs!$J$6-Inputs!$I$6)))/Inputs!$K$6)^2),NA())</x:f>
        <x:v>400.266256</x:v>
      </x:c>
      <x:c r="BA91" s="9" t="n">
        <x:f>IF(OR(Inputs!$F$7=TRUE,Inputs!$F$7="TRUE",Inputs!$F$7=1),(Inputs!$H$7+Inputs!$L$7*(((Inputs!$I$7+(((A91)+1)/2)*(Inputs!$J$7-Inputs!$I$7)))/Inputs!$K$7)^2),NA())</x:f>
        <x:v>59.29585999999999</x:v>
      </x:c>
      <x:c r="BB91" s="9" t="n">
        <x:f>IF(OR(Inputs!$F$8=TRUE,Inputs!$F$8="TRUE",Inputs!$F$8=1),(Inputs!$H$8+Inputs!$L$8*(((Inputs!$I$8+(((A91)+1)/2)*(Inputs!$J$8-Inputs!$I$8)))/Inputs!$K$8)^2),NA())</x:f>
        <x:v>99.23425999999998</x:v>
      </x:c>
      <x:c r="BC91" s="9" t="n">
        <x:f>IF(OR(Inputs!$F$9=TRUE,Inputs!$F$9="TRUE",Inputs!$F$9=1),(Inputs!$H$9+Inputs!$L$9*(((Inputs!$I$9+(((A91)+1)/2)*(Inputs!$J$9-Inputs!$I$9)))/Inputs!$K$9)^2),NA())</x:f>
        <x:v>89.89989999999997</x:v>
      </x:c>
      <x:c r="BD91" s="10" t="n"/>
      <x:c r="BE91" s="9" t="n">
        <x:f>A91</x:f>
        <x:v>-0.258</x:v>
      </x:c>
      <x:c r="BF91" s="9" t="n">
        <x:f>0</x:f>
        <x:v>0</x:v>
      </x:c>
      <x:c r="BG91" s="9"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9"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9"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9"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9" t="n">
        <x:f>ROUND(-1+90*2/240,3)</x:f>
        <x:v>-0.25</x:v>
      </x:c>
      <x:c r="B92" s="9" t="n">
        <x:f>IF(OR(Inputs!$F$6=TRUE,Inputs!$F$6="TRUE",Inputs!$F$6=1),(Inputs!$H$6+Inputs!$L$6*(((Inputs!$I$6+(((A92)+1)/2)*(Inputs!$J$6-Inputs!$I$6)))/Inputs!$K$6)^2),NA())</x:f>
        <x:v>400.25</x:v>
      </x:c>
      <x:c r="C92" s="9" t="n">
        <x:f>IF(OR(Inputs!$F$7=TRUE,Inputs!$F$7="TRUE",Inputs!$F$7=1),(Inputs!$H$7+Inputs!$L$7*(((Inputs!$I$7+(((A92)+1)/2)*(Inputs!$J$7-Inputs!$I$7)))/Inputs!$K$7)^2),NA())</x:f>
        <x:v>57.8125</x:v>
      </x:c>
      <x:c r="D92" s="9" t="n">
        <x:f>IF(OR(Inputs!$F$8=TRUE,Inputs!$F$8="TRUE",Inputs!$F$8=1),(Inputs!$H$8+Inputs!$L$8*(((Inputs!$I$8+(((A92)+1)/2)*(Inputs!$J$8-Inputs!$I$8)))/Inputs!$K$8)^2),NA())</x:f>
        <x:v>95.3125</x:v>
      </x:c>
      <x:c r="E92" s="9" t="n">
        <x:f>IF(OR(Inputs!$F$9=TRUE,Inputs!$F$9="TRUE",Inputs!$F$9=1),(Inputs!$H$9+Inputs!$L$9*(((Inputs!$I$9+(((A92)+1)/2)*(Inputs!$J$9-Inputs!$I$9)))/Inputs!$K$9)^2),NA())</x:f>
        <x:v>85.9375</x:v>
      </x:c>
      <x:c r="F92" s="10" t="n"/>
      <x:c r="G92" s="9" t="n">
        <x:f>A92</x:f>
        <x:v>-0.25</x:v>
      </x:c>
      <x:c r="H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10" t="n"/>
      <x:c r="M92" s="9" t="n">
        <x:f>A92</x:f>
        <x:v>-0.25</x:v>
      </x:c>
      <x:c r="N92" s="9"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9"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9"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9"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10" t="n"/>
      <x:c r="S92" s="9" t="n">
        <x:f>A92</x:f>
        <x:v>-0.25</x:v>
      </x:c>
      <x:c r="T92" s="9" t="n">
        <x:f>(Inputs!$I$6+(((A92)+1)/2)*(Inputs!$J$6-Inputs!$I$6))</x:f>
        <x:v>-15</x:v>
      </x:c>
      <x:c r="U92" s="9" t="n">
        <x:f>(Inputs!$I$7+(((A92)+1)/2)*(Inputs!$J$7-Inputs!$I$7))</x:f>
        <x:v>-100</x:v>
      </x:c>
      <x:c r="V92" s="9" t="n">
        <x:f>(Inputs!$I$8+(((A92)+1)/2)*(Inputs!$J$8-Inputs!$I$8))</x:f>
        <x:v>-200</x:v>
      </x:c>
      <x:c r="W92" s="9" t="n">
        <x:f>(Inputs!$I$9+(((A92)+1)/2)*(Inputs!$J$9-Inputs!$I$9))</x:f>
        <x:v>-200</x:v>
      </x:c>
      <x:c r="X92" s="10" t="n"/>
      <x:c r="Y92" s="9" t="n">
        <x:f>A92</x:f>
        <x:v>-0.25</x:v>
      </x:c>
      <x:c r="Z92" s="9" t="n">
        <x:f>(Inputs!$H$6+Inputs!$L$6*(((Inputs!$I$6+(((A92)+1)/2)*(Inputs!$J$6-Inputs!$I$6)))/Inputs!$K$6)^2)</x:f>
        <x:v>400.25</x:v>
      </x:c>
      <x:c r="AA92" s="9" t="n">
        <x:f>(Inputs!$H$7+Inputs!$L$7*(((Inputs!$I$7+(((A92)+1)/2)*(Inputs!$J$7-Inputs!$I$7)))/Inputs!$K$7)^2)</x:f>
        <x:v>57.8125</x:v>
      </x:c>
      <x:c r="AB92" s="9" t="n">
        <x:f>(Inputs!$H$8+Inputs!$L$8*(((Inputs!$I$8+(((A92)+1)/2)*(Inputs!$J$8-Inputs!$I$8)))/Inputs!$K$8)^2)</x:f>
        <x:v>95.3125</x:v>
      </x:c>
      <x:c r="AC92" s="9" t="n">
        <x:f>(Inputs!$H$9+Inputs!$L$9*(((Inputs!$I$9+(((A92)+1)/2)*(Inputs!$J$9-Inputs!$I$9)))/Inputs!$K$9)^2)</x:f>
        <x:v>85.9375</x:v>
      </x:c>
      <x:c r="AD92" s="10" t="n"/>
      <x:c r="AE92" s="9" t="n">
        <x:f>A92</x:f>
        <x:v>-0.25</x:v>
      </x:c>
      <x:c r="AF92" s="9"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9"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9"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9"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10" t="n"/>
      <x:c r="AK92" s="9" t="n">
        <x:f>A92</x:f>
        <x:v>-0.25</x:v>
      </x:c>
      <x:c r="AL92" s="9"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9"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9"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9"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10" t="n"/>
      <x:c r="AQ92" s="9" t="n">
        <x:f>A92</x:f>
        <x:v>-0.25</x:v>
      </x:c>
      <x:c r="AR92" s="9" t="n">
        <x:f>0</x:f>
        <x:v>0</x:v>
      </x:c>
      <x:c r="AS92" s="9"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x:f>
        <x:v>416.63024006091615</x:v>
      </x:c>
      <x:c r="AT92" s="9"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x:f>
        <x:v>150.02974859207296</x:v>
      </x:c>
      <x:c r="AU92" s="9"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x:f>
        <x:v>148.2272687423736</x:v>
      </x:c>
      <x:c r="AV92" s="9"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x:f>
        <x:v>148.2272687423736</x:v>
      </x:c>
      <x:c r="AW92" s="10" t="n"/>
      <x:c r="AX92" s="9" t="n">
        <x:f>A92</x:f>
        <x:v>-0.25</x:v>
      </x:c>
      <x:c r="AY92" s="9" t="n">
        <x:f>0</x:f>
        <x:v>0</x:v>
      </x:c>
      <x:c r="AZ92" s="9" t="n">
        <x:f>IF(OR(Inputs!$F$6=TRUE,Inputs!$F$6="TRUE",Inputs!$F$6=1),(Inputs!$H$6+Inputs!$L$6*(((Inputs!$I$6+(((A92)+1)/2)*(Inputs!$J$6-Inputs!$I$6)))/Inputs!$K$6)^2),NA())</x:f>
        <x:v>400.25</x:v>
      </x:c>
      <x:c r="BA92" s="9" t="n">
        <x:f>IF(OR(Inputs!$F$7=TRUE,Inputs!$F$7="TRUE",Inputs!$F$7=1),(Inputs!$H$7+Inputs!$L$7*(((Inputs!$I$7+(((A92)+1)/2)*(Inputs!$J$7-Inputs!$I$7)))/Inputs!$K$7)^2),NA())</x:f>
        <x:v>57.8125</x:v>
      </x:c>
      <x:c r="BB92" s="9" t="n">
        <x:f>IF(OR(Inputs!$F$8=TRUE,Inputs!$F$8="TRUE",Inputs!$F$8=1),(Inputs!$H$8+Inputs!$L$8*(((Inputs!$I$8+(((A92)+1)/2)*(Inputs!$J$8-Inputs!$I$8)))/Inputs!$K$8)^2),NA())</x:f>
        <x:v>95.3125</x:v>
      </x:c>
      <x:c r="BC92" s="9" t="n">
        <x:f>IF(OR(Inputs!$F$9=TRUE,Inputs!$F$9="TRUE",Inputs!$F$9=1),(Inputs!$H$9+Inputs!$L$9*(((Inputs!$I$9+(((A92)+1)/2)*(Inputs!$J$9-Inputs!$I$9)))/Inputs!$K$9)^2),NA())</x:f>
        <x:v>85.9375</x:v>
      </x:c>
      <x:c r="BD92" s="10" t="n"/>
      <x:c r="BE92" s="9" t="n">
        <x:f>A92</x:f>
        <x:v>-0.25</x:v>
      </x:c>
      <x:c r="BF92" s="9" t="n">
        <x:f>0</x:f>
        <x:v>0</x:v>
      </x:c>
      <x:c r="BG92" s="9"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9"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9"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9"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9" t="n">
        <x:f>ROUND(-1+91*2/240,3)</x:f>
        <x:v>-0.242</x:v>
      </x:c>
      <x:c r="B93" s="9" t="n">
        <x:f>IF(OR(Inputs!$F$6=TRUE,Inputs!$F$6="TRUE",Inputs!$F$6=1),(Inputs!$H$6+Inputs!$L$6*(((Inputs!$I$6+(((A93)+1)/2)*(Inputs!$J$6-Inputs!$I$6)))/Inputs!$K$6)^2),NA())</x:f>
        <x:v>400.234256</x:v>
      </x:c>
      <x:c r="C93" s="9" t="n">
        <x:f>IF(OR(Inputs!$F$7=TRUE,Inputs!$F$7="TRUE",Inputs!$F$7=1),(Inputs!$H$7+Inputs!$L$7*(((Inputs!$I$7+(((A93)+1)/2)*(Inputs!$J$7-Inputs!$I$7)))/Inputs!$K$7)^2),NA())</x:f>
        <x:v>56.37586</x:v>
      </x:c>
      <x:c r="D93" s="9" t="n">
        <x:f>IF(OR(Inputs!$F$8=TRUE,Inputs!$F$8="TRUE",Inputs!$F$8=1),(Inputs!$H$8+Inputs!$L$8*(((Inputs!$I$8+(((A93)+1)/2)*(Inputs!$J$8-Inputs!$I$8)))/Inputs!$K$8)^2),NA())</x:f>
        <x:v>91.51426000000001</x:v>
      </x:c>
      <x:c r="E93" s="9" t="n">
        <x:f>IF(OR(Inputs!$F$9=TRUE,Inputs!$F$9="TRUE",Inputs!$F$9=1),(Inputs!$H$9+Inputs!$L$9*(((Inputs!$I$9+(((A93)+1)/2)*(Inputs!$J$9-Inputs!$I$9)))/Inputs!$K$9)^2),NA())</x:f>
        <x:v>82.09990000000002</x:v>
      </x:c>
      <x:c r="F93" s="10" t="n"/>
      <x:c r="G93" s="9" t="n">
        <x:f>A93</x:f>
        <x:v>-0.242</x:v>
      </x:c>
      <x:c r="H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10" t="n"/>
      <x:c r="M93" s="9" t="n">
        <x:f>A93</x:f>
        <x:v>-0.242</x:v>
      </x:c>
      <x:c r="N93" s="9"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9"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9"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9"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10" t="n"/>
      <x:c r="S93" s="9" t="n">
        <x:f>A93</x:f>
        <x:v>-0.242</x:v>
      </x:c>
      <x:c r="T93" s="9" t="n">
        <x:f>(Inputs!$I$6+(((A93)+1)/2)*(Inputs!$J$6-Inputs!$I$6))</x:f>
        <x:v>-14.519999999999996</x:v>
      </x:c>
      <x:c r="U93" s="9" t="n">
        <x:f>(Inputs!$I$7+(((A93)+1)/2)*(Inputs!$J$7-Inputs!$I$7))</x:f>
        <x:v>-96.80000000000001</x:v>
      </x:c>
      <x:c r="V93" s="9" t="n">
        <x:f>(Inputs!$I$8+(((A93)+1)/2)*(Inputs!$J$8-Inputs!$I$8))</x:f>
        <x:v>-193.60000000000002</x:v>
      </x:c>
      <x:c r="W93" s="9" t="n">
        <x:f>(Inputs!$I$9+(((A93)+1)/2)*(Inputs!$J$9-Inputs!$I$9))</x:f>
        <x:v>-193.60000000000002</x:v>
      </x:c>
      <x:c r="X93" s="10" t="n"/>
      <x:c r="Y93" s="9" t="n">
        <x:f>A93</x:f>
        <x:v>-0.242</x:v>
      </x:c>
      <x:c r="Z93" s="9" t="n">
        <x:f>(Inputs!$H$6+Inputs!$L$6*(((Inputs!$I$6+(((A93)+1)/2)*(Inputs!$J$6-Inputs!$I$6)))/Inputs!$K$6)^2)</x:f>
        <x:v>400.234256</x:v>
      </x:c>
      <x:c r="AA93" s="9" t="n">
        <x:f>(Inputs!$H$7+Inputs!$L$7*(((Inputs!$I$7+(((A93)+1)/2)*(Inputs!$J$7-Inputs!$I$7)))/Inputs!$K$7)^2)</x:f>
        <x:v>56.37586</x:v>
      </x:c>
      <x:c r="AB93" s="9" t="n">
        <x:f>(Inputs!$H$8+Inputs!$L$8*(((Inputs!$I$8+(((A93)+1)/2)*(Inputs!$J$8-Inputs!$I$8)))/Inputs!$K$8)^2)</x:f>
        <x:v>91.51426000000001</x:v>
      </x:c>
      <x:c r="AC93" s="9" t="n">
        <x:f>(Inputs!$H$9+Inputs!$L$9*(((Inputs!$I$9+(((A93)+1)/2)*(Inputs!$J$9-Inputs!$I$9)))/Inputs!$K$9)^2)</x:f>
        <x:v>82.09990000000002</x:v>
      </x:c>
      <x:c r="AD93" s="10" t="n"/>
      <x:c r="AE93" s="9" t="n">
        <x:f>A93</x:f>
        <x:v>-0.242</x:v>
      </x:c>
      <x:c r="AF93" s="9"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9"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9"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9"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10" t="n"/>
      <x:c r="AK93" s="9" t="n">
        <x:f>A93</x:f>
        <x:v>-0.242</x:v>
      </x:c>
      <x:c r="AL93" s="9"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9"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9"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9"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10" t="n"/>
      <x:c r="AQ93" s="9" t="n">
        <x:f>A93</x:f>
        <x:v>-0.242</x:v>
      </x:c>
      <x:c r="AR93" s="9" t="n">
        <x:f>0</x:f>
        <x:v>0</x:v>
      </x:c>
      <x:c r="AS93" s="9"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x:f>
        <x:v>411.80681282193876</x:v>
      </x:c>
      <x:c r="AT93" s="9"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x:f>
        <x:v>80.77763409112393</x:v>
      </x:c>
      <x:c r="AU93" s="9"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x:f>
        <x:v>177.31758154206727</x:v>
      </x:c>
      <x:c r="AV93" s="9"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x:f>
        <x:v>177.31758154206727</x:v>
      </x:c>
      <x:c r="AW93" s="10" t="n"/>
      <x:c r="AX93" s="9" t="n">
        <x:f>A93</x:f>
        <x:v>-0.242</x:v>
      </x:c>
      <x:c r="AY93" s="9" t="n">
        <x:f>0</x:f>
        <x:v>0</x:v>
      </x:c>
      <x:c r="AZ93" s="9" t="n">
        <x:f>IF(OR(Inputs!$F$6=TRUE,Inputs!$F$6="TRUE",Inputs!$F$6=1),(Inputs!$H$6+Inputs!$L$6*(((Inputs!$I$6+(((A93)+1)/2)*(Inputs!$J$6-Inputs!$I$6)))/Inputs!$K$6)^2),NA())</x:f>
        <x:v>400.234256</x:v>
      </x:c>
      <x:c r="BA93" s="9" t="n">
        <x:f>IF(OR(Inputs!$F$7=TRUE,Inputs!$F$7="TRUE",Inputs!$F$7=1),(Inputs!$H$7+Inputs!$L$7*(((Inputs!$I$7+(((A93)+1)/2)*(Inputs!$J$7-Inputs!$I$7)))/Inputs!$K$7)^2),NA())</x:f>
        <x:v>56.37586</x:v>
      </x:c>
      <x:c r="BB93" s="9" t="n">
        <x:f>IF(OR(Inputs!$F$8=TRUE,Inputs!$F$8="TRUE",Inputs!$F$8=1),(Inputs!$H$8+Inputs!$L$8*(((Inputs!$I$8+(((A93)+1)/2)*(Inputs!$J$8-Inputs!$I$8)))/Inputs!$K$8)^2),NA())</x:f>
        <x:v>91.51426000000001</x:v>
      </x:c>
      <x:c r="BC93" s="9" t="n">
        <x:f>IF(OR(Inputs!$F$9=TRUE,Inputs!$F$9="TRUE",Inputs!$F$9=1),(Inputs!$H$9+Inputs!$L$9*(((Inputs!$I$9+(((A93)+1)/2)*(Inputs!$J$9-Inputs!$I$9)))/Inputs!$K$9)^2),NA())</x:f>
        <x:v>82.09990000000002</x:v>
      </x:c>
      <x:c r="BD93" s="10" t="n"/>
      <x:c r="BE93" s="9" t="n">
        <x:f>A93</x:f>
        <x:v>-0.242</x:v>
      </x:c>
      <x:c r="BF93" s="9" t="n">
        <x:f>0</x:f>
        <x:v>0</x:v>
      </x:c>
      <x:c r="BG93" s="9"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9"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9"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9"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9" t="n">
        <x:f>ROUND(-1+92*2/240,3)</x:f>
        <x:v>-0.233</x:v>
      </x:c>
      <x:c r="B94" s="9" t="n">
        <x:f>IF(OR(Inputs!$F$6=TRUE,Inputs!$F$6="TRUE",Inputs!$F$6=1),(Inputs!$H$6+Inputs!$L$6*(((Inputs!$I$6+(((A94)+1)/2)*(Inputs!$J$6-Inputs!$I$6)))/Inputs!$K$6)^2),NA())</x:f>
        <x:v>400.217156</x:v>
      </x:c>
      <x:c r="C94" s="9" t="n">
        <x:f>IF(OR(Inputs!$F$7=TRUE,Inputs!$F$7="TRUE",Inputs!$F$7=1),(Inputs!$H$7+Inputs!$L$7*(((Inputs!$I$7+(((A94)+1)/2)*(Inputs!$J$7-Inputs!$I$7)))/Inputs!$K$7)^2),NA())</x:f>
        <x:v>54.815484999999995</x:v>
      </x:c>
      <x:c r="D94" s="9" t="n">
        <x:f>IF(OR(Inputs!$F$8=TRUE,Inputs!$F$8="TRUE",Inputs!$F$8=1),(Inputs!$H$8+Inputs!$L$8*(((Inputs!$I$8+(((A94)+1)/2)*(Inputs!$J$8-Inputs!$I$8)))/Inputs!$K$8)^2),NA())</x:f>
        <x:v>87.38888499999999</x:v>
      </x:c>
      <x:c r="E94" s="9" t="n">
        <x:f>IF(OR(Inputs!$F$9=TRUE,Inputs!$F$9="TRUE",Inputs!$F$9=1),(Inputs!$H$9+Inputs!$L$9*(((Inputs!$I$9+(((A94)+1)/2)*(Inputs!$J$9-Inputs!$I$9)))/Inputs!$K$9)^2),NA())</x:f>
        <x:v>77.93177499999999</x:v>
      </x:c>
      <x:c r="F94" s="10" t="n"/>
      <x:c r="G94" s="9" t="n">
        <x:f>A94</x:f>
        <x:v>-0.233</x:v>
      </x:c>
      <x:c r="H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10" t="n"/>
      <x:c r="M94" s="9" t="n">
        <x:f>A94</x:f>
        <x:v>-0.233</x:v>
      </x:c>
      <x:c r="N94" s="9"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9"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9"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9"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10" t="n"/>
      <x:c r="S94" s="9" t="n">
        <x:f>A94</x:f>
        <x:v>-0.233</x:v>
      </x:c>
      <x:c r="T94" s="9" t="n">
        <x:f>(Inputs!$I$6+(((A94)+1)/2)*(Inputs!$J$6-Inputs!$I$6))</x:f>
        <x:v>-13.979999999999997</x:v>
      </x:c>
      <x:c r="U94" s="9" t="n">
        <x:f>(Inputs!$I$7+(((A94)+1)/2)*(Inputs!$J$7-Inputs!$I$7))</x:f>
        <x:v>-93.19999999999999</x:v>
      </x:c>
      <x:c r="V94" s="9" t="n">
        <x:f>(Inputs!$I$8+(((A94)+1)/2)*(Inputs!$J$8-Inputs!$I$8))</x:f>
        <x:v>-186.39999999999998</x:v>
      </x:c>
      <x:c r="W94" s="9" t="n">
        <x:f>(Inputs!$I$9+(((A94)+1)/2)*(Inputs!$J$9-Inputs!$I$9))</x:f>
        <x:v>-186.39999999999998</x:v>
      </x:c>
      <x:c r="X94" s="10" t="n"/>
      <x:c r="Y94" s="9" t="n">
        <x:f>A94</x:f>
        <x:v>-0.233</x:v>
      </x:c>
      <x:c r="Z94" s="9" t="n">
        <x:f>(Inputs!$H$6+Inputs!$L$6*(((Inputs!$I$6+(((A94)+1)/2)*(Inputs!$J$6-Inputs!$I$6)))/Inputs!$K$6)^2)</x:f>
        <x:v>400.217156</x:v>
      </x:c>
      <x:c r="AA94" s="9" t="n">
        <x:f>(Inputs!$H$7+Inputs!$L$7*(((Inputs!$I$7+(((A94)+1)/2)*(Inputs!$J$7-Inputs!$I$7)))/Inputs!$K$7)^2)</x:f>
        <x:v>54.815484999999995</x:v>
      </x:c>
      <x:c r="AB94" s="9" t="n">
        <x:f>(Inputs!$H$8+Inputs!$L$8*(((Inputs!$I$8+(((A94)+1)/2)*(Inputs!$J$8-Inputs!$I$8)))/Inputs!$K$8)^2)</x:f>
        <x:v>87.38888499999999</x:v>
      </x:c>
      <x:c r="AC94" s="9" t="n">
        <x:f>(Inputs!$H$9+Inputs!$L$9*(((Inputs!$I$9+(((A94)+1)/2)*(Inputs!$J$9-Inputs!$I$9)))/Inputs!$K$9)^2)</x:f>
        <x:v>77.93177499999999</x:v>
      </x:c>
      <x:c r="AD94" s="10" t="n"/>
      <x:c r="AE94" s="9" t="n">
        <x:f>A94</x:f>
        <x:v>-0.233</x:v>
      </x:c>
      <x:c r="AF94" s="9"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9"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9"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9"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10" t="n"/>
      <x:c r="AK94" s="9" t="n">
        <x:f>A94</x:f>
        <x:v>-0.233</x:v>
      </x:c>
      <x:c r="AL94" s="9"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9"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9"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9"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10" t="n"/>
      <x:c r="AQ94" s="9" t="n">
        <x:f>A94</x:f>
        <x:v>-0.233</x:v>
      </x:c>
      <x:c r="AR94" s="9" t="n">
        <x:f>0</x:f>
        <x:v>0</x:v>
      </x:c>
      <x:c r="AS94" s="9"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x:f>
        <x:v>419.99717181292027</x:v>
      </x:c>
      <x:c r="AT94" s="9"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x:f>
        <x:v>102.00835262265619</x:v>
      </x:c>
      <x:c r="AU94" s="9"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x:f>
        <x:v>139.93519543295716</x:v>
      </x:c>
      <x:c r="AV94" s="9"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x:f>
        <x:v>139.93519543295716</x:v>
      </x:c>
      <x:c r="AW94" s="10" t="n"/>
      <x:c r="AX94" s="9" t="n">
        <x:f>A94</x:f>
        <x:v>-0.233</x:v>
      </x:c>
      <x:c r="AY94" s="9" t="n">
        <x:f>0</x:f>
        <x:v>0</x:v>
      </x:c>
      <x:c r="AZ94" s="9" t="n">
        <x:f>IF(OR(Inputs!$F$6=TRUE,Inputs!$F$6="TRUE",Inputs!$F$6=1),(Inputs!$H$6+Inputs!$L$6*(((Inputs!$I$6+(((A94)+1)/2)*(Inputs!$J$6-Inputs!$I$6)))/Inputs!$K$6)^2),NA())</x:f>
        <x:v>400.217156</x:v>
      </x:c>
      <x:c r="BA94" s="9" t="n">
        <x:f>IF(OR(Inputs!$F$7=TRUE,Inputs!$F$7="TRUE",Inputs!$F$7=1),(Inputs!$H$7+Inputs!$L$7*(((Inputs!$I$7+(((A94)+1)/2)*(Inputs!$J$7-Inputs!$I$7)))/Inputs!$K$7)^2),NA())</x:f>
        <x:v>54.815484999999995</x:v>
      </x:c>
      <x:c r="BB94" s="9" t="n">
        <x:f>IF(OR(Inputs!$F$8=TRUE,Inputs!$F$8="TRUE",Inputs!$F$8=1),(Inputs!$H$8+Inputs!$L$8*(((Inputs!$I$8+(((A94)+1)/2)*(Inputs!$J$8-Inputs!$I$8)))/Inputs!$K$8)^2),NA())</x:f>
        <x:v>87.38888499999999</x:v>
      </x:c>
      <x:c r="BC94" s="9" t="n">
        <x:f>IF(OR(Inputs!$F$9=TRUE,Inputs!$F$9="TRUE",Inputs!$F$9=1),(Inputs!$H$9+Inputs!$L$9*(((Inputs!$I$9+(((A94)+1)/2)*(Inputs!$J$9-Inputs!$I$9)))/Inputs!$K$9)^2),NA())</x:f>
        <x:v>77.93177499999999</x:v>
      </x:c>
      <x:c r="BD94" s="10" t="n"/>
      <x:c r="BE94" s="9" t="n">
        <x:f>A94</x:f>
        <x:v>-0.233</x:v>
      </x:c>
      <x:c r="BF94" s="9" t="n">
        <x:f>0</x:f>
        <x:v>0</x:v>
      </x:c>
      <x:c r="BG94" s="9"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9"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9"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9"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9" t="n">
        <x:f>ROUND(-1+93*2/240,3)</x:f>
        <x:v>-0.225</x:v>
      </x:c>
      <x:c r="B95" s="9" t="n">
        <x:f>IF(OR(Inputs!$F$6=TRUE,Inputs!$F$6="TRUE",Inputs!$F$6=1),(Inputs!$H$6+Inputs!$L$6*(((Inputs!$I$6+(((A95)+1)/2)*(Inputs!$J$6-Inputs!$I$6)))/Inputs!$K$6)^2),NA())</x:f>
        <x:v>400.2025</x:v>
      </x:c>
      <x:c r="C95" s="9" t="n">
        <x:f>IF(OR(Inputs!$F$7=TRUE,Inputs!$F$7="TRUE",Inputs!$F$7=1),(Inputs!$H$7+Inputs!$L$7*(((Inputs!$I$7+(((A95)+1)/2)*(Inputs!$J$7-Inputs!$I$7)))/Inputs!$K$7)^2),NA())</x:f>
        <x:v>53.478125000000006</x:v>
      </x:c>
      <x:c r="D95" s="9" t="n">
        <x:f>IF(OR(Inputs!$F$8=TRUE,Inputs!$F$8="TRUE",Inputs!$F$8=1),(Inputs!$H$8+Inputs!$L$8*(((Inputs!$I$8+(((A95)+1)/2)*(Inputs!$J$8-Inputs!$I$8)))/Inputs!$K$8)^2),NA())</x:f>
        <x:v>83.853125</x:v>
      </x:c>
      <x:c r="E95" s="9" t="n">
        <x:f>IF(OR(Inputs!$F$9=TRUE,Inputs!$F$9="TRUE",Inputs!$F$9=1),(Inputs!$H$9+Inputs!$L$9*(((Inputs!$I$9+(((A95)+1)/2)*(Inputs!$J$9-Inputs!$I$9)))/Inputs!$K$9)^2),NA())</x:f>
        <x:v>74.359375</x:v>
      </x:c>
      <x:c r="F95" s="10" t="n"/>
      <x:c r="G95" s="9" t="n">
        <x:f>A95</x:f>
        <x:v>-0.225</x:v>
      </x:c>
      <x:c r="H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10" t="n"/>
      <x:c r="M95" s="9" t="n">
        <x:f>A95</x:f>
        <x:v>-0.225</x:v>
      </x:c>
      <x:c r="N95" s="9"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9"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9"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9"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10" t="n"/>
      <x:c r="S95" s="9" t="n">
        <x:f>A95</x:f>
        <x:v>-0.225</x:v>
      </x:c>
      <x:c r="T95" s="9" t="n">
        <x:f>(Inputs!$I$6+(((A95)+1)/2)*(Inputs!$J$6-Inputs!$I$6))</x:f>
        <x:v>-13.5</x:v>
      </x:c>
      <x:c r="U95" s="9" t="n">
        <x:f>(Inputs!$I$7+(((A95)+1)/2)*(Inputs!$J$7-Inputs!$I$7))</x:f>
        <x:v>-90</x:v>
      </x:c>
      <x:c r="V95" s="9" t="n">
        <x:f>(Inputs!$I$8+(((A95)+1)/2)*(Inputs!$J$8-Inputs!$I$8))</x:f>
        <x:v>-180</x:v>
      </x:c>
      <x:c r="W95" s="9" t="n">
        <x:f>(Inputs!$I$9+(((A95)+1)/2)*(Inputs!$J$9-Inputs!$I$9))</x:f>
        <x:v>-180</x:v>
      </x:c>
      <x:c r="X95" s="10" t="n"/>
      <x:c r="Y95" s="9" t="n">
        <x:f>A95</x:f>
        <x:v>-0.225</x:v>
      </x:c>
      <x:c r="Z95" s="9" t="n">
        <x:f>(Inputs!$H$6+Inputs!$L$6*(((Inputs!$I$6+(((A95)+1)/2)*(Inputs!$J$6-Inputs!$I$6)))/Inputs!$K$6)^2)</x:f>
        <x:v>400.2025</x:v>
      </x:c>
      <x:c r="AA95" s="9" t="n">
        <x:f>(Inputs!$H$7+Inputs!$L$7*(((Inputs!$I$7+(((A95)+1)/2)*(Inputs!$J$7-Inputs!$I$7)))/Inputs!$K$7)^2)</x:f>
        <x:v>53.478125000000006</x:v>
      </x:c>
      <x:c r="AB95" s="9" t="n">
        <x:f>(Inputs!$H$8+Inputs!$L$8*(((Inputs!$I$8+(((A95)+1)/2)*(Inputs!$J$8-Inputs!$I$8)))/Inputs!$K$8)^2)</x:f>
        <x:v>83.853125</x:v>
      </x:c>
      <x:c r="AC95" s="9" t="n">
        <x:f>(Inputs!$H$9+Inputs!$L$9*(((Inputs!$I$9+(((A95)+1)/2)*(Inputs!$J$9-Inputs!$I$9)))/Inputs!$K$9)^2)</x:f>
        <x:v>74.359375</x:v>
      </x:c>
      <x:c r="AD95" s="10" t="n"/>
      <x:c r="AE95" s="9" t="n">
        <x:f>A95</x:f>
        <x:v>-0.225</x:v>
      </x:c>
      <x:c r="AF95" s="9"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9"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9"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9"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10" t="n"/>
      <x:c r="AK95" s="9" t="n">
        <x:f>A95</x:f>
        <x:v>-0.225</x:v>
      </x:c>
      <x:c r="AL95" s="9"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9"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9"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9"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10" t="n"/>
      <x:c r="AQ95" s="9" t="n">
        <x:f>A95</x:f>
        <x:v>-0.225</x:v>
      </x:c>
      <x:c r="AR95" s="9" t="n">
        <x:f>0</x:f>
        <x:v>0</x:v>
      </x:c>
      <x:c r="AS95" s="9"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x:f>
        <x:v>418.7700178970381</x:v>
      </x:c>
      <x:c r="AT95" s="9"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x:f>
        <x:v>107.95718028019085</x:v>
      </x:c>
      <x:c r="AU95" s="9"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x:f>
        <x:v>141.8114340348771</x:v>
      </x:c>
      <x:c r="AV95" s="9"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x:f>
        <x:v>141.8114340348771</x:v>
      </x:c>
      <x:c r="AW95" s="10" t="n"/>
      <x:c r="AX95" s="9" t="n">
        <x:f>A95</x:f>
        <x:v>-0.225</x:v>
      </x:c>
      <x:c r="AY95" s="9" t="n">
        <x:f>0</x:f>
        <x:v>0</x:v>
      </x:c>
      <x:c r="AZ95" s="9" t="n">
        <x:f>IF(OR(Inputs!$F$6=TRUE,Inputs!$F$6="TRUE",Inputs!$F$6=1),(Inputs!$H$6+Inputs!$L$6*(((Inputs!$I$6+(((A95)+1)/2)*(Inputs!$J$6-Inputs!$I$6)))/Inputs!$K$6)^2),NA())</x:f>
        <x:v>400.2025</x:v>
      </x:c>
      <x:c r="BA95" s="9" t="n">
        <x:f>IF(OR(Inputs!$F$7=TRUE,Inputs!$F$7="TRUE",Inputs!$F$7=1),(Inputs!$H$7+Inputs!$L$7*(((Inputs!$I$7+(((A95)+1)/2)*(Inputs!$J$7-Inputs!$I$7)))/Inputs!$K$7)^2),NA())</x:f>
        <x:v>53.478125000000006</x:v>
      </x:c>
      <x:c r="BB95" s="9" t="n">
        <x:f>IF(OR(Inputs!$F$8=TRUE,Inputs!$F$8="TRUE",Inputs!$F$8=1),(Inputs!$H$8+Inputs!$L$8*(((Inputs!$I$8+(((A95)+1)/2)*(Inputs!$J$8-Inputs!$I$8)))/Inputs!$K$8)^2),NA())</x:f>
        <x:v>83.853125</x:v>
      </x:c>
      <x:c r="BC95" s="9" t="n">
        <x:f>IF(OR(Inputs!$F$9=TRUE,Inputs!$F$9="TRUE",Inputs!$F$9=1),(Inputs!$H$9+Inputs!$L$9*(((Inputs!$I$9+(((A95)+1)/2)*(Inputs!$J$9-Inputs!$I$9)))/Inputs!$K$9)^2),NA())</x:f>
        <x:v>74.359375</x:v>
      </x:c>
      <x:c r="BD95" s="10" t="n"/>
      <x:c r="BE95" s="9" t="n">
        <x:f>A95</x:f>
        <x:v>-0.225</x:v>
      </x:c>
      <x:c r="BF95" s="9" t="n">
        <x:f>0</x:f>
        <x:v>0</x:v>
      </x:c>
      <x:c r="BG95" s="9"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9"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9"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9"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9" t="n">
        <x:f>ROUND(-1+94*2/240,3)</x:f>
        <x:v>-0.217</x:v>
      </x:c>
      <x:c r="B96" s="9" t="n">
        <x:f>IF(OR(Inputs!$F$6=TRUE,Inputs!$F$6="TRUE",Inputs!$F$6=1),(Inputs!$H$6+Inputs!$L$6*(((Inputs!$I$6+(((A96)+1)/2)*(Inputs!$J$6-Inputs!$I$6)))/Inputs!$K$6)^2),NA())</x:f>
        <x:v>400.188356</x:v>
      </x:c>
      <x:c r="C96" s="9" t="n">
        <x:f>IF(OR(Inputs!$F$7=TRUE,Inputs!$F$7="TRUE",Inputs!$F$7=1),(Inputs!$H$7+Inputs!$L$7*(((Inputs!$I$7+(((A96)+1)/2)*(Inputs!$J$7-Inputs!$I$7)))/Inputs!$K$7)^2),NA())</x:f>
        <x:v>52.18748500000001</x:v>
      </x:c>
      <x:c r="D96" s="9" t="n">
        <x:f>IF(OR(Inputs!$F$8=TRUE,Inputs!$F$8="TRUE",Inputs!$F$8=1),(Inputs!$H$8+Inputs!$L$8*(((Inputs!$I$8+(((A96)+1)/2)*(Inputs!$J$8-Inputs!$I$8)))/Inputs!$K$8)^2),NA())</x:f>
        <x:v>80.44088500000001</x:v>
      </x:c>
      <x:c r="E96" s="9" t="n">
        <x:f>IF(OR(Inputs!$F$9=TRUE,Inputs!$F$9="TRUE",Inputs!$F$9=1),(Inputs!$H$9+Inputs!$L$9*(((Inputs!$I$9+(((A96)+1)/2)*(Inputs!$J$9-Inputs!$I$9)))/Inputs!$K$9)^2),NA())</x:f>
        <x:v>70.911775</x:v>
      </x:c>
      <x:c r="F96" s="10" t="n"/>
      <x:c r="G96" s="9" t="n">
        <x:f>A96</x:f>
        <x:v>-0.217</x:v>
      </x:c>
      <x:c r="H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10" t="n"/>
      <x:c r="M96" s="9" t="n">
        <x:f>A96</x:f>
        <x:v>-0.217</x:v>
      </x:c>
      <x:c r="N96" s="9"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9"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9"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9"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10" t="n"/>
      <x:c r="S96" s="9" t="n">
        <x:f>A96</x:f>
        <x:v>-0.217</x:v>
      </x:c>
      <x:c r="T96" s="9" t="n">
        <x:f>(Inputs!$I$6+(((A96)+1)/2)*(Inputs!$J$6-Inputs!$I$6))</x:f>
        <x:v>-13.019999999999996</x:v>
      </x:c>
      <x:c r="U96" s="9" t="n">
        <x:f>(Inputs!$I$7+(((A96)+1)/2)*(Inputs!$J$7-Inputs!$I$7))</x:f>
        <x:v>-86.80000000000001</x:v>
      </x:c>
      <x:c r="V96" s="9" t="n">
        <x:f>(Inputs!$I$8+(((A96)+1)/2)*(Inputs!$J$8-Inputs!$I$8))</x:f>
        <x:v>-173.60000000000002</x:v>
      </x:c>
      <x:c r="W96" s="9" t="n">
        <x:f>(Inputs!$I$9+(((A96)+1)/2)*(Inputs!$J$9-Inputs!$I$9))</x:f>
        <x:v>-173.60000000000002</x:v>
      </x:c>
      <x:c r="X96" s="10" t="n"/>
      <x:c r="Y96" s="9" t="n">
        <x:f>A96</x:f>
        <x:v>-0.217</x:v>
      </x:c>
      <x:c r="Z96" s="9" t="n">
        <x:f>(Inputs!$H$6+Inputs!$L$6*(((Inputs!$I$6+(((A96)+1)/2)*(Inputs!$J$6-Inputs!$I$6)))/Inputs!$K$6)^2)</x:f>
        <x:v>400.188356</x:v>
      </x:c>
      <x:c r="AA96" s="9" t="n">
        <x:f>(Inputs!$H$7+Inputs!$L$7*(((Inputs!$I$7+(((A96)+1)/2)*(Inputs!$J$7-Inputs!$I$7)))/Inputs!$K$7)^2)</x:f>
        <x:v>52.18748500000001</x:v>
      </x:c>
      <x:c r="AB96" s="9" t="n">
        <x:f>(Inputs!$H$8+Inputs!$L$8*(((Inputs!$I$8+(((A96)+1)/2)*(Inputs!$J$8-Inputs!$I$8)))/Inputs!$K$8)^2)</x:f>
        <x:v>80.44088500000001</x:v>
      </x:c>
      <x:c r="AC96" s="9" t="n">
        <x:f>(Inputs!$H$9+Inputs!$L$9*(((Inputs!$I$9+(((A96)+1)/2)*(Inputs!$J$9-Inputs!$I$9)))/Inputs!$K$9)^2)</x:f>
        <x:v>70.911775</x:v>
      </x:c>
      <x:c r="AD96" s="10" t="n"/>
      <x:c r="AE96" s="9" t="n">
        <x:f>A96</x:f>
        <x:v>-0.217</x:v>
      </x:c>
      <x:c r="AF96" s="9"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9"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9"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9"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10" t="n"/>
      <x:c r="AK96" s="9" t="n">
        <x:f>A96</x:f>
        <x:v>-0.217</x:v>
      </x:c>
      <x:c r="AL96" s="9"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9"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9"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9"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10" t="n"/>
      <x:c r="AQ96" s="9" t="n">
        <x:f>A96</x:f>
        <x:v>-0.217</x:v>
      </x:c>
      <x:c r="AR96" s="9" t="n">
        <x:f>0</x:f>
        <x:v>0</x:v>
      </x:c>
      <x:c r="AS96" s="9"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x:f>
        <x:v>426.3413775091645</x:v>
      </x:c>
      <x:c r="AT96" s="9"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x:f>
        <x:v>138.72213165552463</x:v>
      </x:c>
      <x:c r="AU96" s="9"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x:f>
        <x:v>197.49591161858112</x:v>
      </x:c>
      <x:c r="AV96" s="9"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x:f>
        <x:v>197.49591161858112</x:v>
      </x:c>
      <x:c r="AW96" s="10" t="n"/>
      <x:c r="AX96" s="9" t="n">
        <x:f>A96</x:f>
        <x:v>-0.217</x:v>
      </x:c>
      <x:c r="AY96" s="9" t="n">
        <x:f>0</x:f>
        <x:v>0</x:v>
      </x:c>
      <x:c r="AZ96" s="9" t="n">
        <x:f>IF(OR(Inputs!$F$6=TRUE,Inputs!$F$6="TRUE",Inputs!$F$6=1),(Inputs!$H$6+Inputs!$L$6*(((Inputs!$I$6+(((A96)+1)/2)*(Inputs!$J$6-Inputs!$I$6)))/Inputs!$K$6)^2),NA())</x:f>
        <x:v>400.188356</x:v>
      </x:c>
      <x:c r="BA96" s="9" t="n">
        <x:f>IF(OR(Inputs!$F$7=TRUE,Inputs!$F$7="TRUE",Inputs!$F$7=1),(Inputs!$H$7+Inputs!$L$7*(((Inputs!$I$7+(((A96)+1)/2)*(Inputs!$J$7-Inputs!$I$7)))/Inputs!$K$7)^2),NA())</x:f>
        <x:v>52.18748500000001</x:v>
      </x:c>
      <x:c r="BB96" s="9" t="n">
        <x:f>IF(OR(Inputs!$F$8=TRUE,Inputs!$F$8="TRUE",Inputs!$F$8=1),(Inputs!$H$8+Inputs!$L$8*(((Inputs!$I$8+(((A96)+1)/2)*(Inputs!$J$8-Inputs!$I$8)))/Inputs!$K$8)^2),NA())</x:f>
        <x:v>80.44088500000001</x:v>
      </x:c>
      <x:c r="BC96" s="9" t="n">
        <x:f>IF(OR(Inputs!$F$9=TRUE,Inputs!$F$9="TRUE",Inputs!$F$9=1),(Inputs!$H$9+Inputs!$L$9*(((Inputs!$I$9+(((A96)+1)/2)*(Inputs!$J$9-Inputs!$I$9)))/Inputs!$K$9)^2),NA())</x:f>
        <x:v>70.911775</x:v>
      </x:c>
      <x:c r="BD96" s="10" t="n"/>
      <x:c r="BE96" s="9" t="n">
        <x:f>A96</x:f>
        <x:v>-0.217</x:v>
      </x:c>
      <x:c r="BF96" s="9" t="n">
        <x:f>0</x:f>
        <x:v>0</x:v>
      </x:c>
      <x:c r="BG96" s="9"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9"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9"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9"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9" t="n">
        <x:f>ROUND(-1+95*2/240,3)</x:f>
        <x:v>-0.208</x:v>
      </x:c>
      <x:c r="B97" s="9" t="n">
        <x:f>IF(OR(Inputs!$F$6=TRUE,Inputs!$F$6="TRUE",Inputs!$F$6=1),(Inputs!$H$6+Inputs!$L$6*(((Inputs!$I$6+(((A97)+1)/2)*(Inputs!$J$6-Inputs!$I$6)))/Inputs!$K$6)^2),NA())</x:f>
        <x:v>400.173056</x:v>
      </x:c>
      <x:c r="C97" s="9" t="n">
        <x:f>IF(OR(Inputs!$F$7=TRUE,Inputs!$F$7="TRUE",Inputs!$F$7=1),(Inputs!$H$7+Inputs!$L$7*(((Inputs!$I$7+(((A97)+1)/2)*(Inputs!$J$7-Inputs!$I$7)))/Inputs!$K$7)^2),NA())</x:f>
        <x:v>50.79136</x:v>
      </x:c>
      <x:c r="D97" s="9" t="n">
        <x:f>IF(OR(Inputs!$F$8=TRUE,Inputs!$F$8="TRUE",Inputs!$F$8=1),(Inputs!$H$8+Inputs!$L$8*(((Inputs!$I$8+(((A97)+1)/2)*(Inputs!$J$8-Inputs!$I$8)))/Inputs!$K$8)^2),NA())</x:f>
        <x:v>76.74975999999998</x:v>
      </x:c>
      <x:c r="E97" s="9" t="n">
        <x:f>IF(OR(Inputs!$F$9=TRUE,Inputs!$F$9="TRUE",Inputs!$F$9=1),(Inputs!$H$9+Inputs!$L$9*(((Inputs!$I$9+(((A97)+1)/2)*(Inputs!$J$9-Inputs!$I$9)))/Inputs!$K$9)^2),NA())</x:f>
        <x:v>67.18239999999997</x:v>
      </x:c>
      <x:c r="F97" s="10" t="n"/>
      <x:c r="G97" s="9" t="n">
        <x:f>A97</x:f>
        <x:v>-0.208</x:v>
      </x:c>
      <x:c r="H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10" t="n"/>
      <x:c r="M97" s="9" t="n">
        <x:f>A97</x:f>
        <x:v>-0.208</x:v>
      </x:c>
      <x:c r="N97" s="9"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9"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9"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9"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10" t="n"/>
      <x:c r="S97" s="9" t="n">
        <x:f>A97</x:f>
        <x:v>-0.208</x:v>
      </x:c>
      <x:c r="T97" s="9" t="n">
        <x:f>(Inputs!$I$6+(((A97)+1)/2)*(Inputs!$J$6-Inputs!$I$6))</x:f>
        <x:v>-12.479999999999997</x:v>
      </x:c>
      <x:c r="U97" s="9" t="n">
        <x:f>(Inputs!$I$7+(((A97)+1)/2)*(Inputs!$J$7-Inputs!$I$7))</x:f>
        <x:v>-83.19999999999999</x:v>
      </x:c>
      <x:c r="V97" s="9" t="n">
        <x:f>(Inputs!$I$8+(((A97)+1)/2)*(Inputs!$J$8-Inputs!$I$8))</x:f>
        <x:v>-166.39999999999998</x:v>
      </x:c>
      <x:c r="W97" s="9" t="n">
        <x:f>(Inputs!$I$9+(((A97)+1)/2)*(Inputs!$J$9-Inputs!$I$9))</x:f>
        <x:v>-166.39999999999998</x:v>
      </x:c>
      <x:c r="X97" s="10" t="n"/>
      <x:c r="Y97" s="9" t="n">
        <x:f>A97</x:f>
        <x:v>-0.208</x:v>
      </x:c>
      <x:c r="Z97" s="9" t="n">
        <x:f>(Inputs!$H$6+Inputs!$L$6*(((Inputs!$I$6+(((A97)+1)/2)*(Inputs!$J$6-Inputs!$I$6)))/Inputs!$K$6)^2)</x:f>
        <x:v>400.173056</x:v>
      </x:c>
      <x:c r="AA97" s="9" t="n">
        <x:f>(Inputs!$H$7+Inputs!$L$7*(((Inputs!$I$7+(((A97)+1)/2)*(Inputs!$J$7-Inputs!$I$7)))/Inputs!$K$7)^2)</x:f>
        <x:v>50.79136</x:v>
      </x:c>
      <x:c r="AB97" s="9" t="n">
        <x:f>(Inputs!$H$8+Inputs!$L$8*(((Inputs!$I$8+(((A97)+1)/2)*(Inputs!$J$8-Inputs!$I$8)))/Inputs!$K$8)^2)</x:f>
        <x:v>76.74975999999998</x:v>
      </x:c>
      <x:c r="AC97" s="9" t="n">
        <x:f>(Inputs!$H$9+Inputs!$L$9*(((Inputs!$I$9+(((A97)+1)/2)*(Inputs!$J$9-Inputs!$I$9)))/Inputs!$K$9)^2)</x:f>
        <x:v>67.18239999999997</x:v>
      </x:c>
      <x:c r="AD97" s="10" t="n"/>
      <x:c r="AE97" s="9" t="n">
        <x:f>A97</x:f>
        <x:v>-0.208</x:v>
      </x:c>
      <x:c r="AF97" s="9"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9"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9"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9"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10" t="n"/>
      <x:c r="AK97" s="9" t="n">
        <x:f>A97</x:f>
        <x:v>-0.208</x:v>
      </x:c>
      <x:c r="AL97" s="9"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9"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9"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9"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10" t="n"/>
      <x:c r="AQ97" s="9" t="n">
        <x:f>A97</x:f>
        <x:v>-0.208</x:v>
      </x:c>
      <x:c r="AR97" s="9" t="n">
        <x:f>0</x:f>
        <x:v>0</x:v>
      </x:c>
      <x:c r="AS97" s="9"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x:f>
        <x:v>451.4582991196683</x:v>
      </x:c>
      <x:c r="AT97" s="9"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x:f>
        <x:v>192.0339669891648</x:v>
      </x:c>
      <x:c r="AU97" s="9"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x:f>
        <x:v>91.15467776318724</x:v>
      </x:c>
      <x:c r="AV97" s="9"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x:f>
        <x:v>91.15467776318724</x:v>
      </x:c>
      <x:c r="AW97" s="10" t="n"/>
      <x:c r="AX97" s="9" t="n">
        <x:f>A97</x:f>
        <x:v>-0.208</x:v>
      </x:c>
      <x:c r="AY97" s="9" t="n">
        <x:f>0</x:f>
        <x:v>0</x:v>
      </x:c>
      <x:c r="AZ97" s="9" t="n">
        <x:f>IF(OR(Inputs!$F$6=TRUE,Inputs!$F$6="TRUE",Inputs!$F$6=1),(Inputs!$H$6+Inputs!$L$6*(((Inputs!$I$6+(((A97)+1)/2)*(Inputs!$J$6-Inputs!$I$6)))/Inputs!$K$6)^2),NA())</x:f>
        <x:v>400.173056</x:v>
      </x:c>
      <x:c r="BA97" s="9" t="n">
        <x:f>IF(OR(Inputs!$F$7=TRUE,Inputs!$F$7="TRUE",Inputs!$F$7=1),(Inputs!$H$7+Inputs!$L$7*(((Inputs!$I$7+(((A97)+1)/2)*(Inputs!$J$7-Inputs!$I$7)))/Inputs!$K$7)^2),NA())</x:f>
        <x:v>50.79136</x:v>
      </x:c>
      <x:c r="BB97" s="9" t="n">
        <x:f>IF(OR(Inputs!$F$8=TRUE,Inputs!$F$8="TRUE",Inputs!$F$8=1),(Inputs!$H$8+Inputs!$L$8*(((Inputs!$I$8+(((A97)+1)/2)*(Inputs!$J$8-Inputs!$I$8)))/Inputs!$K$8)^2),NA())</x:f>
        <x:v>76.74975999999998</x:v>
      </x:c>
      <x:c r="BC97" s="9" t="n">
        <x:f>IF(OR(Inputs!$F$9=TRUE,Inputs!$F$9="TRUE",Inputs!$F$9=1),(Inputs!$H$9+Inputs!$L$9*(((Inputs!$I$9+(((A97)+1)/2)*(Inputs!$J$9-Inputs!$I$9)))/Inputs!$K$9)^2),NA())</x:f>
        <x:v>67.18239999999997</x:v>
      </x:c>
      <x:c r="BD97" s="10" t="n"/>
      <x:c r="BE97" s="9" t="n">
        <x:f>A97</x:f>
        <x:v>-0.208</x:v>
      </x:c>
      <x:c r="BF97" s="9" t="n">
        <x:f>0</x:f>
        <x:v>0</x:v>
      </x:c>
      <x:c r="BG97" s="9"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9"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9"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9"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9" t="n">
        <x:f>ROUND(-1+96*2/240,3)</x:f>
        <x:v>-0.2</x:v>
      </x:c>
      <x:c r="B98" s="9" t="n">
        <x:f>IF(OR(Inputs!$F$6=TRUE,Inputs!$F$6="TRUE",Inputs!$F$6=1),(Inputs!$H$6+Inputs!$L$6*(((Inputs!$I$6+(((A98)+1)/2)*(Inputs!$J$6-Inputs!$I$6)))/Inputs!$K$6)^2),NA())</x:f>
        <x:v>400.16</x:v>
      </x:c>
      <x:c r="C98" s="9" t="n">
        <x:f>IF(OR(Inputs!$F$7=TRUE,Inputs!$F$7="TRUE",Inputs!$F$7=1),(Inputs!$H$7+Inputs!$L$7*(((Inputs!$I$7+(((A98)+1)/2)*(Inputs!$J$7-Inputs!$I$7)))/Inputs!$K$7)^2),NA())</x:f>
        <x:v>49.6</x:v>
      </x:c>
      <x:c r="D98" s="9" t="n">
        <x:f>IF(OR(Inputs!$F$8=TRUE,Inputs!$F$8="TRUE",Inputs!$F$8=1),(Inputs!$H$8+Inputs!$L$8*(((Inputs!$I$8+(((A98)+1)/2)*(Inputs!$J$8-Inputs!$I$8)))/Inputs!$K$8)^2),NA())</x:f>
        <x:v>73.60000000000001</x:v>
      </x:c>
      <x:c r="E98" s="9" t="n">
        <x:f>IF(OR(Inputs!$F$9=TRUE,Inputs!$F$9="TRUE",Inputs!$F$9=1),(Inputs!$H$9+Inputs!$L$9*(((Inputs!$I$9+(((A98)+1)/2)*(Inputs!$J$9-Inputs!$I$9)))/Inputs!$K$9)^2),NA())</x:f>
        <x:v>64</x:v>
      </x:c>
      <x:c r="F98" s="10" t="n"/>
      <x:c r="G98" s="9" t="n">
        <x:f>A98</x:f>
        <x:v>-0.2</x:v>
      </x:c>
      <x:c r="H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10" t="n"/>
      <x:c r="M98" s="9" t="n">
        <x:f>A98</x:f>
        <x:v>-0.2</x:v>
      </x:c>
      <x:c r="N98" s="9"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9"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9"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9"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10" t="n"/>
      <x:c r="S98" s="9" t="n">
        <x:f>A98</x:f>
        <x:v>-0.2</x:v>
      </x:c>
      <x:c r="T98" s="9" t="n">
        <x:f>(Inputs!$I$6+(((A98)+1)/2)*(Inputs!$J$6-Inputs!$I$6))</x:f>
        <x:v>-12</x:v>
      </x:c>
      <x:c r="U98" s="9" t="n">
        <x:f>(Inputs!$I$7+(((A98)+1)/2)*(Inputs!$J$7-Inputs!$I$7))</x:f>
        <x:v>-80</x:v>
      </x:c>
      <x:c r="V98" s="9" t="n">
        <x:f>(Inputs!$I$8+(((A98)+1)/2)*(Inputs!$J$8-Inputs!$I$8))</x:f>
        <x:v>-160</x:v>
      </x:c>
      <x:c r="W98" s="9" t="n">
        <x:f>(Inputs!$I$9+(((A98)+1)/2)*(Inputs!$J$9-Inputs!$I$9))</x:f>
        <x:v>-160</x:v>
      </x:c>
      <x:c r="X98" s="10" t="n"/>
      <x:c r="Y98" s="9" t="n">
        <x:f>A98</x:f>
        <x:v>-0.2</x:v>
      </x:c>
      <x:c r="Z98" s="9" t="n">
        <x:f>(Inputs!$H$6+Inputs!$L$6*(((Inputs!$I$6+(((A98)+1)/2)*(Inputs!$J$6-Inputs!$I$6)))/Inputs!$K$6)^2)</x:f>
        <x:v>400.16</x:v>
      </x:c>
      <x:c r="AA98" s="9" t="n">
        <x:f>(Inputs!$H$7+Inputs!$L$7*(((Inputs!$I$7+(((A98)+1)/2)*(Inputs!$J$7-Inputs!$I$7)))/Inputs!$K$7)^2)</x:f>
        <x:v>49.6</x:v>
      </x:c>
      <x:c r="AB98" s="9" t="n">
        <x:f>(Inputs!$H$8+Inputs!$L$8*(((Inputs!$I$8+(((A98)+1)/2)*(Inputs!$J$8-Inputs!$I$8)))/Inputs!$K$8)^2)</x:f>
        <x:v>73.60000000000001</x:v>
      </x:c>
      <x:c r="AC98" s="9" t="n">
        <x:f>(Inputs!$H$9+Inputs!$L$9*(((Inputs!$I$9+(((A98)+1)/2)*(Inputs!$J$9-Inputs!$I$9)))/Inputs!$K$9)^2)</x:f>
        <x:v>64</x:v>
      </x:c>
      <x:c r="AD98" s="10" t="n"/>
      <x:c r="AE98" s="9" t="n">
        <x:f>A98</x:f>
        <x:v>-0.2</x:v>
      </x:c>
      <x:c r="AF98" s="9"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9"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9"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9"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10" t="n"/>
      <x:c r="AK98" s="9" t="n">
        <x:f>A98</x:f>
        <x:v>-0.2</x:v>
      </x:c>
      <x:c r="AL98" s="9"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9"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9"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9"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10" t="n"/>
      <x:c r="AQ98" s="9" t="n">
        <x:f>A98</x:f>
        <x:v>-0.2</x:v>
      </x:c>
      <x:c r="AR98" s="9" t="n">
        <x:f>0</x:f>
        <x:v>0</x:v>
      </x:c>
      <x:c r="AS98" s="9"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x:f>
        <x:v>437.9918993099811</x:v>
      </x:c>
      <x:c r="AT98" s="9"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x:f>
        <x:v>156.5351614447042</x:v>
      </x:c>
      <x:c r="AU98" s="9"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x:f>
        <x:v>138.70370323809672</x:v>
      </x:c>
      <x:c r="AV98" s="9"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x:f>
        <x:v>138.70370323809672</x:v>
      </x:c>
      <x:c r="AW98" s="10" t="n"/>
      <x:c r="AX98" s="9" t="n">
        <x:f>A98</x:f>
        <x:v>-0.2</x:v>
      </x:c>
      <x:c r="AY98" s="9" t="n">
        <x:f>0</x:f>
        <x:v>0</x:v>
      </x:c>
      <x:c r="AZ98" s="9" t="n">
        <x:f>IF(OR(Inputs!$F$6=TRUE,Inputs!$F$6="TRUE",Inputs!$F$6=1),(Inputs!$H$6+Inputs!$L$6*(((Inputs!$I$6+(((A98)+1)/2)*(Inputs!$J$6-Inputs!$I$6)))/Inputs!$K$6)^2),NA())</x:f>
        <x:v>400.16</x:v>
      </x:c>
      <x:c r="BA98" s="9" t="n">
        <x:f>IF(OR(Inputs!$F$7=TRUE,Inputs!$F$7="TRUE",Inputs!$F$7=1),(Inputs!$H$7+Inputs!$L$7*(((Inputs!$I$7+(((A98)+1)/2)*(Inputs!$J$7-Inputs!$I$7)))/Inputs!$K$7)^2),NA())</x:f>
        <x:v>49.6</x:v>
      </x:c>
      <x:c r="BB98" s="9" t="n">
        <x:f>IF(OR(Inputs!$F$8=TRUE,Inputs!$F$8="TRUE",Inputs!$F$8=1),(Inputs!$H$8+Inputs!$L$8*(((Inputs!$I$8+(((A98)+1)/2)*(Inputs!$J$8-Inputs!$I$8)))/Inputs!$K$8)^2),NA())</x:f>
        <x:v>73.60000000000001</x:v>
      </x:c>
      <x:c r="BC98" s="9" t="n">
        <x:f>IF(OR(Inputs!$F$9=TRUE,Inputs!$F$9="TRUE",Inputs!$F$9=1),(Inputs!$H$9+Inputs!$L$9*(((Inputs!$I$9+(((A98)+1)/2)*(Inputs!$J$9-Inputs!$I$9)))/Inputs!$K$9)^2),NA())</x:f>
        <x:v>64</x:v>
      </x:c>
      <x:c r="BD98" s="10" t="n"/>
      <x:c r="BE98" s="9" t="n">
        <x:f>A98</x:f>
        <x:v>-0.2</x:v>
      </x:c>
      <x:c r="BF98" s="9" t="n">
        <x:f>0</x:f>
        <x:v>0</x:v>
      </x:c>
      <x:c r="BG98" s="9"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9"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9"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9"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9" t="n">
        <x:f>ROUND(-1+97*2/240,3)</x:f>
        <x:v>-0.192</x:v>
      </x:c>
      <x:c r="B99" s="9" t="n">
        <x:f>IF(OR(Inputs!$F$6=TRUE,Inputs!$F$6="TRUE",Inputs!$F$6=1),(Inputs!$H$6+Inputs!$L$6*(((Inputs!$I$6+(((A99)+1)/2)*(Inputs!$J$6-Inputs!$I$6)))/Inputs!$K$6)^2),NA())</x:f>
        <x:v>400.147456</x:v>
      </x:c>
      <x:c r="C99" s="9" t="n">
        <x:f>IF(OR(Inputs!$F$7=TRUE,Inputs!$F$7="TRUE",Inputs!$F$7=1),(Inputs!$H$7+Inputs!$L$7*(((Inputs!$I$7+(((A99)+1)/2)*(Inputs!$J$7-Inputs!$I$7)))/Inputs!$K$7)^2),NA())</x:f>
        <x:v>48.455359999999985</x:v>
      </x:c>
      <x:c r="D99" s="9" t="n">
        <x:f>IF(OR(Inputs!$F$8=TRUE,Inputs!$F$8="TRUE",Inputs!$F$8=1),(Inputs!$H$8+Inputs!$L$8*(((Inputs!$I$8+(((A99)+1)/2)*(Inputs!$J$8-Inputs!$I$8)))/Inputs!$K$8)^2),NA())</x:f>
        <x:v>70.57375999999996</x:v>
      </x:c>
      <x:c r="E99" s="9" t="n">
        <x:f>IF(OR(Inputs!$F$9=TRUE,Inputs!$F$9="TRUE",Inputs!$F$9=1),(Inputs!$H$9+Inputs!$L$9*(((Inputs!$I$9+(((A99)+1)/2)*(Inputs!$J$9-Inputs!$I$9)))/Inputs!$K$9)^2),NA())</x:f>
        <x:v>60.942399999999964</x:v>
      </x:c>
      <x:c r="F99" s="10" t="n"/>
      <x:c r="G99" s="9" t="n">
        <x:f>A99</x:f>
        <x:v>-0.192</x:v>
      </x:c>
      <x:c r="H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10" t="n"/>
      <x:c r="M99" s="9" t="n">
        <x:f>A99</x:f>
        <x:v>-0.192</x:v>
      </x:c>
      <x:c r="N99" s="9"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9"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9"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9"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10" t="n"/>
      <x:c r="S99" s="9" t="n">
        <x:f>A99</x:f>
        <x:v>-0.192</x:v>
      </x:c>
      <x:c r="T99" s="9" t="n">
        <x:f>(Inputs!$I$6+(((A99)+1)/2)*(Inputs!$J$6-Inputs!$I$6))</x:f>
        <x:v>-11.519999999999996</x:v>
      </x:c>
      <x:c r="U99" s="9" t="n">
        <x:f>(Inputs!$I$7+(((A99)+1)/2)*(Inputs!$J$7-Inputs!$I$7))</x:f>
        <x:v>-76.79999999999995</x:v>
      </x:c>
      <x:c r="V99" s="9" t="n">
        <x:f>(Inputs!$I$8+(((A99)+1)/2)*(Inputs!$J$8-Inputs!$I$8))</x:f>
        <x:v>-153.5999999999999</x:v>
      </x:c>
      <x:c r="W99" s="9" t="n">
        <x:f>(Inputs!$I$9+(((A99)+1)/2)*(Inputs!$J$9-Inputs!$I$9))</x:f>
        <x:v>-153.5999999999999</x:v>
      </x:c>
      <x:c r="X99" s="10" t="n"/>
      <x:c r="Y99" s="9" t="n">
        <x:f>A99</x:f>
        <x:v>-0.192</x:v>
      </x:c>
      <x:c r="Z99" s="9" t="n">
        <x:f>(Inputs!$H$6+Inputs!$L$6*(((Inputs!$I$6+(((A99)+1)/2)*(Inputs!$J$6-Inputs!$I$6)))/Inputs!$K$6)^2)</x:f>
        <x:v>400.147456</x:v>
      </x:c>
      <x:c r="AA99" s="9" t="n">
        <x:f>(Inputs!$H$7+Inputs!$L$7*(((Inputs!$I$7+(((A99)+1)/2)*(Inputs!$J$7-Inputs!$I$7)))/Inputs!$K$7)^2)</x:f>
        <x:v>48.455359999999985</x:v>
      </x:c>
      <x:c r="AB99" s="9" t="n">
        <x:f>(Inputs!$H$8+Inputs!$L$8*(((Inputs!$I$8+(((A99)+1)/2)*(Inputs!$J$8-Inputs!$I$8)))/Inputs!$K$8)^2)</x:f>
        <x:v>70.57375999999996</x:v>
      </x:c>
      <x:c r="AC99" s="9" t="n">
        <x:f>(Inputs!$H$9+Inputs!$L$9*(((Inputs!$I$9+(((A99)+1)/2)*(Inputs!$J$9-Inputs!$I$9)))/Inputs!$K$9)^2)</x:f>
        <x:v>60.942399999999964</x:v>
      </x:c>
      <x:c r="AD99" s="10" t="n"/>
      <x:c r="AE99" s="9" t="n">
        <x:f>A99</x:f>
        <x:v>-0.192</x:v>
      </x:c>
      <x:c r="AF99" s="9"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9"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9"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9"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10" t="n"/>
      <x:c r="AK99" s="9" t="n">
        <x:f>A99</x:f>
        <x:v>-0.192</x:v>
      </x:c>
      <x:c r="AL99" s="9"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9"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9"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9"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10" t="n"/>
      <x:c r="AQ99" s="9" t="n">
        <x:f>A99</x:f>
        <x:v>-0.192</x:v>
      </x:c>
      <x:c r="AR99" s="9" t="n">
        <x:f>0</x:f>
        <x:v>0</x:v>
      </x:c>
      <x:c r="AS99" s="9"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x:f>
        <x:v>460.56683649359337</x:v>
      </x:c>
      <x:c r="AT99" s="9"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x:f>
        <x:v>83.71092690752916</x:v>
      </x:c>
      <x:c r="AU99" s="9"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x:f>
        <x:v>161.20300469800478</x:v>
      </x:c>
      <x:c r="AV99" s="9"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x:f>
        <x:v>161.20300469800478</x:v>
      </x:c>
      <x:c r="AW99" s="10" t="n"/>
      <x:c r="AX99" s="9" t="n">
        <x:f>A99</x:f>
        <x:v>-0.192</x:v>
      </x:c>
      <x:c r="AY99" s="9" t="n">
        <x:f>0</x:f>
        <x:v>0</x:v>
      </x:c>
      <x:c r="AZ99" s="9" t="n">
        <x:f>IF(OR(Inputs!$F$6=TRUE,Inputs!$F$6="TRUE",Inputs!$F$6=1),(Inputs!$H$6+Inputs!$L$6*(((Inputs!$I$6+(((A99)+1)/2)*(Inputs!$J$6-Inputs!$I$6)))/Inputs!$K$6)^2),NA())</x:f>
        <x:v>400.147456</x:v>
      </x:c>
      <x:c r="BA99" s="9" t="n">
        <x:f>IF(OR(Inputs!$F$7=TRUE,Inputs!$F$7="TRUE",Inputs!$F$7=1),(Inputs!$H$7+Inputs!$L$7*(((Inputs!$I$7+(((A99)+1)/2)*(Inputs!$J$7-Inputs!$I$7)))/Inputs!$K$7)^2),NA())</x:f>
        <x:v>48.455359999999985</x:v>
      </x:c>
      <x:c r="BB99" s="9" t="n">
        <x:f>IF(OR(Inputs!$F$8=TRUE,Inputs!$F$8="TRUE",Inputs!$F$8=1),(Inputs!$H$8+Inputs!$L$8*(((Inputs!$I$8+(((A99)+1)/2)*(Inputs!$J$8-Inputs!$I$8)))/Inputs!$K$8)^2),NA())</x:f>
        <x:v>70.57375999999996</x:v>
      </x:c>
      <x:c r="BC99" s="9" t="n">
        <x:f>IF(OR(Inputs!$F$9=TRUE,Inputs!$F$9="TRUE",Inputs!$F$9=1),(Inputs!$H$9+Inputs!$L$9*(((Inputs!$I$9+(((A99)+1)/2)*(Inputs!$J$9-Inputs!$I$9)))/Inputs!$K$9)^2),NA())</x:f>
        <x:v>60.942399999999964</x:v>
      </x:c>
      <x:c r="BD99" s="10" t="n"/>
      <x:c r="BE99" s="9" t="n">
        <x:f>A99</x:f>
        <x:v>-0.192</x:v>
      </x:c>
      <x:c r="BF99" s="9" t="n">
        <x:f>0</x:f>
        <x:v>0</x:v>
      </x:c>
      <x:c r="BG99" s="9"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9"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9"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9"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9" t="n">
        <x:f>ROUND(-1+98*2/240,3)</x:f>
        <x:v>-0.183</x:v>
      </x:c>
      <x:c r="B100" s="9" t="n">
        <x:f>IF(OR(Inputs!$F$6=TRUE,Inputs!$F$6="TRUE",Inputs!$F$6=1),(Inputs!$H$6+Inputs!$L$6*(((Inputs!$I$6+(((A100)+1)/2)*(Inputs!$J$6-Inputs!$I$6)))/Inputs!$K$6)^2),NA())</x:f>
        <x:v>400.133956</x:v>
      </x:c>
      <x:c r="C100" s="9" t="n">
        <x:f>IF(OR(Inputs!$F$7=TRUE,Inputs!$F$7="TRUE",Inputs!$F$7=1),(Inputs!$H$7+Inputs!$L$7*(((Inputs!$I$7+(((A100)+1)/2)*(Inputs!$J$7-Inputs!$I$7)))/Inputs!$K$7)^2),NA())</x:f>
        <x:v>47.22348500000001</x:v>
      </x:c>
      <x:c r="D100" s="9" t="n">
        <x:f>IF(OR(Inputs!$F$8=TRUE,Inputs!$F$8="TRUE",Inputs!$F$8=1),(Inputs!$H$8+Inputs!$L$8*(((Inputs!$I$8+(((A100)+1)/2)*(Inputs!$J$8-Inputs!$I$8)))/Inputs!$K$8)^2),NA())</x:f>
        <x:v>67.31688500000004</x:v>
      </x:c>
      <x:c r="E100" s="9" t="n">
        <x:f>IF(OR(Inputs!$F$9=TRUE,Inputs!$F$9="TRUE",Inputs!$F$9=1),(Inputs!$H$9+Inputs!$L$9*(((Inputs!$I$9+(((A100)+1)/2)*(Inputs!$J$9-Inputs!$I$9)))/Inputs!$K$9)^2),NA())</x:f>
        <x:v>57.651775000000036</x:v>
      </x:c>
      <x:c r="F100" s="10" t="n"/>
      <x:c r="G100" s="9" t="n">
        <x:f>A100</x:f>
        <x:v>-0.183</x:v>
      </x:c>
      <x:c r="H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10" t="n"/>
      <x:c r="M100" s="9" t="n">
        <x:f>A100</x:f>
        <x:v>-0.183</x:v>
      </x:c>
      <x:c r="N100" s="9"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9"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9"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9"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10" t="n"/>
      <x:c r="S100" s="9" t="n">
        <x:f>A100</x:f>
        <x:v>-0.183</x:v>
      </x:c>
      <x:c r="T100" s="9" t="n">
        <x:f>(Inputs!$I$6+(((A100)+1)/2)*(Inputs!$J$6-Inputs!$I$6))</x:f>
        <x:v>-10.980000000000004</x:v>
      </x:c>
      <x:c r="U100" s="9" t="n">
        <x:f>(Inputs!$I$7+(((A100)+1)/2)*(Inputs!$J$7-Inputs!$I$7))</x:f>
        <x:v>-73.20000000000005</x:v>
      </x:c>
      <x:c r="V100" s="9" t="n">
        <x:f>(Inputs!$I$8+(((A100)+1)/2)*(Inputs!$J$8-Inputs!$I$8))</x:f>
        <x:v>-146.4000000000001</x:v>
      </x:c>
      <x:c r="W100" s="9" t="n">
        <x:f>(Inputs!$I$9+(((A100)+1)/2)*(Inputs!$J$9-Inputs!$I$9))</x:f>
        <x:v>-146.4000000000001</x:v>
      </x:c>
      <x:c r="X100" s="10" t="n"/>
      <x:c r="Y100" s="9" t="n">
        <x:f>A100</x:f>
        <x:v>-0.183</x:v>
      </x:c>
      <x:c r="Z100" s="9" t="n">
        <x:f>(Inputs!$H$6+Inputs!$L$6*(((Inputs!$I$6+(((A100)+1)/2)*(Inputs!$J$6-Inputs!$I$6)))/Inputs!$K$6)^2)</x:f>
        <x:v>400.133956</x:v>
      </x:c>
      <x:c r="AA100" s="9" t="n">
        <x:f>(Inputs!$H$7+Inputs!$L$7*(((Inputs!$I$7+(((A100)+1)/2)*(Inputs!$J$7-Inputs!$I$7)))/Inputs!$K$7)^2)</x:f>
        <x:v>47.22348500000001</x:v>
      </x:c>
      <x:c r="AB100" s="9" t="n">
        <x:f>(Inputs!$H$8+Inputs!$L$8*(((Inputs!$I$8+(((A100)+1)/2)*(Inputs!$J$8-Inputs!$I$8)))/Inputs!$K$8)^2)</x:f>
        <x:v>67.31688500000004</x:v>
      </x:c>
      <x:c r="AC100" s="9" t="n">
        <x:f>(Inputs!$H$9+Inputs!$L$9*(((Inputs!$I$9+(((A100)+1)/2)*(Inputs!$J$9-Inputs!$I$9)))/Inputs!$K$9)^2)</x:f>
        <x:v>57.651775000000036</x:v>
      </x:c>
      <x:c r="AD100" s="10" t="n"/>
      <x:c r="AE100" s="9" t="n">
        <x:f>A100</x:f>
        <x:v>-0.183</x:v>
      </x:c>
      <x:c r="AF100" s="9"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9"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9"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9"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10" t="n"/>
      <x:c r="AK100" s="9" t="n">
        <x:f>A100</x:f>
        <x:v>-0.183</x:v>
      </x:c>
      <x:c r="AL100" s="9"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9"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9"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9"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10" t="n"/>
      <x:c r="AQ100" s="9" t="n">
        <x:f>A100</x:f>
        <x:v>-0.183</x:v>
      </x:c>
      <x:c r="AR100" s="9" t="n">
        <x:f>0</x:f>
        <x:v>0</x:v>
      </x:c>
      <x:c r="AS100" s="9"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x:f>
        <x:v>453.35905784425717</x:v>
      </x:c>
      <x:c r="AT100" s="9"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x:f>
        <x:v>100.11600821376301</x:v>
      </x:c>
      <x:c r="AU100" s="9"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x:f>
        <x:v>89.83401143233425</x:v>
      </x:c>
      <x:c r="AV100" s="9"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x:f>
        <x:v>89.83401143233425</x:v>
      </x:c>
      <x:c r="AW100" s="10" t="n"/>
      <x:c r="AX100" s="9" t="n">
        <x:f>A100</x:f>
        <x:v>-0.183</x:v>
      </x:c>
      <x:c r="AY100" s="9" t="n">
        <x:f>0</x:f>
        <x:v>0</x:v>
      </x:c>
      <x:c r="AZ100" s="9" t="n">
        <x:f>IF(OR(Inputs!$F$6=TRUE,Inputs!$F$6="TRUE",Inputs!$F$6=1),(Inputs!$H$6+Inputs!$L$6*(((Inputs!$I$6+(((A100)+1)/2)*(Inputs!$J$6-Inputs!$I$6)))/Inputs!$K$6)^2),NA())</x:f>
        <x:v>400.133956</x:v>
      </x:c>
      <x:c r="BA100" s="9" t="n">
        <x:f>IF(OR(Inputs!$F$7=TRUE,Inputs!$F$7="TRUE",Inputs!$F$7=1),(Inputs!$H$7+Inputs!$L$7*(((Inputs!$I$7+(((A100)+1)/2)*(Inputs!$J$7-Inputs!$I$7)))/Inputs!$K$7)^2),NA())</x:f>
        <x:v>47.22348500000001</x:v>
      </x:c>
      <x:c r="BB100" s="9" t="n">
        <x:f>IF(OR(Inputs!$F$8=TRUE,Inputs!$F$8="TRUE",Inputs!$F$8=1),(Inputs!$H$8+Inputs!$L$8*(((Inputs!$I$8+(((A100)+1)/2)*(Inputs!$J$8-Inputs!$I$8)))/Inputs!$K$8)^2),NA())</x:f>
        <x:v>67.31688500000004</x:v>
      </x:c>
      <x:c r="BC100" s="9" t="n">
        <x:f>IF(OR(Inputs!$F$9=TRUE,Inputs!$F$9="TRUE",Inputs!$F$9=1),(Inputs!$H$9+Inputs!$L$9*(((Inputs!$I$9+(((A100)+1)/2)*(Inputs!$J$9-Inputs!$I$9)))/Inputs!$K$9)^2),NA())</x:f>
        <x:v>57.651775000000036</x:v>
      </x:c>
      <x:c r="BD100" s="10" t="n"/>
      <x:c r="BE100" s="9" t="n">
        <x:f>A100</x:f>
        <x:v>-0.183</x:v>
      </x:c>
      <x:c r="BF100" s="9" t="n">
        <x:f>0</x:f>
        <x:v>0</x:v>
      </x:c>
      <x:c r="BG100" s="9"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9"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9"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9"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9" t="n">
        <x:f>ROUND(-1+99*2/240,3)</x:f>
        <x:v>-0.175</x:v>
      </x:c>
      <x:c r="B101" s="9" t="n">
        <x:f>IF(OR(Inputs!$F$6=TRUE,Inputs!$F$6="TRUE",Inputs!$F$6=1),(Inputs!$H$6+Inputs!$L$6*(((Inputs!$I$6+(((A101)+1)/2)*(Inputs!$J$6-Inputs!$I$6)))/Inputs!$K$6)^2),NA())</x:f>
        <x:v>400.1225</x:v>
      </x:c>
      <x:c r="C101" s="9" t="n">
        <x:f>IF(OR(Inputs!$F$7=TRUE,Inputs!$F$7="TRUE",Inputs!$F$7=1),(Inputs!$H$7+Inputs!$L$7*(((Inputs!$I$7+(((A101)+1)/2)*(Inputs!$J$7-Inputs!$I$7)))/Inputs!$K$7)^2),NA())</x:f>
        <x:v>46.178124999999994</x:v>
      </x:c>
      <x:c r="D101" s="9" t="n">
        <x:f>IF(OR(Inputs!$F$8=TRUE,Inputs!$F$8="TRUE",Inputs!$F$8=1),(Inputs!$H$8+Inputs!$L$8*(((Inputs!$I$8+(((A101)+1)/2)*(Inputs!$J$8-Inputs!$I$8)))/Inputs!$K$8)^2),NA())</x:f>
        <x:v>64.553125</x:v>
      </x:c>
      <x:c r="E101" s="9" t="n">
        <x:f>IF(OR(Inputs!$F$9=TRUE,Inputs!$F$9="TRUE",Inputs!$F$9=1),(Inputs!$H$9+Inputs!$L$9*(((Inputs!$I$9+(((A101)+1)/2)*(Inputs!$J$9-Inputs!$I$9)))/Inputs!$K$9)^2),NA())</x:f>
        <x:v>54.859375</x:v>
      </x:c>
      <x:c r="F101" s="10" t="n"/>
      <x:c r="G101" s="9" t="n">
        <x:f>A101</x:f>
        <x:v>-0.175</x:v>
      </x:c>
      <x:c r="H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10" t="n"/>
      <x:c r="M101" s="9" t="n">
        <x:f>A101</x:f>
        <x:v>-0.175</x:v>
      </x:c>
      <x:c r="N101" s="9"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9"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9"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9"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10" t="n"/>
      <x:c r="S101" s="9" t="n">
        <x:f>A101</x:f>
        <x:v>-0.175</x:v>
      </x:c>
      <x:c r="T101" s="9" t="n">
        <x:f>(Inputs!$I$6+(((A101)+1)/2)*(Inputs!$J$6-Inputs!$I$6))</x:f>
        <x:v>-10.5</x:v>
      </x:c>
      <x:c r="U101" s="9" t="n">
        <x:f>(Inputs!$I$7+(((A101)+1)/2)*(Inputs!$J$7-Inputs!$I$7))</x:f>
        <x:v>-70</x:v>
      </x:c>
      <x:c r="V101" s="9" t="n">
        <x:f>(Inputs!$I$8+(((A101)+1)/2)*(Inputs!$J$8-Inputs!$I$8))</x:f>
        <x:v>-140</x:v>
      </x:c>
      <x:c r="W101" s="9" t="n">
        <x:f>(Inputs!$I$9+(((A101)+1)/2)*(Inputs!$J$9-Inputs!$I$9))</x:f>
        <x:v>-140</x:v>
      </x:c>
      <x:c r="X101" s="10" t="n"/>
      <x:c r="Y101" s="9" t="n">
        <x:f>A101</x:f>
        <x:v>-0.175</x:v>
      </x:c>
      <x:c r="Z101" s="9" t="n">
        <x:f>(Inputs!$H$6+Inputs!$L$6*(((Inputs!$I$6+(((A101)+1)/2)*(Inputs!$J$6-Inputs!$I$6)))/Inputs!$K$6)^2)</x:f>
        <x:v>400.1225</x:v>
      </x:c>
      <x:c r="AA101" s="9" t="n">
        <x:f>(Inputs!$H$7+Inputs!$L$7*(((Inputs!$I$7+(((A101)+1)/2)*(Inputs!$J$7-Inputs!$I$7)))/Inputs!$K$7)^2)</x:f>
        <x:v>46.178124999999994</x:v>
      </x:c>
      <x:c r="AB101" s="9" t="n">
        <x:f>(Inputs!$H$8+Inputs!$L$8*(((Inputs!$I$8+(((A101)+1)/2)*(Inputs!$J$8-Inputs!$I$8)))/Inputs!$K$8)^2)</x:f>
        <x:v>64.553125</x:v>
      </x:c>
      <x:c r="AC101" s="9" t="n">
        <x:f>(Inputs!$H$9+Inputs!$L$9*(((Inputs!$I$9+(((A101)+1)/2)*(Inputs!$J$9-Inputs!$I$9)))/Inputs!$K$9)^2)</x:f>
        <x:v>54.859375</x:v>
      </x:c>
      <x:c r="AD101" s="10" t="n"/>
      <x:c r="AE101" s="9" t="n">
        <x:f>A101</x:f>
        <x:v>-0.175</x:v>
      </x:c>
      <x:c r="AF101" s="9"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9"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9"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9"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10" t="n"/>
      <x:c r="AK101" s="9" t="n">
        <x:f>A101</x:f>
        <x:v>-0.175</x:v>
      </x:c>
      <x:c r="AL101" s="9"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9"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9"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9"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10" t="n"/>
      <x:c r="AQ101" s="9" t="n">
        <x:f>A101</x:f>
        <x:v>-0.175</x:v>
      </x:c>
      <x:c r="AR101" s="9" t="n">
        <x:f>0</x:f>
        <x:v>0</x:v>
      </x:c>
      <x:c r="AS101" s="9"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x:f>
        <x:v>470.10163194835394</x:v>
      </x:c>
      <x:c r="AT101" s="9"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x:f>
        <x:v>196.96306248477907</x:v>
      </x:c>
      <x:c r="AU101" s="9"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x:f>
        <x:v>204.7986580113276</x:v>
      </x:c>
      <x:c r="AV101" s="9"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x:f>
        <x:v>204.7986580113276</x:v>
      </x:c>
      <x:c r="AW101" s="10" t="n"/>
      <x:c r="AX101" s="9" t="n">
        <x:f>A101</x:f>
        <x:v>-0.175</x:v>
      </x:c>
      <x:c r="AY101" s="9" t="n">
        <x:f>0</x:f>
        <x:v>0</x:v>
      </x:c>
      <x:c r="AZ101" s="9" t="n">
        <x:f>IF(OR(Inputs!$F$6=TRUE,Inputs!$F$6="TRUE",Inputs!$F$6=1),(Inputs!$H$6+Inputs!$L$6*(((Inputs!$I$6+(((A101)+1)/2)*(Inputs!$J$6-Inputs!$I$6)))/Inputs!$K$6)^2),NA())</x:f>
        <x:v>400.1225</x:v>
      </x:c>
      <x:c r="BA101" s="9" t="n">
        <x:f>IF(OR(Inputs!$F$7=TRUE,Inputs!$F$7="TRUE",Inputs!$F$7=1),(Inputs!$H$7+Inputs!$L$7*(((Inputs!$I$7+(((A101)+1)/2)*(Inputs!$J$7-Inputs!$I$7)))/Inputs!$K$7)^2),NA())</x:f>
        <x:v>46.178124999999994</x:v>
      </x:c>
      <x:c r="BB101" s="9" t="n">
        <x:f>IF(OR(Inputs!$F$8=TRUE,Inputs!$F$8="TRUE",Inputs!$F$8=1),(Inputs!$H$8+Inputs!$L$8*(((Inputs!$I$8+(((A101)+1)/2)*(Inputs!$J$8-Inputs!$I$8)))/Inputs!$K$8)^2),NA())</x:f>
        <x:v>64.553125</x:v>
      </x:c>
      <x:c r="BC101" s="9" t="n">
        <x:f>IF(OR(Inputs!$F$9=TRUE,Inputs!$F$9="TRUE",Inputs!$F$9=1),(Inputs!$H$9+Inputs!$L$9*(((Inputs!$I$9+(((A101)+1)/2)*(Inputs!$J$9-Inputs!$I$9)))/Inputs!$K$9)^2),NA())</x:f>
        <x:v>54.859375</x:v>
      </x:c>
      <x:c r="BD101" s="10" t="n"/>
      <x:c r="BE101" s="9" t="n">
        <x:f>A101</x:f>
        <x:v>-0.175</x:v>
      </x:c>
      <x:c r="BF101" s="9" t="n">
        <x:f>0</x:f>
        <x:v>0</x:v>
      </x:c>
      <x:c r="BG101" s="9"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9"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9"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9"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9" t="n">
        <x:f>ROUND(-1+100*2/240,3)</x:f>
        <x:v>-0.167</x:v>
      </x:c>
      <x:c r="B102" s="9" t="n">
        <x:f>IF(OR(Inputs!$F$6=TRUE,Inputs!$F$6="TRUE",Inputs!$F$6=1),(Inputs!$H$6+Inputs!$L$6*(((Inputs!$I$6+(((A102)+1)/2)*(Inputs!$J$6-Inputs!$I$6)))/Inputs!$K$6)^2),NA())</x:f>
        <x:v>400.111556</x:v>
      </x:c>
      <x:c r="C102" s="9" t="n">
        <x:f>IF(OR(Inputs!$F$7=TRUE,Inputs!$F$7="TRUE",Inputs!$F$7=1),(Inputs!$H$7+Inputs!$L$7*(((Inputs!$I$7+(((A102)+1)/2)*(Inputs!$J$7-Inputs!$I$7)))/Inputs!$K$7)^2),NA())</x:f>
        <x:v>45.179485</x:v>
      </x:c>
      <x:c r="D102" s="9" t="n">
        <x:f>IF(OR(Inputs!$F$8=TRUE,Inputs!$F$8="TRUE",Inputs!$F$8=1),(Inputs!$H$8+Inputs!$L$8*(((Inputs!$I$8+(((A102)+1)/2)*(Inputs!$J$8-Inputs!$I$8)))/Inputs!$K$8)^2),NA())</x:f>
        <x:v>61.91288500000001</x:v>
      </x:c>
      <x:c r="E102" s="9" t="n">
        <x:f>IF(OR(Inputs!$F$9=TRUE,Inputs!$F$9="TRUE",Inputs!$F$9=1),(Inputs!$H$9+Inputs!$L$9*(((Inputs!$I$9+(((A102)+1)/2)*(Inputs!$J$9-Inputs!$I$9)))/Inputs!$K$9)^2),NA())</x:f>
        <x:v>52.19177500000001</x:v>
      </x:c>
      <x:c r="F102" s="10" t="n"/>
      <x:c r="G102" s="9" t="n">
        <x:f>A102</x:f>
        <x:v>-0.167</x:v>
      </x:c>
      <x:c r="H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10" t="n"/>
      <x:c r="M102" s="9" t="n">
        <x:f>A102</x:f>
        <x:v>-0.167</x:v>
      </x:c>
      <x:c r="N102" s="9"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9"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9"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9"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10" t="n"/>
      <x:c r="S102" s="9" t="n">
        <x:f>A102</x:f>
        <x:v>-0.167</x:v>
      </x:c>
      <x:c r="T102" s="9" t="n">
        <x:f>(Inputs!$I$6+(((A102)+1)/2)*(Inputs!$J$6-Inputs!$I$6))</x:f>
        <x:v>-10.020000000000003</x:v>
      </x:c>
      <x:c r="U102" s="9" t="n">
        <x:f>(Inputs!$I$7+(((A102)+1)/2)*(Inputs!$J$7-Inputs!$I$7))</x:f>
        <x:v>-66.80000000000001</x:v>
      </x:c>
      <x:c r="V102" s="9" t="n">
        <x:f>(Inputs!$I$8+(((A102)+1)/2)*(Inputs!$J$8-Inputs!$I$8))</x:f>
        <x:v>-133.60000000000002</x:v>
      </x:c>
      <x:c r="W102" s="9" t="n">
        <x:f>(Inputs!$I$9+(((A102)+1)/2)*(Inputs!$J$9-Inputs!$I$9))</x:f>
        <x:v>-133.60000000000002</x:v>
      </x:c>
      <x:c r="X102" s="10" t="n"/>
      <x:c r="Y102" s="9" t="n">
        <x:f>A102</x:f>
        <x:v>-0.167</x:v>
      </x:c>
      <x:c r="Z102" s="9" t="n">
        <x:f>(Inputs!$H$6+Inputs!$L$6*(((Inputs!$I$6+(((A102)+1)/2)*(Inputs!$J$6-Inputs!$I$6)))/Inputs!$K$6)^2)</x:f>
        <x:v>400.111556</x:v>
      </x:c>
      <x:c r="AA102" s="9" t="n">
        <x:f>(Inputs!$H$7+Inputs!$L$7*(((Inputs!$I$7+(((A102)+1)/2)*(Inputs!$J$7-Inputs!$I$7)))/Inputs!$K$7)^2)</x:f>
        <x:v>45.179485</x:v>
      </x:c>
      <x:c r="AB102" s="9" t="n">
        <x:f>(Inputs!$H$8+Inputs!$L$8*(((Inputs!$I$8+(((A102)+1)/2)*(Inputs!$J$8-Inputs!$I$8)))/Inputs!$K$8)^2)</x:f>
        <x:v>61.91288500000001</x:v>
      </x:c>
      <x:c r="AC102" s="9" t="n">
        <x:f>(Inputs!$H$9+Inputs!$L$9*(((Inputs!$I$9+(((A102)+1)/2)*(Inputs!$J$9-Inputs!$I$9)))/Inputs!$K$9)^2)</x:f>
        <x:v>52.19177500000001</x:v>
      </x:c>
      <x:c r="AD102" s="10" t="n"/>
      <x:c r="AE102" s="9" t="n">
        <x:f>A102</x:f>
        <x:v>-0.167</x:v>
      </x:c>
      <x:c r="AF102" s="9"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9"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9"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9"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10" t="n"/>
      <x:c r="AK102" s="9" t="n">
        <x:f>A102</x:f>
        <x:v>-0.167</x:v>
      </x:c>
      <x:c r="AL102" s="9"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9"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9"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9"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10" t="n"/>
      <x:c r="AQ102" s="9" t="n">
        <x:f>A102</x:f>
        <x:v>-0.167</x:v>
      </x:c>
      <x:c r="AR102" s="9" t="n">
        <x:f>0</x:f>
        <x:v>0</x:v>
      </x:c>
      <x:c r="AS102" s="9"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x:f>
        <x:v>463.94875984945276</x:v>
      </x:c>
      <x:c r="AT102" s="9"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x:f>
        <x:v>218.3616731290067</x:v>
      </x:c>
      <x:c r="AU102" s="9"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x:f>
        <x:v>121.5271229913207</x:v>
      </x:c>
      <x:c r="AV102" s="9"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x:f>
        <x:v>121.5271229913207</x:v>
      </x:c>
      <x:c r="AW102" s="10" t="n"/>
      <x:c r="AX102" s="9" t="n">
        <x:f>A102</x:f>
        <x:v>-0.167</x:v>
      </x:c>
      <x:c r="AY102" s="9" t="n">
        <x:f>0</x:f>
        <x:v>0</x:v>
      </x:c>
      <x:c r="AZ102" s="9" t="n">
        <x:f>IF(OR(Inputs!$F$6=TRUE,Inputs!$F$6="TRUE",Inputs!$F$6=1),(Inputs!$H$6+Inputs!$L$6*(((Inputs!$I$6+(((A102)+1)/2)*(Inputs!$J$6-Inputs!$I$6)))/Inputs!$K$6)^2),NA())</x:f>
        <x:v>400.111556</x:v>
      </x:c>
      <x:c r="BA102" s="9" t="n">
        <x:f>IF(OR(Inputs!$F$7=TRUE,Inputs!$F$7="TRUE",Inputs!$F$7=1),(Inputs!$H$7+Inputs!$L$7*(((Inputs!$I$7+(((A102)+1)/2)*(Inputs!$J$7-Inputs!$I$7)))/Inputs!$K$7)^2),NA())</x:f>
        <x:v>45.179485</x:v>
      </x:c>
      <x:c r="BB102" s="9" t="n">
        <x:f>IF(OR(Inputs!$F$8=TRUE,Inputs!$F$8="TRUE",Inputs!$F$8=1),(Inputs!$H$8+Inputs!$L$8*(((Inputs!$I$8+(((A102)+1)/2)*(Inputs!$J$8-Inputs!$I$8)))/Inputs!$K$8)^2),NA())</x:f>
        <x:v>61.91288500000001</x:v>
      </x:c>
      <x:c r="BC102" s="9" t="n">
        <x:f>IF(OR(Inputs!$F$9=TRUE,Inputs!$F$9="TRUE",Inputs!$F$9=1),(Inputs!$H$9+Inputs!$L$9*(((Inputs!$I$9+(((A102)+1)/2)*(Inputs!$J$9-Inputs!$I$9)))/Inputs!$K$9)^2),NA())</x:f>
        <x:v>52.19177500000001</x:v>
      </x:c>
      <x:c r="BD102" s="10" t="n"/>
      <x:c r="BE102" s="9" t="n">
        <x:f>A102</x:f>
        <x:v>-0.167</x:v>
      </x:c>
      <x:c r="BF102" s="9" t="n">
        <x:f>0</x:f>
        <x:v>0</x:v>
      </x:c>
      <x:c r="BG102" s="9"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9"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9"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9"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9" t="n">
        <x:f>ROUND(-1+101*2/240,3)</x:f>
        <x:v>-0.158</x:v>
      </x:c>
      <x:c r="B103" s="9" t="n">
        <x:f>IF(OR(Inputs!$F$6=TRUE,Inputs!$F$6="TRUE",Inputs!$F$6=1),(Inputs!$H$6+Inputs!$L$6*(((Inputs!$I$6+(((A103)+1)/2)*(Inputs!$J$6-Inputs!$I$6)))/Inputs!$K$6)^2),NA())</x:f>
        <x:v>400.099856</x:v>
      </x:c>
      <x:c r="C103" s="9" t="n">
        <x:f>IF(OR(Inputs!$F$7=TRUE,Inputs!$F$7="TRUE",Inputs!$F$7=1),(Inputs!$H$7+Inputs!$L$7*(((Inputs!$I$7+(((A103)+1)/2)*(Inputs!$J$7-Inputs!$I$7)))/Inputs!$K$7)^2),NA())</x:f>
        <x:v>44.11186</x:v>
      </x:c>
      <x:c r="D103" s="9" t="n">
        <x:f>IF(OR(Inputs!$F$8=TRUE,Inputs!$F$8="TRUE",Inputs!$F$8=1),(Inputs!$H$8+Inputs!$L$8*(((Inputs!$I$8+(((A103)+1)/2)*(Inputs!$J$8-Inputs!$I$8)))/Inputs!$K$8)^2),NA())</x:f>
        <x:v>59.090259999999994</x:v>
      </x:c>
      <x:c r="E103" s="9" t="n">
        <x:f>IF(OR(Inputs!$F$9=TRUE,Inputs!$F$9="TRUE",Inputs!$F$9=1),(Inputs!$H$9+Inputs!$L$9*(((Inputs!$I$9+(((A103)+1)/2)*(Inputs!$J$9-Inputs!$I$9)))/Inputs!$K$9)^2),NA())</x:f>
        <x:v>49.33989999999999</x:v>
      </x:c>
      <x:c r="F103" s="10" t="n"/>
      <x:c r="G103" s="9" t="n">
        <x:f>A103</x:f>
        <x:v>-0.158</x:v>
      </x:c>
      <x:c r="H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10" t="n"/>
      <x:c r="M103" s="9" t="n">
        <x:f>A103</x:f>
        <x:v>-0.158</x:v>
      </x:c>
      <x:c r="N103" s="9"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9"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9"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9"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10" t="n"/>
      <x:c r="S103" s="9" t="n">
        <x:f>A103</x:f>
        <x:v>-0.158</x:v>
      </x:c>
      <x:c r="T103" s="9" t="n">
        <x:f>(Inputs!$I$6+(((A103)+1)/2)*(Inputs!$J$6-Inputs!$I$6))</x:f>
        <x:v>-9.480000000000004</x:v>
      </x:c>
      <x:c r="U103" s="9" t="n">
        <x:f>(Inputs!$I$7+(((A103)+1)/2)*(Inputs!$J$7-Inputs!$I$7))</x:f>
        <x:v>-63.19999999999999</x:v>
      </x:c>
      <x:c r="V103" s="9" t="n">
        <x:f>(Inputs!$I$8+(((A103)+1)/2)*(Inputs!$J$8-Inputs!$I$8))</x:f>
        <x:v>-126.39999999999998</x:v>
      </x:c>
      <x:c r="W103" s="9" t="n">
        <x:f>(Inputs!$I$9+(((A103)+1)/2)*(Inputs!$J$9-Inputs!$I$9))</x:f>
        <x:v>-126.39999999999998</x:v>
      </x:c>
      <x:c r="X103" s="10" t="n"/>
      <x:c r="Y103" s="9" t="n">
        <x:f>A103</x:f>
        <x:v>-0.158</x:v>
      </x:c>
      <x:c r="Z103" s="9" t="n">
        <x:f>(Inputs!$H$6+Inputs!$L$6*(((Inputs!$I$6+(((A103)+1)/2)*(Inputs!$J$6-Inputs!$I$6)))/Inputs!$K$6)^2)</x:f>
        <x:v>400.099856</x:v>
      </x:c>
      <x:c r="AA103" s="9" t="n">
        <x:f>(Inputs!$H$7+Inputs!$L$7*(((Inputs!$I$7+(((A103)+1)/2)*(Inputs!$J$7-Inputs!$I$7)))/Inputs!$K$7)^2)</x:f>
        <x:v>44.11186</x:v>
      </x:c>
      <x:c r="AB103" s="9" t="n">
        <x:f>(Inputs!$H$8+Inputs!$L$8*(((Inputs!$I$8+(((A103)+1)/2)*(Inputs!$J$8-Inputs!$I$8)))/Inputs!$K$8)^2)</x:f>
        <x:v>59.090259999999994</x:v>
      </x:c>
      <x:c r="AC103" s="9" t="n">
        <x:f>(Inputs!$H$9+Inputs!$L$9*(((Inputs!$I$9+(((A103)+1)/2)*(Inputs!$J$9-Inputs!$I$9)))/Inputs!$K$9)^2)</x:f>
        <x:v>49.33989999999999</x:v>
      </x:c>
      <x:c r="AD103" s="10" t="n"/>
      <x:c r="AE103" s="9" t="n">
        <x:f>A103</x:f>
        <x:v>-0.158</x:v>
      </x:c>
      <x:c r="AF103" s="9"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9"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9"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9"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10" t="n"/>
      <x:c r="AK103" s="9" t="n">
        <x:f>A103</x:f>
        <x:v>-0.158</x:v>
      </x:c>
      <x:c r="AL103" s="9"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9"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9"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9"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10" t="n"/>
      <x:c r="AQ103" s="9" t="n">
        <x:f>A103</x:f>
        <x:v>-0.158</x:v>
      </x:c>
      <x:c r="AR103" s="9" t="n">
        <x:f>0</x:f>
        <x:v>0</x:v>
      </x:c>
      <x:c r="AS103" s="9"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x:f>
        <x:v>463.79010570511156</x:v>
      </x:c>
      <x:c r="AT103" s="9"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x:f>
        <x:v>154.66089405905174</x:v>
      </x:c>
      <x:c r="AU103" s="9"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x:f>
        <x:v>168.45952248322774</x:v>
      </x:c>
      <x:c r="AV103" s="9"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x:f>
        <x:v>168.45952248322774</x:v>
      </x:c>
      <x:c r="AW103" s="10" t="n"/>
      <x:c r="AX103" s="9" t="n">
        <x:f>A103</x:f>
        <x:v>-0.158</x:v>
      </x:c>
      <x:c r="AY103" s="9" t="n">
        <x:f>0</x:f>
        <x:v>0</x:v>
      </x:c>
      <x:c r="AZ103" s="9" t="n">
        <x:f>IF(OR(Inputs!$F$6=TRUE,Inputs!$F$6="TRUE",Inputs!$F$6=1),(Inputs!$H$6+Inputs!$L$6*(((Inputs!$I$6+(((A103)+1)/2)*(Inputs!$J$6-Inputs!$I$6)))/Inputs!$K$6)^2),NA())</x:f>
        <x:v>400.099856</x:v>
      </x:c>
      <x:c r="BA103" s="9" t="n">
        <x:f>IF(OR(Inputs!$F$7=TRUE,Inputs!$F$7="TRUE",Inputs!$F$7=1),(Inputs!$H$7+Inputs!$L$7*(((Inputs!$I$7+(((A103)+1)/2)*(Inputs!$J$7-Inputs!$I$7)))/Inputs!$K$7)^2),NA())</x:f>
        <x:v>44.11186</x:v>
      </x:c>
      <x:c r="BB103" s="9" t="n">
        <x:f>IF(OR(Inputs!$F$8=TRUE,Inputs!$F$8="TRUE",Inputs!$F$8=1),(Inputs!$H$8+Inputs!$L$8*(((Inputs!$I$8+(((A103)+1)/2)*(Inputs!$J$8-Inputs!$I$8)))/Inputs!$K$8)^2),NA())</x:f>
        <x:v>59.090259999999994</x:v>
      </x:c>
      <x:c r="BC103" s="9" t="n">
        <x:f>IF(OR(Inputs!$F$9=TRUE,Inputs!$F$9="TRUE",Inputs!$F$9=1),(Inputs!$H$9+Inputs!$L$9*(((Inputs!$I$9+(((A103)+1)/2)*(Inputs!$J$9-Inputs!$I$9)))/Inputs!$K$9)^2),NA())</x:f>
        <x:v>49.33989999999999</x:v>
      </x:c>
      <x:c r="BD103" s="10" t="n"/>
      <x:c r="BE103" s="9" t="n">
        <x:f>A103</x:f>
        <x:v>-0.158</x:v>
      </x:c>
      <x:c r="BF103" s="9" t="n">
        <x:f>0</x:f>
        <x:v>0</x:v>
      </x:c>
      <x:c r="BG103" s="9"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9"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9"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9"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9" t="n">
        <x:f>ROUND(-1+102*2/240,3)</x:f>
        <x:v>-0.15</x:v>
      </x:c>
      <x:c r="B104" s="9" t="n">
        <x:f>IF(OR(Inputs!$F$6=TRUE,Inputs!$F$6="TRUE",Inputs!$F$6=1),(Inputs!$H$6+Inputs!$L$6*(((Inputs!$I$6+(((A104)+1)/2)*(Inputs!$J$6-Inputs!$I$6)))/Inputs!$K$6)^2),NA())</x:f>
        <x:v>400.09</x:v>
      </x:c>
      <x:c r="C104" s="9" t="n">
        <x:f>IF(OR(Inputs!$F$7=TRUE,Inputs!$F$7="TRUE",Inputs!$F$7=1),(Inputs!$H$7+Inputs!$L$7*(((Inputs!$I$7+(((A104)+1)/2)*(Inputs!$J$7-Inputs!$I$7)))/Inputs!$K$7)^2),NA())</x:f>
        <x:v>43.2125</x:v>
      </x:c>
      <x:c r="D104" s="9" t="n">
        <x:f>IF(OR(Inputs!$F$8=TRUE,Inputs!$F$8="TRUE",Inputs!$F$8=1),(Inputs!$H$8+Inputs!$L$8*(((Inputs!$I$8+(((A104)+1)/2)*(Inputs!$J$8-Inputs!$I$8)))/Inputs!$K$8)^2),NA())</x:f>
        <x:v>56.7125</x:v>
      </x:c>
      <x:c r="E104" s="9" t="n">
        <x:f>IF(OR(Inputs!$F$9=TRUE,Inputs!$F$9="TRUE",Inputs!$F$9=1),(Inputs!$H$9+Inputs!$L$9*(((Inputs!$I$9+(((A104)+1)/2)*(Inputs!$J$9-Inputs!$I$9)))/Inputs!$K$9)^2),NA())</x:f>
        <x:v>46.9375</x:v>
      </x:c>
      <x:c r="F104" s="10" t="n"/>
      <x:c r="G104" s="9" t="n">
        <x:f>A104</x:f>
        <x:v>-0.15</x:v>
      </x:c>
      <x:c r="H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10" t="n"/>
      <x:c r="M104" s="9" t="n">
        <x:f>A104</x:f>
        <x:v>-0.15</x:v>
      </x:c>
      <x:c r="N104" s="9"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9"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9"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9"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10" t="n"/>
      <x:c r="S104" s="9" t="n">
        <x:f>A104</x:f>
        <x:v>-0.15</x:v>
      </x:c>
      <x:c r="T104" s="9" t="n">
        <x:f>(Inputs!$I$6+(((A104)+1)/2)*(Inputs!$J$6-Inputs!$I$6))</x:f>
        <x:v>-9</x:v>
      </x:c>
      <x:c r="U104" s="9" t="n">
        <x:f>(Inputs!$I$7+(((A104)+1)/2)*(Inputs!$J$7-Inputs!$I$7))</x:f>
        <x:v>-60</x:v>
      </x:c>
      <x:c r="V104" s="9" t="n">
        <x:f>(Inputs!$I$8+(((A104)+1)/2)*(Inputs!$J$8-Inputs!$I$8))</x:f>
        <x:v>-120</x:v>
      </x:c>
      <x:c r="W104" s="9" t="n">
        <x:f>(Inputs!$I$9+(((A104)+1)/2)*(Inputs!$J$9-Inputs!$I$9))</x:f>
        <x:v>-120</x:v>
      </x:c>
      <x:c r="X104" s="10" t="n"/>
      <x:c r="Y104" s="9" t="n">
        <x:f>A104</x:f>
        <x:v>-0.15</x:v>
      </x:c>
      <x:c r="Z104" s="9" t="n">
        <x:f>(Inputs!$H$6+Inputs!$L$6*(((Inputs!$I$6+(((A104)+1)/2)*(Inputs!$J$6-Inputs!$I$6)))/Inputs!$K$6)^2)</x:f>
        <x:v>400.09</x:v>
      </x:c>
      <x:c r="AA104" s="9" t="n">
        <x:f>(Inputs!$H$7+Inputs!$L$7*(((Inputs!$I$7+(((A104)+1)/2)*(Inputs!$J$7-Inputs!$I$7)))/Inputs!$K$7)^2)</x:f>
        <x:v>43.2125</x:v>
      </x:c>
      <x:c r="AB104" s="9" t="n">
        <x:f>(Inputs!$H$8+Inputs!$L$8*(((Inputs!$I$8+(((A104)+1)/2)*(Inputs!$J$8-Inputs!$I$8)))/Inputs!$K$8)^2)</x:f>
        <x:v>56.7125</x:v>
      </x:c>
      <x:c r="AC104" s="9" t="n">
        <x:f>(Inputs!$H$9+Inputs!$L$9*(((Inputs!$I$9+(((A104)+1)/2)*(Inputs!$J$9-Inputs!$I$9)))/Inputs!$K$9)^2)</x:f>
        <x:v>46.9375</x:v>
      </x:c>
      <x:c r="AD104" s="10" t="n"/>
      <x:c r="AE104" s="9" t="n">
        <x:f>A104</x:f>
        <x:v>-0.15</x:v>
      </x:c>
      <x:c r="AF104" s="9"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9"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9"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9"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10" t="n"/>
      <x:c r="AK104" s="9" t="n">
        <x:f>A104</x:f>
        <x:v>-0.15</x:v>
      </x:c>
      <x:c r="AL104" s="9"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9"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9"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9"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10" t="n"/>
      <x:c r="AQ104" s="9" t="n">
        <x:f>A104</x:f>
        <x:v>-0.15</x:v>
      </x:c>
      <x:c r="AR104" s="9" t="n">
        <x:f>0</x:f>
        <x:v>0</x:v>
      </x:c>
      <x:c r="AS104" s="9"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x:f>
        <x:v>480.618285675218</x:v>
      </x:c>
      <x:c r="AT104" s="9"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x:f>
        <x:v>119.42638570504096</x:v>
      </x:c>
      <x:c r="AU104" s="9"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x:f>
        <x:v>187.74824264735327</x:v>
      </x:c>
      <x:c r="AV104" s="9"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x:f>
        <x:v>187.74824264735327</x:v>
      </x:c>
      <x:c r="AW104" s="10" t="n"/>
      <x:c r="AX104" s="9" t="n">
        <x:f>A104</x:f>
        <x:v>-0.15</x:v>
      </x:c>
      <x:c r="AY104" s="9" t="n">
        <x:f>0</x:f>
        <x:v>0</x:v>
      </x:c>
      <x:c r="AZ104" s="9" t="n">
        <x:f>IF(OR(Inputs!$F$6=TRUE,Inputs!$F$6="TRUE",Inputs!$F$6=1),(Inputs!$H$6+Inputs!$L$6*(((Inputs!$I$6+(((A104)+1)/2)*(Inputs!$J$6-Inputs!$I$6)))/Inputs!$K$6)^2),NA())</x:f>
        <x:v>400.09</x:v>
      </x:c>
      <x:c r="BA104" s="9" t="n">
        <x:f>IF(OR(Inputs!$F$7=TRUE,Inputs!$F$7="TRUE",Inputs!$F$7=1),(Inputs!$H$7+Inputs!$L$7*(((Inputs!$I$7+(((A104)+1)/2)*(Inputs!$J$7-Inputs!$I$7)))/Inputs!$K$7)^2),NA())</x:f>
        <x:v>43.2125</x:v>
      </x:c>
      <x:c r="BB104" s="9" t="n">
        <x:f>IF(OR(Inputs!$F$8=TRUE,Inputs!$F$8="TRUE",Inputs!$F$8=1),(Inputs!$H$8+Inputs!$L$8*(((Inputs!$I$8+(((A104)+1)/2)*(Inputs!$J$8-Inputs!$I$8)))/Inputs!$K$8)^2),NA())</x:f>
        <x:v>56.7125</x:v>
      </x:c>
      <x:c r="BC104" s="9" t="n">
        <x:f>IF(OR(Inputs!$F$9=TRUE,Inputs!$F$9="TRUE",Inputs!$F$9=1),(Inputs!$H$9+Inputs!$L$9*(((Inputs!$I$9+(((A104)+1)/2)*(Inputs!$J$9-Inputs!$I$9)))/Inputs!$K$9)^2),NA())</x:f>
        <x:v>46.9375</x:v>
      </x:c>
      <x:c r="BD104" s="10" t="n"/>
      <x:c r="BE104" s="9" t="n">
        <x:f>A104</x:f>
        <x:v>-0.15</x:v>
      </x:c>
      <x:c r="BF104" s="9" t="n">
        <x:f>0</x:f>
        <x:v>0</x:v>
      </x:c>
      <x:c r="BG104" s="9"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9"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9"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9"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9" t="n">
        <x:f>ROUND(-1+103*2/240,3)</x:f>
        <x:v>-0.142</x:v>
      </x:c>
      <x:c r="B105" s="9" t="n">
        <x:f>IF(OR(Inputs!$F$6=TRUE,Inputs!$F$6="TRUE",Inputs!$F$6=1),(Inputs!$H$6+Inputs!$L$6*(((Inputs!$I$6+(((A105)+1)/2)*(Inputs!$J$6-Inputs!$I$6)))/Inputs!$K$6)^2),NA())</x:f>
        <x:v>400.080656</x:v>
      </x:c>
      <x:c r="C105" s="9" t="n">
        <x:f>IF(OR(Inputs!$F$7=TRUE,Inputs!$F$7="TRUE",Inputs!$F$7=1),(Inputs!$H$7+Inputs!$L$7*(((Inputs!$I$7+(((A105)+1)/2)*(Inputs!$J$7-Inputs!$I$7)))/Inputs!$K$7)^2),NA())</x:f>
        <x:v>42.359860000000005</x:v>
      </x:c>
      <x:c r="D105" s="9" t="n">
        <x:f>IF(OR(Inputs!$F$8=TRUE,Inputs!$F$8="TRUE",Inputs!$F$8=1),(Inputs!$H$8+Inputs!$L$8*(((Inputs!$I$8+(((A105)+1)/2)*(Inputs!$J$8-Inputs!$I$8)))/Inputs!$K$8)^2),NA())</x:f>
        <x:v>54.45826000000001</x:v>
      </x:c>
      <x:c r="E105" s="9" t="n">
        <x:f>IF(OR(Inputs!$F$9=TRUE,Inputs!$F$9="TRUE",Inputs!$F$9=1),(Inputs!$H$9+Inputs!$L$9*(((Inputs!$I$9+(((A105)+1)/2)*(Inputs!$J$9-Inputs!$I$9)))/Inputs!$K$9)^2),NA())</x:f>
        <x:v>44.65990000000001</x:v>
      </x:c>
      <x:c r="F105" s="10" t="n"/>
      <x:c r="G105" s="9" t="n">
        <x:f>A105</x:f>
        <x:v>-0.142</x:v>
      </x:c>
      <x:c r="H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10" t="n"/>
      <x:c r="M105" s="9" t="n">
        <x:f>A105</x:f>
        <x:v>-0.142</x:v>
      </x:c>
      <x:c r="N105" s="9"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9"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9"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9"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10" t="n"/>
      <x:c r="S105" s="9" t="n">
        <x:f>A105</x:f>
        <x:v>-0.142</x:v>
      </x:c>
      <x:c r="T105" s="9" t="n">
        <x:f>(Inputs!$I$6+(((A105)+1)/2)*(Inputs!$J$6-Inputs!$I$6))</x:f>
        <x:v>-8.520000000000003</x:v>
      </x:c>
      <x:c r="U105" s="9" t="n">
        <x:f>(Inputs!$I$7+(((A105)+1)/2)*(Inputs!$J$7-Inputs!$I$7))</x:f>
        <x:v>-56.80000000000001</x:v>
      </x:c>
      <x:c r="V105" s="9" t="n">
        <x:f>(Inputs!$I$8+(((A105)+1)/2)*(Inputs!$J$8-Inputs!$I$8))</x:f>
        <x:v>-113.60000000000002</x:v>
      </x:c>
      <x:c r="W105" s="9" t="n">
        <x:f>(Inputs!$I$9+(((A105)+1)/2)*(Inputs!$J$9-Inputs!$I$9))</x:f>
        <x:v>-113.60000000000002</x:v>
      </x:c>
      <x:c r="X105" s="10" t="n"/>
      <x:c r="Y105" s="9" t="n">
        <x:f>A105</x:f>
        <x:v>-0.142</x:v>
      </x:c>
      <x:c r="Z105" s="9" t="n">
        <x:f>(Inputs!$H$6+Inputs!$L$6*(((Inputs!$I$6+(((A105)+1)/2)*(Inputs!$J$6-Inputs!$I$6)))/Inputs!$K$6)^2)</x:f>
        <x:v>400.080656</x:v>
      </x:c>
      <x:c r="AA105" s="9" t="n">
        <x:f>(Inputs!$H$7+Inputs!$L$7*(((Inputs!$I$7+(((A105)+1)/2)*(Inputs!$J$7-Inputs!$I$7)))/Inputs!$K$7)^2)</x:f>
        <x:v>42.359860000000005</x:v>
      </x:c>
      <x:c r="AB105" s="9" t="n">
        <x:f>(Inputs!$H$8+Inputs!$L$8*(((Inputs!$I$8+(((A105)+1)/2)*(Inputs!$J$8-Inputs!$I$8)))/Inputs!$K$8)^2)</x:f>
        <x:v>54.45826000000001</x:v>
      </x:c>
      <x:c r="AC105" s="9" t="n">
        <x:f>(Inputs!$H$9+Inputs!$L$9*(((Inputs!$I$9+(((A105)+1)/2)*(Inputs!$J$9-Inputs!$I$9)))/Inputs!$K$9)^2)</x:f>
        <x:v>44.65990000000001</x:v>
      </x:c>
      <x:c r="AD105" s="10" t="n"/>
      <x:c r="AE105" s="9" t="n">
        <x:f>A105</x:f>
        <x:v>-0.142</x:v>
      </x:c>
      <x:c r="AF105" s="9"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9"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9"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9"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10" t="n"/>
      <x:c r="AK105" s="9" t="n">
        <x:f>A105</x:f>
        <x:v>-0.142</x:v>
      </x:c>
      <x:c r="AL105" s="9"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9"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9"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9"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10" t="n"/>
      <x:c r="AQ105" s="9" t="n">
        <x:f>A105</x:f>
        <x:v>-0.142</x:v>
      </x:c>
      <x:c r="AR105" s="9" t="n">
        <x:f>0</x:f>
        <x:v>0</x:v>
      </x:c>
      <x:c r="AS105" s="9"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x:f>
        <x:v>472.3343784605022</x:v>
      </x:c>
      <x:c r="AT105" s="9"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x:f>
        <x:v>145.9535394897241</x:v>
      </x:c>
      <x:c r="AU105" s="9"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x:f>
        <x:v>116.3409478722638</x:v>
      </x:c>
      <x:c r="AV105" s="9"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x:f>
        <x:v>116.3409478722638</x:v>
      </x:c>
      <x:c r="AW105" s="10" t="n"/>
      <x:c r="AX105" s="9" t="n">
        <x:f>A105</x:f>
        <x:v>-0.142</x:v>
      </x:c>
      <x:c r="AY105" s="9" t="n">
        <x:f>0</x:f>
        <x:v>0</x:v>
      </x:c>
      <x:c r="AZ105" s="9" t="n">
        <x:f>IF(OR(Inputs!$F$6=TRUE,Inputs!$F$6="TRUE",Inputs!$F$6=1),(Inputs!$H$6+Inputs!$L$6*(((Inputs!$I$6+(((A105)+1)/2)*(Inputs!$J$6-Inputs!$I$6)))/Inputs!$K$6)^2),NA())</x:f>
        <x:v>400.080656</x:v>
      </x:c>
      <x:c r="BA105" s="9" t="n">
        <x:f>IF(OR(Inputs!$F$7=TRUE,Inputs!$F$7="TRUE",Inputs!$F$7=1),(Inputs!$H$7+Inputs!$L$7*(((Inputs!$I$7+(((A105)+1)/2)*(Inputs!$J$7-Inputs!$I$7)))/Inputs!$K$7)^2),NA())</x:f>
        <x:v>42.359860000000005</x:v>
      </x:c>
      <x:c r="BB105" s="9" t="n">
        <x:f>IF(OR(Inputs!$F$8=TRUE,Inputs!$F$8="TRUE",Inputs!$F$8=1),(Inputs!$H$8+Inputs!$L$8*(((Inputs!$I$8+(((A105)+1)/2)*(Inputs!$J$8-Inputs!$I$8)))/Inputs!$K$8)^2),NA())</x:f>
        <x:v>54.45826000000001</x:v>
      </x:c>
      <x:c r="BC105" s="9" t="n">
        <x:f>IF(OR(Inputs!$F$9=TRUE,Inputs!$F$9="TRUE",Inputs!$F$9=1),(Inputs!$H$9+Inputs!$L$9*(((Inputs!$I$9+(((A105)+1)/2)*(Inputs!$J$9-Inputs!$I$9)))/Inputs!$K$9)^2),NA())</x:f>
        <x:v>44.65990000000001</x:v>
      </x:c>
      <x:c r="BD105" s="10" t="n"/>
      <x:c r="BE105" s="9" t="n">
        <x:f>A105</x:f>
        <x:v>-0.142</x:v>
      </x:c>
      <x:c r="BF105" s="9" t="n">
        <x:f>0</x:f>
        <x:v>0</x:v>
      </x:c>
      <x:c r="BG105" s="9"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9"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9"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9"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9" t="n">
        <x:f>ROUND(-1+104*2/240,3)</x:f>
        <x:v>-0.133</x:v>
      </x:c>
      <x:c r="B106" s="9" t="n">
        <x:f>IF(OR(Inputs!$F$6=TRUE,Inputs!$F$6="TRUE",Inputs!$F$6=1),(Inputs!$H$6+Inputs!$L$6*(((Inputs!$I$6+(((A106)+1)/2)*(Inputs!$J$6-Inputs!$I$6)))/Inputs!$K$6)^2),NA())</x:f>
        <x:v>400.070756</x:v>
      </x:c>
      <x:c r="C106" s="9" t="n">
        <x:f>IF(OR(Inputs!$F$7=TRUE,Inputs!$F$7="TRUE",Inputs!$F$7=1),(Inputs!$H$7+Inputs!$L$7*(((Inputs!$I$7+(((A106)+1)/2)*(Inputs!$J$7-Inputs!$I$7)))/Inputs!$K$7)^2),NA())</x:f>
        <x:v>41.456485</x:v>
      </x:c>
      <x:c r="D106" s="9" t="n">
        <x:f>IF(OR(Inputs!$F$8=TRUE,Inputs!$F$8="TRUE",Inputs!$F$8=1),(Inputs!$H$8+Inputs!$L$8*(((Inputs!$I$8+(((A106)+1)/2)*(Inputs!$J$8-Inputs!$I$8)))/Inputs!$K$8)^2),NA())</x:f>
        <x:v>52.06988499999999</x:v>
      </x:c>
      <x:c r="E106" s="9" t="n">
        <x:f>IF(OR(Inputs!$F$9=TRUE,Inputs!$F$9="TRUE",Inputs!$F$9=1),(Inputs!$H$9+Inputs!$L$9*(((Inputs!$I$9+(((A106)+1)/2)*(Inputs!$J$9-Inputs!$I$9)))/Inputs!$K$9)^2),NA())</x:f>
        <x:v>42.24677499999999</x:v>
      </x:c>
      <x:c r="F106" s="10" t="n"/>
      <x:c r="G106" s="9" t="n">
        <x:f>A106</x:f>
        <x:v>-0.133</x:v>
      </x:c>
      <x:c r="H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10" t="n"/>
      <x:c r="M106" s="9" t="n">
        <x:f>A106</x:f>
        <x:v>-0.133</x:v>
      </x:c>
      <x:c r="N106" s="9"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9"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9"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9"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10" t="n"/>
      <x:c r="S106" s="9" t="n">
        <x:f>A106</x:f>
        <x:v>-0.133</x:v>
      </x:c>
      <x:c r="T106" s="9" t="n">
        <x:f>(Inputs!$I$6+(((A106)+1)/2)*(Inputs!$J$6-Inputs!$I$6))</x:f>
        <x:v>-7.980000000000004</x:v>
      </x:c>
      <x:c r="U106" s="9" t="n">
        <x:f>(Inputs!$I$7+(((A106)+1)/2)*(Inputs!$J$7-Inputs!$I$7))</x:f>
        <x:v>-53.19999999999999</x:v>
      </x:c>
      <x:c r="V106" s="9" t="n">
        <x:f>(Inputs!$I$8+(((A106)+1)/2)*(Inputs!$J$8-Inputs!$I$8))</x:f>
        <x:v>-106.39999999999998</x:v>
      </x:c>
      <x:c r="W106" s="9" t="n">
        <x:f>(Inputs!$I$9+(((A106)+1)/2)*(Inputs!$J$9-Inputs!$I$9))</x:f>
        <x:v>-106.39999999999998</x:v>
      </x:c>
      <x:c r="X106" s="10" t="n"/>
      <x:c r="Y106" s="9" t="n">
        <x:f>A106</x:f>
        <x:v>-0.133</x:v>
      </x:c>
      <x:c r="Z106" s="9" t="n">
        <x:f>(Inputs!$H$6+Inputs!$L$6*(((Inputs!$I$6+(((A106)+1)/2)*(Inputs!$J$6-Inputs!$I$6)))/Inputs!$K$6)^2)</x:f>
        <x:v>400.070756</x:v>
      </x:c>
      <x:c r="AA106" s="9" t="n">
        <x:f>(Inputs!$H$7+Inputs!$L$7*(((Inputs!$I$7+(((A106)+1)/2)*(Inputs!$J$7-Inputs!$I$7)))/Inputs!$K$7)^2)</x:f>
        <x:v>41.456485</x:v>
      </x:c>
      <x:c r="AB106" s="9" t="n">
        <x:f>(Inputs!$H$8+Inputs!$L$8*(((Inputs!$I$8+(((A106)+1)/2)*(Inputs!$J$8-Inputs!$I$8)))/Inputs!$K$8)^2)</x:f>
        <x:v>52.06988499999999</x:v>
      </x:c>
      <x:c r="AC106" s="9" t="n">
        <x:f>(Inputs!$H$9+Inputs!$L$9*(((Inputs!$I$9+(((A106)+1)/2)*(Inputs!$J$9-Inputs!$I$9)))/Inputs!$K$9)^2)</x:f>
        <x:v>42.24677499999999</x:v>
      </x:c>
      <x:c r="AD106" s="10" t="n"/>
      <x:c r="AE106" s="9" t="n">
        <x:f>A106</x:f>
        <x:v>-0.133</x:v>
      </x:c>
      <x:c r="AF106" s="9"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9"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9"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9"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10" t="n"/>
      <x:c r="AK106" s="9" t="n">
        <x:f>A106</x:f>
        <x:v>-0.133</x:v>
      </x:c>
      <x:c r="AL106" s="9"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9"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9"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9"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10" t="n"/>
      <x:c r="AQ106" s="9" t="n">
        <x:f>A106</x:f>
        <x:v>-0.133</x:v>
      </x:c>
      <x:c r="AR106" s="9" t="n">
        <x:f>0</x:f>
        <x:v>0</x:v>
      </x:c>
      <x:c r="AS106" s="9"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x:f>
        <x:v>453.6399764700884</x:v>
      </x:c>
      <x:c r="AT106" s="9"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x:f>
        <x:v>225.85584980731934</x:v>
      </x:c>
      <x:c r="AU106" s="9"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x:f>
        <x:v>181.11559070301047</x:v>
      </x:c>
      <x:c r="AV106" s="9"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x:f>
        <x:v>181.11559070301047</x:v>
      </x:c>
      <x:c r="AW106" s="10" t="n"/>
      <x:c r="AX106" s="9" t="n">
        <x:f>A106</x:f>
        <x:v>-0.133</x:v>
      </x:c>
      <x:c r="AY106" s="9" t="n">
        <x:f>0</x:f>
        <x:v>0</x:v>
      </x:c>
      <x:c r="AZ106" s="9" t="n">
        <x:f>IF(OR(Inputs!$F$6=TRUE,Inputs!$F$6="TRUE",Inputs!$F$6=1),(Inputs!$H$6+Inputs!$L$6*(((Inputs!$I$6+(((A106)+1)/2)*(Inputs!$J$6-Inputs!$I$6)))/Inputs!$K$6)^2),NA())</x:f>
        <x:v>400.070756</x:v>
      </x:c>
      <x:c r="BA106" s="9" t="n">
        <x:f>IF(OR(Inputs!$F$7=TRUE,Inputs!$F$7="TRUE",Inputs!$F$7=1),(Inputs!$H$7+Inputs!$L$7*(((Inputs!$I$7+(((A106)+1)/2)*(Inputs!$J$7-Inputs!$I$7)))/Inputs!$K$7)^2),NA())</x:f>
        <x:v>41.456485</x:v>
      </x:c>
      <x:c r="BB106" s="9" t="n">
        <x:f>IF(OR(Inputs!$F$8=TRUE,Inputs!$F$8="TRUE",Inputs!$F$8=1),(Inputs!$H$8+Inputs!$L$8*(((Inputs!$I$8+(((A106)+1)/2)*(Inputs!$J$8-Inputs!$I$8)))/Inputs!$K$8)^2),NA())</x:f>
        <x:v>52.06988499999999</x:v>
      </x:c>
      <x:c r="BC106" s="9" t="n">
        <x:f>IF(OR(Inputs!$F$9=TRUE,Inputs!$F$9="TRUE",Inputs!$F$9=1),(Inputs!$H$9+Inputs!$L$9*(((Inputs!$I$9+(((A106)+1)/2)*(Inputs!$J$9-Inputs!$I$9)))/Inputs!$K$9)^2),NA())</x:f>
        <x:v>42.24677499999999</x:v>
      </x:c>
      <x:c r="BD106" s="10" t="n"/>
      <x:c r="BE106" s="9" t="n">
        <x:f>A106</x:f>
        <x:v>-0.133</x:v>
      </x:c>
      <x:c r="BF106" s="9" t="n">
        <x:f>0</x:f>
        <x:v>0</x:v>
      </x:c>
      <x:c r="BG106" s="9"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9"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9"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9"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9" t="n">
        <x:f>ROUND(-1+105*2/240,3)</x:f>
        <x:v>-0.125</x:v>
      </x:c>
      <x:c r="B107" s="9" t="n">
        <x:f>IF(OR(Inputs!$F$6=TRUE,Inputs!$F$6="TRUE",Inputs!$F$6=1),(Inputs!$H$6+Inputs!$L$6*(((Inputs!$I$6+(((A107)+1)/2)*(Inputs!$J$6-Inputs!$I$6)))/Inputs!$K$6)^2),NA())</x:f>
        <x:v>400.0625</x:v>
      </x:c>
      <x:c r="C107" s="9" t="n">
        <x:f>IF(OR(Inputs!$F$7=TRUE,Inputs!$F$7="TRUE",Inputs!$F$7=1),(Inputs!$H$7+Inputs!$L$7*(((Inputs!$I$7+(((A107)+1)/2)*(Inputs!$J$7-Inputs!$I$7)))/Inputs!$K$7)^2),NA())</x:f>
        <x:v>40.703125</x:v>
      </x:c>
      <x:c r="D107" s="9" t="n">
        <x:f>IF(OR(Inputs!$F$8=TRUE,Inputs!$F$8="TRUE",Inputs!$F$8=1),(Inputs!$H$8+Inputs!$L$8*(((Inputs!$I$8+(((A107)+1)/2)*(Inputs!$J$8-Inputs!$I$8)))/Inputs!$K$8)^2),NA())</x:f>
        <x:v>50.078125</x:v>
      </x:c>
      <x:c r="E107" s="9" t="n">
        <x:f>IF(OR(Inputs!$F$9=TRUE,Inputs!$F$9="TRUE",Inputs!$F$9=1),(Inputs!$H$9+Inputs!$L$9*(((Inputs!$I$9+(((A107)+1)/2)*(Inputs!$J$9-Inputs!$I$9)))/Inputs!$K$9)^2),NA())</x:f>
        <x:v>40.234375</x:v>
      </x:c>
      <x:c r="F107" s="10" t="n"/>
      <x:c r="G107" s="9" t="n">
        <x:f>A107</x:f>
        <x:v>-0.125</x:v>
      </x:c>
      <x:c r="H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10" t="n"/>
      <x:c r="M107" s="9" t="n">
        <x:f>A107</x:f>
        <x:v>-0.125</x:v>
      </x:c>
      <x:c r="N107" s="9"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9"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9"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9"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10" t="n"/>
      <x:c r="S107" s="9" t="n">
        <x:f>A107</x:f>
        <x:v>-0.125</x:v>
      </x:c>
      <x:c r="T107" s="9" t="n">
        <x:f>(Inputs!$I$6+(((A107)+1)/2)*(Inputs!$J$6-Inputs!$I$6))</x:f>
        <x:v>-7.5</x:v>
      </x:c>
      <x:c r="U107" s="9" t="n">
        <x:f>(Inputs!$I$7+(((A107)+1)/2)*(Inputs!$J$7-Inputs!$I$7))</x:f>
        <x:v>-50</x:v>
      </x:c>
      <x:c r="V107" s="9" t="n">
        <x:f>(Inputs!$I$8+(((A107)+1)/2)*(Inputs!$J$8-Inputs!$I$8))</x:f>
        <x:v>-100</x:v>
      </x:c>
      <x:c r="W107" s="9" t="n">
        <x:f>(Inputs!$I$9+(((A107)+1)/2)*(Inputs!$J$9-Inputs!$I$9))</x:f>
        <x:v>-100</x:v>
      </x:c>
      <x:c r="X107" s="10" t="n"/>
      <x:c r="Y107" s="9" t="n">
        <x:f>A107</x:f>
        <x:v>-0.125</x:v>
      </x:c>
      <x:c r="Z107" s="9" t="n">
        <x:f>(Inputs!$H$6+Inputs!$L$6*(((Inputs!$I$6+(((A107)+1)/2)*(Inputs!$J$6-Inputs!$I$6)))/Inputs!$K$6)^2)</x:f>
        <x:v>400.0625</x:v>
      </x:c>
      <x:c r="AA107" s="9" t="n">
        <x:f>(Inputs!$H$7+Inputs!$L$7*(((Inputs!$I$7+(((A107)+1)/2)*(Inputs!$J$7-Inputs!$I$7)))/Inputs!$K$7)^2)</x:f>
        <x:v>40.703125</x:v>
      </x:c>
      <x:c r="AB107" s="9" t="n">
        <x:f>(Inputs!$H$8+Inputs!$L$8*(((Inputs!$I$8+(((A107)+1)/2)*(Inputs!$J$8-Inputs!$I$8)))/Inputs!$K$8)^2)</x:f>
        <x:v>50.078125</x:v>
      </x:c>
      <x:c r="AC107" s="9" t="n">
        <x:f>(Inputs!$H$9+Inputs!$L$9*(((Inputs!$I$9+(((A107)+1)/2)*(Inputs!$J$9-Inputs!$I$9)))/Inputs!$K$9)^2)</x:f>
        <x:v>40.234375</x:v>
      </x:c>
      <x:c r="AD107" s="10" t="n"/>
      <x:c r="AE107" s="9" t="n">
        <x:f>A107</x:f>
        <x:v>-0.125</x:v>
      </x:c>
      <x:c r="AF107" s="9"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9"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9"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9"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10" t="n"/>
      <x:c r="AK107" s="9" t="n">
        <x:f>A107</x:f>
        <x:v>-0.125</x:v>
      </x:c>
      <x:c r="AL107" s="9"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9"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9"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9"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10" t="n"/>
      <x:c r="AQ107" s="9" t="n">
        <x:f>A107</x:f>
        <x:v>-0.125</x:v>
      </x:c>
      <x:c r="AR107" s="9" t="n">
        <x:f>0</x:f>
        <x:v>0</x:v>
      </x:c>
      <x:c r="AS107" s="9"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x:f>
        <x:v>470.2640951439132</x:v>
      </x:c>
      <x:c r="AT107" s="9"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x:f>
        <x:v>273.71504099052385</x:v>
      </x:c>
      <x:c r="AU107" s="9"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x:f>
        <x:v>150.02974859207296</x:v>
      </x:c>
      <x:c r="AV107" s="9"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x:f>
        <x:v>150.02974859207296</x:v>
      </x:c>
      <x:c r="AW107" s="10" t="n"/>
      <x:c r="AX107" s="9" t="n">
        <x:f>A107</x:f>
        <x:v>-0.125</x:v>
      </x:c>
      <x:c r="AY107" s="9" t="n">
        <x:f>0</x:f>
        <x:v>0</x:v>
      </x:c>
      <x:c r="AZ107" s="9" t="n">
        <x:f>IF(OR(Inputs!$F$6=TRUE,Inputs!$F$6="TRUE",Inputs!$F$6=1),(Inputs!$H$6+Inputs!$L$6*(((Inputs!$I$6+(((A107)+1)/2)*(Inputs!$J$6-Inputs!$I$6)))/Inputs!$K$6)^2),NA())</x:f>
        <x:v>400.0625</x:v>
      </x:c>
      <x:c r="BA107" s="9" t="n">
        <x:f>IF(OR(Inputs!$F$7=TRUE,Inputs!$F$7="TRUE",Inputs!$F$7=1),(Inputs!$H$7+Inputs!$L$7*(((Inputs!$I$7+(((A107)+1)/2)*(Inputs!$J$7-Inputs!$I$7)))/Inputs!$K$7)^2),NA())</x:f>
        <x:v>40.703125</x:v>
      </x:c>
      <x:c r="BB107" s="9" t="n">
        <x:f>IF(OR(Inputs!$F$8=TRUE,Inputs!$F$8="TRUE",Inputs!$F$8=1),(Inputs!$H$8+Inputs!$L$8*(((Inputs!$I$8+(((A107)+1)/2)*(Inputs!$J$8-Inputs!$I$8)))/Inputs!$K$8)^2),NA())</x:f>
        <x:v>50.078125</x:v>
      </x:c>
      <x:c r="BC107" s="9" t="n">
        <x:f>IF(OR(Inputs!$F$9=TRUE,Inputs!$F$9="TRUE",Inputs!$F$9=1),(Inputs!$H$9+Inputs!$L$9*(((Inputs!$I$9+(((A107)+1)/2)*(Inputs!$J$9-Inputs!$I$9)))/Inputs!$K$9)^2),NA())</x:f>
        <x:v>40.234375</x:v>
      </x:c>
      <x:c r="BD107" s="10" t="n"/>
      <x:c r="BE107" s="9" t="n">
        <x:f>A107</x:f>
        <x:v>-0.125</x:v>
      </x:c>
      <x:c r="BF107" s="9" t="n">
        <x:f>0</x:f>
        <x:v>0</x:v>
      </x:c>
      <x:c r="BG107" s="9"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9"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9"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9"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9" t="n">
        <x:f>ROUND(-1+106*2/240,3)</x:f>
        <x:v>-0.117</x:v>
      </x:c>
      <x:c r="B108" s="9" t="n">
        <x:f>IF(OR(Inputs!$F$6=TRUE,Inputs!$F$6="TRUE",Inputs!$F$6=1),(Inputs!$H$6+Inputs!$L$6*(((Inputs!$I$6+(((A108)+1)/2)*(Inputs!$J$6-Inputs!$I$6)))/Inputs!$K$6)^2),NA())</x:f>
        <x:v>400.054756</x:v>
      </x:c>
      <x:c r="C108" s="9" t="n">
        <x:f>IF(OR(Inputs!$F$7=TRUE,Inputs!$F$7="TRUE",Inputs!$F$7=1),(Inputs!$H$7+Inputs!$L$7*(((Inputs!$I$7+(((A108)+1)/2)*(Inputs!$J$7-Inputs!$I$7)))/Inputs!$K$7)^2),NA())</x:f>
        <x:v>39.99648500000001</x:v>
      </x:c>
      <x:c r="D108" s="9" t="n">
        <x:f>IF(OR(Inputs!$F$8=TRUE,Inputs!$F$8="TRUE",Inputs!$F$8=1),(Inputs!$H$8+Inputs!$L$8*(((Inputs!$I$8+(((A108)+1)/2)*(Inputs!$J$8-Inputs!$I$8)))/Inputs!$K$8)^2),NA())</x:f>
        <x:v>48.20988500000001</x:v>
      </x:c>
      <x:c r="E108" s="9" t="n">
        <x:f>IF(OR(Inputs!$F$9=TRUE,Inputs!$F$9="TRUE",Inputs!$F$9=1),(Inputs!$H$9+Inputs!$L$9*(((Inputs!$I$9+(((A108)+1)/2)*(Inputs!$J$9-Inputs!$I$9)))/Inputs!$K$9)^2),NA())</x:f>
        <x:v>38.34677500000001</x:v>
      </x:c>
      <x:c r="F108" s="10" t="n"/>
      <x:c r="G108" s="9" t="n">
        <x:f>A108</x:f>
        <x:v>-0.117</x:v>
      </x:c>
      <x:c r="H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10" t="n"/>
      <x:c r="M108" s="9" t="n">
        <x:f>A108</x:f>
        <x:v>-0.117</x:v>
      </x:c>
      <x:c r="N108" s="9"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9"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9"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9"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10" t="n"/>
      <x:c r="S108" s="9" t="n">
        <x:f>A108</x:f>
        <x:v>-0.117</x:v>
      </x:c>
      <x:c r="T108" s="9" t="n">
        <x:f>(Inputs!$I$6+(((A108)+1)/2)*(Inputs!$J$6-Inputs!$I$6))</x:f>
        <x:v>-7.019999999999996</x:v>
      </x:c>
      <x:c r="U108" s="9" t="n">
        <x:f>(Inputs!$I$7+(((A108)+1)/2)*(Inputs!$J$7-Inputs!$I$7))</x:f>
        <x:v>-46.80000000000001</x:v>
      </x:c>
      <x:c r="V108" s="9" t="n">
        <x:f>(Inputs!$I$8+(((A108)+1)/2)*(Inputs!$J$8-Inputs!$I$8))</x:f>
        <x:v>-93.60000000000002</x:v>
      </x:c>
      <x:c r="W108" s="9" t="n">
        <x:f>(Inputs!$I$9+(((A108)+1)/2)*(Inputs!$J$9-Inputs!$I$9))</x:f>
        <x:v>-93.60000000000002</x:v>
      </x:c>
      <x:c r="X108" s="10" t="n"/>
      <x:c r="Y108" s="9" t="n">
        <x:f>A108</x:f>
        <x:v>-0.117</x:v>
      </x:c>
      <x:c r="Z108" s="9" t="n">
        <x:f>(Inputs!$H$6+Inputs!$L$6*(((Inputs!$I$6+(((A108)+1)/2)*(Inputs!$J$6-Inputs!$I$6)))/Inputs!$K$6)^2)</x:f>
        <x:v>400.054756</x:v>
      </x:c>
      <x:c r="AA108" s="9" t="n">
        <x:f>(Inputs!$H$7+Inputs!$L$7*(((Inputs!$I$7+(((A108)+1)/2)*(Inputs!$J$7-Inputs!$I$7)))/Inputs!$K$7)^2)</x:f>
        <x:v>39.99648500000001</x:v>
      </x:c>
      <x:c r="AB108" s="9" t="n">
        <x:f>(Inputs!$H$8+Inputs!$L$8*(((Inputs!$I$8+(((A108)+1)/2)*(Inputs!$J$8-Inputs!$I$8)))/Inputs!$K$8)^2)</x:f>
        <x:v>48.20988500000001</x:v>
      </x:c>
      <x:c r="AC108" s="9" t="n">
        <x:f>(Inputs!$H$9+Inputs!$L$9*(((Inputs!$I$9+(((A108)+1)/2)*(Inputs!$J$9-Inputs!$I$9)))/Inputs!$K$9)^2)</x:f>
        <x:v>38.34677500000001</x:v>
      </x:c>
      <x:c r="AD108" s="10" t="n"/>
      <x:c r="AE108" s="9" t="n">
        <x:f>A108</x:f>
        <x:v>-0.117</x:v>
      </x:c>
      <x:c r="AF108" s="9"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9"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9"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9"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10" t="n"/>
      <x:c r="AK108" s="9" t="n">
        <x:f>A108</x:f>
        <x:v>-0.117</x:v>
      </x:c>
      <x:c r="AL108" s="9"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9"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9"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9"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10" t="n"/>
      <x:c r="AQ108" s="9" t="n">
        <x:f>A108</x:f>
        <x:v>-0.117</x:v>
      </x:c>
      <x:c r="AR108" s="9" t="n">
        <x:f>0</x:f>
        <x:v>0</x:v>
      </x:c>
      <x:c r="AS108" s="9"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x:f>
        <x:v>457.71586844855193</x:v>
      </x:c>
      <x:c r="AT108" s="9"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x:f>
        <x:v>241.3197670230771</x:v>
      </x:c>
      <x:c r="AU108" s="9"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x:f>
        <x:v>94.37597104725926</x:v>
      </x:c>
      <x:c r="AV108" s="9"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x:f>
        <x:v>94.37597104725926</x:v>
      </x:c>
      <x:c r="AW108" s="10" t="n"/>
      <x:c r="AX108" s="9" t="n">
        <x:f>A108</x:f>
        <x:v>-0.117</x:v>
      </x:c>
      <x:c r="AY108" s="9" t="n">
        <x:f>0</x:f>
        <x:v>0</x:v>
      </x:c>
      <x:c r="AZ108" s="9" t="n">
        <x:f>IF(OR(Inputs!$F$6=TRUE,Inputs!$F$6="TRUE",Inputs!$F$6=1),(Inputs!$H$6+Inputs!$L$6*(((Inputs!$I$6+(((A108)+1)/2)*(Inputs!$J$6-Inputs!$I$6)))/Inputs!$K$6)^2),NA())</x:f>
        <x:v>400.054756</x:v>
      </x:c>
      <x:c r="BA108" s="9" t="n">
        <x:f>IF(OR(Inputs!$F$7=TRUE,Inputs!$F$7="TRUE",Inputs!$F$7=1),(Inputs!$H$7+Inputs!$L$7*(((Inputs!$I$7+(((A108)+1)/2)*(Inputs!$J$7-Inputs!$I$7)))/Inputs!$K$7)^2),NA())</x:f>
        <x:v>39.99648500000001</x:v>
      </x:c>
      <x:c r="BB108" s="9" t="n">
        <x:f>IF(OR(Inputs!$F$8=TRUE,Inputs!$F$8="TRUE",Inputs!$F$8=1),(Inputs!$H$8+Inputs!$L$8*(((Inputs!$I$8+(((A108)+1)/2)*(Inputs!$J$8-Inputs!$I$8)))/Inputs!$K$8)^2),NA())</x:f>
        <x:v>48.20988500000001</x:v>
      </x:c>
      <x:c r="BC108" s="9" t="n">
        <x:f>IF(OR(Inputs!$F$9=TRUE,Inputs!$F$9="TRUE",Inputs!$F$9=1),(Inputs!$H$9+Inputs!$L$9*(((Inputs!$I$9+(((A108)+1)/2)*(Inputs!$J$9-Inputs!$I$9)))/Inputs!$K$9)^2),NA())</x:f>
        <x:v>38.34677500000001</x:v>
      </x:c>
      <x:c r="BD108" s="10" t="n"/>
      <x:c r="BE108" s="9" t="n">
        <x:f>A108</x:f>
        <x:v>-0.117</x:v>
      </x:c>
      <x:c r="BF108" s="9" t="n">
        <x:f>0</x:f>
        <x:v>0</x:v>
      </x:c>
      <x:c r="BG108" s="9"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9"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9"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9"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9" t="n">
        <x:f>ROUND(-1+107*2/240,3)</x:f>
        <x:v>-0.108</x:v>
      </x:c>
      <x:c r="B109" s="9" t="n">
        <x:f>IF(OR(Inputs!$F$6=TRUE,Inputs!$F$6="TRUE",Inputs!$F$6=1),(Inputs!$H$6+Inputs!$L$6*(((Inputs!$I$6+(((A109)+1)/2)*(Inputs!$J$6-Inputs!$I$6)))/Inputs!$K$6)^2),NA())</x:f>
        <x:v>400.046656</x:v>
      </x:c>
      <x:c r="C109" s="9" t="n">
        <x:f>IF(OR(Inputs!$F$7=TRUE,Inputs!$F$7="TRUE",Inputs!$F$7=1),(Inputs!$H$7+Inputs!$L$7*(((Inputs!$I$7+(((A109)+1)/2)*(Inputs!$J$7-Inputs!$I$7)))/Inputs!$K$7)^2),NA())</x:f>
        <x:v>39.25736</x:v>
      </x:c>
      <x:c r="D109" s="9" t="n">
        <x:f>IF(OR(Inputs!$F$8=TRUE,Inputs!$F$8="TRUE",Inputs!$F$8=1),(Inputs!$H$8+Inputs!$L$8*(((Inputs!$I$8+(((A109)+1)/2)*(Inputs!$J$8-Inputs!$I$8)))/Inputs!$K$8)^2),NA())</x:f>
        <x:v>46.255759999999995</x:v>
      </x:c>
      <x:c r="E109" s="9" t="n">
        <x:f>IF(OR(Inputs!$F$9=TRUE,Inputs!$F$9="TRUE",Inputs!$F$9=1),(Inputs!$H$9+Inputs!$L$9*(((Inputs!$I$9+(((A109)+1)/2)*(Inputs!$J$9-Inputs!$I$9)))/Inputs!$K$9)^2),NA())</x:f>
        <x:v>36.37239999999999</x:v>
      </x:c>
      <x:c r="F109" s="10" t="n"/>
      <x:c r="G109" s="9" t="n">
        <x:f>A109</x:f>
        <x:v>-0.108</x:v>
      </x:c>
      <x:c r="H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10" t="n"/>
      <x:c r="M109" s="9" t="n">
        <x:f>A109</x:f>
        <x:v>-0.108</x:v>
      </x:c>
      <x:c r="N109" s="9"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9"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9"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9"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10" t="n"/>
      <x:c r="S109" s="9" t="n">
        <x:f>A109</x:f>
        <x:v>-0.108</x:v>
      </x:c>
      <x:c r="T109" s="9" t="n">
        <x:f>(Inputs!$I$6+(((A109)+1)/2)*(Inputs!$J$6-Inputs!$I$6))</x:f>
        <x:v>-6.479999999999997</x:v>
      </x:c>
      <x:c r="U109" s="9" t="n">
        <x:f>(Inputs!$I$7+(((A109)+1)/2)*(Inputs!$J$7-Inputs!$I$7))</x:f>
        <x:v>-43.19999999999999</x:v>
      </x:c>
      <x:c r="V109" s="9" t="n">
        <x:f>(Inputs!$I$8+(((A109)+1)/2)*(Inputs!$J$8-Inputs!$I$8))</x:f>
        <x:v>-86.39999999999998</x:v>
      </x:c>
      <x:c r="W109" s="9" t="n">
        <x:f>(Inputs!$I$9+(((A109)+1)/2)*(Inputs!$J$9-Inputs!$I$9))</x:f>
        <x:v>-86.39999999999998</x:v>
      </x:c>
      <x:c r="X109" s="10" t="n"/>
      <x:c r="Y109" s="9" t="n">
        <x:f>A109</x:f>
        <x:v>-0.108</x:v>
      </x:c>
      <x:c r="Z109" s="9" t="n">
        <x:f>(Inputs!$H$6+Inputs!$L$6*(((Inputs!$I$6+(((A109)+1)/2)*(Inputs!$J$6-Inputs!$I$6)))/Inputs!$K$6)^2)</x:f>
        <x:v>400.046656</x:v>
      </x:c>
      <x:c r="AA109" s="9" t="n">
        <x:f>(Inputs!$H$7+Inputs!$L$7*(((Inputs!$I$7+(((A109)+1)/2)*(Inputs!$J$7-Inputs!$I$7)))/Inputs!$K$7)^2)</x:f>
        <x:v>39.25736</x:v>
      </x:c>
      <x:c r="AB109" s="9" t="n">
        <x:f>(Inputs!$H$8+Inputs!$L$8*(((Inputs!$I$8+(((A109)+1)/2)*(Inputs!$J$8-Inputs!$I$8)))/Inputs!$K$8)^2)</x:f>
        <x:v>46.255759999999995</x:v>
      </x:c>
      <x:c r="AC109" s="9" t="n">
        <x:f>(Inputs!$H$9+Inputs!$L$9*(((Inputs!$I$9+(((A109)+1)/2)*(Inputs!$J$9-Inputs!$I$9)))/Inputs!$K$9)^2)</x:f>
        <x:v>36.37239999999999</x:v>
      </x:c>
      <x:c r="AD109" s="10" t="n"/>
      <x:c r="AE109" s="9" t="n">
        <x:f>A109</x:f>
        <x:v>-0.108</x:v>
      </x:c>
      <x:c r="AF109" s="9"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9"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9"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9"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10" t="n"/>
      <x:c r="AK109" s="9" t="n">
        <x:f>A109</x:f>
        <x:v>-0.108</x:v>
      </x:c>
      <x:c r="AL109" s="9"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9"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9"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9"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10" t="n"/>
      <x:c r="AQ109" s="9" t="n">
        <x:f>A109</x:f>
        <x:v>-0.108</x:v>
      </x:c>
      <x:c r="AR109" s="9" t="n">
        <x:f>0</x:f>
        <x:v>0</x:v>
      </x:c>
      <x:c r="AS109" s="9"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x:f>
        <x:v>444.0644465219527</x:v>
      </x:c>
      <x:c r="AT109" s="9"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x:f>
        <x:v>192.25438093115514</x:v>
      </x:c>
      <x:c r="AU109" s="9"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x:f>
        <x:v>152.19304949418353</x:v>
      </x:c>
      <x:c r="AV109" s="9"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x:f>
        <x:v>152.19304949418353</x:v>
      </x:c>
      <x:c r="AW109" s="10" t="n"/>
      <x:c r="AX109" s="9" t="n">
        <x:f>A109</x:f>
        <x:v>-0.108</x:v>
      </x:c>
      <x:c r="AY109" s="9" t="n">
        <x:f>0</x:f>
        <x:v>0</x:v>
      </x:c>
      <x:c r="AZ109" s="9" t="n">
        <x:f>IF(OR(Inputs!$F$6=TRUE,Inputs!$F$6="TRUE",Inputs!$F$6=1),(Inputs!$H$6+Inputs!$L$6*(((Inputs!$I$6+(((A109)+1)/2)*(Inputs!$J$6-Inputs!$I$6)))/Inputs!$K$6)^2),NA())</x:f>
        <x:v>400.046656</x:v>
      </x:c>
      <x:c r="BA109" s="9" t="n">
        <x:f>IF(OR(Inputs!$F$7=TRUE,Inputs!$F$7="TRUE",Inputs!$F$7=1),(Inputs!$H$7+Inputs!$L$7*(((Inputs!$I$7+(((A109)+1)/2)*(Inputs!$J$7-Inputs!$I$7)))/Inputs!$K$7)^2),NA())</x:f>
        <x:v>39.25736</x:v>
      </x:c>
      <x:c r="BB109" s="9" t="n">
        <x:f>IF(OR(Inputs!$F$8=TRUE,Inputs!$F$8="TRUE",Inputs!$F$8=1),(Inputs!$H$8+Inputs!$L$8*(((Inputs!$I$8+(((A109)+1)/2)*(Inputs!$J$8-Inputs!$I$8)))/Inputs!$K$8)^2),NA())</x:f>
        <x:v>46.255759999999995</x:v>
      </x:c>
      <x:c r="BC109" s="9" t="n">
        <x:f>IF(OR(Inputs!$F$9=TRUE,Inputs!$F$9="TRUE",Inputs!$F$9=1),(Inputs!$H$9+Inputs!$L$9*(((Inputs!$I$9+(((A109)+1)/2)*(Inputs!$J$9-Inputs!$I$9)))/Inputs!$K$9)^2),NA())</x:f>
        <x:v>36.37239999999999</x:v>
      </x:c>
      <x:c r="BD109" s="10" t="n"/>
      <x:c r="BE109" s="9" t="n">
        <x:f>A109</x:f>
        <x:v>-0.108</x:v>
      </x:c>
      <x:c r="BF109" s="9" t="n">
        <x:f>0</x:f>
        <x:v>0</x:v>
      </x:c>
      <x:c r="BG109" s="9"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9"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9"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9"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9" t="n">
        <x:f>ROUND(-1+108*2/240,3)</x:f>
        <x:v>-0.1</x:v>
      </x:c>
      <x:c r="B110" s="9" t="n">
        <x:f>IF(OR(Inputs!$F$6=TRUE,Inputs!$F$6="TRUE",Inputs!$F$6=1),(Inputs!$H$6+Inputs!$L$6*(((Inputs!$I$6+(((A110)+1)/2)*(Inputs!$J$6-Inputs!$I$6)))/Inputs!$K$6)^2),NA())</x:f>
        <x:v>400.04</x:v>
      </x:c>
      <x:c r="C110" s="9" t="n">
        <x:f>IF(OR(Inputs!$F$7=TRUE,Inputs!$F$7="TRUE",Inputs!$F$7=1),(Inputs!$H$7+Inputs!$L$7*(((Inputs!$I$7+(((A110)+1)/2)*(Inputs!$J$7-Inputs!$I$7)))/Inputs!$K$7)^2),NA())</x:f>
        <x:v>38.65</x:v>
      </x:c>
      <x:c r="D110" s="9" t="n">
        <x:f>IF(OR(Inputs!$F$8=TRUE,Inputs!$F$8="TRUE",Inputs!$F$8=1),(Inputs!$H$8+Inputs!$L$8*(((Inputs!$I$8+(((A110)+1)/2)*(Inputs!$J$8-Inputs!$I$8)))/Inputs!$K$8)^2),NA())</x:f>
        <x:v>44.650000000000006</x:v>
      </x:c>
      <x:c r="E110" s="9" t="n">
        <x:f>IF(OR(Inputs!$F$9=TRUE,Inputs!$F$9="TRUE",Inputs!$F$9=1),(Inputs!$H$9+Inputs!$L$9*(((Inputs!$I$9+(((A110)+1)/2)*(Inputs!$J$9-Inputs!$I$9)))/Inputs!$K$9)^2),NA())</x:f>
        <x:v>34.75</x:v>
      </x:c>
      <x:c r="F110" s="10" t="n"/>
      <x:c r="G110" s="9" t="n">
        <x:f>A110</x:f>
        <x:v>-0.1</x:v>
      </x:c>
      <x:c r="H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10" t="n"/>
      <x:c r="M110" s="9" t="n">
        <x:f>A110</x:f>
        <x:v>-0.1</x:v>
      </x:c>
      <x:c r="N110" s="9"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9"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9"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9"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10" t="n"/>
      <x:c r="S110" s="9" t="n">
        <x:f>A110</x:f>
        <x:v>-0.1</x:v>
      </x:c>
      <x:c r="T110" s="9" t="n">
        <x:f>(Inputs!$I$6+(((A110)+1)/2)*(Inputs!$J$6-Inputs!$I$6))</x:f>
        <x:v>-6</x:v>
      </x:c>
      <x:c r="U110" s="9" t="n">
        <x:f>(Inputs!$I$7+(((A110)+1)/2)*(Inputs!$J$7-Inputs!$I$7))</x:f>
        <x:v>-40</x:v>
      </x:c>
      <x:c r="V110" s="9" t="n">
        <x:f>(Inputs!$I$8+(((A110)+1)/2)*(Inputs!$J$8-Inputs!$I$8))</x:f>
        <x:v>-80</x:v>
      </x:c>
      <x:c r="W110" s="9" t="n">
        <x:f>(Inputs!$I$9+(((A110)+1)/2)*(Inputs!$J$9-Inputs!$I$9))</x:f>
        <x:v>-80</x:v>
      </x:c>
      <x:c r="X110" s="10" t="n"/>
      <x:c r="Y110" s="9" t="n">
        <x:f>A110</x:f>
        <x:v>-0.1</x:v>
      </x:c>
      <x:c r="Z110" s="9" t="n">
        <x:f>(Inputs!$H$6+Inputs!$L$6*(((Inputs!$I$6+(((A110)+1)/2)*(Inputs!$J$6-Inputs!$I$6)))/Inputs!$K$6)^2)</x:f>
        <x:v>400.04</x:v>
      </x:c>
      <x:c r="AA110" s="9" t="n">
        <x:f>(Inputs!$H$7+Inputs!$L$7*(((Inputs!$I$7+(((A110)+1)/2)*(Inputs!$J$7-Inputs!$I$7)))/Inputs!$K$7)^2)</x:f>
        <x:v>38.65</x:v>
      </x:c>
      <x:c r="AB110" s="9" t="n">
        <x:f>(Inputs!$H$8+Inputs!$L$8*(((Inputs!$I$8+(((A110)+1)/2)*(Inputs!$J$8-Inputs!$I$8)))/Inputs!$K$8)^2)</x:f>
        <x:v>44.650000000000006</x:v>
      </x:c>
      <x:c r="AC110" s="9" t="n">
        <x:f>(Inputs!$H$9+Inputs!$L$9*(((Inputs!$I$9+(((A110)+1)/2)*(Inputs!$J$9-Inputs!$I$9)))/Inputs!$K$9)^2)</x:f>
        <x:v>34.75</x:v>
      </x:c>
      <x:c r="AD110" s="10" t="n"/>
      <x:c r="AE110" s="9" t="n">
        <x:f>A110</x:f>
        <x:v>-0.1</x:v>
      </x:c>
      <x:c r="AF110" s="9"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9"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9"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9"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10" t="n"/>
      <x:c r="AK110" s="9" t="n">
        <x:f>A110</x:f>
        <x:v>-0.1</x:v>
      </x:c>
      <x:c r="AL110" s="9"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9"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9"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9"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10" t="n"/>
      <x:c r="AQ110" s="9" t="n">
        <x:f>A110</x:f>
        <x:v>-0.1</x:v>
      </x:c>
      <x:c r="AR110" s="9" t="n">
        <x:f>0</x:f>
        <x:v>0</x:v>
      </x:c>
      <x:c r="AS110" s="9"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x:f>
        <x:v>447.7534427220802</x:v>
      </x:c>
      <x:c r="AT110" s="9"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x:f>
        <x:v>197.66557297497732</x:v>
      </x:c>
      <x:c r="AU110" s="9"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x:f>
        <x:v>156.5351614447042</x:v>
      </x:c>
      <x:c r="AV110" s="9"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x:f>
        <x:v>156.5351614447042</x:v>
      </x:c>
      <x:c r="AW110" s="10" t="n"/>
      <x:c r="AX110" s="9" t="n">
        <x:f>A110</x:f>
        <x:v>-0.1</x:v>
      </x:c>
      <x:c r="AY110" s="9" t="n">
        <x:f>0</x:f>
        <x:v>0</x:v>
      </x:c>
      <x:c r="AZ110" s="9" t="n">
        <x:f>IF(OR(Inputs!$F$6=TRUE,Inputs!$F$6="TRUE",Inputs!$F$6=1),(Inputs!$H$6+Inputs!$L$6*(((Inputs!$I$6+(((A110)+1)/2)*(Inputs!$J$6-Inputs!$I$6)))/Inputs!$K$6)^2),NA())</x:f>
        <x:v>400.04</x:v>
      </x:c>
      <x:c r="BA110" s="9" t="n">
        <x:f>IF(OR(Inputs!$F$7=TRUE,Inputs!$F$7="TRUE",Inputs!$F$7=1),(Inputs!$H$7+Inputs!$L$7*(((Inputs!$I$7+(((A110)+1)/2)*(Inputs!$J$7-Inputs!$I$7)))/Inputs!$K$7)^2),NA())</x:f>
        <x:v>38.65</x:v>
      </x:c>
      <x:c r="BB110" s="9" t="n">
        <x:f>IF(OR(Inputs!$F$8=TRUE,Inputs!$F$8="TRUE",Inputs!$F$8=1),(Inputs!$H$8+Inputs!$L$8*(((Inputs!$I$8+(((A110)+1)/2)*(Inputs!$J$8-Inputs!$I$8)))/Inputs!$K$8)^2),NA())</x:f>
        <x:v>44.650000000000006</x:v>
      </x:c>
      <x:c r="BC110" s="9" t="n">
        <x:f>IF(OR(Inputs!$F$9=TRUE,Inputs!$F$9="TRUE",Inputs!$F$9=1),(Inputs!$H$9+Inputs!$L$9*(((Inputs!$I$9+(((A110)+1)/2)*(Inputs!$J$9-Inputs!$I$9)))/Inputs!$K$9)^2),NA())</x:f>
        <x:v>34.75</x:v>
      </x:c>
      <x:c r="BD110" s="10" t="n"/>
      <x:c r="BE110" s="9" t="n">
        <x:f>A110</x:f>
        <x:v>-0.1</x:v>
      </x:c>
      <x:c r="BF110" s="9" t="n">
        <x:f>0</x:f>
        <x:v>0</x:v>
      </x:c>
      <x:c r="BG110" s="9"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9"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9"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9"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9" t="n">
        <x:f>ROUND(-1+109*2/240,3)</x:f>
        <x:v>-0.092</x:v>
      </x:c>
      <x:c r="B111" s="9" t="n">
        <x:f>IF(OR(Inputs!$F$6=TRUE,Inputs!$F$6="TRUE",Inputs!$F$6=1),(Inputs!$H$6+Inputs!$L$6*(((Inputs!$I$6+(((A111)+1)/2)*(Inputs!$J$6-Inputs!$I$6)))/Inputs!$K$6)^2),NA())</x:f>
        <x:v>400.033856</x:v>
      </x:c>
      <x:c r="C111" s="9" t="n">
        <x:f>IF(OR(Inputs!$F$7=TRUE,Inputs!$F$7="TRUE",Inputs!$F$7=1),(Inputs!$H$7+Inputs!$L$7*(((Inputs!$I$7+(((A111)+1)/2)*(Inputs!$J$7-Inputs!$I$7)))/Inputs!$K$7)^2),NA())</x:f>
        <x:v>38.08936</x:v>
      </x:c>
      <x:c r="D111" s="9" t="n">
        <x:f>IF(OR(Inputs!$F$8=TRUE,Inputs!$F$8="TRUE",Inputs!$F$8=1),(Inputs!$H$8+Inputs!$L$8*(((Inputs!$I$8+(((A111)+1)/2)*(Inputs!$J$8-Inputs!$I$8)))/Inputs!$K$8)^2),NA())</x:f>
        <x:v>43.16776</x:v>
      </x:c>
      <x:c r="E111" s="9" t="n">
        <x:f>IF(OR(Inputs!$F$9=TRUE,Inputs!$F$9="TRUE",Inputs!$F$9=1),(Inputs!$H$9+Inputs!$L$9*(((Inputs!$I$9+(((A111)+1)/2)*(Inputs!$J$9-Inputs!$I$9)))/Inputs!$K$9)^2),NA())</x:f>
        <x:v>33.25240000000001</x:v>
      </x:c>
      <x:c r="F111" s="10" t="n"/>
      <x:c r="G111" s="9" t="n">
        <x:f>A111</x:f>
        <x:v>-0.092</x:v>
      </x:c>
      <x:c r="H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10" t="n"/>
      <x:c r="M111" s="9" t="n">
        <x:f>A111</x:f>
        <x:v>-0.092</x:v>
      </x:c>
      <x:c r="N111" s="9"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9"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9"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9"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10" t="n"/>
      <x:c r="S111" s="9" t="n">
        <x:f>A111</x:f>
        <x:v>-0.092</x:v>
      </x:c>
      <x:c r="T111" s="9" t="n">
        <x:f>(Inputs!$I$6+(((A111)+1)/2)*(Inputs!$J$6-Inputs!$I$6))</x:f>
        <x:v>-5.519999999999996</x:v>
      </x:c>
      <x:c r="U111" s="9" t="n">
        <x:f>(Inputs!$I$7+(((A111)+1)/2)*(Inputs!$J$7-Inputs!$I$7))</x:f>
        <x:v>-36.80000000000001</x:v>
      </x:c>
      <x:c r="V111" s="9" t="n">
        <x:f>(Inputs!$I$8+(((A111)+1)/2)*(Inputs!$J$8-Inputs!$I$8))</x:f>
        <x:v>-73.60000000000002</x:v>
      </x:c>
      <x:c r="W111" s="9" t="n">
        <x:f>(Inputs!$I$9+(((A111)+1)/2)*(Inputs!$J$9-Inputs!$I$9))</x:f>
        <x:v>-73.60000000000002</x:v>
      </x:c>
      <x:c r="X111" s="10" t="n"/>
      <x:c r="Y111" s="9" t="n">
        <x:f>A111</x:f>
        <x:v>-0.092</x:v>
      </x:c>
      <x:c r="Z111" s="9" t="n">
        <x:f>(Inputs!$H$6+Inputs!$L$6*(((Inputs!$I$6+(((A111)+1)/2)*(Inputs!$J$6-Inputs!$I$6)))/Inputs!$K$6)^2)</x:f>
        <x:v>400.033856</x:v>
      </x:c>
      <x:c r="AA111" s="9" t="n">
        <x:f>(Inputs!$H$7+Inputs!$L$7*(((Inputs!$I$7+(((A111)+1)/2)*(Inputs!$J$7-Inputs!$I$7)))/Inputs!$K$7)^2)</x:f>
        <x:v>38.08936</x:v>
      </x:c>
      <x:c r="AB111" s="9" t="n">
        <x:f>(Inputs!$H$8+Inputs!$L$8*(((Inputs!$I$8+(((A111)+1)/2)*(Inputs!$J$8-Inputs!$I$8)))/Inputs!$K$8)^2)</x:f>
        <x:v>43.16776</x:v>
      </x:c>
      <x:c r="AC111" s="9" t="n">
        <x:f>(Inputs!$H$9+Inputs!$L$9*(((Inputs!$I$9+(((A111)+1)/2)*(Inputs!$J$9-Inputs!$I$9)))/Inputs!$K$9)^2)</x:f>
        <x:v>33.25240000000001</x:v>
      </x:c>
      <x:c r="AD111" s="10" t="n"/>
      <x:c r="AE111" s="9" t="n">
        <x:f>A111</x:f>
        <x:v>-0.092</x:v>
      </x:c>
      <x:c r="AF111" s="9"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9"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9"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9"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10" t="n"/>
      <x:c r="AK111" s="9" t="n">
        <x:f>A111</x:f>
        <x:v>-0.092</x:v>
      </x:c>
      <x:c r="AL111" s="9"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9"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9"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9"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10" t="n"/>
      <x:c r="AQ111" s="9" t="n">
        <x:f>A111</x:f>
        <x:v>-0.092</x:v>
      </x:c>
      <x:c r="AR111" s="9" t="n">
        <x:f>0</x:f>
        <x:v>0</x:v>
      </x:c>
      <x:c r="AS111" s="9"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x:f>
        <x:v>423.9268348091652</x:v>
      </x:c>
      <x:c r="AT111" s="9"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x:f>
        <x:v>240.73038217752708</x:v>
      </x:c>
      <x:c r="AU111" s="9"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x:f>
        <x:v>92.38014791700866</x:v>
      </x:c>
      <x:c r="AV111" s="9"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x:f>
        <x:v>92.38014791700866</x:v>
      </x:c>
      <x:c r="AW111" s="10" t="n"/>
      <x:c r="AX111" s="9" t="n">
        <x:f>A111</x:f>
        <x:v>-0.092</x:v>
      </x:c>
      <x:c r="AY111" s="9" t="n">
        <x:f>0</x:f>
        <x:v>0</x:v>
      </x:c>
      <x:c r="AZ111" s="9" t="n">
        <x:f>IF(OR(Inputs!$F$6=TRUE,Inputs!$F$6="TRUE",Inputs!$F$6=1),(Inputs!$H$6+Inputs!$L$6*(((Inputs!$I$6+(((A111)+1)/2)*(Inputs!$J$6-Inputs!$I$6)))/Inputs!$K$6)^2),NA())</x:f>
        <x:v>400.033856</x:v>
      </x:c>
      <x:c r="BA111" s="9" t="n">
        <x:f>IF(OR(Inputs!$F$7=TRUE,Inputs!$F$7="TRUE",Inputs!$F$7=1),(Inputs!$H$7+Inputs!$L$7*(((Inputs!$I$7+(((A111)+1)/2)*(Inputs!$J$7-Inputs!$I$7)))/Inputs!$K$7)^2),NA())</x:f>
        <x:v>38.08936</x:v>
      </x:c>
      <x:c r="BB111" s="9" t="n">
        <x:f>IF(OR(Inputs!$F$8=TRUE,Inputs!$F$8="TRUE",Inputs!$F$8=1),(Inputs!$H$8+Inputs!$L$8*(((Inputs!$I$8+(((A111)+1)/2)*(Inputs!$J$8-Inputs!$I$8)))/Inputs!$K$8)^2),NA())</x:f>
        <x:v>43.16776</x:v>
      </x:c>
      <x:c r="BC111" s="9" t="n">
        <x:f>IF(OR(Inputs!$F$9=TRUE,Inputs!$F$9="TRUE",Inputs!$F$9=1),(Inputs!$H$9+Inputs!$L$9*(((Inputs!$I$9+(((A111)+1)/2)*(Inputs!$J$9-Inputs!$I$9)))/Inputs!$K$9)^2),NA())</x:f>
        <x:v>33.25240000000001</x:v>
      </x:c>
      <x:c r="BD111" s="10" t="n"/>
      <x:c r="BE111" s="9" t="n">
        <x:f>A111</x:f>
        <x:v>-0.092</x:v>
      </x:c>
      <x:c r="BF111" s="9" t="n">
        <x:f>0</x:f>
        <x:v>0</x:v>
      </x:c>
      <x:c r="BG111" s="9"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9"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9"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9"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9" t="n">
        <x:f>ROUND(-1+110*2/240,3)</x:f>
        <x:v>-0.083</x:v>
      </x:c>
      <x:c r="B112" s="9" t="n">
        <x:f>IF(OR(Inputs!$F$6=TRUE,Inputs!$F$6="TRUE",Inputs!$F$6=1),(Inputs!$H$6+Inputs!$L$6*(((Inputs!$I$6+(((A112)+1)/2)*(Inputs!$J$6-Inputs!$I$6)))/Inputs!$K$6)^2),NA())</x:f>
        <x:v>400.027556</x:v>
      </x:c>
      <x:c r="C112" s="9" t="n">
        <x:f>IF(OR(Inputs!$F$7=TRUE,Inputs!$F$7="TRUE",Inputs!$F$7=1),(Inputs!$H$7+Inputs!$L$7*(((Inputs!$I$7+(((A112)+1)/2)*(Inputs!$J$7-Inputs!$I$7)))/Inputs!$K$7)^2),NA())</x:f>
        <x:v>37.514485</x:v>
      </x:c>
      <x:c r="D112" s="9" t="n">
        <x:f>IF(OR(Inputs!$F$8=TRUE,Inputs!$F$8="TRUE",Inputs!$F$8=1),(Inputs!$H$8+Inputs!$L$8*(((Inputs!$I$8+(((A112)+1)/2)*(Inputs!$J$8-Inputs!$I$8)))/Inputs!$K$8)^2),NA())</x:f>
        <x:v>41.647884999999995</x:v>
      </x:c>
      <x:c r="E112" s="9" t="n">
        <x:f>IF(OR(Inputs!$F$9=TRUE,Inputs!$F$9="TRUE",Inputs!$F$9=1),(Inputs!$H$9+Inputs!$L$9*(((Inputs!$I$9+(((A112)+1)/2)*(Inputs!$J$9-Inputs!$I$9)))/Inputs!$K$9)^2),NA())</x:f>
        <x:v>31.716774999999995</x:v>
      </x:c>
      <x:c r="F112" s="10" t="n"/>
      <x:c r="G112" s="9" t="n">
        <x:f>A112</x:f>
        <x:v>-0.083</x:v>
      </x:c>
      <x:c r="H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10" t="n"/>
      <x:c r="M112" s="9" t="n">
        <x:f>A112</x:f>
        <x:v>-0.083</x:v>
      </x:c>
      <x:c r="N112" s="9"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9"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9"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9"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10" t="n"/>
      <x:c r="S112" s="9" t="n">
        <x:f>A112</x:f>
        <x:v>-0.083</x:v>
      </x:c>
      <x:c r="T112" s="9" t="n">
        <x:f>(Inputs!$I$6+(((A112)+1)/2)*(Inputs!$J$6-Inputs!$I$6))</x:f>
        <x:v>-4.979999999999997</x:v>
      </x:c>
      <x:c r="U112" s="9" t="n">
        <x:f>(Inputs!$I$7+(((A112)+1)/2)*(Inputs!$J$7-Inputs!$I$7))</x:f>
        <x:v>-33.19999999999999</x:v>
      </x:c>
      <x:c r="V112" s="9" t="n">
        <x:f>(Inputs!$I$8+(((A112)+1)/2)*(Inputs!$J$8-Inputs!$I$8))</x:f>
        <x:v>-66.39999999999998</x:v>
      </x:c>
      <x:c r="W112" s="9" t="n">
        <x:f>(Inputs!$I$9+(((A112)+1)/2)*(Inputs!$J$9-Inputs!$I$9))</x:f>
        <x:v>-66.39999999999998</x:v>
      </x:c>
      <x:c r="X112" s="10" t="n"/>
      <x:c r="Y112" s="9" t="n">
        <x:f>A112</x:f>
        <x:v>-0.083</x:v>
      </x:c>
      <x:c r="Z112" s="9" t="n">
        <x:f>(Inputs!$H$6+Inputs!$L$6*(((Inputs!$I$6+(((A112)+1)/2)*(Inputs!$J$6-Inputs!$I$6)))/Inputs!$K$6)^2)</x:f>
        <x:v>400.027556</x:v>
      </x:c>
      <x:c r="AA112" s="9" t="n">
        <x:f>(Inputs!$H$7+Inputs!$L$7*(((Inputs!$I$7+(((A112)+1)/2)*(Inputs!$J$7-Inputs!$I$7)))/Inputs!$K$7)^2)</x:f>
        <x:v>37.514485</x:v>
      </x:c>
      <x:c r="AB112" s="9" t="n">
        <x:f>(Inputs!$H$8+Inputs!$L$8*(((Inputs!$I$8+(((A112)+1)/2)*(Inputs!$J$8-Inputs!$I$8)))/Inputs!$K$8)^2)</x:f>
        <x:v>41.647884999999995</x:v>
      </x:c>
      <x:c r="AC112" s="9" t="n">
        <x:f>(Inputs!$H$9+Inputs!$L$9*(((Inputs!$I$9+(((A112)+1)/2)*(Inputs!$J$9-Inputs!$I$9)))/Inputs!$K$9)^2)</x:f>
        <x:v>31.716774999999995</x:v>
      </x:c>
      <x:c r="AD112" s="10" t="n"/>
      <x:c r="AE112" s="9" t="n">
        <x:f>A112</x:f>
        <x:v>-0.083</x:v>
      </x:c>
      <x:c r="AF112" s="9"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9"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9"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9"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10" t="n"/>
      <x:c r="AK112" s="9" t="n">
        <x:f>A112</x:f>
        <x:v>-0.083</x:v>
      </x:c>
      <x:c r="AL112" s="9"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9"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9"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9"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10" t="n"/>
      <x:c r="AQ112" s="9" t="n">
        <x:f>A112</x:f>
        <x:v>-0.083</x:v>
      </x:c>
      <x:c r="AR112" s="9" t="n">
        <x:f>0</x:f>
        <x:v>0</x:v>
      </x:c>
      <x:c r="AS112" s="9"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x:f>
        <x:v>417.178785372835</x:v>
      </x:c>
      <x:c r="AT112" s="9"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x:f>
        <x:v>328.74222430435594</x:v>
      </x:c>
      <x:c r="AU112" s="9"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x:f>
        <x:v>230.41709698752425</x:v>
      </x:c>
      <x:c r="AV112" s="9"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x:f>
        <x:v>230.41709698752425</x:v>
      </x:c>
      <x:c r="AW112" s="10" t="n"/>
      <x:c r="AX112" s="9" t="n">
        <x:f>A112</x:f>
        <x:v>-0.083</x:v>
      </x:c>
      <x:c r="AY112" s="9" t="n">
        <x:f>0</x:f>
        <x:v>0</x:v>
      </x:c>
      <x:c r="AZ112" s="9" t="n">
        <x:f>IF(OR(Inputs!$F$6=TRUE,Inputs!$F$6="TRUE",Inputs!$F$6=1),(Inputs!$H$6+Inputs!$L$6*(((Inputs!$I$6+(((A112)+1)/2)*(Inputs!$J$6-Inputs!$I$6)))/Inputs!$K$6)^2),NA())</x:f>
        <x:v>400.027556</x:v>
      </x:c>
      <x:c r="BA112" s="9" t="n">
        <x:f>IF(OR(Inputs!$F$7=TRUE,Inputs!$F$7="TRUE",Inputs!$F$7=1),(Inputs!$H$7+Inputs!$L$7*(((Inputs!$I$7+(((A112)+1)/2)*(Inputs!$J$7-Inputs!$I$7)))/Inputs!$K$7)^2),NA())</x:f>
        <x:v>37.514485</x:v>
      </x:c>
      <x:c r="BB112" s="9" t="n">
        <x:f>IF(OR(Inputs!$F$8=TRUE,Inputs!$F$8="TRUE",Inputs!$F$8=1),(Inputs!$H$8+Inputs!$L$8*(((Inputs!$I$8+(((A112)+1)/2)*(Inputs!$J$8-Inputs!$I$8)))/Inputs!$K$8)^2),NA())</x:f>
        <x:v>41.647884999999995</x:v>
      </x:c>
      <x:c r="BC112" s="9" t="n">
        <x:f>IF(OR(Inputs!$F$9=TRUE,Inputs!$F$9="TRUE",Inputs!$F$9=1),(Inputs!$H$9+Inputs!$L$9*(((Inputs!$I$9+(((A112)+1)/2)*(Inputs!$J$9-Inputs!$I$9)))/Inputs!$K$9)^2),NA())</x:f>
        <x:v>31.716774999999995</x:v>
      </x:c>
      <x:c r="BD112" s="10" t="n"/>
      <x:c r="BE112" s="9" t="n">
        <x:f>A112</x:f>
        <x:v>-0.083</x:v>
      </x:c>
      <x:c r="BF112" s="9" t="n">
        <x:f>0</x:f>
        <x:v>0</x:v>
      </x:c>
      <x:c r="BG112" s="9"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9"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9"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9"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9" t="n">
        <x:f>ROUND(-1+111*2/240,3)</x:f>
        <x:v>-0.075</x:v>
      </x:c>
      <x:c r="B113" s="9" t="n">
        <x:f>IF(OR(Inputs!$F$6=TRUE,Inputs!$F$6="TRUE",Inputs!$F$6=1),(Inputs!$H$6+Inputs!$L$6*(((Inputs!$I$6+(((A113)+1)/2)*(Inputs!$J$6-Inputs!$I$6)))/Inputs!$K$6)^2),NA())</x:f>
        <x:v>400.0225</x:v>
      </x:c>
      <x:c r="C113" s="9" t="n">
        <x:f>IF(OR(Inputs!$F$7=TRUE,Inputs!$F$7="TRUE",Inputs!$F$7=1),(Inputs!$H$7+Inputs!$L$7*(((Inputs!$I$7+(((A113)+1)/2)*(Inputs!$J$7-Inputs!$I$7)))/Inputs!$K$7)^2),NA())</x:f>
        <x:v>37.053125</x:v>
      </x:c>
      <x:c r="D113" s="9" t="n">
        <x:f>IF(OR(Inputs!$F$8=TRUE,Inputs!$F$8="TRUE",Inputs!$F$8=1),(Inputs!$H$8+Inputs!$L$8*(((Inputs!$I$8+(((A113)+1)/2)*(Inputs!$J$8-Inputs!$I$8)))/Inputs!$K$8)^2),NA())</x:f>
        <x:v>40.428125</x:v>
      </x:c>
      <x:c r="E113" s="9" t="n">
        <x:f>IF(OR(Inputs!$F$9=TRUE,Inputs!$F$9="TRUE",Inputs!$F$9=1),(Inputs!$H$9+Inputs!$L$9*(((Inputs!$I$9+(((A113)+1)/2)*(Inputs!$J$9-Inputs!$I$9)))/Inputs!$K$9)^2),NA())</x:f>
        <x:v>30.484375</x:v>
      </x:c>
      <x:c r="F113" s="10" t="n"/>
      <x:c r="G113" s="9" t="n">
        <x:f>A113</x:f>
        <x:v>-0.075</x:v>
      </x:c>
      <x:c r="H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10" t="n"/>
      <x:c r="M113" s="9" t="n">
        <x:f>A113</x:f>
        <x:v>-0.075</x:v>
      </x:c>
      <x:c r="N113" s="9"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9"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9"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9"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10" t="n"/>
      <x:c r="S113" s="9" t="n">
        <x:f>A113</x:f>
        <x:v>-0.075</x:v>
      </x:c>
      <x:c r="T113" s="9" t="n">
        <x:f>(Inputs!$I$6+(((A113)+1)/2)*(Inputs!$J$6-Inputs!$I$6))</x:f>
        <x:v>-4.5</x:v>
      </x:c>
      <x:c r="U113" s="9" t="n">
        <x:f>(Inputs!$I$7+(((A113)+1)/2)*(Inputs!$J$7-Inputs!$I$7))</x:f>
        <x:v>-30</x:v>
      </x:c>
      <x:c r="V113" s="9" t="n">
        <x:f>(Inputs!$I$8+(((A113)+1)/2)*(Inputs!$J$8-Inputs!$I$8))</x:f>
        <x:v>-60</x:v>
      </x:c>
      <x:c r="W113" s="9" t="n">
        <x:f>(Inputs!$I$9+(((A113)+1)/2)*(Inputs!$J$9-Inputs!$I$9))</x:f>
        <x:v>-60</x:v>
      </x:c>
      <x:c r="X113" s="10" t="n"/>
      <x:c r="Y113" s="9" t="n">
        <x:f>A113</x:f>
        <x:v>-0.075</x:v>
      </x:c>
      <x:c r="Z113" s="9" t="n">
        <x:f>(Inputs!$H$6+Inputs!$L$6*(((Inputs!$I$6+(((A113)+1)/2)*(Inputs!$J$6-Inputs!$I$6)))/Inputs!$K$6)^2)</x:f>
        <x:v>400.0225</x:v>
      </x:c>
      <x:c r="AA113" s="9" t="n">
        <x:f>(Inputs!$H$7+Inputs!$L$7*(((Inputs!$I$7+(((A113)+1)/2)*(Inputs!$J$7-Inputs!$I$7)))/Inputs!$K$7)^2)</x:f>
        <x:v>37.053125</x:v>
      </x:c>
      <x:c r="AB113" s="9" t="n">
        <x:f>(Inputs!$H$8+Inputs!$L$8*(((Inputs!$I$8+(((A113)+1)/2)*(Inputs!$J$8-Inputs!$I$8)))/Inputs!$K$8)^2)</x:f>
        <x:v>40.428125</x:v>
      </x:c>
      <x:c r="AC113" s="9" t="n">
        <x:f>(Inputs!$H$9+Inputs!$L$9*(((Inputs!$I$9+(((A113)+1)/2)*(Inputs!$J$9-Inputs!$I$9)))/Inputs!$K$9)^2)</x:f>
        <x:v>30.484375</x:v>
      </x:c>
      <x:c r="AD113" s="10" t="n"/>
      <x:c r="AE113" s="9" t="n">
        <x:f>A113</x:f>
        <x:v>-0.075</x:v>
      </x:c>
      <x:c r="AF113" s="9"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9"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9"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9"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10" t="n"/>
      <x:c r="AK113" s="9" t="n">
        <x:f>A113</x:f>
        <x:v>-0.075</x:v>
      </x:c>
      <x:c r="AL113" s="9"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9"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9"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9"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10" t="n"/>
      <x:c r="AQ113" s="9" t="n">
        <x:f>A113</x:f>
        <x:v>-0.075</x:v>
      </x:c>
      <x:c r="AR113" s="9" t="n">
        <x:f>0</x:f>
        <x:v>0</x:v>
      </x:c>
      <x:c r="AS113" s="9"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x:f>
        <x:v>423.30568039510905</x:v>
      </x:c>
      <x:c r="AT113" s="9"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x:f>
        <x:v>336.97644838088075</x:v>
      </x:c>
      <x:c r="AU113" s="9"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x:f>
        <x:v>119.42638570504096</x:v>
      </x:c>
      <x:c r="AV113" s="9"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x:f>
        <x:v>119.42638570504096</x:v>
      </x:c>
      <x:c r="AW113" s="10" t="n"/>
      <x:c r="AX113" s="9" t="n">
        <x:f>A113</x:f>
        <x:v>-0.075</x:v>
      </x:c>
      <x:c r="AY113" s="9" t="n">
        <x:f>0</x:f>
        <x:v>0</x:v>
      </x:c>
      <x:c r="AZ113" s="9" t="n">
        <x:f>IF(OR(Inputs!$F$6=TRUE,Inputs!$F$6="TRUE",Inputs!$F$6=1),(Inputs!$H$6+Inputs!$L$6*(((Inputs!$I$6+(((A113)+1)/2)*(Inputs!$J$6-Inputs!$I$6)))/Inputs!$K$6)^2),NA())</x:f>
        <x:v>400.0225</x:v>
      </x:c>
      <x:c r="BA113" s="9" t="n">
        <x:f>IF(OR(Inputs!$F$7=TRUE,Inputs!$F$7="TRUE",Inputs!$F$7=1),(Inputs!$H$7+Inputs!$L$7*(((Inputs!$I$7+(((A113)+1)/2)*(Inputs!$J$7-Inputs!$I$7)))/Inputs!$K$7)^2),NA())</x:f>
        <x:v>37.053125</x:v>
      </x:c>
      <x:c r="BB113" s="9" t="n">
        <x:f>IF(OR(Inputs!$F$8=TRUE,Inputs!$F$8="TRUE",Inputs!$F$8=1),(Inputs!$H$8+Inputs!$L$8*(((Inputs!$I$8+(((A113)+1)/2)*(Inputs!$J$8-Inputs!$I$8)))/Inputs!$K$8)^2),NA())</x:f>
        <x:v>40.428125</x:v>
      </x:c>
      <x:c r="BC113" s="9" t="n">
        <x:f>IF(OR(Inputs!$F$9=TRUE,Inputs!$F$9="TRUE",Inputs!$F$9=1),(Inputs!$H$9+Inputs!$L$9*(((Inputs!$I$9+(((A113)+1)/2)*(Inputs!$J$9-Inputs!$I$9)))/Inputs!$K$9)^2),NA())</x:f>
        <x:v>30.484375</x:v>
      </x:c>
      <x:c r="BD113" s="10" t="n"/>
      <x:c r="BE113" s="9" t="n">
        <x:f>A113</x:f>
        <x:v>-0.075</x:v>
      </x:c>
      <x:c r="BF113" s="9" t="n">
        <x:f>0</x:f>
        <x:v>0</x:v>
      </x:c>
      <x:c r="BG113" s="9"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9"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9"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9"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9" t="n">
        <x:f>ROUND(-1+112*2/240,3)</x:f>
        <x:v>-0.067</x:v>
      </x:c>
      <x:c r="B114" s="9" t="n">
        <x:f>IF(OR(Inputs!$F$6=TRUE,Inputs!$F$6="TRUE",Inputs!$F$6=1),(Inputs!$H$6+Inputs!$L$6*(((Inputs!$I$6+(((A114)+1)/2)*(Inputs!$J$6-Inputs!$I$6)))/Inputs!$K$6)^2),NA())</x:f>
        <x:v>400.017956</x:v>
      </x:c>
      <x:c r="C114" s="9" t="n">
        <x:f>IF(OR(Inputs!$F$7=TRUE,Inputs!$F$7="TRUE",Inputs!$F$7=1),(Inputs!$H$7+Inputs!$L$7*(((Inputs!$I$7+(((A114)+1)/2)*(Inputs!$J$7-Inputs!$I$7)))/Inputs!$K$7)^2),NA())</x:f>
        <x:v>36.638484999999996</x:v>
      </x:c>
      <x:c r="D114" s="9" t="n">
        <x:f>IF(OR(Inputs!$F$8=TRUE,Inputs!$F$8="TRUE",Inputs!$F$8=1),(Inputs!$H$8+Inputs!$L$8*(((Inputs!$I$8+(((A114)+1)/2)*(Inputs!$J$8-Inputs!$I$8)))/Inputs!$K$8)^2),NA())</x:f>
        <x:v>39.331884999999986</x:v>
      </x:c>
      <x:c r="E114" s="9" t="n">
        <x:f>IF(OR(Inputs!$F$9=TRUE,Inputs!$F$9="TRUE",Inputs!$F$9=1),(Inputs!$H$9+Inputs!$L$9*(((Inputs!$I$9+(((A114)+1)/2)*(Inputs!$J$9-Inputs!$I$9)))/Inputs!$K$9)^2),NA())</x:f>
        <x:v>29.376774999999988</x:v>
      </x:c>
      <x:c r="F114" s="10" t="n"/>
      <x:c r="G114" s="9" t="n">
        <x:f>A114</x:f>
        <x:v>-0.067</x:v>
      </x:c>
      <x:c r="H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10" t="n"/>
      <x:c r="M114" s="9" t="n">
        <x:f>A114</x:f>
        <x:v>-0.067</x:v>
      </x:c>
      <x:c r="N114" s="9"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9"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9"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9"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10" t="n"/>
      <x:c r="S114" s="9" t="n">
        <x:f>A114</x:f>
        <x:v>-0.067</x:v>
      </x:c>
      <x:c r="T114" s="9" t="n">
        <x:f>(Inputs!$I$6+(((A114)+1)/2)*(Inputs!$J$6-Inputs!$I$6))</x:f>
        <x:v>-4.019999999999996</x:v>
      </x:c>
      <x:c r="U114" s="9" t="n">
        <x:f>(Inputs!$I$7+(((A114)+1)/2)*(Inputs!$J$7-Inputs!$I$7))</x:f>
        <x:v>-26.799999999999955</x:v>
      </x:c>
      <x:c r="V114" s="9" t="n">
        <x:f>(Inputs!$I$8+(((A114)+1)/2)*(Inputs!$J$8-Inputs!$I$8))</x:f>
        <x:v>-53.59999999999991</x:v>
      </x:c>
      <x:c r="W114" s="9" t="n">
        <x:f>(Inputs!$I$9+(((A114)+1)/2)*(Inputs!$J$9-Inputs!$I$9))</x:f>
        <x:v>-53.59999999999991</x:v>
      </x:c>
      <x:c r="X114" s="10" t="n"/>
      <x:c r="Y114" s="9" t="n">
        <x:f>A114</x:f>
        <x:v>-0.067</x:v>
      </x:c>
      <x:c r="Z114" s="9" t="n">
        <x:f>(Inputs!$H$6+Inputs!$L$6*(((Inputs!$I$6+(((A114)+1)/2)*(Inputs!$J$6-Inputs!$I$6)))/Inputs!$K$6)^2)</x:f>
        <x:v>400.017956</x:v>
      </x:c>
      <x:c r="AA114" s="9" t="n">
        <x:f>(Inputs!$H$7+Inputs!$L$7*(((Inputs!$I$7+(((A114)+1)/2)*(Inputs!$J$7-Inputs!$I$7)))/Inputs!$K$7)^2)</x:f>
        <x:v>36.638484999999996</x:v>
      </x:c>
      <x:c r="AB114" s="9" t="n">
        <x:f>(Inputs!$H$8+Inputs!$L$8*(((Inputs!$I$8+(((A114)+1)/2)*(Inputs!$J$8-Inputs!$I$8)))/Inputs!$K$8)^2)</x:f>
        <x:v>39.331884999999986</x:v>
      </x:c>
      <x:c r="AC114" s="9" t="n">
        <x:f>(Inputs!$H$9+Inputs!$L$9*(((Inputs!$I$9+(((A114)+1)/2)*(Inputs!$J$9-Inputs!$I$9)))/Inputs!$K$9)^2)</x:f>
        <x:v>29.376774999999988</x:v>
      </x:c>
      <x:c r="AD114" s="10" t="n"/>
      <x:c r="AE114" s="9" t="n">
        <x:f>A114</x:f>
        <x:v>-0.067</x:v>
      </x:c>
      <x:c r="AF114" s="9"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9"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9"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9"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10" t="n"/>
      <x:c r="AK114" s="9" t="n">
        <x:f>A114</x:f>
        <x:v>-0.067</x:v>
      </x:c>
      <x:c r="AL114" s="9"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9"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9"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9"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10" t="n"/>
      <x:c r="AQ114" s="9" t="n">
        <x:f>A114</x:f>
        <x:v>-0.067</x:v>
      </x:c>
      <x:c r="AR114" s="9" t="n">
        <x:f>0</x:f>
        <x:v>0</x:v>
      </x:c>
      <x:c r="AS114" s="9"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x:f>
        <x:v>409.5634307369741</x:v>
      </x:c>
      <x:c r="AT114" s="9"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x:f>
        <x:v>293.46080497988197</x:v>
      </x:c>
      <x:c r="AU114" s="9"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x:f>
        <x:v>221.26774039965932</x:v>
      </x:c>
      <x:c r="AV114" s="9"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x:f>
        <x:v>221.26774039965932</x:v>
      </x:c>
      <x:c r="AW114" s="10" t="n"/>
      <x:c r="AX114" s="9" t="n">
        <x:f>A114</x:f>
        <x:v>-0.067</x:v>
      </x:c>
      <x:c r="AY114" s="9" t="n">
        <x:f>0</x:f>
        <x:v>0</x:v>
      </x:c>
      <x:c r="AZ114" s="9" t="n">
        <x:f>IF(OR(Inputs!$F$6=TRUE,Inputs!$F$6="TRUE",Inputs!$F$6=1),(Inputs!$H$6+Inputs!$L$6*(((Inputs!$I$6+(((A114)+1)/2)*(Inputs!$J$6-Inputs!$I$6)))/Inputs!$K$6)^2),NA())</x:f>
        <x:v>400.017956</x:v>
      </x:c>
      <x:c r="BA114" s="9" t="n">
        <x:f>IF(OR(Inputs!$F$7=TRUE,Inputs!$F$7="TRUE",Inputs!$F$7=1),(Inputs!$H$7+Inputs!$L$7*(((Inputs!$I$7+(((A114)+1)/2)*(Inputs!$J$7-Inputs!$I$7)))/Inputs!$K$7)^2),NA())</x:f>
        <x:v>36.638484999999996</x:v>
      </x:c>
      <x:c r="BB114" s="9" t="n">
        <x:f>IF(OR(Inputs!$F$8=TRUE,Inputs!$F$8="TRUE",Inputs!$F$8=1),(Inputs!$H$8+Inputs!$L$8*(((Inputs!$I$8+(((A114)+1)/2)*(Inputs!$J$8-Inputs!$I$8)))/Inputs!$K$8)^2),NA())</x:f>
        <x:v>39.331884999999986</x:v>
      </x:c>
      <x:c r="BC114" s="9" t="n">
        <x:f>IF(OR(Inputs!$F$9=TRUE,Inputs!$F$9="TRUE",Inputs!$F$9=1),(Inputs!$H$9+Inputs!$L$9*(((Inputs!$I$9+(((A114)+1)/2)*(Inputs!$J$9-Inputs!$I$9)))/Inputs!$K$9)^2),NA())</x:f>
        <x:v>29.376774999999988</x:v>
      </x:c>
      <x:c r="BD114" s="10" t="n"/>
      <x:c r="BE114" s="9" t="n">
        <x:f>A114</x:f>
        <x:v>-0.067</x:v>
      </x:c>
      <x:c r="BF114" s="9" t="n">
        <x:f>0</x:f>
        <x:v>0</x:v>
      </x:c>
      <x:c r="BG114" s="9"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9"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9"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9"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9" t="n">
        <x:f>ROUND(-1+113*2/240,3)</x:f>
        <x:v>-0.058</x:v>
      </x:c>
      <x:c r="B115" s="9" t="n">
        <x:f>IF(OR(Inputs!$F$6=TRUE,Inputs!$F$6="TRUE",Inputs!$F$6=1),(Inputs!$H$6+Inputs!$L$6*(((Inputs!$I$6+(((A115)+1)/2)*(Inputs!$J$6-Inputs!$I$6)))/Inputs!$K$6)^2),NA())</x:f>
        <x:v>400.013456</x:v>
      </x:c>
      <x:c r="C115" s="9" t="n">
        <x:f>IF(OR(Inputs!$F$7=TRUE,Inputs!$F$7="TRUE",Inputs!$F$7=1),(Inputs!$H$7+Inputs!$L$7*(((Inputs!$I$7+(((A115)+1)/2)*(Inputs!$J$7-Inputs!$I$7)))/Inputs!$K$7)^2),NA())</x:f>
        <x:v>36.22786000000001</x:v>
      </x:c>
      <x:c r="D115" s="9" t="n">
        <x:f>IF(OR(Inputs!$F$8=TRUE,Inputs!$F$8="TRUE",Inputs!$F$8=1),(Inputs!$H$8+Inputs!$L$8*(((Inputs!$I$8+(((A115)+1)/2)*(Inputs!$J$8-Inputs!$I$8)))/Inputs!$K$8)^2),NA())</x:f>
        <x:v>38.246260000000014</x:v>
      </x:c>
      <x:c r="E115" s="9" t="n">
        <x:f>IF(OR(Inputs!$F$9=TRUE,Inputs!$F$9="TRUE",Inputs!$F$9=1),(Inputs!$H$9+Inputs!$L$9*(((Inputs!$I$9+(((A115)+1)/2)*(Inputs!$J$9-Inputs!$I$9)))/Inputs!$K$9)^2),NA())</x:f>
        <x:v>28.279900000000012</x:v>
      </x:c>
      <x:c r="F115" s="10" t="n"/>
      <x:c r="G115" s="9" t="n">
        <x:f>A115</x:f>
        <x:v>-0.058</x:v>
      </x:c>
      <x:c r="H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10" t="n"/>
      <x:c r="M115" s="9" t="n">
        <x:f>A115</x:f>
        <x:v>-0.058</x:v>
      </x:c>
      <x:c r="N115" s="9"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9"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9"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9"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10" t="n"/>
      <x:c r="S115" s="9" t="n">
        <x:f>A115</x:f>
        <x:v>-0.058</x:v>
      </x:c>
      <x:c r="T115" s="9" t="n">
        <x:f>(Inputs!$I$6+(((A115)+1)/2)*(Inputs!$J$6-Inputs!$I$6))</x:f>
        <x:v>-3.480000000000004</x:v>
      </x:c>
      <x:c r="U115" s="9" t="n">
        <x:f>(Inputs!$I$7+(((A115)+1)/2)*(Inputs!$J$7-Inputs!$I$7))</x:f>
        <x:v>-23.200000000000045</x:v>
      </x:c>
      <x:c r="V115" s="9" t="n">
        <x:f>(Inputs!$I$8+(((A115)+1)/2)*(Inputs!$J$8-Inputs!$I$8))</x:f>
        <x:v>-46.40000000000009</x:v>
      </x:c>
      <x:c r="W115" s="9" t="n">
        <x:f>(Inputs!$I$9+(((A115)+1)/2)*(Inputs!$J$9-Inputs!$I$9))</x:f>
        <x:v>-46.40000000000009</x:v>
      </x:c>
      <x:c r="X115" s="10" t="n"/>
      <x:c r="Y115" s="9" t="n">
        <x:f>A115</x:f>
        <x:v>-0.058</x:v>
      </x:c>
      <x:c r="Z115" s="9" t="n">
        <x:f>(Inputs!$H$6+Inputs!$L$6*(((Inputs!$I$6+(((A115)+1)/2)*(Inputs!$J$6-Inputs!$I$6)))/Inputs!$K$6)^2)</x:f>
        <x:v>400.013456</x:v>
      </x:c>
      <x:c r="AA115" s="9" t="n">
        <x:f>(Inputs!$H$7+Inputs!$L$7*(((Inputs!$I$7+(((A115)+1)/2)*(Inputs!$J$7-Inputs!$I$7)))/Inputs!$K$7)^2)</x:f>
        <x:v>36.22786000000001</x:v>
      </x:c>
      <x:c r="AB115" s="9" t="n">
        <x:f>(Inputs!$H$8+Inputs!$L$8*(((Inputs!$I$8+(((A115)+1)/2)*(Inputs!$J$8-Inputs!$I$8)))/Inputs!$K$8)^2)</x:f>
        <x:v>38.246260000000014</x:v>
      </x:c>
      <x:c r="AC115" s="9" t="n">
        <x:f>(Inputs!$H$9+Inputs!$L$9*(((Inputs!$I$9+(((A115)+1)/2)*(Inputs!$J$9-Inputs!$I$9)))/Inputs!$K$9)^2)</x:f>
        <x:v>28.279900000000012</x:v>
      </x:c>
      <x:c r="AD115" s="10" t="n"/>
      <x:c r="AE115" s="9" t="n">
        <x:f>A115</x:f>
        <x:v>-0.058</x:v>
      </x:c>
      <x:c r="AF115" s="9"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9"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9"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9"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10" t="n"/>
      <x:c r="AK115" s="9" t="n">
        <x:f>A115</x:f>
        <x:v>-0.058</x:v>
      </x:c>
      <x:c r="AL115" s="9"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9"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9"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9"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10" t="n"/>
      <x:c r="AQ115" s="9" t="n">
        <x:f>A115</x:f>
        <x:v>-0.058</x:v>
      </x:c>
      <x:c r="AR115" s="9" t="n">
        <x:f>0</x:f>
        <x:v>0</x:v>
      </x:c>
      <x:c r="AS115" s="9"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x:f>
        <x:v>422.28944024780884</x:v>
      </x:c>
      <x:c r="AT115" s="9"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x:f>
        <x:v>299.18305227131873</x:v>
      </x:c>
      <x:c r="AU115" s="9"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x:f>
        <x:v>233.3343792845032</x:v>
      </x:c>
      <x:c r="AV115" s="9"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x:f>
        <x:v>233.3343792845032</x:v>
      </x:c>
      <x:c r="AW115" s="10" t="n"/>
      <x:c r="AX115" s="9" t="n">
        <x:f>A115</x:f>
        <x:v>-0.058</x:v>
      </x:c>
      <x:c r="AY115" s="9" t="n">
        <x:f>0</x:f>
        <x:v>0</x:v>
      </x:c>
      <x:c r="AZ115" s="9" t="n">
        <x:f>IF(OR(Inputs!$F$6=TRUE,Inputs!$F$6="TRUE",Inputs!$F$6=1),(Inputs!$H$6+Inputs!$L$6*(((Inputs!$I$6+(((A115)+1)/2)*(Inputs!$J$6-Inputs!$I$6)))/Inputs!$K$6)^2),NA())</x:f>
        <x:v>400.013456</x:v>
      </x:c>
      <x:c r="BA115" s="9" t="n">
        <x:f>IF(OR(Inputs!$F$7=TRUE,Inputs!$F$7="TRUE",Inputs!$F$7=1),(Inputs!$H$7+Inputs!$L$7*(((Inputs!$I$7+(((A115)+1)/2)*(Inputs!$J$7-Inputs!$I$7)))/Inputs!$K$7)^2),NA())</x:f>
        <x:v>36.22786000000001</x:v>
      </x:c>
      <x:c r="BB115" s="9" t="n">
        <x:f>IF(OR(Inputs!$F$8=TRUE,Inputs!$F$8="TRUE",Inputs!$F$8=1),(Inputs!$H$8+Inputs!$L$8*(((Inputs!$I$8+(((A115)+1)/2)*(Inputs!$J$8-Inputs!$I$8)))/Inputs!$K$8)^2),NA())</x:f>
        <x:v>38.246260000000014</x:v>
      </x:c>
      <x:c r="BC115" s="9" t="n">
        <x:f>IF(OR(Inputs!$F$9=TRUE,Inputs!$F$9="TRUE",Inputs!$F$9=1),(Inputs!$H$9+Inputs!$L$9*(((Inputs!$I$9+(((A115)+1)/2)*(Inputs!$J$9-Inputs!$I$9)))/Inputs!$K$9)^2),NA())</x:f>
        <x:v>28.279900000000012</x:v>
      </x:c>
      <x:c r="BD115" s="10" t="n"/>
      <x:c r="BE115" s="9" t="n">
        <x:f>A115</x:f>
        <x:v>-0.058</x:v>
      </x:c>
      <x:c r="BF115" s="9" t="n">
        <x:f>0</x:f>
        <x:v>0</x:v>
      </x:c>
      <x:c r="BG115" s="9"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9"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9"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9"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9" t="n">
        <x:f>ROUND(-1+114*2/240,3)</x:f>
        <x:v>-0.05</x:v>
      </x:c>
      <x:c r="B116" s="9" t="n">
        <x:f>IF(OR(Inputs!$F$6=TRUE,Inputs!$F$6="TRUE",Inputs!$F$6=1),(Inputs!$H$6+Inputs!$L$6*(((Inputs!$I$6+(((A116)+1)/2)*(Inputs!$J$6-Inputs!$I$6)))/Inputs!$K$6)^2),NA())</x:f>
        <x:v>400.01</x:v>
      </x:c>
      <x:c r="C116" s="9" t="n">
        <x:f>IF(OR(Inputs!$F$7=TRUE,Inputs!$F$7="TRUE",Inputs!$F$7=1),(Inputs!$H$7+Inputs!$L$7*(((Inputs!$I$7+(((A116)+1)/2)*(Inputs!$J$7-Inputs!$I$7)))/Inputs!$K$7)^2),NA())</x:f>
        <x:v>35.9125</x:v>
      </x:c>
      <x:c r="D116" s="9" t="n">
        <x:f>IF(OR(Inputs!$F$8=TRUE,Inputs!$F$8="TRUE",Inputs!$F$8=1),(Inputs!$H$8+Inputs!$L$8*(((Inputs!$I$8+(((A116)+1)/2)*(Inputs!$J$8-Inputs!$I$8)))/Inputs!$K$8)^2),NA())</x:f>
        <x:v>37.4125</x:v>
      </x:c>
      <x:c r="E116" s="9" t="n">
        <x:f>IF(OR(Inputs!$F$9=TRUE,Inputs!$F$9="TRUE",Inputs!$F$9=1),(Inputs!$H$9+Inputs!$L$9*(((Inputs!$I$9+(((A116)+1)/2)*(Inputs!$J$9-Inputs!$I$9)))/Inputs!$K$9)^2),NA())</x:f>
        <x:v>27.4375</x:v>
      </x:c>
      <x:c r="F116" s="10" t="n"/>
      <x:c r="G116" s="9" t="n">
        <x:f>A116</x:f>
        <x:v>-0.05</x:v>
      </x:c>
      <x:c r="H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10" t="n"/>
      <x:c r="M116" s="9" t="n">
        <x:f>A116</x:f>
        <x:v>-0.05</x:v>
      </x:c>
      <x:c r="N116" s="9"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9"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9"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9"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10" t="n"/>
      <x:c r="S116" s="9" t="n">
        <x:f>A116</x:f>
        <x:v>-0.05</x:v>
      </x:c>
      <x:c r="T116" s="9" t="n">
        <x:f>(Inputs!$I$6+(((A116)+1)/2)*(Inputs!$J$6-Inputs!$I$6))</x:f>
        <x:v>-3</x:v>
      </x:c>
      <x:c r="U116" s="9" t="n">
        <x:f>(Inputs!$I$7+(((A116)+1)/2)*(Inputs!$J$7-Inputs!$I$7))</x:f>
        <x:v>-20</x:v>
      </x:c>
      <x:c r="V116" s="9" t="n">
        <x:f>(Inputs!$I$8+(((A116)+1)/2)*(Inputs!$J$8-Inputs!$I$8))</x:f>
        <x:v>-40</x:v>
      </x:c>
      <x:c r="W116" s="9" t="n">
        <x:f>(Inputs!$I$9+(((A116)+1)/2)*(Inputs!$J$9-Inputs!$I$9))</x:f>
        <x:v>-40</x:v>
      </x:c>
      <x:c r="X116" s="10" t="n"/>
      <x:c r="Y116" s="9" t="n">
        <x:f>A116</x:f>
        <x:v>-0.05</x:v>
      </x:c>
      <x:c r="Z116" s="9" t="n">
        <x:f>(Inputs!$H$6+Inputs!$L$6*(((Inputs!$I$6+(((A116)+1)/2)*(Inputs!$J$6-Inputs!$I$6)))/Inputs!$K$6)^2)</x:f>
        <x:v>400.01</x:v>
      </x:c>
      <x:c r="AA116" s="9" t="n">
        <x:f>(Inputs!$H$7+Inputs!$L$7*(((Inputs!$I$7+(((A116)+1)/2)*(Inputs!$J$7-Inputs!$I$7)))/Inputs!$K$7)^2)</x:f>
        <x:v>35.9125</x:v>
      </x:c>
      <x:c r="AB116" s="9" t="n">
        <x:f>(Inputs!$H$8+Inputs!$L$8*(((Inputs!$I$8+(((A116)+1)/2)*(Inputs!$J$8-Inputs!$I$8)))/Inputs!$K$8)^2)</x:f>
        <x:v>37.4125</x:v>
      </x:c>
      <x:c r="AC116" s="9" t="n">
        <x:f>(Inputs!$H$9+Inputs!$L$9*(((Inputs!$I$9+(((A116)+1)/2)*(Inputs!$J$9-Inputs!$I$9)))/Inputs!$K$9)^2)</x:f>
        <x:v>27.4375</x:v>
      </x:c>
      <x:c r="AD116" s="10" t="n"/>
      <x:c r="AE116" s="9" t="n">
        <x:f>A116</x:f>
        <x:v>-0.05</x:v>
      </x:c>
      <x:c r="AF116" s="9"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9"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9"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9"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10" t="n"/>
      <x:c r="AK116" s="9" t="n">
        <x:f>A116</x:f>
        <x:v>-0.05</x:v>
      </x:c>
      <x:c r="AL116" s="9"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9"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9"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9"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10" t="n"/>
      <x:c r="AQ116" s="9" t="n">
        <x:f>A116</x:f>
        <x:v>-0.05</x:v>
      </x:c>
      <x:c r="AR116" s="9" t="n">
        <x:f>0</x:f>
        <x:v>0</x:v>
      </x:c>
      <x:c r="AS116" s="9"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x:f>
        <x:v>420.14741895617453</x:v>
      </x:c>
      <x:c r="AT116" s="9"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x:f>
        <x:v>338.15830709992554</x:v>
      </x:c>
      <x:c r="AU116" s="9"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x:f>
        <x:v>197.66557297497732</x:v>
      </x:c>
      <x:c r="AV116" s="9"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x:f>
        <x:v>197.66557297497732</x:v>
      </x:c>
      <x:c r="AW116" s="10" t="n"/>
      <x:c r="AX116" s="9" t="n">
        <x:f>A116</x:f>
        <x:v>-0.05</x:v>
      </x:c>
      <x:c r="AY116" s="9" t="n">
        <x:f>0</x:f>
        <x:v>0</x:v>
      </x:c>
      <x:c r="AZ116" s="9" t="n">
        <x:f>IF(OR(Inputs!$F$6=TRUE,Inputs!$F$6="TRUE",Inputs!$F$6=1),(Inputs!$H$6+Inputs!$L$6*(((Inputs!$I$6+(((A116)+1)/2)*(Inputs!$J$6-Inputs!$I$6)))/Inputs!$K$6)^2),NA())</x:f>
        <x:v>400.01</x:v>
      </x:c>
      <x:c r="BA116" s="9" t="n">
        <x:f>IF(OR(Inputs!$F$7=TRUE,Inputs!$F$7="TRUE",Inputs!$F$7=1),(Inputs!$H$7+Inputs!$L$7*(((Inputs!$I$7+(((A116)+1)/2)*(Inputs!$J$7-Inputs!$I$7)))/Inputs!$K$7)^2),NA())</x:f>
        <x:v>35.9125</x:v>
      </x:c>
      <x:c r="BB116" s="9" t="n">
        <x:f>IF(OR(Inputs!$F$8=TRUE,Inputs!$F$8="TRUE",Inputs!$F$8=1),(Inputs!$H$8+Inputs!$L$8*(((Inputs!$I$8+(((A116)+1)/2)*(Inputs!$J$8-Inputs!$I$8)))/Inputs!$K$8)^2),NA())</x:f>
        <x:v>37.4125</x:v>
      </x:c>
      <x:c r="BC116" s="9" t="n">
        <x:f>IF(OR(Inputs!$F$9=TRUE,Inputs!$F$9="TRUE",Inputs!$F$9=1),(Inputs!$H$9+Inputs!$L$9*(((Inputs!$I$9+(((A116)+1)/2)*(Inputs!$J$9-Inputs!$I$9)))/Inputs!$K$9)^2),NA())</x:f>
        <x:v>27.4375</x:v>
      </x:c>
      <x:c r="BD116" s="10" t="n"/>
      <x:c r="BE116" s="9" t="n">
        <x:f>A116</x:f>
        <x:v>-0.05</x:v>
      </x:c>
      <x:c r="BF116" s="9" t="n">
        <x:f>0</x:f>
        <x:v>0</x:v>
      </x:c>
      <x:c r="BG116" s="9"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9"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9"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9"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9" t="n">
        <x:f>ROUND(-1+115*2/240,3)</x:f>
        <x:v>-0.042</x:v>
      </x:c>
      <x:c r="B117" s="9" t="n">
        <x:f>IF(OR(Inputs!$F$6=TRUE,Inputs!$F$6="TRUE",Inputs!$F$6=1),(Inputs!$H$6+Inputs!$L$6*(((Inputs!$I$6+(((A117)+1)/2)*(Inputs!$J$6-Inputs!$I$6)))/Inputs!$K$6)^2),NA())</x:f>
        <x:v>400.007056</x:v>
      </x:c>
      <x:c r="C117" s="9" t="n">
        <x:f>IF(OR(Inputs!$F$7=TRUE,Inputs!$F$7="TRUE",Inputs!$F$7=1),(Inputs!$H$7+Inputs!$L$7*(((Inputs!$I$7+(((A117)+1)/2)*(Inputs!$J$7-Inputs!$I$7)))/Inputs!$K$7)^2),NA())</x:f>
        <x:v>35.643860000000004</x:v>
      </x:c>
      <x:c r="D117" s="9" t="n">
        <x:f>IF(OR(Inputs!$F$8=TRUE,Inputs!$F$8="TRUE",Inputs!$F$8=1),(Inputs!$H$8+Inputs!$L$8*(((Inputs!$I$8+(((A117)+1)/2)*(Inputs!$J$8-Inputs!$I$8)))/Inputs!$K$8)^2),NA())</x:f>
        <x:v>36.70226</x:v>
      </x:c>
      <x:c r="E117" s="9" t="n">
        <x:f>IF(OR(Inputs!$F$9=TRUE,Inputs!$F$9="TRUE",Inputs!$F$9=1),(Inputs!$H$9+Inputs!$L$9*(((Inputs!$I$9+(((A117)+1)/2)*(Inputs!$J$9-Inputs!$I$9)))/Inputs!$K$9)^2),NA())</x:f>
        <x:v>26.719900000000003</x:v>
      </x:c>
      <x:c r="F117" s="10" t="n"/>
      <x:c r="G117" s="9" t="n">
        <x:f>A117</x:f>
        <x:v>-0.042</x:v>
      </x:c>
      <x:c r="H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10" t="n"/>
      <x:c r="M117" s="9" t="n">
        <x:f>A117</x:f>
        <x:v>-0.042</x:v>
      </x:c>
      <x:c r="N117" s="9"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9"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9"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9"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10" t="n"/>
      <x:c r="S117" s="9" t="n">
        <x:f>A117</x:f>
        <x:v>-0.042</x:v>
      </x:c>
      <x:c r="T117" s="9" t="n">
        <x:f>(Inputs!$I$6+(((A117)+1)/2)*(Inputs!$J$6-Inputs!$I$6))</x:f>
        <x:v>-2.520000000000003</x:v>
      </x:c>
      <x:c r="U117" s="9" t="n">
        <x:f>(Inputs!$I$7+(((A117)+1)/2)*(Inputs!$J$7-Inputs!$I$7))</x:f>
        <x:v>-16.80000000000001</x:v>
      </x:c>
      <x:c r="V117" s="9" t="n">
        <x:f>(Inputs!$I$8+(((A117)+1)/2)*(Inputs!$J$8-Inputs!$I$8))</x:f>
        <x:v>-33.60000000000002</x:v>
      </x:c>
      <x:c r="W117" s="9" t="n">
        <x:f>(Inputs!$I$9+(((A117)+1)/2)*(Inputs!$J$9-Inputs!$I$9))</x:f>
        <x:v>-33.60000000000002</x:v>
      </x:c>
      <x:c r="X117" s="10" t="n"/>
      <x:c r="Y117" s="9" t="n">
        <x:f>A117</x:f>
        <x:v>-0.042</x:v>
      </x:c>
      <x:c r="Z117" s="9" t="n">
        <x:f>(Inputs!$H$6+Inputs!$L$6*(((Inputs!$I$6+(((A117)+1)/2)*(Inputs!$J$6-Inputs!$I$6)))/Inputs!$K$6)^2)</x:f>
        <x:v>400.007056</x:v>
      </x:c>
      <x:c r="AA117" s="9" t="n">
        <x:f>(Inputs!$H$7+Inputs!$L$7*(((Inputs!$I$7+(((A117)+1)/2)*(Inputs!$J$7-Inputs!$I$7)))/Inputs!$K$7)^2)</x:f>
        <x:v>35.643860000000004</x:v>
      </x:c>
      <x:c r="AB117" s="9" t="n">
        <x:f>(Inputs!$H$8+Inputs!$L$8*(((Inputs!$I$8+(((A117)+1)/2)*(Inputs!$J$8-Inputs!$I$8)))/Inputs!$K$8)^2)</x:f>
        <x:v>36.70226</x:v>
      </x:c>
      <x:c r="AC117" s="9" t="n">
        <x:f>(Inputs!$H$9+Inputs!$L$9*(((Inputs!$I$9+(((A117)+1)/2)*(Inputs!$J$9-Inputs!$I$9)))/Inputs!$K$9)^2)</x:f>
        <x:v>26.719900000000003</x:v>
      </x:c>
      <x:c r="AD117" s="10" t="n"/>
      <x:c r="AE117" s="9" t="n">
        <x:f>A117</x:f>
        <x:v>-0.042</x:v>
      </x:c>
      <x:c r="AF117" s="9"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9"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9"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9"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10" t="n"/>
      <x:c r="AK117" s="9" t="n">
        <x:f>A117</x:f>
        <x:v>-0.042</x:v>
      </x:c>
      <x:c r="AL117" s="9"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9"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9"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9"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10" t="n"/>
      <x:c r="AQ117" s="9" t="n">
        <x:f>A117</x:f>
        <x:v>-0.042</x:v>
      </x:c>
      <x:c r="AR117" s="9" t="n">
        <x:f>0</x:f>
        <x:v>0</x:v>
      </x:c>
      <x:c r="AS117" s="9"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x:f>
        <x:v>419.3714503277078</x:v>
      </x:c>
      <x:c r="AT117" s="9"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x:f>
        <x:v>382.7236063773297</x:v>
      </x:c>
      <x:c r="AU117" s="9"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x:f>
        <x:v>332.82100989198443</x:v>
      </x:c>
      <x:c r="AV117" s="9"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x:f>
        <x:v>332.82100989198443</x:v>
      </x:c>
      <x:c r="AW117" s="10" t="n"/>
      <x:c r="AX117" s="9" t="n">
        <x:f>A117</x:f>
        <x:v>-0.042</x:v>
      </x:c>
      <x:c r="AY117" s="9" t="n">
        <x:f>0</x:f>
        <x:v>0</x:v>
      </x:c>
      <x:c r="AZ117" s="9" t="n">
        <x:f>IF(OR(Inputs!$F$6=TRUE,Inputs!$F$6="TRUE",Inputs!$F$6=1),(Inputs!$H$6+Inputs!$L$6*(((Inputs!$I$6+(((A117)+1)/2)*(Inputs!$J$6-Inputs!$I$6)))/Inputs!$K$6)^2),NA())</x:f>
        <x:v>400.007056</x:v>
      </x:c>
      <x:c r="BA117" s="9" t="n">
        <x:f>IF(OR(Inputs!$F$7=TRUE,Inputs!$F$7="TRUE",Inputs!$F$7=1),(Inputs!$H$7+Inputs!$L$7*(((Inputs!$I$7+(((A117)+1)/2)*(Inputs!$J$7-Inputs!$I$7)))/Inputs!$K$7)^2),NA())</x:f>
        <x:v>35.643860000000004</x:v>
      </x:c>
      <x:c r="BB117" s="9" t="n">
        <x:f>IF(OR(Inputs!$F$8=TRUE,Inputs!$F$8="TRUE",Inputs!$F$8=1),(Inputs!$H$8+Inputs!$L$8*(((Inputs!$I$8+(((A117)+1)/2)*(Inputs!$J$8-Inputs!$I$8)))/Inputs!$K$8)^2),NA())</x:f>
        <x:v>36.70226</x:v>
      </x:c>
      <x:c r="BC117" s="9" t="n">
        <x:f>IF(OR(Inputs!$F$9=TRUE,Inputs!$F$9="TRUE",Inputs!$F$9=1),(Inputs!$H$9+Inputs!$L$9*(((Inputs!$I$9+(((A117)+1)/2)*(Inputs!$J$9-Inputs!$I$9)))/Inputs!$K$9)^2),NA())</x:f>
        <x:v>26.719900000000003</x:v>
      </x:c>
      <x:c r="BD117" s="10" t="n"/>
      <x:c r="BE117" s="9" t="n">
        <x:f>A117</x:f>
        <x:v>-0.042</x:v>
      </x:c>
      <x:c r="BF117" s="9" t="n">
        <x:f>0</x:f>
        <x:v>0</x:v>
      </x:c>
      <x:c r="BG117" s="9"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9"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9"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9"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9" t="n">
        <x:f>ROUND(-1+116*2/240,3)</x:f>
        <x:v>-0.033</x:v>
      </x:c>
      <x:c r="B118" s="9" t="n">
        <x:f>IF(OR(Inputs!$F$6=TRUE,Inputs!$F$6="TRUE",Inputs!$F$6=1),(Inputs!$H$6+Inputs!$L$6*(((Inputs!$I$6+(((A118)+1)/2)*(Inputs!$J$6-Inputs!$I$6)))/Inputs!$K$6)^2),NA())</x:f>
        <x:v>400.004356</x:v>
      </x:c>
      <x:c r="C118" s="9" t="n">
        <x:f>IF(OR(Inputs!$F$7=TRUE,Inputs!$F$7="TRUE",Inputs!$F$7=1),(Inputs!$H$7+Inputs!$L$7*(((Inputs!$I$7+(((A118)+1)/2)*(Inputs!$J$7-Inputs!$I$7)))/Inputs!$K$7)^2),NA())</x:f>
        <x:v>35.397484999999996</x:v>
      </x:c>
      <x:c r="D118" s="9" t="n">
        <x:f>IF(OR(Inputs!$F$8=TRUE,Inputs!$F$8="TRUE",Inputs!$F$8=1),(Inputs!$H$8+Inputs!$L$8*(((Inputs!$I$8+(((A118)+1)/2)*(Inputs!$J$8-Inputs!$I$8)))/Inputs!$K$8)^2),NA())</x:f>
        <x:v>36.050885</x:v>
      </x:c>
      <x:c r="E118" s="9" t="n">
        <x:f>IF(OR(Inputs!$F$9=TRUE,Inputs!$F$9="TRUE",Inputs!$F$9=1),(Inputs!$H$9+Inputs!$L$9*(((Inputs!$I$9+(((A118)+1)/2)*(Inputs!$J$9-Inputs!$I$9)))/Inputs!$K$9)^2),NA())</x:f>
        <x:v>26.061774999999997</x:v>
      </x:c>
      <x:c r="F118" s="10" t="n"/>
      <x:c r="G118" s="9" t="n">
        <x:f>A118</x:f>
        <x:v>-0.033</x:v>
      </x:c>
      <x:c r="H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10" t="n"/>
      <x:c r="M118" s="9" t="n">
        <x:f>A118</x:f>
        <x:v>-0.033</x:v>
      </x:c>
      <x:c r="N118" s="9"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9"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9"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9"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10" t="n"/>
      <x:c r="S118" s="9" t="n">
        <x:f>A118</x:f>
        <x:v>-0.033</x:v>
      </x:c>
      <x:c r="T118" s="9" t="n">
        <x:f>(Inputs!$I$6+(((A118)+1)/2)*(Inputs!$J$6-Inputs!$I$6))</x:f>
        <x:v>-1.980000000000004</x:v>
      </x:c>
      <x:c r="U118" s="9" t="n">
        <x:f>(Inputs!$I$7+(((A118)+1)/2)*(Inputs!$J$7-Inputs!$I$7))</x:f>
        <x:v>-13.199999999999989</x:v>
      </x:c>
      <x:c r="V118" s="9" t="n">
        <x:f>(Inputs!$I$8+(((A118)+1)/2)*(Inputs!$J$8-Inputs!$I$8))</x:f>
        <x:v>-26.399999999999977</x:v>
      </x:c>
      <x:c r="W118" s="9" t="n">
        <x:f>(Inputs!$I$9+(((A118)+1)/2)*(Inputs!$J$9-Inputs!$I$9))</x:f>
        <x:v>-26.399999999999977</x:v>
      </x:c>
      <x:c r="X118" s="10" t="n"/>
      <x:c r="Y118" s="9" t="n">
        <x:f>A118</x:f>
        <x:v>-0.033</x:v>
      </x:c>
      <x:c r="Z118" s="9" t="n">
        <x:f>(Inputs!$H$6+Inputs!$L$6*(((Inputs!$I$6+(((A118)+1)/2)*(Inputs!$J$6-Inputs!$I$6)))/Inputs!$K$6)^2)</x:f>
        <x:v>400.004356</x:v>
      </x:c>
      <x:c r="AA118" s="9" t="n">
        <x:f>(Inputs!$H$7+Inputs!$L$7*(((Inputs!$I$7+(((A118)+1)/2)*(Inputs!$J$7-Inputs!$I$7)))/Inputs!$K$7)^2)</x:f>
        <x:v>35.397484999999996</x:v>
      </x:c>
      <x:c r="AB118" s="9" t="n">
        <x:f>(Inputs!$H$8+Inputs!$L$8*(((Inputs!$I$8+(((A118)+1)/2)*(Inputs!$J$8-Inputs!$I$8)))/Inputs!$K$8)^2)</x:f>
        <x:v>36.050885</x:v>
      </x:c>
      <x:c r="AC118" s="9" t="n">
        <x:f>(Inputs!$H$9+Inputs!$L$9*(((Inputs!$I$9+(((A118)+1)/2)*(Inputs!$J$9-Inputs!$I$9)))/Inputs!$K$9)^2)</x:f>
        <x:v>26.061774999999997</x:v>
      </x:c>
      <x:c r="AD118" s="10" t="n"/>
      <x:c r="AE118" s="9" t="n">
        <x:f>A118</x:f>
        <x:v>-0.033</x:v>
      </x:c>
      <x:c r="AF118" s="9"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9"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9"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9"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10" t="n"/>
      <x:c r="AK118" s="9" t="n">
        <x:f>A118</x:f>
        <x:v>-0.033</x:v>
      </x:c>
      <x:c r="AL118" s="9"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9"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9"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9"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10" t="n"/>
      <x:c r="AQ118" s="9" t="n">
        <x:f>A118</x:f>
        <x:v>-0.033</x:v>
      </x:c>
      <x:c r="AR118" s="9" t="n">
        <x:f>0</x:f>
        <x:v>0</x:v>
      </x:c>
      <x:c r="AS118" s="9"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x:f>
        <x:v>426.6117076959969</x:v>
      </x:c>
      <x:c r="AT118" s="9"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x:f>
        <x:v>426.4996929504622</x:v>
      </x:c>
      <x:c r="AU118" s="9"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x:f>
        <x:v>283.81617250767744</x:v>
      </x:c>
      <x:c r="AV118" s="9"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x:f>
        <x:v>283.81617250767744</x:v>
      </x:c>
      <x:c r="AW118" s="10" t="n"/>
      <x:c r="AX118" s="9" t="n">
        <x:f>A118</x:f>
        <x:v>-0.033</x:v>
      </x:c>
      <x:c r="AY118" s="9" t="n">
        <x:f>0</x:f>
        <x:v>0</x:v>
      </x:c>
      <x:c r="AZ118" s="9" t="n">
        <x:f>IF(OR(Inputs!$F$6=TRUE,Inputs!$F$6="TRUE",Inputs!$F$6=1),(Inputs!$H$6+Inputs!$L$6*(((Inputs!$I$6+(((A118)+1)/2)*(Inputs!$J$6-Inputs!$I$6)))/Inputs!$K$6)^2),NA())</x:f>
        <x:v>400.004356</x:v>
      </x:c>
      <x:c r="BA118" s="9" t="n">
        <x:f>IF(OR(Inputs!$F$7=TRUE,Inputs!$F$7="TRUE",Inputs!$F$7=1),(Inputs!$H$7+Inputs!$L$7*(((Inputs!$I$7+(((A118)+1)/2)*(Inputs!$J$7-Inputs!$I$7)))/Inputs!$K$7)^2),NA())</x:f>
        <x:v>35.397484999999996</x:v>
      </x:c>
      <x:c r="BB118" s="9" t="n">
        <x:f>IF(OR(Inputs!$F$8=TRUE,Inputs!$F$8="TRUE",Inputs!$F$8=1),(Inputs!$H$8+Inputs!$L$8*(((Inputs!$I$8+(((A118)+1)/2)*(Inputs!$J$8-Inputs!$I$8)))/Inputs!$K$8)^2),NA())</x:f>
        <x:v>36.050885</x:v>
      </x:c>
      <x:c r="BC118" s="9" t="n">
        <x:f>IF(OR(Inputs!$F$9=TRUE,Inputs!$F$9="TRUE",Inputs!$F$9=1),(Inputs!$H$9+Inputs!$L$9*(((Inputs!$I$9+(((A118)+1)/2)*(Inputs!$J$9-Inputs!$I$9)))/Inputs!$K$9)^2),NA())</x:f>
        <x:v>26.061774999999997</x:v>
      </x:c>
      <x:c r="BD118" s="10" t="n"/>
      <x:c r="BE118" s="9" t="n">
        <x:f>A118</x:f>
        <x:v>-0.033</x:v>
      </x:c>
      <x:c r="BF118" s="9" t="n">
        <x:f>0</x:f>
        <x:v>0</x:v>
      </x:c>
      <x:c r="BG118" s="9"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9"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9"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9"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9" t="n">
        <x:f>ROUND(-1+117*2/240,3)</x:f>
        <x:v>-0.025</x:v>
      </x:c>
      <x:c r="B119" s="9" t="n">
        <x:f>IF(OR(Inputs!$F$6=TRUE,Inputs!$F$6="TRUE",Inputs!$F$6=1),(Inputs!$H$6+Inputs!$L$6*(((Inputs!$I$6+(((A119)+1)/2)*(Inputs!$J$6-Inputs!$I$6)))/Inputs!$K$6)^2),NA())</x:f>
        <x:v>400.0025</x:v>
      </x:c>
      <x:c r="C119" s="9" t="n">
        <x:f>IF(OR(Inputs!$F$7=TRUE,Inputs!$F$7="TRUE",Inputs!$F$7=1),(Inputs!$H$7+Inputs!$L$7*(((Inputs!$I$7+(((A119)+1)/2)*(Inputs!$J$7-Inputs!$I$7)))/Inputs!$K$7)^2),NA())</x:f>
        <x:v>35.228125</x:v>
      </x:c>
      <x:c r="D119" s="9" t="n">
        <x:f>IF(OR(Inputs!$F$8=TRUE,Inputs!$F$8="TRUE",Inputs!$F$8=1),(Inputs!$H$8+Inputs!$L$8*(((Inputs!$I$8+(((A119)+1)/2)*(Inputs!$J$8-Inputs!$I$8)))/Inputs!$K$8)^2),NA())</x:f>
        <x:v>35.603125</x:v>
      </x:c>
      <x:c r="E119" s="9" t="n">
        <x:f>IF(OR(Inputs!$F$9=TRUE,Inputs!$F$9="TRUE",Inputs!$F$9=1),(Inputs!$H$9+Inputs!$L$9*(((Inputs!$I$9+(((A119)+1)/2)*(Inputs!$J$9-Inputs!$I$9)))/Inputs!$K$9)^2),NA())</x:f>
        <x:v>25.609375</x:v>
      </x:c>
      <x:c r="F119" s="10" t="n"/>
      <x:c r="G119" s="9" t="n">
        <x:f>A119</x:f>
        <x:v>-0.025</x:v>
      </x:c>
      <x:c r="H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10" t="n"/>
      <x:c r="M119" s="9" t="n">
        <x:f>A119</x:f>
        <x:v>-0.025</x:v>
      </x:c>
      <x:c r="N119" s="9"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9"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9"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9"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10" t="n"/>
      <x:c r="S119" s="9" t="n">
        <x:f>A119</x:f>
        <x:v>-0.025</x:v>
      </x:c>
      <x:c r="T119" s="9" t="n">
        <x:f>(Inputs!$I$6+(((A119)+1)/2)*(Inputs!$J$6-Inputs!$I$6))</x:f>
        <x:v>-1.5</x:v>
      </x:c>
      <x:c r="U119" s="9" t="n">
        <x:f>(Inputs!$I$7+(((A119)+1)/2)*(Inputs!$J$7-Inputs!$I$7))</x:f>
        <x:v>-10</x:v>
      </x:c>
      <x:c r="V119" s="9" t="n">
        <x:f>(Inputs!$I$8+(((A119)+1)/2)*(Inputs!$J$8-Inputs!$I$8))</x:f>
        <x:v>-20</x:v>
      </x:c>
      <x:c r="W119" s="9" t="n">
        <x:f>(Inputs!$I$9+(((A119)+1)/2)*(Inputs!$J$9-Inputs!$I$9))</x:f>
        <x:v>-20</x:v>
      </x:c>
      <x:c r="X119" s="10" t="n"/>
      <x:c r="Y119" s="9" t="n">
        <x:f>A119</x:f>
        <x:v>-0.025</x:v>
      </x:c>
      <x:c r="Z119" s="9" t="n">
        <x:f>(Inputs!$H$6+Inputs!$L$6*(((Inputs!$I$6+(((A119)+1)/2)*(Inputs!$J$6-Inputs!$I$6)))/Inputs!$K$6)^2)</x:f>
        <x:v>400.0025</x:v>
      </x:c>
      <x:c r="AA119" s="9" t="n">
        <x:f>(Inputs!$H$7+Inputs!$L$7*(((Inputs!$I$7+(((A119)+1)/2)*(Inputs!$J$7-Inputs!$I$7)))/Inputs!$K$7)^2)</x:f>
        <x:v>35.228125</x:v>
      </x:c>
      <x:c r="AB119" s="9" t="n">
        <x:f>(Inputs!$H$8+Inputs!$L$8*(((Inputs!$I$8+(((A119)+1)/2)*(Inputs!$J$8-Inputs!$I$8)))/Inputs!$K$8)^2)</x:f>
        <x:v>35.603125</x:v>
      </x:c>
      <x:c r="AC119" s="9" t="n">
        <x:f>(Inputs!$H$9+Inputs!$L$9*(((Inputs!$I$9+(((A119)+1)/2)*(Inputs!$J$9-Inputs!$I$9)))/Inputs!$K$9)^2)</x:f>
        <x:v>25.609375</x:v>
      </x:c>
      <x:c r="AD119" s="10" t="n"/>
      <x:c r="AE119" s="9" t="n">
        <x:f>A119</x:f>
        <x:v>-0.025</x:v>
      </x:c>
      <x:c r="AF119" s="9"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9"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9"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9"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10" t="n"/>
      <x:c r="AK119" s="9" t="n">
        <x:f>A119</x:f>
        <x:v>-0.025</x:v>
      </x:c>
      <x:c r="AL119" s="9"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9"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9"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9"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10" t="n"/>
      <x:c r="AQ119" s="9" t="n">
        <x:f>A119</x:f>
        <x:v>-0.025</x:v>
      </x:c>
      <x:c r="AR119" s="9" t="n">
        <x:f>0</x:f>
        <x:v>0</x:v>
      </x:c>
      <x:c r="AS119" s="9"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x:f>
        <x:v>431.10580672292525</x:v>
      </x:c>
      <x:c r="AT119" s="9"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x:f>
        <x:v>471.5144848829251</x:v>
      </x:c>
      <x:c r="AU119" s="9"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x:f>
        <x:v>338.15830709992554</x:v>
      </x:c>
      <x:c r="AV119" s="9"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x:f>
        <x:v>338.15830709992554</x:v>
      </x:c>
      <x:c r="AW119" s="10" t="n"/>
      <x:c r="AX119" s="9" t="n">
        <x:f>A119</x:f>
        <x:v>-0.025</x:v>
      </x:c>
      <x:c r="AY119" s="9" t="n">
        <x:f>0</x:f>
        <x:v>0</x:v>
      </x:c>
      <x:c r="AZ119" s="9" t="n">
        <x:f>IF(OR(Inputs!$F$6=TRUE,Inputs!$F$6="TRUE",Inputs!$F$6=1),(Inputs!$H$6+Inputs!$L$6*(((Inputs!$I$6+(((A119)+1)/2)*(Inputs!$J$6-Inputs!$I$6)))/Inputs!$K$6)^2),NA())</x:f>
        <x:v>400.0025</x:v>
      </x:c>
      <x:c r="BA119" s="9" t="n">
        <x:f>IF(OR(Inputs!$F$7=TRUE,Inputs!$F$7="TRUE",Inputs!$F$7=1),(Inputs!$H$7+Inputs!$L$7*(((Inputs!$I$7+(((A119)+1)/2)*(Inputs!$J$7-Inputs!$I$7)))/Inputs!$K$7)^2),NA())</x:f>
        <x:v>35.228125</x:v>
      </x:c>
      <x:c r="BB119" s="9" t="n">
        <x:f>IF(OR(Inputs!$F$8=TRUE,Inputs!$F$8="TRUE",Inputs!$F$8=1),(Inputs!$H$8+Inputs!$L$8*(((Inputs!$I$8+(((A119)+1)/2)*(Inputs!$J$8-Inputs!$I$8)))/Inputs!$K$8)^2),NA())</x:f>
        <x:v>35.603125</x:v>
      </x:c>
      <x:c r="BC119" s="9" t="n">
        <x:f>IF(OR(Inputs!$F$9=TRUE,Inputs!$F$9="TRUE",Inputs!$F$9=1),(Inputs!$H$9+Inputs!$L$9*(((Inputs!$I$9+(((A119)+1)/2)*(Inputs!$J$9-Inputs!$I$9)))/Inputs!$K$9)^2),NA())</x:f>
        <x:v>25.609375</x:v>
      </x:c>
      <x:c r="BD119" s="10" t="n"/>
      <x:c r="BE119" s="9" t="n">
        <x:f>A119</x:f>
        <x:v>-0.025</x:v>
      </x:c>
      <x:c r="BF119" s="9" t="n">
        <x:f>0</x:f>
        <x:v>0</x:v>
      </x:c>
      <x:c r="BG119" s="9"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9"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9"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9"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9" t="n">
        <x:f>ROUND(-1+118*2/240,3)</x:f>
        <x:v>-0.017</x:v>
      </x:c>
      <x:c r="B120" s="9" t="n">
        <x:f>IF(OR(Inputs!$F$6=TRUE,Inputs!$F$6="TRUE",Inputs!$F$6=1),(Inputs!$H$6+Inputs!$L$6*(((Inputs!$I$6+(((A120)+1)/2)*(Inputs!$J$6-Inputs!$I$6)))/Inputs!$K$6)^2),NA())</x:f>
        <x:v>400.001156</x:v>
      </x:c>
      <x:c r="C120" s="9" t="n">
        <x:f>IF(OR(Inputs!$F$7=TRUE,Inputs!$F$7="TRUE",Inputs!$F$7=1),(Inputs!$H$7+Inputs!$L$7*(((Inputs!$I$7+(((A120)+1)/2)*(Inputs!$J$7-Inputs!$I$7)))/Inputs!$K$7)^2),NA())</x:f>
        <x:v>35.105485</x:v>
      </x:c>
      <x:c r="D120" s="9" t="n">
        <x:f>IF(OR(Inputs!$F$8=TRUE,Inputs!$F$8="TRUE",Inputs!$F$8=1),(Inputs!$H$8+Inputs!$L$8*(((Inputs!$I$8+(((A120)+1)/2)*(Inputs!$J$8-Inputs!$I$8)))/Inputs!$K$8)^2),NA())</x:f>
        <x:v>35.278885</x:v>
      </x:c>
      <x:c r="E120" s="9" t="n">
        <x:f>IF(OR(Inputs!$F$9=TRUE,Inputs!$F$9="TRUE",Inputs!$F$9=1),(Inputs!$H$9+Inputs!$L$9*(((Inputs!$I$9+(((A120)+1)/2)*(Inputs!$J$9-Inputs!$I$9)))/Inputs!$K$9)^2),NA())</x:f>
        <x:v>25.281775</x:v>
      </x:c>
      <x:c r="F120" s="10" t="n"/>
      <x:c r="G120" s="9" t="n">
        <x:f>A120</x:f>
        <x:v>-0.017</x:v>
      </x:c>
      <x:c r="H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10" t="n"/>
      <x:c r="M120" s="9" t="n">
        <x:f>A120</x:f>
        <x:v>-0.017</x:v>
      </x:c>
      <x:c r="N120" s="9"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9"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9"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9"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10" t="n"/>
      <x:c r="S120" s="9" t="n">
        <x:f>A120</x:f>
        <x:v>-0.017</x:v>
      </x:c>
      <x:c r="T120" s="9" t="n">
        <x:f>(Inputs!$I$6+(((A120)+1)/2)*(Inputs!$J$6-Inputs!$I$6))</x:f>
        <x:v>-1.0200000000000031</x:v>
      </x:c>
      <x:c r="U120" s="9" t="n">
        <x:f>(Inputs!$I$7+(((A120)+1)/2)*(Inputs!$J$7-Inputs!$I$7))</x:f>
        <x:v>-6.800000000000011</x:v>
      </x:c>
      <x:c r="V120" s="9" t="n">
        <x:f>(Inputs!$I$8+(((A120)+1)/2)*(Inputs!$J$8-Inputs!$I$8))</x:f>
        <x:v>-13.600000000000023</x:v>
      </x:c>
      <x:c r="W120" s="9" t="n">
        <x:f>(Inputs!$I$9+(((A120)+1)/2)*(Inputs!$J$9-Inputs!$I$9))</x:f>
        <x:v>-13.600000000000023</x:v>
      </x:c>
      <x:c r="X120" s="10" t="n"/>
      <x:c r="Y120" s="9" t="n">
        <x:f>A120</x:f>
        <x:v>-0.017</x:v>
      </x:c>
      <x:c r="Z120" s="9" t="n">
        <x:f>(Inputs!$H$6+Inputs!$L$6*(((Inputs!$I$6+(((A120)+1)/2)*(Inputs!$J$6-Inputs!$I$6)))/Inputs!$K$6)^2)</x:f>
        <x:v>400.001156</x:v>
      </x:c>
      <x:c r="AA120" s="9" t="n">
        <x:f>(Inputs!$H$7+Inputs!$L$7*(((Inputs!$I$7+(((A120)+1)/2)*(Inputs!$J$7-Inputs!$I$7)))/Inputs!$K$7)^2)</x:f>
        <x:v>35.105485</x:v>
      </x:c>
      <x:c r="AB120" s="9" t="n">
        <x:f>(Inputs!$H$8+Inputs!$L$8*(((Inputs!$I$8+(((A120)+1)/2)*(Inputs!$J$8-Inputs!$I$8)))/Inputs!$K$8)^2)</x:f>
        <x:v>35.278885</x:v>
      </x:c>
      <x:c r="AC120" s="9" t="n">
        <x:f>(Inputs!$H$9+Inputs!$L$9*(((Inputs!$I$9+(((A120)+1)/2)*(Inputs!$J$9-Inputs!$I$9)))/Inputs!$K$9)^2)</x:f>
        <x:v>25.281775</x:v>
      </x:c>
      <x:c r="AD120" s="10" t="n"/>
      <x:c r="AE120" s="9" t="n">
        <x:f>A120</x:f>
        <x:v>-0.017</x:v>
      </x:c>
      <x:c r="AF120" s="9"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9"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9"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9"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10" t="n"/>
      <x:c r="AK120" s="9" t="n">
        <x:f>A120</x:f>
        <x:v>-0.017</x:v>
      </x:c>
      <x:c r="AL120" s="9"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9"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9"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9"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10" t="n"/>
      <x:c r="AQ120" s="9" t="n">
        <x:f>A120</x:f>
        <x:v>-0.017</x:v>
      </x:c>
      <x:c r="AR120" s="9" t="n">
        <x:f>0</x:f>
        <x:v>0</x:v>
      </x:c>
      <x:c r="AS120" s="9"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x:f>
        <x:v>457.7287054927811</x:v>
      </x:c>
      <x:c r="AT120" s="9"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x:f>
        <x:v>451.8235995139912</x:v>
      </x:c>
      <x:c r="AU120" s="9"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x:f>
        <x:v>416.8630761618238</x:v>
      </x:c>
      <x:c r="AV120" s="9"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x:f>
        <x:v>416.8630761618238</x:v>
      </x:c>
      <x:c r="AW120" s="10" t="n"/>
      <x:c r="AX120" s="9" t="n">
        <x:f>A120</x:f>
        <x:v>-0.017</x:v>
      </x:c>
      <x:c r="AY120" s="9" t="n">
        <x:f>0</x:f>
        <x:v>0</x:v>
      </x:c>
      <x:c r="AZ120" s="9" t="n">
        <x:f>IF(OR(Inputs!$F$6=TRUE,Inputs!$F$6="TRUE",Inputs!$F$6=1),(Inputs!$H$6+Inputs!$L$6*(((Inputs!$I$6+(((A120)+1)/2)*(Inputs!$J$6-Inputs!$I$6)))/Inputs!$K$6)^2),NA())</x:f>
        <x:v>400.001156</x:v>
      </x:c>
      <x:c r="BA120" s="9" t="n">
        <x:f>IF(OR(Inputs!$F$7=TRUE,Inputs!$F$7="TRUE",Inputs!$F$7=1),(Inputs!$H$7+Inputs!$L$7*(((Inputs!$I$7+(((A120)+1)/2)*(Inputs!$J$7-Inputs!$I$7)))/Inputs!$K$7)^2),NA())</x:f>
        <x:v>35.105485</x:v>
      </x:c>
      <x:c r="BB120" s="9" t="n">
        <x:f>IF(OR(Inputs!$F$8=TRUE,Inputs!$F$8="TRUE",Inputs!$F$8=1),(Inputs!$H$8+Inputs!$L$8*(((Inputs!$I$8+(((A120)+1)/2)*(Inputs!$J$8-Inputs!$I$8)))/Inputs!$K$8)^2),NA())</x:f>
        <x:v>35.278885</x:v>
      </x:c>
      <x:c r="BC120" s="9" t="n">
        <x:f>IF(OR(Inputs!$F$9=TRUE,Inputs!$F$9="TRUE",Inputs!$F$9=1),(Inputs!$H$9+Inputs!$L$9*(((Inputs!$I$9+(((A120)+1)/2)*(Inputs!$J$9-Inputs!$I$9)))/Inputs!$K$9)^2),NA())</x:f>
        <x:v>25.281775</x:v>
      </x:c>
      <x:c r="BD120" s="10" t="n"/>
      <x:c r="BE120" s="9" t="n">
        <x:f>A120</x:f>
        <x:v>-0.017</x:v>
      </x:c>
      <x:c r="BF120" s="9" t="n">
        <x:f>0</x:f>
        <x:v>0</x:v>
      </x:c>
      <x:c r="BG120" s="9"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9"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9"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9"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9" t="n">
        <x:f>ROUND(-1+119*2/240,3)</x:f>
        <x:v>-0.008</x:v>
      </x:c>
      <x:c r="B121" s="9" t="n">
        <x:f>IF(OR(Inputs!$F$6=TRUE,Inputs!$F$6="TRUE",Inputs!$F$6=1),(Inputs!$H$6+Inputs!$L$6*(((Inputs!$I$6+(((A121)+1)/2)*(Inputs!$J$6-Inputs!$I$6)))/Inputs!$K$6)^2),NA())</x:f>
        <x:v>400.000256</x:v>
      </x:c>
      <x:c r="C121" s="9" t="n">
        <x:f>IF(OR(Inputs!$F$7=TRUE,Inputs!$F$7="TRUE",Inputs!$F$7=1),(Inputs!$H$7+Inputs!$L$7*(((Inputs!$I$7+(((A121)+1)/2)*(Inputs!$J$7-Inputs!$I$7)))/Inputs!$K$7)^2),NA())</x:f>
        <x:v>35.02336</x:v>
      </x:c>
      <x:c r="D121" s="9" t="n">
        <x:f>IF(OR(Inputs!$F$8=TRUE,Inputs!$F$8="TRUE",Inputs!$F$8=1),(Inputs!$H$8+Inputs!$L$8*(((Inputs!$I$8+(((A121)+1)/2)*(Inputs!$J$8-Inputs!$I$8)))/Inputs!$K$8)^2),NA())</x:f>
        <x:v>35.06176</x:v>
      </x:c>
      <x:c r="E121" s="9" t="n">
        <x:f>IF(OR(Inputs!$F$9=TRUE,Inputs!$F$9="TRUE",Inputs!$F$9=1),(Inputs!$H$9+Inputs!$L$9*(((Inputs!$I$9+(((A121)+1)/2)*(Inputs!$J$9-Inputs!$I$9)))/Inputs!$K$9)^2),NA())</x:f>
        <x:v>25.0624</x:v>
      </x:c>
      <x:c r="F121" s="10" t="n"/>
      <x:c r="G121" s="9" t="n">
        <x:f>A121</x:f>
        <x:v>-0.008</x:v>
      </x:c>
      <x:c r="H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10" t="n"/>
      <x:c r="M121" s="9" t="n">
        <x:f>A121</x:f>
        <x:v>-0.008</x:v>
      </x:c>
      <x:c r="N121" s="9"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9"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9"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9"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10" t="n"/>
      <x:c r="S121" s="9" t="n">
        <x:f>A121</x:f>
        <x:v>-0.008</x:v>
      </x:c>
      <x:c r="T121" s="9" t="n">
        <x:f>(Inputs!$I$6+(((A121)+1)/2)*(Inputs!$J$6-Inputs!$I$6))</x:f>
        <x:v>-0.480000000000004</x:v>
      </x:c>
      <x:c r="U121" s="9" t="n">
        <x:f>(Inputs!$I$7+(((A121)+1)/2)*(Inputs!$J$7-Inputs!$I$7))</x:f>
        <x:v>-3.1999999999999886</x:v>
      </x:c>
      <x:c r="V121" s="9" t="n">
        <x:f>(Inputs!$I$8+(((A121)+1)/2)*(Inputs!$J$8-Inputs!$I$8))</x:f>
        <x:v>-6.399999999999977</x:v>
      </x:c>
      <x:c r="W121" s="9" t="n">
        <x:f>(Inputs!$I$9+(((A121)+1)/2)*(Inputs!$J$9-Inputs!$I$9))</x:f>
        <x:v>-6.399999999999977</x:v>
      </x:c>
      <x:c r="X121" s="10" t="n"/>
      <x:c r="Y121" s="9" t="n">
        <x:f>A121</x:f>
        <x:v>-0.008</x:v>
      </x:c>
      <x:c r="Z121" s="9" t="n">
        <x:f>(Inputs!$H$6+Inputs!$L$6*(((Inputs!$I$6+(((A121)+1)/2)*(Inputs!$J$6-Inputs!$I$6)))/Inputs!$K$6)^2)</x:f>
        <x:v>400.000256</x:v>
      </x:c>
      <x:c r="AA121" s="9" t="n">
        <x:f>(Inputs!$H$7+Inputs!$L$7*(((Inputs!$I$7+(((A121)+1)/2)*(Inputs!$J$7-Inputs!$I$7)))/Inputs!$K$7)^2)</x:f>
        <x:v>35.02336</x:v>
      </x:c>
      <x:c r="AB121" s="9" t="n">
        <x:f>(Inputs!$H$8+Inputs!$L$8*(((Inputs!$I$8+(((A121)+1)/2)*(Inputs!$J$8-Inputs!$I$8)))/Inputs!$K$8)^2)</x:f>
        <x:v>35.06176</x:v>
      </x:c>
      <x:c r="AC121" s="9" t="n">
        <x:f>(Inputs!$H$9+Inputs!$L$9*(((Inputs!$I$9+(((A121)+1)/2)*(Inputs!$J$9-Inputs!$I$9)))/Inputs!$K$9)^2)</x:f>
        <x:v>25.0624</x:v>
      </x:c>
      <x:c r="AD121" s="10" t="n"/>
      <x:c r="AE121" s="9" t="n">
        <x:f>A121</x:f>
        <x:v>-0.008</x:v>
      </x:c>
      <x:c r="AF121" s="9"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9"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9"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9"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10" t="n"/>
      <x:c r="AK121" s="9" t="n">
        <x:f>A121</x:f>
        <x:v>-0.008</x:v>
      </x:c>
      <x:c r="AL121" s="9"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9"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9"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9"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10" t="n"/>
      <x:c r="AQ121" s="9" t="n">
        <x:f>A121</x:f>
        <x:v>-0.008</x:v>
      </x:c>
      <x:c r="AR121" s="9" t="n">
        <x:f>0</x:f>
        <x:v>0</x:v>
      </x:c>
      <x:c r="AS121" s="9"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x:f>
        <x:v>463.9957838089906</x:v>
      </x:c>
      <x:c r="AT121" s="9"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x:f>
        <x:v>426.89597003281926</x:v>
      </x:c>
      <x:c r="AU121" s="9"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x:f>
        <x:v>440.0686458556988</x:v>
      </x:c>
      <x:c r="AV121" s="9"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x:f>
        <x:v>440.0686458556988</x:v>
      </x:c>
      <x:c r="AW121" s="10" t="n"/>
      <x:c r="AX121" s="9" t="n">
        <x:f>A121</x:f>
        <x:v>-0.008</x:v>
      </x:c>
      <x:c r="AY121" s="9" t="n">
        <x:f>0</x:f>
        <x:v>0</x:v>
      </x:c>
      <x:c r="AZ121" s="9" t="n">
        <x:f>IF(OR(Inputs!$F$6=TRUE,Inputs!$F$6="TRUE",Inputs!$F$6=1),(Inputs!$H$6+Inputs!$L$6*(((Inputs!$I$6+(((A121)+1)/2)*(Inputs!$J$6-Inputs!$I$6)))/Inputs!$K$6)^2),NA())</x:f>
        <x:v>400.000256</x:v>
      </x:c>
      <x:c r="BA121" s="9" t="n">
        <x:f>IF(OR(Inputs!$F$7=TRUE,Inputs!$F$7="TRUE",Inputs!$F$7=1),(Inputs!$H$7+Inputs!$L$7*(((Inputs!$I$7+(((A121)+1)/2)*(Inputs!$J$7-Inputs!$I$7)))/Inputs!$K$7)^2),NA())</x:f>
        <x:v>35.02336</x:v>
      </x:c>
      <x:c r="BB121" s="9" t="n">
        <x:f>IF(OR(Inputs!$F$8=TRUE,Inputs!$F$8="TRUE",Inputs!$F$8=1),(Inputs!$H$8+Inputs!$L$8*(((Inputs!$I$8+(((A121)+1)/2)*(Inputs!$J$8-Inputs!$I$8)))/Inputs!$K$8)^2),NA())</x:f>
        <x:v>35.06176</x:v>
      </x:c>
      <x:c r="BC121" s="9" t="n">
        <x:f>IF(OR(Inputs!$F$9=TRUE,Inputs!$F$9="TRUE",Inputs!$F$9=1),(Inputs!$H$9+Inputs!$L$9*(((Inputs!$I$9+(((A121)+1)/2)*(Inputs!$J$9-Inputs!$I$9)))/Inputs!$K$9)^2),NA())</x:f>
        <x:v>25.0624</x:v>
      </x:c>
      <x:c r="BD121" s="10" t="n"/>
      <x:c r="BE121" s="9" t="n">
        <x:f>A121</x:f>
        <x:v>-0.008</x:v>
      </x:c>
      <x:c r="BF121" s="9" t="n">
        <x:f>0</x:f>
        <x:v>0</x:v>
      </x:c>
      <x:c r="BG121" s="9"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9"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9"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9"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9" t="n">
        <x:f>ROUND(-1+120*2/240,3)</x:f>
        <x:v>0</x:v>
      </x:c>
      <x:c r="B122" s="9" t="n">
        <x:f>IF(OR(Inputs!$F$6=TRUE,Inputs!$F$6="TRUE",Inputs!$F$6=1),(Inputs!$H$6+Inputs!$L$6*(((Inputs!$I$6+(((A122)+1)/2)*(Inputs!$J$6-Inputs!$I$6)))/Inputs!$K$6)^2),NA())</x:f>
        <x:v>400</x:v>
      </x:c>
      <x:c r="C122" s="9" t="n">
        <x:f>IF(OR(Inputs!$F$7=TRUE,Inputs!$F$7="TRUE",Inputs!$F$7=1),(Inputs!$H$7+Inputs!$L$7*(((Inputs!$I$7+(((A122)+1)/2)*(Inputs!$J$7-Inputs!$I$7)))/Inputs!$K$7)^2),NA())</x:f>
        <x:v>35</x:v>
      </x:c>
      <x:c r="D122" s="9" t="n">
        <x:f>IF(OR(Inputs!$F$8=TRUE,Inputs!$F$8="TRUE",Inputs!$F$8=1),(Inputs!$H$8+Inputs!$L$8*(((Inputs!$I$8+(((A122)+1)/2)*(Inputs!$J$8-Inputs!$I$8)))/Inputs!$K$8)^2),NA())</x:f>
        <x:v>35</x:v>
      </x:c>
      <x:c r="E122" s="9" t="n">
        <x:f>IF(OR(Inputs!$F$9=TRUE,Inputs!$F$9="TRUE",Inputs!$F$9=1),(Inputs!$H$9+Inputs!$L$9*(((Inputs!$I$9+(((A122)+1)/2)*(Inputs!$J$9-Inputs!$I$9)))/Inputs!$K$9)^2),NA())</x:f>
        <x:v>25</x:v>
      </x:c>
      <x:c r="F122" s="10" t="n"/>
      <x:c r="G122" s="9" t="n">
        <x:f>A122</x:f>
        <x:v>0</x:v>
      </x:c>
      <x:c r="H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10" t="n"/>
      <x:c r="M122" s="9" t="n">
        <x:f>A122</x:f>
        <x:v>0</x:v>
      </x:c>
      <x:c r="N122" s="9"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9"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9"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9"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10" t="n"/>
      <x:c r="S122" s="9" t="n">
        <x:f>A122</x:f>
        <x:v>0</x:v>
      </x:c>
      <x:c r="T122" s="9" t="n">
        <x:f>(Inputs!$I$6+(((A122)+1)/2)*(Inputs!$J$6-Inputs!$I$6))</x:f>
        <x:v>0</x:v>
      </x:c>
      <x:c r="U122" s="9" t="n">
        <x:f>(Inputs!$I$7+(((A122)+1)/2)*(Inputs!$J$7-Inputs!$I$7))</x:f>
        <x:v>0</x:v>
      </x:c>
      <x:c r="V122" s="9" t="n">
        <x:f>(Inputs!$I$8+(((A122)+1)/2)*(Inputs!$J$8-Inputs!$I$8))</x:f>
        <x:v>0</x:v>
      </x:c>
      <x:c r="W122" s="9" t="n">
        <x:f>(Inputs!$I$9+(((A122)+1)/2)*(Inputs!$J$9-Inputs!$I$9))</x:f>
        <x:v>0</x:v>
      </x:c>
      <x:c r="X122" s="10" t="n"/>
      <x:c r="Y122" s="9" t="n">
        <x:f>A122</x:f>
        <x:v>0</x:v>
      </x:c>
      <x:c r="Z122" s="9" t="n">
        <x:f>(Inputs!$H$6+Inputs!$L$6*(((Inputs!$I$6+(((A122)+1)/2)*(Inputs!$J$6-Inputs!$I$6)))/Inputs!$K$6)^2)</x:f>
        <x:v>400</x:v>
      </x:c>
      <x:c r="AA122" s="9" t="n">
        <x:f>(Inputs!$H$7+Inputs!$L$7*(((Inputs!$I$7+(((A122)+1)/2)*(Inputs!$J$7-Inputs!$I$7)))/Inputs!$K$7)^2)</x:f>
        <x:v>35</x:v>
      </x:c>
      <x:c r="AB122" s="9" t="n">
        <x:f>(Inputs!$H$8+Inputs!$L$8*(((Inputs!$I$8+(((A122)+1)/2)*(Inputs!$J$8-Inputs!$I$8)))/Inputs!$K$8)^2)</x:f>
        <x:v>35</x:v>
      </x:c>
      <x:c r="AC122" s="9" t="n">
        <x:f>(Inputs!$H$9+Inputs!$L$9*(((Inputs!$I$9+(((A122)+1)/2)*(Inputs!$J$9-Inputs!$I$9)))/Inputs!$K$9)^2)</x:f>
        <x:v>25</x:v>
      </x:c>
      <x:c r="AD122" s="10" t="n"/>
      <x:c r="AE122" s="9" t="n">
        <x:f>A122</x:f>
        <x:v>0</x:v>
      </x:c>
      <x:c r="AF122" s="9"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9"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9"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9"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10" t="n"/>
      <x:c r="AK122" s="9" t="n">
        <x:f>A122</x:f>
        <x:v>0</x:v>
      </x:c>
      <x:c r="AL122" s="9"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9"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9"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9"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10" t="n"/>
      <x:c r="AQ122" s="9" t="n">
        <x:f>A122</x:f>
        <x:v>0</x:v>
      </x:c>
      <x:c r="AR122" s="9" t="n">
        <x:f>0</x:f>
        <x:v>0</x:v>
      </x:c>
      <x:c r="AS122" s="9"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x:f>
        <x:v>480.44802858922253</x:v>
      </x:c>
      <x:c r="AT122" s="9"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x:f>
        <x:v>480.44802858922253</x:v>
      </x:c>
      <x:c r="AU122" s="9"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x:f>
        <x:v>480.44802858922253</x:v>
      </x:c>
      <x:c r="AV122" s="9"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x:f>
        <x:v>480.44802858922253</x:v>
      </x:c>
      <x:c r="AW122" s="10" t="n"/>
      <x:c r="AX122" s="9" t="n">
        <x:f>A122</x:f>
        <x:v>0</x:v>
      </x:c>
      <x:c r="AY122" s="9" t="n">
        <x:f>0</x:f>
        <x:v>0</x:v>
      </x:c>
      <x:c r="AZ122" s="9" t="n">
        <x:f>IF(OR(Inputs!$F$6=TRUE,Inputs!$F$6="TRUE",Inputs!$F$6=1),(Inputs!$H$6+Inputs!$L$6*(((Inputs!$I$6+(((A122)+1)/2)*(Inputs!$J$6-Inputs!$I$6)))/Inputs!$K$6)^2),NA())</x:f>
        <x:v>400</x:v>
      </x:c>
      <x:c r="BA122" s="9" t="n">
        <x:f>IF(OR(Inputs!$F$7=TRUE,Inputs!$F$7="TRUE",Inputs!$F$7=1),(Inputs!$H$7+Inputs!$L$7*(((Inputs!$I$7+(((A122)+1)/2)*(Inputs!$J$7-Inputs!$I$7)))/Inputs!$K$7)^2),NA())</x:f>
        <x:v>35</x:v>
      </x:c>
      <x:c r="BB122" s="9" t="n">
        <x:f>IF(OR(Inputs!$F$8=TRUE,Inputs!$F$8="TRUE",Inputs!$F$8=1),(Inputs!$H$8+Inputs!$L$8*(((Inputs!$I$8+(((A122)+1)/2)*(Inputs!$J$8-Inputs!$I$8)))/Inputs!$K$8)^2),NA())</x:f>
        <x:v>35</x:v>
      </x:c>
      <x:c r="BC122" s="9" t="n">
        <x:f>IF(OR(Inputs!$F$9=TRUE,Inputs!$F$9="TRUE",Inputs!$F$9=1),(Inputs!$H$9+Inputs!$L$9*(((Inputs!$I$9+(((A122)+1)/2)*(Inputs!$J$9-Inputs!$I$9)))/Inputs!$K$9)^2),NA())</x:f>
        <x:v>25</x:v>
      </x:c>
      <x:c r="BD122" s="10" t="n"/>
      <x:c r="BE122" s="9" t="n">
        <x:f>A122</x:f>
        <x:v>0</x:v>
      </x:c>
      <x:c r="BF122" s="9" t="n">
        <x:f>0</x:f>
        <x:v>0</x:v>
      </x:c>
      <x:c r="BG122" s="9"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9"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9"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9"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9" t="n">
        <x:f>ROUND(-1+121*2/240,3)</x:f>
        <x:v>0.008</x:v>
      </x:c>
      <x:c r="B123" s="9" t="n">
        <x:f>IF(OR(Inputs!$F$6=TRUE,Inputs!$F$6="TRUE",Inputs!$F$6=1),(Inputs!$H$6+Inputs!$L$6*(((Inputs!$I$6+(((A123)+1)/2)*(Inputs!$J$6-Inputs!$I$6)))/Inputs!$K$6)^2),NA())</x:f>
        <x:v>400.000256</x:v>
      </x:c>
      <x:c r="C123" s="9" t="n">
        <x:f>IF(OR(Inputs!$F$7=TRUE,Inputs!$F$7="TRUE",Inputs!$F$7=1),(Inputs!$H$7+Inputs!$L$7*(((Inputs!$I$7+(((A123)+1)/2)*(Inputs!$J$7-Inputs!$I$7)))/Inputs!$K$7)^2),NA())</x:f>
        <x:v>35.02336</x:v>
      </x:c>
      <x:c r="D123" s="9" t="n">
        <x:f>IF(OR(Inputs!$F$8=TRUE,Inputs!$F$8="TRUE",Inputs!$F$8=1),(Inputs!$H$8+Inputs!$L$8*(((Inputs!$I$8+(((A123)+1)/2)*(Inputs!$J$8-Inputs!$I$8)))/Inputs!$K$8)^2),NA())</x:f>
        <x:v>35.06176</x:v>
      </x:c>
      <x:c r="E123" s="9" t="n">
        <x:f>IF(OR(Inputs!$F$9=TRUE,Inputs!$F$9="TRUE",Inputs!$F$9=1),(Inputs!$H$9+Inputs!$L$9*(((Inputs!$I$9+(((A123)+1)/2)*(Inputs!$J$9-Inputs!$I$9)))/Inputs!$K$9)^2),NA())</x:f>
        <x:v>25.0624</x:v>
      </x:c>
      <x:c r="F123" s="10" t="n"/>
      <x:c r="G123" s="9" t="n">
        <x:f>A123</x:f>
        <x:v>0.008</x:v>
      </x:c>
      <x:c r="H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10" t="n"/>
      <x:c r="M123" s="9" t="n">
        <x:f>A123</x:f>
        <x:v>0.008</x:v>
      </x:c>
      <x:c r="N123" s="9"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9"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9"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9"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10" t="n"/>
      <x:c r="S123" s="9" t="n">
        <x:f>A123</x:f>
        <x:v>0.008</x:v>
      </x:c>
      <x:c r="T123" s="9" t="n">
        <x:f>(Inputs!$I$6+(((A123)+1)/2)*(Inputs!$J$6-Inputs!$I$6))</x:f>
        <x:v>0.480000000000004</x:v>
      </x:c>
      <x:c r="U123" s="9" t="n">
        <x:f>(Inputs!$I$7+(((A123)+1)/2)*(Inputs!$J$7-Inputs!$I$7))</x:f>
        <x:v>3.1999999999999886</x:v>
      </x:c>
      <x:c r="V123" s="9" t="n">
        <x:f>(Inputs!$I$8+(((A123)+1)/2)*(Inputs!$J$8-Inputs!$I$8))</x:f>
        <x:v>6.399999999999977</x:v>
      </x:c>
      <x:c r="W123" s="9" t="n">
        <x:f>(Inputs!$I$9+(((A123)+1)/2)*(Inputs!$J$9-Inputs!$I$9))</x:f>
        <x:v>6.399999999999977</x:v>
      </x:c>
      <x:c r="X123" s="10" t="n"/>
      <x:c r="Y123" s="9" t="n">
        <x:f>A123</x:f>
        <x:v>0.008</x:v>
      </x:c>
      <x:c r="Z123" s="9" t="n">
        <x:f>(Inputs!$H$6+Inputs!$L$6*(((Inputs!$I$6+(((A123)+1)/2)*(Inputs!$J$6-Inputs!$I$6)))/Inputs!$K$6)^2)</x:f>
        <x:v>400.000256</x:v>
      </x:c>
      <x:c r="AA123" s="9" t="n">
        <x:f>(Inputs!$H$7+Inputs!$L$7*(((Inputs!$I$7+(((A123)+1)/2)*(Inputs!$J$7-Inputs!$I$7)))/Inputs!$K$7)^2)</x:f>
        <x:v>35.02336</x:v>
      </x:c>
      <x:c r="AB123" s="9" t="n">
        <x:f>(Inputs!$H$8+Inputs!$L$8*(((Inputs!$I$8+(((A123)+1)/2)*(Inputs!$J$8-Inputs!$I$8)))/Inputs!$K$8)^2)</x:f>
        <x:v>35.06176</x:v>
      </x:c>
      <x:c r="AC123" s="9" t="n">
        <x:f>(Inputs!$H$9+Inputs!$L$9*(((Inputs!$I$9+(((A123)+1)/2)*(Inputs!$J$9-Inputs!$I$9)))/Inputs!$K$9)^2)</x:f>
        <x:v>25.0624</x:v>
      </x:c>
      <x:c r="AD123" s="10" t="n"/>
      <x:c r="AE123" s="9" t="n">
        <x:f>A123</x:f>
        <x:v>0.008</x:v>
      </x:c>
      <x:c r="AF123" s="9"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9"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9"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9"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10" t="n"/>
      <x:c r="AK123" s="9" t="n">
        <x:f>A123</x:f>
        <x:v>0.008</x:v>
      </x:c>
      <x:c r="AL123" s="9"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9"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9"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9"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10" t="n"/>
      <x:c r="AQ123" s="9" t="n">
        <x:f>A123</x:f>
        <x:v>0.008</x:v>
      </x:c>
      <x:c r="AR123" s="9" t="n">
        <x:f>0</x:f>
        <x:v>0</x:v>
      </x:c>
      <x:c r="AS123" s="9"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x:f>
        <x:v>499.43305943798936</x:v>
      </x:c>
      <x:c r="AT123" s="9"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x:f>
        <x:v>564.2968596111261</x:v>
      </x:c>
      <x:c r="AU123" s="9"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x:f>
        <x:v>524.3012795272867</x:v>
      </x:c>
      <x:c r="AV123" s="9"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x:f>
        <x:v>524.3012795272867</x:v>
      </x:c>
      <x:c r="AW123" s="10" t="n"/>
      <x:c r="AX123" s="9" t="n">
        <x:f>A123</x:f>
        <x:v>0.008</x:v>
      </x:c>
      <x:c r="AY123" s="9" t="n">
        <x:f>0</x:f>
        <x:v>0</x:v>
      </x:c>
      <x:c r="AZ123" s="9" t="n">
        <x:f>IF(OR(Inputs!$F$6=TRUE,Inputs!$F$6="TRUE",Inputs!$F$6=1),(Inputs!$H$6+Inputs!$L$6*(((Inputs!$I$6+(((A123)+1)/2)*(Inputs!$J$6-Inputs!$I$6)))/Inputs!$K$6)^2),NA())</x:f>
        <x:v>400.000256</x:v>
      </x:c>
      <x:c r="BA123" s="9" t="n">
        <x:f>IF(OR(Inputs!$F$7=TRUE,Inputs!$F$7="TRUE",Inputs!$F$7=1),(Inputs!$H$7+Inputs!$L$7*(((Inputs!$I$7+(((A123)+1)/2)*(Inputs!$J$7-Inputs!$I$7)))/Inputs!$K$7)^2),NA())</x:f>
        <x:v>35.02336</x:v>
      </x:c>
      <x:c r="BB123" s="9" t="n">
        <x:f>IF(OR(Inputs!$F$8=TRUE,Inputs!$F$8="TRUE",Inputs!$F$8=1),(Inputs!$H$8+Inputs!$L$8*(((Inputs!$I$8+(((A123)+1)/2)*(Inputs!$J$8-Inputs!$I$8)))/Inputs!$K$8)^2),NA())</x:f>
        <x:v>35.06176</x:v>
      </x:c>
      <x:c r="BC123" s="9" t="n">
        <x:f>IF(OR(Inputs!$F$9=TRUE,Inputs!$F$9="TRUE",Inputs!$F$9=1),(Inputs!$H$9+Inputs!$L$9*(((Inputs!$I$9+(((A123)+1)/2)*(Inputs!$J$9-Inputs!$I$9)))/Inputs!$K$9)^2),NA())</x:f>
        <x:v>25.0624</x:v>
      </x:c>
      <x:c r="BD123" s="10" t="n"/>
      <x:c r="BE123" s="9" t="n">
        <x:f>A123</x:f>
        <x:v>0.008</x:v>
      </x:c>
      <x:c r="BF123" s="9" t="n">
        <x:f>0</x:f>
        <x:v>0</x:v>
      </x:c>
      <x:c r="BG123" s="9"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9"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9"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9"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9" t="n">
        <x:f>ROUND(-1+122*2/240,3)</x:f>
        <x:v>0.017</x:v>
      </x:c>
      <x:c r="B124" s="9" t="n">
        <x:f>IF(OR(Inputs!$F$6=TRUE,Inputs!$F$6="TRUE",Inputs!$F$6=1),(Inputs!$H$6+Inputs!$L$6*(((Inputs!$I$6+(((A124)+1)/2)*(Inputs!$J$6-Inputs!$I$6)))/Inputs!$K$6)^2),NA())</x:f>
        <x:v>400.001156</x:v>
      </x:c>
      <x:c r="C124" s="9" t="n">
        <x:f>IF(OR(Inputs!$F$7=TRUE,Inputs!$F$7="TRUE",Inputs!$F$7=1),(Inputs!$H$7+Inputs!$L$7*(((Inputs!$I$7+(((A124)+1)/2)*(Inputs!$J$7-Inputs!$I$7)))/Inputs!$K$7)^2),NA())</x:f>
        <x:v>35.105485</x:v>
      </x:c>
      <x:c r="D124" s="9" t="n">
        <x:f>IF(OR(Inputs!$F$8=TRUE,Inputs!$F$8="TRUE",Inputs!$F$8=1),(Inputs!$H$8+Inputs!$L$8*(((Inputs!$I$8+(((A124)+1)/2)*(Inputs!$J$8-Inputs!$I$8)))/Inputs!$K$8)^2),NA())</x:f>
        <x:v>35.278884999999995</x:v>
      </x:c>
      <x:c r="E124" s="9" t="n">
        <x:f>IF(OR(Inputs!$F$9=TRUE,Inputs!$F$9="TRUE",Inputs!$F$9=1),(Inputs!$H$9+Inputs!$L$9*(((Inputs!$I$9+(((A124)+1)/2)*(Inputs!$J$9-Inputs!$I$9)))/Inputs!$K$9)^2),NA())</x:f>
        <x:v>25.281774999999996</x:v>
      </x:c>
      <x:c r="F124" s="10" t="n"/>
      <x:c r="G124" s="9" t="n">
        <x:f>A124</x:f>
        <x:v>0.017</x:v>
      </x:c>
      <x:c r="H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10" t="n"/>
      <x:c r="M124" s="9" t="n">
        <x:f>A124</x:f>
        <x:v>0.017</x:v>
      </x:c>
      <x:c r="N124" s="9"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9"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9"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9"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10" t="n"/>
      <x:c r="S124" s="9" t="n">
        <x:f>A124</x:f>
        <x:v>0.017</x:v>
      </x:c>
      <x:c r="T124" s="9" t="n">
        <x:f>(Inputs!$I$6+(((A124)+1)/2)*(Inputs!$J$6-Inputs!$I$6))</x:f>
        <x:v>1.019999999999996</x:v>
      </x:c>
      <x:c r="U124" s="9" t="n">
        <x:f>(Inputs!$I$7+(((A124)+1)/2)*(Inputs!$J$7-Inputs!$I$7))</x:f>
        <x:v>6.7999999999999545</x:v>
      </x:c>
      <x:c r="V124" s="9" t="n">
        <x:f>(Inputs!$I$8+(((A124)+1)/2)*(Inputs!$J$8-Inputs!$I$8))</x:f>
        <x:v>13.599999999999909</x:v>
      </x:c>
      <x:c r="W124" s="9" t="n">
        <x:f>(Inputs!$I$9+(((A124)+1)/2)*(Inputs!$J$9-Inputs!$I$9))</x:f>
        <x:v>13.599999999999909</x:v>
      </x:c>
      <x:c r="X124" s="10" t="n"/>
      <x:c r="Y124" s="9" t="n">
        <x:f>A124</x:f>
        <x:v>0.017</x:v>
      </x:c>
      <x:c r="Z124" s="9" t="n">
        <x:f>(Inputs!$H$6+Inputs!$L$6*(((Inputs!$I$6+(((A124)+1)/2)*(Inputs!$J$6-Inputs!$I$6)))/Inputs!$K$6)^2)</x:f>
        <x:v>400.001156</x:v>
      </x:c>
      <x:c r="AA124" s="9" t="n">
        <x:f>(Inputs!$H$7+Inputs!$L$7*(((Inputs!$I$7+(((A124)+1)/2)*(Inputs!$J$7-Inputs!$I$7)))/Inputs!$K$7)^2)</x:f>
        <x:v>35.105485</x:v>
      </x:c>
      <x:c r="AB124" s="9" t="n">
        <x:f>(Inputs!$H$8+Inputs!$L$8*(((Inputs!$I$8+(((A124)+1)/2)*(Inputs!$J$8-Inputs!$I$8)))/Inputs!$K$8)^2)</x:f>
        <x:v>35.278884999999995</x:v>
      </x:c>
      <x:c r="AC124" s="9" t="n">
        <x:f>(Inputs!$H$9+Inputs!$L$9*(((Inputs!$I$9+(((A124)+1)/2)*(Inputs!$J$9-Inputs!$I$9)))/Inputs!$K$9)^2)</x:f>
        <x:v>25.281774999999996</x:v>
      </x:c>
      <x:c r="AD124" s="10" t="n"/>
      <x:c r="AE124" s="9" t="n">
        <x:f>A124</x:f>
        <x:v>0.017</x:v>
      </x:c>
      <x:c r="AF124" s="9"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9"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9"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9"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10" t="n"/>
      <x:c r="AK124" s="9" t="n">
        <x:f>A124</x:f>
        <x:v>0.017</x:v>
      </x:c>
      <x:c r="AL124" s="9"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9"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9"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9"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10" t="n"/>
      <x:c r="AQ124" s="9" t="n">
        <x:f>A124</x:f>
        <x:v>0.017</x:v>
      </x:c>
      <x:c r="AR124" s="9" t="n">
        <x:f>0</x:f>
        <x:v>0</x:v>
      </x:c>
      <x:c r="AS124" s="9"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x:f>
        <x:v>518.1442166274645</x:v>
      </x:c>
      <x:c r="AT124" s="9"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x:f>
        <x:v>513.0680700455532</x:v>
      </x:c>
      <x:c r="AU124" s="9"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x:f>
        <x:v>410.3964974897564</x:v>
      </x:c>
      <x:c r="AV124" s="9"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x:f>
        <x:v>410.3964974897564</x:v>
      </x:c>
      <x:c r="AW124" s="10" t="n"/>
      <x:c r="AX124" s="9" t="n">
        <x:f>A124</x:f>
        <x:v>0.017</x:v>
      </x:c>
      <x:c r="AY124" s="9" t="n">
        <x:f>0</x:f>
        <x:v>0</x:v>
      </x:c>
      <x:c r="AZ124" s="9" t="n">
        <x:f>IF(OR(Inputs!$F$6=TRUE,Inputs!$F$6="TRUE",Inputs!$F$6=1),(Inputs!$H$6+Inputs!$L$6*(((Inputs!$I$6+(((A124)+1)/2)*(Inputs!$J$6-Inputs!$I$6)))/Inputs!$K$6)^2),NA())</x:f>
        <x:v>400.001156</x:v>
      </x:c>
      <x:c r="BA124" s="9" t="n">
        <x:f>IF(OR(Inputs!$F$7=TRUE,Inputs!$F$7="TRUE",Inputs!$F$7=1),(Inputs!$H$7+Inputs!$L$7*(((Inputs!$I$7+(((A124)+1)/2)*(Inputs!$J$7-Inputs!$I$7)))/Inputs!$K$7)^2),NA())</x:f>
        <x:v>35.105485</x:v>
      </x:c>
      <x:c r="BB124" s="9" t="n">
        <x:f>IF(OR(Inputs!$F$8=TRUE,Inputs!$F$8="TRUE",Inputs!$F$8=1),(Inputs!$H$8+Inputs!$L$8*(((Inputs!$I$8+(((A124)+1)/2)*(Inputs!$J$8-Inputs!$I$8)))/Inputs!$K$8)^2),NA())</x:f>
        <x:v>35.278884999999995</x:v>
      </x:c>
      <x:c r="BC124" s="9" t="n">
        <x:f>IF(OR(Inputs!$F$9=TRUE,Inputs!$F$9="TRUE",Inputs!$F$9=1),(Inputs!$H$9+Inputs!$L$9*(((Inputs!$I$9+(((A124)+1)/2)*(Inputs!$J$9-Inputs!$I$9)))/Inputs!$K$9)^2),NA())</x:f>
        <x:v>25.281774999999996</x:v>
      </x:c>
      <x:c r="BD124" s="10" t="n"/>
      <x:c r="BE124" s="9" t="n">
        <x:f>A124</x:f>
        <x:v>0.017</x:v>
      </x:c>
      <x:c r="BF124" s="9" t="n">
        <x:f>0</x:f>
        <x:v>0</x:v>
      </x:c>
      <x:c r="BG124" s="9"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9"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9"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9"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9" t="n">
        <x:f>ROUND(-1+123*2/240,3)</x:f>
        <x:v>0.025</x:v>
      </x:c>
      <x:c r="B125" s="9" t="n">
        <x:f>IF(OR(Inputs!$F$6=TRUE,Inputs!$F$6="TRUE",Inputs!$F$6=1),(Inputs!$H$6+Inputs!$L$6*(((Inputs!$I$6+(((A125)+1)/2)*(Inputs!$J$6-Inputs!$I$6)))/Inputs!$K$6)^2),NA())</x:f>
        <x:v>400.0025</x:v>
      </x:c>
      <x:c r="C125" s="9" t="n">
        <x:f>IF(OR(Inputs!$F$7=TRUE,Inputs!$F$7="TRUE",Inputs!$F$7=1),(Inputs!$H$7+Inputs!$L$7*(((Inputs!$I$7+(((A125)+1)/2)*(Inputs!$J$7-Inputs!$I$7)))/Inputs!$K$7)^2),NA())</x:f>
        <x:v>35.228125</x:v>
      </x:c>
      <x:c r="D125" s="9" t="n">
        <x:f>IF(OR(Inputs!$F$8=TRUE,Inputs!$F$8="TRUE",Inputs!$F$8=1),(Inputs!$H$8+Inputs!$L$8*(((Inputs!$I$8+(((A125)+1)/2)*(Inputs!$J$8-Inputs!$I$8)))/Inputs!$K$8)^2),NA())</x:f>
        <x:v>35.60312499999999</x:v>
      </x:c>
      <x:c r="E125" s="9" t="n">
        <x:f>IF(OR(Inputs!$F$9=TRUE,Inputs!$F$9="TRUE",Inputs!$F$9=1),(Inputs!$H$9+Inputs!$L$9*(((Inputs!$I$9+(((A125)+1)/2)*(Inputs!$J$9-Inputs!$I$9)))/Inputs!$K$9)^2),NA())</x:f>
        <x:v>25.609374999999993</x:v>
      </x:c>
      <x:c r="F125" s="10" t="n"/>
      <x:c r="G125" s="9" t="n">
        <x:f>A125</x:f>
        <x:v>0.025</x:v>
      </x:c>
      <x:c r="H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10" t="n"/>
      <x:c r="M125" s="9" t="n">
        <x:f>A125</x:f>
        <x:v>0.025</x:v>
      </x:c>
      <x:c r="N125" s="9"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9"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9"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9"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10" t="n"/>
      <x:c r="S125" s="9" t="n">
        <x:f>A125</x:f>
        <x:v>0.025</x:v>
      </x:c>
      <x:c r="T125" s="9" t="n">
        <x:f>(Inputs!$I$6+(((A125)+1)/2)*(Inputs!$J$6-Inputs!$I$6))</x:f>
        <x:v>1.499999999999993</x:v>
      </x:c>
      <x:c r="U125" s="9" t="n">
        <x:f>(Inputs!$I$7+(((A125)+1)/2)*(Inputs!$J$7-Inputs!$I$7))</x:f>
        <x:v>9.999999999999943</x:v>
      </x:c>
      <x:c r="V125" s="9" t="n">
        <x:f>(Inputs!$I$8+(((A125)+1)/2)*(Inputs!$J$8-Inputs!$I$8))</x:f>
        <x:v>19.999999999999886</x:v>
      </x:c>
      <x:c r="W125" s="9" t="n">
        <x:f>(Inputs!$I$9+(((A125)+1)/2)*(Inputs!$J$9-Inputs!$I$9))</x:f>
        <x:v>19.999999999999886</x:v>
      </x:c>
      <x:c r="X125" s="10" t="n"/>
      <x:c r="Y125" s="9" t="n">
        <x:f>A125</x:f>
        <x:v>0.025</x:v>
      </x:c>
      <x:c r="Z125" s="9" t="n">
        <x:f>(Inputs!$H$6+Inputs!$L$6*(((Inputs!$I$6+(((A125)+1)/2)*(Inputs!$J$6-Inputs!$I$6)))/Inputs!$K$6)^2)</x:f>
        <x:v>400.0025</x:v>
      </x:c>
      <x:c r="AA125" s="9" t="n">
        <x:f>(Inputs!$H$7+Inputs!$L$7*(((Inputs!$I$7+(((A125)+1)/2)*(Inputs!$J$7-Inputs!$I$7)))/Inputs!$K$7)^2)</x:f>
        <x:v>35.228125</x:v>
      </x:c>
      <x:c r="AB125" s="9" t="n">
        <x:f>(Inputs!$H$8+Inputs!$L$8*(((Inputs!$I$8+(((A125)+1)/2)*(Inputs!$J$8-Inputs!$I$8)))/Inputs!$K$8)^2)</x:f>
        <x:v>35.60312499999999</x:v>
      </x:c>
      <x:c r="AC125" s="9" t="n">
        <x:f>(Inputs!$H$9+Inputs!$L$9*(((Inputs!$I$9+(((A125)+1)/2)*(Inputs!$J$9-Inputs!$I$9)))/Inputs!$K$9)^2)</x:f>
        <x:v>25.609374999999993</x:v>
      </x:c>
      <x:c r="AD125" s="10" t="n"/>
      <x:c r="AE125" s="9" t="n">
        <x:f>A125</x:f>
        <x:v>0.025</x:v>
      </x:c>
      <x:c r="AF125" s="9"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9"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9"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9"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10" t="n"/>
      <x:c r="AK125" s="9" t="n">
        <x:f>A125</x:f>
        <x:v>0.025</x:v>
      </x:c>
      <x:c r="AL125" s="9"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9"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9"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9"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10" t="n"/>
      <x:c r="AQ125" s="9" t="n">
        <x:f>A125</x:f>
        <x:v>0.025</x:v>
      </x:c>
      <x:c r="AR125" s="9" t="n">
        <x:f>0</x:f>
        <x:v>0</x:v>
      </x:c>
      <x:c r="AS125" s="9"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x:f>
        <x:v>516.8641153033108</x:v>
      </x:c>
      <x:c r="AT125" s="9"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x:f>
        <x:v>454.2022002382883</x:v>
      </x:c>
      <x:c r="AU125" s="9"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x:f>
        <x:v>439.0113030424429</x:v>
      </x:c>
      <x:c r="AV125" s="9"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x:f>
        <x:v>439.0113030424429</x:v>
      </x:c>
      <x:c r="AW125" s="10" t="n"/>
      <x:c r="AX125" s="9" t="n">
        <x:f>A125</x:f>
        <x:v>0.025</x:v>
      </x:c>
      <x:c r="AY125" s="9" t="n">
        <x:f>0</x:f>
        <x:v>0</x:v>
      </x:c>
      <x:c r="AZ125" s="9" t="n">
        <x:f>IF(OR(Inputs!$F$6=TRUE,Inputs!$F$6="TRUE",Inputs!$F$6=1),(Inputs!$H$6+Inputs!$L$6*(((Inputs!$I$6+(((A125)+1)/2)*(Inputs!$J$6-Inputs!$I$6)))/Inputs!$K$6)^2),NA())</x:f>
        <x:v>400.0025</x:v>
      </x:c>
      <x:c r="BA125" s="9" t="n">
        <x:f>IF(OR(Inputs!$F$7=TRUE,Inputs!$F$7="TRUE",Inputs!$F$7=1),(Inputs!$H$7+Inputs!$L$7*(((Inputs!$I$7+(((A125)+1)/2)*(Inputs!$J$7-Inputs!$I$7)))/Inputs!$K$7)^2),NA())</x:f>
        <x:v>35.228125</x:v>
      </x:c>
      <x:c r="BB125" s="9" t="n">
        <x:f>IF(OR(Inputs!$F$8=TRUE,Inputs!$F$8="TRUE",Inputs!$F$8=1),(Inputs!$H$8+Inputs!$L$8*(((Inputs!$I$8+(((A125)+1)/2)*(Inputs!$J$8-Inputs!$I$8)))/Inputs!$K$8)^2),NA())</x:f>
        <x:v>35.60312499999999</x:v>
      </x:c>
      <x:c r="BC125" s="9" t="n">
        <x:f>IF(OR(Inputs!$F$9=TRUE,Inputs!$F$9="TRUE",Inputs!$F$9=1),(Inputs!$H$9+Inputs!$L$9*(((Inputs!$I$9+(((A125)+1)/2)*(Inputs!$J$9-Inputs!$I$9)))/Inputs!$K$9)^2),NA())</x:f>
        <x:v>25.609374999999993</x:v>
      </x:c>
      <x:c r="BD125" s="10" t="n"/>
      <x:c r="BE125" s="9" t="n">
        <x:f>A125</x:f>
        <x:v>0.025</x:v>
      </x:c>
      <x:c r="BF125" s="9" t="n">
        <x:f>0</x:f>
        <x:v>0</x:v>
      </x:c>
      <x:c r="BG125" s="9"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9"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9"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9"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9" t="n">
        <x:f>ROUND(-1+124*2/240,3)</x:f>
        <x:v>0.033</x:v>
      </x:c>
      <x:c r="B126" s="9" t="n">
        <x:f>IF(OR(Inputs!$F$6=TRUE,Inputs!$F$6="TRUE",Inputs!$F$6=1),(Inputs!$H$6+Inputs!$L$6*(((Inputs!$I$6+(((A126)+1)/2)*(Inputs!$J$6-Inputs!$I$6)))/Inputs!$K$6)^2),NA())</x:f>
        <x:v>400.004356</x:v>
      </x:c>
      <x:c r="C126" s="9" t="n">
        <x:f>IF(OR(Inputs!$F$7=TRUE,Inputs!$F$7="TRUE",Inputs!$F$7=1),(Inputs!$H$7+Inputs!$L$7*(((Inputs!$I$7+(((A126)+1)/2)*(Inputs!$J$7-Inputs!$I$7)))/Inputs!$K$7)^2),NA())</x:f>
        <x:v>35.397484999999996</x:v>
      </x:c>
      <x:c r="D126" s="9" t="n">
        <x:f>IF(OR(Inputs!$F$8=TRUE,Inputs!$F$8="TRUE",Inputs!$F$8=1),(Inputs!$H$8+Inputs!$L$8*(((Inputs!$I$8+(((A126)+1)/2)*(Inputs!$J$8-Inputs!$I$8)))/Inputs!$K$8)^2),NA())</x:f>
        <x:v>36.050885</x:v>
      </x:c>
      <x:c r="E126" s="9" t="n">
        <x:f>IF(OR(Inputs!$F$9=TRUE,Inputs!$F$9="TRUE",Inputs!$F$9=1),(Inputs!$H$9+Inputs!$L$9*(((Inputs!$I$9+(((A126)+1)/2)*(Inputs!$J$9-Inputs!$I$9)))/Inputs!$K$9)^2),NA())</x:f>
        <x:v>26.061774999999997</x:v>
      </x:c>
      <x:c r="F126" s="10" t="n"/>
      <x:c r="G126" s="9" t="n">
        <x:f>A126</x:f>
        <x:v>0.033</x:v>
      </x:c>
      <x:c r="H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10" t="n"/>
      <x:c r="M126" s="9" t="n">
        <x:f>A126</x:f>
        <x:v>0.033</x:v>
      </x:c>
      <x:c r="N126" s="9"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9"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9"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9"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10" t="n"/>
      <x:c r="S126" s="9" t="n">
        <x:f>A126</x:f>
        <x:v>0.033</x:v>
      </x:c>
      <x:c r="T126" s="9" t="n">
        <x:f>(Inputs!$I$6+(((A126)+1)/2)*(Inputs!$J$6-Inputs!$I$6))</x:f>
        <x:v>1.9799999999999969</x:v>
      </x:c>
      <x:c r="U126" s="9" t="n">
        <x:f>(Inputs!$I$7+(((A126)+1)/2)*(Inputs!$J$7-Inputs!$I$7))</x:f>
        <x:v>13.199999999999989</x:v>
      </x:c>
      <x:c r="V126" s="9" t="n">
        <x:f>(Inputs!$I$8+(((A126)+1)/2)*(Inputs!$J$8-Inputs!$I$8))</x:f>
        <x:v>26.399999999999977</x:v>
      </x:c>
      <x:c r="W126" s="9" t="n">
        <x:f>(Inputs!$I$9+(((A126)+1)/2)*(Inputs!$J$9-Inputs!$I$9))</x:f>
        <x:v>26.399999999999977</x:v>
      </x:c>
      <x:c r="X126" s="10" t="n"/>
      <x:c r="Y126" s="9" t="n">
        <x:f>A126</x:f>
        <x:v>0.033</x:v>
      </x:c>
      <x:c r="Z126" s="9" t="n">
        <x:f>(Inputs!$H$6+Inputs!$L$6*(((Inputs!$I$6+(((A126)+1)/2)*(Inputs!$J$6-Inputs!$I$6)))/Inputs!$K$6)^2)</x:f>
        <x:v>400.004356</x:v>
      </x:c>
      <x:c r="AA126" s="9" t="n">
        <x:f>(Inputs!$H$7+Inputs!$L$7*(((Inputs!$I$7+(((A126)+1)/2)*(Inputs!$J$7-Inputs!$I$7)))/Inputs!$K$7)^2)</x:f>
        <x:v>35.397484999999996</x:v>
      </x:c>
      <x:c r="AB126" s="9" t="n">
        <x:f>(Inputs!$H$8+Inputs!$L$8*(((Inputs!$I$8+(((A126)+1)/2)*(Inputs!$J$8-Inputs!$I$8)))/Inputs!$K$8)^2)</x:f>
        <x:v>36.050885</x:v>
      </x:c>
      <x:c r="AC126" s="9" t="n">
        <x:f>(Inputs!$H$9+Inputs!$L$9*(((Inputs!$I$9+(((A126)+1)/2)*(Inputs!$J$9-Inputs!$I$9)))/Inputs!$K$9)^2)</x:f>
        <x:v>26.061774999999997</x:v>
      </x:c>
      <x:c r="AD126" s="10" t="n"/>
      <x:c r="AE126" s="9" t="n">
        <x:f>A126</x:f>
        <x:v>0.033</x:v>
      </x:c>
      <x:c r="AF126" s="9"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9"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9"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9"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10" t="n"/>
      <x:c r="AK126" s="9" t="n">
        <x:f>A126</x:f>
        <x:v>0.033</x:v>
      </x:c>
      <x:c r="AL126" s="9"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9"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9"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9"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10" t="n"/>
      <x:c r="AQ126" s="9" t="n">
        <x:f>A126</x:f>
        <x:v>0.033</x:v>
      </x:c>
      <x:c r="AR126" s="9" t="n">
        <x:f>0</x:f>
        <x:v>0</x:v>
      </x:c>
      <x:c r="AS126" s="9"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x:f>
        <x:v>536.4523628822142</x:v>
      </x:c>
      <x:c r="AT126" s="9"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x:f>
        <x:v>421.8777926838005</x:v>
      </x:c>
      <x:c r="AU126" s="9"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x:f>
        <x:v>365.9972555407221</x:v>
      </x:c>
      <x:c r="AV126" s="9"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x:f>
        <x:v>365.9972555407221</x:v>
      </x:c>
      <x:c r="AW126" s="10" t="n"/>
      <x:c r="AX126" s="9" t="n">
        <x:f>A126</x:f>
        <x:v>0.033</x:v>
      </x:c>
      <x:c r="AY126" s="9" t="n">
        <x:f>0</x:f>
        <x:v>0</x:v>
      </x:c>
      <x:c r="AZ126" s="9" t="n">
        <x:f>IF(OR(Inputs!$F$6=TRUE,Inputs!$F$6="TRUE",Inputs!$F$6=1),(Inputs!$H$6+Inputs!$L$6*(((Inputs!$I$6+(((A126)+1)/2)*(Inputs!$J$6-Inputs!$I$6)))/Inputs!$K$6)^2),NA())</x:f>
        <x:v>400.004356</x:v>
      </x:c>
      <x:c r="BA126" s="9" t="n">
        <x:f>IF(OR(Inputs!$F$7=TRUE,Inputs!$F$7="TRUE",Inputs!$F$7=1),(Inputs!$H$7+Inputs!$L$7*(((Inputs!$I$7+(((A126)+1)/2)*(Inputs!$J$7-Inputs!$I$7)))/Inputs!$K$7)^2),NA())</x:f>
        <x:v>35.397484999999996</x:v>
      </x:c>
      <x:c r="BB126" s="9" t="n">
        <x:f>IF(OR(Inputs!$F$8=TRUE,Inputs!$F$8="TRUE",Inputs!$F$8=1),(Inputs!$H$8+Inputs!$L$8*(((Inputs!$I$8+(((A126)+1)/2)*(Inputs!$J$8-Inputs!$I$8)))/Inputs!$K$8)^2),NA())</x:f>
        <x:v>36.050885</x:v>
      </x:c>
      <x:c r="BC126" s="9" t="n">
        <x:f>IF(OR(Inputs!$F$9=TRUE,Inputs!$F$9="TRUE",Inputs!$F$9=1),(Inputs!$H$9+Inputs!$L$9*(((Inputs!$I$9+(((A126)+1)/2)*(Inputs!$J$9-Inputs!$I$9)))/Inputs!$K$9)^2),NA())</x:f>
        <x:v>26.061774999999997</x:v>
      </x:c>
      <x:c r="BD126" s="10" t="n"/>
      <x:c r="BE126" s="9" t="n">
        <x:f>A126</x:f>
        <x:v>0.033</x:v>
      </x:c>
      <x:c r="BF126" s="9" t="n">
        <x:f>0</x:f>
        <x:v>0</x:v>
      </x:c>
      <x:c r="BG126" s="9"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9"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9"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9"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9" t="n">
        <x:f>ROUND(-1+125*2/240,3)</x:f>
        <x:v>0.042</x:v>
      </x:c>
      <x:c r="B127" s="9" t="n">
        <x:f>IF(OR(Inputs!$F$6=TRUE,Inputs!$F$6="TRUE",Inputs!$F$6=1),(Inputs!$H$6+Inputs!$L$6*(((Inputs!$I$6+(((A127)+1)/2)*(Inputs!$J$6-Inputs!$I$6)))/Inputs!$K$6)^2),NA())</x:f>
        <x:v>400.007056</x:v>
      </x:c>
      <x:c r="C127" s="9" t="n">
        <x:f>IF(OR(Inputs!$F$7=TRUE,Inputs!$F$7="TRUE",Inputs!$F$7=1),(Inputs!$H$7+Inputs!$L$7*(((Inputs!$I$7+(((A127)+1)/2)*(Inputs!$J$7-Inputs!$I$7)))/Inputs!$K$7)^2),NA())</x:f>
        <x:v>35.643860000000004</x:v>
      </x:c>
      <x:c r="D127" s="9" t="n">
        <x:f>IF(OR(Inputs!$F$8=TRUE,Inputs!$F$8="TRUE",Inputs!$F$8=1),(Inputs!$H$8+Inputs!$L$8*(((Inputs!$I$8+(((A127)+1)/2)*(Inputs!$J$8-Inputs!$I$8)))/Inputs!$K$8)^2),NA())</x:f>
        <x:v>36.70226</x:v>
      </x:c>
      <x:c r="E127" s="9" t="n">
        <x:f>IF(OR(Inputs!$F$9=TRUE,Inputs!$F$9="TRUE",Inputs!$F$9=1),(Inputs!$H$9+Inputs!$L$9*(((Inputs!$I$9+(((A127)+1)/2)*(Inputs!$J$9-Inputs!$I$9)))/Inputs!$K$9)^2),NA())</x:f>
        <x:v>26.719900000000003</x:v>
      </x:c>
      <x:c r="F127" s="10" t="n"/>
      <x:c r="G127" s="9" t="n">
        <x:f>A127</x:f>
        <x:v>0.042</x:v>
      </x:c>
      <x:c r="H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10" t="n"/>
      <x:c r="M127" s="9" t="n">
        <x:f>A127</x:f>
        <x:v>0.042</x:v>
      </x:c>
      <x:c r="N127" s="9"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9"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9"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9"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10" t="n"/>
      <x:c r="S127" s="9" t="n">
        <x:f>A127</x:f>
        <x:v>0.042</x:v>
      </x:c>
      <x:c r="T127" s="9" t="n">
        <x:f>(Inputs!$I$6+(((A127)+1)/2)*(Inputs!$J$6-Inputs!$I$6))</x:f>
        <x:v>2.520000000000003</x:v>
      </x:c>
      <x:c r="U127" s="9" t="n">
        <x:f>(Inputs!$I$7+(((A127)+1)/2)*(Inputs!$J$7-Inputs!$I$7))</x:f>
        <x:v>16.80000000000001</x:v>
      </x:c>
      <x:c r="V127" s="9" t="n">
        <x:f>(Inputs!$I$8+(((A127)+1)/2)*(Inputs!$J$8-Inputs!$I$8))</x:f>
        <x:v>33.60000000000002</x:v>
      </x:c>
      <x:c r="W127" s="9" t="n">
        <x:f>(Inputs!$I$9+(((A127)+1)/2)*(Inputs!$J$9-Inputs!$I$9))</x:f>
        <x:v>33.60000000000002</x:v>
      </x:c>
      <x:c r="X127" s="10" t="n"/>
      <x:c r="Y127" s="9" t="n">
        <x:f>A127</x:f>
        <x:v>0.042</x:v>
      </x:c>
      <x:c r="Z127" s="9" t="n">
        <x:f>(Inputs!$H$6+Inputs!$L$6*(((Inputs!$I$6+(((A127)+1)/2)*(Inputs!$J$6-Inputs!$I$6)))/Inputs!$K$6)^2)</x:f>
        <x:v>400.007056</x:v>
      </x:c>
      <x:c r="AA127" s="9" t="n">
        <x:f>(Inputs!$H$7+Inputs!$L$7*(((Inputs!$I$7+(((A127)+1)/2)*(Inputs!$J$7-Inputs!$I$7)))/Inputs!$K$7)^2)</x:f>
        <x:v>35.643860000000004</x:v>
      </x:c>
      <x:c r="AB127" s="9" t="n">
        <x:f>(Inputs!$H$8+Inputs!$L$8*(((Inputs!$I$8+(((A127)+1)/2)*(Inputs!$J$8-Inputs!$I$8)))/Inputs!$K$8)^2)</x:f>
        <x:v>36.70226</x:v>
      </x:c>
      <x:c r="AC127" s="9" t="n">
        <x:f>(Inputs!$H$9+Inputs!$L$9*(((Inputs!$I$9+(((A127)+1)/2)*(Inputs!$J$9-Inputs!$I$9)))/Inputs!$K$9)^2)</x:f>
        <x:v>26.719900000000003</x:v>
      </x:c>
      <x:c r="AD127" s="10" t="n"/>
      <x:c r="AE127" s="9" t="n">
        <x:f>A127</x:f>
        <x:v>0.042</x:v>
      </x:c>
      <x:c r="AF127" s="9"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9"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9"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9"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10" t="n"/>
      <x:c r="AK127" s="9" t="n">
        <x:f>A127</x:f>
        <x:v>0.042</x:v>
      </x:c>
      <x:c r="AL127" s="9"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9"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9"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9"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10" t="n"/>
      <x:c r="AQ127" s="9" t="n">
        <x:f>A127</x:f>
        <x:v>0.042</x:v>
      </x:c>
      <x:c r="AR127" s="9" t="n">
        <x:f>0</x:f>
        <x:v>0</x:v>
      </x:c>
      <x:c r="AS127" s="9"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x:f>
        <x:v>542.862557774308</x:v>
      </x:c>
      <x:c r="AT127" s="9"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x:f>
        <x:v>410.09984776073264</x:v>
      </x:c>
      <x:c r="AU127" s="9"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x:f>
        <x:v>223.29130278797018</x:v>
      </x:c>
      <x:c r="AV127" s="9"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x:f>
        <x:v>223.29130278797018</x:v>
      </x:c>
      <x:c r="AW127" s="10" t="n"/>
      <x:c r="AX127" s="9" t="n">
        <x:f>A127</x:f>
        <x:v>0.042</x:v>
      </x:c>
      <x:c r="AY127" s="9" t="n">
        <x:f>0</x:f>
        <x:v>0</x:v>
      </x:c>
      <x:c r="AZ127" s="9" t="n">
        <x:f>IF(OR(Inputs!$F$6=TRUE,Inputs!$F$6="TRUE",Inputs!$F$6=1),(Inputs!$H$6+Inputs!$L$6*(((Inputs!$I$6+(((A127)+1)/2)*(Inputs!$J$6-Inputs!$I$6)))/Inputs!$K$6)^2),NA())</x:f>
        <x:v>400.007056</x:v>
      </x:c>
      <x:c r="BA127" s="9" t="n">
        <x:f>IF(OR(Inputs!$F$7=TRUE,Inputs!$F$7="TRUE",Inputs!$F$7=1),(Inputs!$H$7+Inputs!$L$7*(((Inputs!$I$7+(((A127)+1)/2)*(Inputs!$J$7-Inputs!$I$7)))/Inputs!$K$7)^2),NA())</x:f>
        <x:v>35.643860000000004</x:v>
      </x:c>
      <x:c r="BB127" s="9" t="n">
        <x:f>IF(OR(Inputs!$F$8=TRUE,Inputs!$F$8="TRUE",Inputs!$F$8=1),(Inputs!$H$8+Inputs!$L$8*(((Inputs!$I$8+(((A127)+1)/2)*(Inputs!$J$8-Inputs!$I$8)))/Inputs!$K$8)^2),NA())</x:f>
        <x:v>36.70226</x:v>
      </x:c>
      <x:c r="BC127" s="9" t="n">
        <x:f>IF(OR(Inputs!$F$9=TRUE,Inputs!$F$9="TRUE",Inputs!$F$9=1),(Inputs!$H$9+Inputs!$L$9*(((Inputs!$I$9+(((A127)+1)/2)*(Inputs!$J$9-Inputs!$I$9)))/Inputs!$K$9)^2),NA())</x:f>
        <x:v>26.719900000000003</x:v>
      </x:c>
      <x:c r="BD127" s="10" t="n"/>
      <x:c r="BE127" s="9" t="n">
        <x:f>A127</x:f>
        <x:v>0.042</x:v>
      </x:c>
      <x:c r="BF127" s="9" t="n">
        <x:f>0</x:f>
        <x:v>0</x:v>
      </x:c>
      <x:c r="BG127" s="9"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9"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9"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9"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9" t="n">
        <x:f>ROUND(-1+126*2/240,3)</x:f>
        <x:v>0.05</x:v>
      </x:c>
      <x:c r="B128" s="9" t="n">
        <x:f>IF(OR(Inputs!$F$6=TRUE,Inputs!$F$6="TRUE",Inputs!$F$6=1),(Inputs!$H$6+Inputs!$L$6*(((Inputs!$I$6+(((A128)+1)/2)*(Inputs!$J$6-Inputs!$I$6)))/Inputs!$K$6)^2),NA())</x:f>
        <x:v>400.01</x:v>
      </x:c>
      <x:c r="C128" s="9" t="n">
        <x:f>IF(OR(Inputs!$F$7=TRUE,Inputs!$F$7="TRUE",Inputs!$F$7=1),(Inputs!$H$7+Inputs!$L$7*(((Inputs!$I$7+(((A128)+1)/2)*(Inputs!$J$7-Inputs!$I$7)))/Inputs!$K$7)^2),NA())</x:f>
        <x:v>35.9125</x:v>
      </x:c>
      <x:c r="D128" s="9" t="n">
        <x:f>IF(OR(Inputs!$F$8=TRUE,Inputs!$F$8="TRUE",Inputs!$F$8=1),(Inputs!$H$8+Inputs!$L$8*(((Inputs!$I$8+(((A128)+1)/2)*(Inputs!$J$8-Inputs!$I$8)))/Inputs!$K$8)^2),NA())</x:f>
        <x:v>37.4125</x:v>
      </x:c>
      <x:c r="E128" s="9" t="n">
        <x:f>IF(OR(Inputs!$F$9=TRUE,Inputs!$F$9="TRUE",Inputs!$F$9=1),(Inputs!$H$9+Inputs!$L$9*(((Inputs!$I$9+(((A128)+1)/2)*(Inputs!$J$9-Inputs!$I$9)))/Inputs!$K$9)^2),NA())</x:f>
        <x:v>27.4375</x:v>
      </x:c>
      <x:c r="F128" s="10" t="n"/>
      <x:c r="G128" s="9" t="n">
        <x:f>A128</x:f>
        <x:v>0.05</x:v>
      </x:c>
      <x:c r="H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10" t="n"/>
      <x:c r="M128" s="9" t="n">
        <x:f>A128</x:f>
        <x:v>0.05</x:v>
      </x:c>
      <x:c r="N128" s="9"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9"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9"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9"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10" t="n"/>
      <x:c r="S128" s="9" t="n">
        <x:f>A128</x:f>
        <x:v>0.05</x:v>
      </x:c>
      <x:c r="T128" s="9" t="n">
        <x:f>(Inputs!$I$6+(((A128)+1)/2)*(Inputs!$J$6-Inputs!$I$6))</x:f>
        <x:v>3</x:v>
      </x:c>
      <x:c r="U128" s="9" t="n">
        <x:f>(Inputs!$I$7+(((A128)+1)/2)*(Inputs!$J$7-Inputs!$I$7))</x:f>
        <x:v>20</x:v>
      </x:c>
      <x:c r="V128" s="9" t="n">
        <x:f>(Inputs!$I$8+(((A128)+1)/2)*(Inputs!$J$8-Inputs!$I$8))</x:f>
        <x:v>40</x:v>
      </x:c>
      <x:c r="W128" s="9" t="n">
        <x:f>(Inputs!$I$9+(((A128)+1)/2)*(Inputs!$J$9-Inputs!$I$9))</x:f>
        <x:v>40</x:v>
      </x:c>
      <x:c r="X128" s="10" t="n"/>
      <x:c r="Y128" s="9" t="n">
        <x:f>A128</x:f>
        <x:v>0.05</x:v>
      </x:c>
      <x:c r="Z128" s="9" t="n">
        <x:f>(Inputs!$H$6+Inputs!$L$6*(((Inputs!$I$6+(((A128)+1)/2)*(Inputs!$J$6-Inputs!$I$6)))/Inputs!$K$6)^2)</x:f>
        <x:v>400.01</x:v>
      </x:c>
      <x:c r="AA128" s="9" t="n">
        <x:f>(Inputs!$H$7+Inputs!$L$7*(((Inputs!$I$7+(((A128)+1)/2)*(Inputs!$J$7-Inputs!$I$7)))/Inputs!$K$7)^2)</x:f>
        <x:v>35.9125</x:v>
      </x:c>
      <x:c r="AB128" s="9" t="n">
        <x:f>(Inputs!$H$8+Inputs!$L$8*(((Inputs!$I$8+(((A128)+1)/2)*(Inputs!$J$8-Inputs!$I$8)))/Inputs!$K$8)^2)</x:f>
        <x:v>37.4125</x:v>
      </x:c>
      <x:c r="AC128" s="9" t="n">
        <x:f>(Inputs!$H$9+Inputs!$L$9*(((Inputs!$I$9+(((A128)+1)/2)*(Inputs!$J$9-Inputs!$I$9)))/Inputs!$K$9)^2)</x:f>
        <x:v>27.4375</x:v>
      </x:c>
      <x:c r="AD128" s="10" t="n"/>
      <x:c r="AE128" s="9" t="n">
        <x:f>A128</x:f>
        <x:v>0.05</x:v>
      </x:c>
      <x:c r="AF128" s="9"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9"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9"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9"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10" t="n"/>
      <x:c r="AK128" s="9" t="n">
        <x:f>A128</x:f>
        <x:v>0.05</x:v>
      </x:c>
      <x:c r="AL128" s="9"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9"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9"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9"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10" t="n"/>
      <x:c r="AQ128" s="9" t="n">
        <x:f>A128</x:f>
        <x:v>0.05</x:v>
      </x:c>
      <x:c r="AR128" s="9" t="n">
        <x:f>0</x:f>
        <x:v>0</x:v>
      </x:c>
      <x:c r="AS128" s="9"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x:f>
        <x:v>536.8431041026216</x:v>
      </x:c>
      <x:c r="AT128" s="9"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x:f>
        <x:v>439.0113020882822</x:v>
      </x:c>
      <x:c r="AU128" s="9"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x:f>
        <x:v>304.82117281231683</x:v>
      </x:c>
      <x:c r="AV128" s="9"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x:f>
        <x:v>304.82117281231683</x:v>
      </x:c>
      <x:c r="AW128" s="10" t="n"/>
      <x:c r="AX128" s="9" t="n">
        <x:f>A128</x:f>
        <x:v>0.05</x:v>
      </x:c>
      <x:c r="AY128" s="9" t="n">
        <x:f>0</x:f>
        <x:v>0</x:v>
      </x:c>
      <x:c r="AZ128" s="9" t="n">
        <x:f>IF(OR(Inputs!$F$6=TRUE,Inputs!$F$6="TRUE",Inputs!$F$6=1),(Inputs!$H$6+Inputs!$L$6*(((Inputs!$I$6+(((A128)+1)/2)*(Inputs!$J$6-Inputs!$I$6)))/Inputs!$K$6)^2),NA())</x:f>
        <x:v>400.01</x:v>
      </x:c>
      <x:c r="BA128" s="9" t="n">
        <x:f>IF(OR(Inputs!$F$7=TRUE,Inputs!$F$7="TRUE",Inputs!$F$7=1),(Inputs!$H$7+Inputs!$L$7*(((Inputs!$I$7+(((A128)+1)/2)*(Inputs!$J$7-Inputs!$I$7)))/Inputs!$K$7)^2),NA())</x:f>
        <x:v>35.9125</x:v>
      </x:c>
      <x:c r="BB128" s="9" t="n">
        <x:f>IF(OR(Inputs!$F$8=TRUE,Inputs!$F$8="TRUE",Inputs!$F$8=1),(Inputs!$H$8+Inputs!$L$8*(((Inputs!$I$8+(((A128)+1)/2)*(Inputs!$J$8-Inputs!$I$8)))/Inputs!$K$8)^2),NA())</x:f>
        <x:v>37.4125</x:v>
      </x:c>
      <x:c r="BC128" s="9" t="n">
        <x:f>IF(OR(Inputs!$F$9=TRUE,Inputs!$F$9="TRUE",Inputs!$F$9=1),(Inputs!$H$9+Inputs!$L$9*(((Inputs!$I$9+(((A128)+1)/2)*(Inputs!$J$9-Inputs!$I$9)))/Inputs!$K$9)^2),NA())</x:f>
        <x:v>27.4375</x:v>
      </x:c>
      <x:c r="BD128" s="10" t="n"/>
      <x:c r="BE128" s="9" t="n">
        <x:f>A128</x:f>
        <x:v>0.05</x:v>
      </x:c>
      <x:c r="BF128" s="9" t="n">
        <x:f>0</x:f>
        <x:v>0</x:v>
      </x:c>
      <x:c r="BG128" s="9"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9"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9"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9"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9" t="n">
        <x:f>ROUND(-1+127*2/240,3)</x:f>
        <x:v>0.058</x:v>
      </x:c>
      <x:c r="B129" s="9" t="n">
        <x:f>IF(OR(Inputs!$F$6=TRUE,Inputs!$F$6="TRUE",Inputs!$F$6=1),(Inputs!$H$6+Inputs!$L$6*(((Inputs!$I$6+(((A129)+1)/2)*(Inputs!$J$6-Inputs!$I$6)))/Inputs!$K$6)^2),NA())</x:f>
        <x:v>400.013456</x:v>
      </x:c>
      <x:c r="C129" s="9" t="n">
        <x:f>IF(OR(Inputs!$F$7=TRUE,Inputs!$F$7="TRUE",Inputs!$F$7=1),(Inputs!$H$7+Inputs!$L$7*(((Inputs!$I$7+(((A129)+1)/2)*(Inputs!$J$7-Inputs!$I$7)))/Inputs!$K$7)^2),NA())</x:f>
        <x:v>36.22786000000001</x:v>
      </x:c>
      <x:c r="D129" s="9" t="n">
        <x:f>IF(OR(Inputs!$F$8=TRUE,Inputs!$F$8="TRUE",Inputs!$F$8=1),(Inputs!$H$8+Inputs!$L$8*(((Inputs!$I$8+(((A129)+1)/2)*(Inputs!$J$8-Inputs!$I$8)))/Inputs!$K$8)^2),NA())</x:f>
        <x:v>38.246260000000014</x:v>
      </x:c>
      <x:c r="E129" s="9" t="n">
        <x:f>IF(OR(Inputs!$F$9=TRUE,Inputs!$F$9="TRUE",Inputs!$F$9=1),(Inputs!$H$9+Inputs!$L$9*(((Inputs!$I$9+(((A129)+1)/2)*(Inputs!$J$9-Inputs!$I$9)))/Inputs!$K$9)^2),NA())</x:f>
        <x:v>28.279900000000012</x:v>
      </x:c>
      <x:c r="F129" s="10" t="n"/>
      <x:c r="G129" s="9" t="n">
        <x:f>A129</x:f>
        <x:v>0.058</x:v>
      </x:c>
      <x:c r="H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10" t="n"/>
      <x:c r="M129" s="9" t="n">
        <x:f>A129</x:f>
        <x:v>0.058</x:v>
      </x:c>
      <x:c r="N129" s="9"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9"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9"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9"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10" t="n"/>
      <x:c r="S129" s="9" t="n">
        <x:f>A129</x:f>
        <x:v>0.058</x:v>
      </x:c>
      <x:c r="T129" s="9" t="n">
        <x:f>(Inputs!$I$6+(((A129)+1)/2)*(Inputs!$J$6-Inputs!$I$6))</x:f>
        <x:v>3.480000000000004</x:v>
      </x:c>
      <x:c r="U129" s="9" t="n">
        <x:f>(Inputs!$I$7+(((A129)+1)/2)*(Inputs!$J$7-Inputs!$I$7))</x:f>
        <x:v>23.200000000000045</x:v>
      </x:c>
      <x:c r="V129" s="9" t="n">
        <x:f>(Inputs!$I$8+(((A129)+1)/2)*(Inputs!$J$8-Inputs!$I$8))</x:f>
        <x:v>46.40000000000009</x:v>
      </x:c>
      <x:c r="W129" s="9" t="n">
        <x:f>(Inputs!$I$9+(((A129)+1)/2)*(Inputs!$J$9-Inputs!$I$9))</x:f>
        <x:v>46.40000000000009</x:v>
      </x:c>
      <x:c r="X129" s="10" t="n"/>
      <x:c r="Y129" s="9" t="n">
        <x:f>A129</x:f>
        <x:v>0.058</x:v>
      </x:c>
      <x:c r="Z129" s="9" t="n">
        <x:f>(Inputs!$H$6+Inputs!$L$6*(((Inputs!$I$6+(((A129)+1)/2)*(Inputs!$J$6-Inputs!$I$6)))/Inputs!$K$6)^2)</x:f>
        <x:v>400.013456</x:v>
      </x:c>
      <x:c r="AA129" s="9" t="n">
        <x:f>(Inputs!$H$7+Inputs!$L$7*(((Inputs!$I$7+(((A129)+1)/2)*(Inputs!$J$7-Inputs!$I$7)))/Inputs!$K$7)^2)</x:f>
        <x:v>36.22786000000001</x:v>
      </x:c>
      <x:c r="AB129" s="9" t="n">
        <x:f>(Inputs!$H$8+Inputs!$L$8*(((Inputs!$I$8+(((A129)+1)/2)*(Inputs!$J$8-Inputs!$I$8)))/Inputs!$K$8)^2)</x:f>
        <x:v>38.246260000000014</x:v>
      </x:c>
      <x:c r="AC129" s="9" t="n">
        <x:f>(Inputs!$H$9+Inputs!$L$9*(((Inputs!$I$9+(((A129)+1)/2)*(Inputs!$J$9-Inputs!$I$9)))/Inputs!$K$9)^2)</x:f>
        <x:v>28.279900000000012</x:v>
      </x:c>
      <x:c r="AD129" s="10" t="n"/>
      <x:c r="AE129" s="9" t="n">
        <x:f>A129</x:f>
        <x:v>0.058</x:v>
      </x:c>
      <x:c r="AF129" s="9"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9"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9"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9"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10" t="n"/>
      <x:c r="AK129" s="9" t="n">
        <x:f>A129</x:f>
        <x:v>0.058</x:v>
      </x:c>
      <x:c r="AL129" s="9"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9"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9"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9"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10" t="n"/>
      <x:c r="AQ129" s="9" t="n">
        <x:f>A129</x:f>
        <x:v>0.058</x:v>
      </x:c>
      <x:c r="AR129" s="9" t="n">
        <x:f>0</x:f>
        <x:v>0</x:v>
      </x:c>
      <x:c r="AS129" s="9"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x:f>
        <x:v>562.3220592919292</x:v>
      </x:c>
      <x:c r="AT129" s="9"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x:f>
        <x:v>439.57677845336235</x:v>
      </x:c>
      <x:c r="AU129" s="9"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x:f>
        <x:v>146.9871915334255</x:v>
      </x:c>
      <x:c r="AV129" s="9"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x:f>
        <x:v>146.9871915334255</x:v>
      </x:c>
      <x:c r="AW129" s="10" t="n"/>
      <x:c r="AX129" s="9" t="n">
        <x:f>A129</x:f>
        <x:v>0.058</x:v>
      </x:c>
      <x:c r="AY129" s="9" t="n">
        <x:f>0</x:f>
        <x:v>0</x:v>
      </x:c>
      <x:c r="AZ129" s="9" t="n">
        <x:f>IF(OR(Inputs!$F$6=TRUE,Inputs!$F$6="TRUE",Inputs!$F$6=1),(Inputs!$H$6+Inputs!$L$6*(((Inputs!$I$6+(((A129)+1)/2)*(Inputs!$J$6-Inputs!$I$6)))/Inputs!$K$6)^2),NA())</x:f>
        <x:v>400.013456</x:v>
      </x:c>
      <x:c r="BA129" s="9" t="n">
        <x:f>IF(OR(Inputs!$F$7=TRUE,Inputs!$F$7="TRUE",Inputs!$F$7=1),(Inputs!$H$7+Inputs!$L$7*(((Inputs!$I$7+(((A129)+1)/2)*(Inputs!$J$7-Inputs!$I$7)))/Inputs!$K$7)^2),NA())</x:f>
        <x:v>36.22786000000001</x:v>
      </x:c>
      <x:c r="BB129" s="9" t="n">
        <x:f>IF(OR(Inputs!$F$8=TRUE,Inputs!$F$8="TRUE",Inputs!$F$8=1),(Inputs!$H$8+Inputs!$L$8*(((Inputs!$I$8+(((A129)+1)/2)*(Inputs!$J$8-Inputs!$I$8)))/Inputs!$K$8)^2),NA())</x:f>
        <x:v>38.246260000000014</x:v>
      </x:c>
      <x:c r="BC129" s="9" t="n">
        <x:f>IF(OR(Inputs!$F$9=TRUE,Inputs!$F$9="TRUE",Inputs!$F$9=1),(Inputs!$H$9+Inputs!$L$9*(((Inputs!$I$9+(((A129)+1)/2)*(Inputs!$J$9-Inputs!$I$9)))/Inputs!$K$9)^2),NA())</x:f>
        <x:v>28.279900000000012</x:v>
      </x:c>
      <x:c r="BD129" s="10" t="n"/>
      <x:c r="BE129" s="9" t="n">
        <x:f>A129</x:f>
        <x:v>0.058</x:v>
      </x:c>
      <x:c r="BF129" s="9" t="n">
        <x:f>0</x:f>
        <x:v>0</x:v>
      </x:c>
      <x:c r="BG129" s="9"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9"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9"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9"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9" t="n">
        <x:f>ROUND(-1+128*2/240,3)</x:f>
        <x:v>0.067</x:v>
      </x:c>
      <x:c r="B130" s="9" t="n">
        <x:f>IF(OR(Inputs!$F$6=TRUE,Inputs!$F$6="TRUE",Inputs!$F$6=1),(Inputs!$H$6+Inputs!$L$6*(((Inputs!$I$6+(((A130)+1)/2)*(Inputs!$J$6-Inputs!$I$6)))/Inputs!$K$6)^2),NA())</x:f>
        <x:v>400.017956</x:v>
      </x:c>
      <x:c r="C130" s="9" t="n">
        <x:f>IF(OR(Inputs!$F$7=TRUE,Inputs!$F$7="TRUE",Inputs!$F$7=1),(Inputs!$H$7+Inputs!$L$7*(((Inputs!$I$7+(((A130)+1)/2)*(Inputs!$J$7-Inputs!$I$7)))/Inputs!$K$7)^2),NA())</x:f>
        <x:v>36.638484999999996</x:v>
      </x:c>
      <x:c r="D130" s="9" t="n">
        <x:f>IF(OR(Inputs!$F$8=TRUE,Inputs!$F$8="TRUE",Inputs!$F$8=1),(Inputs!$H$8+Inputs!$L$8*(((Inputs!$I$8+(((A130)+1)/2)*(Inputs!$J$8-Inputs!$I$8)))/Inputs!$K$8)^2),NA())</x:f>
        <x:v>39.331884999999986</x:v>
      </x:c>
      <x:c r="E130" s="9" t="n">
        <x:f>IF(OR(Inputs!$F$9=TRUE,Inputs!$F$9="TRUE",Inputs!$F$9=1),(Inputs!$H$9+Inputs!$L$9*(((Inputs!$I$9+(((A130)+1)/2)*(Inputs!$J$9-Inputs!$I$9)))/Inputs!$K$9)^2),NA())</x:f>
        <x:v>29.376774999999988</x:v>
      </x:c>
      <x:c r="F130" s="10" t="n"/>
      <x:c r="G130" s="9" t="n">
        <x:f>A130</x:f>
        <x:v>0.067</x:v>
      </x:c>
      <x:c r="H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10" t="n"/>
      <x:c r="M130" s="9" t="n">
        <x:f>A130</x:f>
        <x:v>0.067</x:v>
      </x:c>
      <x:c r="N130" s="9"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9"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9"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9"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10" t="n"/>
      <x:c r="S130" s="9" t="n">
        <x:f>A130</x:f>
        <x:v>0.067</x:v>
      </x:c>
      <x:c r="T130" s="9" t="n">
        <x:f>(Inputs!$I$6+(((A130)+1)/2)*(Inputs!$J$6-Inputs!$I$6))</x:f>
        <x:v>4.019999999999996</x:v>
      </x:c>
      <x:c r="U130" s="9" t="n">
        <x:f>(Inputs!$I$7+(((A130)+1)/2)*(Inputs!$J$7-Inputs!$I$7))</x:f>
        <x:v>26.799999999999955</x:v>
      </x:c>
      <x:c r="V130" s="9" t="n">
        <x:f>(Inputs!$I$8+(((A130)+1)/2)*(Inputs!$J$8-Inputs!$I$8))</x:f>
        <x:v>53.59999999999991</x:v>
      </x:c>
      <x:c r="W130" s="9" t="n">
        <x:f>(Inputs!$I$9+(((A130)+1)/2)*(Inputs!$J$9-Inputs!$I$9))</x:f>
        <x:v>53.59999999999991</x:v>
      </x:c>
      <x:c r="X130" s="10" t="n"/>
      <x:c r="Y130" s="9" t="n">
        <x:f>A130</x:f>
        <x:v>0.067</x:v>
      </x:c>
      <x:c r="Z130" s="9" t="n">
        <x:f>(Inputs!$H$6+Inputs!$L$6*(((Inputs!$I$6+(((A130)+1)/2)*(Inputs!$J$6-Inputs!$I$6)))/Inputs!$K$6)^2)</x:f>
        <x:v>400.017956</x:v>
      </x:c>
      <x:c r="AA130" s="9" t="n">
        <x:f>(Inputs!$H$7+Inputs!$L$7*(((Inputs!$I$7+(((A130)+1)/2)*(Inputs!$J$7-Inputs!$I$7)))/Inputs!$K$7)^2)</x:f>
        <x:v>36.638484999999996</x:v>
      </x:c>
      <x:c r="AB130" s="9" t="n">
        <x:f>(Inputs!$H$8+Inputs!$L$8*(((Inputs!$I$8+(((A130)+1)/2)*(Inputs!$J$8-Inputs!$I$8)))/Inputs!$K$8)^2)</x:f>
        <x:v>39.331884999999986</x:v>
      </x:c>
      <x:c r="AC130" s="9" t="n">
        <x:f>(Inputs!$H$9+Inputs!$L$9*(((Inputs!$I$9+(((A130)+1)/2)*(Inputs!$J$9-Inputs!$I$9)))/Inputs!$K$9)^2)</x:f>
        <x:v>29.376774999999988</x:v>
      </x:c>
      <x:c r="AD130" s="10" t="n"/>
      <x:c r="AE130" s="9" t="n">
        <x:f>A130</x:f>
        <x:v>0.067</x:v>
      </x:c>
      <x:c r="AF130" s="9"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9"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9"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9"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10" t="n"/>
      <x:c r="AK130" s="9" t="n">
        <x:f>A130</x:f>
        <x:v>0.067</x:v>
      </x:c>
      <x:c r="AL130" s="9"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9"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9"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9"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10" t="n"/>
      <x:c r="AQ130" s="9" t="n">
        <x:f>A130</x:f>
        <x:v>0.067</x:v>
      </x:c>
      <x:c r="AR130" s="9" t="n">
        <x:f>0</x:f>
        <x:v>0</x:v>
      </x:c>
      <x:c r="AS130" s="9"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x:f>
        <x:v>544.9740548154381</x:v>
      </x:c>
      <x:c r="AT130" s="9"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x:f>
        <x:v>350.39069580116006</x:v>
      </x:c>
      <x:c r="AU130" s="9"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x:f>
        <x:v>179.63523580513873</x:v>
      </x:c>
      <x:c r="AV130" s="9"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x:f>
        <x:v>179.63523580513873</x:v>
      </x:c>
      <x:c r="AW130" s="10" t="n"/>
      <x:c r="AX130" s="9" t="n">
        <x:f>A130</x:f>
        <x:v>0.067</x:v>
      </x:c>
      <x:c r="AY130" s="9" t="n">
        <x:f>0</x:f>
        <x:v>0</x:v>
      </x:c>
      <x:c r="AZ130" s="9" t="n">
        <x:f>IF(OR(Inputs!$F$6=TRUE,Inputs!$F$6="TRUE",Inputs!$F$6=1),(Inputs!$H$6+Inputs!$L$6*(((Inputs!$I$6+(((A130)+1)/2)*(Inputs!$J$6-Inputs!$I$6)))/Inputs!$K$6)^2),NA())</x:f>
        <x:v>400.017956</x:v>
      </x:c>
      <x:c r="BA130" s="9" t="n">
        <x:f>IF(OR(Inputs!$F$7=TRUE,Inputs!$F$7="TRUE",Inputs!$F$7=1),(Inputs!$H$7+Inputs!$L$7*(((Inputs!$I$7+(((A130)+1)/2)*(Inputs!$J$7-Inputs!$I$7)))/Inputs!$K$7)^2),NA())</x:f>
        <x:v>36.638484999999996</x:v>
      </x:c>
      <x:c r="BB130" s="9" t="n">
        <x:f>IF(OR(Inputs!$F$8=TRUE,Inputs!$F$8="TRUE",Inputs!$F$8=1),(Inputs!$H$8+Inputs!$L$8*(((Inputs!$I$8+(((A130)+1)/2)*(Inputs!$J$8-Inputs!$I$8)))/Inputs!$K$8)^2),NA())</x:f>
        <x:v>39.331884999999986</x:v>
      </x:c>
      <x:c r="BC130" s="9" t="n">
        <x:f>IF(OR(Inputs!$F$9=TRUE,Inputs!$F$9="TRUE",Inputs!$F$9=1),(Inputs!$H$9+Inputs!$L$9*(((Inputs!$I$9+(((A130)+1)/2)*(Inputs!$J$9-Inputs!$I$9)))/Inputs!$K$9)^2),NA())</x:f>
        <x:v>29.376774999999988</x:v>
      </x:c>
      <x:c r="BD130" s="10" t="n"/>
      <x:c r="BE130" s="9" t="n">
        <x:f>A130</x:f>
        <x:v>0.067</x:v>
      </x:c>
      <x:c r="BF130" s="9" t="n">
        <x:f>0</x:f>
        <x:v>0</x:v>
      </x:c>
      <x:c r="BG130" s="9"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9"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9"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9"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9" t="n">
        <x:f>ROUND(-1+129*2/240,3)</x:f>
        <x:v>0.075</x:v>
      </x:c>
      <x:c r="B131" s="9" t="n">
        <x:f>IF(OR(Inputs!$F$6=TRUE,Inputs!$F$6="TRUE",Inputs!$F$6=1),(Inputs!$H$6+Inputs!$L$6*(((Inputs!$I$6+(((A131)+1)/2)*(Inputs!$J$6-Inputs!$I$6)))/Inputs!$K$6)^2),NA())</x:f>
        <x:v>400.0225</x:v>
      </x:c>
      <x:c r="C131" s="9" t="n">
        <x:f>IF(OR(Inputs!$F$7=TRUE,Inputs!$F$7="TRUE",Inputs!$F$7=1),(Inputs!$H$7+Inputs!$L$7*(((Inputs!$I$7+(((A131)+1)/2)*(Inputs!$J$7-Inputs!$I$7)))/Inputs!$K$7)^2),NA())</x:f>
        <x:v>37.053125</x:v>
      </x:c>
      <x:c r="D131" s="9" t="n">
        <x:f>IF(OR(Inputs!$F$8=TRUE,Inputs!$F$8="TRUE",Inputs!$F$8=1),(Inputs!$H$8+Inputs!$L$8*(((Inputs!$I$8+(((A131)+1)/2)*(Inputs!$J$8-Inputs!$I$8)))/Inputs!$K$8)^2),NA())</x:f>
        <x:v>40.428125</x:v>
      </x:c>
      <x:c r="E131" s="9" t="n">
        <x:f>IF(OR(Inputs!$F$9=TRUE,Inputs!$F$9="TRUE",Inputs!$F$9=1),(Inputs!$H$9+Inputs!$L$9*(((Inputs!$I$9+(((A131)+1)/2)*(Inputs!$J$9-Inputs!$I$9)))/Inputs!$K$9)^2),NA())</x:f>
        <x:v>30.484375</x:v>
      </x:c>
      <x:c r="F131" s="10" t="n"/>
      <x:c r="G131" s="9" t="n">
        <x:f>A131</x:f>
        <x:v>0.075</x:v>
      </x:c>
      <x:c r="H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10" t="n"/>
      <x:c r="M131" s="9" t="n">
        <x:f>A131</x:f>
        <x:v>0.075</x:v>
      </x:c>
      <x:c r="N131" s="9"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9"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9"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9"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10" t="n"/>
      <x:c r="S131" s="9" t="n">
        <x:f>A131</x:f>
        <x:v>0.075</x:v>
      </x:c>
      <x:c r="T131" s="9" t="n">
        <x:f>(Inputs!$I$6+(((A131)+1)/2)*(Inputs!$J$6-Inputs!$I$6))</x:f>
        <x:v>4.5</x:v>
      </x:c>
      <x:c r="U131" s="9" t="n">
        <x:f>(Inputs!$I$7+(((A131)+1)/2)*(Inputs!$J$7-Inputs!$I$7))</x:f>
        <x:v>30</x:v>
      </x:c>
      <x:c r="V131" s="9" t="n">
        <x:f>(Inputs!$I$8+(((A131)+1)/2)*(Inputs!$J$8-Inputs!$I$8))</x:f>
        <x:v>60</x:v>
      </x:c>
      <x:c r="W131" s="9" t="n">
        <x:f>(Inputs!$I$9+(((A131)+1)/2)*(Inputs!$J$9-Inputs!$I$9))</x:f>
        <x:v>60</x:v>
      </x:c>
      <x:c r="X131" s="10" t="n"/>
      <x:c r="Y131" s="9" t="n">
        <x:f>A131</x:f>
        <x:v>0.075</x:v>
      </x:c>
      <x:c r="Z131" s="9" t="n">
        <x:f>(Inputs!$H$6+Inputs!$L$6*(((Inputs!$I$6+(((A131)+1)/2)*(Inputs!$J$6-Inputs!$I$6)))/Inputs!$K$6)^2)</x:f>
        <x:v>400.0225</x:v>
      </x:c>
      <x:c r="AA131" s="9" t="n">
        <x:f>(Inputs!$H$7+Inputs!$L$7*(((Inputs!$I$7+(((A131)+1)/2)*(Inputs!$J$7-Inputs!$I$7)))/Inputs!$K$7)^2)</x:f>
        <x:v>37.053125</x:v>
      </x:c>
      <x:c r="AB131" s="9" t="n">
        <x:f>(Inputs!$H$8+Inputs!$L$8*(((Inputs!$I$8+(((A131)+1)/2)*(Inputs!$J$8-Inputs!$I$8)))/Inputs!$K$8)^2)</x:f>
        <x:v>40.428125</x:v>
      </x:c>
      <x:c r="AC131" s="9" t="n">
        <x:f>(Inputs!$H$9+Inputs!$L$9*(((Inputs!$I$9+(((A131)+1)/2)*(Inputs!$J$9-Inputs!$I$9)))/Inputs!$K$9)^2)</x:f>
        <x:v>30.484375</x:v>
      </x:c>
      <x:c r="AD131" s="10" t="n"/>
      <x:c r="AE131" s="9" t="n">
        <x:f>A131</x:f>
        <x:v>0.075</x:v>
      </x:c>
      <x:c r="AF131" s="9"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9"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9"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9"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10" t="n"/>
      <x:c r="AK131" s="9" t="n">
        <x:f>A131</x:f>
        <x:v>0.075</x:v>
      </x:c>
      <x:c r="AL131" s="9"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9"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9"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9"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10" t="n"/>
      <x:c r="AQ131" s="9" t="n">
        <x:f>A131</x:f>
        <x:v>0.075</x:v>
      </x:c>
      <x:c r="AR131" s="9" t="n">
        <x:f>0</x:f>
        <x:v>0</x:v>
      </x:c>
      <x:c r="AS131" s="9"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x:f>
        <x:v>568.6436382247327</x:v>
      </x:c>
      <x:c r="AT131" s="9"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x:f>
        <x:v>258.3810354027646</x:v>
      </x:c>
      <x:c r="AU131" s="9"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x:f>
        <x:v>179.34901119414707</x:v>
      </x:c>
      <x:c r="AV131" s="9"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x:f>
        <x:v>179.34901119414707</x:v>
      </x:c>
      <x:c r="AW131" s="10" t="n"/>
      <x:c r="AX131" s="9" t="n">
        <x:f>A131</x:f>
        <x:v>0.075</x:v>
      </x:c>
      <x:c r="AY131" s="9" t="n">
        <x:f>0</x:f>
        <x:v>0</x:v>
      </x:c>
      <x:c r="AZ131" s="9" t="n">
        <x:f>IF(OR(Inputs!$F$6=TRUE,Inputs!$F$6="TRUE",Inputs!$F$6=1),(Inputs!$H$6+Inputs!$L$6*(((Inputs!$I$6+(((A131)+1)/2)*(Inputs!$J$6-Inputs!$I$6)))/Inputs!$K$6)^2),NA())</x:f>
        <x:v>400.0225</x:v>
      </x:c>
      <x:c r="BA131" s="9" t="n">
        <x:f>IF(OR(Inputs!$F$7=TRUE,Inputs!$F$7="TRUE",Inputs!$F$7=1),(Inputs!$H$7+Inputs!$L$7*(((Inputs!$I$7+(((A131)+1)/2)*(Inputs!$J$7-Inputs!$I$7)))/Inputs!$K$7)^2),NA())</x:f>
        <x:v>37.053125</x:v>
      </x:c>
      <x:c r="BB131" s="9" t="n">
        <x:f>IF(OR(Inputs!$F$8=TRUE,Inputs!$F$8="TRUE",Inputs!$F$8=1),(Inputs!$H$8+Inputs!$L$8*(((Inputs!$I$8+(((A131)+1)/2)*(Inputs!$J$8-Inputs!$I$8)))/Inputs!$K$8)^2),NA())</x:f>
        <x:v>40.428125</x:v>
      </x:c>
      <x:c r="BC131" s="9" t="n">
        <x:f>IF(OR(Inputs!$F$9=TRUE,Inputs!$F$9="TRUE",Inputs!$F$9=1),(Inputs!$H$9+Inputs!$L$9*(((Inputs!$I$9+(((A131)+1)/2)*(Inputs!$J$9-Inputs!$I$9)))/Inputs!$K$9)^2),NA())</x:f>
        <x:v>30.484375</x:v>
      </x:c>
      <x:c r="BD131" s="10" t="n"/>
      <x:c r="BE131" s="9" t="n">
        <x:f>A131</x:f>
        <x:v>0.075</x:v>
      </x:c>
      <x:c r="BF131" s="9" t="n">
        <x:f>0</x:f>
        <x:v>0</x:v>
      </x:c>
      <x:c r="BG131" s="9"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9"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9"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9"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9" t="n">
        <x:f>ROUND(-1+130*2/240,3)</x:f>
        <x:v>0.083</x:v>
      </x:c>
      <x:c r="B132" s="9" t="n">
        <x:f>IF(OR(Inputs!$F$6=TRUE,Inputs!$F$6="TRUE",Inputs!$F$6=1),(Inputs!$H$6+Inputs!$L$6*(((Inputs!$I$6+(((A132)+1)/2)*(Inputs!$J$6-Inputs!$I$6)))/Inputs!$K$6)^2),NA())</x:f>
        <x:v>400.027556</x:v>
      </x:c>
      <x:c r="C132" s="9" t="n">
        <x:f>IF(OR(Inputs!$F$7=TRUE,Inputs!$F$7="TRUE",Inputs!$F$7=1),(Inputs!$H$7+Inputs!$L$7*(((Inputs!$I$7+(((A132)+1)/2)*(Inputs!$J$7-Inputs!$I$7)))/Inputs!$K$7)^2),NA())</x:f>
        <x:v>37.514485</x:v>
      </x:c>
      <x:c r="D132" s="9" t="n">
        <x:f>IF(OR(Inputs!$F$8=TRUE,Inputs!$F$8="TRUE",Inputs!$F$8=1),(Inputs!$H$8+Inputs!$L$8*(((Inputs!$I$8+(((A132)+1)/2)*(Inputs!$J$8-Inputs!$I$8)))/Inputs!$K$8)^2),NA())</x:f>
        <x:v>41.647884999999995</x:v>
      </x:c>
      <x:c r="E132" s="9" t="n">
        <x:f>IF(OR(Inputs!$F$9=TRUE,Inputs!$F$9="TRUE",Inputs!$F$9=1),(Inputs!$H$9+Inputs!$L$9*(((Inputs!$I$9+(((A132)+1)/2)*(Inputs!$J$9-Inputs!$I$9)))/Inputs!$K$9)^2),NA())</x:f>
        <x:v>31.716774999999995</x:v>
      </x:c>
      <x:c r="F132" s="10" t="n"/>
      <x:c r="G132" s="9" t="n">
        <x:f>A132</x:f>
        <x:v>0.083</x:v>
      </x:c>
      <x:c r="H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10" t="n"/>
      <x:c r="M132" s="9" t="n">
        <x:f>A132</x:f>
        <x:v>0.083</x:v>
      </x:c>
      <x:c r="N132" s="9"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9"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9"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9"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10" t="n"/>
      <x:c r="S132" s="9" t="n">
        <x:f>A132</x:f>
        <x:v>0.083</x:v>
      </x:c>
      <x:c r="T132" s="9" t="n">
        <x:f>(Inputs!$I$6+(((A132)+1)/2)*(Inputs!$J$6-Inputs!$I$6))</x:f>
        <x:v>4.980000000000004</x:v>
      </x:c>
      <x:c r="U132" s="9" t="n">
        <x:f>(Inputs!$I$7+(((A132)+1)/2)*(Inputs!$J$7-Inputs!$I$7))</x:f>
        <x:v>33.19999999999999</x:v>
      </x:c>
      <x:c r="V132" s="9" t="n">
        <x:f>(Inputs!$I$8+(((A132)+1)/2)*(Inputs!$J$8-Inputs!$I$8))</x:f>
        <x:v>66.39999999999998</x:v>
      </x:c>
      <x:c r="W132" s="9" t="n">
        <x:f>(Inputs!$I$9+(((A132)+1)/2)*(Inputs!$J$9-Inputs!$I$9))</x:f>
        <x:v>66.39999999999998</x:v>
      </x:c>
      <x:c r="X132" s="10" t="n"/>
      <x:c r="Y132" s="9" t="n">
        <x:f>A132</x:f>
        <x:v>0.083</x:v>
      </x:c>
      <x:c r="Z132" s="9" t="n">
        <x:f>(Inputs!$H$6+Inputs!$L$6*(((Inputs!$I$6+(((A132)+1)/2)*(Inputs!$J$6-Inputs!$I$6)))/Inputs!$K$6)^2)</x:f>
        <x:v>400.027556</x:v>
      </x:c>
      <x:c r="AA132" s="9" t="n">
        <x:f>(Inputs!$H$7+Inputs!$L$7*(((Inputs!$I$7+(((A132)+1)/2)*(Inputs!$J$7-Inputs!$I$7)))/Inputs!$K$7)^2)</x:f>
        <x:v>37.514485</x:v>
      </x:c>
      <x:c r="AB132" s="9" t="n">
        <x:f>(Inputs!$H$8+Inputs!$L$8*(((Inputs!$I$8+(((A132)+1)/2)*(Inputs!$J$8-Inputs!$I$8)))/Inputs!$K$8)^2)</x:f>
        <x:v>41.647884999999995</x:v>
      </x:c>
      <x:c r="AC132" s="9" t="n">
        <x:f>(Inputs!$H$9+Inputs!$L$9*(((Inputs!$I$9+(((A132)+1)/2)*(Inputs!$J$9-Inputs!$I$9)))/Inputs!$K$9)^2)</x:f>
        <x:v>31.716774999999995</x:v>
      </x:c>
      <x:c r="AD132" s="10" t="n"/>
      <x:c r="AE132" s="9" t="n">
        <x:f>A132</x:f>
        <x:v>0.083</x:v>
      </x:c>
      <x:c r="AF132" s="9"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9"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9"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9"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10" t="n"/>
      <x:c r="AK132" s="9" t="n">
        <x:f>A132</x:f>
        <x:v>0.083</x:v>
      </x:c>
      <x:c r="AL132" s="9"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9"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9"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9"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10" t="n"/>
      <x:c r="AQ132" s="9" t="n">
        <x:f>A132</x:f>
        <x:v>0.083</x:v>
      </x:c>
      <x:c r="AR132" s="9" t="n">
        <x:f>0</x:f>
        <x:v>0</x:v>
      </x:c>
      <x:c r="AS132" s="9"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x:f>
        <x:v>557.734555854044</x:v>
      </x:c>
      <x:c r="AT132" s="9"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x:f>
        <x:v>226.0328331963426</x:v>
      </x:c>
      <x:c r="AU132" s="9"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x:f>
        <x:v>104.61410316727174</x:v>
      </x:c>
      <x:c r="AV132" s="9"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x:f>
        <x:v>104.61410316727174</x:v>
      </x:c>
      <x:c r="AW132" s="10" t="n"/>
      <x:c r="AX132" s="9" t="n">
        <x:f>A132</x:f>
        <x:v>0.083</x:v>
      </x:c>
      <x:c r="AY132" s="9" t="n">
        <x:f>0</x:f>
        <x:v>0</x:v>
      </x:c>
      <x:c r="AZ132" s="9" t="n">
        <x:f>IF(OR(Inputs!$F$6=TRUE,Inputs!$F$6="TRUE",Inputs!$F$6=1),(Inputs!$H$6+Inputs!$L$6*(((Inputs!$I$6+(((A132)+1)/2)*(Inputs!$J$6-Inputs!$I$6)))/Inputs!$K$6)^2),NA())</x:f>
        <x:v>400.027556</x:v>
      </x:c>
      <x:c r="BA132" s="9" t="n">
        <x:f>IF(OR(Inputs!$F$7=TRUE,Inputs!$F$7="TRUE",Inputs!$F$7=1),(Inputs!$H$7+Inputs!$L$7*(((Inputs!$I$7+(((A132)+1)/2)*(Inputs!$J$7-Inputs!$I$7)))/Inputs!$K$7)^2),NA())</x:f>
        <x:v>37.514485</x:v>
      </x:c>
      <x:c r="BB132" s="9" t="n">
        <x:f>IF(OR(Inputs!$F$8=TRUE,Inputs!$F$8="TRUE",Inputs!$F$8=1),(Inputs!$H$8+Inputs!$L$8*(((Inputs!$I$8+(((A132)+1)/2)*(Inputs!$J$8-Inputs!$I$8)))/Inputs!$K$8)^2),NA())</x:f>
        <x:v>41.647884999999995</x:v>
      </x:c>
      <x:c r="BC132" s="9" t="n">
        <x:f>IF(OR(Inputs!$F$9=TRUE,Inputs!$F$9="TRUE",Inputs!$F$9=1),(Inputs!$H$9+Inputs!$L$9*(((Inputs!$I$9+(((A132)+1)/2)*(Inputs!$J$9-Inputs!$I$9)))/Inputs!$K$9)^2),NA())</x:f>
        <x:v>31.716774999999995</x:v>
      </x:c>
      <x:c r="BD132" s="10" t="n"/>
      <x:c r="BE132" s="9" t="n">
        <x:f>A132</x:f>
        <x:v>0.083</x:v>
      </x:c>
      <x:c r="BF132" s="9" t="n">
        <x:f>0</x:f>
        <x:v>0</x:v>
      </x:c>
      <x:c r="BG132" s="9"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9"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9"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9"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9" t="n">
        <x:f>ROUND(-1+131*2/240,3)</x:f>
        <x:v>0.092</x:v>
      </x:c>
      <x:c r="B133" s="9" t="n">
        <x:f>IF(OR(Inputs!$F$6=TRUE,Inputs!$F$6="TRUE",Inputs!$F$6=1),(Inputs!$H$6+Inputs!$L$6*(((Inputs!$I$6+(((A133)+1)/2)*(Inputs!$J$6-Inputs!$I$6)))/Inputs!$K$6)^2),NA())</x:f>
        <x:v>400.033856</x:v>
      </x:c>
      <x:c r="C133" s="9" t="n">
        <x:f>IF(OR(Inputs!$F$7=TRUE,Inputs!$F$7="TRUE",Inputs!$F$7=1),(Inputs!$H$7+Inputs!$L$7*(((Inputs!$I$7+(((A133)+1)/2)*(Inputs!$J$7-Inputs!$I$7)))/Inputs!$K$7)^2),NA())</x:f>
        <x:v>38.08936</x:v>
      </x:c>
      <x:c r="D133" s="9" t="n">
        <x:f>IF(OR(Inputs!$F$8=TRUE,Inputs!$F$8="TRUE",Inputs!$F$8=1),(Inputs!$H$8+Inputs!$L$8*(((Inputs!$I$8+(((A133)+1)/2)*(Inputs!$J$8-Inputs!$I$8)))/Inputs!$K$8)^2),NA())</x:f>
        <x:v>43.16776</x:v>
      </x:c>
      <x:c r="E133" s="9" t="n">
        <x:f>IF(OR(Inputs!$F$9=TRUE,Inputs!$F$9="TRUE",Inputs!$F$9=1),(Inputs!$H$9+Inputs!$L$9*(((Inputs!$I$9+(((A133)+1)/2)*(Inputs!$J$9-Inputs!$I$9)))/Inputs!$K$9)^2),NA())</x:f>
        <x:v>33.25240000000001</x:v>
      </x:c>
      <x:c r="F133" s="10" t="n"/>
      <x:c r="G133" s="9" t="n">
        <x:f>A133</x:f>
        <x:v>0.092</x:v>
      </x:c>
      <x:c r="H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10" t="n"/>
      <x:c r="M133" s="9" t="n">
        <x:f>A133</x:f>
        <x:v>0.092</x:v>
      </x:c>
      <x:c r="N133" s="9"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9"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9"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9"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10" t="n"/>
      <x:c r="S133" s="9" t="n">
        <x:f>A133</x:f>
        <x:v>0.092</x:v>
      </x:c>
      <x:c r="T133" s="9" t="n">
        <x:f>(Inputs!$I$6+(((A133)+1)/2)*(Inputs!$J$6-Inputs!$I$6))</x:f>
        <x:v>5.52000000000001</x:v>
      </x:c>
      <x:c r="U133" s="9" t="n">
        <x:f>(Inputs!$I$7+(((A133)+1)/2)*(Inputs!$J$7-Inputs!$I$7))</x:f>
        <x:v>36.80000000000001</x:v>
      </x:c>
      <x:c r="V133" s="9" t="n">
        <x:f>(Inputs!$I$8+(((A133)+1)/2)*(Inputs!$J$8-Inputs!$I$8))</x:f>
        <x:v>73.60000000000002</x:v>
      </x:c>
      <x:c r="W133" s="9" t="n">
        <x:f>(Inputs!$I$9+(((A133)+1)/2)*(Inputs!$J$9-Inputs!$I$9))</x:f>
        <x:v>73.60000000000002</x:v>
      </x:c>
      <x:c r="X133" s="10" t="n"/>
      <x:c r="Y133" s="9" t="n">
        <x:f>A133</x:f>
        <x:v>0.092</x:v>
      </x:c>
      <x:c r="Z133" s="9" t="n">
        <x:f>(Inputs!$H$6+Inputs!$L$6*(((Inputs!$I$6+(((A133)+1)/2)*(Inputs!$J$6-Inputs!$I$6)))/Inputs!$K$6)^2)</x:f>
        <x:v>400.033856</x:v>
      </x:c>
      <x:c r="AA133" s="9" t="n">
        <x:f>(Inputs!$H$7+Inputs!$L$7*(((Inputs!$I$7+(((A133)+1)/2)*(Inputs!$J$7-Inputs!$I$7)))/Inputs!$K$7)^2)</x:f>
        <x:v>38.08936</x:v>
      </x:c>
      <x:c r="AB133" s="9" t="n">
        <x:f>(Inputs!$H$8+Inputs!$L$8*(((Inputs!$I$8+(((A133)+1)/2)*(Inputs!$J$8-Inputs!$I$8)))/Inputs!$K$8)^2)</x:f>
        <x:v>43.16776</x:v>
      </x:c>
      <x:c r="AC133" s="9" t="n">
        <x:f>(Inputs!$H$9+Inputs!$L$9*(((Inputs!$I$9+(((A133)+1)/2)*(Inputs!$J$9-Inputs!$I$9)))/Inputs!$K$9)^2)</x:f>
        <x:v>33.25240000000001</x:v>
      </x:c>
      <x:c r="AD133" s="10" t="n"/>
      <x:c r="AE133" s="9" t="n">
        <x:f>A133</x:f>
        <x:v>0.092</x:v>
      </x:c>
      <x:c r="AF133" s="9"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9"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9"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9"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10" t="n"/>
      <x:c r="AK133" s="9" t="n">
        <x:f>A133</x:f>
        <x:v>0.092</x:v>
      </x:c>
      <x:c r="AL133" s="9"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9"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9"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9"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10" t="n"/>
      <x:c r="AQ133" s="9" t="n">
        <x:f>A133</x:f>
        <x:v>0.092</x:v>
      </x:c>
      <x:c r="AR133" s="9" t="n">
        <x:f>0</x:f>
        <x:v>0</x:v>
      </x:c>
      <x:c r="AS133" s="9"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x:f>
        <x:v>540.3908500966397</x:v>
      </x:c>
      <x:c r="AT133" s="9"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x:f>
        <x:v>276.8222629104589</x:v>
      </x:c>
      <x:c r="AU133" s="9"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x:f>
        <x:v>187.2798993778059</x:v>
      </x:c>
      <x:c r="AV133" s="9"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x:f>
        <x:v>187.2798993778059</x:v>
      </x:c>
      <x:c r="AW133" s="10" t="n"/>
      <x:c r="AX133" s="9" t="n">
        <x:f>A133</x:f>
        <x:v>0.092</x:v>
      </x:c>
      <x:c r="AY133" s="9" t="n">
        <x:f>0</x:f>
        <x:v>0</x:v>
      </x:c>
      <x:c r="AZ133" s="9" t="n">
        <x:f>IF(OR(Inputs!$F$6=TRUE,Inputs!$F$6="TRUE",Inputs!$F$6=1),(Inputs!$H$6+Inputs!$L$6*(((Inputs!$I$6+(((A133)+1)/2)*(Inputs!$J$6-Inputs!$I$6)))/Inputs!$K$6)^2),NA())</x:f>
        <x:v>400.033856</x:v>
      </x:c>
      <x:c r="BA133" s="9" t="n">
        <x:f>IF(OR(Inputs!$F$7=TRUE,Inputs!$F$7="TRUE",Inputs!$F$7=1),(Inputs!$H$7+Inputs!$L$7*(((Inputs!$I$7+(((A133)+1)/2)*(Inputs!$J$7-Inputs!$I$7)))/Inputs!$K$7)^2),NA())</x:f>
        <x:v>38.08936</x:v>
      </x:c>
      <x:c r="BB133" s="9" t="n">
        <x:f>IF(OR(Inputs!$F$8=TRUE,Inputs!$F$8="TRUE",Inputs!$F$8=1),(Inputs!$H$8+Inputs!$L$8*(((Inputs!$I$8+(((A133)+1)/2)*(Inputs!$J$8-Inputs!$I$8)))/Inputs!$K$8)^2),NA())</x:f>
        <x:v>43.16776</x:v>
      </x:c>
      <x:c r="BC133" s="9" t="n">
        <x:f>IF(OR(Inputs!$F$9=TRUE,Inputs!$F$9="TRUE",Inputs!$F$9=1),(Inputs!$H$9+Inputs!$L$9*(((Inputs!$I$9+(((A133)+1)/2)*(Inputs!$J$9-Inputs!$I$9)))/Inputs!$K$9)^2),NA())</x:f>
        <x:v>33.25240000000001</x:v>
      </x:c>
      <x:c r="BD133" s="10" t="n"/>
      <x:c r="BE133" s="9" t="n">
        <x:f>A133</x:f>
        <x:v>0.092</x:v>
      </x:c>
      <x:c r="BF133" s="9" t="n">
        <x:f>0</x:f>
        <x:v>0</x:v>
      </x:c>
      <x:c r="BG133" s="9"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9"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9"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9"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9" t="n">
        <x:f>ROUND(-1+132*2/240,3)</x:f>
        <x:v>0.1</x:v>
      </x:c>
      <x:c r="B134" s="9" t="n">
        <x:f>IF(OR(Inputs!$F$6=TRUE,Inputs!$F$6="TRUE",Inputs!$F$6=1),(Inputs!$H$6+Inputs!$L$6*(((Inputs!$I$6+(((A134)+1)/2)*(Inputs!$J$6-Inputs!$I$6)))/Inputs!$K$6)^2),NA())</x:f>
        <x:v>400.04</x:v>
      </x:c>
      <x:c r="C134" s="9" t="n">
        <x:f>IF(OR(Inputs!$F$7=TRUE,Inputs!$F$7="TRUE",Inputs!$F$7=1),(Inputs!$H$7+Inputs!$L$7*(((Inputs!$I$7+(((A134)+1)/2)*(Inputs!$J$7-Inputs!$I$7)))/Inputs!$K$7)^2),NA())</x:f>
        <x:v>38.65000000000001</x:v>
      </x:c>
      <x:c r="D134" s="9" t="n">
        <x:f>IF(OR(Inputs!$F$8=TRUE,Inputs!$F$8="TRUE",Inputs!$F$8=1),(Inputs!$H$8+Inputs!$L$8*(((Inputs!$I$8+(((A134)+1)/2)*(Inputs!$J$8-Inputs!$I$8)))/Inputs!$K$8)^2),NA())</x:f>
        <x:v>44.65000000000003</x:v>
      </x:c>
      <x:c r="E134" s="9" t="n">
        <x:f>IF(OR(Inputs!$F$9=TRUE,Inputs!$F$9="TRUE",Inputs!$F$9=1),(Inputs!$H$9+Inputs!$L$9*(((Inputs!$I$9+(((A134)+1)/2)*(Inputs!$J$9-Inputs!$I$9)))/Inputs!$K$9)^2),NA())</x:f>
        <x:v>34.75000000000003</x:v>
      </x:c>
      <x:c r="F134" s="10" t="n"/>
      <x:c r="G134" s="9" t="n">
        <x:f>A134</x:f>
        <x:v>0.1</x:v>
      </x:c>
      <x:c r="H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10" t="n"/>
      <x:c r="M134" s="9" t="n">
        <x:f>A134</x:f>
        <x:v>0.1</x:v>
      </x:c>
      <x:c r="N134" s="9"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9"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9"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9"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10" t="n"/>
      <x:c r="S134" s="9" t="n">
        <x:f>A134</x:f>
        <x:v>0.1</x:v>
      </x:c>
      <x:c r="T134" s="9" t="n">
        <x:f>(Inputs!$I$6+(((A134)+1)/2)*(Inputs!$J$6-Inputs!$I$6))</x:f>
        <x:v>6</x:v>
      </x:c>
      <x:c r="U134" s="9" t="n">
        <x:f>(Inputs!$I$7+(((A134)+1)/2)*(Inputs!$J$7-Inputs!$I$7))</x:f>
        <x:v>40.00000000000006</x:v>
      </x:c>
      <x:c r="V134" s="9" t="n">
        <x:f>(Inputs!$I$8+(((A134)+1)/2)*(Inputs!$J$8-Inputs!$I$8))</x:f>
        <x:v>80.00000000000011</x:v>
      </x:c>
      <x:c r="W134" s="9" t="n">
        <x:f>(Inputs!$I$9+(((A134)+1)/2)*(Inputs!$J$9-Inputs!$I$9))</x:f>
        <x:v>80.00000000000011</x:v>
      </x:c>
      <x:c r="X134" s="10" t="n"/>
      <x:c r="Y134" s="9" t="n">
        <x:f>A134</x:f>
        <x:v>0.1</x:v>
      </x:c>
      <x:c r="Z134" s="9" t="n">
        <x:f>(Inputs!$H$6+Inputs!$L$6*(((Inputs!$I$6+(((A134)+1)/2)*(Inputs!$J$6-Inputs!$I$6)))/Inputs!$K$6)^2)</x:f>
        <x:v>400.04</x:v>
      </x:c>
      <x:c r="AA134" s="9" t="n">
        <x:f>(Inputs!$H$7+Inputs!$L$7*(((Inputs!$I$7+(((A134)+1)/2)*(Inputs!$J$7-Inputs!$I$7)))/Inputs!$K$7)^2)</x:f>
        <x:v>38.65000000000001</x:v>
      </x:c>
      <x:c r="AB134" s="9" t="n">
        <x:f>(Inputs!$H$8+Inputs!$L$8*(((Inputs!$I$8+(((A134)+1)/2)*(Inputs!$J$8-Inputs!$I$8)))/Inputs!$K$8)^2)</x:f>
        <x:v>44.65000000000003</x:v>
      </x:c>
      <x:c r="AC134" s="9" t="n">
        <x:f>(Inputs!$H$9+Inputs!$L$9*(((Inputs!$I$9+(((A134)+1)/2)*(Inputs!$J$9-Inputs!$I$9)))/Inputs!$K$9)^2)</x:f>
        <x:v>34.75000000000003</x:v>
      </x:c>
      <x:c r="AD134" s="10" t="n"/>
      <x:c r="AE134" s="9" t="n">
        <x:f>A134</x:f>
        <x:v>0.1</x:v>
      </x:c>
      <x:c r="AF134" s="9"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9"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9"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9"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10" t="n"/>
      <x:c r="AK134" s="9" t="n">
        <x:f>A134</x:f>
        <x:v>0.1</x:v>
      </x:c>
      <x:c r="AL134" s="9"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9"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9"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9"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10" t="n"/>
      <x:c r="AQ134" s="9" t="n">
        <x:f>A134</x:f>
        <x:v>0.1</x:v>
      </x:c>
      <x:c r="AR134" s="9" t="n">
        <x:f>0</x:f>
        <x:v>0</x:v>
      </x:c>
      <x:c r="AS134" s="9"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x:f>
        <x:v>533.6920620973987</x:v>
      </x:c>
      <x:c r="AT134" s="9"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x:f>
        <x:v>304.82117388667854</x:v>
      </x:c>
      <x:c r="AU134" s="9"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x:f>
        <x:v>159.828372691413</x:v>
      </x:c>
      <x:c r="AV134" s="9"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x:f>
        <x:v>159.828372691413</x:v>
      </x:c>
      <x:c r="AW134" s="10" t="n"/>
      <x:c r="AX134" s="9" t="n">
        <x:f>A134</x:f>
        <x:v>0.1</x:v>
      </x:c>
      <x:c r="AY134" s="9" t="n">
        <x:f>0</x:f>
        <x:v>0</x:v>
      </x:c>
      <x:c r="AZ134" s="9" t="n">
        <x:f>IF(OR(Inputs!$F$6=TRUE,Inputs!$F$6="TRUE",Inputs!$F$6=1),(Inputs!$H$6+Inputs!$L$6*(((Inputs!$I$6+(((A134)+1)/2)*(Inputs!$J$6-Inputs!$I$6)))/Inputs!$K$6)^2),NA())</x:f>
        <x:v>400.04</x:v>
      </x:c>
      <x:c r="BA134" s="9" t="n">
        <x:f>IF(OR(Inputs!$F$7=TRUE,Inputs!$F$7="TRUE",Inputs!$F$7=1),(Inputs!$H$7+Inputs!$L$7*(((Inputs!$I$7+(((A134)+1)/2)*(Inputs!$J$7-Inputs!$I$7)))/Inputs!$K$7)^2),NA())</x:f>
        <x:v>38.65000000000001</x:v>
      </x:c>
      <x:c r="BB134" s="9" t="n">
        <x:f>IF(OR(Inputs!$F$8=TRUE,Inputs!$F$8="TRUE",Inputs!$F$8=1),(Inputs!$H$8+Inputs!$L$8*(((Inputs!$I$8+(((A134)+1)/2)*(Inputs!$J$8-Inputs!$I$8)))/Inputs!$K$8)^2),NA())</x:f>
        <x:v>44.65000000000003</x:v>
      </x:c>
      <x:c r="BC134" s="9" t="n">
        <x:f>IF(OR(Inputs!$F$9=TRUE,Inputs!$F$9="TRUE",Inputs!$F$9=1),(Inputs!$H$9+Inputs!$L$9*(((Inputs!$I$9+(((A134)+1)/2)*(Inputs!$J$9-Inputs!$I$9)))/Inputs!$K$9)^2),NA())</x:f>
        <x:v>34.75000000000003</x:v>
      </x:c>
      <x:c r="BD134" s="10" t="n"/>
      <x:c r="BE134" s="9" t="n">
        <x:f>A134</x:f>
        <x:v>0.1</x:v>
      </x:c>
      <x:c r="BF134" s="9" t="n">
        <x:f>0</x:f>
        <x:v>0</x:v>
      </x:c>
      <x:c r="BG134" s="9"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9"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9"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9"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9" t="n">
        <x:f>ROUND(-1+133*2/240,3)</x:f>
        <x:v>0.108</x:v>
      </x:c>
      <x:c r="B135" s="9" t="n">
        <x:f>IF(OR(Inputs!$F$6=TRUE,Inputs!$F$6="TRUE",Inputs!$F$6=1),(Inputs!$H$6+Inputs!$L$6*(((Inputs!$I$6+(((A135)+1)/2)*(Inputs!$J$6-Inputs!$I$6)))/Inputs!$K$6)^2),NA())</x:f>
        <x:v>400.046656</x:v>
      </x:c>
      <x:c r="C135" s="9" t="n">
        <x:f>IF(OR(Inputs!$F$7=TRUE,Inputs!$F$7="TRUE",Inputs!$F$7=1),(Inputs!$H$7+Inputs!$L$7*(((Inputs!$I$7+(((A135)+1)/2)*(Inputs!$J$7-Inputs!$I$7)))/Inputs!$K$7)^2),NA())</x:f>
        <x:v>39.257360000000006</x:v>
      </x:c>
      <x:c r="D135" s="9" t="n">
        <x:f>IF(OR(Inputs!$F$8=TRUE,Inputs!$F$8="TRUE",Inputs!$F$8=1),(Inputs!$H$8+Inputs!$L$8*(((Inputs!$I$8+(((A135)+1)/2)*(Inputs!$J$8-Inputs!$I$8)))/Inputs!$K$8)^2),NA())</x:f>
        <x:v>46.25576000000002</x:v>
      </x:c>
      <x:c r="E135" s="9" t="n">
        <x:f>IF(OR(Inputs!$F$9=TRUE,Inputs!$F$9="TRUE",Inputs!$F$9=1),(Inputs!$H$9+Inputs!$L$9*(((Inputs!$I$9+(((A135)+1)/2)*(Inputs!$J$9-Inputs!$I$9)))/Inputs!$K$9)^2),NA())</x:f>
        <x:v>36.37240000000002</x:v>
      </x:c>
      <x:c r="F135" s="10" t="n"/>
      <x:c r="G135" s="9" t="n">
        <x:f>A135</x:f>
        <x:v>0.108</x:v>
      </x:c>
      <x:c r="H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10" t="n"/>
      <x:c r="M135" s="9" t="n">
        <x:f>A135</x:f>
        <x:v>0.108</x:v>
      </x:c>
      <x:c r="N135" s="9"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9"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9"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9"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10" t="n"/>
      <x:c r="S135" s="9" t="n">
        <x:f>A135</x:f>
        <x:v>0.108</x:v>
      </x:c>
      <x:c r="T135" s="9" t="n">
        <x:f>(Inputs!$I$6+(((A135)+1)/2)*(Inputs!$J$6-Inputs!$I$6))</x:f>
        <x:v>6.480000000000004</x:v>
      </x:c>
      <x:c r="U135" s="9" t="n">
        <x:f>(Inputs!$I$7+(((A135)+1)/2)*(Inputs!$J$7-Inputs!$I$7))</x:f>
        <x:v>43.200000000000045</x:v>
      </x:c>
      <x:c r="V135" s="9" t="n">
        <x:f>(Inputs!$I$8+(((A135)+1)/2)*(Inputs!$J$8-Inputs!$I$8))</x:f>
        <x:v>86.40000000000009</x:v>
      </x:c>
      <x:c r="W135" s="9" t="n">
        <x:f>(Inputs!$I$9+(((A135)+1)/2)*(Inputs!$J$9-Inputs!$I$9))</x:f>
        <x:v>86.40000000000009</x:v>
      </x:c>
      <x:c r="X135" s="10" t="n"/>
      <x:c r="Y135" s="9" t="n">
        <x:f>A135</x:f>
        <x:v>0.108</x:v>
      </x:c>
      <x:c r="Z135" s="9" t="n">
        <x:f>(Inputs!$H$6+Inputs!$L$6*(((Inputs!$I$6+(((A135)+1)/2)*(Inputs!$J$6-Inputs!$I$6)))/Inputs!$K$6)^2)</x:f>
        <x:v>400.046656</x:v>
      </x:c>
      <x:c r="AA135" s="9" t="n">
        <x:f>(Inputs!$H$7+Inputs!$L$7*(((Inputs!$I$7+(((A135)+1)/2)*(Inputs!$J$7-Inputs!$I$7)))/Inputs!$K$7)^2)</x:f>
        <x:v>39.257360000000006</x:v>
      </x:c>
      <x:c r="AB135" s="9" t="n">
        <x:f>(Inputs!$H$8+Inputs!$L$8*(((Inputs!$I$8+(((A135)+1)/2)*(Inputs!$J$8-Inputs!$I$8)))/Inputs!$K$8)^2)</x:f>
        <x:v>46.25576000000002</x:v>
      </x:c>
      <x:c r="AC135" s="9" t="n">
        <x:f>(Inputs!$H$9+Inputs!$L$9*(((Inputs!$I$9+(((A135)+1)/2)*(Inputs!$J$9-Inputs!$I$9)))/Inputs!$K$9)^2)</x:f>
        <x:v>36.37240000000002</x:v>
      </x:c>
      <x:c r="AD135" s="10" t="n"/>
      <x:c r="AE135" s="9" t="n">
        <x:f>A135</x:f>
        <x:v>0.108</x:v>
      </x:c>
      <x:c r="AF135" s="9"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9"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9"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9"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10" t="n"/>
      <x:c r="AK135" s="9" t="n">
        <x:f>A135</x:f>
        <x:v>0.108</x:v>
      </x:c>
      <x:c r="AL135" s="9"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9"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9"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9"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10" t="n"/>
      <x:c r="AQ135" s="9" t="n">
        <x:f>A135</x:f>
        <x:v>0.108</x:v>
      </x:c>
      <x:c r="AR135" s="9" t="n">
        <x:f>0</x:f>
        <x:v>0</x:v>
      </x:c>
      <x:c r="AS135" s="9"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x:f>
        <x:v>532.3117042335774</x:v>
      </x:c>
      <x:c r="AT135" s="9"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x:f>
        <x:v>240.27263540699468</x:v>
      </x:c>
      <x:c r="AU135" s="9"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x:f>
        <x:v>127.96939858294071</x:v>
      </x:c>
      <x:c r="AV135" s="9"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x:f>
        <x:v>127.96939858294071</x:v>
      </x:c>
      <x:c r="AW135" s="10" t="n"/>
      <x:c r="AX135" s="9" t="n">
        <x:f>A135</x:f>
        <x:v>0.108</x:v>
      </x:c>
      <x:c r="AY135" s="9" t="n">
        <x:f>0</x:f>
        <x:v>0</x:v>
      </x:c>
      <x:c r="AZ135" s="9" t="n">
        <x:f>IF(OR(Inputs!$F$6=TRUE,Inputs!$F$6="TRUE",Inputs!$F$6=1),(Inputs!$H$6+Inputs!$L$6*(((Inputs!$I$6+(((A135)+1)/2)*(Inputs!$J$6-Inputs!$I$6)))/Inputs!$K$6)^2),NA())</x:f>
        <x:v>400.046656</x:v>
      </x:c>
      <x:c r="BA135" s="9" t="n">
        <x:f>IF(OR(Inputs!$F$7=TRUE,Inputs!$F$7="TRUE",Inputs!$F$7=1),(Inputs!$H$7+Inputs!$L$7*(((Inputs!$I$7+(((A135)+1)/2)*(Inputs!$J$7-Inputs!$I$7)))/Inputs!$K$7)^2),NA())</x:f>
        <x:v>39.257360000000006</x:v>
      </x:c>
      <x:c r="BB135" s="9" t="n">
        <x:f>IF(OR(Inputs!$F$8=TRUE,Inputs!$F$8="TRUE",Inputs!$F$8=1),(Inputs!$H$8+Inputs!$L$8*(((Inputs!$I$8+(((A135)+1)/2)*(Inputs!$J$8-Inputs!$I$8)))/Inputs!$K$8)^2),NA())</x:f>
        <x:v>46.25576000000002</x:v>
      </x:c>
      <x:c r="BC135" s="9" t="n">
        <x:f>IF(OR(Inputs!$F$9=TRUE,Inputs!$F$9="TRUE",Inputs!$F$9=1),(Inputs!$H$9+Inputs!$L$9*(((Inputs!$I$9+(((A135)+1)/2)*(Inputs!$J$9-Inputs!$I$9)))/Inputs!$K$9)^2),NA())</x:f>
        <x:v>36.37240000000002</x:v>
      </x:c>
      <x:c r="BD135" s="10" t="n"/>
      <x:c r="BE135" s="9" t="n">
        <x:f>A135</x:f>
        <x:v>0.108</x:v>
      </x:c>
      <x:c r="BF135" s="9" t="n">
        <x:f>0</x:f>
        <x:v>0</x:v>
      </x:c>
      <x:c r="BG135" s="9"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9"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9"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9"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9" t="n">
        <x:f>ROUND(-1+134*2/240,3)</x:f>
        <x:v>0.117</x:v>
      </x:c>
      <x:c r="B136" s="9" t="n">
        <x:f>IF(OR(Inputs!$F$6=TRUE,Inputs!$F$6="TRUE",Inputs!$F$6=1),(Inputs!$H$6+Inputs!$L$6*(((Inputs!$I$6+(((A136)+1)/2)*(Inputs!$J$6-Inputs!$I$6)))/Inputs!$K$6)^2),NA())</x:f>
        <x:v>400.054756</x:v>
      </x:c>
      <x:c r="C136" s="9" t="n">
        <x:f>IF(OR(Inputs!$F$7=TRUE,Inputs!$F$7="TRUE",Inputs!$F$7=1),(Inputs!$H$7+Inputs!$L$7*(((Inputs!$I$7+(((A136)+1)/2)*(Inputs!$J$7-Inputs!$I$7)))/Inputs!$K$7)^2),NA())</x:f>
        <x:v>39.99648500000001</x:v>
      </x:c>
      <x:c r="D136" s="9" t="n">
        <x:f>IF(OR(Inputs!$F$8=TRUE,Inputs!$F$8="TRUE",Inputs!$F$8=1),(Inputs!$H$8+Inputs!$L$8*(((Inputs!$I$8+(((A136)+1)/2)*(Inputs!$J$8-Inputs!$I$8)))/Inputs!$K$8)^2),NA())</x:f>
        <x:v>48.20988500000001</x:v>
      </x:c>
      <x:c r="E136" s="9" t="n">
        <x:f>IF(OR(Inputs!$F$9=TRUE,Inputs!$F$9="TRUE",Inputs!$F$9=1),(Inputs!$H$9+Inputs!$L$9*(((Inputs!$I$9+(((A136)+1)/2)*(Inputs!$J$9-Inputs!$I$9)))/Inputs!$K$9)^2),NA())</x:f>
        <x:v>38.34677500000001</x:v>
      </x:c>
      <x:c r="F136" s="10" t="n"/>
      <x:c r="G136" s="9" t="n">
        <x:f>A136</x:f>
        <x:v>0.117</x:v>
      </x:c>
      <x:c r="H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10" t="n"/>
      <x:c r="M136" s="9" t="n">
        <x:f>A136</x:f>
        <x:v>0.117</x:v>
      </x:c>
      <x:c r="N136" s="9"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9"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9"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9"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10" t="n"/>
      <x:c r="S136" s="9" t="n">
        <x:f>A136</x:f>
        <x:v>0.117</x:v>
      </x:c>
      <x:c r="T136" s="9" t="n">
        <x:f>(Inputs!$I$6+(((A136)+1)/2)*(Inputs!$J$6-Inputs!$I$6))</x:f>
        <x:v>7.019999999999996</x:v>
      </x:c>
      <x:c r="U136" s="9" t="n">
        <x:f>(Inputs!$I$7+(((A136)+1)/2)*(Inputs!$J$7-Inputs!$I$7))</x:f>
        <x:v>46.80000000000001</x:v>
      </x:c>
      <x:c r="V136" s="9" t="n">
        <x:f>(Inputs!$I$8+(((A136)+1)/2)*(Inputs!$J$8-Inputs!$I$8))</x:f>
        <x:v>93.60000000000002</x:v>
      </x:c>
      <x:c r="W136" s="9" t="n">
        <x:f>(Inputs!$I$9+(((A136)+1)/2)*(Inputs!$J$9-Inputs!$I$9))</x:f>
        <x:v>93.60000000000002</x:v>
      </x:c>
      <x:c r="X136" s="10" t="n"/>
      <x:c r="Y136" s="9" t="n">
        <x:f>A136</x:f>
        <x:v>0.117</x:v>
      </x:c>
      <x:c r="Z136" s="9" t="n">
        <x:f>(Inputs!$H$6+Inputs!$L$6*(((Inputs!$I$6+(((A136)+1)/2)*(Inputs!$J$6-Inputs!$I$6)))/Inputs!$K$6)^2)</x:f>
        <x:v>400.054756</x:v>
      </x:c>
      <x:c r="AA136" s="9" t="n">
        <x:f>(Inputs!$H$7+Inputs!$L$7*(((Inputs!$I$7+(((A136)+1)/2)*(Inputs!$J$7-Inputs!$I$7)))/Inputs!$K$7)^2)</x:f>
        <x:v>39.99648500000001</x:v>
      </x:c>
      <x:c r="AB136" s="9" t="n">
        <x:f>(Inputs!$H$8+Inputs!$L$8*(((Inputs!$I$8+(((A136)+1)/2)*(Inputs!$J$8-Inputs!$I$8)))/Inputs!$K$8)^2)</x:f>
        <x:v>48.20988500000001</x:v>
      </x:c>
      <x:c r="AC136" s="9" t="n">
        <x:f>(Inputs!$H$9+Inputs!$L$9*(((Inputs!$I$9+(((A136)+1)/2)*(Inputs!$J$9-Inputs!$I$9)))/Inputs!$K$9)^2)</x:f>
        <x:v>38.34677500000001</x:v>
      </x:c>
      <x:c r="AD136" s="10" t="n"/>
      <x:c r="AE136" s="9" t="n">
        <x:f>A136</x:f>
        <x:v>0.117</x:v>
      </x:c>
      <x:c r="AF136" s="9"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9"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9"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9"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10" t="n"/>
      <x:c r="AK136" s="9" t="n">
        <x:f>A136</x:f>
        <x:v>0.117</x:v>
      </x:c>
      <x:c r="AL136" s="9"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9"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9"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9"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10" t="n"/>
      <x:c r="AQ136" s="9" t="n">
        <x:f>A136</x:f>
        <x:v>0.117</x:v>
      </x:c>
      <x:c r="AR136" s="9" t="n">
        <x:f>0</x:f>
        <x:v>0</x:v>
      </x:c>
      <x:c r="AS136" s="9"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x:f>
        <x:v>519.316452126719</x:v>
      </x:c>
      <x:c r="AT136" s="9"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x:f>
        <x:v>135.16456938627948</x:v>
      </x:c>
      <x:c r="AU136" s="9"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x:f>
        <x:v>197.54926426745948</x:v>
      </x:c>
      <x:c r="AV136" s="9"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x:f>
        <x:v>197.54926426745948</x:v>
      </x:c>
      <x:c r="AW136" s="10" t="n"/>
      <x:c r="AX136" s="9" t="n">
        <x:f>A136</x:f>
        <x:v>0.117</x:v>
      </x:c>
      <x:c r="AY136" s="9" t="n">
        <x:f>0</x:f>
        <x:v>0</x:v>
      </x:c>
      <x:c r="AZ136" s="9" t="n">
        <x:f>IF(OR(Inputs!$F$6=TRUE,Inputs!$F$6="TRUE",Inputs!$F$6=1),(Inputs!$H$6+Inputs!$L$6*(((Inputs!$I$6+(((A136)+1)/2)*(Inputs!$J$6-Inputs!$I$6)))/Inputs!$K$6)^2),NA())</x:f>
        <x:v>400.054756</x:v>
      </x:c>
      <x:c r="BA136" s="9" t="n">
        <x:f>IF(OR(Inputs!$F$7=TRUE,Inputs!$F$7="TRUE",Inputs!$F$7=1),(Inputs!$H$7+Inputs!$L$7*(((Inputs!$I$7+(((A136)+1)/2)*(Inputs!$J$7-Inputs!$I$7)))/Inputs!$K$7)^2),NA())</x:f>
        <x:v>39.99648500000001</x:v>
      </x:c>
      <x:c r="BB136" s="9" t="n">
        <x:f>IF(OR(Inputs!$F$8=TRUE,Inputs!$F$8="TRUE",Inputs!$F$8=1),(Inputs!$H$8+Inputs!$L$8*(((Inputs!$I$8+(((A136)+1)/2)*(Inputs!$J$8-Inputs!$I$8)))/Inputs!$K$8)^2),NA())</x:f>
        <x:v>48.20988500000001</x:v>
      </x:c>
      <x:c r="BC136" s="9" t="n">
        <x:f>IF(OR(Inputs!$F$9=TRUE,Inputs!$F$9="TRUE",Inputs!$F$9=1),(Inputs!$H$9+Inputs!$L$9*(((Inputs!$I$9+(((A136)+1)/2)*(Inputs!$J$9-Inputs!$I$9)))/Inputs!$K$9)^2),NA())</x:f>
        <x:v>38.34677500000001</x:v>
      </x:c>
      <x:c r="BD136" s="10" t="n"/>
      <x:c r="BE136" s="9" t="n">
        <x:f>A136</x:f>
        <x:v>0.117</x:v>
      </x:c>
      <x:c r="BF136" s="9" t="n">
        <x:f>0</x:f>
        <x:v>0</x:v>
      </x:c>
      <x:c r="BG136" s="9"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9"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9"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9"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9" t="n">
        <x:f>ROUND(-1+135*2/240,3)</x:f>
        <x:v>0.125</x:v>
      </x:c>
      <x:c r="B137" s="9" t="n">
        <x:f>IF(OR(Inputs!$F$6=TRUE,Inputs!$F$6="TRUE",Inputs!$F$6=1),(Inputs!$H$6+Inputs!$L$6*(((Inputs!$I$6+(((A137)+1)/2)*(Inputs!$J$6-Inputs!$I$6)))/Inputs!$K$6)^2),NA())</x:f>
        <x:v>400.0625</x:v>
      </x:c>
      <x:c r="C137" s="9" t="n">
        <x:f>IF(OR(Inputs!$F$7=TRUE,Inputs!$F$7="TRUE",Inputs!$F$7=1),(Inputs!$H$7+Inputs!$L$7*(((Inputs!$I$7+(((A137)+1)/2)*(Inputs!$J$7-Inputs!$I$7)))/Inputs!$K$7)^2),NA())</x:f>
        <x:v>40.703125</x:v>
      </x:c>
      <x:c r="D137" s="9" t="n">
        <x:f>IF(OR(Inputs!$F$8=TRUE,Inputs!$F$8="TRUE",Inputs!$F$8=1),(Inputs!$H$8+Inputs!$L$8*(((Inputs!$I$8+(((A137)+1)/2)*(Inputs!$J$8-Inputs!$I$8)))/Inputs!$K$8)^2),NA())</x:f>
        <x:v>50.078125</x:v>
      </x:c>
      <x:c r="E137" s="9" t="n">
        <x:f>IF(OR(Inputs!$F$9=TRUE,Inputs!$F$9="TRUE",Inputs!$F$9=1),(Inputs!$H$9+Inputs!$L$9*(((Inputs!$I$9+(((A137)+1)/2)*(Inputs!$J$9-Inputs!$I$9)))/Inputs!$K$9)^2),NA())</x:f>
        <x:v>40.234375</x:v>
      </x:c>
      <x:c r="F137" s="10" t="n"/>
      <x:c r="G137" s="9" t="n">
        <x:f>A137</x:f>
        <x:v>0.125</x:v>
      </x:c>
      <x:c r="H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10" t="n"/>
      <x:c r="M137" s="9" t="n">
        <x:f>A137</x:f>
        <x:v>0.125</x:v>
      </x:c>
      <x:c r="N137" s="9"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9"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9"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9"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10" t="n"/>
      <x:c r="S137" s="9" t="n">
        <x:f>A137</x:f>
        <x:v>0.125</x:v>
      </x:c>
      <x:c r="T137" s="9" t="n">
        <x:f>(Inputs!$I$6+(((A137)+1)/2)*(Inputs!$J$6-Inputs!$I$6))</x:f>
        <x:v>7.5</x:v>
      </x:c>
      <x:c r="U137" s="9" t="n">
        <x:f>(Inputs!$I$7+(((A137)+1)/2)*(Inputs!$J$7-Inputs!$I$7))</x:f>
        <x:v>50</x:v>
      </x:c>
      <x:c r="V137" s="9" t="n">
        <x:f>(Inputs!$I$8+(((A137)+1)/2)*(Inputs!$J$8-Inputs!$I$8))</x:f>
        <x:v>100</x:v>
      </x:c>
      <x:c r="W137" s="9" t="n">
        <x:f>(Inputs!$I$9+(((A137)+1)/2)*(Inputs!$J$9-Inputs!$I$9))</x:f>
        <x:v>100</x:v>
      </x:c>
      <x:c r="X137" s="10" t="n"/>
      <x:c r="Y137" s="9" t="n">
        <x:f>A137</x:f>
        <x:v>0.125</x:v>
      </x:c>
      <x:c r="Z137" s="9" t="n">
        <x:f>(Inputs!$H$6+Inputs!$L$6*(((Inputs!$I$6+(((A137)+1)/2)*(Inputs!$J$6-Inputs!$I$6)))/Inputs!$K$6)^2)</x:f>
        <x:v>400.0625</x:v>
      </x:c>
      <x:c r="AA137" s="9" t="n">
        <x:f>(Inputs!$H$7+Inputs!$L$7*(((Inputs!$I$7+(((A137)+1)/2)*(Inputs!$J$7-Inputs!$I$7)))/Inputs!$K$7)^2)</x:f>
        <x:v>40.703125</x:v>
      </x:c>
      <x:c r="AB137" s="9" t="n">
        <x:f>(Inputs!$H$8+Inputs!$L$8*(((Inputs!$I$8+(((A137)+1)/2)*(Inputs!$J$8-Inputs!$I$8)))/Inputs!$K$8)^2)</x:f>
        <x:v>50.078125</x:v>
      </x:c>
      <x:c r="AC137" s="9" t="n">
        <x:f>(Inputs!$H$9+Inputs!$L$9*(((Inputs!$I$9+(((A137)+1)/2)*(Inputs!$J$9-Inputs!$I$9)))/Inputs!$K$9)^2)</x:f>
        <x:v>40.234375</x:v>
      </x:c>
      <x:c r="AD137" s="10" t="n"/>
      <x:c r="AE137" s="9" t="n">
        <x:f>A137</x:f>
        <x:v>0.125</x:v>
      </x:c>
      <x:c r="AF137" s="9"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9"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9"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9"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10" t="n"/>
      <x:c r="AK137" s="9" t="n">
        <x:f>A137</x:f>
        <x:v>0.125</x:v>
      </x:c>
      <x:c r="AL137" s="9"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9"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9"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9"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10" t="n"/>
      <x:c r="AQ137" s="9" t="n">
        <x:f>A137</x:f>
        <x:v>0.125</x:v>
      </x:c>
      <x:c r="AR137" s="9" t="n">
        <x:f>0</x:f>
        <x:v>0</x:v>
      </x:c>
      <x:c r="AS137" s="9"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x:f>
        <x:v>503.48380224840304</x:v>
      </x:c>
      <x:c r="AT137" s="9"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x:f>
        <x:v>115.23525161719914</x:v>
      </x:c>
      <x:c r="AU137" s="9"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x:f>
        <x:v>145.81280158474385</x:v>
      </x:c>
      <x:c r="AV137" s="9"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x:f>
        <x:v>145.81280158474385</x:v>
      </x:c>
      <x:c r="AW137" s="10" t="n"/>
      <x:c r="AX137" s="9" t="n">
        <x:f>A137</x:f>
        <x:v>0.125</x:v>
      </x:c>
      <x:c r="AY137" s="9" t="n">
        <x:f>0</x:f>
        <x:v>0</x:v>
      </x:c>
      <x:c r="AZ137" s="9" t="n">
        <x:f>IF(OR(Inputs!$F$6=TRUE,Inputs!$F$6="TRUE",Inputs!$F$6=1),(Inputs!$H$6+Inputs!$L$6*(((Inputs!$I$6+(((A137)+1)/2)*(Inputs!$J$6-Inputs!$I$6)))/Inputs!$K$6)^2),NA())</x:f>
        <x:v>400.0625</x:v>
      </x:c>
      <x:c r="BA137" s="9" t="n">
        <x:f>IF(OR(Inputs!$F$7=TRUE,Inputs!$F$7="TRUE",Inputs!$F$7=1),(Inputs!$H$7+Inputs!$L$7*(((Inputs!$I$7+(((A137)+1)/2)*(Inputs!$J$7-Inputs!$I$7)))/Inputs!$K$7)^2),NA())</x:f>
        <x:v>40.703125</x:v>
      </x:c>
      <x:c r="BB137" s="9" t="n">
        <x:f>IF(OR(Inputs!$F$8=TRUE,Inputs!$F$8="TRUE",Inputs!$F$8=1),(Inputs!$H$8+Inputs!$L$8*(((Inputs!$I$8+(((A137)+1)/2)*(Inputs!$J$8-Inputs!$I$8)))/Inputs!$K$8)^2),NA())</x:f>
        <x:v>50.078125</x:v>
      </x:c>
      <x:c r="BC137" s="9" t="n">
        <x:f>IF(OR(Inputs!$F$9=TRUE,Inputs!$F$9="TRUE",Inputs!$F$9=1),(Inputs!$H$9+Inputs!$L$9*(((Inputs!$I$9+(((A137)+1)/2)*(Inputs!$J$9-Inputs!$I$9)))/Inputs!$K$9)^2),NA())</x:f>
        <x:v>40.234375</x:v>
      </x:c>
      <x:c r="BD137" s="10" t="n"/>
      <x:c r="BE137" s="9" t="n">
        <x:f>A137</x:f>
        <x:v>0.125</x:v>
      </x:c>
      <x:c r="BF137" s="9" t="n">
        <x:f>0</x:f>
        <x:v>0</x:v>
      </x:c>
      <x:c r="BG137" s="9"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9"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9"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9"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9" t="n">
        <x:f>ROUND(-1+136*2/240,3)</x:f>
        <x:v>0.133</x:v>
      </x:c>
      <x:c r="B138" s="9" t="n">
        <x:f>IF(OR(Inputs!$F$6=TRUE,Inputs!$F$6="TRUE",Inputs!$F$6=1),(Inputs!$H$6+Inputs!$L$6*(((Inputs!$I$6+(((A138)+1)/2)*(Inputs!$J$6-Inputs!$I$6)))/Inputs!$K$6)^2),NA())</x:f>
        <x:v>400.070756</x:v>
      </x:c>
      <x:c r="C138" s="9" t="n">
        <x:f>IF(OR(Inputs!$F$7=TRUE,Inputs!$F$7="TRUE",Inputs!$F$7=1),(Inputs!$H$7+Inputs!$L$7*(((Inputs!$I$7+(((A138)+1)/2)*(Inputs!$J$7-Inputs!$I$7)))/Inputs!$K$7)^2),NA())</x:f>
        <x:v>41.456485</x:v>
      </x:c>
      <x:c r="D138" s="9" t="n">
        <x:f>IF(OR(Inputs!$F$8=TRUE,Inputs!$F$8="TRUE",Inputs!$F$8=1),(Inputs!$H$8+Inputs!$L$8*(((Inputs!$I$8+(((A138)+1)/2)*(Inputs!$J$8-Inputs!$I$8)))/Inputs!$K$8)^2),NA())</x:f>
        <x:v>52.06988499999999</x:v>
      </x:c>
      <x:c r="E138" s="9" t="n">
        <x:f>IF(OR(Inputs!$F$9=TRUE,Inputs!$F$9="TRUE",Inputs!$F$9=1),(Inputs!$H$9+Inputs!$L$9*(((Inputs!$I$9+(((A138)+1)/2)*(Inputs!$J$9-Inputs!$I$9)))/Inputs!$K$9)^2),NA())</x:f>
        <x:v>42.24677499999999</x:v>
      </x:c>
      <x:c r="F138" s="10" t="n"/>
      <x:c r="G138" s="9" t="n">
        <x:f>A138</x:f>
        <x:v>0.133</x:v>
      </x:c>
      <x:c r="H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10" t="n"/>
      <x:c r="M138" s="9" t="n">
        <x:f>A138</x:f>
        <x:v>0.133</x:v>
      </x:c>
      <x:c r="N138" s="9"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9"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9"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9"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10" t="n"/>
      <x:c r="S138" s="9" t="n">
        <x:f>A138</x:f>
        <x:v>0.133</x:v>
      </x:c>
      <x:c r="T138" s="9" t="n">
        <x:f>(Inputs!$I$6+(((A138)+1)/2)*(Inputs!$J$6-Inputs!$I$6))</x:f>
        <x:v>7.980000000000004</x:v>
      </x:c>
      <x:c r="U138" s="9" t="n">
        <x:f>(Inputs!$I$7+(((A138)+1)/2)*(Inputs!$J$7-Inputs!$I$7))</x:f>
        <x:v>53.19999999999999</x:v>
      </x:c>
      <x:c r="V138" s="9" t="n">
        <x:f>(Inputs!$I$8+(((A138)+1)/2)*(Inputs!$J$8-Inputs!$I$8))</x:f>
        <x:v>106.39999999999998</x:v>
      </x:c>
      <x:c r="W138" s="9" t="n">
        <x:f>(Inputs!$I$9+(((A138)+1)/2)*(Inputs!$J$9-Inputs!$I$9))</x:f>
        <x:v>106.39999999999998</x:v>
      </x:c>
      <x:c r="X138" s="10" t="n"/>
      <x:c r="Y138" s="9" t="n">
        <x:f>A138</x:f>
        <x:v>0.133</x:v>
      </x:c>
      <x:c r="Z138" s="9" t="n">
        <x:f>(Inputs!$H$6+Inputs!$L$6*(((Inputs!$I$6+(((A138)+1)/2)*(Inputs!$J$6-Inputs!$I$6)))/Inputs!$K$6)^2)</x:f>
        <x:v>400.070756</x:v>
      </x:c>
      <x:c r="AA138" s="9" t="n">
        <x:f>(Inputs!$H$7+Inputs!$L$7*(((Inputs!$I$7+(((A138)+1)/2)*(Inputs!$J$7-Inputs!$I$7)))/Inputs!$K$7)^2)</x:f>
        <x:v>41.456485</x:v>
      </x:c>
      <x:c r="AB138" s="9" t="n">
        <x:f>(Inputs!$H$8+Inputs!$L$8*(((Inputs!$I$8+(((A138)+1)/2)*(Inputs!$J$8-Inputs!$I$8)))/Inputs!$K$8)^2)</x:f>
        <x:v>52.06988499999999</x:v>
      </x:c>
      <x:c r="AC138" s="9" t="n">
        <x:f>(Inputs!$H$9+Inputs!$L$9*(((Inputs!$I$9+(((A138)+1)/2)*(Inputs!$J$9-Inputs!$I$9)))/Inputs!$K$9)^2)</x:f>
        <x:v>42.24677499999999</x:v>
      </x:c>
      <x:c r="AD138" s="10" t="n"/>
      <x:c r="AE138" s="9" t="n">
        <x:f>A138</x:f>
        <x:v>0.133</x:v>
      </x:c>
      <x:c r="AF138" s="9"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9"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9"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9"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10" t="n"/>
      <x:c r="AK138" s="9" t="n">
        <x:f>A138</x:f>
        <x:v>0.133</x:v>
      </x:c>
      <x:c r="AL138" s="9"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9"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9"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9"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10" t="n"/>
      <x:c r="AQ138" s="9" t="n">
        <x:f>A138</x:f>
        <x:v>0.133</x:v>
      </x:c>
      <x:c r="AR138" s="9" t="n">
        <x:f>0</x:f>
        <x:v>0</x:v>
      </x:c>
      <x:c r="AS138" s="9"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x:f>
        <x:v>508.0006712814641</x:v>
      </x:c>
      <x:c r="AT138" s="9"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x:f>
        <x:v>174.2761924941442</x:v>
      </x:c>
      <x:c r="AU138" s="9"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x:f>
        <x:v>80.33930635150735</x:v>
      </x:c>
      <x:c r="AV138" s="9"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x:f>
        <x:v>80.33930635150735</x:v>
      </x:c>
      <x:c r="AW138" s="10" t="n"/>
      <x:c r="AX138" s="9" t="n">
        <x:f>A138</x:f>
        <x:v>0.133</x:v>
      </x:c>
      <x:c r="AY138" s="9" t="n">
        <x:f>0</x:f>
        <x:v>0</x:v>
      </x:c>
      <x:c r="AZ138" s="9" t="n">
        <x:f>IF(OR(Inputs!$F$6=TRUE,Inputs!$F$6="TRUE",Inputs!$F$6=1),(Inputs!$H$6+Inputs!$L$6*(((Inputs!$I$6+(((A138)+1)/2)*(Inputs!$J$6-Inputs!$I$6)))/Inputs!$K$6)^2),NA())</x:f>
        <x:v>400.070756</x:v>
      </x:c>
      <x:c r="BA138" s="9" t="n">
        <x:f>IF(OR(Inputs!$F$7=TRUE,Inputs!$F$7="TRUE",Inputs!$F$7=1),(Inputs!$H$7+Inputs!$L$7*(((Inputs!$I$7+(((A138)+1)/2)*(Inputs!$J$7-Inputs!$I$7)))/Inputs!$K$7)^2),NA())</x:f>
        <x:v>41.456485</x:v>
      </x:c>
      <x:c r="BB138" s="9" t="n">
        <x:f>IF(OR(Inputs!$F$8=TRUE,Inputs!$F$8="TRUE",Inputs!$F$8=1),(Inputs!$H$8+Inputs!$L$8*(((Inputs!$I$8+(((A138)+1)/2)*(Inputs!$J$8-Inputs!$I$8)))/Inputs!$K$8)^2),NA())</x:f>
        <x:v>52.06988499999999</x:v>
      </x:c>
      <x:c r="BC138" s="9" t="n">
        <x:f>IF(OR(Inputs!$F$9=TRUE,Inputs!$F$9="TRUE",Inputs!$F$9=1),(Inputs!$H$9+Inputs!$L$9*(((Inputs!$I$9+(((A138)+1)/2)*(Inputs!$J$9-Inputs!$I$9)))/Inputs!$K$9)^2),NA())</x:f>
        <x:v>42.24677499999999</x:v>
      </x:c>
      <x:c r="BD138" s="10" t="n"/>
      <x:c r="BE138" s="9" t="n">
        <x:f>A138</x:f>
        <x:v>0.133</x:v>
      </x:c>
      <x:c r="BF138" s="9" t="n">
        <x:f>0</x:f>
        <x:v>0</x:v>
      </x:c>
      <x:c r="BG138" s="9"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9"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9"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9"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9" t="n">
        <x:f>ROUND(-1+137*2/240,3)</x:f>
        <x:v>0.142</x:v>
      </x:c>
      <x:c r="B139" s="9" t="n">
        <x:f>IF(OR(Inputs!$F$6=TRUE,Inputs!$F$6="TRUE",Inputs!$F$6=1),(Inputs!$H$6+Inputs!$L$6*(((Inputs!$I$6+(((A139)+1)/2)*(Inputs!$J$6-Inputs!$I$6)))/Inputs!$K$6)^2),NA())</x:f>
        <x:v>400.080656</x:v>
      </x:c>
      <x:c r="C139" s="9" t="n">
        <x:f>IF(OR(Inputs!$F$7=TRUE,Inputs!$F$7="TRUE",Inputs!$F$7=1),(Inputs!$H$7+Inputs!$L$7*(((Inputs!$I$7+(((A139)+1)/2)*(Inputs!$J$7-Inputs!$I$7)))/Inputs!$K$7)^2),NA())</x:f>
        <x:v>42.35985999999998</x:v>
      </x:c>
      <x:c r="D139" s="9" t="n">
        <x:f>IF(OR(Inputs!$F$8=TRUE,Inputs!$F$8="TRUE",Inputs!$F$8=1),(Inputs!$H$8+Inputs!$L$8*(((Inputs!$I$8+(((A139)+1)/2)*(Inputs!$J$8-Inputs!$I$8)))/Inputs!$K$8)^2),NA())</x:f>
        <x:v>54.45825999999997</x:v>
      </x:c>
      <x:c r="E139" s="9" t="n">
        <x:f>IF(OR(Inputs!$F$9=TRUE,Inputs!$F$9="TRUE",Inputs!$F$9=1),(Inputs!$H$9+Inputs!$L$9*(((Inputs!$I$9+(((A139)+1)/2)*(Inputs!$J$9-Inputs!$I$9)))/Inputs!$K$9)^2),NA())</x:f>
        <x:v>44.659899999999965</x:v>
      </x:c>
      <x:c r="F139" s="10" t="n"/>
      <x:c r="G139" s="9" t="n">
        <x:f>A139</x:f>
        <x:v>0.142</x:v>
      </x:c>
      <x:c r="H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10" t="n"/>
      <x:c r="M139" s="9" t="n">
        <x:f>A139</x:f>
        <x:v>0.142</x:v>
      </x:c>
      <x:c r="N139" s="9"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9"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9"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9"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10" t="n"/>
      <x:c r="S139" s="9" t="n">
        <x:f>A139</x:f>
        <x:v>0.142</x:v>
      </x:c>
      <x:c r="T139" s="9" t="n">
        <x:f>(Inputs!$I$6+(((A139)+1)/2)*(Inputs!$J$6-Inputs!$I$6))</x:f>
        <x:v>8.519999999999996</x:v>
      </x:c>
      <x:c r="U139" s="9" t="n">
        <x:f>(Inputs!$I$7+(((A139)+1)/2)*(Inputs!$J$7-Inputs!$I$7))</x:f>
        <x:v>56.799999999999955</x:v>
      </x:c>
      <x:c r="V139" s="9" t="n">
        <x:f>(Inputs!$I$8+(((A139)+1)/2)*(Inputs!$J$8-Inputs!$I$8))</x:f>
        <x:v>113.59999999999991</x:v>
      </x:c>
      <x:c r="W139" s="9" t="n">
        <x:f>(Inputs!$I$9+(((A139)+1)/2)*(Inputs!$J$9-Inputs!$I$9))</x:f>
        <x:v>113.59999999999991</x:v>
      </x:c>
      <x:c r="X139" s="10" t="n"/>
      <x:c r="Y139" s="9" t="n">
        <x:f>A139</x:f>
        <x:v>0.142</x:v>
      </x:c>
      <x:c r="Z139" s="9" t="n">
        <x:f>(Inputs!$H$6+Inputs!$L$6*(((Inputs!$I$6+(((A139)+1)/2)*(Inputs!$J$6-Inputs!$I$6)))/Inputs!$K$6)^2)</x:f>
        <x:v>400.080656</x:v>
      </x:c>
      <x:c r="AA139" s="9" t="n">
        <x:f>(Inputs!$H$7+Inputs!$L$7*(((Inputs!$I$7+(((A139)+1)/2)*(Inputs!$J$7-Inputs!$I$7)))/Inputs!$K$7)^2)</x:f>
        <x:v>42.35985999999998</x:v>
      </x:c>
      <x:c r="AB139" s="9" t="n">
        <x:f>(Inputs!$H$8+Inputs!$L$8*(((Inputs!$I$8+(((A139)+1)/2)*(Inputs!$J$8-Inputs!$I$8)))/Inputs!$K$8)^2)</x:f>
        <x:v>54.45825999999997</x:v>
      </x:c>
      <x:c r="AC139" s="9" t="n">
        <x:f>(Inputs!$H$9+Inputs!$L$9*(((Inputs!$I$9+(((A139)+1)/2)*(Inputs!$J$9-Inputs!$I$9)))/Inputs!$K$9)^2)</x:f>
        <x:v>44.659899999999965</x:v>
      </x:c>
      <x:c r="AD139" s="10" t="n"/>
      <x:c r="AE139" s="9" t="n">
        <x:f>A139</x:f>
        <x:v>0.142</x:v>
      </x:c>
      <x:c r="AF139" s="9"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9"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9"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9"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10" t="n"/>
      <x:c r="AK139" s="9" t="n">
        <x:f>A139</x:f>
        <x:v>0.142</x:v>
      </x:c>
      <x:c r="AL139" s="9"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9"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9"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9"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10" t="n"/>
      <x:c r="AQ139" s="9" t="n">
        <x:f>A139</x:f>
        <x:v>0.142</x:v>
      </x:c>
      <x:c r="AR139" s="9" t="n">
        <x:f>0</x:f>
        <x:v>0</x:v>
      </x:c>
      <x:c r="AS139" s="9"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x:f>
        <x:v>500.7223918356248</x:v>
      </x:c>
      <x:c r="AT139" s="9"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x:f>
        <x:v>189.63904468643238</x:v>
      </x:c>
      <x:c r="AU139" s="9"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x:f>
        <x:v>198.24419205890257</x:v>
      </x:c>
      <x:c r="AV139" s="9"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x:f>
        <x:v>198.24419205890257</x:v>
      </x:c>
      <x:c r="AW139" s="10" t="n"/>
      <x:c r="AX139" s="9" t="n">
        <x:f>A139</x:f>
        <x:v>0.142</x:v>
      </x:c>
      <x:c r="AY139" s="9" t="n">
        <x:f>0</x:f>
        <x:v>0</x:v>
      </x:c>
      <x:c r="AZ139" s="9" t="n">
        <x:f>IF(OR(Inputs!$F$6=TRUE,Inputs!$F$6="TRUE",Inputs!$F$6=1),(Inputs!$H$6+Inputs!$L$6*(((Inputs!$I$6+(((A139)+1)/2)*(Inputs!$J$6-Inputs!$I$6)))/Inputs!$K$6)^2),NA())</x:f>
        <x:v>400.080656</x:v>
      </x:c>
      <x:c r="BA139" s="9" t="n">
        <x:f>IF(OR(Inputs!$F$7=TRUE,Inputs!$F$7="TRUE",Inputs!$F$7=1),(Inputs!$H$7+Inputs!$L$7*(((Inputs!$I$7+(((A139)+1)/2)*(Inputs!$J$7-Inputs!$I$7)))/Inputs!$K$7)^2),NA())</x:f>
        <x:v>42.35985999999998</x:v>
      </x:c>
      <x:c r="BB139" s="9" t="n">
        <x:f>IF(OR(Inputs!$F$8=TRUE,Inputs!$F$8="TRUE",Inputs!$F$8=1),(Inputs!$H$8+Inputs!$L$8*(((Inputs!$I$8+(((A139)+1)/2)*(Inputs!$J$8-Inputs!$I$8)))/Inputs!$K$8)^2),NA())</x:f>
        <x:v>54.45825999999997</x:v>
      </x:c>
      <x:c r="BC139" s="9" t="n">
        <x:f>IF(OR(Inputs!$F$9=TRUE,Inputs!$F$9="TRUE",Inputs!$F$9=1),(Inputs!$H$9+Inputs!$L$9*(((Inputs!$I$9+(((A139)+1)/2)*(Inputs!$J$9-Inputs!$I$9)))/Inputs!$K$9)^2),NA())</x:f>
        <x:v>44.659899999999965</x:v>
      </x:c>
      <x:c r="BD139" s="10" t="n"/>
      <x:c r="BE139" s="9" t="n">
        <x:f>A139</x:f>
        <x:v>0.142</x:v>
      </x:c>
      <x:c r="BF139" s="9" t="n">
        <x:f>0</x:f>
        <x:v>0</x:v>
      </x:c>
      <x:c r="BG139" s="9"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9"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9"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9"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9" t="n">
        <x:f>ROUND(-1+138*2/240,3)</x:f>
        <x:v>0.15</x:v>
      </x:c>
      <x:c r="B140" s="9" t="n">
        <x:f>IF(OR(Inputs!$F$6=TRUE,Inputs!$F$6="TRUE",Inputs!$F$6=1),(Inputs!$H$6+Inputs!$L$6*(((Inputs!$I$6+(((A140)+1)/2)*(Inputs!$J$6-Inputs!$I$6)))/Inputs!$K$6)^2),NA())</x:f>
        <x:v>400.09</x:v>
      </x:c>
      <x:c r="C140" s="9" t="n">
        <x:f>IF(OR(Inputs!$F$7=TRUE,Inputs!$F$7="TRUE",Inputs!$F$7=1),(Inputs!$H$7+Inputs!$L$7*(((Inputs!$I$7+(((A140)+1)/2)*(Inputs!$J$7-Inputs!$I$7)))/Inputs!$K$7)^2),NA())</x:f>
        <x:v>43.212499999999984</x:v>
      </x:c>
      <x:c r="D140" s="9" t="n">
        <x:f>IF(OR(Inputs!$F$8=TRUE,Inputs!$F$8="TRUE",Inputs!$F$8=1),(Inputs!$H$8+Inputs!$L$8*(((Inputs!$I$8+(((A140)+1)/2)*(Inputs!$J$8-Inputs!$I$8)))/Inputs!$K$8)^2),NA())</x:f>
        <x:v>56.71249999999996</x:v>
      </x:c>
      <x:c r="E140" s="9" t="n">
        <x:f>IF(OR(Inputs!$F$9=TRUE,Inputs!$F$9="TRUE",Inputs!$F$9=1),(Inputs!$H$9+Inputs!$L$9*(((Inputs!$I$9+(((A140)+1)/2)*(Inputs!$J$9-Inputs!$I$9)))/Inputs!$K$9)^2),NA())</x:f>
        <x:v>46.93749999999996</x:v>
      </x:c>
      <x:c r="F140" s="10" t="n"/>
      <x:c r="G140" s="9" t="n">
        <x:f>A140</x:f>
        <x:v>0.15</x:v>
      </x:c>
      <x:c r="H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10" t="n"/>
      <x:c r="M140" s="9" t="n">
        <x:f>A140</x:f>
        <x:v>0.15</x:v>
      </x:c>
      <x:c r="N140" s="9"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9"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9"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9"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10" t="n"/>
      <x:c r="S140" s="9" t="n">
        <x:f>A140</x:f>
        <x:v>0.15</x:v>
      </x:c>
      <x:c r="T140" s="9" t="n">
        <x:f>(Inputs!$I$6+(((A140)+1)/2)*(Inputs!$J$6-Inputs!$I$6))</x:f>
        <x:v>9</x:v>
      </x:c>
      <x:c r="U140" s="9" t="n">
        <x:f>(Inputs!$I$7+(((A140)+1)/2)*(Inputs!$J$7-Inputs!$I$7))</x:f>
        <x:v>59.99999999999994</x:v>
      </x:c>
      <x:c r="V140" s="9" t="n">
        <x:f>(Inputs!$I$8+(((A140)+1)/2)*(Inputs!$J$8-Inputs!$I$8))</x:f>
        <x:v>119.99999999999989</x:v>
      </x:c>
      <x:c r="W140" s="9" t="n">
        <x:f>(Inputs!$I$9+(((A140)+1)/2)*(Inputs!$J$9-Inputs!$I$9))</x:f>
        <x:v>119.99999999999989</x:v>
      </x:c>
      <x:c r="X140" s="10" t="n"/>
      <x:c r="Y140" s="9" t="n">
        <x:f>A140</x:f>
        <x:v>0.15</x:v>
      </x:c>
      <x:c r="Z140" s="9" t="n">
        <x:f>(Inputs!$H$6+Inputs!$L$6*(((Inputs!$I$6+(((A140)+1)/2)*(Inputs!$J$6-Inputs!$I$6)))/Inputs!$K$6)^2)</x:f>
        <x:v>400.09</x:v>
      </x:c>
      <x:c r="AA140" s="9" t="n">
        <x:f>(Inputs!$H$7+Inputs!$L$7*(((Inputs!$I$7+(((A140)+1)/2)*(Inputs!$J$7-Inputs!$I$7)))/Inputs!$K$7)^2)</x:f>
        <x:v>43.212499999999984</x:v>
      </x:c>
      <x:c r="AB140" s="9" t="n">
        <x:f>(Inputs!$H$8+Inputs!$L$8*(((Inputs!$I$8+(((A140)+1)/2)*(Inputs!$J$8-Inputs!$I$8)))/Inputs!$K$8)^2)</x:f>
        <x:v>56.71249999999996</x:v>
      </x:c>
      <x:c r="AC140" s="9" t="n">
        <x:f>(Inputs!$H$9+Inputs!$L$9*(((Inputs!$I$9+(((A140)+1)/2)*(Inputs!$J$9-Inputs!$I$9)))/Inputs!$K$9)^2)</x:f>
        <x:v>46.93749999999996</x:v>
      </x:c>
      <x:c r="AD140" s="10" t="n"/>
      <x:c r="AE140" s="9" t="n">
        <x:f>A140</x:f>
        <x:v>0.15</x:v>
      </x:c>
      <x:c r="AF140" s="9"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9"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9"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9"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10" t="n"/>
      <x:c r="AK140" s="9" t="n">
        <x:f>A140</x:f>
        <x:v>0.15</x:v>
      </x:c>
      <x:c r="AL140" s="9"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9"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9"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9"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10" t="n"/>
      <x:c r="AQ140" s="9" t="n">
        <x:f>A140</x:f>
        <x:v>0.15</x:v>
      </x:c>
      <x:c r="AR140" s="9" t="n">
        <x:f>0</x:f>
        <x:v>0</x:v>
      </x:c>
      <x:c r="AS140" s="9"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x:f>
        <x:v>481.22587957439987</x:v>
      </x:c>
      <x:c r="AT140" s="9"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x:f>
        <x:v>179.34901179725153</x:v>
      </x:c>
      <x:c r="AU140" s="9"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x:f>
        <x:v>68.45877244632369</x:v>
      </x:c>
      <x:c r="AV140" s="9"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x:f>
        <x:v>68.45877244632369</x:v>
      </x:c>
      <x:c r="AW140" s="10" t="n"/>
      <x:c r="AX140" s="9" t="n">
        <x:f>A140</x:f>
        <x:v>0.15</x:v>
      </x:c>
      <x:c r="AY140" s="9" t="n">
        <x:f>0</x:f>
        <x:v>0</x:v>
      </x:c>
      <x:c r="AZ140" s="9" t="n">
        <x:f>IF(OR(Inputs!$F$6=TRUE,Inputs!$F$6="TRUE",Inputs!$F$6=1),(Inputs!$H$6+Inputs!$L$6*(((Inputs!$I$6+(((A140)+1)/2)*(Inputs!$J$6-Inputs!$I$6)))/Inputs!$K$6)^2),NA())</x:f>
        <x:v>400.09</x:v>
      </x:c>
      <x:c r="BA140" s="9" t="n">
        <x:f>IF(OR(Inputs!$F$7=TRUE,Inputs!$F$7="TRUE",Inputs!$F$7=1),(Inputs!$H$7+Inputs!$L$7*(((Inputs!$I$7+(((A140)+1)/2)*(Inputs!$J$7-Inputs!$I$7)))/Inputs!$K$7)^2),NA())</x:f>
        <x:v>43.212499999999984</x:v>
      </x:c>
      <x:c r="BB140" s="9" t="n">
        <x:f>IF(OR(Inputs!$F$8=TRUE,Inputs!$F$8="TRUE",Inputs!$F$8=1),(Inputs!$H$8+Inputs!$L$8*(((Inputs!$I$8+(((A140)+1)/2)*(Inputs!$J$8-Inputs!$I$8)))/Inputs!$K$8)^2),NA())</x:f>
        <x:v>56.71249999999996</x:v>
      </x:c>
      <x:c r="BC140" s="9" t="n">
        <x:f>IF(OR(Inputs!$F$9=TRUE,Inputs!$F$9="TRUE",Inputs!$F$9=1),(Inputs!$H$9+Inputs!$L$9*(((Inputs!$I$9+(((A140)+1)/2)*(Inputs!$J$9-Inputs!$I$9)))/Inputs!$K$9)^2),NA())</x:f>
        <x:v>46.93749999999996</x:v>
      </x:c>
      <x:c r="BD140" s="10" t="n"/>
      <x:c r="BE140" s="9" t="n">
        <x:f>A140</x:f>
        <x:v>0.15</x:v>
      </x:c>
      <x:c r="BF140" s="9" t="n">
        <x:f>0</x:f>
        <x:v>0</x:v>
      </x:c>
      <x:c r="BG140" s="9"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9"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9"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9"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9" t="n">
        <x:f>ROUND(-1+139*2/240,3)</x:f>
        <x:v>0.158</x:v>
      </x:c>
      <x:c r="B141" s="9" t="n">
        <x:f>IF(OR(Inputs!$F$6=TRUE,Inputs!$F$6="TRUE",Inputs!$F$6=1),(Inputs!$H$6+Inputs!$L$6*(((Inputs!$I$6+(((A141)+1)/2)*(Inputs!$J$6-Inputs!$I$6)))/Inputs!$K$6)^2),NA())</x:f>
        <x:v>400.099856</x:v>
      </x:c>
      <x:c r="C141" s="9" t="n">
        <x:f>IF(OR(Inputs!$F$7=TRUE,Inputs!$F$7="TRUE",Inputs!$F$7=1),(Inputs!$H$7+Inputs!$L$7*(((Inputs!$I$7+(((A141)+1)/2)*(Inputs!$J$7-Inputs!$I$7)))/Inputs!$K$7)^2),NA())</x:f>
        <x:v>44.11186</x:v>
      </x:c>
      <x:c r="D141" s="9" t="n">
        <x:f>IF(OR(Inputs!$F$8=TRUE,Inputs!$F$8="TRUE",Inputs!$F$8=1),(Inputs!$H$8+Inputs!$L$8*(((Inputs!$I$8+(((A141)+1)/2)*(Inputs!$J$8-Inputs!$I$8)))/Inputs!$K$8)^2),NA())</x:f>
        <x:v>59.090259999999994</x:v>
      </x:c>
      <x:c r="E141" s="9" t="n">
        <x:f>IF(OR(Inputs!$F$9=TRUE,Inputs!$F$9="TRUE",Inputs!$F$9=1),(Inputs!$H$9+Inputs!$L$9*(((Inputs!$I$9+(((A141)+1)/2)*(Inputs!$J$9-Inputs!$I$9)))/Inputs!$K$9)^2),NA())</x:f>
        <x:v>49.33989999999999</x:v>
      </x:c>
      <x:c r="F141" s="10" t="n"/>
      <x:c r="G141" s="9" t="n">
        <x:f>A141</x:f>
        <x:v>0.158</x:v>
      </x:c>
      <x:c r="H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10" t="n"/>
      <x:c r="M141" s="9" t="n">
        <x:f>A141</x:f>
        <x:v>0.158</x:v>
      </x:c>
      <x:c r="N141" s="9"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9"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9"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9"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10" t="n"/>
      <x:c r="S141" s="9" t="n">
        <x:f>A141</x:f>
        <x:v>0.158</x:v>
      </x:c>
      <x:c r="T141" s="9" t="n">
        <x:f>(Inputs!$I$6+(((A141)+1)/2)*(Inputs!$J$6-Inputs!$I$6))</x:f>
        <x:v>9.47999999999999</x:v>
      </x:c>
      <x:c r="U141" s="9" t="n">
        <x:f>(Inputs!$I$7+(((A141)+1)/2)*(Inputs!$J$7-Inputs!$I$7))</x:f>
        <x:v>63.19999999999999</x:v>
      </x:c>
      <x:c r="V141" s="9" t="n">
        <x:f>(Inputs!$I$8+(((A141)+1)/2)*(Inputs!$J$8-Inputs!$I$8))</x:f>
        <x:v>126.39999999999998</x:v>
      </x:c>
      <x:c r="W141" s="9" t="n">
        <x:f>(Inputs!$I$9+(((A141)+1)/2)*(Inputs!$J$9-Inputs!$I$9))</x:f>
        <x:v>126.39999999999998</x:v>
      </x:c>
      <x:c r="X141" s="10" t="n"/>
      <x:c r="Y141" s="9" t="n">
        <x:f>A141</x:f>
        <x:v>0.158</x:v>
      </x:c>
      <x:c r="Z141" s="9" t="n">
        <x:f>(Inputs!$H$6+Inputs!$L$6*(((Inputs!$I$6+(((A141)+1)/2)*(Inputs!$J$6-Inputs!$I$6)))/Inputs!$K$6)^2)</x:f>
        <x:v>400.099856</x:v>
      </x:c>
      <x:c r="AA141" s="9" t="n">
        <x:f>(Inputs!$H$7+Inputs!$L$7*(((Inputs!$I$7+(((A141)+1)/2)*(Inputs!$J$7-Inputs!$I$7)))/Inputs!$K$7)^2)</x:f>
        <x:v>44.11186</x:v>
      </x:c>
      <x:c r="AB141" s="9" t="n">
        <x:f>(Inputs!$H$8+Inputs!$L$8*(((Inputs!$I$8+(((A141)+1)/2)*(Inputs!$J$8-Inputs!$I$8)))/Inputs!$K$8)^2)</x:f>
        <x:v>59.090259999999994</x:v>
      </x:c>
      <x:c r="AC141" s="9" t="n">
        <x:f>(Inputs!$H$9+Inputs!$L$9*(((Inputs!$I$9+(((A141)+1)/2)*(Inputs!$J$9-Inputs!$I$9)))/Inputs!$K$9)^2)</x:f>
        <x:v>49.33989999999999</x:v>
      </x:c>
      <x:c r="AD141" s="10" t="n"/>
      <x:c r="AE141" s="9" t="n">
        <x:f>A141</x:f>
        <x:v>0.158</x:v>
      </x:c>
      <x:c r="AF141" s="9"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9"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9"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9"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10" t="n"/>
      <x:c r="AK141" s="9" t="n">
        <x:f>A141</x:f>
        <x:v>0.158</x:v>
      </x:c>
      <x:c r="AL141" s="9"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9"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9"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9"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10" t="n"/>
      <x:c r="AQ141" s="9" t="n">
        <x:f>A141</x:f>
        <x:v>0.158</x:v>
      </x:c>
      <x:c r="AR141" s="9" t="n">
        <x:f>0</x:f>
        <x:v>0</x:v>
      </x:c>
      <x:c r="AS141" s="9"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x:f>
        <x:v>470.86072890691673</x:v>
      </x:c>
      <x:c r="AT141" s="9"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x:f>
        <x:v>163.0488383631107</x:v>
      </x:c>
      <x:c r="AU141" s="9"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x:f>
        <x:v>140.66154472484308</x:v>
      </x:c>
      <x:c r="AV141" s="9"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x:f>
        <x:v>140.66154472484308</x:v>
      </x:c>
      <x:c r="AW141" s="10" t="n"/>
      <x:c r="AX141" s="9" t="n">
        <x:f>A141</x:f>
        <x:v>0.158</x:v>
      </x:c>
      <x:c r="AY141" s="9" t="n">
        <x:f>0</x:f>
        <x:v>0</x:v>
      </x:c>
      <x:c r="AZ141" s="9" t="n">
        <x:f>IF(OR(Inputs!$F$6=TRUE,Inputs!$F$6="TRUE",Inputs!$F$6=1),(Inputs!$H$6+Inputs!$L$6*(((Inputs!$I$6+(((A141)+1)/2)*(Inputs!$J$6-Inputs!$I$6)))/Inputs!$K$6)^2),NA())</x:f>
        <x:v>400.099856</x:v>
      </x:c>
      <x:c r="BA141" s="9" t="n">
        <x:f>IF(OR(Inputs!$F$7=TRUE,Inputs!$F$7="TRUE",Inputs!$F$7=1),(Inputs!$H$7+Inputs!$L$7*(((Inputs!$I$7+(((A141)+1)/2)*(Inputs!$J$7-Inputs!$I$7)))/Inputs!$K$7)^2),NA())</x:f>
        <x:v>44.11186</x:v>
      </x:c>
      <x:c r="BB141" s="9" t="n">
        <x:f>IF(OR(Inputs!$F$8=TRUE,Inputs!$F$8="TRUE",Inputs!$F$8=1),(Inputs!$H$8+Inputs!$L$8*(((Inputs!$I$8+(((A141)+1)/2)*(Inputs!$J$8-Inputs!$I$8)))/Inputs!$K$8)^2),NA())</x:f>
        <x:v>59.090259999999994</x:v>
      </x:c>
      <x:c r="BC141" s="9" t="n">
        <x:f>IF(OR(Inputs!$F$9=TRUE,Inputs!$F$9="TRUE",Inputs!$F$9=1),(Inputs!$H$9+Inputs!$L$9*(((Inputs!$I$9+(((A141)+1)/2)*(Inputs!$J$9-Inputs!$I$9)))/Inputs!$K$9)^2),NA())</x:f>
        <x:v>49.33989999999999</x:v>
      </x:c>
      <x:c r="BD141" s="10" t="n"/>
      <x:c r="BE141" s="9" t="n">
        <x:f>A141</x:f>
        <x:v>0.158</x:v>
      </x:c>
      <x:c r="BF141" s="9" t="n">
        <x:f>0</x:f>
        <x:v>0</x:v>
      </x:c>
      <x:c r="BG141" s="9"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9"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9"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9"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9" t="n">
        <x:f>ROUND(-1+140*2/240,3)</x:f>
        <x:v>0.167</x:v>
      </x:c>
      <x:c r="B142" s="9" t="n">
        <x:f>IF(OR(Inputs!$F$6=TRUE,Inputs!$F$6="TRUE",Inputs!$F$6=1),(Inputs!$H$6+Inputs!$L$6*(((Inputs!$I$6+(((A142)+1)/2)*(Inputs!$J$6-Inputs!$I$6)))/Inputs!$K$6)^2),NA())</x:f>
        <x:v>400.111556</x:v>
      </x:c>
      <x:c r="C142" s="9" t="n">
        <x:f>IF(OR(Inputs!$F$7=TRUE,Inputs!$F$7="TRUE",Inputs!$F$7=1),(Inputs!$H$7+Inputs!$L$7*(((Inputs!$I$7+(((A142)+1)/2)*(Inputs!$J$7-Inputs!$I$7)))/Inputs!$K$7)^2),NA())</x:f>
        <x:v>45.179485</x:v>
      </x:c>
      <x:c r="D142" s="9" t="n">
        <x:f>IF(OR(Inputs!$F$8=TRUE,Inputs!$F$8="TRUE",Inputs!$F$8=1),(Inputs!$H$8+Inputs!$L$8*(((Inputs!$I$8+(((A142)+1)/2)*(Inputs!$J$8-Inputs!$I$8)))/Inputs!$K$8)^2),NA())</x:f>
        <x:v>61.91288500000001</x:v>
      </x:c>
      <x:c r="E142" s="9" t="n">
        <x:f>IF(OR(Inputs!$F$9=TRUE,Inputs!$F$9="TRUE",Inputs!$F$9=1),(Inputs!$H$9+Inputs!$L$9*(((Inputs!$I$9+(((A142)+1)/2)*(Inputs!$J$9-Inputs!$I$9)))/Inputs!$K$9)^2),NA())</x:f>
        <x:v>52.19177500000001</x:v>
      </x:c>
      <x:c r="F142" s="10" t="n"/>
      <x:c r="G142" s="9" t="n">
        <x:f>A142</x:f>
        <x:v>0.167</x:v>
      </x:c>
      <x:c r="H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10" t="n"/>
      <x:c r="M142" s="9" t="n">
        <x:f>A142</x:f>
        <x:v>0.167</x:v>
      </x:c>
      <x:c r="N142" s="9"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9"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9"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9"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10" t="n"/>
      <x:c r="S142" s="9" t="n">
        <x:f>A142</x:f>
        <x:v>0.167</x:v>
      </x:c>
      <x:c r="T142" s="9" t="n">
        <x:f>(Inputs!$I$6+(((A142)+1)/2)*(Inputs!$J$6-Inputs!$I$6))</x:f>
        <x:v>10.019999999999996</x:v>
      </x:c>
      <x:c r="U142" s="9" t="n">
        <x:f>(Inputs!$I$7+(((A142)+1)/2)*(Inputs!$J$7-Inputs!$I$7))</x:f>
        <x:v>66.80000000000001</x:v>
      </x:c>
      <x:c r="V142" s="9" t="n">
        <x:f>(Inputs!$I$8+(((A142)+1)/2)*(Inputs!$J$8-Inputs!$I$8))</x:f>
        <x:v>133.60000000000002</x:v>
      </x:c>
      <x:c r="W142" s="9" t="n">
        <x:f>(Inputs!$I$9+(((A142)+1)/2)*(Inputs!$J$9-Inputs!$I$9))</x:f>
        <x:v>133.60000000000002</x:v>
      </x:c>
      <x:c r="X142" s="10" t="n"/>
      <x:c r="Y142" s="9" t="n">
        <x:f>A142</x:f>
        <x:v>0.167</x:v>
      </x:c>
      <x:c r="Z142" s="9" t="n">
        <x:f>(Inputs!$H$6+Inputs!$L$6*(((Inputs!$I$6+(((A142)+1)/2)*(Inputs!$J$6-Inputs!$I$6)))/Inputs!$K$6)^2)</x:f>
        <x:v>400.111556</x:v>
      </x:c>
      <x:c r="AA142" s="9" t="n">
        <x:f>(Inputs!$H$7+Inputs!$L$7*(((Inputs!$I$7+(((A142)+1)/2)*(Inputs!$J$7-Inputs!$I$7)))/Inputs!$K$7)^2)</x:f>
        <x:v>45.179485</x:v>
      </x:c>
      <x:c r="AB142" s="9" t="n">
        <x:f>(Inputs!$H$8+Inputs!$L$8*(((Inputs!$I$8+(((A142)+1)/2)*(Inputs!$J$8-Inputs!$I$8)))/Inputs!$K$8)^2)</x:f>
        <x:v>61.91288500000001</x:v>
      </x:c>
      <x:c r="AC142" s="9" t="n">
        <x:f>(Inputs!$H$9+Inputs!$L$9*(((Inputs!$I$9+(((A142)+1)/2)*(Inputs!$J$9-Inputs!$I$9)))/Inputs!$K$9)^2)</x:f>
        <x:v>52.19177500000001</x:v>
      </x:c>
      <x:c r="AD142" s="10" t="n"/>
      <x:c r="AE142" s="9" t="n">
        <x:f>A142</x:f>
        <x:v>0.167</x:v>
      </x:c>
      <x:c r="AF142" s="9"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9"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9"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9"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10" t="n"/>
      <x:c r="AK142" s="9" t="n">
        <x:f>A142</x:f>
        <x:v>0.167</x:v>
      </x:c>
      <x:c r="AL142" s="9"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9"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9"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9"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10" t="n"/>
      <x:c r="AQ142" s="9" t="n">
        <x:f>A142</x:f>
        <x:v>0.167</x:v>
      </x:c>
      <x:c r="AR142" s="9" t="n">
        <x:f>0</x:f>
        <x:v>0</x:v>
      </x:c>
      <x:c r="AS142" s="9"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x:f>
        <x:v>445.53234851770645</x:v>
      </x:c>
      <x:c r="AT142" s="9"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x:f>
        <x:v>115.5552676755764</x:v>
      </x:c>
      <x:c r="AU142" s="9"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x:f>
        <x:v>163.69674416862193</x:v>
      </x:c>
      <x:c r="AV142" s="9"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x:f>
        <x:v>163.69674416862193</x:v>
      </x:c>
      <x:c r="AW142" s="10" t="n"/>
      <x:c r="AX142" s="9" t="n">
        <x:f>A142</x:f>
        <x:v>0.167</x:v>
      </x:c>
      <x:c r="AY142" s="9" t="n">
        <x:f>0</x:f>
        <x:v>0</x:v>
      </x:c>
      <x:c r="AZ142" s="9" t="n">
        <x:f>IF(OR(Inputs!$F$6=TRUE,Inputs!$F$6="TRUE",Inputs!$F$6=1),(Inputs!$H$6+Inputs!$L$6*(((Inputs!$I$6+(((A142)+1)/2)*(Inputs!$J$6-Inputs!$I$6)))/Inputs!$K$6)^2),NA())</x:f>
        <x:v>400.111556</x:v>
      </x:c>
      <x:c r="BA142" s="9" t="n">
        <x:f>IF(OR(Inputs!$F$7=TRUE,Inputs!$F$7="TRUE",Inputs!$F$7=1),(Inputs!$H$7+Inputs!$L$7*(((Inputs!$I$7+(((A142)+1)/2)*(Inputs!$J$7-Inputs!$I$7)))/Inputs!$K$7)^2),NA())</x:f>
        <x:v>45.179485</x:v>
      </x:c>
      <x:c r="BB142" s="9" t="n">
        <x:f>IF(OR(Inputs!$F$8=TRUE,Inputs!$F$8="TRUE",Inputs!$F$8=1),(Inputs!$H$8+Inputs!$L$8*(((Inputs!$I$8+(((A142)+1)/2)*(Inputs!$J$8-Inputs!$I$8)))/Inputs!$K$8)^2),NA())</x:f>
        <x:v>61.91288500000001</x:v>
      </x:c>
      <x:c r="BC142" s="9" t="n">
        <x:f>IF(OR(Inputs!$F$9=TRUE,Inputs!$F$9="TRUE",Inputs!$F$9=1),(Inputs!$H$9+Inputs!$L$9*(((Inputs!$I$9+(((A142)+1)/2)*(Inputs!$J$9-Inputs!$I$9)))/Inputs!$K$9)^2),NA())</x:f>
        <x:v>52.19177500000001</x:v>
      </x:c>
      <x:c r="BD142" s="10" t="n"/>
      <x:c r="BE142" s="9" t="n">
        <x:f>A142</x:f>
        <x:v>0.167</x:v>
      </x:c>
      <x:c r="BF142" s="9" t="n">
        <x:f>0</x:f>
        <x:v>0</x:v>
      </x:c>
      <x:c r="BG142" s="9"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9"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9"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9"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9" t="n">
        <x:f>ROUND(-1+141*2/240,3)</x:f>
        <x:v>0.175</x:v>
      </x:c>
      <x:c r="B143" s="9" t="n">
        <x:f>IF(OR(Inputs!$F$6=TRUE,Inputs!$F$6="TRUE",Inputs!$F$6=1),(Inputs!$H$6+Inputs!$L$6*(((Inputs!$I$6+(((A143)+1)/2)*(Inputs!$J$6-Inputs!$I$6)))/Inputs!$K$6)^2),NA())</x:f>
        <x:v>400.1225</x:v>
      </x:c>
      <x:c r="C143" s="9" t="n">
        <x:f>IF(OR(Inputs!$F$7=TRUE,Inputs!$F$7="TRUE",Inputs!$F$7=1),(Inputs!$H$7+Inputs!$L$7*(((Inputs!$I$7+(((A143)+1)/2)*(Inputs!$J$7-Inputs!$I$7)))/Inputs!$K$7)^2),NA())</x:f>
        <x:v>46.178124999999994</x:v>
      </x:c>
      <x:c r="D143" s="9" t="n">
        <x:f>IF(OR(Inputs!$F$8=TRUE,Inputs!$F$8="TRUE",Inputs!$F$8=1),(Inputs!$H$8+Inputs!$L$8*(((Inputs!$I$8+(((A143)+1)/2)*(Inputs!$J$8-Inputs!$I$8)))/Inputs!$K$8)^2),NA())</x:f>
        <x:v>64.553125</x:v>
      </x:c>
      <x:c r="E143" s="9" t="n">
        <x:f>IF(OR(Inputs!$F$9=TRUE,Inputs!$F$9="TRUE",Inputs!$F$9=1),(Inputs!$H$9+Inputs!$L$9*(((Inputs!$I$9+(((A143)+1)/2)*(Inputs!$J$9-Inputs!$I$9)))/Inputs!$K$9)^2),NA())</x:f>
        <x:v>54.859375</x:v>
      </x:c>
      <x:c r="F143" s="10" t="n"/>
      <x:c r="G143" s="9" t="n">
        <x:f>A143</x:f>
        <x:v>0.175</x:v>
      </x:c>
      <x:c r="H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10" t="n"/>
      <x:c r="M143" s="9" t="n">
        <x:f>A143</x:f>
        <x:v>0.175</x:v>
      </x:c>
      <x:c r="N143" s="9"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9"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9"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9"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10" t="n"/>
      <x:c r="S143" s="9" t="n">
        <x:f>A143</x:f>
        <x:v>0.175</x:v>
      </x:c>
      <x:c r="T143" s="9" t="n">
        <x:f>(Inputs!$I$6+(((A143)+1)/2)*(Inputs!$J$6-Inputs!$I$6))</x:f>
        <x:v>10.5</x:v>
      </x:c>
      <x:c r="U143" s="9" t="n">
        <x:f>(Inputs!$I$7+(((A143)+1)/2)*(Inputs!$J$7-Inputs!$I$7))</x:f>
        <x:v>70</x:v>
      </x:c>
      <x:c r="V143" s="9" t="n">
        <x:f>(Inputs!$I$8+(((A143)+1)/2)*(Inputs!$J$8-Inputs!$I$8))</x:f>
        <x:v>140</x:v>
      </x:c>
      <x:c r="W143" s="9" t="n">
        <x:f>(Inputs!$I$9+(((A143)+1)/2)*(Inputs!$J$9-Inputs!$I$9))</x:f>
        <x:v>140</x:v>
      </x:c>
      <x:c r="X143" s="10" t="n"/>
      <x:c r="Y143" s="9" t="n">
        <x:f>A143</x:f>
        <x:v>0.175</x:v>
      </x:c>
      <x:c r="Z143" s="9" t="n">
        <x:f>(Inputs!$H$6+Inputs!$L$6*(((Inputs!$I$6+(((A143)+1)/2)*(Inputs!$J$6-Inputs!$I$6)))/Inputs!$K$6)^2)</x:f>
        <x:v>400.1225</x:v>
      </x:c>
      <x:c r="AA143" s="9" t="n">
        <x:f>(Inputs!$H$7+Inputs!$L$7*(((Inputs!$I$7+(((A143)+1)/2)*(Inputs!$J$7-Inputs!$I$7)))/Inputs!$K$7)^2)</x:f>
        <x:v>46.178124999999994</x:v>
      </x:c>
      <x:c r="AB143" s="9" t="n">
        <x:f>(Inputs!$H$8+Inputs!$L$8*(((Inputs!$I$8+(((A143)+1)/2)*(Inputs!$J$8-Inputs!$I$8)))/Inputs!$K$8)^2)</x:f>
        <x:v>64.553125</x:v>
      </x:c>
      <x:c r="AC143" s="9" t="n">
        <x:f>(Inputs!$H$9+Inputs!$L$9*(((Inputs!$I$9+(((A143)+1)/2)*(Inputs!$J$9-Inputs!$I$9)))/Inputs!$K$9)^2)</x:f>
        <x:v>54.859375</x:v>
      </x:c>
      <x:c r="AD143" s="10" t="n"/>
      <x:c r="AE143" s="9" t="n">
        <x:f>A143</x:f>
        <x:v>0.175</x:v>
      </x:c>
      <x:c r="AF143" s="9"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9"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9"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9"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10" t="n"/>
      <x:c r="AK143" s="9" t="n">
        <x:f>A143</x:f>
        <x:v>0.175</x:v>
      </x:c>
      <x:c r="AL143" s="9"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9"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9"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9"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10" t="n"/>
      <x:c r="AQ143" s="9" t="n">
        <x:f>A143</x:f>
        <x:v>0.175</x:v>
      </x:c>
      <x:c r="AR143" s="9" t="n">
        <x:f>0</x:f>
        <x:v>0</x:v>
      </x:c>
      <x:c r="AS143" s="9"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x:f>
        <x:v>437.9381023255588</x:v>
      </x:c>
      <x:c r="AT143" s="9"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x:f>
        <x:v>102.95991914372087</x:v>
      </x:c>
      <x:c r="AU143" s="9"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x:f>
        <x:v>82.3871567913042</x:v>
      </x:c>
      <x:c r="AV143" s="9"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x:f>
        <x:v>82.3871567913042</x:v>
      </x:c>
      <x:c r="AW143" s="10" t="n"/>
      <x:c r="AX143" s="9" t="n">
        <x:f>A143</x:f>
        <x:v>0.175</x:v>
      </x:c>
      <x:c r="AY143" s="9" t="n">
        <x:f>0</x:f>
        <x:v>0</x:v>
      </x:c>
      <x:c r="AZ143" s="9" t="n">
        <x:f>IF(OR(Inputs!$F$6=TRUE,Inputs!$F$6="TRUE",Inputs!$F$6=1),(Inputs!$H$6+Inputs!$L$6*(((Inputs!$I$6+(((A143)+1)/2)*(Inputs!$J$6-Inputs!$I$6)))/Inputs!$K$6)^2),NA())</x:f>
        <x:v>400.1225</x:v>
      </x:c>
      <x:c r="BA143" s="9" t="n">
        <x:f>IF(OR(Inputs!$F$7=TRUE,Inputs!$F$7="TRUE",Inputs!$F$7=1),(Inputs!$H$7+Inputs!$L$7*(((Inputs!$I$7+(((A143)+1)/2)*(Inputs!$J$7-Inputs!$I$7)))/Inputs!$K$7)^2),NA())</x:f>
        <x:v>46.178124999999994</x:v>
      </x:c>
      <x:c r="BB143" s="9" t="n">
        <x:f>IF(OR(Inputs!$F$8=TRUE,Inputs!$F$8="TRUE",Inputs!$F$8=1),(Inputs!$H$8+Inputs!$L$8*(((Inputs!$I$8+(((A143)+1)/2)*(Inputs!$J$8-Inputs!$I$8)))/Inputs!$K$8)^2),NA())</x:f>
        <x:v>64.553125</x:v>
      </x:c>
      <x:c r="BC143" s="9" t="n">
        <x:f>IF(OR(Inputs!$F$9=TRUE,Inputs!$F$9="TRUE",Inputs!$F$9=1),(Inputs!$H$9+Inputs!$L$9*(((Inputs!$I$9+(((A143)+1)/2)*(Inputs!$J$9-Inputs!$I$9)))/Inputs!$K$9)^2),NA())</x:f>
        <x:v>54.859375</x:v>
      </x:c>
      <x:c r="BD143" s="10" t="n"/>
      <x:c r="BE143" s="9" t="n">
        <x:f>A143</x:f>
        <x:v>0.175</x:v>
      </x:c>
      <x:c r="BF143" s="9" t="n">
        <x:f>0</x:f>
        <x:v>0</x:v>
      </x:c>
      <x:c r="BG143" s="9"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9"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9"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9"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9" t="n">
        <x:f>ROUND(-1+142*2/240,3)</x:f>
        <x:v>0.183</x:v>
      </x:c>
      <x:c r="B144" s="9" t="n">
        <x:f>IF(OR(Inputs!$F$6=TRUE,Inputs!$F$6="TRUE",Inputs!$F$6=1),(Inputs!$H$6+Inputs!$L$6*(((Inputs!$I$6+(((A144)+1)/2)*(Inputs!$J$6-Inputs!$I$6)))/Inputs!$K$6)^2),NA())</x:f>
        <x:v>400.133956</x:v>
      </x:c>
      <x:c r="C144" s="9" t="n">
        <x:f>IF(OR(Inputs!$F$7=TRUE,Inputs!$F$7="TRUE",Inputs!$F$7=1),(Inputs!$H$7+Inputs!$L$7*(((Inputs!$I$7+(((A144)+1)/2)*(Inputs!$J$7-Inputs!$I$7)))/Inputs!$K$7)^2),NA())</x:f>
        <x:v>47.22348500000001</x:v>
      </x:c>
      <x:c r="D144" s="9" t="n">
        <x:f>IF(OR(Inputs!$F$8=TRUE,Inputs!$F$8="TRUE",Inputs!$F$8=1),(Inputs!$H$8+Inputs!$L$8*(((Inputs!$I$8+(((A144)+1)/2)*(Inputs!$J$8-Inputs!$I$8)))/Inputs!$K$8)^2),NA())</x:f>
        <x:v>67.31688500000004</x:v>
      </x:c>
      <x:c r="E144" s="9" t="n">
        <x:f>IF(OR(Inputs!$F$9=TRUE,Inputs!$F$9="TRUE",Inputs!$F$9=1),(Inputs!$H$9+Inputs!$L$9*(((Inputs!$I$9+(((A144)+1)/2)*(Inputs!$J$9-Inputs!$I$9)))/Inputs!$K$9)^2),NA())</x:f>
        <x:v>57.651775000000036</x:v>
      </x:c>
      <x:c r="F144" s="10" t="n"/>
      <x:c r="G144" s="9" t="n">
        <x:f>A144</x:f>
        <x:v>0.183</x:v>
      </x:c>
      <x:c r="H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10" t="n"/>
      <x:c r="M144" s="9" t="n">
        <x:f>A144</x:f>
        <x:v>0.183</x:v>
      </x:c>
      <x:c r="N144" s="9"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9"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9"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9"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10" t="n"/>
      <x:c r="S144" s="9" t="n">
        <x:f>A144</x:f>
        <x:v>0.183</x:v>
      </x:c>
      <x:c r="T144" s="9" t="n">
        <x:f>(Inputs!$I$6+(((A144)+1)/2)*(Inputs!$J$6-Inputs!$I$6))</x:f>
        <x:v>10.980000000000004</x:v>
      </x:c>
      <x:c r="U144" s="9" t="n">
        <x:f>(Inputs!$I$7+(((A144)+1)/2)*(Inputs!$J$7-Inputs!$I$7))</x:f>
        <x:v>73.20000000000005</x:v>
      </x:c>
      <x:c r="V144" s="9" t="n">
        <x:f>(Inputs!$I$8+(((A144)+1)/2)*(Inputs!$J$8-Inputs!$I$8))</x:f>
        <x:v>146.4000000000001</x:v>
      </x:c>
      <x:c r="W144" s="9" t="n">
        <x:f>(Inputs!$I$9+(((A144)+1)/2)*(Inputs!$J$9-Inputs!$I$9))</x:f>
        <x:v>146.4000000000001</x:v>
      </x:c>
      <x:c r="X144" s="10" t="n"/>
      <x:c r="Y144" s="9" t="n">
        <x:f>A144</x:f>
        <x:v>0.183</x:v>
      </x:c>
      <x:c r="Z144" s="9" t="n">
        <x:f>(Inputs!$H$6+Inputs!$L$6*(((Inputs!$I$6+(((A144)+1)/2)*(Inputs!$J$6-Inputs!$I$6)))/Inputs!$K$6)^2)</x:f>
        <x:v>400.133956</x:v>
      </x:c>
      <x:c r="AA144" s="9" t="n">
        <x:f>(Inputs!$H$7+Inputs!$L$7*(((Inputs!$I$7+(((A144)+1)/2)*(Inputs!$J$7-Inputs!$I$7)))/Inputs!$K$7)^2)</x:f>
        <x:v>47.22348500000001</x:v>
      </x:c>
      <x:c r="AB144" s="9" t="n">
        <x:f>(Inputs!$H$8+Inputs!$L$8*(((Inputs!$I$8+(((A144)+1)/2)*(Inputs!$J$8-Inputs!$I$8)))/Inputs!$K$8)^2)</x:f>
        <x:v>67.31688500000004</x:v>
      </x:c>
      <x:c r="AC144" s="9" t="n">
        <x:f>(Inputs!$H$9+Inputs!$L$9*(((Inputs!$I$9+(((A144)+1)/2)*(Inputs!$J$9-Inputs!$I$9)))/Inputs!$K$9)^2)</x:f>
        <x:v>57.651775000000036</x:v>
      </x:c>
      <x:c r="AD144" s="10" t="n"/>
      <x:c r="AE144" s="9" t="n">
        <x:f>A144</x:f>
        <x:v>0.183</x:v>
      </x:c>
      <x:c r="AF144" s="9"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9"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9"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9"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10" t="n"/>
      <x:c r="AK144" s="9" t="n">
        <x:f>A144</x:f>
        <x:v>0.183</x:v>
      </x:c>
      <x:c r="AL144" s="9"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9"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9"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9"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10" t="n"/>
      <x:c r="AQ144" s="9" t="n">
        <x:f>A144</x:f>
        <x:v>0.183</x:v>
      </x:c>
      <x:c r="AR144" s="9" t="n">
        <x:f>0</x:f>
        <x:v>0</x:v>
      </x:c>
      <x:c r="AS144" s="9"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x:f>
        <x:v>439.1863562650421</x:v>
      </x:c>
      <x:c r="AT144" s="9"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x:f>
        <x:v>169.3871199961569</x:v>
      </x:c>
      <x:c r="AU144" s="9"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x:f>
        <x:v>227.66381835813354</x:v>
      </x:c>
      <x:c r="AV144" s="9"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x:f>
        <x:v>227.66381835813354</x:v>
      </x:c>
      <x:c r="AW144" s="10" t="n"/>
      <x:c r="AX144" s="9" t="n">
        <x:f>A144</x:f>
        <x:v>0.183</x:v>
      </x:c>
      <x:c r="AY144" s="9" t="n">
        <x:f>0</x:f>
        <x:v>0</x:v>
      </x:c>
      <x:c r="AZ144" s="9" t="n">
        <x:f>IF(OR(Inputs!$F$6=TRUE,Inputs!$F$6="TRUE",Inputs!$F$6=1),(Inputs!$H$6+Inputs!$L$6*(((Inputs!$I$6+(((A144)+1)/2)*(Inputs!$J$6-Inputs!$I$6)))/Inputs!$K$6)^2),NA())</x:f>
        <x:v>400.133956</x:v>
      </x:c>
      <x:c r="BA144" s="9" t="n">
        <x:f>IF(OR(Inputs!$F$7=TRUE,Inputs!$F$7="TRUE",Inputs!$F$7=1),(Inputs!$H$7+Inputs!$L$7*(((Inputs!$I$7+(((A144)+1)/2)*(Inputs!$J$7-Inputs!$I$7)))/Inputs!$K$7)^2),NA())</x:f>
        <x:v>47.22348500000001</x:v>
      </x:c>
      <x:c r="BB144" s="9" t="n">
        <x:f>IF(OR(Inputs!$F$8=TRUE,Inputs!$F$8="TRUE",Inputs!$F$8=1),(Inputs!$H$8+Inputs!$L$8*(((Inputs!$I$8+(((A144)+1)/2)*(Inputs!$J$8-Inputs!$I$8)))/Inputs!$K$8)^2),NA())</x:f>
        <x:v>67.31688500000004</x:v>
      </x:c>
      <x:c r="BC144" s="9" t="n">
        <x:f>IF(OR(Inputs!$F$9=TRUE,Inputs!$F$9="TRUE",Inputs!$F$9=1),(Inputs!$H$9+Inputs!$L$9*(((Inputs!$I$9+(((A144)+1)/2)*(Inputs!$J$9-Inputs!$I$9)))/Inputs!$K$9)^2),NA())</x:f>
        <x:v>57.651775000000036</x:v>
      </x:c>
      <x:c r="BD144" s="10" t="n"/>
      <x:c r="BE144" s="9" t="n">
        <x:f>A144</x:f>
        <x:v>0.183</x:v>
      </x:c>
      <x:c r="BF144" s="9" t="n">
        <x:f>0</x:f>
        <x:v>0</x:v>
      </x:c>
      <x:c r="BG144" s="9"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9"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9"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9"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9" t="n">
        <x:f>ROUND(-1+143*2/240,3)</x:f>
        <x:v>0.192</x:v>
      </x:c>
      <x:c r="B145" s="9" t="n">
        <x:f>IF(OR(Inputs!$F$6=TRUE,Inputs!$F$6="TRUE",Inputs!$F$6=1),(Inputs!$H$6+Inputs!$L$6*(((Inputs!$I$6+(((A145)+1)/2)*(Inputs!$J$6-Inputs!$I$6)))/Inputs!$K$6)^2),NA())</x:f>
        <x:v>400.147456</x:v>
      </x:c>
      <x:c r="C145" s="9" t="n">
        <x:f>IF(OR(Inputs!$F$7=TRUE,Inputs!$F$7="TRUE",Inputs!$F$7=1),(Inputs!$H$7+Inputs!$L$7*(((Inputs!$I$7+(((A145)+1)/2)*(Inputs!$J$7-Inputs!$I$7)))/Inputs!$K$7)^2),NA())</x:f>
        <x:v>48.455359999999985</x:v>
      </x:c>
      <x:c r="D145" s="9" t="n">
        <x:f>IF(OR(Inputs!$F$8=TRUE,Inputs!$F$8="TRUE",Inputs!$F$8=1),(Inputs!$H$8+Inputs!$L$8*(((Inputs!$I$8+(((A145)+1)/2)*(Inputs!$J$8-Inputs!$I$8)))/Inputs!$K$8)^2),NA())</x:f>
        <x:v>70.57375999999996</x:v>
      </x:c>
      <x:c r="E145" s="9" t="n">
        <x:f>IF(OR(Inputs!$F$9=TRUE,Inputs!$F$9="TRUE",Inputs!$F$9=1),(Inputs!$H$9+Inputs!$L$9*(((Inputs!$I$9+(((A145)+1)/2)*(Inputs!$J$9-Inputs!$I$9)))/Inputs!$K$9)^2),NA())</x:f>
        <x:v>60.942399999999964</x:v>
      </x:c>
      <x:c r="F145" s="10" t="n"/>
      <x:c r="G145" s="9" t="n">
        <x:f>A145</x:f>
        <x:v>0.192</x:v>
      </x:c>
      <x:c r="H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10" t="n"/>
      <x:c r="M145" s="9" t="n">
        <x:f>A145</x:f>
        <x:v>0.192</x:v>
      </x:c>
      <x:c r="N145" s="9"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9"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9"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9"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10" t="n"/>
      <x:c r="S145" s="9" t="n">
        <x:f>A145</x:f>
        <x:v>0.192</x:v>
      </x:c>
      <x:c r="T145" s="9" t="n">
        <x:f>(Inputs!$I$6+(((A145)+1)/2)*(Inputs!$J$6-Inputs!$I$6))</x:f>
        <x:v>11.519999999999996</x:v>
      </x:c>
      <x:c r="U145" s="9" t="n">
        <x:f>(Inputs!$I$7+(((A145)+1)/2)*(Inputs!$J$7-Inputs!$I$7))</x:f>
        <x:v>76.79999999999995</x:v>
      </x:c>
      <x:c r="V145" s="9" t="n">
        <x:f>(Inputs!$I$8+(((A145)+1)/2)*(Inputs!$J$8-Inputs!$I$8))</x:f>
        <x:v>153.5999999999999</x:v>
      </x:c>
      <x:c r="W145" s="9" t="n">
        <x:f>(Inputs!$I$9+(((A145)+1)/2)*(Inputs!$J$9-Inputs!$I$9))</x:f>
        <x:v>153.5999999999999</x:v>
      </x:c>
      <x:c r="X145" s="10" t="n"/>
      <x:c r="Y145" s="9" t="n">
        <x:f>A145</x:f>
        <x:v>0.192</x:v>
      </x:c>
      <x:c r="Z145" s="9" t="n">
        <x:f>(Inputs!$H$6+Inputs!$L$6*(((Inputs!$I$6+(((A145)+1)/2)*(Inputs!$J$6-Inputs!$I$6)))/Inputs!$K$6)^2)</x:f>
        <x:v>400.147456</x:v>
      </x:c>
      <x:c r="AA145" s="9" t="n">
        <x:f>(Inputs!$H$7+Inputs!$L$7*(((Inputs!$I$7+(((A145)+1)/2)*(Inputs!$J$7-Inputs!$I$7)))/Inputs!$K$7)^2)</x:f>
        <x:v>48.455359999999985</x:v>
      </x:c>
      <x:c r="AB145" s="9" t="n">
        <x:f>(Inputs!$H$8+Inputs!$L$8*(((Inputs!$I$8+(((A145)+1)/2)*(Inputs!$J$8-Inputs!$I$8)))/Inputs!$K$8)^2)</x:f>
        <x:v>70.57375999999996</x:v>
      </x:c>
      <x:c r="AC145" s="9" t="n">
        <x:f>(Inputs!$H$9+Inputs!$L$9*(((Inputs!$I$9+(((A145)+1)/2)*(Inputs!$J$9-Inputs!$I$9)))/Inputs!$K$9)^2)</x:f>
        <x:v>60.942399999999964</x:v>
      </x:c>
      <x:c r="AD145" s="10" t="n"/>
      <x:c r="AE145" s="9" t="n">
        <x:f>A145</x:f>
        <x:v>0.192</x:v>
      </x:c>
      <x:c r="AF145" s="9"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9"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9"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9"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10" t="n"/>
      <x:c r="AK145" s="9" t="n">
        <x:f>A145</x:f>
        <x:v>0.192</x:v>
      </x:c>
      <x:c r="AL145" s="9"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9"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9"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9"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10" t="n"/>
      <x:c r="AQ145" s="9" t="n">
        <x:f>A145</x:f>
        <x:v>0.192</x:v>
      </x:c>
      <x:c r="AR145" s="9" t="n">
        <x:f>0</x:f>
        <x:v>0</x:v>
      </x:c>
      <x:c r="AS145" s="9"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x:f>
        <x:v>421.33382769243025</x:v>
      </x:c>
      <x:c r="AT145" s="9"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x:f>
        <x:v>219.9009043352383</x:v>
      </x:c>
      <x:c r="AU145" s="9"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x:f>
        <x:v>129.6529153799332</x:v>
      </x:c>
      <x:c r="AV145" s="9"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x:f>
        <x:v>129.6529153799332</x:v>
      </x:c>
      <x:c r="AW145" s="10" t="n"/>
      <x:c r="AX145" s="9" t="n">
        <x:f>A145</x:f>
        <x:v>0.192</x:v>
      </x:c>
      <x:c r="AY145" s="9" t="n">
        <x:f>0</x:f>
        <x:v>0</x:v>
      </x:c>
      <x:c r="AZ145" s="9" t="n">
        <x:f>IF(OR(Inputs!$F$6=TRUE,Inputs!$F$6="TRUE",Inputs!$F$6=1),(Inputs!$H$6+Inputs!$L$6*(((Inputs!$I$6+(((A145)+1)/2)*(Inputs!$J$6-Inputs!$I$6)))/Inputs!$K$6)^2),NA())</x:f>
        <x:v>400.147456</x:v>
      </x:c>
      <x:c r="BA145" s="9" t="n">
        <x:f>IF(OR(Inputs!$F$7=TRUE,Inputs!$F$7="TRUE",Inputs!$F$7=1),(Inputs!$H$7+Inputs!$L$7*(((Inputs!$I$7+(((A145)+1)/2)*(Inputs!$J$7-Inputs!$I$7)))/Inputs!$K$7)^2),NA())</x:f>
        <x:v>48.455359999999985</x:v>
      </x:c>
      <x:c r="BB145" s="9" t="n">
        <x:f>IF(OR(Inputs!$F$8=TRUE,Inputs!$F$8="TRUE",Inputs!$F$8=1),(Inputs!$H$8+Inputs!$L$8*(((Inputs!$I$8+(((A145)+1)/2)*(Inputs!$J$8-Inputs!$I$8)))/Inputs!$K$8)^2),NA())</x:f>
        <x:v>70.57375999999996</x:v>
      </x:c>
      <x:c r="BC145" s="9" t="n">
        <x:f>IF(OR(Inputs!$F$9=TRUE,Inputs!$F$9="TRUE",Inputs!$F$9=1),(Inputs!$H$9+Inputs!$L$9*(((Inputs!$I$9+(((A145)+1)/2)*(Inputs!$J$9-Inputs!$I$9)))/Inputs!$K$9)^2),NA())</x:f>
        <x:v>60.942399999999964</x:v>
      </x:c>
      <x:c r="BD145" s="10" t="n"/>
      <x:c r="BE145" s="9" t="n">
        <x:f>A145</x:f>
        <x:v>0.192</x:v>
      </x:c>
      <x:c r="BF145" s="9" t="n">
        <x:f>0</x:f>
        <x:v>0</x:v>
      </x:c>
      <x:c r="BG145" s="9"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9"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9"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9"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9" t="n">
        <x:f>ROUND(-1+144*2/240,3)</x:f>
        <x:v>0.2</x:v>
      </x:c>
      <x:c r="B146" s="9" t="n">
        <x:f>IF(OR(Inputs!$F$6=TRUE,Inputs!$F$6="TRUE",Inputs!$F$6=1),(Inputs!$H$6+Inputs!$L$6*(((Inputs!$I$6+(((A146)+1)/2)*(Inputs!$J$6-Inputs!$I$6)))/Inputs!$K$6)^2),NA())</x:f>
        <x:v>400.16</x:v>
      </x:c>
      <x:c r="C146" s="9" t="n">
        <x:f>IF(OR(Inputs!$F$7=TRUE,Inputs!$F$7="TRUE",Inputs!$F$7=1),(Inputs!$H$7+Inputs!$L$7*(((Inputs!$I$7+(((A146)+1)/2)*(Inputs!$J$7-Inputs!$I$7)))/Inputs!$K$7)^2),NA())</x:f>
        <x:v>49.6</x:v>
      </x:c>
      <x:c r="D146" s="9" t="n">
        <x:f>IF(OR(Inputs!$F$8=TRUE,Inputs!$F$8="TRUE",Inputs!$F$8=1),(Inputs!$H$8+Inputs!$L$8*(((Inputs!$I$8+(((A146)+1)/2)*(Inputs!$J$8-Inputs!$I$8)))/Inputs!$K$8)^2),NA())</x:f>
        <x:v>73.60000000000001</x:v>
      </x:c>
      <x:c r="E146" s="9" t="n">
        <x:f>IF(OR(Inputs!$F$9=TRUE,Inputs!$F$9="TRUE",Inputs!$F$9=1),(Inputs!$H$9+Inputs!$L$9*(((Inputs!$I$9+(((A146)+1)/2)*(Inputs!$J$9-Inputs!$I$9)))/Inputs!$K$9)^2),NA())</x:f>
        <x:v>64</x:v>
      </x:c>
      <x:c r="F146" s="10" t="n"/>
      <x:c r="G146" s="9" t="n">
        <x:f>A146</x:f>
        <x:v>0.2</x:v>
      </x:c>
      <x:c r="H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10" t="n"/>
      <x:c r="M146" s="9" t="n">
        <x:f>A146</x:f>
        <x:v>0.2</x:v>
      </x:c>
      <x:c r="N146" s="9"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9"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9"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9"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10" t="n"/>
      <x:c r="S146" s="9" t="n">
        <x:f>A146</x:f>
        <x:v>0.2</x:v>
      </x:c>
      <x:c r="T146" s="9" t="n">
        <x:f>(Inputs!$I$6+(((A146)+1)/2)*(Inputs!$J$6-Inputs!$I$6))</x:f>
        <x:v>12</x:v>
      </x:c>
      <x:c r="U146" s="9" t="n">
        <x:f>(Inputs!$I$7+(((A146)+1)/2)*(Inputs!$J$7-Inputs!$I$7))</x:f>
        <x:v>80</x:v>
      </x:c>
      <x:c r="V146" s="9" t="n">
        <x:f>(Inputs!$I$8+(((A146)+1)/2)*(Inputs!$J$8-Inputs!$I$8))</x:f>
        <x:v>160</x:v>
      </x:c>
      <x:c r="W146" s="9" t="n">
        <x:f>(Inputs!$I$9+(((A146)+1)/2)*(Inputs!$J$9-Inputs!$I$9))</x:f>
        <x:v>160</x:v>
      </x:c>
      <x:c r="X146" s="10" t="n"/>
      <x:c r="Y146" s="9" t="n">
        <x:f>A146</x:f>
        <x:v>0.2</x:v>
      </x:c>
      <x:c r="Z146" s="9" t="n">
        <x:f>(Inputs!$H$6+Inputs!$L$6*(((Inputs!$I$6+(((A146)+1)/2)*(Inputs!$J$6-Inputs!$I$6)))/Inputs!$K$6)^2)</x:f>
        <x:v>400.16</x:v>
      </x:c>
      <x:c r="AA146" s="9" t="n">
        <x:f>(Inputs!$H$7+Inputs!$L$7*(((Inputs!$I$7+(((A146)+1)/2)*(Inputs!$J$7-Inputs!$I$7)))/Inputs!$K$7)^2)</x:f>
        <x:v>49.6</x:v>
      </x:c>
      <x:c r="AB146" s="9" t="n">
        <x:f>(Inputs!$H$8+Inputs!$L$8*(((Inputs!$I$8+(((A146)+1)/2)*(Inputs!$J$8-Inputs!$I$8)))/Inputs!$K$8)^2)</x:f>
        <x:v>73.60000000000001</x:v>
      </x:c>
      <x:c r="AC146" s="9" t="n">
        <x:f>(Inputs!$H$9+Inputs!$L$9*(((Inputs!$I$9+(((A146)+1)/2)*(Inputs!$J$9-Inputs!$I$9)))/Inputs!$K$9)^2)</x:f>
        <x:v>64</x:v>
      </x:c>
      <x:c r="AD146" s="10" t="n"/>
      <x:c r="AE146" s="9" t="n">
        <x:f>A146</x:f>
        <x:v>0.2</x:v>
      </x:c>
      <x:c r="AF146" s="9"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9"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9"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9"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10" t="n"/>
      <x:c r="AK146" s="9" t="n">
        <x:f>A146</x:f>
        <x:v>0.2</x:v>
      </x:c>
      <x:c r="AL146" s="9"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9"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9"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9"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10" t="n"/>
      <x:c r="AQ146" s="9" t="n">
        <x:f>A146</x:f>
        <x:v>0.2</x:v>
      </x:c>
      <x:c r="AR146" s="9" t="n">
        <x:f>0</x:f>
        <x:v>0</x:v>
      </x:c>
      <x:c r="AS146" s="9"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x:f>
        <x:v>422.8387186345762</x:v>
      </x:c>
      <x:c r="AT146" s="9"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x:f>
        <x:v>159.82837344932233</x:v>
      </x:c>
      <x:c r="AU146" s="9"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x:f>
        <x:v>163.1736055869338</x:v>
      </x:c>
      <x:c r="AV146" s="9"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x:f>
        <x:v>163.1736055869338</x:v>
      </x:c>
      <x:c r="AW146" s="10" t="n"/>
      <x:c r="AX146" s="9" t="n">
        <x:f>A146</x:f>
        <x:v>0.2</x:v>
      </x:c>
      <x:c r="AY146" s="9" t="n">
        <x:f>0</x:f>
        <x:v>0</x:v>
      </x:c>
      <x:c r="AZ146" s="9" t="n">
        <x:f>IF(OR(Inputs!$F$6=TRUE,Inputs!$F$6="TRUE",Inputs!$F$6=1),(Inputs!$H$6+Inputs!$L$6*(((Inputs!$I$6+(((A146)+1)/2)*(Inputs!$J$6-Inputs!$I$6)))/Inputs!$K$6)^2),NA())</x:f>
        <x:v>400.16</x:v>
      </x:c>
      <x:c r="BA146" s="9" t="n">
        <x:f>IF(OR(Inputs!$F$7=TRUE,Inputs!$F$7="TRUE",Inputs!$F$7=1),(Inputs!$H$7+Inputs!$L$7*(((Inputs!$I$7+(((A146)+1)/2)*(Inputs!$J$7-Inputs!$I$7)))/Inputs!$K$7)^2),NA())</x:f>
        <x:v>49.6</x:v>
      </x:c>
      <x:c r="BB146" s="9" t="n">
        <x:f>IF(OR(Inputs!$F$8=TRUE,Inputs!$F$8="TRUE",Inputs!$F$8=1),(Inputs!$H$8+Inputs!$L$8*(((Inputs!$I$8+(((A146)+1)/2)*(Inputs!$J$8-Inputs!$I$8)))/Inputs!$K$8)^2),NA())</x:f>
        <x:v>73.60000000000001</x:v>
      </x:c>
      <x:c r="BC146" s="9" t="n">
        <x:f>IF(OR(Inputs!$F$9=TRUE,Inputs!$F$9="TRUE",Inputs!$F$9=1),(Inputs!$H$9+Inputs!$L$9*(((Inputs!$I$9+(((A146)+1)/2)*(Inputs!$J$9-Inputs!$I$9)))/Inputs!$K$9)^2),NA())</x:f>
        <x:v>64</x:v>
      </x:c>
      <x:c r="BD146" s="10" t="n"/>
      <x:c r="BE146" s="9" t="n">
        <x:f>A146</x:f>
        <x:v>0.2</x:v>
      </x:c>
      <x:c r="BF146" s="9" t="n">
        <x:f>0</x:f>
        <x:v>0</x:v>
      </x:c>
      <x:c r="BG146" s="9"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9"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9"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9"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9" t="n">
        <x:f>ROUND(-1+145*2/240,3)</x:f>
        <x:v>0.208</x:v>
      </x:c>
      <x:c r="B147" s="9" t="n">
        <x:f>IF(OR(Inputs!$F$6=TRUE,Inputs!$F$6="TRUE",Inputs!$F$6=1),(Inputs!$H$6+Inputs!$L$6*(((Inputs!$I$6+(((A147)+1)/2)*(Inputs!$J$6-Inputs!$I$6)))/Inputs!$K$6)^2),NA())</x:f>
        <x:v>400.173056</x:v>
      </x:c>
      <x:c r="C147" s="9" t="n">
        <x:f>IF(OR(Inputs!$F$7=TRUE,Inputs!$F$7="TRUE",Inputs!$F$7=1),(Inputs!$H$7+Inputs!$L$7*(((Inputs!$I$7+(((A147)+1)/2)*(Inputs!$J$7-Inputs!$I$7)))/Inputs!$K$7)^2),NA())</x:f>
        <x:v>50.79136</x:v>
      </x:c>
      <x:c r="D147" s="9" t="n">
        <x:f>IF(OR(Inputs!$F$8=TRUE,Inputs!$F$8="TRUE",Inputs!$F$8=1),(Inputs!$H$8+Inputs!$L$8*(((Inputs!$I$8+(((A147)+1)/2)*(Inputs!$J$8-Inputs!$I$8)))/Inputs!$K$8)^2),NA())</x:f>
        <x:v>76.74975999999998</x:v>
      </x:c>
      <x:c r="E147" s="9" t="n">
        <x:f>IF(OR(Inputs!$F$9=TRUE,Inputs!$F$9="TRUE",Inputs!$F$9=1),(Inputs!$H$9+Inputs!$L$9*(((Inputs!$I$9+(((A147)+1)/2)*(Inputs!$J$9-Inputs!$I$9)))/Inputs!$K$9)^2),NA())</x:f>
        <x:v>67.18239999999997</x:v>
      </x:c>
      <x:c r="F147" s="10" t="n"/>
      <x:c r="G147" s="9" t="n">
        <x:f>A147</x:f>
        <x:v>0.208</x:v>
      </x:c>
      <x:c r="H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10" t="n"/>
      <x:c r="M147" s="9" t="n">
        <x:f>A147</x:f>
        <x:v>0.208</x:v>
      </x:c>
      <x:c r="N147" s="9"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9"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9"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9"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10" t="n"/>
      <x:c r="S147" s="9" t="n">
        <x:f>A147</x:f>
        <x:v>0.208</x:v>
      </x:c>
      <x:c r="T147" s="9" t="n">
        <x:f>(Inputs!$I$6+(((A147)+1)/2)*(Inputs!$J$6-Inputs!$I$6))</x:f>
        <x:v>12.480000000000004</x:v>
      </x:c>
      <x:c r="U147" s="9" t="n">
        <x:f>(Inputs!$I$7+(((A147)+1)/2)*(Inputs!$J$7-Inputs!$I$7))</x:f>
        <x:v>83.19999999999999</x:v>
      </x:c>
      <x:c r="V147" s="9" t="n">
        <x:f>(Inputs!$I$8+(((A147)+1)/2)*(Inputs!$J$8-Inputs!$I$8))</x:f>
        <x:v>166.39999999999998</x:v>
      </x:c>
      <x:c r="W147" s="9" t="n">
        <x:f>(Inputs!$I$9+(((A147)+1)/2)*(Inputs!$J$9-Inputs!$I$9))</x:f>
        <x:v>166.39999999999998</x:v>
      </x:c>
      <x:c r="X147" s="10" t="n"/>
      <x:c r="Y147" s="9" t="n">
        <x:f>A147</x:f>
        <x:v>0.208</x:v>
      </x:c>
      <x:c r="Z147" s="9" t="n">
        <x:f>(Inputs!$H$6+Inputs!$L$6*(((Inputs!$I$6+(((A147)+1)/2)*(Inputs!$J$6-Inputs!$I$6)))/Inputs!$K$6)^2)</x:f>
        <x:v>400.173056</x:v>
      </x:c>
      <x:c r="AA147" s="9" t="n">
        <x:f>(Inputs!$H$7+Inputs!$L$7*(((Inputs!$I$7+(((A147)+1)/2)*(Inputs!$J$7-Inputs!$I$7)))/Inputs!$K$7)^2)</x:f>
        <x:v>50.79136</x:v>
      </x:c>
      <x:c r="AB147" s="9" t="n">
        <x:f>(Inputs!$H$8+Inputs!$L$8*(((Inputs!$I$8+(((A147)+1)/2)*(Inputs!$J$8-Inputs!$I$8)))/Inputs!$K$8)^2)</x:f>
        <x:v>76.74975999999998</x:v>
      </x:c>
      <x:c r="AC147" s="9" t="n">
        <x:f>(Inputs!$H$9+Inputs!$L$9*(((Inputs!$I$9+(((A147)+1)/2)*(Inputs!$J$9-Inputs!$I$9)))/Inputs!$K$9)^2)</x:f>
        <x:v>67.18239999999997</x:v>
      </x:c>
      <x:c r="AD147" s="10" t="n"/>
      <x:c r="AE147" s="9" t="n">
        <x:f>A147</x:f>
        <x:v>0.208</x:v>
      </x:c>
      <x:c r="AF147" s="9"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9"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9"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9"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10" t="n"/>
      <x:c r="AK147" s="9" t="n">
        <x:f>A147</x:f>
        <x:v>0.208</x:v>
      </x:c>
      <x:c r="AL147" s="9"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9"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9"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9"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10" t="n"/>
      <x:c r="AQ147" s="9" t="n">
        <x:f>A147</x:f>
        <x:v>0.208</x:v>
      </x:c>
      <x:c r="AR147" s="9" t="n">
        <x:f>0</x:f>
        <x:v>0</x:v>
      </x:c>
      <x:c r="AS147" s="9"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x:f>
        <x:v>411.58967673701164</x:v>
      </x:c>
      <x:c r="AT147" s="9"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x:f>
        <x:v>140.16892305145183</x:v>
      </x:c>
      <x:c r="AU147" s="9"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x:f>
        <x:v>199.09571850646452</x:v>
      </x:c>
      <x:c r="AV147" s="9"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x:f>
        <x:v>199.09571850646452</x:v>
      </x:c>
      <x:c r="AW147" s="10" t="n"/>
      <x:c r="AX147" s="9" t="n">
        <x:f>A147</x:f>
        <x:v>0.208</x:v>
      </x:c>
      <x:c r="AY147" s="9" t="n">
        <x:f>0</x:f>
        <x:v>0</x:v>
      </x:c>
      <x:c r="AZ147" s="9" t="n">
        <x:f>IF(OR(Inputs!$F$6=TRUE,Inputs!$F$6="TRUE",Inputs!$F$6=1),(Inputs!$H$6+Inputs!$L$6*(((Inputs!$I$6+(((A147)+1)/2)*(Inputs!$J$6-Inputs!$I$6)))/Inputs!$K$6)^2),NA())</x:f>
        <x:v>400.173056</x:v>
      </x:c>
      <x:c r="BA147" s="9" t="n">
        <x:f>IF(OR(Inputs!$F$7=TRUE,Inputs!$F$7="TRUE",Inputs!$F$7=1),(Inputs!$H$7+Inputs!$L$7*(((Inputs!$I$7+(((A147)+1)/2)*(Inputs!$J$7-Inputs!$I$7)))/Inputs!$K$7)^2),NA())</x:f>
        <x:v>50.79136</x:v>
      </x:c>
      <x:c r="BB147" s="9" t="n">
        <x:f>IF(OR(Inputs!$F$8=TRUE,Inputs!$F$8="TRUE",Inputs!$F$8=1),(Inputs!$H$8+Inputs!$L$8*(((Inputs!$I$8+(((A147)+1)/2)*(Inputs!$J$8-Inputs!$I$8)))/Inputs!$K$8)^2),NA())</x:f>
        <x:v>76.74975999999998</x:v>
      </x:c>
      <x:c r="BC147" s="9" t="n">
        <x:f>IF(OR(Inputs!$F$9=TRUE,Inputs!$F$9="TRUE",Inputs!$F$9=1),(Inputs!$H$9+Inputs!$L$9*(((Inputs!$I$9+(((A147)+1)/2)*(Inputs!$J$9-Inputs!$I$9)))/Inputs!$K$9)^2),NA())</x:f>
        <x:v>67.18239999999997</x:v>
      </x:c>
      <x:c r="BD147" s="10" t="n"/>
      <x:c r="BE147" s="9" t="n">
        <x:f>A147</x:f>
        <x:v>0.208</x:v>
      </x:c>
      <x:c r="BF147" s="9" t="n">
        <x:f>0</x:f>
        <x:v>0</x:v>
      </x:c>
      <x:c r="BG147" s="9"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9"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9"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9"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9" t="n">
        <x:f>ROUND(-1+146*2/240,3)</x:f>
        <x:v>0.217</x:v>
      </x:c>
      <x:c r="B148" s="9" t="n">
        <x:f>IF(OR(Inputs!$F$6=TRUE,Inputs!$F$6="TRUE",Inputs!$F$6=1),(Inputs!$H$6+Inputs!$L$6*(((Inputs!$I$6+(((A148)+1)/2)*(Inputs!$J$6-Inputs!$I$6)))/Inputs!$K$6)^2),NA())</x:f>
        <x:v>400.188356</x:v>
      </x:c>
      <x:c r="C148" s="9" t="n">
        <x:f>IF(OR(Inputs!$F$7=TRUE,Inputs!$F$7="TRUE",Inputs!$F$7=1),(Inputs!$H$7+Inputs!$L$7*(((Inputs!$I$7+(((A148)+1)/2)*(Inputs!$J$7-Inputs!$I$7)))/Inputs!$K$7)^2),NA())</x:f>
        <x:v>52.18748500000001</x:v>
      </x:c>
      <x:c r="D148" s="9" t="n">
        <x:f>IF(OR(Inputs!$F$8=TRUE,Inputs!$F$8="TRUE",Inputs!$F$8=1),(Inputs!$H$8+Inputs!$L$8*(((Inputs!$I$8+(((A148)+1)/2)*(Inputs!$J$8-Inputs!$I$8)))/Inputs!$K$8)^2),NA())</x:f>
        <x:v>80.44088500000001</x:v>
      </x:c>
      <x:c r="E148" s="9" t="n">
        <x:f>IF(OR(Inputs!$F$9=TRUE,Inputs!$F$9="TRUE",Inputs!$F$9=1),(Inputs!$H$9+Inputs!$L$9*(((Inputs!$I$9+(((A148)+1)/2)*(Inputs!$J$9-Inputs!$I$9)))/Inputs!$K$9)^2),NA())</x:f>
        <x:v>70.911775</x:v>
      </x:c>
      <x:c r="F148" s="10" t="n"/>
      <x:c r="G148" s="9" t="n">
        <x:f>A148</x:f>
        <x:v>0.217</x:v>
      </x:c>
      <x:c r="H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10" t="n"/>
      <x:c r="M148" s="9" t="n">
        <x:f>A148</x:f>
        <x:v>0.217</x:v>
      </x:c>
      <x:c r="N148" s="9"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9"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9"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9"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10" t="n"/>
      <x:c r="S148" s="9" t="n">
        <x:f>A148</x:f>
        <x:v>0.217</x:v>
      </x:c>
      <x:c r="T148" s="9" t="n">
        <x:f>(Inputs!$I$6+(((A148)+1)/2)*(Inputs!$J$6-Inputs!$I$6))</x:f>
        <x:v>13.02000000000001</x:v>
      </x:c>
      <x:c r="U148" s="9" t="n">
        <x:f>(Inputs!$I$7+(((A148)+1)/2)*(Inputs!$J$7-Inputs!$I$7))</x:f>
        <x:v>86.80000000000001</x:v>
      </x:c>
      <x:c r="V148" s="9" t="n">
        <x:f>(Inputs!$I$8+(((A148)+1)/2)*(Inputs!$J$8-Inputs!$I$8))</x:f>
        <x:v>173.60000000000002</x:v>
      </x:c>
      <x:c r="W148" s="9" t="n">
        <x:f>(Inputs!$I$9+(((A148)+1)/2)*(Inputs!$J$9-Inputs!$I$9))</x:f>
        <x:v>173.60000000000002</x:v>
      </x:c>
      <x:c r="X148" s="10" t="n"/>
      <x:c r="Y148" s="9" t="n">
        <x:f>A148</x:f>
        <x:v>0.217</x:v>
      </x:c>
      <x:c r="Z148" s="9" t="n">
        <x:f>(Inputs!$H$6+Inputs!$L$6*(((Inputs!$I$6+(((A148)+1)/2)*(Inputs!$J$6-Inputs!$I$6)))/Inputs!$K$6)^2)</x:f>
        <x:v>400.188356</x:v>
      </x:c>
      <x:c r="AA148" s="9" t="n">
        <x:f>(Inputs!$H$7+Inputs!$L$7*(((Inputs!$I$7+(((A148)+1)/2)*(Inputs!$J$7-Inputs!$I$7)))/Inputs!$K$7)^2)</x:f>
        <x:v>52.18748500000001</x:v>
      </x:c>
      <x:c r="AB148" s="9" t="n">
        <x:f>(Inputs!$H$8+Inputs!$L$8*(((Inputs!$I$8+(((A148)+1)/2)*(Inputs!$J$8-Inputs!$I$8)))/Inputs!$K$8)^2)</x:f>
        <x:v>80.44088500000001</x:v>
      </x:c>
      <x:c r="AC148" s="9" t="n">
        <x:f>(Inputs!$H$9+Inputs!$L$9*(((Inputs!$I$9+(((A148)+1)/2)*(Inputs!$J$9-Inputs!$I$9)))/Inputs!$K$9)^2)</x:f>
        <x:v>70.911775</x:v>
      </x:c>
      <x:c r="AD148" s="10" t="n"/>
      <x:c r="AE148" s="9" t="n">
        <x:f>A148</x:f>
        <x:v>0.217</x:v>
      </x:c>
      <x:c r="AF148" s="9"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9"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9"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9"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10" t="n"/>
      <x:c r="AK148" s="9" t="n">
        <x:f>A148</x:f>
        <x:v>0.217</x:v>
      </x:c>
      <x:c r="AL148" s="9"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9"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9"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9"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10" t="n"/>
      <x:c r="AQ148" s="9" t="n">
        <x:f>A148</x:f>
        <x:v>0.217</x:v>
      </x:c>
      <x:c r="AR148" s="9" t="n">
        <x:f>0</x:f>
        <x:v>0</x:v>
      </x:c>
      <x:c r="AS148" s="9"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x:f>
        <x:v>418.55290721650675</x:v>
      </x:c>
      <x:c r="AT148" s="9"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x:f>
        <x:v>128.60865148543502</x:v>
      </x:c>
      <x:c r="AU148" s="9"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x:f>
        <x:v>118.95488331328893</x:v>
      </x:c>
      <x:c r="AV148" s="9"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x:f>
        <x:v>118.95488331328893</x:v>
      </x:c>
      <x:c r="AW148" s="10" t="n"/>
      <x:c r="AX148" s="9" t="n">
        <x:f>A148</x:f>
        <x:v>0.217</x:v>
      </x:c>
      <x:c r="AY148" s="9" t="n">
        <x:f>0</x:f>
        <x:v>0</x:v>
      </x:c>
      <x:c r="AZ148" s="9" t="n">
        <x:f>IF(OR(Inputs!$F$6=TRUE,Inputs!$F$6="TRUE",Inputs!$F$6=1),(Inputs!$H$6+Inputs!$L$6*(((Inputs!$I$6+(((A148)+1)/2)*(Inputs!$J$6-Inputs!$I$6)))/Inputs!$K$6)^2),NA())</x:f>
        <x:v>400.188356</x:v>
      </x:c>
      <x:c r="BA148" s="9" t="n">
        <x:f>IF(OR(Inputs!$F$7=TRUE,Inputs!$F$7="TRUE",Inputs!$F$7=1),(Inputs!$H$7+Inputs!$L$7*(((Inputs!$I$7+(((A148)+1)/2)*(Inputs!$J$7-Inputs!$I$7)))/Inputs!$K$7)^2),NA())</x:f>
        <x:v>52.18748500000001</x:v>
      </x:c>
      <x:c r="BB148" s="9" t="n">
        <x:f>IF(OR(Inputs!$F$8=TRUE,Inputs!$F$8="TRUE",Inputs!$F$8=1),(Inputs!$H$8+Inputs!$L$8*(((Inputs!$I$8+(((A148)+1)/2)*(Inputs!$J$8-Inputs!$I$8)))/Inputs!$K$8)^2),NA())</x:f>
        <x:v>80.44088500000001</x:v>
      </x:c>
      <x:c r="BC148" s="9" t="n">
        <x:f>IF(OR(Inputs!$F$9=TRUE,Inputs!$F$9="TRUE",Inputs!$F$9=1),(Inputs!$H$9+Inputs!$L$9*(((Inputs!$I$9+(((A148)+1)/2)*(Inputs!$J$9-Inputs!$I$9)))/Inputs!$K$9)^2),NA())</x:f>
        <x:v>70.911775</x:v>
      </x:c>
      <x:c r="BD148" s="10" t="n"/>
      <x:c r="BE148" s="9" t="n">
        <x:f>A148</x:f>
        <x:v>0.217</x:v>
      </x:c>
      <x:c r="BF148" s="9" t="n">
        <x:f>0</x:f>
        <x:v>0</x:v>
      </x:c>
      <x:c r="BG148" s="9"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9"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9"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9"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9" t="n">
        <x:f>ROUND(-1+147*2/240,3)</x:f>
        <x:v>0.225</x:v>
      </x:c>
      <x:c r="B149" s="9" t="n">
        <x:f>IF(OR(Inputs!$F$6=TRUE,Inputs!$F$6="TRUE",Inputs!$F$6=1),(Inputs!$H$6+Inputs!$L$6*(((Inputs!$I$6+(((A149)+1)/2)*(Inputs!$J$6-Inputs!$I$6)))/Inputs!$K$6)^2),NA())</x:f>
        <x:v>400.2025</x:v>
      </x:c>
      <x:c r="C149" s="9" t="n">
        <x:f>IF(OR(Inputs!$F$7=TRUE,Inputs!$F$7="TRUE",Inputs!$F$7=1),(Inputs!$H$7+Inputs!$L$7*(((Inputs!$I$7+(((A149)+1)/2)*(Inputs!$J$7-Inputs!$I$7)))/Inputs!$K$7)^2),NA())</x:f>
        <x:v>53.47812500000002</x:v>
      </x:c>
      <x:c r="D149" s="9" t="n">
        <x:f>IF(OR(Inputs!$F$8=TRUE,Inputs!$F$8="TRUE",Inputs!$F$8=1),(Inputs!$H$8+Inputs!$L$8*(((Inputs!$I$8+(((A149)+1)/2)*(Inputs!$J$8-Inputs!$I$8)))/Inputs!$K$8)^2),NA())</x:f>
        <x:v>83.85312500000006</x:v>
      </x:c>
      <x:c r="E149" s="9" t="n">
        <x:f>IF(OR(Inputs!$F$9=TRUE,Inputs!$F$9="TRUE",Inputs!$F$9=1),(Inputs!$H$9+Inputs!$L$9*(((Inputs!$I$9+(((A149)+1)/2)*(Inputs!$J$9-Inputs!$I$9)))/Inputs!$K$9)^2),NA())</x:f>
        <x:v>74.35937500000006</x:v>
      </x:c>
      <x:c r="F149" s="10" t="n"/>
      <x:c r="G149" s="9" t="n">
        <x:f>A149</x:f>
        <x:v>0.225</x:v>
      </x:c>
      <x:c r="H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10" t="n"/>
      <x:c r="M149" s="9" t="n">
        <x:f>A149</x:f>
        <x:v>0.225</x:v>
      </x:c>
      <x:c r="N149" s="9"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9"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9"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9"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10" t="n"/>
      <x:c r="S149" s="9" t="n">
        <x:f>A149</x:f>
        <x:v>0.225</x:v>
      </x:c>
      <x:c r="T149" s="9" t="n">
        <x:f>(Inputs!$I$6+(((A149)+1)/2)*(Inputs!$J$6-Inputs!$I$6))</x:f>
        <x:v>13.5</x:v>
      </x:c>
      <x:c r="U149" s="9" t="n">
        <x:f>(Inputs!$I$7+(((A149)+1)/2)*(Inputs!$J$7-Inputs!$I$7))</x:f>
        <x:v>90.00000000000006</x:v>
      </x:c>
      <x:c r="V149" s="9" t="n">
        <x:f>(Inputs!$I$8+(((A149)+1)/2)*(Inputs!$J$8-Inputs!$I$8))</x:f>
        <x:v>180.0000000000001</x:v>
      </x:c>
      <x:c r="W149" s="9" t="n">
        <x:f>(Inputs!$I$9+(((A149)+1)/2)*(Inputs!$J$9-Inputs!$I$9))</x:f>
        <x:v>180.0000000000001</x:v>
      </x:c>
      <x:c r="X149" s="10" t="n"/>
      <x:c r="Y149" s="9" t="n">
        <x:f>A149</x:f>
        <x:v>0.225</x:v>
      </x:c>
      <x:c r="Z149" s="9" t="n">
        <x:f>(Inputs!$H$6+Inputs!$L$6*(((Inputs!$I$6+(((A149)+1)/2)*(Inputs!$J$6-Inputs!$I$6)))/Inputs!$K$6)^2)</x:f>
        <x:v>400.2025</x:v>
      </x:c>
      <x:c r="AA149" s="9" t="n">
        <x:f>(Inputs!$H$7+Inputs!$L$7*(((Inputs!$I$7+(((A149)+1)/2)*(Inputs!$J$7-Inputs!$I$7)))/Inputs!$K$7)^2)</x:f>
        <x:v>53.47812500000002</x:v>
      </x:c>
      <x:c r="AB149" s="9" t="n">
        <x:f>(Inputs!$H$8+Inputs!$L$8*(((Inputs!$I$8+(((A149)+1)/2)*(Inputs!$J$8-Inputs!$I$8)))/Inputs!$K$8)^2)</x:f>
        <x:v>83.85312500000006</x:v>
      </x:c>
      <x:c r="AC149" s="9" t="n">
        <x:f>(Inputs!$H$9+Inputs!$L$9*(((Inputs!$I$9+(((A149)+1)/2)*(Inputs!$J$9-Inputs!$I$9)))/Inputs!$K$9)^2)</x:f>
        <x:v>74.35937500000006</x:v>
      </x:c>
      <x:c r="AD149" s="10" t="n"/>
      <x:c r="AE149" s="9" t="n">
        <x:f>A149</x:f>
        <x:v>0.225</x:v>
      </x:c>
      <x:c r="AF149" s="9"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9"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9"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9"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10" t="n"/>
      <x:c r="AK149" s="9" t="n">
        <x:f>A149</x:f>
        <x:v>0.225</x:v>
      </x:c>
      <x:c r="AL149" s="9"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9"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9"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9"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10" t="n"/>
      <x:c r="AQ149" s="9" t="n">
        <x:f>A149</x:f>
        <x:v>0.225</x:v>
      </x:c>
      <x:c r="AR149" s="9" t="n">
        <x:f>0</x:f>
        <x:v>0</x:v>
      </x:c>
      <x:c r="AS149" s="9"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x:f>
        <x:v>408.84619240872695</x:v>
      </x:c>
      <x:c r="AT149" s="9"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x:f>
        <x:v>159.5736798888086</x:v>
      </x:c>
      <x:c r="AU149" s="9"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x:f>
        <x:v>131.8458942827403</x:v>
      </x:c>
      <x:c r="AV149" s="9"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x:f>
        <x:v>131.8458942827403</x:v>
      </x:c>
      <x:c r="AW149" s="10" t="n"/>
      <x:c r="AX149" s="9" t="n">
        <x:f>A149</x:f>
        <x:v>0.225</x:v>
      </x:c>
      <x:c r="AY149" s="9" t="n">
        <x:f>0</x:f>
        <x:v>0</x:v>
      </x:c>
      <x:c r="AZ149" s="9" t="n">
        <x:f>IF(OR(Inputs!$F$6=TRUE,Inputs!$F$6="TRUE",Inputs!$F$6=1),(Inputs!$H$6+Inputs!$L$6*(((Inputs!$I$6+(((A149)+1)/2)*(Inputs!$J$6-Inputs!$I$6)))/Inputs!$K$6)^2),NA())</x:f>
        <x:v>400.2025</x:v>
      </x:c>
      <x:c r="BA149" s="9" t="n">
        <x:f>IF(OR(Inputs!$F$7=TRUE,Inputs!$F$7="TRUE",Inputs!$F$7=1),(Inputs!$H$7+Inputs!$L$7*(((Inputs!$I$7+(((A149)+1)/2)*(Inputs!$J$7-Inputs!$I$7)))/Inputs!$K$7)^2),NA())</x:f>
        <x:v>53.47812500000002</x:v>
      </x:c>
      <x:c r="BB149" s="9" t="n">
        <x:f>IF(OR(Inputs!$F$8=TRUE,Inputs!$F$8="TRUE",Inputs!$F$8=1),(Inputs!$H$8+Inputs!$L$8*(((Inputs!$I$8+(((A149)+1)/2)*(Inputs!$J$8-Inputs!$I$8)))/Inputs!$K$8)^2),NA())</x:f>
        <x:v>83.85312500000006</x:v>
      </x:c>
      <x:c r="BC149" s="9" t="n">
        <x:f>IF(OR(Inputs!$F$9=TRUE,Inputs!$F$9="TRUE",Inputs!$F$9=1),(Inputs!$H$9+Inputs!$L$9*(((Inputs!$I$9+(((A149)+1)/2)*(Inputs!$J$9-Inputs!$I$9)))/Inputs!$K$9)^2),NA())</x:f>
        <x:v>74.35937500000006</x:v>
      </x:c>
      <x:c r="BD149" s="10" t="n"/>
      <x:c r="BE149" s="9" t="n">
        <x:f>A149</x:f>
        <x:v>0.225</x:v>
      </x:c>
      <x:c r="BF149" s="9" t="n">
        <x:f>0</x:f>
        <x:v>0</x:v>
      </x:c>
      <x:c r="BG149" s="9"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9"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9"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9"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9" t="n">
        <x:f>ROUND(-1+148*2/240,3)</x:f>
        <x:v>0.233</x:v>
      </x:c>
      <x:c r="B150" s="9" t="n">
        <x:f>IF(OR(Inputs!$F$6=TRUE,Inputs!$F$6="TRUE",Inputs!$F$6=1),(Inputs!$H$6+Inputs!$L$6*(((Inputs!$I$6+(((A150)+1)/2)*(Inputs!$J$6-Inputs!$I$6)))/Inputs!$K$6)^2),NA())</x:f>
        <x:v>400.217156</x:v>
      </x:c>
      <x:c r="C150" s="9" t="n">
        <x:f>IF(OR(Inputs!$F$7=TRUE,Inputs!$F$7="TRUE",Inputs!$F$7=1),(Inputs!$H$7+Inputs!$L$7*(((Inputs!$I$7+(((A150)+1)/2)*(Inputs!$J$7-Inputs!$I$7)))/Inputs!$K$7)^2),NA())</x:f>
        <x:v>54.815485000000024</x:v>
      </x:c>
      <x:c r="D150" s="9" t="n">
        <x:f>IF(OR(Inputs!$F$8=TRUE,Inputs!$F$8="TRUE",Inputs!$F$8=1),(Inputs!$H$8+Inputs!$L$8*(((Inputs!$I$8+(((A150)+1)/2)*(Inputs!$J$8-Inputs!$I$8)))/Inputs!$K$8)^2),NA())</x:f>
        <x:v>87.38888500000006</x:v>
      </x:c>
      <x:c r="E150" s="9" t="n">
        <x:f>IF(OR(Inputs!$F$9=TRUE,Inputs!$F$9="TRUE",Inputs!$F$9=1),(Inputs!$H$9+Inputs!$L$9*(((Inputs!$I$9+(((A150)+1)/2)*(Inputs!$J$9-Inputs!$I$9)))/Inputs!$K$9)^2),NA())</x:f>
        <x:v>77.93177500000006</x:v>
      </x:c>
      <x:c r="F150" s="10" t="n"/>
      <x:c r="G150" s="9" t="n">
        <x:f>A150</x:f>
        <x:v>0.233</x:v>
      </x:c>
      <x:c r="H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10" t="n"/>
      <x:c r="M150" s="9" t="n">
        <x:f>A150</x:f>
        <x:v>0.233</x:v>
      </x:c>
      <x:c r="N150" s="9"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9"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9"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9"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10" t="n"/>
      <x:c r="S150" s="9" t="n">
        <x:f>A150</x:f>
        <x:v>0.233</x:v>
      </x:c>
      <x:c r="T150" s="9" t="n">
        <x:f>(Inputs!$I$6+(((A150)+1)/2)*(Inputs!$J$6-Inputs!$I$6))</x:f>
        <x:v>13.980000000000004</x:v>
      </x:c>
      <x:c r="U150" s="9" t="n">
        <x:f>(Inputs!$I$7+(((A150)+1)/2)*(Inputs!$J$7-Inputs!$I$7))</x:f>
        <x:v>93.20000000000005</x:v>
      </x:c>
      <x:c r="V150" s="9" t="n">
        <x:f>(Inputs!$I$8+(((A150)+1)/2)*(Inputs!$J$8-Inputs!$I$8))</x:f>
        <x:v>186.4000000000001</x:v>
      </x:c>
      <x:c r="W150" s="9" t="n">
        <x:f>(Inputs!$I$9+(((A150)+1)/2)*(Inputs!$J$9-Inputs!$I$9))</x:f>
        <x:v>186.4000000000001</x:v>
      </x:c>
      <x:c r="X150" s="10" t="n"/>
      <x:c r="Y150" s="9" t="n">
        <x:f>A150</x:f>
        <x:v>0.233</x:v>
      </x:c>
      <x:c r="Z150" s="9" t="n">
        <x:f>(Inputs!$H$6+Inputs!$L$6*(((Inputs!$I$6+(((A150)+1)/2)*(Inputs!$J$6-Inputs!$I$6)))/Inputs!$K$6)^2)</x:f>
        <x:v>400.217156</x:v>
      </x:c>
      <x:c r="AA150" s="9" t="n">
        <x:f>(Inputs!$H$7+Inputs!$L$7*(((Inputs!$I$7+(((A150)+1)/2)*(Inputs!$J$7-Inputs!$I$7)))/Inputs!$K$7)^2)</x:f>
        <x:v>54.815485000000024</x:v>
      </x:c>
      <x:c r="AB150" s="9" t="n">
        <x:f>(Inputs!$H$8+Inputs!$L$8*(((Inputs!$I$8+(((A150)+1)/2)*(Inputs!$J$8-Inputs!$I$8)))/Inputs!$K$8)^2)</x:f>
        <x:v>87.38888500000006</x:v>
      </x:c>
      <x:c r="AC150" s="9" t="n">
        <x:f>(Inputs!$H$9+Inputs!$L$9*(((Inputs!$I$9+(((A150)+1)/2)*(Inputs!$J$9-Inputs!$I$9)))/Inputs!$K$9)^2)</x:f>
        <x:v>77.93177500000006</x:v>
      </x:c>
      <x:c r="AD150" s="10" t="n"/>
      <x:c r="AE150" s="9" t="n">
        <x:f>A150</x:f>
        <x:v>0.233</x:v>
      </x:c>
      <x:c r="AF150" s="9"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9"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9"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9"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10" t="n"/>
      <x:c r="AK150" s="9" t="n">
        <x:f>A150</x:f>
        <x:v>0.233</x:v>
      </x:c>
      <x:c r="AL150" s="9"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9"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9"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9"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10" t="n"/>
      <x:c r="AQ150" s="9" t="n">
        <x:f>A150</x:f>
        <x:v>0.233</x:v>
      </x:c>
      <x:c r="AR150" s="9" t="n">
        <x:f>0</x:f>
        <x:v>0</x:v>
      </x:c>
      <x:c r="AS150" s="9"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x:f>
        <x:v>422.9764833471079</x:v>
      </x:c>
      <x:c r="AT150" s="9"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x:f>
        <x:v>173.9880715961159</x:v>
      </x:c>
      <x:c r="AU150" s="9"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x:f>
        <x:v>169.37052952909403</x:v>
      </x:c>
      <x:c r="AV150" s="9"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x:f>
        <x:v>169.37052952909403</x:v>
      </x:c>
      <x:c r="AW150" s="10" t="n"/>
      <x:c r="AX150" s="9" t="n">
        <x:f>A150</x:f>
        <x:v>0.233</x:v>
      </x:c>
      <x:c r="AY150" s="9" t="n">
        <x:f>0</x:f>
        <x:v>0</x:v>
      </x:c>
      <x:c r="AZ150" s="9" t="n">
        <x:f>IF(OR(Inputs!$F$6=TRUE,Inputs!$F$6="TRUE",Inputs!$F$6=1),(Inputs!$H$6+Inputs!$L$6*(((Inputs!$I$6+(((A150)+1)/2)*(Inputs!$J$6-Inputs!$I$6)))/Inputs!$K$6)^2),NA())</x:f>
        <x:v>400.217156</x:v>
      </x:c>
      <x:c r="BA150" s="9" t="n">
        <x:f>IF(OR(Inputs!$F$7=TRUE,Inputs!$F$7="TRUE",Inputs!$F$7=1),(Inputs!$H$7+Inputs!$L$7*(((Inputs!$I$7+(((A150)+1)/2)*(Inputs!$J$7-Inputs!$I$7)))/Inputs!$K$7)^2),NA())</x:f>
        <x:v>54.815485000000024</x:v>
      </x:c>
      <x:c r="BB150" s="9" t="n">
        <x:f>IF(OR(Inputs!$F$8=TRUE,Inputs!$F$8="TRUE",Inputs!$F$8=1),(Inputs!$H$8+Inputs!$L$8*(((Inputs!$I$8+(((A150)+1)/2)*(Inputs!$J$8-Inputs!$I$8)))/Inputs!$K$8)^2),NA())</x:f>
        <x:v>87.38888500000006</x:v>
      </x:c>
      <x:c r="BC150" s="9" t="n">
        <x:f>IF(OR(Inputs!$F$9=TRUE,Inputs!$F$9="TRUE",Inputs!$F$9=1),(Inputs!$H$9+Inputs!$L$9*(((Inputs!$I$9+(((A150)+1)/2)*(Inputs!$J$9-Inputs!$I$9)))/Inputs!$K$9)^2),NA())</x:f>
        <x:v>77.93177500000006</x:v>
      </x:c>
      <x:c r="BD150" s="10" t="n"/>
      <x:c r="BE150" s="9" t="n">
        <x:f>A150</x:f>
        <x:v>0.233</x:v>
      </x:c>
      <x:c r="BF150" s="9" t="n">
        <x:f>0</x:f>
        <x:v>0</x:v>
      </x:c>
      <x:c r="BG150" s="9"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9"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9"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9"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9" t="n">
        <x:f>ROUND(-1+149*2/240,3)</x:f>
        <x:v>0.242</x:v>
      </x:c>
      <x:c r="B151" s="9" t="n">
        <x:f>IF(OR(Inputs!$F$6=TRUE,Inputs!$F$6="TRUE",Inputs!$F$6=1),(Inputs!$H$6+Inputs!$L$6*(((Inputs!$I$6+(((A151)+1)/2)*(Inputs!$J$6-Inputs!$I$6)))/Inputs!$K$6)^2),NA())</x:f>
        <x:v>400.234256</x:v>
      </x:c>
      <x:c r="C151" s="9" t="n">
        <x:f>IF(OR(Inputs!$F$7=TRUE,Inputs!$F$7="TRUE",Inputs!$F$7=1),(Inputs!$H$7+Inputs!$L$7*(((Inputs!$I$7+(((A151)+1)/2)*(Inputs!$J$7-Inputs!$I$7)))/Inputs!$K$7)^2),NA())</x:f>
        <x:v>56.37586</x:v>
      </x:c>
      <x:c r="D151" s="9" t="n">
        <x:f>IF(OR(Inputs!$F$8=TRUE,Inputs!$F$8="TRUE",Inputs!$F$8=1),(Inputs!$H$8+Inputs!$L$8*(((Inputs!$I$8+(((A151)+1)/2)*(Inputs!$J$8-Inputs!$I$8)))/Inputs!$K$8)^2),NA())</x:f>
        <x:v>91.51426000000001</x:v>
      </x:c>
      <x:c r="E151" s="9" t="n">
        <x:f>IF(OR(Inputs!$F$9=TRUE,Inputs!$F$9="TRUE",Inputs!$F$9=1),(Inputs!$H$9+Inputs!$L$9*(((Inputs!$I$9+(((A151)+1)/2)*(Inputs!$J$9-Inputs!$I$9)))/Inputs!$K$9)^2),NA())</x:f>
        <x:v>82.09990000000002</x:v>
      </x:c>
      <x:c r="F151" s="10" t="n"/>
      <x:c r="G151" s="9" t="n">
        <x:f>A151</x:f>
        <x:v>0.242</x:v>
      </x:c>
      <x:c r="H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10" t="n"/>
      <x:c r="M151" s="9" t="n">
        <x:f>A151</x:f>
        <x:v>0.242</x:v>
      </x:c>
      <x:c r="N151" s="9"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9"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9"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9"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10" t="n"/>
      <x:c r="S151" s="9" t="n">
        <x:f>A151</x:f>
        <x:v>0.242</x:v>
      </x:c>
      <x:c r="T151" s="9" t="n">
        <x:f>(Inputs!$I$6+(((A151)+1)/2)*(Inputs!$J$6-Inputs!$I$6))</x:f>
        <x:v>14.519999999999996</x:v>
      </x:c>
      <x:c r="U151" s="9" t="n">
        <x:f>(Inputs!$I$7+(((A151)+1)/2)*(Inputs!$J$7-Inputs!$I$7))</x:f>
        <x:v>96.80000000000001</x:v>
      </x:c>
      <x:c r="V151" s="9" t="n">
        <x:f>(Inputs!$I$8+(((A151)+1)/2)*(Inputs!$J$8-Inputs!$I$8))</x:f>
        <x:v>193.60000000000002</x:v>
      </x:c>
      <x:c r="W151" s="9" t="n">
        <x:f>(Inputs!$I$9+(((A151)+1)/2)*(Inputs!$J$9-Inputs!$I$9))</x:f>
        <x:v>193.60000000000002</x:v>
      </x:c>
      <x:c r="X151" s="10" t="n"/>
      <x:c r="Y151" s="9" t="n">
        <x:f>A151</x:f>
        <x:v>0.242</x:v>
      </x:c>
      <x:c r="Z151" s="9" t="n">
        <x:f>(Inputs!$H$6+Inputs!$L$6*(((Inputs!$I$6+(((A151)+1)/2)*(Inputs!$J$6-Inputs!$I$6)))/Inputs!$K$6)^2)</x:f>
        <x:v>400.234256</x:v>
      </x:c>
      <x:c r="AA151" s="9" t="n">
        <x:f>(Inputs!$H$7+Inputs!$L$7*(((Inputs!$I$7+(((A151)+1)/2)*(Inputs!$J$7-Inputs!$I$7)))/Inputs!$K$7)^2)</x:f>
        <x:v>56.37586</x:v>
      </x:c>
      <x:c r="AB151" s="9" t="n">
        <x:f>(Inputs!$H$8+Inputs!$L$8*(((Inputs!$I$8+(((A151)+1)/2)*(Inputs!$J$8-Inputs!$I$8)))/Inputs!$K$8)^2)</x:f>
        <x:v>91.51426000000001</x:v>
      </x:c>
      <x:c r="AC151" s="9" t="n">
        <x:f>(Inputs!$H$9+Inputs!$L$9*(((Inputs!$I$9+(((A151)+1)/2)*(Inputs!$J$9-Inputs!$I$9)))/Inputs!$K$9)^2)</x:f>
        <x:v>82.09990000000002</x:v>
      </x:c>
      <x:c r="AD151" s="10" t="n"/>
      <x:c r="AE151" s="9" t="n">
        <x:f>A151</x:f>
        <x:v>0.242</x:v>
      </x:c>
      <x:c r="AF151" s="9"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9"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9"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9"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10" t="n"/>
      <x:c r="AK151" s="9" t="n">
        <x:f>A151</x:f>
        <x:v>0.242</x:v>
      </x:c>
      <x:c r="AL151" s="9"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9"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9"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9"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10" t="n"/>
      <x:c r="AQ151" s="9" t="n">
        <x:f>A151</x:f>
        <x:v>0.242</x:v>
      </x:c>
      <x:c r="AR151" s="9" t="n">
        <x:f>0</x:f>
        <x:v>0</x:v>
      </x:c>
      <x:c r="AS151" s="9"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x:f>
        <x:v>417.44975846448233</x:v>
      </x:c>
      <x:c r="AT151" s="9"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x:f>
        <x:v>203.88439653681294</x:v>
      </x:c>
      <x:c r="AU151" s="9"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x:f>
        <x:v>85.07745798640758</x:v>
      </x:c>
      <x:c r="AV151" s="9"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x:f>
        <x:v>85.07745798640758</x:v>
      </x:c>
      <x:c r="AW151" s="10" t="n"/>
      <x:c r="AX151" s="9" t="n">
        <x:f>A151</x:f>
        <x:v>0.242</x:v>
      </x:c>
      <x:c r="AY151" s="9" t="n">
        <x:f>0</x:f>
        <x:v>0</x:v>
      </x:c>
      <x:c r="AZ151" s="9" t="n">
        <x:f>IF(OR(Inputs!$F$6=TRUE,Inputs!$F$6="TRUE",Inputs!$F$6=1),(Inputs!$H$6+Inputs!$L$6*(((Inputs!$I$6+(((A151)+1)/2)*(Inputs!$J$6-Inputs!$I$6)))/Inputs!$K$6)^2),NA())</x:f>
        <x:v>400.234256</x:v>
      </x:c>
      <x:c r="BA151" s="9" t="n">
        <x:f>IF(OR(Inputs!$F$7=TRUE,Inputs!$F$7="TRUE",Inputs!$F$7=1),(Inputs!$H$7+Inputs!$L$7*(((Inputs!$I$7+(((A151)+1)/2)*(Inputs!$J$7-Inputs!$I$7)))/Inputs!$K$7)^2),NA())</x:f>
        <x:v>56.37586</x:v>
      </x:c>
      <x:c r="BB151" s="9" t="n">
        <x:f>IF(OR(Inputs!$F$8=TRUE,Inputs!$F$8="TRUE",Inputs!$F$8=1),(Inputs!$H$8+Inputs!$L$8*(((Inputs!$I$8+(((A151)+1)/2)*(Inputs!$J$8-Inputs!$I$8)))/Inputs!$K$8)^2),NA())</x:f>
        <x:v>91.51426000000001</x:v>
      </x:c>
      <x:c r="BC151" s="9" t="n">
        <x:f>IF(OR(Inputs!$F$9=TRUE,Inputs!$F$9="TRUE",Inputs!$F$9=1),(Inputs!$H$9+Inputs!$L$9*(((Inputs!$I$9+(((A151)+1)/2)*(Inputs!$J$9-Inputs!$I$9)))/Inputs!$K$9)^2),NA())</x:f>
        <x:v>82.09990000000002</x:v>
      </x:c>
      <x:c r="BD151" s="10" t="n"/>
      <x:c r="BE151" s="9" t="n">
        <x:f>A151</x:f>
        <x:v>0.242</x:v>
      </x:c>
      <x:c r="BF151" s="9" t="n">
        <x:f>0</x:f>
        <x:v>0</x:v>
      </x:c>
      <x:c r="BG151" s="9"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9"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9"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9"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9" t="n">
        <x:f>ROUND(-1+150*2/240,3)</x:f>
        <x:v>0.25</x:v>
      </x:c>
      <x:c r="B152" s="9" t="n">
        <x:f>IF(OR(Inputs!$F$6=TRUE,Inputs!$F$6="TRUE",Inputs!$F$6=1),(Inputs!$H$6+Inputs!$L$6*(((Inputs!$I$6+(((A152)+1)/2)*(Inputs!$J$6-Inputs!$I$6)))/Inputs!$K$6)^2),NA())</x:f>
        <x:v>400.25</x:v>
      </x:c>
      <x:c r="C152" s="9" t="n">
        <x:f>IF(OR(Inputs!$F$7=TRUE,Inputs!$F$7="TRUE",Inputs!$F$7=1),(Inputs!$H$7+Inputs!$L$7*(((Inputs!$I$7+(((A152)+1)/2)*(Inputs!$J$7-Inputs!$I$7)))/Inputs!$K$7)^2),NA())</x:f>
        <x:v>57.8125</x:v>
      </x:c>
      <x:c r="D152" s="9" t="n">
        <x:f>IF(OR(Inputs!$F$8=TRUE,Inputs!$F$8="TRUE",Inputs!$F$8=1),(Inputs!$H$8+Inputs!$L$8*(((Inputs!$I$8+(((A152)+1)/2)*(Inputs!$J$8-Inputs!$I$8)))/Inputs!$K$8)^2),NA())</x:f>
        <x:v>95.3125</x:v>
      </x:c>
      <x:c r="E152" s="9" t="n">
        <x:f>IF(OR(Inputs!$F$9=TRUE,Inputs!$F$9="TRUE",Inputs!$F$9=1),(Inputs!$H$9+Inputs!$L$9*(((Inputs!$I$9+(((A152)+1)/2)*(Inputs!$J$9-Inputs!$I$9)))/Inputs!$K$9)^2),NA())</x:f>
        <x:v>85.9375</x:v>
      </x:c>
      <x:c r="F152" s="10" t="n"/>
      <x:c r="G152" s="9" t="n">
        <x:f>A152</x:f>
        <x:v>0.25</x:v>
      </x:c>
      <x:c r="H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10" t="n"/>
      <x:c r="M152" s="9" t="n">
        <x:f>A152</x:f>
        <x:v>0.25</x:v>
      </x:c>
      <x:c r="N152" s="9"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9"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9"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9"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10" t="n"/>
      <x:c r="S152" s="9" t="n">
        <x:f>A152</x:f>
        <x:v>0.25</x:v>
      </x:c>
      <x:c r="T152" s="9" t="n">
        <x:f>(Inputs!$I$6+(((A152)+1)/2)*(Inputs!$J$6-Inputs!$I$6))</x:f>
        <x:v>15</x:v>
      </x:c>
      <x:c r="U152" s="9" t="n">
        <x:f>(Inputs!$I$7+(((A152)+1)/2)*(Inputs!$J$7-Inputs!$I$7))</x:f>
        <x:v>100</x:v>
      </x:c>
      <x:c r="V152" s="9" t="n">
        <x:f>(Inputs!$I$8+(((A152)+1)/2)*(Inputs!$J$8-Inputs!$I$8))</x:f>
        <x:v>200</x:v>
      </x:c>
      <x:c r="W152" s="9" t="n">
        <x:f>(Inputs!$I$9+(((A152)+1)/2)*(Inputs!$J$9-Inputs!$I$9))</x:f>
        <x:v>200</x:v>
      </x:c>
      <x:c r="X152" s="10" t="n"/>
      <x:c r="Y152" s="9" t="n">
        <x:f>A152</x:f>
        <x:v>0.25</x:v>
      </x:c>
      <x:c r="Z152" s="9" t="n">
        <x:f>(Inputs!$H$6+Inputs!$L$6*(((Inputs!$I$6+(((A152)+1)/2)*(Inputs!$J$6-Inputs!$I$6)))/Inputs!$K$6)^2)</x:f>
        <x:v>400.25</x:v>
      </x:c>
      <x:c r="AA152" s="9" t="n">
        <x:f>(Inputs!$H$7+Inputs!$L$7*(((Inputs!$I$7+(((A152)+1)/2)*(Inputs!$J$7-Inputs!$I$7)))/Inputs!$K$7)^2)</x:f>
        <x:v>57.8125</x:v>
      </x:c>
      <x:c r="AB152" s="9" t="n">
        <x:f>(Inputs!$H$8+Inputs!$L$8*(((Inputs!$I$8+(((A152)+1)/2)*(Inputs!$J$8-Inputs!$I$8)))/Inputs!$K$8)^2)</x:f>
        <x:v>95.3125</x:v>
      </x:c>
      <x:c r="AC152" s="9" t="n">
        <x:f>(Inputs!$H$9+Inputs!$L$9*(((Inputs!$I$9+(((A152)+1)/2)*(Inputs!$J$9-Inputs!$I$9)))/Inputs!$K$9)^2)</x:f>
        <x:v>85.9375</x:v>
      </x:c>
      <x:c r="AD152" s="10" t="n"/>
      <x:c r="AE152" s="9" t="n">
        <x:f>A152</x:f>
        <x:v>0.25</x:v>
      </x:c>
      <x:c r="AF152" s="9"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9"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9"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9"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10" t="n"/>
      <x:c r="AK152" s="9" t="n">
        <x:f>A152</x:f>
        <x:v>0.25</x:v>
      </x:c>
      <x:c r="AL152" s="9"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9"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9"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9"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10" t="n"/>
      <x:c r="AQ152" s="9" t="n">
        <x:f>A152</x:f>
        <x:v>0.25</x:v>
      </x:c>
      <x:c r="AR152" s="9" t="n">
        <x:f>0</x:f>
        <x:v>0</x:v>
      </x:c>
      <x:c r="AS152" s="9"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x:f>
        <x:v>399.34593170493116</x:v>
      </x:c>
      <x:c r="AT152" s="9"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x:f>
        <x:v>145.81280158474385</x:v>
      </x:c>
      <x:c r="AU152" s="9"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x:f>
        <x:v>158.86775074007286</x:v>
      </x:c>
      <x:c r="AV152" s="9"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x:f>
        <x:v>158.86775074007286</x:v>
      </x:c>
      <x:c r="AW152" s="10" t="n"/>
      <x:c r="AX152" s="9" t="n">
        <x:f>A152</x:f>
        <x:v>0.25</x:v>
      </x:c>
      <x:c r="AY152" s="9" t="n">
        <x:f>0</x:f>
        <x:v>0</x:v>
      </x:c>
      <x:c r="AZ152" s="9" t="n">
        <x:f>IF(OR(Inputs!$F$6=TRUE,Inputs!$F$6="TRUE",Inputs!$F$6=1),(Inputs!$H$6+Inputs!$L$6*(((Inputs!$I$6+(((A152)+1)/2)*(Inputs!$J$6-Inputs!$I$6)))/Inputs!$K$6)^2),NA())</x:f>
        <x:v>400.25</x:v>
      </x:c>
      <x:c r="BA152" s="9" t="n">
        <x:f>IF(OR(Inputs!$F$7=TRUE,Inputs!$F$7="TRUE",Inputs!$F$7=1),(Inputs!$H$7+Inputs!$L$7*(((Inputs!$I$7+(((A152)+1)/2)*(Inputs!$J$7-Inputs!$I$7)))/Inputs!$K$7)^2),NA())</x:f>
        <x:v>57.8125</x:v>
      </x:c>
      <x:c r="BB152" s="9" t="n">
        <x:f>IF(OR(Inputs!$F$8=TRUE,Inputs!$F$8="TRUE",Inputs!$F$8=1),(Inputs!$H$8+Inputs!$L$8*(((Inputs!$I$8+(((A152)+1)/2)*(Inputs!$J$8-Inputs!$I$8)))/Inputs!$K$8)^2),NA())</x:f>
        <x:v>95.3125</x:v>
      </x:c>
      <x:c r="BC152" s="9" t="n">
        <x:f>IF(OR(Inputs!$F$9=TRUE,Inputs!$F$9="TRUE",Inputs!$F$9=1),(Inputs!$H$9+Inputs!$L$9*(((Inputs!$I$9+(((A152)+1)/2)*(Inputs!$J$9-Inputs!$I$9)))/Inputs!$K$9)^2),NA())</x:f>
        <x:v>85.9375</x:v>
      </x:c>
      <x:c r="BD152" s="10" t="n"/>
      <x:c r="BE152" s="9" t="n">
        <x:f>A152</x:f>
        <x:v>0.25</x:v>
      </x:c>
      <x:c r="BF152" s="9" t="n">
        <x:f>0</x:f>
        <x:v>0</x:v>
      </x:c>
      <x:c r="BG152" s="9"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9"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9"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9"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9" t="n">
        <x:f>ROUND(-1+151*2/240,3)</x:f>
        <x:v>0.258</x:v>
      </x:c>
      <x:c r="B153" s="9" t="n">
        <x:f>IF(OR(Inputs!$F$6=TRUE,Inputs!$F$6="TRUE",Inputs!$F$6=1),(Inputs!$H$6+Inputs!$L$6*(((Inputs!$I$6+(((A153)+1)/2)*(Inputs!$J$6-Inputs!$I$6)))/Inputs!$K$6)^2),NA())</x:f>
        <x:v>400.266256</x:v>
      </x:c>
      <x:c r="C153" s="9" t="n">
        <x:f>IF(OR(Inputs!$F$7=TRUE,Inputs!$F$7="TRUE",Inputs!$F$7=1),(Inputs!$H$7+Inputs!$L$7*(((Inputs!$I$7+(((A153)+1)/2)*(Inputs!$J$7-Inputs!$I$7)))/Inputs!$K$7)^2),NA())</x:f>
        <x:v>59.29585999999999</x:v>
      </x:c>
      <x:c r="D153" s="9" t="n">
        <x:f>IF(OR(Inputs!$F$8=TRUE,Inputs!$F$8="TRUE",Inputs!$F$8=1),(Inputs!$H$8+Inputs!$L$8*(((Inputs!$I$8+(((A153)+1)/2)*(Inputs!$J$8-Inputs!$I$8)))/Inputs!$K$8)^2),NA())</x:f>
        <x:v>99.23425999999998</x:v>
      </x:c>
      <x:c r="E153" s="9" t="n">
        <x:f>IF(OR(Inputs!$F$9=TRUE,Inputs!$F$9="TRUE",Inputs!$F$9=1),(Inputs!$H$9+Inputs!$L$9*(((Inputs!$I$9+(((A153)+1)/2)*(Inputs!$J$9-Inputs!$I$9)))/Inputs!$K$9)^2),NA())</x:f>
        <x:v>89.89989999999997</x:v>
      </x:c>
      <x:c r="F153" s="10" t="n"/>
      <x:c r="G153" s="9" t="n">
        <x:f>A153</x:f>
        <x:v>0.258</x:v>
      </x:c>
      <x:c r="H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10" t="n"/>
      <x:c r="M153" s="9" t="n">
        <x:f>A153</x:f>
        <x:v>0.258</x:v>
      </x:c>
      <x:c r="N153" s="9"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9"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9"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9"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10" t="n"/>
      <x:c r="S153" s="9" t="n">
        <x:f>A153</x:f>
        <x:v>0.258</x:v>
      </x:c>
      <x:c r="T153" s="9" t="n">
        <x:f>(Inputs!$I$6+(((A153)+1)/2)*(Inputs!$J$6-Inputs!$I$6))</x:f>
        <x:v>15.480000000000004</x:v>
      </x:c>
      <x:c r="U153" s="9" t="n">
        <x:f>(Inputs!$I$7+(((A153)+1)/2)*(Inputs!$J$7-Inputs!$I$7))</x:f>
        <x:v>103.19999999999999</x:v>
      </x:c>
      <x:c r="V153" s="9" t="n">
        <x:f>(Inputs!$I$8+(((A153)+1)/2)*(Inputs!$J$8-Inputs!$I$8))</x:f>
        <x:v>206.39999999999998</x:v>
      </x:c>
      <x:c r="W153" s="9" t="n">
        <x:f>(Inputs!$I$9+(((A153)+1)/2)*(Inputs!$J$9-Inputs!$I$9))</x:f>
        <x:v>206.39999999999998</x:v>
      </x:c>
      <x:c r="X153" s="10" t="n"/>
      <x:c r="Y153" s="9" t="n">
        <x:f>A153</x:f>
        <x:v>0.258</x:v>
      </x:c>
      <x:c r="Z153" s="9" t="n">
        <x:f>(Inputs!$H$6+Inputs!$L$6*(((Inputs!$I$6+(((A153)+1)/2)*(Inputs!$J$6-Inputs!$I$6)))/Inputs!$K$6)^2)</x:f>
        <x:v>400.266256</x:v>
      </x:c>
      <x:c r="AA153" s="9" t="n">
        <x:f>(Inputs!$H$7+Inputs!$L$7*(((Inputs!$I$7+(((A153)+1)/2)*(Inputs!$J$7-Inputs!$I$7)))/Inputs!$K$7)^2)</x:f>
        <x:v>59.29585999999999</x:v>
      </x:c>
      <x:c r="AB153" s="9" t="n">
        <x:f>(Inputs!$H$8+Inputs!$L$8*(((Inputs!$I$8+(((A153)+1)/2)*(Inputs!$J$8-Inputs!$I$8)))/Inputs!$K$8)^2)</x:f>
        <x:v>99.23425999999998</x:v>
      </x:c>
      <x:c r="AC153" s="9" t="n">
        <x:f>(Inputs!$H$9+Inputs!$L$9*(((Inputs!$I$9+(((A153)+1)/2)*(Inputs!$J$9-Inputs!$I$9)))/Inputs!$K$9)^2)</x:f>
        <x:v>89.89989999999997</x:v>
      </x:c>
      <x:c r="AD153" s="10" t="n"/>
      <x:c r="AE153" s="9" t="n">
        <x:f>A153</x:f>
        <x:v>0.258</x:v>
      </x:c>
      <x:c r="AF153" s="9"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9"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9"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9"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10" t="n"/>
      <x:c r="AK153" s="9" t="n">
        <x:f>A153</x:f>
        <x:v>0.258</x:v>
      </x:c>
      <x:c r="AL153" s="9"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9"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9"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9"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10" t="n"/>
      <x:c r="AQ153" s="9" t="n">
        <x:f>A153</x:f>
        <x:v>0.258</x:v>
      </x:c>
      <x:c r="AR153" s="9" t="n">
        <x:f>0</x:f>
        <x:v>0</x:v>
      </x:c>
      <x:c r="AS153" s="9"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x:f>
        <x:v>395.3000924820049</x:v>
      </x:c>
      <x:c r="AT153" s="9"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x:f>
        <x:v>69.05880867402514</x:v>
      </x:c>
      <x:c r="AU153" s="9"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x:f>
        <x:v>151.27363630682072</x:v>
      </x:c>
      <x:c r="AV153" s="9"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x:f>
        <x:v>151.27363630682072</x:v>
      </x:c>
      <x:c r="AW153" s="10" t="n"/>
      <x:c r="AX153" s="9" t="n">
        <x:f>A153</x:f>
        <x:v>0.258</x:v>
      </x:c>
      <x:c r="AY153" s="9" t="n">
        <x:f>0</x:f>
        <x:v>0</x:v>
      </x:c>
      <x:c r="AZ153" s="9" t="n">
        <x:f>IF(OR(Inputs!$F$6=TRUE,Inputs!$F$6="TRUE",Inputs!$F$6=1),(Inputs!$H$6+Inputs!$L$6*(((Inputs!$I$6+(((A153)+1)/2)*(Inputs!$J$6-Inputs!$I$6)))/Inputs!$K$6)^2),NA())</x:f>
        <x:v>400.266256</x:v>
      </x:c>
      <x:c r="BA153" s="9" t="n">
        <x:f>IF(OR(Inputs!$F$7=TRUE,Inputs!$F$7="TRUE",Inputs!$F$7=1),(Inputs!$H$7+Inputs!$L$7*(((Inputs!$I$7+(((A153)+1)/2)*(Inputs!$J$7-Inputs!$I$7)))/Inputs!$K$7)^2),NA())</x:f>
        <x:v>59.29585999999999</x:v>
      </x:c>
      <x:c r="BB153" s="9" t="n">
        <x:f>IF(OR(Inputs!$F$8=TRUE,Inputs!$F$8="TRUE",Inputs!$F$8=1),(Inputs!$H$8+Inputs!$L$8*(((Inputs!$I$8+(((A153)+1)/2)*(Inputs!$J$8-Inputs!$I$8)))/Inputs!$K$8)^2),NA())</x:f>
        <x:v>99.23425999999998</x:v>
      </x:c>
      <x:c r="BC153" s="9" t="n">
        <x:f>IF(OR(Inputs!$F$9=TRUE,Inputs!$F$9="TRUE",Inputs!$F$9=1),(Inputs!$H$9+Inputs!$L$9*(((Inputs!$I$9+(((A153)+1)/2)*(Inputs!$J$9-Inputs!$I$9)))/Inputs!$K$9)^2),NA())</x:f>
        <x:v>89.89989999999997</x:v>
      </x:c>
      <x:c r="BD153" s="10" t="n"/>
      <x:c r="BE153" s="9" t="n">
        <x:f>A153</x:f>
        <x:v>0.258</x:v>
      </x:c>
      <x:c r="BF153" s="9" t="n">
        <x:f>0</x:f>
        <x:v>0</x:v>
      </x:c>
      <x:c r="BG153" s="9"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9"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9"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9"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9" t="n">
        <x:f>ROUND(-1+152*2/240,3)</x:f>
        <x:v>0.267</x:v>
      </x:c>
      <x:c r="B154" s="9" t="n">
        <x:f>IF(OR(Inputs!$F$6=TRUE,Inputs!$F$6="TRUE",Inputs!$F$6=1),(Inputs!$H$6+Inputs!$L$6*(((Inputs!$I$6+(((A154)+1)/2)*(Inputs!$J$6-Inputs!$I$6)))/Inputs!$K$6)^2),NA())</x:f>
        <x:v>400.285156</x:v>
      </x:c>
      <x:c r="C154" s="9" t="n">
        <x:f>IF(OR(Inputs!$F$7=TRUE,Inputs!$F$7="TRUE",Inputs!$F$7=1),(Inputs!$H$7+Inputs!$L$7*(((Inputs!$I$7+(((A154)+1)/2)*(Inputs!$J$7-Inputs!$I$7)))/Inputs!$K$7)^2),NA())</x:f>
        <x:v>61.02048499999998</x:v>
      </x:c>
      <x:c r="D154" s="9" t="n">
        <x:f>IF(OR(Inputs!$F$8=TRUE,Inputs!$F$8="TRUE",Inputs!$F$8=1),(Inputs!$H$8+Inputs!$L$8*(((Inputs!$I$8+(((A154)+1)/2)*(Inputs!$J$8-Inputs!$I$8)))/Inputs!$K$8)^2),NA())</x:f>
        <x:v>103.79388499999995</x:v>
      </x:c>
      <x:c r="E154" s="9" t="n">
        <x:f>IF(OR(Inputs!$F$9=TRUE,Inputs!$F$9="TRUE",Inputs!$F$9=1),(Inputs!$H$9+Inputs!$L$9*(((Inputs!$I$9+(((A154)+1)/2)*(Inputs!$J$9-Inputs!$I$9)))/Inputs!$K$9)^2),NA())</x:f>
        <x:v>94.50677499999995</x:v>
      </x:c>
      <x:c r="F154" s="10" t="n"/>
      <x:c r="G154" s="9" t="n">
        <x:f>A154</x:f>
        <x:v>0.267</x:v>
      </x:c>
      <x:c r="H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10" t="n"/>
      <x:c r="M154" s="9" t="n">
        <x:f>A154</x:f>
        <x:v>0.267</x:v>
      </x:c>
      <x:c r="N154" s="9"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9"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9"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9"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10" t="n"/>
      <x:c r="S154" s="9" t="n">
        <x:f>A154</x:f>
        <x:v>0.267</x:v>
      </x:c>
      <x:c r="T154" s="9" t="n">
        <x:f>(Inputs!$I$6+(((A154)+1)/2)*(Inputs!$J$6-Inputs!$I$6))</x:f>
        <x:v>16.019999999999996</x:v>
      </x:c>
      <x:c r="U154" s="9" t="n">
        <x:f>(Inputs!$I$7+(((A154)+1)/2)*(Inputs!$J$7-Inputs!$I$7))</x:f>
        <x:v>106.79999999999995</x:v>
      </x:c>
      <x:c r="V154" s="9" t="n">
        <x:f>(Inputs!$I$8+(((A154)+1)/2)*(Inputs!$J$8-Inputs!$I$8))</x:f>
        <x:v>213.5999999999999</x:v>
      </x:c>
      <x:c r="W154" s="9" t="n">
        <x:f>(Inputs!$I$9+(((A154)+1)/2)*(Inputs!$J$9-Inputs!$I$9))</x:f>
        <x:v>213.5999999999999</x:v>
      </x:c>
      <x:c r="X154" s="10" t="n"/>
      <x:c r="Y154" s="9" t="n">
        <x:f>A154</x:f>
        <x:v>0.267</x:v>
      </x:c>
      <x:c r="Z154" s="9" t="n">
        <x:f>(Inputs!$H$6+Inputs!$L$6*(((Inputs!$I$6+(((A154)+1)/2)*(Inputs!$J$6-Inputs!$I$6)))/Inputs!$K$6)^2)</x:f>
        <x:v>400.285156</x:v>
      </x:c>
      <x:c r="AA154" s="9" t="n">
        <x:f>(Inputs!$H$7+Inputs!$L$7*(((Inputs!$I$7+(((A154)+1)/2)*(Inputs!$J$7-Inputs!$I$7)))/Inputs!$K$7)^2)</x:f>
        <x:v>61.02048499999998</x:v>
      </x:c>
      <x:c r="AB154" s="9" t="n">
        <x:f>(Inputs!$H$8+Inputs!$L$8*(((Inputs!$I$8+(((A154)+1)/2)*(Inputs!$J$8-Inputs!$I$8)))/Inputs!$K$8)^2)</x:f>
        <x:v>103.79388499999995</x:v>
      </x:c>
      <x:c r="AC154" s="9" t="n">
        <x:f>(Inputs!$H$9+Inputs!$L$9*(((Inputs!$I$9+(((A154)+1)/2)*(Inputs!$J$9-Inputs!$I$9)))/Inputs!$K$9)^2)</x:f>
        <x:v>94.50677499999995</x:v>
      </x:c>
      <x:c r="AD154" s="10" t="n"/>
      <x:c r="AE154" s="9" t="n">
        <x:f>A154</x:f>
        <x:v>0.267</x:v>
      </x:c>
      <x:c r="AF154" s="9"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9"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9"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9"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10" t="n"/>
      <x:c r="AK154" s="9" t="n">
        <x:f>A154</x:f>
        <x:v>0.267</x:v>
      </x:c>
      <x:c r="AL154" s="9"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9"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9"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9"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10" t="n"/>
      <x:c r="AQ154" s="9" t="n">
        <x:f>A154</x:f>
        <x:v>0.267</x:v>
      </x:c>
      <x:c r="AR154" s="9" t="n">
        <x:f>0</x:f>
        <x:v>0</x:v>
      </x:c>
      <x:c r="AS154" s="9"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x:f>
        <x:v>402.66314608033497</x:v>
      </x:c>
      <x:c r="AT154" s="9"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x:f>
        <x:v>113.58459570558153</x:v>
      </x:c>
      <x:c r="AU154" s="9"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x:f>
        <x:v>82.05897988380767</x:v>
      </x:c>
      <x:c r="AV154" s="9"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x:f>
        <x:v>82.05897988380767</x:v>
      </x:c>
      <x:c r="AW154" s="10" t="n"/>
      <x:c r="AX154" s="9" t="n">
        <x:f>A154</x:f>
        <x:v>0.267</x:v>
      </x:c>
      <x:c r="AY154" s="9" t="n">
        <x:f>0</x:f>
        <x:v>0</x:v>
      </x:c>
      <x:c r="AZ154" s="9" t="n">
        <x:f>IF(OR(Inputs!$F$6=TRUE,Inputs!$F$6="TRUE",Inputs!$F$6=1),(Inputs!$H$6+Inputs!$L$6*(((Inputs!$I$6+(((A154)+1)/2)*(Inputs!$J$6-Inputs!$I$6)))/Inputs!$K$6)^2),NA())</x:f>
        <x:v>400.285156</x:v>
      </x:c>
      <x:c r="BA154" s="9" t="n">
        <x:f>IF(OR(Inputs!$F$7=TRUE,Inputs!$F$7="TRUE",Inputs!$F$7=1),(Inputs!$H$7+Inputs!$L$7*(((Inputs!$I$7+(((A154)+1)/2)*(Inputs!$J$7-Inputs!$I$7)))/Inputs!$K$7)^2),NA())</x:f>
        <x:v>61.02048499999998</x:v>
      </x:c>
      <x:c r="BB154" s="9" t="n">
        <x:f>IF(OR(Inputs!$F$8=TRUE,Inputs!$F$8="TRUE",Inputs!$F$8=1),(Inputs!$H$8+Inputs!$L$8*(((Inputs!$I$8+(((A154)+1)/2)*(Inputs!$J$8-Inputs!$I$8)))/Inputs!$K$8)^2),NA())</x:f>
        <x:v>103.79388499999995</x:v>
      </x:c>
      <x:c r="BC154" s="9" t="n">
        <x:f>IF(OR(Inputs!$F$9=TRUE,Inputs!$F$9="TRUE",Inputs!$F$9=1),(Inputs!$H$9+Inputs!$L$9*(((Inputs!$I$9+(((A154)+1)/2)*(Inputs!$J$9-Inputs!$I$9)))/Inputs!$K$9)^2),NA())</x:f>
        <x:v>94.50677499999995</x:v>
      </x:c>
      <x:c r="BD154" s="10" t="n"/>
      <x:c r="BE154" s="9" t="n">
        <x:f>A154</x:f>
        <x:v>0.267</x:v>
      </x:c>
      <x:c r="BF154" s="9" t="n">
        <x:f>0</x:f>
        <x:v>0</x:v>
      </x:c>
      <x:c r="BG154" s="9"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9"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9"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9"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9" t="n">
        <x:f>ROUND(-1+153*2/240,3)</x:f>
        <x:v>0.275</x:v>
      </x:c>
      <x:c r="B155" s="9" t="n">
        <x:f>IF(OR(Inputs!$F$6=TRUE,Inputs!$F$6="TRUE",Inputs!$F$6=1),(Inputs!$H$6+Inputs!$L$6*(((Inputs!$I$6+(((A155)+1)/2)*(Inputs!$J$6-Inputs!$I$6)))/Inputs!$K$6)^2),NA())</x:f>
        <x:v>400.3025</x:v>
      </x:c>
      <x:c r="C155" s="9" t="n">
        <x:f>IF(OR(Inputs!$F$7=TRUE,Inputs!$F$7="TRUE",Inputs!$F$7=1),(Inputs!$H$7+Inputs!$L$7*(((Inputs!$I$7+(((A155)+1)/2)*(Inputs!$J$7-Inputs!$I$7)))/Inputs!$K$7)^2),NA())</x:f>
        <x:v>62.60312499999997</x:v>
      </x:c>
      <x:c r="D155" s="9" t="n">
        <x:f>IF(OR(Inputs!$F$8=TRUE,Inputs!$F$8="TRUE",Inputs!$F$8=1),(Inputs!$H$8+Inputs!$L$8*(((Inputs!$I$8+(((A155)+1)/2)*(Inputs!$J$8-Inputs!$I$8)))/Inputs!$K$8)^2),NA())</x:f>
        <x:v>107.97812499999992</x:v>
      </x:c>
      <x:c r="E155" s="9" t="n">
        <x:f>IF(OR(Inputs!$F$9=TRUE,Inputs!$F$9="TRUE",Inputs!$F$9=1),(Inputs!$H$9+Inputs!$L$9*(((Inputs!$I$9+(((A155)+1)/2)*(Inputs!$J$9-Inputs!$I$9)))/Inputs!$K$9)^2),NA())</x:f>
        <x:v>98.73437499999991</x:v>
      </x:c>
      <x:c r="F155" s="10" t="n"/>
      <x:c r="G155" s="9" t="n">
        <x:f>A155</x:f>
        <x:v>0.275</x:v>
      </x:c>
      <x:c r="H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10" t="n"/>
      <x:c r="M155" s="9" t="n">
        <x:f>A155</x:f>
        <x:v>0.275</x:v>
      </x:c>
      <x:c r="N155" s="9"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9"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9"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9"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10" t="n"/>
      <x:c r="S155" s="9" t="n">
        <x:f>A155</x:f>
        <x:v>0.275</x:v>
      </x:c>
      <x:c r="T155" s="9" t="n">
        <x:f>(Inputs!$I$6+(((A155)+1)/2)*(Inputs!$J$6-Inputs!$I$6))</x:f>
        <x:v>16.5</x:v>
      </x:c>
      <x:c r="U155" s="9" t="n">
        <x:f>(Inputs!$I$7+(((A155)+1)/2)*(Inputs!$J$7-Inputs!$I$7))</x:f>
        <x:v>109.99999999999994</x:v>
      </x:c>
      <x:c r="V155" s="9" t="n">
        <x:f>(Inputs!$I$8+(((A155)+1)/2)*(Inputs!$J$8-Inputs!$I$8))</x:f>
        <x:v>219.9999999999999</x:v>
      </x:c>
      <x:c r="W155" s="9" t="n">
        <x:f>(Inputs!$I$9+(((A155)+1)/2)*(Inputs!$J$9-Inputs!$I$9))</x:f>
        <x:v>219.9999999999999</x:v>
      </x:c>
      <x:c r="X155" s="10" t="n"/>
      <x:c r="Y155" s="9" t="n">
        <x:f>A155</x:f>
        <x:v>0.275</x:v>
      </x:c>
      <x:c r="Z155" s="9" t="n">
        <x:f>(Inputs!$H$6+Inputs!$L$6*(((Inputs!$I$6+(((A155)+1)/2)*(Inputs!$J$6-Inputs!$I$6)))/Inputs!$K$6)^2)</x:f>
        <x:v>400.3025</x:v>
      </x:c>
      <x:c r="AA155" s="9" t="n">
        <x:f>(Inputs!$H$7+Inputs!$L$7*(((Inputs!$I$7+(((A155)+1)/2)*(Inputs!$J$7-Inputs!$I$7)))/Inputs!$K$7)^2)</x:f>
        <x:v>62.60312499999997</x:v>
      </x:c>
      <x:c r="AB155" s="9" t="n">
        <x:f>(Inputs!$H$8+Inputs!$L$8*(((Inputs!$I$8+(((A155)+1)/2)*(Inputs!$J$8-Inputs!$I$8)))/Inputs!$K$8)^2)</x:f>
        <x:v>107.97812499999992</x:v>
      </x:c>
      <x:c r="AC155" s="9" t="n">
        <x:f>(Inputs!$H$9+Inputs!$L$9*(((Inputs!$I$9+(((A155)+1)/2)*(Inputs!$J$9-Inputs!$I$9)))/Inputs!$K$9)^2)</x:f>
        <x:v>98.73437499999991</x:v>
      </x:c>
      <x:c r="AD155" s="10" t="n"/>
      <x:c r="AE155" s="9" t="n">
        <x:f>A155</x:f>
        <x:v>0.275</x:v>
      </x:c>
      <x:c r="AF155" s="9"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9"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9"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9"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10" t="n"/>
      <x:c r="AK155" s="9" t="n">
        <x:f>A155</x:f>
        <x:v>0.275</x:v>
      </x:c>
      <x:c r="AL155" s="9"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9"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9"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9"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10" t="n"/>
      <x:c r="AQ155" s="9" t="n">
        <x:f>A155</x:f>
        <x:v>0.275</x:v>
      </x:c>
      <x:c r="AR155" s="9" t="n">
        <x:f>0</x:f>
        <x:v>0</x:v>
      </x:c>
      <x:c r="AS155" s="9"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x:f>
        <x:v>406.20178346502695</x:v>
      </x:c>
      <x:c r="AT155" s="9"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x:f>
        <x:v>174.21313379386783</x:v>
      </x:c>
      <x:c r="AU155" s="9"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x:f>
        <x:v>240.54359828898043</x:v>
      </x:c>
      <x:c r="AV155" s="9"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x:f>
        <x:v>240.54359828898043</x:v>
      </x:c>
      <x:c r="AW155" s="10" t="n"/>
      <x:c r="AX155" s="9" t="n">
        <x:f>A155</x:f>
        <x:v>0.275</x:v>
      </x:c>
      <x:c r="AY155" s="9" t="n">
        <x:f>0</x:f>
        <x:v>0</x:v>
      </x:c>
      <x:c r="AZ155" s="9" t="n">
        <x:f>IF(OR(Inputs!$F$6=TRUE,Inputs!$F$6="TRUE",Inputs!$F$6=1),(Inputs!$H$6+Inputs!$L$6*(((Inputs!$I$6+(((A155)+1)/2)*(Inputs!$J$6-Inputs!$I$6)))/Inputs!$K$6)^2),NA())</x:f>
        <x:v>400.3025</x:v>
      </x:c>
      <x:c r="BA155" s="9" t="n">
        <x:f>IF(OR(Inputs!$F$7=TRUE,Inputs!$F$7="TRUE",Inputs!$F$7=1),(Inputs!$H$7+Inputs!$L$7*(((Inputs!$I$7+(((A155)+1)/2)*(Inputs!$J$7-Inputs!$I$7)))/Inputs!$K$7)^2),NA())</x:f>
        <x:v>62.60312499999997</x:v>
      </x:c>
      <x:c r="BB155" s="9" t="n">
        <x:f>IF(OR(Inputs!$F$8=TRUE,Inputs!$F$8="TRUE",Inputs!$F$8=1),(Inputs!$H$8+Inputs!$L$8*(((Inputs!$I$8+(((A155)+1)/2)*(Inputs!$J$8-Inputs!$I$8)))/Inputs!$K$8)^2),NA())</x:f>
        <x:v>107.97812499999992</x:v>
      </x:c>
      <x:c r="BC155" s="9" t="n">
        <x:f>IF(OR(Inputs!$F$9=TRUE,Inputs!$F$9="TRUE",Inputs!$F$9=1),(Inputs!$H$9+Inputs!$L$9*(((Inputs!$I$9+(((A155)+1)/2)*(Inputs!$J$9-Inputs!$I$9)))/Inputs!$K$9)^2),NA())</x:f>
        <x:v>98.73437499999991</x:v>
      </x:c>
      <x:c r="BD155" s="10" t="n"/>
      <x:c r="BE155" s="9" t="n">
        <x:f>A155</x:f>
        <x:v>0.275</x:v>
      </x:c>
      <x:c r="BF155" s="9" t="n">
        <x:f>0</x:f>
        <x:v>0</x:v>
      </x:c>
      <x:c r="BG155" s="9"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9"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9"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9"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9" t="n">
        <x:f>ROUND(-1+154*2/240,3)</x:f>
        <x:v>0.283</x:v>
      </x:c>
      <x:c r="B156" s="9" t="n">
        <x:f>IF(OR(Inputs!$F$6=TRUE,Inputs!$F$6="TRUE",Inputs!$F$6=1),(Inputs!$H$6+Inputs!$L$6*(((Inputs!$I$6+(((A156)+1)/2)*(Inputs!$J$6-Inputs!$I$6)))/Inputs!$K$6)^2),NA())</x:f>
        <x:v>400.320356</x:v>
      </x:c>
      <x:c r="C156" s="9" t="n">
        <x:f>IF(OR(Inputs!$F$7=TRUE,Inputs!$F$7="TRUE",Inputs!$F$7=1),(Inputs!$H$7+Inputs!$L$7*(((Inputs!$I$7+(((A156)+1)/2)*(Inputs!$J$7-Inputs!$I$7)))/Inputs!$K$7)^2),NA())</x:f>
        <x:v>64.23248499999997</x:v>
      </x:c>
      <x:c r="D156" s="9" t="n">
        <x:f>IF(OR(Inputs!$F$8=TRUE,Inputs!$F$8="TRUE",Inputs!$F$8=1),(Inputs!$H$8+Inputs!$L$8*(((Inputs!$I$8+(((A156)+1)/2)*(Inputs!$J$8-Inputs!$I$8)))/Inputs!$K$8)^2),NA())</x:f>
        <x:v>112.2858849999999</x:v>
      </x:c>
      <x:c r="E156" s="9" t="n">
        <x:f>IF(OR(Inputs!$F$9=TRUE,Inputs!$F$9="TRUE",Inputs!$F$9=1),(Inputs!$H$9+Inputs!$L$9*(((Inputs!$I$9+(((A156)+1)/2)*(Inputs!$J$9-Inputs!$I$9)))/Inputs!$K$9)^2),NA())</x:f>
        <x:v>103.0867749999999</x:v>
      </x:c>
      <x:c r="F156" s="10" t="n"/>
      <x:c r="G156" s="9" t="n">
        <x:f>A156</x:f>
        <x:v>0.283</x:v>
      </x:c>
      <x:c r="H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10" t="n"/>
      <x:c r="M156" s="9" t="n">
        <x:f>A156</x:f>
        <x:v>0.283</x:v>
      </x:c>
      <x:c r="N156" s="9"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9"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9"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9"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10" t="n"/>
      <x:c r="S156" s="9" t="n">
        <x:f>A156</x:f>
        <x:v>0.283</x:v>
      </x:c>
      <x:c r="T156" s="9" t="n">
        <x:f>(Inputs!$I$6+(((A156)+1)/2)*(Inputs!$J$6-Inputs!$I$6))</x:f>
        <x:v>16.97999999999999</x:v>
      </x:c>
      <x:c r="U156" s="9" t="n">
        <x:f>(Inputs!$I$7+(((A156)+1)/2)*(Inputs!$J$7-Inputs!$I$7))</x:f>
        <x:v>113.19999999999993</x:v>
      </x:c>
      <x:c r="V156" s="9" t="n">
        <x:f>(Inputs!$I$8+(((A156)+1)/2)*(Inputs!$J$8-Inputs!$I$8))</x:f>
        <x:v>226.39999999999986</x:v>
      </x:c>
      <x:c r="W156" s="9" t="n">
        <x:f>(Inputs!$I$9+(((A156)+1)/2)*(Inputs!$J$9-Inputs!$I$9))</x:f>
        <x:v>226.39999999999986</x:v>
      </x:c>
      <x:c r="X156" s="10" t="n"/>
      <x:c r="Y156" s="9" t="n">
        <x:f>A156</x:f>
        <x:v>0.283</x:v>
      </x:c>
      <x:c r="Z156" s="9" t="n">
        <x:f>(Inputs!$H$6+Inputs!$L$6*(((Inputs!$I$6+(((A156)+1)/2)*(Inputs!$J$6-Inputs!$I$6)))/Inputs!$K$6)^2)</x:f>
        <x:v>400.320356</x:v>
      </x:c>
      <x:c r="AA156" s="9" t="n">
        <x:f>(Inputs!$H$7+Inputs!$L$7*(((Inputs!$I$7+(((A156)+1)/2)*(Inputs!$J$7-Inputs!$I$7)))/Inputs!$K$7)^2)</x:f>
        <x:v>64.23248499999997</x:v>
      </x:c>
      <x:c r="AB156" s="9" t="n">
        <x:f>(Inputs!$H$8+Inputs!$L$8*(((Inputs!$I$8+(((A156)+1)/2)*(Inputs!$J$8-Inputs!$I$8)))/Inputs!$K$8)^2)</x:f>
        <x:v>112.2858849999999</x:v>
      </x:c>
      <x:c r="AC156" s="9" t="n">
        <x:f>(Inputs!$H$9+Inputs!$L$9*(((Inputs!$I$9+(((A156)+1)/2)*(Inputs!$J$9-Inputs!$I$9)))/Inputs!$K$9)^2)</x:f>
        <x:v>103.0867749999999</x:v>
      </x:c>
      <x:c r="AD156" s="10" t="n"/>
      <x:c r="AE156" s="9" t="n">
        <x:f>A156</x:f>
        <x:v>0.283</x:v>
      </x:c>
      <x:c r="AF156" s="9"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9"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9"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9"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10" t="n"/>
      <x:c r="AK156" s="9" t="n">
        <x:f>A156</x:f>
        <x:v>0.283</x:v>
      </x:c>
      <x:c r="AL156" s="9"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9"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9"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9"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10" t="n"/>
      <x:c r="AQ156" s="9" t="n">
        <x:f>A156</x:f>
        <x:v>0.283</x:v>
      </x:c>
      <x:c r="AR156" s="9" t="n">
        <x:f>0</x:f>
        <x:v>0</x:v>
      </x:c>
      <x:c r="AS156" s="9"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x:f>
        <x:v>399.73099547465813</x:v>
      </x:c>
      <x:c r="AT156" s="9"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x:f>
        <x:v>186.77766507504103</x:v>
      </x:c>
      <x:c r="AU156" s="9"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x:f>
        <x:v>109.01586451710135</x:v>
      </x:c>
      <x:c r="AV156" s="9"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x:f>
        <x:v>109.01586451710135</x:v>
      </x:c>
      <x:c r="AW156" s="10" t="n"/>
      <x:c r="AX156" s="9" t="n">
        <x:f>A156</x:f>
        <x:v>0.283</x:v>
      </x:c>
      <x:c r="AY156" s="9" t="n">
        <x:f>0</x:f>
        <x:v>0</x:v>
      </x:c>
      <x:c r="AZ156" s="9" t="n">
        <x:f>IF(OR(Inputs!$F$6=TRUE,Inputs!$F$6="TRUE",Inputs!$F$6=1),(Inputs!$H$6+Inputs!$L$6*(((Inputs!$I$6+(((A156)+1)/2)*(Inputs!$J$6-Inputs!$I$6)))/Inputs!$K$6)^2),NA())</x:f>
        <x:v>400.320356</x:v>
      </x:c>
      <x:c r="BA156" s="9" t="n">
        <x:f>IF(OR(Inputs!$F$7=TRUE,Inputs!$F$7="TRUE",Inputs!$F$7=1),(Inputs!$H$7+Inputs!$L$7*(((Inputs!$I$7+(((A156)+1)/2)*(Inputs!$J$7-Inputs!$I$7)))/Inputs!$K$7)^2),NA())</x:f>
        <x:v>64.23248499999997</x:v>
      </x:c>
      <x:c r="BB156" s="9" t="n">
        <x:f>IF(OR(Inputs!$F$8=TRUE,Inputs!$F$8="TRUE",Inputs!$F$8=1),(Inputs!$H$8+Inputs!$L$8*(((Inputs!$I$8+(((A156)+1)/2)*(Inputs!$J$8-Inputs!$I$8)))/Inputs!$K$8)^2),NA())</x:f>
        <x:v>112.2858849999999</x:v>
      </x:c>
      <x:c r="BC156" s="9" t="n">
        <x:f>IF(OR(Inputs!$F$9=TRUE,Inputs!$F$9="TRUE",Inputs!$F$9=1),(Inputs!$H$9+Inputs!$L$9*(((Inputs!$I$9+(((A156)+1)/2)*(Inputs!$J$9-Inputs!$I$9)))/Inputs!$K$9)^2),NA())</x:f>
        <x:v>103.0867749999999</x:v>
      </x:c>
      <x:c r="BD156" s="10" t="n"/>
      <x:c r="BE156" s="9" t="n">
        <x:f>A156</x:f>
        <x:v>0.283</x:v>
      </x:c>
      <x:c r="BF156" s="9" t="n">
        <x:f>0</x:f>
        <x:v>0</x:v>
      </x:c>
      <x:c r="BG156" s="9"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9"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9"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9"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9" t="n">
        <x:f>ROUND(-1+155*2/240,3)</x:f>
        <x:v>0.292</x:v>
      </x:c>
      <x:c r="B157" s="9" t="n">
        <x:f>IF(OR(Inputs!$F$6=TRUE,Inputs!$F$6="TRUE",Inputs!$F$6=1),(Inputs!$H$6+Inputs!$L$6*(((Inputs!$I$6+(((A157)+1)/2)*(Inputs!$J$6-Inputs!$I$6)))/Inputs!$K$6)^2),NA())</x:f>
        <x:v>400.341056</x:v>
      </x:c>
      <x:c r="C157" s="9" t="n">
        <x:f>IF(OR(Inputs!$F$7=TRUE,Inputs!$F$7="TRUE",Inputs!$F$7=1),(Inputs!$H$7+Inputs!$L$7*(((Inputs!$I$7+(((A157)+1)/2)*(Inputs!$J$7-Inputs!$I$7)))/Inputs!$K$7)^2),NA())</x:f>
        <x:v>66.12136000000004</x:v>
      </x:c>
      <x:c r="D157" s="9" t="n">
        <x:f>IF(OR(Inputs!$F$8=TRUE,Inputs!$F$8="TRUE",Inputs!$F$8=1),(Inputs!$H$8+Inputs!$L$8*(((Inputs!$I$8+(((A157)+1)/2)*(Inputs!$J$8-Inputs!$I$8)))/Inputs!$K$8)^2),NA())</x:f>
        <x:v>117.27976000000008</x:v>
      </x:c>
      <x:c r="E157" s="9" t="n">
        <x:f>IF(OR(Inputs!$F$9=TRUE,Inputs!$F$9="TRUE",Inputs!$F$9=1),(Inputs!$H$9+Inputs!$L$9*(((Inputs!$I$9+(((A157)+1)/2)*(Inputs!$J$9-Inputs!$I$9)))/Inputs!$K$9)^2),NA())</x:f>
        <x:v>108.13240000000009</x:v>
      </x:c>
      <x:c r="F157" s="10" t="n"/>
      <x:c r="G157" s="9" t="n">
        <x:f>A157</x:f>
        <x:v>0.292</x:v>
      </x:c>
      <x:c r="H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10" t="n"/>
      <x:c r="M157" s="9" t="n">
        <x:f>A157</x:f>
        <x:v>0.292</x:v>
      </x:c>
      <x:c r="N157" s="9"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9"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9"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9"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10" t="n"/>
      <x:c r="S157" s="9" t="n">
        <x:f>A157</x:f>
        <x:v>0.292</x:v>
      </x:c>
      <x:c r="T157" s="9" t="n">
        <x:f>(Inputs!$I$6+(((A157)+1)/2)*(Inputs!$J$6-Inputs!$I$6))</x:f>
        <x:v>17.519999999999996</x:v>
      </x:c>
      <x:c r="U157" s="9" t="n">
        <x:f>(Inputs!$I$7+(((A157)+1)/2)*(Inputs!$J$7-Inputs!$I$7))</x:f>
        <x:v>116.80000000000007</x:v>
      </x:c>
      <x:c r="V157" s="9" t="n">
        <x:f>(Inputs!$I$8+(((A157)+1)/2)*(Inputs!$J$8-Inputs!$I$8))</x:f>
        <x:v>233.60000000000014</x:v>
      </x:c>
      <x:c r="W157" s="9" t="n">
        <x:f>(Inputs!$I$9+(((A157)+1)/2)*(Inputs!$J$9-Inputs!$I$9))</x:f>
        <x:v>233.60000000000014</x:v>
      </x:c>
      <x:c r="X157" s="10" t="n"/>
      <x:c r="Y157" s="9" t="n">
        <x:f>A157</x:f>
        <x:v>0.292</x:v>
      </x:c>
      <x:c r="Z157" s="9" t="n">
        <x:f>(Inputs!$H$6+Inputs!$L$6*(((Inputs!$I$6+(((A157)+1)/2)*(Inputs!$J$6-Inputs!$I$6)))/Inputs!$K$6)^2)</x:f>
        <x:v>400.341056</x:v>
      </x:c>
      <x:c r="AA157" s="9" t="n">
        <x:f>(Inputs!$H$7+Inputs!$L$7*(((Inputs!$I$7+(((A157)+1)/2)*(Inputs!$J$7-Inputs!$I$7)))/Inputs!$K$7)^2)</x:f>
        <x:v>66.12136000000004</x:v>
      </x:c>
      <x:c r="AB157" s="9" t="n">
        <x:f>(Inputs!$H$8+Inputs!$L$8*(((Inputs!$I$8+(((A157)+1)/2)*(Inputs!$J$8-Inputs!$I$8)))/Inputs!$K$8)^2)</x:f>
        <x:v>117.27976000000008</x:v>
      </x:c>
      <x:c r="AC157" s="9" t="n">
        <x:f>(Inputs!$H$9+Inputs!$L$9*(((Inputs!$I$9+(((A157)+1)/2)*(Inputs!$J$9-Inputs!$I$9)))/Inputs!$K$9)^2)</x:f>
        <x:v>108.13240000000009</x:v>
      </x:c>
      <x:c r="AD157" s="10" t="n"/>
      <x:c r="AE157" s="9" t="n">
        <x:f>A157</x:f>
        <x:v>0.292</x:v>
      </x:c>
      <x:c r="AF157" s="9"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9"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9"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9"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10" t="n"/>
      <x:c r="AK157" s="9" t="n">
        <x:f>A157</x:f>
        <x:v>0.292</x:v>
      </x:c>
      <x:c r="AL157" s="9"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9"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9"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9"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10" t="n"/>
      <x:c r="AQ157" s="9" t="n">
        <x:f>A157</x:f>
        <x:v>0.292</x:v>
      </x:c>
      <x:c r="AR157" s="9" t="n">
        <x:f>0</x:f>
        <x:v>0</x:v>
      </x:c>
      <x:c r="AS157" s="9"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x:f>
        <x:v>414.8667251252668</x:v>
      </x:c>
      <x:c r="AT157" s="9"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x:f>
        <x:v>139.85330279835185</x:v>
      </x:c>
      <x:c r="AU157" s="9"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x:f>
        <x:v>168.53655761010128</x:v>
      </x:c>
      <x:c r="AV157" s="9"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x:f>
        <x:v>168.53655761010128</x:v>
      </x:c>
      <x:c r="AW157" s="10" t="n"/>
      <x:c r="AX157" s="9" t="n">
        <x:f>A157</x:f>
        <x:v>0.292</x:v>
      </x:c>
      <x:c r="AY157" s="9" t="n">
        <x:f>0</x:f>
        <x:v>0</x:v>
      </x:c>
      <x:c r="AZ157" s="9" t="n">
        <x:f>IF(OR(Inputs!$F$6=TRUE,Inputs!$F$6="TRUE",Inputs!$F$6=1),(Inputs!$H$6+Inputs!$L$6*(((Inputs!$I$6+(((A157)+1)/2)*(Inputs!$J$6-Inputs!$I$6)))/Inputs!$K$6)^2),NA())</x:f>
        <x:v>400.341056</x:v>
      </x:c>
      <x:c r="BA157" s="9" t="n">
        <x:f>IF(OR(Inputs!$F$7=TRUE,Inputs!$F$7="TRUE",Inputs!$F$7=1),(Inputs!$H$7+Inputs!$L$7*(((Inputs!$I$7+(((A157)+1)/2)*(Inputs!$J$7-Inputs!$I$7)))/Inputs!$K$7)^2),NA())</x:f>
        <x:v>66.12136000000004</x:v>
      </x:c>
      <x:c r="BB157" s="9" t="n">
        <x:f>IF(OR(Inputs!$F$8=TRUE,Inputs!$F$8="TRUE",Inputs!$F$8=1),(Inputs!$H$8+Inputs!$L$8*(((Inputs!$I$8+(((A157)+1)/2)*(Inputs!$J$8-Inputs!$I$8)))/Inputs!$K$8)^2),NA())</x:f>
        <x:v>117.27976000000008</x:v>
      </x:c>
      <x:c r="BC157" s="9" t="n">
        <x:f>IF(OR(Inputs!$F$9=TRUE,Inputs!$F$9="TRUE",Inputs!$F$9=1),(Inputs!$H$9+Inputs!$L$9*(((Inputs!$I$9+(((A157)+1)/2)*(Inputs!$J$9-Inputs!$I$9)))/Inputs!$K$9)^2),NA())</x:f>
        <x:v>108.13240000000009</x:v>
      </x:c>
      <x:c r="BD157" s="10" t="n"/>
      <x:c r="BE157" s="9" t="n">
        <x:f>A157</x:f>
        <x:v>0.292</x:v>
      </x:c>
      <x:c r="BF157" s="9" t="n">
        <x:f>0</x:f>
        <x:v>0</x:v>
      </x:c>
      <x:c r="BG157" s="9"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9"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9"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9"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9" t="n">
        <x:f>ROUND(-1+156*2/240,3)</x:f>
        <x:v>0.3</x:v>
      </x:c>
      <x:c r="B158" s="9" t="n">
        <x:f>IF(OR(Inputs!$F$6=TRUE,Inputs!$F$6="TRUE",Inputs!$F$6=1),(Inputs!$H$6+Inputs!$L$6*(((Inputs!$I$6+(((A158)+1)/2)*(Inputs!$J$6-Inputs!$I$6)))/Inputs!$K$6)^2),NA())</x:f>
        <x:v>400.36</x:v>
      </x:c>
      <x:c r="C158" s="9" t="n">
        <x:f>IF(OR(Inputs!$F$7=TRUE,Inputs!$F$7="TRUE",Inputs!$F$7=1),(Inputs!$H$7+Inputs!$L$7*(((Inputs!$I$7+(((A158)+1)/2)*(Inputs!$J$7-Inputs!$I$7)))/Inputs!$K$7)^2),NA())</x:f>
        <x:v>67.85</x:v>
      </x:c>
      <x:c r="D158" s="9" t="n">
        <x:f>IF(OR(Inputs!$F$8=TRUE,Inputs!$F$8="TRUE",Inputs!$F$8=1),(Inputs!$H$8+Inputs!$L$8*(((Inputs!$I$8+(((A158)+1)/2)*(Inputs!$J$8-Inputs!$I$8)))/Inputs!$K$8)^2),NA())</x:f>
        <x:v>121.85</x:v>
      </x:c>
      <x:c r="E158" s="9" t="n">
        <x:f>IF(OR(Inputs!$F$9=TRUE,Inputs!$F$9="TRUE",Inputs!$F$9=1),(Inputs!$H$9+Inputs!$L$9*(((Inputs!$I$9+(((A158)+1)/2)*(Inputs!$J$9-Inputs!$I$9)))/Inputs!$K$9)^2),NA())</x:f>
        <x:v>112.75</x:v>
      </x:c>
      <x:c r="F158" s="10" t="n"/>
      <x:c r="G158" s="9" t="n">
        <x:f>A158</x:f>
        <x:v>0.3</x:v>
      </x:c>
      <x:c r="H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10" t="n"/>
      <x:c r="M158" s="9" t="n">
        <x:f>A158</x:f>
        <x:v>0.3</x:v>
      </x:c>
      <x:c r="N158" s="9"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9"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9"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9"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10" t="n"/>
      <x:c r="S158" s="9" t="n">
        <x:f>A158</x:f>
        <x:v>0.3</x:v>
      </x:c>
      <x:c r="T158" s="9" t="n">
        <x:f>(Inputs!$I$6+(((A158)+1)/2)*(Inputs!$J$6-Inputs!$I$6))</x:f>
        <x:v>18</x:v>
      </x:c>
      <x:c r="U158" s="9" t="n">
        <x:f>(Inputs!$I$7+(((A158)+1)/2)*(Inputs!$J$7-Inputs!$I$7))</x:f>
        <x:v>120</x:v>
      </x:c>
      <x:c r="V158" s="9" t="n">
        <x:f>(Inputs!$I$8+(((A158)+1)/2)*(Inputs!$J$8-Inputs!$I$8))</x:f>
        <x:v>240</x:v>
      </x:c>
      <x:c r="W158" s="9" t="n">
        <x:f>(Inputs!$I$9+(((A158)+1)/2)*(Inputs!$J$9-Inputs!$I$9))</x:f>
        <x:v>240</x:v>
      </x:c>
      <x:c r="X158" s="10" t="n"/>
      <x:c r="Y158" s="9" t="n">
        <x:f>A158</x:f>
        <x:v>0.3</x:v>
      </x:c>
      <x:c r="Z158" s="9" t="n">
        <x:f>(Inputs!$H$6+Inputs!$L$6*(((Inputs!$I$6+(((A158)+1)/2)*(Inputs!$J$6-Inputs!$I$6)))/Inputs!$K$6)^2)</x:f>
        <x:v>400.36</x:v>
      </x:c>
      <x:c r="AA158" s="9" t="n">
        <x:f>(Inputs!$H$7+Inputs!$L$7*(((Inputs!$I$7+(((A158)+1)/2)*(Inputs!$J$7-Inputs!$I$7)))/Inputs!$K$7)^2)</x:f>
        <x:v>67.85</x:v>
      </x:c>
      <x:c r="AB158" s="9" t="n">
        <x:f>(Inputs!$H$8+Inputs!$L$8*(((Inputs!$I$8+(((A158)+1)/2)*(Inputs!$J$8-Inputs!$I$8)))/Inputs!$K$8)^2)</x:f>
        <x:v>121.85</x:v>
      </x:c>
      <x:c r="AC158" s="9" t="n">
        <x:f>(Inputs!$H$9+Inputs!$L$9*(((Inputs!$I$9+(((A158)+1)/2)*(Inputs!$J$9-Inputs!$I$9)))/Inputs!$K$9)^2)</x:f>
        <x:v>112.75</x:v>
      </x:c>
      <x:c r="AD158" s="10" t="n"/>
      <x:c r="AE158" s="9" t="n">
        <x:f>A158</x:f>
        <x:v>0.3</x:v>
      </x:c>
      <x:c r="AF158" s="9"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9"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9"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9"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10" t="n"/>
      <x:c r="AK158" s="9" t="n">
        <x:f>A158</x:f>
        <x:v>0.3</x:v>
      </x:c>
      <x:c r="AL158" s="9"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9"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9"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9"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10" t="n"/>
      <x:c r="AQ158" s="9" t="n">
        <x:f>A158</x:f>
        <x:v>0.3</x:v>
      </x:c>
      <x:c r="AR158" s="9" t="n">
        <x:f>0</x:f>
        <x:v>0</x:v>
      </x:c>
      <x:c r="AS158" s="9"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x:f>
        <x:v>417.3671248555401</x:v>
      </x:c>
      <x:c r="AT158" s="9"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x:f>
        <x:v>68.45877121555797</x:v>
      </x:c>
      <x:c r="AU158" s="9"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x:f>
        <x:v>170.07540465003</x:v>
      </x:c>
      <x:c r="AV158" s="9"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x:f>
        <x:v>170.07540465003</x:v>
      </x:c>
      <x:c r="AW158" s="10" t="n"/>
      <x:c r="AX158" s="9" t="n">
        <x:f>A158</x:f>
        <x:v>0.3</x:v>
      </x:c>
      <x:c r="AY158" s="9" t="n">
        <x:f>0</x:f>
        <x:v>0</x:v>
      </x:c>
      <x:c r="AZ158" s="9" t="n">
        <x:f>IF(OR(Inputs!$F$6=TRUE,Inputs!$F$6="TRUE",Inputs!$F$6=1),(Inputs!$H$6+Inputs!$L$6*(((Inputs!$I$6+(((A158)+1)/2)*(Inputs!$J$6-Inputs!$I$6)))/Inputs!$K$6)^2),NA())</x:f>
        <x:v>400.36</x:v>
      </x:c>
      <x:c r="BA158" s="9" t="n">
        <x:f>IF(OR(Inputs!$F$7=TRUE,Inputs!$F$7="TRUE",Inputs!$F$7=1),(Inputs!$H$7+Inputs!$L$7*(((Inputs!$I$7+(((A158)+1)/2)*(Inputs!$J$7-Inputs!$I$7)))/Inputs!$K$7)^2),NA())</x:f>
        <x:v>67.85</x:v>
      </x:c>
      <x:c r="BB158" s="9" t="n">
        <x:f>IF(OR(Inputs!$F$8=TRUE,Inputs!$F$8="TRUE",Inputs!$F$8=1),(Inputs!$H$8+Inputs!$L$8*(((Inputs!$I$8+(((A158)+1)/2)*(Inputs!$J$8-Inputs!$I$8)))/Inputs!$K$8)^2),NA())</x:f>
        <x:v>121.85</x:v>
      </x:c>
      <x:c r="BC158" s="9" t="n">
        <x:f>IF(OR(Inputs!$F$9=TRUE,Inputs!$F$9="TRUE",Inputs!$F$9=1),(Inputs!$H$9+Inputs!$L$9*(((Inputs!$I$9+(((A158)+1)/2)*(Inputs!$J$9-Inputs!$I$9)))/Inputs!$K$9)^2),NA())</x:f>
        <x:v>112.75</x:v>
      </x:c>
      <x:c r="BD158" s="10" t="n"/>
      <x:c r="BE158" s="9" t="n">
        <x:f>A158</x:f>
        <x:v>0.3</x:v>
      </x:c>
      <x:c r="BF158" s="9" t="n">
        <x:f>0</x:f>
        <x:v>0</x:v>
      </x:c>
      <x:c r="BG158" s="9"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9"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9"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9"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9" t="n">
        <x:f>ROUND(-1+157*2/240,3)</x:f>
        <x:v>0.308</x:v>
      </x:c>
      <x:c r="B159" s="9" t="n">
        <x:f>IF(OR(Inputs!$F$6=TRUE,Inputs!$F$6="TRUE",Inputs!$F$6=1),(Inputs!$H$6+Inputs!$L$6*(((Inputs!$I$6+(((A159)+1)/2)*(Inputs!$J$6-Inputs!$I$6)))/Inputs!$K$6)^2),NA())</x:f>
        <x:v>400.379456</x:v>
      </x:c>
      <x:c r="C159" s="9" t="n">
        <x:f>IF(OR(Inputs!$F$7=TRUE,Inputs!$F$7="TRUE",Inputs!$F$7=1),(Inputs!$H$7+Inputs!$L$7*(((Inputs!$I$7+(((A159)+1)/2)*(Inputs!$J$7-Inputs!$I$7)))/Inputs!$K$7)^2),NA())</x:f>
        <x:v>69.62536000000003</x:v>
      </x:c>
      <x:c r="D159" s="9" t="n">
        <x:f>IF(OR(Inputs!$F$8=TRUE,Inputs!$F$8="TRUE",Inputs!$F$8=1),(Inputs!$H$8+Inputs!$L$8*(((Inputs!$I$8+(((A159)+1)/2)*(Inputs!$J$8-Inputs!$I$8)))/Inputs!$K$8)^2),NA())</x:f>
        <x:v>126.54376000000006</x:v>
      </x:c>
      <x:c r="E159" s="9" t="n">
        <x:f>IF(OR(Inputs!$F$9=TRUE,Inputs!$F$9="TRUE",Inputs!$F$9=1),(Inputs!$H$9+Inputs!$L$9*(((Inputs!$I$9+(((A159)+1)/2)*(Inputs!$J$9-Inputs!$I$9)))/Inputs!$K$9)^2),NA())</x:f>
        <x:v>117.49240000000006</x:v>
      </x:c>
      <x:c r="F159" s="10" t="n"/>
      <x:c r="G159" s="9" t="n">
        <x:f>A159</x:f>
        <x:v>0.308</x:v>
      </x:c>
      <x:c r="H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10" t="n"/>
      <x:c r="M159" s="9" t="n">
        <x:f>A159</x:f>
        <x:v>0.308</x:v>
      </x:c>
      <x:c r="N159" s="9"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9"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9"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9"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10" t="n"/>
      <x:c r="S159" s="9" t="n">
        <x:f>A159</x:f>
        <x:v>0.308</x:v>
      </x:c>
      <x:c r="T159" s="9" t="n">
        <x:f>(Inputs!$I$6+(((A159)+1)/2)*(Inputs!$J$6-Inputs!$I$6))</x:f>
        <x:v>18.480000000000004</x:v>
      </x:c>
      <x:c r="U159" s="9" t="n">
        <x:f>(Inputs!$I$7+(((A159)+1)/2)*(Inputs!$J$7-Inputs!$I$7))</x:f>
        <x:v>123.20000000000005</x:v>
      </x:c>
      <x:c r="V159" s="9" t="n">
        <x:f>(Inputs!$I$8+(((A159)+1)/2)*(Inputs!$J$8-Inputs!$I$8))</x:f>
        <x:v>246.4000000000001</x:v>
      </x:c>
      <x:c r="W159" s="9" t="n">
        <x:f>(Inputs!$I$9+(((A159)+1)/2)*(Inputs!$J$9-Inputs!$I$9))</x:f>
        <x:v>246.4000000000001</x:v>
      </x:c>
      <x:c r="X159" s="10" t="n"/>
      <x:c r="Y159" s="9" t="n">
        <x:f>A159</x:f>
        <x:v>0.308</x:v>
      </x:c>
      <x:c r="Z159" s="9" t="n">
        <x:f>(Inputs!$H$6+Inputs!$L$6*(((Inputs!$I$6+(((A159)+1)/2)*(Inputs!$J$6-Inputs!$I$6)))/Inputs!$K$6)^2)</x:f>
        <x:v>400.379456</x:v>
      </x:c>
      <x:c r="AA159" s="9" t="n">
        <x:f>(Inputs!$H$7+Inputs!$L$7*(((Inputs!$I$7+(((A159)+1)/2)*(Inputs!$J$7-Inputs!$I$7)))/Inputs!$K$7)^2)</x:f>
        <x:v>69.62536000000003</x:v>
      </x:c>
      <x:c r="AB159" s="9" t="n">
        <x:f>(Inputs!$H$8+Inputs!$L$8*(((Inputs!$I$8+(((A159)+1)/2)*(Inputs!$J$8-Inputs!$I$8)))/Inputs!$K$8)^2)</x:f>
        <x:v>126.54376000000006</x:v>
      </x:c>
      <x:c r="AC159" s="9" t="n">
        <x:f>(Inputs!$H$9+Inputs!$L$9*(((Inputs!$I$9+(((A159)+1)/2)*(Inputs!$J$9-Inputs!$I$9)))/Inputs!$K$9)^2)</x:f>
        <x:v>117.49240000000006</x:v>
      </x:c>
      <x:c r="AD159" s="10" t="n"/>
      <x:c r="AE159" s="9" t="n">
        <x:f>A159</x:f>
        <x:v>0.308</x:v>
      </x:c>
      <x:c r="AF159" s="9"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9"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9"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9"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10" t="n"/>
      <x:c r="AK159" s="9" t="n">
        <x:f>A159</x:f>
        <x:v>0.308</x:v>
      </x:c>
      <x:c r="AL159" s="9"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9"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9"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9"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10" t="n"/>
      <x:c r="AQ159" s="9" t="n">
        <x:f>A159</x:f>
        <x:v>0.308</x:v>
      </x:c>
      <x:c r="AR159" s="9" t="n">
        <x:f>0</x:f>
        <x:v>0</x:v>
      </x:c>
      <x:c r="AS159" s="9"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x:f>
        <x:v>424.3669185609771</x:v>
      </x:c>
      <x:c r="AT159" s="9"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x:f>
        <x:v>77.97686071989834</x:v>
      </x:c>
      <x:c r="AU159" s="9"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x:f>
        <x:v>106.90420390302545</x:v>
      </x:c>
      <x:c r="AV159" s="9"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x:f>
        <x:v>106.90420390302545</x:v>
      </x:c>
      <x:c r="AW159" s="10" t="n"/>
      <x:c r="AX159" s="9" t="n">
        <x:f>A159</x:f>
        <x:v>0.308</x:v>
      </x:c>
      <x:c r="AY159" s="9" t="n">
        <x:f>0</x:f>
        <x:v>0</x:v>
      </x:c>
      <x:c r="AZ159" s="9" t="n">
        <x:f>IF(OR(Inputs!$F$6=TRUE,Inputs!$F$6="TRUE",Inputs!$F$6=1),(Inputs!$H$6+Inputs!$L$6*(((Inputs!$I$6+(((A159)+1)/2)*(Inputs!$J$6-Inputs!$I$6)))/Inputs!$K$6)^2),NA())</x:f>
        <x:v>400.379456</x:v>
      </x:c>
      <x:c r="BA159" s="9" t="n">
        <x:f>IF(OR(Inputs!$F$7=TRUE,Inputs!$F$7="TRUE",Inputs!$F$7=1),(Inputs!$H$7+Inputs!$L$7*(((Inputs!$I$7+(((A159)+1)/2)*(Inputs!$J$7-Inputs!$I$7)))/Inputs!$K$7)^2),NA())</x:f>
        <x:v>69.62536000000003</x:v>
      </x:c>
      <x:c r="BB159" s="9" t="n">
        <x:f>IF(OR(Inputs!$F$8=TRUE,Inputs!$F$8="TRUE",Inputs!$F$8=1),(Inputs!$H$8+Inputs!$L$8*(((Inputs!$I$8+(((A159)+1)/2)*(Inputs!$J$8-Inputs!$I$8)))/Inputs!$K$8)^2),NA())</x:f>
        <x:v>126.54376000000006</x:v>
      </x:c>
      <x:c r="BC159" s="9" t="n">
        <x:f>IF(OR(Inputs!$F$9=TRUE,Inputs!$F$9="TRUE",Inputs!$F$9=1),(Inputs!$H$9+Inputs!$L$9*(((Inputs!$I$9+(((A159)+1)/2)*(Inputs!$J$9-Inputs!$I$9)))/Inputs!$K$9)^2),NA())</x:f>
        <x:v>117.49240000000006</x:v>
      </x:c>
      <x:c r="BD159" s="10" t="n"/>
      <x:c r="BE159" s="9" t="n">
        <x:f>A159</x:f>
        <x:v>0.308</x:v>
      </x:c>
      <x:c r="BF159" s="9" t="n">
        <x:f>0</x:f>
        <x:v>0</x:v>
      </x:c>
      <x:c r="BG159" s="9"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9"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9"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9"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9" t="n">
        <x:f>ROUND(-1+158*2/240,3)</x:f>
        <x:v>0.317</x:v>
      </x:c>
      <x:c r="B160" s="9" t="n">
        <x:f>IF(OR(Inputs!$F$6=TRUE,Inputs!$F$6="TRUE",Inputs!$F$6=1),(Inputs!$H$6+Inputs!$L$6*(((Inputs!$I$6+(((A160)+1)/2)*(Inputs!$J$6-Inputs!$I$6)))/Inputs!$K$6)^2),NA())</x:f>
        <x:v>400.401956</x:v>
      </x:c>
      <x:c r="C160" s="9" t="n">
        <x:f>IF(OR(Inputs!$F$7=TRUE,Inputs!$F$7="TRUE",Inputs!$F$7=1),(Inputs!$H$7+Inputs!$L$7*(((Inputs!$I$7+(((A160)+1)/2)*(Inputs!$J$7-Inputs!$I$7)))/Inputs!$K$7)^2),NA())</x:f>
        <x:v>71.67848499999997</x:v>
      </x:c>
      <x:c r="D160" s="9" t="n">
        <x:f>IF(OR(Inputs!$F$8=TRUE,Inputs!$F$8="TRUE",Inputs!$F$8=1),(Inputs!$H$8+Inputs!$L$8*(((Inputs!$I$8+(((A160)+1)/2)*(Inputs!$J$8-Inputs!$I$8)))/Inputs!$K$8)^2),NA())</x:f>
        <x:v>131.97188499999993</x:v>
      </x:c>
      <x:c r="E160" s="9" t="n">
        <x:f>IF(OR(Inputs!$F$9=TRUE,Inputs!$F$9="TRUE",Inputs!$F$9=1),(Inputs!$H$9+Inputs!$L$9*(((Inputs!$I$9+(((A160)+1)/2)*(Inputs!$J$9-Inputs!$I$9)))/Inputs!$K$9)^2),NA())</x:f>
        <x:v>122.97677499999993</x:v>
      </x:c>
      <x:c r="F160" s="10" t="n"/>
      <x:c r="G160" s="9" t="n">
        <x:f>A160</x:f>
        <x:v>0.317</x:v>
      </x:c>
      <x:c r="H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10" t="n"/>
      <x:c r="M160" s="9" t="n">
        <x:f>A160</x:f>
        <x:v>0.317</x:v>
      </x:c>
      <x:c r="N160" s="9"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9"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9"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9"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10" t="n"/>
      <x:c r="S160" s="9" t="n">
        <x:f>A160</x:f>
        <x:v>0.317</x:v>
      </x:c>
      <x:c r="T160" s="9" t="n">
        <x:f>(Inputs!$I$6+(((A160)+1)/2)*(Inputs!$J$6-Inputs!$I$6))</x:f>
        <x:v>19.019999999999996</x:v>
      </x:c>
      <x:c r="U160" s="9" t="n">
        <x:f>(Inputs!$I$7+(((A160)+1)/2)*(Inputs!$J$7-Inputs!$I$7))</x:f>
        <x:v>126.79999999999995</x:v>
      </x:c>
      <x:c r="V160" s="9" t="n">
        <x:f>(Inputs!$I$8+(((A160)+1)/2)*(Inputs!$J$8-Inputs!$I$8))</x:f>
        <x:v>253.5999999999999</x:v>
      </x:c>
      <x:c r="W160" s="9" t="n">
        <x:f>(Inputs!$I$9+(((A160)+1)/2)*(Inputs!$J$9-Inputs!$I$9))</x:f>
        <x:v>253.5999999999999</x:v>
      </x:c>
      <x:c r="X160" s="10" t="n"/>
      <x:c r="Y160" s="9" t="n">
        <x:f>A160</x:f>
        <x:v>0.317</x:v>
      </x:c>
      <x:c r="Z160" s="9" t="n">
        <x:f>(Inputs!$H$6+Inputs!$L$6*(((Inputs!$I$6+(((A160)+1)/2)*(Inputs!$J$6-Inputs!$I$6)))/Inputs!$K$6)^2)</x:f>
        <x:v>400.401956</x:v>
      </x:c>
      <x:c r="AA160" s="9" t="n">
        <x:f>(Inputs!$H$7+Inputs!$L$7*(((Inputs!$I$7+(((A160)+1)/2)*(Inputs!$J$7-Inputs!$I$7)))/Inputs!$K$7)^2)</x:f>
        <x:v>71.67848499999997</x:v>
      </x:c>
      <x:c r="AB160" s="9" t="n">
        <x:f>(Inputs!$H$8+Inputs!$L$8*(((Inputs!$I$8+(((A160)+1)/2)*(Inputs!$J$8-Inputs!$I$8)))/Inputs!$K$8)^2)</x:f>
        <x:v>131.97188499999993</x:v>
      </x:c>
      <x:c r="AC160" s="9" t="n">
        <x:f>(Inputs!$H$9+Inputs!$L$9*(((Inputs!$I$9+(((A160)+1)/2)*(Inputs!$J$9-Inputs!$I$9)))/Inputs!$K$9)^2)</x:f>
        <x:v>122.97677499999993</x:v>
      </x:c>
      <x:c r="AD160" s="10" t="n"/>
      <x:c r="AE160" s="9" t="n">
        <x:f>A160</x:f>
        <x:v>0.317</x:v>
      </x:c>
      <x:c r="AF160" s="9"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9"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9"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9"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10" t="n"/>
      <x:c r="AK160" s="9" t="n">
        <x:f>A160</x:f>
        <x:v>0.317</x:v>
      </x:c>
      <x:c r="AL160" s="9"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9"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9"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9"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10" t="n"/>
      <x:c r="AQ160" s="9" t="n">
        <x:f>A160</x:f>
        <x:v>0.317</x:v>
      </x:c>
      <x:c r="AR160" s="9" t="n">
        <x:f>0</x:f>
        <x:v>0</x:v>
      </x:c>
      <x:c r="AS160" s="9"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x:f>
        <x:v>413.16626512166084</x:v>
      </x:c>
      <x:c r="AT160" s="9"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x:f>
        <x:v>148.34640520875115</x:v>
      </x:c>
      <x:c r="AU160" s="9"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x:f>
        <x:v>170.60025016119593</x:v>
      </x:c>
      <x:c r="AV160" s="9"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x:f>
        <x:v>170.60025016119593</x:v>
      </x:c>
      <x:c r="AW160" s="10" t="n"/>
      <x:c r="AX160" s="9" t="n">
        <x:f>A160</x:f>
        <x:v>0.317</x:v>
      </x:c>
      <x:c r="AY160" s="9" t="n">
        <x:f>0</x:f>
        <x:v>0</x:v>
      </x:c>
      <x:c r="AZ160" s="9" t="n">
        <x:f>IF(OR(Inputs!$F$6=TRUE,Inputs!$F$6="TRUE",Inputs!$F$6=1),(Inputs!$H$6+Inputs!$L$6*(((Inputs!$I$6+(((A160)+1)/2)*(Inputs!$J$6-Inputs!$I$6)))/Inputs!$K$6)^2),NA())</x:f>
        <x:v>400.401956</x:v>
      </x:c>
      <x:c r="BA160" s="9" t="n">
        <x:f>IF(OR(Inputs!$F$7=TRUE,Inputs!$F$7="TRUE",Inputs!$F$7=1),(Inputs!$H$7+Inputs!$L$7*(((Inputs!$I$7+(((A160)+1)/2)*(Inputs!$J$7-Inputs!$I$7)))/Inputs!$K$7)^2),NA())</x:f>
        <x:v>71.67848499999997</x:v>
      </x:c>
      <x:c r="BB160" s="9" t="n">
        <x:f>IF(OR(Inputs!$F$8=TRUE,Inputs!$F$8="TRUE",Inputs!$F$8=1),(Inputs!$H$8+Inputs!$L$8*(((Inputs!$I$8+(((A160)+1)/2)*(Inputs!$J$8-Inputs!$I$8)))/Inputs!$K$8)^2),NA())</x:f>
        <x:v>131.97188499999993</x:v>
      </x:c>
      <x:c r="BC160" s="9" t="n">
        <x:f>IF(OR(Inputs!$F$9=TRUE,Inputs!$F$9="TRUE",Inputs!$F$9=1),(Inputs!$H$9+Inputs!$L$9*(((Inputs!$I$9+(((A160)+1)/2)*(Inputs!$J$9-Inputs!$I$9)))/Inputs!$K$9)^2),NA())</x:f>
        <x:v>122.97677499999993</x:v>
      </x:c>
      <x:c r="BD160" s="10" t="n"/>
      <x:c r="BE160" s="9" t="n">
        <x:f>A160</x:f>
        <x:v>0.317</x:v>
      </x:c>
      <x:c r="BF160" s="9" t="n">
        <x:f>0</x:f>
        <x:v>0</x:v>
      </x:c>
      <x:c r="BG160" s="9"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9"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9"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9"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9" t="n">
        <x:f>ROUND(-1+159*2/240,3)</x:f>
        <x:v>0.325</x:v>
      </x:c>
      <x:c r="B161" s="9" t="n">
        <x:f>IF(OR(Inputs!$F$6=TRUE,Inputs!$F$6="TRUE",Inputs!$F$6=1),(Inputs!$H$6+Inputs!$L$6*(((Inputs!$I$6+(((A161)+1)/2)*(Inputs!$J$6-Inputs!$I$6)))/Inputs!$K$6)^2),NA())</x:f>
        <x:v>400.4225</x:v>
      </x:c>
      <x:c r="C161" s="9" t="n">
        <x:f>IF(OR(Inputs!$F$7=TRUE,Inputs!$F$7="TRUE",Inputs!$F$7=1),(Inputs!$H$7+Inputs!$L$7*(((Inputs!$I$7+(((A161)+1)/2)*(Inputs!$J$7-Inputs!$I$7)))/Inputs!$K$7)^2),NA())</x:f>
        <x:v>73.553125</x:v>
      </x:c>
      <x:c r="D161" s="9" t="n">
        <x:f>IF(OR(Inputs!$F$8=TRUE,Inputs!$F$8="TRUE",Inputs!$F$8=1),(Inputs!$H$8+Inputs!$L$8*(((Inputs!$I$8+(((A161)+1)/2)*(Inputs!$J$8-Inputs!$I$8)))/Inputs!$K$8)^2),NA())</x:f>
        <x:v>136.92812500000002</x:v>
      </x:c>
      <x:c r="E161" s="9" t="n">
        <x:f>IF(OR(Inputs!$F$9=TRUE,Inputs!$F$9="TRUE",Inputs!$F$9=1),(Inputs!$H$9+Inputs!$L$9*(((Inputs!$I$9+(((A161)+1)/2)*(Inputs!$J$9-Inputs!$I$9)))/Inputs!$K$9)^2),NA())</x:f>
        <x:v>127.98437500000001</x:v>
      </x:c>
      <x:c r="F161" s="10" t="n"/>
      <x:c r="G161" s="9" t="n">
        <x:f>A161</x:f>
        <x:v>0.325</x:v>
      </x:c>
      <x:c r="H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10" t="n"/>
      <x:c r="M161" s="9" t="n">
        <x:f>A161</x:f>
        <x:v>0.325</x:v>
      </x:c>
      <x:c r="N161" s="9"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9"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9"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9"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10" t="n"/>
      <x:c r="S161" s="9" t="n">
        <x:f>A161</x:f>
        <x:v>0.325</x:v>
      </x:c>
      <x:c r="T161" s="9" t="n">
        <x:f>(Inputs!$I$6+(((A161)+1)/2)*(Inputs!$J$6-Inputs!$I$6))</x:f>
        <x:v>19.5</x:v>
      </x:c>
      <x:c r="U161" s="9" t="n">
        <x:f>(Inputs!$I$7+(((A161)+1)/2)*(Inputs!$J$7-Inputs!$I$7))</x:f>
        <x:v>130</x:v>
      </x:c>
      <x:c r="V161" s="9" t="n">
        <x:f>(Inputs!$I$8+(((A161)+1)/2)*(Inputs!$J$8-Inputs!$I$8))</x:f>
        <x:v>260</x:v>
      </x:c>
      <x:c r="W161" s="9" t="n">
        <x:f>(Inputs!$I$9+(((A161)+1)/2)*(Inputs!$J$9-Inputs!$I$9))</x:f>
        <x:v>260</x:v>
      </x:c>
      <x:c r="X161" s="10" t="n"/>
      <x:c r="Y161" s="9" t="n">
        <x:f>A161</x:f>
        <x:v>0.325</x:v>
      </x:c>
      <x:c r="Z161" s="9" t="n">
        <x:f>(Inputs!$H$6+Inputs!$L$6*(((Inputs!$I$6+(((A161)+1)/2)*(Inputs!$J$6-Inputs!$I$6)))/Inputs!$K$6)^2)</x:f>
        <x:v>400.4225</x:v>
      </x:c>
      <x:c r="AA161" s="9" t="n">
        <x:f>(Inputs!$H$7+Inputs!$L$7*(((Inputs!$I$7+(((A161)+1)/2)*(Inputs!$J$7-Inputs!$I$7)))/Inputs!$K$7)^2)</x:f>
        <x:v>73.553125</x:v>
      </x:c>
      <x:c r="AB161" s="9" t="n">
        <x:f>(Inputs!$H$8+Inputs!$L$8*(((Inputs!$I$8+(((A161)+1)/2)*(Inputs!$J$8-Inputs!$I$8)))/Inputs!$K$8)^2)</x:f>
        <x:v>136.92812500000002</x:v>
      </x:c>
      <x:c r="AC161" s="9" t="n">
        <x:f>(Inputs!$H$9+Inputs!$L$9*(((Inputs!$I$9+(((A161)+1)/2)*(Inputs!$J$9-Inputs!$I$9)))/Inputs!$K$9)^2)</x:f>
        <x:v>127.98437500000001</x:v>
      </x:c>
      <x:c r="AD161" s="10" t="n"/>
      <x:c r="AE161" s="9" t="n">
        <x:f>A161</x:f>
        <x:v>0.325</x:v>
      </x:c>
      <x:c r="AF161" s="9"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9"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9"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9"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10" t="n"/>
      <x:c r="AK161" s="9" t="n">
        <x:f>A161</x:f>
        <x:v>0.325</x:v>
      </x:c>
      <x:c r="AL161" s="9"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9"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9"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9"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10" t="n"/>
      <x:c r="AQ161" s="9" t="n">
        <x:f>A161</x:f>
        <x:v>0.325</x:v>
      </x:c>
      <x:c r="AR161" s="9" t="n">
        <x:f>0</x:f>
        <x:v>0</x:v>
      </x:c>
      <x:c r="AS161" s="9"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x:f>
        <x:v>436.66425250955575</x:v>
      </x:c>
      <x:c r="AT161" s="9"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x:f>
        <x:v>179.42575827267754</x:v>
      </x:c>
      <x:c r="AU161" s="9"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x:f>
        <x:v>134.66164099948801</x:v>
      </x:c>
      <x:c r="AV161" s="9"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x:f>
        <x:v>134.66164099948801</x:v>
      </x:c>
      <x:c r="AW161" s="10" t="n"/>
      <x:c r="AX161" s="9" t="n">
        <x:f>A161</x:f>
        <x:v>0.325</x:v>
      </x:c>
      <x:c r="AY161" s="9" t="n">
        <x:f>0</x:f>
        <x:v>0</x:v>
      </x:c>
      <x:c r="AZ161" s="9" t="n">
        <x:f>IF(OR(Inputs!$F$6=TRUE,Inputs!$F$6="TRUE",Inputs!$F$6=1),(Inputs!$H$6+Inputs!$L$6*(((Inputs!$I$6+(((A161)+1)/2)*(Inputs!$J$6-Inputs!$I$6)))/Inputs!$K$6)^2),NA())</x:f>
        <x:v>400.4225</x:v>
      </x:c>
      <x:c r="BA161" s="9" t="n">
        <x:f>IF(OR(Inputs!$F$7=TRUE,Inputs!$F$7="TRUE",Inputs!$F$7=1),(Inputs!$H$7+Inputs!$L$7*(((Inputs!$I$7+(((A161)+1)/2)*(Inputs!$J$7-Inputs!$I$7)))/Inputs!$K$7)^2),NA())</x:f>
        <x:v>73.553125</x:v>
      </x:c>
      <x:c r="BB161" s="9" t="n">
        <x:f>IF(OR(Inputs!$F$8=TRUE,Inputs!$F$8="TRUE",Inputs!$F$8=1),(Inputs!$H$8+Inputs!$L$8*(((Inputs!$I$8+(((A161)+1)/2)*(Inputs!$J$8-Inputs!$I$8)))/Inputs!$K$8)^2),NA())</x:f>
        <x:v>136.92812500000002</x:v>
      </x:c>
      <x:c r="BC161" s="9" t="n">
        <x:f>IF(OR(Inputs!$F$9=TRUE,Inputs!$F$9="TRUE",Inputs!$F$9=1),(Inputs!$H$9+Inputs!$L$9*(((Inputs!$I$9+(((A161)+1)/2)*(Inputs!$J$9-Inputs!$I$9)))/Inputs!$K$9)^2),NA())</x:f>
        <x:v>127.98437500000001</x:v>
      </x:c>
      <x:c r="BD161" s="10" t="n"/>
      <x:c r="BE161" s="9" t="n">
        <x:f>A161</x:f>
        <x:v>0.325</x:v>
      </x:c>
      <x:c r="BF161" s="9" t="n">
        <x:f>0</x:f>
        <x:v>0</x:v>
      </x:c>
      <x:c r="BG161" s="9"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9"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9"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9"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9" t="n">
        <x:f>ROUND(-1+160*2/240,3)</x:f>
        <x:v>0.333</x:v>
      </x:c>
      <x:c r="B162" s="9" t="n">
        <x:f>IF(OR(Inputs!$F$6=TRUE,Inputs!$F$6="TRUE",Inputs!$F$6=1),(Inputs!$H$6+Inputs!$L$6*(((Inputs!$I$6+(((A162)+1)/2)*(Inputs!$J$6-Inputs!$I$6)))/Inputs!$K$6)^2),NA())</x:f>
        <x:v>400.443556</x:v>
      </x:c>
      <x:c r="C162" s="9" t="n">
        <x:f>IF(OR(Inputs!$F$7=TRUE,Inputs!$F$7="TRUE",Inputs!$F$7=1),(Inputs!$H$7+Inputs!$L$7*(((Inputs!$I$7+(((A162)+1)/2)*(Inputs!$J$7-Inputs!$I$7)))/Inputs!$K$7)^2),NA())</x:f>
        <x:v>75.47448499999996</x:v>
      </x:c>
      <x:c r="D162" s="9" t="n">
        <x:f>IF(OR(Inputs!$F$8=TRUE,Inputs!$F$8="TRUE",Inputs!$F$8=1),(Inputs!$H$8+Inputs!$L$8*(((Inputs!$I$8+(((A162)+1)/2)*(Inputs!$J$8-Inputs!$I$8)))/Inputs!$K$8)^2),NA())</x:f>
        <x:v>142.0078849999999</x:v>
      </x:c>
      <x:c r="E162" s="9" t="n">
        <x:f>IF(OR(Inputs!$F$9=TRUE,Inputs!$F$9="TRUE",Inputs!$F$9=1),(Inputs!$H$9+Inputs!$L$9*(((Inputs!$I$9+(((A162)+1)/2)*(Inputs!$J$9-Inputs!$I$9)))/Inputs!$K$9)^2),NA())</x:f>
        <x:v>133.1167749999999</x:v>
      </x:c>
      <x:c r="F162" s="10" t="n"/>
      <x:c r="G162" s="9" t="n">
        <x:f>A162</x:f>
        <x:v>0.333</x:v>
      </x:c>
      <x:c r="H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10" t="n"/>
      <x:c r="M162" s="9" t="n">
        <x:f>A162</x:f>
        <x:v>0.333</x:v>
      </x:c>
      <x:c r="N162" s="9"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9"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9"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9"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10" t="n"/>
      <x:c r="S162" s="9" t="n">
        <x:f>A162</x:f>
        <x:v>0.333</x:v>
      </x:c>
      <x:c r="T162" s="9" t="n">
        <x:f>(Inputs!$I$6+(((A162)+1)/2)*(Inputs!$J$6-Inputs!$I$6))</x:f>
        <x:v>19.980000000000004</x:v>
      </x:c>
      <x:c r="U162" s="9" t="n">
        <x:f>(Inputs!$I$7+(((A162)+1)/2)*(Inputs!$J$7-Inputs!$I$7))</x:f>
        <x:v>133.19999999999993</x:v>
      </x:c>
      <x:c r="V162" s="9" t="n">
        <x:f>(Inputs!$I$8+(((A162)+1)/2)*(Inputs!$J$8-Inputs!$I$8))</x:f>
        <x:v>266.39999999999986</x:v>
      </x:c>
      <x:c r="W162" s="9" t="n">
        <x:f>(Inputs!$I$9+(((A162)+1)/2)*(Inputs!$J$9-Inputs!$I$9))</x:f>
        <x:v>266.39999999999986</x:v>
      </x:c>
      <x:c r="X162" s="10" t="n"/>
      <x:c r="Y162" s="9" t="n">
        <x:f>A162</x:f>
        <x:v>0.333</x:v>
      </x:c>
      <x:c r="Z162" s="9" t="n">
        <x:f>(Inputs!$H$6+Inputs!$L$6*(((Inputs!$I$6+(((A162)+1)/2)*(Inputs!$J$6-Inputs!$I$6)))/Inputs!$K$6)^2)</x:f>
        <x:v>400.443556</x:v>
      </x:c>
      <x:c r="AA162" s="9" t="n">
        <x:f>(Inputs!$H$7+Inputs!$L$7*(((Inputs!$I$7+(((A162)+1)/2)*(Inputs!$J$7-Inputs!$I$7)))/Inputs!$K$7)^2)</x:f>
        <x:v>75.47448499999996</x:v>
      </x:c>
      <x:c r="AB162" s="9" t="n">
        <x:f>(Inputs!$H$8+Inputs!$L$8*(((Inputs!$I$8+(((A162)+1)/2)*(Inputs!$J$8-Inputs!$I$8)))/Inputs!$K$8)^2)</x:f>
        <x:v>142.0078849999999</x:v>
      </x:c>
      <x:c r="AC162" s="9" t="n">
        <x:f>(Inputs!$H$9+Inputs!$L$9*(((Inputs!$I$9+(((A162)+1)/2)*(Inputs!$J$9-Inputs!$I$9)))/Inputs!$K$9)^2)</x:f>
        <x:v>133.1167749999999</x:v>
      </x:c>
      <x:c r="AD162" s="10" t="n"/>
      <x:c r="AE162" s="9" t="n">
        <x:f>A162</x:f>
        <x:v>0.333</x:v>
      </x:c>
      <x:c r="AF162" s="9"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9"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9"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9"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10" t="n"/>
      <x:c r="AK162" s="9" t="n">
        <x:f>A162</x:f>
        <x:v>0.333</x:v>
      </x:c>
      <x:c r="AL162" s="9"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9"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9"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9"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10" t="n"/>
      <x:c r="AQ162" s="9" t="n">
        <x:f>A162</x:f>
        <x:v>0.333</x:v>
      </x:c>
      <x:c r="AR162" s="9" t="n">
        <x:f>0</x:f>
        <x:v>0</x:v>
      </x:c>
      <x:c r="AS162" s="9"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x:f>
        <x:v>436.47109711249175</x:v>
      </x:c>
      <x:c r="AT162" s="9"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x:f>
        <x:v>166.7327955160667</x:v>
      </x:c>
      <x:c r="AU162" s="9"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x:f>
        <x:v>101.23201096259784</x:v>
      </x:c>
      <x:c r="AV162" s="9"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x:f>
        <x:v>101.23201096259784</x:v>
      </x:c>
      <x:c r="AW162" s="10" t="n"/>
      <x:c r="AX162" s="9" t="n">
        <x:f>A162</x:f>
        <x:v>0.333</x:v>
      </x:c>
      <x:c r="AY162" s="9" t="n">
        <x:f>0</x:f>
        <x:v>0</x:v>
      </x:c>
      <x:c r="AZ162" s="9" t="n">
        <x:f>IF(OR(Inputs!$F$6=TRUE,Inputs!$F$6="TRUE",Inputs!$F$6=1),(Inputs!$H$6+Inputs!$L$6*(((Inputs!$I$6+(((A162)+1)/2)*(Inputs!$J$6-Inputs!$I$6)))/Inputs!$K$6)^2),NA())</x:f>
        <x:v>400.443556</x:v>
      </x:c>
      <x:c r="BA162" s="9" t="n">
        <x:f>IF(OR(Inputs!$F$7=TRUE,Inputs!$F$7="TRUE",Inputs!$F$7=1),(Inputs!$H$7+Inputs!$L$7*(((Inputs!$I$7+(((A162)+1)/2)*(Inputs!$J$7-Inputs!$I$7)))/Inputs!$K$7)^2),NA())</x:f>
        <x:v>75.47448499999996</x:v>
      </x:c>
      <x:c r="BB162" s="9" t="n">
        <x:f>IF(OR(Inputs!$F$8=TRUE,Inputs!$F$8="TRUE",Inputs!$F$8=1),(Inputs!$H$8+Inputs!$L$8*(((Inputs!$I$8+(((A162)+1)/2)*(Inputs!$J$8-Inputs!$I$8)))/Inputs!$K$8)^2),NA())</x:f>
        <x:v>142.0078849999999</x:v>
      </x:c>
      <x:c r="BC162" s="9" t="n">
        <x:f>IF(OR(Inputs!$F$9=TRUE,Inputs!$F$9="TRUE",Inputs!$F$9=1),(Inputs!$H$9+Inputs!$L$9*(((Inputs!$I$9+(((A162)+1)/2)*(Inputs!$J$9-Inputs!$I$9)))/Inputs!$K$9)^2),NA())</x:f>
        <x:v>133.1167749999999</x:v>
      </x:c>
      <x:c r="BD162" s="10" t="n"/>
      <x:c r="BE162" s="9" t="n">
        <x:f>A162</x:f>
        <x:v>0.333</x:v>
      </x:c>
      <x:c r="BF162" s="9" t="n">
        <x:f>0</x:f>
        <x:v>0</x:v>
      </x:c>
      <x:c r="BG162" s="9"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9"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9"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9"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9" t="n">
        <x:f>ROUND(-1+161*2/240,3)</x:f>
        <x:v>0.342</x:v>
      </x:c>
      <x:c r="B163" s="9" t="n">
        <x:f>IF(OR(Inputs!$F$6=TRUE,Inputs!$F$6="TRUE",Inputs!$F$6=1),(Inputs!$H$6+Inputs!$L$6*(((Inputs!$I$6+(((A163)+1)/2)*(Inputs!$J$6-Inputs!$I$6)))/Inputs!$K$6)^2),NA())</x:f>
        <x:v>400.467856</x:v>
      </x:c>
      <x:c r="C163" s="9" t="n">
        <x:f>IF(OR(Inputs!$F$7=TRUE,Inputs!$F$7="TRUE",Inputs!$F$7=1),(Inputs!$H$7+Inputs!$L$7*(((Inputs!$I$7+(((A163)+1)/2)*(Inputs!$J$7-Inputs!$I$7)))/Inputs!$K$7)^2),NA())</x:f>
        <x:v>77.69186000000005</x:v>
      </x:c>
      <x:c r="D163" s="9" t="n">
        <x:f>IF(OR(Inputs!$F$8=TRUE,Inputs!$F$8="TRUE",Inputs!$F$8=1),(Inputs!$H$8+Inputs!$L$8*(((Inputs!$I$8+(((A163)+1)/2)*(Inputs!$J$8-Inputs!$I$8)))/Inputs!$K$8)^2),NA())</x:f>
        <x:v>147.87026000000014</x:v>
      </x:c>
      <x:c r="E163" s="9" t="n">
        <x:f>IF(OR(Inputs!$F$9=TRUE,Inputs!$F$9="TRUE",Inputs!$F$9=1),(Inputs!$H$9+Inputs!$L$9*(((Inputs!$I$9+(((A163)+1)/2)*(Inputs!$J$9-Inputs!$I$9)))/Inputs!$K$9)^2),NA())</x:f>
        <x:v>139.03990000000013</x:v>
      </x:c>
      <x:c r="F163" s="10" t="n"/>
      <x:c r="G163" s="9" t="n">
        <x:f>A163</x:f>
        <x:v>0.342</x:v>
      </x:c>
      <x:c r="H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10" t="n"/>
      <x:c r="M163" s="9" t="n">
        <x:f>A163</x:f>
        <x:v>0.342</x:v>
      </x:c>
      <x:c r="N163" s="9"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9"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9"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9"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10" t="n"/>
      <x:c r="S163" s="9" t="n">
        <x:f>A163</x:f>
        <x:v>0.342</x:v>
      </x:c>
      <x:c r="T163" s="9" t="n">
        <x:f>(Inputs!$I$6+(((A163)+1)/2)*(Inputs!$J$6-Inputs!$I$6))</x:f>
        <x:v>20.52000000000001</x:v>
      </x:c>
      <x:c r="U163" s="9" t="n">
        <x:f>(Inputs!$I$7+(((A163)+1)/2)*(Inputs!$J$7-Inputs!$I$7))</x:f>
        <x:v>136.80000000000007</x:v>
      </x:c>
      <x:c r="V163" s="9" t="n">
        <x:f>(Inputs!$I$8+(((A163)+1)/2)*(Inputs!$J$8-Inputs!$I$8))</x:f>
        <x:v>273.60000000000014</x:v>
      </x:c>
      <x:c r="W163" s="9" t="n">
        <x:f>(Inputs!$I$9+(((A163)+1)/2)*(Inputs!$J$9-Inputs!$I$9))</x:f>
        <x:v>273.60000000000014</x:v>
      </x:c>
      <x:c r="X163" s="10" t="n"/>
      <x:c r="Y163" s="9" t="n">
        <x:f>A163</x:f>
        <x:v>0.342</x:v>
      </x:c>
      <x:c r="Z163" s="9" t="n">
        <x:f>(Inputs!$H$6+Inputs!$L$6*(((Inputs!$I$6+(((A163)+1)/2)*(Inputs!$J$6-Inputs!$I$6)))/Inputs!$K$6)^2)</x:f>
        <x:v>400.467856</x:v>
      </x:c>
      <x:c r="AA163" s="9" t="n">
        <x:f>(Inputs!$H$7+Inputs!$L$7*(((Inputs!$I$7+(((A163)+1)/2)*(Inputs!$J$7-Inputs!$I$7)))/Inputs!$K$7)^2)</x:f>
        <x:v>77.69186000000005</x:v>
      </x:c>
      <x:c r="AB163" s="9" t="n">
        <x:f>(Inputs!$H$8+Inputs!$L$8*(((Inputs!$I$8+(((A163)+1)/2)*(Inputs!$J$8-Inputs!$I$8)))/Inputs!$K$8)^2)</x:f>
        <x:v>147.87026000000014</x:v>
      </x:c>
      <x:c r="AC163" s="9" t="n">
        <x:f>(Inputs!$H$9+Inputs!$L$9*(((Inputs!$I$9+(((A163)+1)/2)*(Inputs!$J$9-Inputs!$I$9)))/Inputs!$K$9)^2)</x:f>
        <x:v>139.03990000000013</x:v>
      </x:c>
      <x:c r="AD163" s="10" t="n"/>
      <x:c r="AE163" s="9" t="n">
        <x:f>A163</x:f>
        <x:v>0.342</x:v>
      </x:c>
      <x:c r="AF163" s="9"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9"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9"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9"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10" t="n"/>
      <x:c r="AK163" s="9" t="n">
        <x:f>A163</x:f>
        <x:v>0.342</x:v>
      </x:c>
      <x:c r="AL163" s="9"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9"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9"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9"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10" t="n"/>
      <x:c r="AQ163" s="9" t="n">
        <x:f>A163</x:f>
        <x:v>0.342</x:v>
      </x:c>
      <x:c r="AR163" s="9" t="n">
        <x:f>0</x:f>
        <x:v>0</x:v>
      </x:c>
      <x:c r="AS163" s="9"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x:f>
        <x:v>440.1680837209169</x:v>
      </x:c>
      <x:c r="AT163" s="9"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x:f>
        <x:v>98.78215108442748</x:v>
      </x:c>
      <x:c r="AU163" s="9"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x:f>
        <x:v>169.112597760329</x:v>
      </x:c>
      <x:c r="AV163" s="9"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x:f>
        <x:v>169.112597760329</x:v>
      </x:c>
      <x:c r="AW163" s="10" t="n"/>
      <x:c r="AX163" s="9" t="n">
        <x:f>A163</x:f>
        <x:v>0.342</x:v>
      </x:c>
      <x:c r="AY163" s="9" t="n">
        <x:f>0</x:f>
        <x:v>0</x:v>
      </x:c>
      <x:c r="AZ163" s="9" t="n">
        <x:f>IF(OR(Inputs!$F$6=TRUE,Inputs!$F$6="TRUE",Inputs!$F$6=1),(Inputs!$H$6+Inputs!$L$6*(((Inputs!$I$6+(((A163)+1)/2)*(Inputs!$J$6-Inputs!$I$6)))/Inputs!$K$6)^2),NA())</x:f>
        <x:v>400.467856</x:v>
      </x:c>
      <x:c r="BA163" s="9" t="n">
        <x:f>IF(OR(Inputs!$F$7=TRUE,Inputs!$F$7="TRUE",Inputs!$F$7=1),(Inputs!$H$7+Inputs!$L$7*(((Inputs!$I$7+(((A163)+1)/2)*(Inputs!$J$7-Inputs!$I$7)))/Inputs!$K$7)^2),NA())</x:f>
        <x:v>77.69186000000005</x:v>
      </x:c>
      <x:c r="BB163" s="9" t="n">
        <x:f>IF(OR(Inputs!$F$8=TRUE,Inputs!$F$8="TRUE",Inputs!$F$8=1),(Inputs!$H$8+Inputs!$L$8*(((Inputs!$I$8+(((A163)+1)/2)*(Inputs!$J$8-Inputs!$I$8)))/Inputs!$K$8)^2),NA())</x:f>
        <x:v>147.87026000000014</x:v>
      </x:c>
      <x:c r="BC163" s="9" t="n">
        <x:f>IF(OR(Inputs!$F$9=TRUE,Inputs!$F$9="TRUE",Inputs!$F$9=1),(Inputs!$H$9+Inputs!$L$9*(((Inputs!$I$9+(((A163)+1)/2)*(Inputs!$J$9-Inputs!$I$9)))/Inputs!$K$9)^2),NA())</x:f>
        <x:v>139.03990000000013</x:v>
      </x:c>
      <x:c r="BD163" s="10" t="n"/>
      <x:c r="BE163" s="9" t="n">
        <x:f>A163</x:f>
        <x:v>0.342</x:v>
      </x:c>
      <x:c r="BF163" s="9" t="n">
        <x:f>0</x:f>
        <x:v>0</x:v>
      </x:c>
      <x:c r="BG163" s="9"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9"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9"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9"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9" t="n">
        <x:f>ROUND(-1+162*2/240,3)</x:f>
        <x:v>0.35</x:v>
      </x:c>
      <x:c r="B164" s="9" t="n">
        <x:f>IF(OR(Inputs!$F$6=TRUE,Inputs!$F$6="TRUE",Inputs!$F$6=1),(Inputs!$H$6+Inputs!$L$6*(((Inputs!$I$6+(((A164)+1)/2)*(Inputs!$J$6-Inputs!$I$6)))/Inputs!$K$6)^2),NA())</x:f>
        <x:v>400.49</x:v>
      </x:c>
      <x:c r="C164" s="9" t="n">
        <x:f>IF(OR(Inputs!$F$7=TRUE,Inputs!$F$7="TRUE",Inputs!$F$7=1),(Inputs!$H$7+Inputs!$L$7*(((Inputs!$I$7+(((A164)+1)/2)*(Inputs!$J$7-Inputs!$I$7)))/Inputs!$K$7)^2),NA())</x:f>
        <x:v>79.71249999999999</x:v>
      </x:c>
      <x:c r="D164" s="9" t="n">
        <x:f>IF(OR(Inputs!$F$8=TRUE,Inputs!$F$8="TRUE",Inputs!$F$8=1),(Inputs!$H$8+Inputs!$L$8*(((Inputs!$I$8+(((A164)+1)/2)*(Inputs!$J$8-Inputs!$I$8)))/Inputs!$K$8)^2),NA())</x:f>
        <x:v>153.21249999999998</x:v>
      </x:c>
      <x:c r="E164" s="9" t="n">
        <x:f>IF(OR(Inputs!$F$9=TRUE,Inputs!$F$9="TRUE",Inputs!$F$9=1),(Inputs!$H$9+Inputs!$L$9*(((Inputs!$I$9+(((A164)+1)/2)*(Inputs!$J$9-Inputs!$I$9)))/Inputs!$K$9)^2),NA())</x:f>
        <x:v>144.4375</x:v>
      </x:c>
      <x:c r="F164" s="10" t="n"/>
      <x:c r="G164" s="9" t="n">
        <x:f>A164</x:f>
        <x:v>0.35</x:v>
      </x:c>
      <x:c r="H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10" t="n"/>
      <x:c r="M164" s="9" t="n">
        <x:f>A164</x:f>
        <x:v>0.35</x:v>
      </x:c>
      <x:c r="N164" s="9"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9"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9"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9"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10" t="n"/>
      <x:c r="S164" s="9" t="n">
        <x:f>A164</x:f>
        <x:v>0.35</x:v>
      </x:c>
      <x:c r="T164" s="9" t="n">
        <x:f>(Inputs!$I$6+(((A164)+1)/2)*(Inputs!$J$6-Inputs!$I$6))</x:f>
        <x:v>21</x:v>
      </x:c>
      <x:c r="U164" s="9" t="n">
        <x:f>(Inputs!$I$7+(((A164)+1)/2)*(Inputs!$J$7-Inputs!$I$7))</x:f>
        <x:v>140</x:v>
      </x:c>
      <x:c r="V164" s="9" t="n">
        <x:f>(Inputs!$I$8+(((A164)+1)/2)*(Inputs!$J$8-Inputs!$I$8))</x:f>
        <x:v>280</x:v>
      </x:c>
      <x:c r="W164" s="9" t="n">
        <x:f>(Inputs!$I$9+(((A164)+1)/2)*(Inputs!$J$9-Inputs!$I$9))</x:f>
        <x:v>280</x:v>
      </x:c>
      <x:c r="X164" s="10" t="n"/>
      <x:c r="Y164" s="9" t="n">
        <x:f>A164</x:f>
        <x:v>0.35</x:v>
      </x:c>
      <x:c r="Z164" s="9" t="n">
        <x:f>(Inputs!$H$6+Inputs!$L$6*(((Inputs!$I$6+(((A164)+1)/2)*(Inputs!$J$6-Inputs!$I$6)))/Inputs!$K$6)^2)</x:f>
        <x:v>400.49</x:v>
      </x:c>
      <x:c r="AA164" s="9" t="n">
        <x:f>(Inputs!$H$7+Inputs!$L$7*(((Inputs!$I$7+(((A164)+1)/2)*(Inputs!$J$7-Inputs!$I$7)))/Inputs!$K$7)^2)</x:f>
        <x:v>79.71249999999999</x:v>
      </x:c>
      <x:c r="AB164" s="9" t="n">
        <x:f>(Inputs!$H$8+Inputs!$L$8*(((Inputs!$I$8+(((A164)+1)/2)*(Inputs!$J$8-Inputs!$I$8)))/Inputs!$K$8)^2)</x:f>
        <x:v>153.21249999999998</x:v>
      </x:c>
      <x:c r="AC164" s="9" t="n">
        <x:f>(Inputs!$H$9+Inputs!$L$9*(((Inputs!$I$9+(((A164)+1)/2)*(Inputs!$J$9-Inputs!$I$9)))/Inputs!$K$9)^2)</x:f>
        <x:v>144.4375</x:v>
      </x:c>
      <x:c r="AD164" s="10" t="n"/>
      <x:c r="AE164" s="9" t="n">
        <x:f>A164</x:f>
        <x:v>0.35</x:v>
      </x:c>
      <x:c r="AF164" s="9"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9"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9"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9"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10" t="n"/>
      <x:c r="AK164" s="9" t="n">
        <x:f>A164</x:f>
        <x:v>0.35</x:v>
      </x:c>
      <x:c r="AL164" s="9"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9"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9"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9"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10" t="n"/>
      <x:c r="AQ164" s="9" t="n">
        <x:f>A164</x:f>
        <x:v>0.35</x:v>
      </x:c>
      <x:c r="AR164" s="9" t="n">
        <x:f>0</x:f>
        <x:v>0</x:v>
      </x:c>
      <x:c r="AS164" s="9"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x:f>
        <x:v>441.2537143317768</x:v>
      </x:c>
      <x:c r="AT164" s="9"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x:f>
        <x:v>82.3871567913042</x:v>
      </x:c>
      <x:c r="AU164" s="9"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x:f>
        <x:v>136.6689269288142</x:v>
      </x:c>
      <x:c r="AV164" s="9"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x:f>
        <x:v>136.6689269288142</x:v>
      </x:c>
      <x:c r="AW164" s="10" t="n"/>
      <x:c r="AX164" s="9" t="n">
        <x:f>A164</x:f>
        <x:v>0.35</x:v>
      </x:c>
      <x:c r="AY164" s="9" t="n">
        <x:f>0</x:f>
        <x:v>0</x:v>
      </x:c>
      <x:c r="AZ164" s="9" t="n">
        <x:f>IF(OR(Inputs!$F$6=TRUE,Inputs!$F$6="TRUE",Inputs!$F$6=1),(Inputs!$H$6+Inputs!$L$6*(((Inputs!$I$6+(((A164)+1)/2)*(Inputs!$J$6-Inputs!$I$6)))/Inputs!$K$6)^2),NA())</x:f>
        <x:v>400.49</x:v>
      </x:c>
      <x:c r="BA164" s="9" t="n">
        <x:f>IF(OR(Inputs!$F$7=TRUE,Inputs!$F$7="TRUE",Inputs!$F$7=1),(Inputs!$H$7+Inputs!$L$7*(((Inputs!$I$7+(((A164)+1)/2)*(Inputs!$J$7-Inputs!$I$7)))/Inputs!$K$7)^2),NA())</x:f>
        <x:v>79.71249999999999</x:v>
      </x:c>
      <x:c r="BB164" s="9" t="n">
        <x:f>IF(OR(Inputs!$F$8=TRUE,Inputs!$F$8="TRUE",Inputs!$F$8=1),(Inputs!$H$8+Inputs!$L$8*(((Inputs!$I$8+(((A164)+1)/2)*(Inputs!$J$8-Inputs!$I$8)))/Inputs!$K$8)^2),NA())</x:f>
        <x:v>153.21249999999998</x:v>
      </x:c>
      <x:c r="BC164" s="9" t="n">
        <x:f>IF(OR(Inputs!$F$9=TRUE,Inputs!$F$9="TRUE",Inputs!$F$9=1),(Inputs!$H$9+Inputs!$L$9*(((Inputs!$I$9+(((A164)+1)/2)*(Inputs!$J$9-Inputs!$I$9)))/Inputs!$K$9)^2),NA())</x:f>
        <x:v>144.4375</x:v>
      </x:c>
      <x:c r="BD164" s="10" t="n"/>
      <x:c r="BE164" s="9" t="n">
        <x:f>A164</x:f>
        <x:v>0.35</x:v>
      </x:c>
      <x:c r="BF164" s="9" t="n">
        <x:f>0</x:f>
        <x:v>0</x:v>
      </x:c>
      <x:c r="BG164" s="9"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9"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9"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9"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9" t="n">
        <x:f>ROUND(-1+163*2/240,3)</x:f>
        <x:v>0.358</x:v>
      </x:c>
      <x:c r="B165" s="9" t="n">
        <x:f>IF(OR(Inputs!$F$6=TRUE,Inputs!$F$6="TRUE",Inputs!$F$6=1),(Inputs!$H$6+Inputs!$L$6*(((Inputs!$I$6+(((A165)+1)/2)*(Inputs!$J$6-Inputs!$I$6)))/Inputs!$K$6)^2),NA())</x:f>
        <x:v>400.512656</x:v>
      </x:c>
      <x:c r="C165" s="9" t="n">
        <x:f>IF(OR(Inputs!$F$7=TRUE,Inputs!$F$7="TRUE",Inputs!$F$7=1),(Inputs!$H$7+Inputs!$L$7*(((Inputs!$I$7+(((A165)+1)/2)*(Inputs!$J$7-Inputs!$I$7)))/Inputs!$K$7)^2),NA())</x:f>
        <x:v>81.77986000000001</x:v>
      </x:c>
      <x:c r="D165" s="9" t="n">
        <x:f>IF(OR(Inputs!$F$8=TRUE,Inputs!$F$8="TRUE",Inputs!$F$8=1),(Inputs!$H$8+Inputs!$L$8*(((Inputs!$I$8+(((A165)+1)/2)*(Inputs!$J$8-Inputs!$I$8)))/Inputs!$K$8)^2),NA())</x:f>
        <x:v>158.67826000000005</x:v>
      </x:c>
      <x:c r="E165" s="9" t="n">
        <x:f>IF(OR(Inputs!$F$9=TRUE,Inputs!$F$9="TRUE",Inputs!$F$9=1),(Inputs!$H$9+Inputs!$L$9*(((Inputs!$I$9+(((A165)+1)/2)*(Inputs!$J$9-Inputs!$I$9)))/Inputs!$K$9)^2),NA())</x:f>
        <x:v>149.95990000000006</x:v>
      </x:c>
      <x:c r="F165" s="10" t="n"/>
      <x:c r="G165" s="9" t="n">
        <x:f>A165</x:f>
        <x:v>0.358</x:v>
      </x:c>
      <x:c r="H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10" t="n"/>
      <x:c r="M165" s="9" t="n">
        <x:f>A165</x:f>
        <x:v>0.358</x:v>
      </x:c>
      <x:c r="N165" s="9"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9"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9"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9"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10" t="n"/>
      <x:c r="S165" s="9" t="n">
        <x:f>A165</x:f>
        <x:v>0.358</x:v>
      </x:c>
      <x:c r="T165" s="9" t="n">
        <x:f>(Inputs!$I$6+(((A165)+1)/2)*(Inputs!$J$6-Inputs!$I$6))</x:f>
        <x:v>21.480000000000004</x:v>
      </x:c>
      <x:c r="U165" s="9" t="n">
        <x:f>(Inputs!$I$7+(((A165)+1)/2)*(Inputs!$J$7-Inputs!$I$7))</x:f>
        <x:v>143.20000000000005</x:v>
      </x:c>
      <x:c r="V165" s="9" t="n">
        <x:f>(Inputs!$I$8+(((A165)+1)/2)*(Inputs!$J$8-Inputs!$I$8))</x:f>
        <x:v>286.4000000000001</x:v>
      </x:c>
      <x:c r="W165" s="9" t="n">
        <x:f>(Inputs!$I$9+(((A165)+1)/2)*(Inputs!$J$9-Inputs!$I$9))</x:f>
        <x:v>286.4000000000001</x:v>
      </x:c>
      <x:c r="X165" s="10" t="n"/>
      <x:c r="Y165" s="9" t="n">
        <x:f>A165</x:f>
        <x:v>0.358</x:v>
      </x:c>
      <x:c r="Z165" s="9" t="n">
        <x:f>(Inputs!$H$6+Inputs!$L$6*(((Inputs!$I$6+(((A165)+1)/2)*(Inputs!$J$6-Inputs!$I$6)))/Inputs!$K$6)^2)</x:f>
        <x:v>400.512656</x:v>
      </x:c>
      <x:c r="AA165" s="9" t="n">
        <x:f>(Inputs!$H$7+Inputs!$L$7*(((Inputs!$I$7+(((A165)+1)/2)*(Inputs!$J$7-Inputs!$I$7)))/Inputs!$K$7)^2)</x:f>
        <x:v>81.77986000000001</x:v>
      </x:c>
      <x:c r="AB165" s="9" t="n">
        <x:f>(Inputs!$H$8+Inputs!$L$8*(((Inputs!$I$8+(((A165)+1)/2)*(Inputs!$J$8-Inputs!$I$8)))/Inputs!$K$8)^2)</x:f>
        <x:v>158.67826000000005</x:v>
      </x:c>
      <x:c r="AC165" s="9" t="n">
        <x:f>(Inputs!$H$9+Inputs!$L$9*(((Inputs!$I$9+(((A165)+1)/2)*(Inputs!$J$9-Inputs!$I$9)))/Inputs!$K$9)^2)</x:f>
        <x:v>149.95990000000006</x:v>
      </x:c>
      <x:c r="AD165" s="10" t="n"/>
      <x:c r="AE165" s="9" t="n">
        <x:f>A165</x:f>
        <x:v>0.358</x:v>
      </x:c>
      <x:c r="AF165" s="9"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9"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9"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9"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10" t="n"/>
      <x:c r="AK165" s="9" t="n">
        <x:f>A165</x:f>
        <x:v>0.358</x:v>
      </x:c>
      <x:c r="AL165" s="9"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9"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9"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9"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10" t="n"/>
      <x:c r="AQ165" s="9" t="n">
        <x:f>A165</x:f>
        <x:v>0.358</x:v>
      </x:c>
      <x:c r="AR165" s="9" t="n">
        <x:f>0</x:f>
        <x:v>0</x:v>
      </x:c>
      <x:c r="AS165" s="9"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x:f>
        <x:v>439.31057826208274</x:v>
      </x:c>
      <x:c r="AT165" s="9"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x:f>
        <x:v>144.28524191413874</x:v>
      </x:c>
      <x:c r="AU165" s="9"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x:f>
        <x:v>108.791639999444</x:v>
      </x:c>
      <x:c r="AV165" s="9"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x:f>
        <x:v>108.791639999444</x:v>
      </x:c>
      <x:c r="AW165" s="10" t="n"/>
      <x:c r="AX165" s="9" t="n">
        <x:f>A165</x:f>
        <x:v>0.358</x:v>
      </x:c>
      <x:c r="AY165" s="9" t="n">
        <x:f>0</x:f>
        <x:v>0</x:v>
      </x:c>
      <x:c r="AZ165" s="9" t="n">
        <x:f>IF(OR(Inputs!$F$6=TRUE,Inputs!$F$6="TRUE",Inputs!$F$6=1),(Inputs!$H$6+Inputs!$L$6*(((Inputs!$I$6+(((A165)+1)/2)*(Inputs!$J$6-Inputs!$I$6)))/Inputs!$K$6)^2),NA())</x:f>
        <x:v>400.512656</x:v>
      </x:c>
      <x:c r="BA165" s="9" t="n">
        <x:f>IF(OR(Inputs!$F$7=TRUE,Inputs!$F$7="TRUE",Inputs!$F$7=1),(Inputs!$H$7+Inputs!$L$7*(((Inputs!$I$7+(((A165)+1)/2)*(Inputs!$J$7-Inputs!$I$7)))/Inputs!$K$7)^2),NA())</x:f>
        <x:v>81.77986000000001</x:v>
      </x:c>
      <x:c r="BB165" s="9" t="n">
        <x:f>IF(OR(Inputs!$F$8=TRUE,Inputs!$F$8="TRUE",Inputs!$F$8=1),(Inputs!$H$8+Inputs!$L$8*(((Inputs!$I$8+(((A165)+1)/2)*(Inputs!$J$8-Inputs!$I$8)))/Inputs!$K$8)^2),NA())</x:f>
        <x:v>158.67826000000005</x:v>
      </x:c>
      <x:c r="BC165" s="9" t="n">
        <x:f>IF(OR(Inputs!$F$9=TRUE,Inputs!$F$9="TRUE",Inputs!$F$9=1),(Inputs!$H$9+Inputs!$L$9*(((Inputs!$I$9+(((A165)+1)/2)*(Inputs!$J$9-Inputs!$I$9)))/Inputs!$K$9)^2),NA())</x:f>
        <x:v>149.95990000000006</x:v>
      </x:c>
      <x:c r="BD165" s="10" t="n"/>
      <x:c r="BE165" s="9" t="n">
        <x:f>A165</x:f>
        <x:v>0.358</x:v>
      </x:c>
      <x:c r="BF165" s="9" t="n">
        <x:f>0</x:f>
        <x:v>0</x:v>
      </x:c>
      <x:c r="BG165" s="9"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9"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9"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9"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9" t="n">
        <x:f>ROUND(-1+164*2/240,3)</x:f>
        <x:v>0.367</x:v>
      </x:c>
      <x:c r="B166" s="9" t="n">
        <x:f>IF(OR(Inputs!$F$6=TRUE,Inputs!$F$6="TRUE",Inputs!$F$6=1),(Inputs!$H$6+Inputs!$L$6*(((Inputs!$I$6+(((A166)+1)/2)*(Inputs!$J$6-Inputs!$I$6)))/Inputs!$K$6)^2),NA())</x:f>
        <x:v>400.538756</x:v>
      </x:c>
      <x:c r="C166" s="9" t="n">
        <x:f>IF(OR(Inputs!$F$7=TRUE,Inputs!$F$7="TRUE",Inputs!$F$7=1),(Inputs!$H$7+Inputs!$L$7*(((Inputs!$I$7+(((A166)+1)/2)*(Inputs!$J$7-Inputs!$I$7)))/Inputs!$K$7)^2),NA())</x:f>
        <x:v>84.16148499999997</x:v>
      </x:c>
      <x:c r="D166" s="9" t="n">
        <x:f>IF(OR(Inputs!$F$8=TRUE,Inputs!$F$8="TRUE",Inputs!$F$8=1),(Inputs!$H$8+Inputs!$L$8*(((Inputs!$I$8+(((A166)+1)/2)*(Inputs!$J$8-Inputs!$I$8)))/Inputs!$K$8)^2),NA())</x:f>
        <x:v>164.97488499999992</x:v>
      </x:c>
      <x:c r="E166" s="9" t="n">
        <x:f>IF(OR(Inputs!$F$9=TRUE,Inputs!$F$9="TRUE",Inputs!$F$9=1),(Inputs!$H$9+Inputs!$L$9*(((Inputs!$I$9+(((A166)+1)/2)*(Inputs!$J$9-Inputs!$I$9)))/Inputs!$K$9)^2),NA())</x:f>
        <x:v>156.32177499999992</x:v>
      </x:c>
      <x:c r="F166" s="10" t="n"/>
      <x:c r="G166" s="9" t="n">
        <x:f>A166</x:f>
        <x:v>0.367</x:v>
      </x:c>
      <x:c r="H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10" t="n"/>
      <x:c r="M166" s="9" t="n">
        <x:f>A166</x:f>
        <x:v>0.367</x:v>
      </x:c>
      <x:c r="N166" s="9"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9"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9"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9"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10" t="n"/>
      <x:c r="S166" s="9" t="n">
        <x:f>A166</x:f>
        <x:v>0.367</x:v>
      </x:c>
      <x:c r="T166" s="9" t="n">
        <x:f>(Inputs!$I$6+(((A166)+1)/2)*(Inputs!$J$6-Inputs!$I$6))</x:f>
        <x:v>22.019999999999996</x:v>
      </x:c>
      <x:c r="U166" s="9" t="n">
        <x:f>(Inputs!$I$7+(((A166)+1)/2)*(Inputs!$J$7-Inputs!$I$7))</x:f>
        <x:v>146.79999999999995</x:v>
      </x:c>
      <x:c r="V166" s="9" t="n">
        <x:f>(Inputs!$I$8+(((A166)+1)/2)*(Inputs!$J$8-Inputs!$I$8))</x:f>
        <x:v>293.5999999999999</x:v>
      </x:c>
      <x:c r="W166" s="9" t="n">
        <x:f>(Inputs!$I$9+(((A166)+1)/2)*(Inputs!$J$9-Inputs!$I$9))</x:f>
        <x:v>293.5999999999999</x:v>
      </x:c>
      <x:c r="X166" s="10" t="n"/>
      <x:c r="Y166" s="9" t="n">
        <x:f>A166</x:f>
        <x:v>0.367</x:v>
      </x:c>
      <x:c r="Z166" s="9" t="n">
        <x:f>(Inputs!$H$6+Inputs!$L$6*(((Inputs!$I$6+(((A166)+1)/2)*(Inputs!$J$6-Inputs!$I$6)))/Inputs!$K$6)^2)</x:f>
        <x:v>400.538756</x:v>
      </x:c>
      <x:c r="AA166" s="9" t="n">
        <x:f>(Inputs!$H$7+Inputs!$L$7*(((Inputs!$I$7+(((A166)+1)/2)*(Inputs!$J$7-Inputs!$I$7)))/Inputs!$K$7)^2)</x:f>
        <x:v>84.16148499999997</x:v>
      </x:c>
      <x:c r="AB166" s="9" t="n">
        <x:f>(Inputs!$H$8+Inputs!$L$8*(((Inputs!$I$8+(((A166)+1)/2)*(Inputs!$J$8-Inputs!$I$8)))/Inputs!$K$8)^2)</x:f>
        <x:v>164.97488499999992</x:v>
      </x:c>
      <x:c r="AC166" s="9" t="n">
        <x:f>(Inputs!$H$9+Inputs!$L$9*(((Inputs!$I$9+(((A166)+1)/2)*(Inputs!$J$9-Inputs!$I$9)))/Inputs!$K$9)^2)</x:f>
        <x:v>156.32177499999992</x:v>
      </x:c>
      <x:c r="AD166" s="10" t="n"/>
      <x:c r="AE166" s="9" t="n">
        <x:f>A166</x:f>
        <x:v>0.367</x:v>
      </x:c>
      <x:c r="AF166" s="9"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9"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9"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9"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10" t="n"/>
      <x:c r="AK166" s="9" t="n">
        <x:f>A166</x:f>
        <x:v>0.367</x:v>
      </x:c>
      <x:c r="AL166" s="9"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9"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9"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9"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10" t="n"/>
      <x:c r="AQ166" s="9" t="n">
        <x:f>A166</x:f>
        <x:v>0.367</x:v>
      </x:c>
      <x:c r="AR166" s="9" t="n">
        <x:f>0</x:f>
        <x:v>0</x:v>
      </x:c>
      <x:c r="AS166" s="9"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x:f>
        <x:v>458.0886996143176</x:v>
      </x:c>
      <x:c r="AT166" s="9"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x:f>
        <x:v>228.60392437287734</x:v>
      </x:c>
      <x:c r="AU166" s="9"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x:f>
        <x:v>248.3394682718388</x:v>
      </x:c>
      <x:c r="AV166" s="9"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x:f>
        <x:v>248.3394682718388</x:v>
      </x:c>
      <x:c r="AW166" s="10" t="n"/>
      <x:c r="AX166" s="9" t="n">
        <x:f>A166</x:f>
        <x:v>0.367</x:v>
      </x:c>
      <x:c r="AY166" s="9" t="n">
        <x:f>0</x:f>
        <x:v>0</x:v>
      </x:c>
      <x:c r="AZ166" s="9" t="n">
        <x:f>IF(OR(Inputs!$F$6=TRUE,Inputs!$F$6="TRUE",Inputs!$F$6=1),(Inputs!$H$6+Inputs!$L$6*(((Inputs!$I$6+(((A166)+1)/2)*(Inputs!$J$6-Inputs!$I$6)))/Inputs!$K$6)^2),NA())</x:f>
        <x:v>400.538756</x:v>
      </x:c>
      <x:c r="BA166" s="9" t="n">
        <x:f>IF(OR(Inputs!$F$7=TRUE,Inputs!$F$7="TRUE",Inputs!$F$7=1),(Inputs!$H$7+Inputs!$L$7*(((Inputs!$I$7+(((A166)+1)/2)*(Inputs!$J$7-Inputs!$I$7)))/Inputs!$K$7)^2),NA())</x:f>
        <x:v>84.16148499999997</x:v>
      </x:c>
      <x:c r="BB166" s="9" t="n">
        <x:f>IF(OR(Inputs!$F$8=TRUE,Inputs!$F$8="TRUE",Inputs!$F$8=1),(Inputs!$H$8+Inputs!$L$8*(((Inputs!$I$8+(((A166)+1)/2)*(Inputs!$J$8-Inputs!$I$8)))/Inputs!$K$8)^2),NA())</x:f>
        <x:v>164.97488499999992</x:v>
      </x:c>
      <x:c r="BC166" s="9" t="n">
        <x:f>IF(OR(Inputs!$F$9=TRUE,Inputs!$F$9="TRUE",Inputs!$F$9=1),(Inputs!$H$9+Inputs!$L$9*(((Inputs!$I$9+(((A166)+1)/2)*(Inputs!$J$9-Inputs!$I$9)))/Inputs!$K$9)^2),NA())</x:f>
        <x:v>156.32177499999992</x:v>
      </x:c>
      <x:c r="BD166" s="10" t="n"/>
      <x:c r="BE166" s="9" t="n">
        <x:f>A166</x:f>
        <x:v>0.367</x:v>
      </x:c>
      <x:c r="BF166" s="9" t="n">
        <x:f>0</x:f>
        <x:v>0</x:v>
      </x:c>
      <x:c r="BG166" s="9"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9"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9"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9"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9" t="n">
        <x:f>ROUND(-1+165*2/240,3)</x:f>
        <x:v>0.375</x:v>
      </x:c>
      <x:c r="B167" s="9" t="n">
        <x:f>IF(OR(Inputs!$F$6=TRUE,Inputs!$F$6="TRUE",Inputs!$F$6=1),(Inputs!$H$6+Inputs!$L$6*(((Inputs!$I$6+(((A167)+1)/2)*(Inputs!$J$6-Inputs!$I$6)))/Inputs!$K$6)^2),NA())</x:f>
        <x:v>400.5625</x:v>
      </x:c>
      <x:c r="C167" s="9" t="n">
        <x:f>IF(OR(Inputs!$F$7=TRUE,Inputs!$F$7="TRUE",Inputs!$F$7=1),(Inputs!$H$7+Inputs!$L$7*(((Inputs!$I$7+(((A167)+1)/2)*(Inputs!$J$7-Inputs!$I$7)))/Inputs!$K$7)^2),NA())</x:f>
        <x:v>86.328125</x:v>
      </x:c>
      <x:c r="D167" s="9" t="n">
        <x:f>IF(OR(Inputs!$F$8=TRUE,Inputs!$F$8="TRUE",Inputs!$F$8=1),(Inputs!$H$8+Inputs!$L$8*(((Inputs!$I$8+(((A167)+1)/2)*(Inputs!$J$8-Inputs!$I$8)))/Inputs!$K$8)^2),NA())</x:f>
        <x:v>170.703125</x:v>
      </x:c>
      <x:c r="E167" s="9" t="n">
        <x:f>IF(OR(Inputs!$F$9=TRUE,Inputs!$F$9="TRUE",Inputs!$F$9=1),(Inputs!$H$9+Inputs!$L$9*(((Inputs!$I$9+(((A167)+1)/2)*(Inputs!$J$9-Inputs!$I$9)))/Inputs!$K$9)^2),NA())</x:f>
        <x:v>162.109375</x:v>
      </x:c>
      <x:c r="F167" s="10" t="n"/>
      <x:c r="G167" s="9" t="n">
        <x:f>A167</x:f>
        <x:v>0.375</x:v>
      </x:c>
      <x:c r="H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10" t="n"/>
      <x:c r="M167" s="9" t="n">
        <x:f>A167</x:f>
        <x:v>0.375</x:v>
      </x:c>
      <x:c r="N167" s="9"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9"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9"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9"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10" t="n"/>
      <x:c r="S167" s="9" t="n">
        <x:f>A167</x:f>
        <x:v>0.375</x:v>
      </x:c>
      <x:c r="T167" s="9" t="n">
        <x:f>(Inputs!$I$6+(((A167)+1)/2)*(Inputs!$J$6-Inputs!$I$6))</x:f>
        <x:v>22.5</x:v>
      </x:c>
      <x:c r="U167" s="9" t="n">
        <x:f>(Inputs!$I$7+(((A167)+1)/2)*(Inputs!$J$7-Inputs!$I$7))</x:f>
        <x:v>150</x:v>
      </x:c>
      <x:c r="V167" s="9" t="n">
        <x:f>(Inputs!$I$8+(((A167)+1)/2)*(Inputs!$J$8-Inputs!$I$8))</x:f>
        <x:v>300</x:v>
      </x:c>
      <x:c r="W167" s="9" t="n">
        <x:f>(Inputs!$I$9+(((A167)+1)/2)*(Inputs!$J$9-Inputs!$I$9))</x:f>
        <x:v>300</x:v>
      </x:c>
      <x:c r="X167" s="10" t="n"/>
      <x:c r="Y167" s="9" t="n">
        <x:f>A167</x:f>
        <x:v>0.375</x:v>
      </x:c>
      <x:c r="Z167" s="9" t="n">
        <x:f>(Inputs!$H$6+Inputs!$L$6*(((Inputs!$I$6+(((A167)+1)/2)*(Inputs!$J$6-Inputs!$I$6)))/Inputs!$K$6)^2)</x:f>
        <x:v>400.5625</x:v>
      </x:c>
      <x:c r="AA167" s="9" t="n">
        <x:f>(Inputs!$H$7+Inputs!$L$7*(((Inputs!$I$7+(((A167)+1)/2)*(Inputs!$J$7-Inputs!$I$7)))/Inputs!$K$7)^2)</x:f>
        <x:v>86.328125</x:v>
      </x:c>
      <x:c r="AB167" s="9" t="n">
        <x:f>(Inputs!$H$8+Inputs!$L$8*(((Inputs!$I$8+(((A167)+1)/2)*(Inputs!$J$8-Inputs!$I$8)))/Inputs!$K$8)^2)</x:f>
        <x:v>170.703125</x:v>
      </x:c>
      <x:c r="AC167" s="9" t="n">
        <x:f>(Inputs!$H$9+Inputs!$L$9*(((Inputs!$I$9+(((A167)+1)/2)*(Inputs!$J$9-Inputs!$I$9)))/Inputs!$K$9)^2)</x:f>
        <x:v>162.109375</x:v>
      </x:c>
      <x:c r="AD167" s="10" t="n"/>
      <x:c r="AE167" s="9" t="n">
        <x:f>A167</x:f>
        <x:v>0.375</x:v>
      </x:c>
      <x:c r="AF167" s="9"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9"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9"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9"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10" t="n"/>
      <x:c r="AK167" s="9" t="n">
        <x:f>A167</x:f>
        <x:v>0.375</x:v>
      </x:c>
      <x:c r="AL167" s="9"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9"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9"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9"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10" t="n"/>
      <x:c r="AQ167" s="9" t="n">
        <x:f>A167</x:f>
        <x:v>0.375</x:v>
      </x:c>
      <x:c r="AR167" s="9" t="n">
        <x:f>0</x:f>
        <x:v>0</x:v>
      </x:c>
      <x:c r="AS167" s="9"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x:f>
        <x:v>442.50927153418206</x:v>
      </x:c>
      <x:c r="AT167" s="9"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x:f>
        <x:v>210.9621930105584</x:v>
      </x:c>
      <x:c r="AU167" s="9"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x:f>
        <x:v>97.23537790937075</x:v>
      </x:c>
      <x:c r="AV167" s="9"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x:f>
        <x:v>97.23537790937075</x:v>
      </x:c>
      <x:c r="AW167" s="10" t="n"/>
      <x:c r="AX167" s="9" t="n">
        <x:f>A167</x:f>
        <x:v>0.375</x:v>
      </x:c>
      <x:c r="AY167" s="9" t="n">
        <x:f>0</x:f>
        <x:v>0</x:v>
      </x:c>
      <x:c r="AZ167" s="9" t="n">
        <x:f>IF(OR(Inputs!$F$6=TRUE,Inputs!$F$6="TRUE",Inputs!$F$6=1),(Inputs!$H$6+Inputs!$L$6*(((Inputs!$I$6+(((A167)+1)/2)*(Inputs!$J$6-Inputs!$I$6)))/Inputs!$K$6)^2),NA())</x:f>
        <x:v>400.5625</x:v>
      </x:c>
      <x:c r="BA167" s="9" t="n">
        <x:f>IF(OR(Inputs!$F$7=TRUE,Inputs!$F$7="TRUE",Inputs!$F$7=1),(Inputs!$H$7+Inputs!$L$7*(((Inputs!$I$7+(((A167)+1)/2)*(Inputs!$J$7-Inputs!$I$7)))/Inputs!$K$7)^2),NA())</x:f>
        <x:v>86.328125</x:v>
      </x:c>
      <x:c r="BB167" s="9" t="n">
        <x:f>IF(OR(Inputs!$F$8=TRUE,Inputs!$F$8="TRUE",Inputs!$F$8=1),(Inputs!$H$8+Inputs!$L$8*(((Inputs!$I$8+(((A167)+1)/2)*(Inputs!$J$8-Inputs!$I$8)))/Inputs!$K$8)^2),NA())</x:f>
        <x:v>170.703125</x:v>
      </x:c>
      <x:c r="BC167" s="9" t="n">
        <x:f>IF(OR(Inputs!$F$9=TRUE,Inputs!$F$9="TRUE",Inputs!$F$9=1),(Inputs!$H$9+Inputs!$L$9*(((Inputs!$I$9+(((A167)+1)/2)*(Inputs!$J$9-Inputs!$I$9)))/Inputs!$K$9)^2),NA())</x:f>
        <x:v>162.109375</x:v>
      </x:c>
      <x:c r="BD167" s="10" t="n"/>
      <x:c r="BE167" s="9" t="n">
        <x:f>A167</x:f>
        <x:v>0.375</x:v>
      </x:c>
      <x:c r="BF167" s="9" t="n">
        <x:f>0</x:f>
        <x:v>0</x:v>
      </x:c>
      <x:c r="BG167" s="9"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9"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9"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9"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9" t="n">
        <x:f>ROUND(-1+166*2/240,3)</x:f>
        <x:v>0.383</x:v>
      </x:c>
      <x:c r="B168" s="9" t="n">
        <x:f>IF(OR(Inputs!$F$6=TRUE,Inputs!$F$6="TRUE",Inputs!$F$6=1),(Inputs!$H$6+Inputs!$L$6*(((Inputs!$I$6+(((A168)+1)/2)*(Inputs!$J$6-Inputs!$I$6)))/Inputs!$K$6)^2),NA())</x:f>
        <x:v>400.586756</x:v>
      </x:c>
      <x:c r="C168" s="9" t="n">
        <x:f>IF(OR(Inputs!$F$7=TRUE,Inputs!$F$7="TRUE",Inputs!$F$7=1),(Inputs!$H$7+Inputs!$L$7*(((Inputs!$I$7+(((A168)+1)/2)*(Inputs!$J$7-Inputs!$I$7)))/Inputs!$K$7)^2),NA())</x:f>
        <x:v>88.54148500000004</x:v>
      </x:c>
      <x:c r="D168" s="9" t="n">
        <x:f>IF(OR(Inputs!$F$8=TRUE,Inputs!$F$8="TRUE",Inputs!$F$8=1),(Inputs!$H$8+Inputs!$L$8*(((Inputs!$I$8+(((A168)+1)/2)*(Inputs!$J$8-Inputs!$I$8)))/Inputs!$K$8)^2),NA())</x:f>
        <x:v>176.5548850000001</x:v>
      </x:c>
      <x:c r="E168" s="9" t="n">
        <x:f>IF(OR(Inputs!$F$9=TRUE,Inputs!$F$9="TRUE",Inputs!$F$9=1),(Inputs!$H$9+Inputs!$L$9*(((Inputs!$I$9+(((A168)+1)/2)*(Inputs!$J$9-Inputs!$I$9)))/Inputs!$K$9)^2),NA())</x:f>
        <x:v>168.0217750000001</x:v>
      </x:c>
      <x:c r="F168" s="10" t="n"/>
      <x:c r="G168" s="9" t="n">
        <x:f>A168</x:f>
        <x:v>0.383</x:v>
      </x:c>
      <x:c r="H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10" t="n"/>
      <x:c r="M168" s="9" t="n">
        <x:f>A168</x:f>
        <x:v>0.383</x:v>
      </x:c>
      <x:c r="N168" s="9"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9"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9"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9"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10" t="n"/>
      <x:c r="S168" s="9" t="n">
        <x:f>A168</x:f>
        <x:v>0.383</x:v>
      </x:c>
      <x:c r="T168" s="9" t="n">
        <x:f>(Inputs!$I$6+(((A168)+1)/2)*(Inputs!$J$6-Inputs!$I$6))</x:f>
        <x:v>22.980000000000004</x:v>
      </x:c>
      <x:c r="U168" s="9" t="n">
        <x:f>(Inputs!$I$7+(((A168)+1)/2)*(Inputs!$J$7-Inputs!$I$7))</x:f>
        <x:v>153.20000000000005</x:v>
      </x:c>
      <x:c r="V168" s="9" t="n">
        <x:f>(Inputs!$I$8+(((A168)+1)/2)*(Inputs!$J$8-Inputs!$I$8))</x:f>
        <x:v>306.4000000000001</x:v>
      </x:c>
      <x:c r="W168" s="9" t="n">
        <x:f>(Inputs!$I$9+(((A168)+1)/2)*(Inputs!$J$9-Inputs!$I$9))</x:f>
        <x:v>306.4000000000001</x:v>
      </x:c>
      <x:c r="X168" s="10" t="n"/>
      <x:c r="Y168" s="9" t="n">
        <x:f>A168</x:f>
        <x:v>0.383</x:v>
      </x:c>
      <x:c r="Z168" s="9" t="n">
        <x:f>(Inputs!$H$6+Inputs!$L$6*(((Inputs!$I$6+(((A168)+1)/2)*(Inputs!$J$6-Inputs!$I$6)))/Inputs!$K$6)^2)</x:f>
        <x:v>400.586756</x:v>
      </x:c>
      <x:c r="AA168" s="9" t="n">
        <x:f>(Inputs!$H$7+Inputs!$L$7*(((Inputs!$I$7+(((A168)+1)/2)*(Inputs!$J$7-Inputs!$I$7)))/Inputs!$K$7)^2)</x:f>
        <x:v>88.54148500000004</x:v>
      </x:c>
      <x:c r="AB168" s="9" t="n">
        <x:f>(Inputs!$H$8+Inputs!$L$8*(((Inputs!$I$8+(((A168)+1)/2)*(Inputs!$J$8-Inputs!$I$8)))/Inputs!$K$8)^2)</x:f>
        <x:v>176.5548850000001</x:v>
      </x:c>
      <x:c r="AC168" s="9" t="n">
        <x:f>(Inputs!$H$9+Inputs!$L$9*(((Inputs!$I$9+(((A168)+1)/2)*(Inputs!$J$9-Inputs!$I$9)))/Inputs!$K$9)^2)</x:f>
        <x:v>168.0217750000001</x:v>
      </x:c>
      <x:c r="AD168" s="10" t="n"/>
      <x:c r="AE168" s="9" t="n">
        <x:f>A168</x:f>
        <x:v>0.383</x:v>
      </x:c>
      <x:c r="AF168" s="9"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9"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9"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9"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10" t="n"/>
      <x:c r="AK168" s="9" t="n">
        <x:f>A168</x:f>
        <x:v>0.383</x:v>
      </x:c>
      <x:c r="AL168" s="9"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9"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9"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9"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10" t="n"/>
      <x:c r="AQ168" s="9" t="n">
        <x:f>A168</x:f>
        <x:v>0.383</x:v>
      </x:c>
      <x:c r="AR168" s="9" t="n">
        <x:f>0</x:f>
        <x:v>0</x:v>
      </x:c>
      <x:c r="AS168" s="9"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x:f>
        <x:v>455.92133718618885</x:v>
      </x:c>
      <x:c r="AT168" s="9"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x:f>
        <x:v>134.71597497995268</x:v>
      </x:c>
      <x:c r="AU168" s="9"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x:f>
        <x:v>179.0016503669011</x:v>
      </x:c>
      <x:c r="AV168" s="9"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x:f>
        <x:v>179.0016503669011</x:v>
      </x:c>
      <x:c r="AW168" s="10" t="n"/>
      <x:c r="AX168" s="9" t="n">
        <x:f>A168</x:f>
        <x:v>0.383</x:v>
      </x:c>
      <x:c r="AY168" s="9" t="n">
        <x:f>0</x:f>
        <x:v>0</x:v>
      </x:c>
      <x:c r="AZ168" s="9" t="n">
        <x:f>IF(OR(Inputs!$F$6=TRUE,Inputs!$F$6="TRUE",Inputs!$F$6=1),(Inputs!$H$6+Inputs!$L$6*(((Inputs!$I$6+(((A168)+1)/2)*(Inputs!$J$6-Inputs!$I$6)))/Inputs!$K$6)^2),NA())</x:f>
        <x:v>400.586756</x:v>
      </x:c>
      <x:c r="BA168" s="9" t="n">
        <x:f>IF(OR(Inputs!$F$7=TRUE,Inputs!$F$7="TRUE",Inputs!$F$7=1),(Inputs!$H$7+Inputs!$L$7*(((Inputs!$I$7+(((A168)+1)/2)*(Inputs!$J$7-Inputs!$I$7)))/Inputs!$K$7)^2),NA())</x:f>
        <x:v>88.54148500000004</x:v>
      </x:c>
      <x:c r="BB168" s="9" t="n">
        <x:f>IF(OR(Inputs!$F$8=TRUE,Inputs!$F$8="TRUE",Inputs!$F$8=1),(Inputs!$H$8+Inputs!$L$8*(((Inputs!$I$8+(((A168)+1)/2)*(Inputs!$J$8-Inputs!$I$8)))/Inputs!$K$8)^2),NA())</x:f>
        <x:v>176.5548850000001</x:v>
      </x:c>
      <x:c r="BC168" s="9" t="n">
        <x:f>IF(OR(Inputs!$F$9=TRUE,Inputs!$F$9="TRUE",Inputs!$F$9=1),(Inputs!$H$9+Inputs!$L$9*(((Inputs!$I$9+(((A168)+1)/2)*(Inputs!$J$9-Inputs!$I$9)))/Inputs!$K$9)^2),NA())</x:f>
        <x:v>168.0217750000001</x:v>
      </x:c>
      <x:c r="BD168" s="10" t="n"/>
      <x:c r="BE168" s="9" t="n">
        <x:f>A168</x:f>
        <x:v>0.383</x:v>
      </x:c>
      <x:c r="BF168" s="9" t="n">
        <x:f>0</x:f>
        <x:v>0</x:v>
      </x:c>
      <x:c r="BG168" s="9"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9"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9"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9"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9" t="n">
        <x:f>ROUND(-1+167*2/240,3)</x:f>
        <x:v>0.392</x:v>
      </x:c>
      <x:c r="B169" s="9" t="n">
        <x:f>IF(OR(Inputs!$F$6=TRUE,Inputs!$F$6="TRUE",Inputs!$F$6=1),(Inputs!$H$6+Inputs!$L$6*(((Inputs!$I$6+(((A169)+1)/2)*(Inputs!$J$6-Inputs!$I$6)))/Inputs!$K$6)^2),NA())</x:f>
        <x:v>400.614656</x:v>
      </x:c>
      <x:c r="C169" s="9" t="n">
        <x:f>IF(OR(Inputs!$F$7=TRUE,Inputs!$F$7="TRUE",Inputs!$F$7=1),(Inputs!$H$7+Inputs!$L$7*(((Inputs!$I$7+(((A169)+1)/2)*(Inputs!$J$7-Inputs!$I$7)))/Inputs!$K$7)^2),NA())</x:f>
        <x:v>91.08735999999996</x:v>
      </x:c>
      <x:c r="D169" s="9" t="n">
        <x:f>IF(OR(Inputs!$F$8=TRUE,Inputs!$F$8="TRUE",Inputs!$F$8=1),(Inputs!$H$8+Inputs!$L$8*(((Inputs!$I$8+(((A169)+1)/2)*(Inputs!$J$8-Inputs!$I$8)))/Inputs!$K$8)^2),NA())</x:f>
        <x:v>183.28575999999993</x:v>
      </x:c>
      <x:c r="E169" s="9" t="n">
        <x:f>IF(OR(Inputs!$F$9=TRUE,Inputs!$F$9="TRUE",Inputs!$F$9=1),(Inputs!$H$9+Inputs!$L$9*(((Inputs!$I$9+(((A169)+1)/2)*(Inputs!$J$9-Inputs!$I$9)))/Inputs!$K$9)^2),NA())</x:f>
        <x:v>174.8223999999999</x:v>
      </x:c>
      <x:c r="F169" s="10" t="n"/>
      <x:c r="G169" s="9" t="n">
        <x:f>A169</x:f>
        <x:v>0.392</x:v>
      </x:c>
      <x:c r="H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10" t="n"/>
      <x:c r="M169" s="9" t="n">
        <x:f>A169</x:f>
        <x:v>0.392</x:v>
      </x:c>
      <x:c r="N169" s="9"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9"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9"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9"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10" t="n"/>
      <x:c r="S169" s="9" t="n">
        <x:f>A169</x:f>
        <x:v>0.392</x:v>
      </x:c>
      <x:c r="T169" s="9" t="n">
        <x:f>(Inputs!$I$6+(((A169)+1)/2)*(Inputs!$J$6-Inputs!$I$6))</x:f>
        <x:v>23.519999999999996</x:v>
      </x:c>
      <x:c r="U169" s="9" t="n">
        <x:f>(Inputs!$I$7+(((A169)+1)/2)*(Inputs!$J$7-Inputs!$I$7))</x:f>
        <x:v>156.79999999999995</x:v>
      </x:c>
      <x:c r="V169" s="9" t="n">
        <x:f>(Inputs!$I$8+(((A169)+1)/2)*(Inputs!$J$8-Inputs!$I$8))</x:f>
        <x:v>313.5999999999999</x:v>
      </x:c>
      <x:c r="W169" s="9" t="n">
        <x:f>(Inputs!$I$9+(((A169)+1)/2)*(Inputs!$J$9-Inputs!$I$9))</x:f>
        <x:v>313.5999999999999</x:v>
      </x:c>
      <x:c r="X169" s="10" t="n"/>
      <x:c r="Y169" s="9" t="n">
        <x:f>A169</x:f>
        <x:v>0.392</x:v>
      </x:c>
      <x:c r="Z169" s="9" t="n">
        <x:f>(Inputs!$H$6+Inputs!$L$6*(((Inputs!$I$6+(((A169)+1)/2)*(Inputs!$J$6-Inputs!$I$6)))/Inputs!$K$6)^2)</x:f>
        <x:v>400.614656</x:v>
      </x:c>
      <x:c r="AA169" s="9" t="n">
        <x:f>(Inputs!$H$7+Inputs!$L$7*(((Inputs!$I$7+(((A169)+1)/2)*(Inputs!$J$7-Inputs!$I$7)))/Inputs!$K$7)^2)</x:f>
        <x:v>91.08735999999996</x:v>
      </x:c>
      <x:c r="AB169" s="9" t="n">
        <x:f>(Inputs!$H$8+Inputs!$L$8*(((Inputs!$I$8+(((A169)+1)/2)*(Inputs!$J$8-Inputs!$I$8)))/Inputs!$K$8)^2)</x:f>
        <x:v>183.28575999999993</x:v>
      </x:c>
      <x:c r="AC169" s="9" t="n">
        <x:f>(Inputs!$H$9+Inputs!$L$9*(((Inputs!$I$9+(((A169)+1)/2)*(Inputs!$J$9-Inputs!$I$9)))/Inputs!$K$9)^2)</x:f>
        <x:v>174.8223999999999</x:v>
      </x:c>
      <x:c r="AD169" s="10" t="n"/>
      <x:c r="AE169" s="9" t="n">
        <x:f>A169</x:f>
        <x:v>0.392</x:v>
      </x:c>
      <x:c r="AF169" s="9"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9"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9"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9"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10" t="n"/>
      <x:c r="AK169" s="9" t="n">
        <x:f>A169</x:f>
        <x:v>0.392</x:v>
      </x:c>
      <x:c r="AL169" s="9"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9"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9"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9"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10" t="n"/>
      <x:c r="AQ169" s="9" t="n">
        <x:f>A169</x:f>
        <x:v>0.392</x:v>
      </x:c>
      <x:c r="AR169" s="9" t="n">
        <x:f>0</x:f>
        <x:v>0</x:v>
      </x:c>
      <x:c r="AS169" s="9"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x:f>
        <x:v>440.0027154227627</x:v>
      </x:c>
      <x:c r="AT169" s="9"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x:f>
        <x:v>139.29932347579913</x:v>
      </x:c>
      <x:c r="AU169" s="9"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x:f>
        <x:v>166.25858720093478</x:v>
      </x:c>
      <x:c r="AV169" s="9"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x:f>
        <x:v>166.25858720093478</x:v>
      </x:c>
      <x:c r="AW169" s="10" t="n"/>
      <x:c r="AX169" s="9" t="n">
        <x:f>A169</x:f>
        <x:v>0.392</x:v>
      </x:c>
      <x:c r="AY169" s="9" t="n">
        <x:f>0</x:f>
        <x:v>0</x:v>
      </x:c>
      <x:c r="AZ169" s="9" t="n">
        <x:f>IF(OR(Inputs!$F$6=TRUE,Inputs!$F$6="TRUE",Inputs!$F$6=1),(Inputs!$H$6+Inputs!$L$6*(((Inputs!$I$6+(((A169)+1)/2)*(Inputs!$J$6-Inputs!$I$6)))/Inputs!$K$6)^2),NA())</x:f>
        <x:v>400.614656</x:v>
      </x:c>
      <x:c r="BA169" s="9" t="n">
        <x:f>IF(OR(Inputs!$F$7=TRUE,Inputs!$F$7="TRUE",Inputs!$F$7=1),(Inputs!$H$7+Inputs!$L$7*(((Inputs!$I$7+(((A169)+1)/2)*(Inputs!$J$7-Inputs!$I$7)))/Inputs!$K$7)^2),NA())</x:f>
        <x:v>91.08735999999996</x:v>
      </x:c>
      <x:c r="BB169" s="9" t="n">
        <x:f>IF(OR(Inputs!$F$8=TRUE,Inputs!$F$8="TRUE",Inputs!$F$8=1),(Inputs!$H$8+Inputs!$L$8*(((Inputs!$I$8+(((A169)+1)/2)*(Inputs!$J$8-Inputs!$I$8)))/Inputs!$K$8)^2),NA())</x:f>
        <x:v>183.28575999999993</x:v>
      </x:c>
      <x:c r="BC169" s="9" t="n">
        <x:f>IF(OR(Inputs!$F$9=TRUE,Inputs!$F$9="TRUE",Inputs!$F$9=1),(Inputs!$H$9+Inputs!$L$9*(((Inputs!$I$9+(((A169)+1)/2)*(Inputs!$J$9-Inputs!$I$9)))/Inputs!$K$9)^2),NA())</x:f>
        <x:v>174.8223999999999</x:v>
      </x:c>
      <x:c r="BD169" s="10" t="n"/>
      <x:c r="BE169" s="9" t="n">
        <x:f>A169</x:f>
        <x:v>0.392</x:v>
      </x:c>
      <x:c r="BF169" s="9" t="n">
        <x:f>0</x:f>
        <x:v>0</x:v>
      </x:c>
      <x:c r="BG169" s="9"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9"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9"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9"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9" t="n">
        <x:f>ROUND(-1+168*2/240,3)</x:f>
        <x:v>0.4</x:v>
      </x:c>
      <x:c r="B170" s="9" t="n">
        <x:f>IF(OR(Inputs!$F$6=TRUE,Inputs!$F$6="TRUE",Inputs!$F$6=1),(Inputs!$H$6+Inputs!$L$6*(((Inputs!$I$6+(((A170)+1)/2)*(Inputs!$J$6-Inputs!$I$6)))/Inputs!$K$6)^2),NA())</x:f>
        <x:v>400.64</x:v>
      </x:c>
      <x:c r="C170" s="9" t="n">
        <x:f>IF(OR(Inputs!$F$7=TRUE,Inputs!$F$7="TRUE",Inputs!$F$7=1),(Inputs!$H$7+Inputs!$L$7*(((Inputs!$I$7+(((A170)+1)/2)*(Inputs!$J$7-Inputs!$I$7)))/Inputs!$K$7)^2),NA())</x:f>
        <x:v>93.4</x:v>
      </x:c>
      <x:c r="D170" s="9" t="n">
        <x:f>IF(OR(Inputs!$F$8=TRUE,Inputs!$F$8="TRUE",Inputs!$F$8=1),(Inputs!$H$8+Inputs!$L$8*(((Inputs!$I$8+(((A170)+1)/2)*(Inputs!$J$8-Inputs!$I$8)))/Inputs!$K$8)^2),NA())</x:f>
        <x:v>189.40000000000003</x:v>
      </x:c>
      <x:c r="E170" s="9" t="n">
        <x:f>IF(OR(Inputs!$F$9=TRUE,Inputs!$F$9="TRUE",Inputs!$F$9=1),(Inputs!$H$9+Inputs!$L$9*(((Inputs!$I$9+(((A170)+1)/2)*(Inputs!$J$9-Inputs!$I$9)))/Inputs!$K$9)^2),NA())</x:f>
        <x:v>181.00000000000003</x:v>
      </x:c>
      <x:c r="F170" s="10" t="n"/>
      <x:c r="G170" s="9" t="n">
        <x:f>A170</x:f>
        <x:v>0.4</x:v>
      </x:c>
      <x:c r="H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10" t="n"/>
      <x:c r="M170" s="9" t="n">
        <x:f>A170</x:f>
        <x:v>0.4</x:v>
      </x:c>
      <x:c r="N170" s="9"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9"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9"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9"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10" t="n"/>
      <x:c r="S170" s="9" t="n">
        <x:f>A170</x:f>
        <x:v>0.4</x:v>
      </x:c>
      <x:c r="T170" s="9" t="n">
        <x:f>(Inputs!$I$6+(((A170)+1)/2)*(Inputs!$J$6-Inputs!$I$6))</x:f>
        <x:v>24</x:v>
      </x:c>
      <x:c r="U170" s="9" t="n">
        <x:f>(Inputs!$I$7+(((A170)+1)/2)*(Inputs!$J$7-Inputs!$I$7))</x:f>
        <x:v>160</x:v>
      </x:c>
      <x:c r="V170" s="9" t="n">
        <x:f>(Inputs!$I$8+(((A170)+1)/2)*(Inputs!$J$8-Inputs!$I$8))</x:f>
        <x:v>320</x:v>
      </x:c>
      <x:c r="W170" s="9" t="n">
        <x:f>(Inputs!$I$9+(((A170)+1)/2)*(Inputs!$J$9-Inputs!$I$9))</x:f>
        <x:v>320</x:v>
      </x:c>
      <x:c r="X170" s="10" t="n"/>
      <x:c r="Y170" s="9" t="n">
        <x:f>A170</x:f>
        <x:v>0.4</x:v>
      </x:c>
      <x:c r="Z170" s="9" t="n">
        <x:f>(Inputs!$H$6+Inputs!$L$6*(((Inputs!$I$6+(((A170)+1)/2)*(Inputs!$J$6-Inputs!$I$6)))/Inputs!$K$6)^2)</x:f>
        <x:v>400.64</x:v>
      </x:c>
      <x:c r="AA170" s="9" t="n">
        <x:f>(Inputs!$H$7+Inputs!$L$7*(((Inputs!$I$7+(((A170)+1)/2)*(Inputs!$J$7-Inputs!$I$7)))/Inputs!$K$7)^2)</x:f>
        <x:v>93.4</x:v>
      </x:c>
      <x:c r="AB170" s="9" t="n">
        <x:f>(Inputs!$H$8+Inputs!$L$8*(((Inputs!$I$8+(((A170)+1)/2)*(Inputs!$J$8-Inputs!$I$8)))/Inputs!$K$8)^2)</x:f>
        <x:v>189.40000000000003</x:v>
      </x:c>
      <x:c r="AC170" s="9" t="n">
        <x:f>(Inputs!$H$9+Inputs!$L$9*(((Inputs!$I$9+(((A170)+1)/2)*(Inputs!$J$9-Inputs!$I$9)))/Inputs!$K$9)^2)</x:f>
        <x:v>181.00000000000003</x:v>
      </x:c>
      <x:c r="AD170" s="10" t="n"/>
      <x:c r="AE170" s="9" t="n">
        <x:f>A170</x:f>
        <x:v>0.4</x:v>
      </x:c>
      <x:c r="AF170" s="9"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9"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9"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9"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10" t="n"/>
      <x:c r="AK170" s="9" t="n">
        <x:f>A170</x:f>
        <x:v>0.4</x:v>
      </x:c>
      <x:c r="AL170" s="9"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9"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9"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9"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10" t="n"/>
      <x:c r="AQ170" s="9" t="n">
        <x:f>A170</x:f>
        <x:v>0.4</x:v>
      </x:c>
      <x:c r="AR170" s="9" t="n">
        <x:f>0</x:f>
        <x:v>0</x:v>
      </x:c>
      <x:c r="AS170" s="9"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x:f>
        <x:v>441.2625072507224</x:v>
      </x:c>
      <x:c r="AT170" s="9"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x:f>
        <x:v>163.1736055869338</x:v>
      </x:c>
      <x:c r="AU170" s="9"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x:f>
        <x:v>63.16298590057942</x:v>
      </x:c>
      <x:c r="AV170" s="9"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x:f>
        <x:v>63.16298590057942</x:v>
      </x:c>
      <x:c r="AW170" s="10" t="n"/>
      <x:c r="AX170" s="9" t="n">
        <x:f>A170</x:f>
        <x:v>0.4</x:v>
      </x:c>
      <x:c r="AY170" s="9" t="n">
        <x:f>0</x:f>
        <x:v>0</x:v>
      </x:c>
      <x:c r="AZ170" s="9" t="n">
        <x:f>IF(OR(Inputs!$F$6=TRUE,Inputs!$F$6="TRUE",Inputs!$F$6=1),(Inputs!$H$6+Inputs!$L$6*(((Inputs!$I$6+(((A170)+1)/2)*(Inputs!$J$6-Inputs!$I$6)))/Inputs!$K$6)^2),NA())</x:f>
        <x:v>400.64</x:v>
      </x:c>
      <x:c r="BA170" s="9" t="n">
        <x:f>IF(OR(Inputs!$F$7=TRUE,Inputs!$F$7="TRUE",Inputs!$F$7=1),(Inputs!$H$7+Inputs!$L$7*(((Inputs!$I$7+(((A170)+1)/2)*(Inputs!$J$7-Inputs!$I$7)))/Inputs!$K$7)^2),NA())</x:f>
        <x:v>93.4</x:v>
      </x:c>
      <x:c r="BB170" s="9" t="n">
        <x:f>IF(OR(Inputs!$F$8=TRUE,Inputs!$F$8="TRUE",Inputs!$F$8=1),(Inputs!$H$8+Inputs!$L$8*(((Inputs!$I$8+(((A170)+1)/2)*(Inputs!$J$8-Inputs!$I$8)))/Inputs!$K$8)^2),NA())</x:f>
        <x:v>189.40000000000003</x:v>
      </x:c>
      <x:c r="BC170" s="9" t="n">
        <x:f>IF(OR(Inputs!$F$9=TRUE,Inputs!$F$9="TRUE",Inputs!$F$9=1),(Inputs!$H$9+Inputs!$L$9*(((Inputs!$I$9+(((A170)+1)/2)*(Inputs!$J$9-Inputs!$I$9)))/Inputs!$K$9)^2),NA())</x:f>
        <x:v>181.00000000000003</x:v>
      </x:c>
      <x:c r="BD170" s="10" t="n"/>
      <x:c r="BE170" s="9" t="n">
        <x:f>A170</x:f>
        <x:v>0.4</x:v>
      </x:c>
      <x:c r="BF170" s="9" t="n">
        <x:f>0</x:f>
        <x:v>0</x:v>
      </x:c>
      <x:c r="BG170" s="9"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9"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9"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9"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9" t="n">
        <x:f>ROUND(-1+169*2/240,3)</x:f>
        <x:v>0.408</x:v>
      </x:c>
      <x:c r="B171" s="9" t="n">
        <x:f>IF(OR(Inputs!$F$6=TRUE,Inputs!$F$6="TRUE",Inputs!$F$6=1),(Inputs!$H$6+Inputs!$L$6*(((Inputs!$I$6+(((A171)+1)/2)*(Inputs!$J$6-Inputs!$I$6)))/Inputs!$K$6)^2),NA())</x:f>
        <x:v>400.665856</x:v>
      </x:c>
      <x:c r="C171" s="9" t="n">
        <x:f>IF(OR(Inputs!$F$7=TRUE,Inputs!$F$7="TRUE",Inputs!$F$7=1),(Inputs!$H$7+Inputs!$L$7*(((Inputs!$I$7+(((A171)+1)/2)*(Inputs!$J$7-Inputs!$I$7)))/Inputs!$K$7)^2),NA())</x:f>
        <x:v>95.75935999999993</x:v>
      </x:c>
      <x:c r="D171" s="9" t="n">
        <x:f>IF(OR(Inputs!$F$8=TRUE,Inputs!$F$8="TRUE",Inputs!$F$8=1),(Inputs!$H$8+Inputs!$L$8*(((Inputs!$I$8+(((A171)+1)/2)*(Inputs!$J$8-Inputs!$I$8)))/Inputs!$K$8)^2),NA())</x:f>
        <x:v>195.63775999999984</x:v>
      </x:c>
      <x:c r="E171" s="9" t="n">
        <x:f>IF(OR(Inputs!$F$9=TRUE,Inputs!$F$9="TRUE",Inputs!$F$9=1),(Inputs!$H$9+Inputs!$L$9*(((Inputs!$I$9+(((A171)+1)/2)*(Inputs!$J$9-Inputs!$I$9)))/Inputs!$K$9)^2),NA())</x:f>
        <x:v>187.30239999999984</x:v>
      </x:c>
      <x:c r="F171" s="10" t="n"/>
      <x:c r="G171" s="9" t="n">
        <x:f>A171</x:f>
        <x:v>0.408</x:v>
      </x:c>
      <x:c r="H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10" t="n"/>
      <x:c r="M171" s="9" t="n">
        <x:f>A171</x:f>
        <x:v>0.408</x:v>
      </x:c>
      <x:c r="N171" s="9"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9"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9"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9"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10" t="n"/>
      <x:c r="S171" s="9" t="n">
        <x:f>A171</x:f>
        <x:v>0.408</x:v>
      </x:c>
      <x:c r="T171" s="9" t="n">
        <x:f>(Inputs!$I$6+(((A171)+1)/2)*(Inputs!$J$6-Inputs!$I$6))</x:f>
        <x:v>24.47999999999999</x:v>
      </x:c>
      <x:c r="U171" s="9" t="n">
        <x:f>(Inputs!$I$7+(((A171)+1)/2)*(Inputs!$J$7-Inputs!$I$7))</x:f>
        <x:v>163.19999999999993</x:v>
      </x:c>
      <x:c r="V171" s="9" t="n">
        <x:f>(Inputs!$I$8+(((A171)+1)/2)*(Inputs!$J$8-Inputs!$I$8))</x:f>
        <x:v>326.39999999999986</x:v>
      </x:c>
      <x:c r="W171" s="9" t="n">
        <x:f>(Inputs!$I$9+(((A171)+1)/2)*(Inputs!$J$9-Inputs!$I$9))</x:f>
        <x:v>326.39999999999986</x:v>
      </x:c>
      <x:c r="X171" s="10" t="n"/>
      <x:c r="Y171" s="9" t="n">
        <x:f>A171</x:f>
        <x:v>0.408</x:v>
      </x:c>
      <x:c r="Z171" s="9" t="n">
        <x:f>(Inputs!$H$6+Inputs!$L$6*(((Inputs!$I$6+(((A171)+1)/2)*(Inputs!$J$6-Inputs!$I$6)))/Inputs!$K$6)^2)</x:f>
        <x:v>400.665856</x:v>
      </x:c>
      <x:c r="AA171" s="9" t="n">
        <x:f>(Inputs!$H$7+Inputs!$L$7*(((Inputs!$I$7+(((A171)+1)/2)*(Inputs!$J$7-Inputs!$I$7)))/Inputs!$K$7)^2)</x:f>
        <x:v>95.75935999999993</x:v>
      </x:c>
      <x:c r="AB171" s="9" t="n">
        <x:f>(Inputs!$H$8+Inputs!$L$8*(((Inputs!$I$8+(((A171)+1)/2)*(Inputs!$J$8-Inputs!$I$8)))/Inputs!$K$8)^2)</x:f>
        <x:v>195.63775999999984</x:v>
      </x:c>
      <x:c r="AC171" s="9" t="n">
        <x:f>(Inputs!$H$9+Inputs!$L$9*(((Inputs!$I$9+(((A171)+1)/2)*(Inputs!$J$9-Inputs!$I$9)))/Inputs!$K$9)^2)</x:f>
        <x:v>187.30239999999984</x:v>
      </x:c>
      <x:c r="AD171" s="10" t="n"/>
      <x:c r="AE171" s="9" t="n">
        <x:f>A171</x:f>
        <x:v>0.408</x:v>
      </x:c>
      <x:c r="AF171" s="9"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9"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9"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9"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10" t="n"/>
      <x:c r="AK171" s="9" t="n">
        <x:f>A171</x:f>
        <x:v>0.408</x:v>
      </x:c>
      <x:c r="AL171" s="9"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9"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9"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9"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10" t="n"/>
      <x:c r="AQ171" s="9" t="n">
        <x:f>A171</x:f>
        <x:v>0.408</x:v>
      </x:c>
      <x:c r="AR171" s="9" t="n">
        <x:f>0</x:f>
        <x:v>0</x:v>
      </x:c>
      <x:c r="AS171" s="9"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x:f>
        <x:v>424.7558770549224</x:v>
      </x:c>
      <x:c r="AT171" s="9"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x:f>
        <x:v>167.1199143370708</x:v>
      </x:c>
      <x:c r="AU171" s="9"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x:f>
        <x:v>179.43259642725053</x:v>
      </x:c>
      <x:c r="AV171" s="9"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x:f>
        <x:v>179.43259642725053</x:v>
      </x:c>
      <x:c r="AW171" s="10" t="n"/>
      <x:c r="AX171" s="9" t="n">
        <x:f>A171</x:f>
        <x:v>0.408</x:v>
      </x:c>
      <x:c r="AY171" s="9" t="n">
        <x:f>0</x:f>
        <x:v>0</x:v>
      </x:c>
      <x:c r="AZ171" s="9" t="n">
        <x:f>IF(OR(Inputs!$F$6=TRUE,Inputs!$F$6="TRUE",Inputs!$F$6=1),(Inputs!$H$6+Inputs!$L$6*(((Inputs!$I$6+(((A171)+1)/2)*(Inputs!$J$6-Inputs!$I$6)))/Inputs!$K$6)^2),NA())</x:f>
        <x:v>400.665856</x:v>
      </x:c>
      <x:c r="BA171" s="9" t="n">
        <x:f>IF(OR(Inputs!$F$7=TRUE,Inputs!$F$7="TRUE",Inputs!$F$7=1),(Inputs!$H$7+Inputs!$L$7*(((Inputs!$I$7+(((A171)+1)/2)*(Inputs!$J$7-Inputs!$I$7)))/Inputs!$K$7)^2),NA())</x:f>
        <x:v>95.75935999999993</x:v>
      </x:c>
      <x:c r="BB171" s="9" t="n">
        <x:f>IF(OR(Inputs!$F$8=TRUE,Inputs!$F$8="TRUE",Inputs!$F$8=1),(Inputs!$H$8+Inputs!$L$8*(((Inputs!$I$8+(((A171)+1)/2)*(Inputs!$J$8-Inputs!$I$8)))/Inputs!$K$8)^2),NA())</x:f>
        <x:v>195.63775999999984</x:v>
      </x:c>
      <x:c r="BC171" s="9" t="n">
        <x:f>IF(OR(Inputs!$F$9=TRUE,Inputs!$F$9="TRUE",Inputs!$F$9=1),(Inputs!$H$9+Inputs!$L$9*(((Inputs!$I$9+(((A171)+1)/2)*(Inputs!$J$9-Inputs!$I$9)))/Inputs!$K$9)^2),NA())</x:f>
        <x:v>187.30239999999984</x:v>
      </x:c>
      <x:c r="BD171" s="10" t="n"/>
      <x:c r="BE171" s="9" t="n">
        <x:f>A171</x:f>
        <x:v>0.408</x:v>
      </x:c>
      <x:c r="BF171" s="9" t="n">
        <x:f>0</x:f>
        <x:v>0</x:v>
      </x:c>
      <x:c r="BG171" s="9"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9"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9"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9"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9" t="n">
        <x:f>ROUND(-1+170*2/240,3)</x:f>
        <x:v>0.417</x:v>
      </x:c>
      <x:c r="B172" s="9" t="n">
        <x:f>IF(OR(Inputs!$F$6=TRUE,Inputs!$F$6="TRUE",Inputs!$F$6=1),(Inputs!$H$6+Inputs!$L$6*(((Inputs!$I$6+(((A172)+1)/2)*(Inputs!$J$6-Inputs!$I$6)))/Inputs!$K$6)^2),NA())</x:f>
        <x:v>400.695556</x:v>
      </x:c>
      <x:c r="C172" s="9" t="n">
        <x:f>IF(OR(Inputs!$F$7=TRUE,Inputs!$F$7="TRUE",Inputs!$F$7=1),(Inputs!$H$7+Inputs!$L$7*(((Inputs!$I$7+(((A172)+1)/2)*(Inputs!$J$7-Inputs!$I$7)))/Inputs!$K$7)^2),NA())</x:f>
        <x:v>98.46948500000005</x:v>
      </x:c>
      <x:c r="D172" s="9" t="n">
        <x:f>IF(OR(Inputs!$F$8=TRUE,Inputs!$F$8="TRUE",Inputs!$F$8=1),(Inputs!$H$8+Inputs!$L$8*(((Inputs!$I$8+(((A172)+1)/2)*(Inputs!$J$8-Inputs!$I$8)))/Inputs!$K$8)^2),NA())</x:f>
        <x:v>202.80288500000012</x:v>
      </x:c>
      <x:c r="E172" s="9" t="n">
        <x:f>IF(OR(Inputs!$F$9=TRUE,Inputs!$F$9="TRUE",Inputs!$F$9=1),(Inputs!$H$9+Inputs!$L$9*(((Inputs!$I$9+(((A172)+1)/2)*(Inputs!$J$9-Inputs!$I$9)))/Inputs!$K$9)^2),NA())</x:f>
        <x:v>194.54177500000011</x:v>
      </x:c>
      <x:c r="F172" s="10" t="n"/>
      <x:c r="G172" s="9" t="n">
        <x:f>A172</x:f>
        <x:v>0.417</x:v>
      </x:c>
      <x:c r="H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10" t="n"/>
      <x:c r="M172" s="9" t="n">
        <x:f>A172</x:f>
        <x:v>0.417</x:v>
      </x:c>
      <x:c r="N172" s="9"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9"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9"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9"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10" t="n"/>
      <x:c r="S172" s="9" t="n">
        <x:f>A172</x:f>
        <x:v>0.417</x:v>
      </x:c>
      <x:c r="T172" s="9" t="n">
        <x:f>(Inputs!$I$6+(((A172)+1)/2)*(Inputs!$J$6-Inputs!$I$6))</x:f>
        <x:v>25.019999999999996</x:v>
      </x:c>
      <x:c r="U172" s="9" t="n">
        <x:f>(Inputs!$I$7+(((A172)+1)/2)*(Inputs!$J$7-Inputs!$I$7))</x:f>
        <x:v>166.80000000000007</x:v>
      </x:c>
      <x:c r="V172" s="9" t="n">
        <x:f>(Inputs!$I$8+(((A172)+1)/2)*(Inputs!$J$8-Inputs!$I$8))</x:f>
        <x:v>333.60000000000014</x:v>
      </x:c>
      <x:c r="W172" s="9" t="n">
        <x:f>(Inputs!$I$9+(((A172)+1)/2)*(Inputs!$J$9-Inputs!$I$9))</x:f>
        <x:v>333.60000000000014</x:v>
      </x:c>
      <x:c r="X172" s="10" t="n"/>
      <x:c r="Y172" s="9" t="n">
        <x:f>A172</x:f>
        <x:v>0.417</x:v>
      </x:c>
      <x:c r="Z172" s="9" t="n">
        <x:f>(Inputs!$H$6+Inputs!$L$6*(((Inputs!$I$6+(((A172)+1)/2)*(Inputs!$J$6-Inputs!$I$6)))/Inputs!$K$6)^2)</x:f>
        <x:v>400.695556</x:v>
      </x:c>
      <x:c r="AA172" s="9" t="n">
        <x:f>(Inputs!$H$7+Inputs!$L$7*(((Inputs!$I$7+(((A172)+1)/2)*(Inputs!$J$7-Inputs!$I$7)))/Inputs!$K$7)^2)</x:f>
        <x:v>98.46948500000005</x:v>
      </x:c>
      <x:c r="AB172" s="9" t="n">
        <x:f>(Inputs!$H$8+Inputs!$L$8*(((Inputs!$I$8+(((A172)+1)/2)*(Inputs!$J$8-Inputs!$I$8)))/Inputs!$K$8)^2)</x:f>
        <x:v>202.80288500000012</x:v>
      </x:c>
      <x:c r="AC172" s="9" t="n">
        <x:f>(Inputs!$H$9+Inputs!$L$9*(((Inputs!$I$9+(((A172)+1)/2)*(Inputs!$J$9-Inputs!$I$9)))/Inputs!$K$9)^2)</x:f>
        <x:v>194.54177500000011</x:v>
      </x:c>
      <x:c r="AD172" s="10" t="n"/>
      <x:c r="AE172" s="9" t="n">
        <x:f>A172</x:f>
        <x:v>0.417</x:v>
      </x:c>
      <x:c r="AF172" s="9"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9"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9"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9"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10" t="n"/>
      <x:c r="AK172" s="9" t="n">
        <x:f>A172</x:f>
        <x:v>0.417</x:v>
      </x:c>
      <x:c r="AL172" s="9"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9"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9"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9"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10" t="n"/>
      <x:c r="AQ172" s="9" t="n">
        <x:f>A172</x:f>
        <x:v>0.417</x:v>
      </x:c>
      <x:c r="AR172" s="9" t="n">
        <x:f>0</x:f>
        <x:v>0</x:v>
      </x:c>
      <x:c r="AS172" s="9"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x:f>
        <x:v>416.922716817259</x:v>
      </x:c>
      <x:c r="AT172" s="9"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x:f>
        <x:v>178.2610751125142</x:v>
      </x:c>
      <x:c r="AU172" s="9"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x:f>
        <x:v>98.744383539129</x:v>
      </x:c>
      <x:c r="AV172" s="9"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x:f>
        <x:v>98.744383539129</x:v>
      </x:c>
      <x:c r="AW172" s="10" t="n"/>
      <x:c r="AX172" s="9" t="n">
        <x:f>A172</x:f>
        <x:v>0.417</x:v>
      </x:c>
      <x:c r="AY172" s="9" t="n">
        <x:f>0</x:f>
        <x:v>0</x:v>
      </x:c>
      <x:c r="AZ172" s="9" t="n">
        <x:f>IF(OR(Inputs!$F$6=TRUE,Inputs!$F$6="TRUE",Inputs!$F$6=1),(Inputs!$H$6+Inputs!$L$6*(((Inputs!$I$6+(((A172)+1)/2)*(Inputs!$J$6-Inputs!$I$6)))/Inputs!$K$6)^2),NA())</x:f>
        <x:v>400.695556</x:v>
      </x:c>
      <x:c r="BA172" s="9" t="n">
        <x:f>IF(OR(Inputs!$F$7=TRUE,Inputs!$F$7="TRUE",Inputs!$F$7=1),(Inputs!$H$7+Inputs!$L$7*(((Inputs!$I$7+(((A172)+1)/2)*(Inputs!$J$7-Inputs!$I$7)))/Inputs!$K$7)^2),NA())</x:f>
        <x:v>98.46948500000005</x:v>
      </x:c>
      <x:c r="BB172" s="9" t="n">
        <x:f>IF(OR(Inputs!$F$8=TRUE,Inputs!$F$8="TRUE",Inputs!$F$8=1),(Inputs!$H$8+Inputs!$L$8*(((Inputs!$I$8+(((A172)+1)/2)*(Inputs!$J$8-Inputs!$I$8)))/Inputs!$K$8)^2),NA())</x:f>
        <x:v>202.80288500000012</x:v>
      </x:c>
      <x:c r="BC172" s="9" t="n">
        <x:f>IF(OR(Inputs!$F$9=TRUE,Inputs!$F$9="TRUE",Inputs!$F$9=1),(Inputs!$H$9+Inputs!$L$9*(((Inputs!$I$9+(((A172)+1)/2)*(Inputs!$J$9-Inputs!$I$9)))/Inputs!$K$9)^2),NA())</x:f>
        <x:v>194.54177500000011</x:v>
      </x:c>
      <x:c r="BD172" s="10" t="n"/>
      <x:c r="BE172" s="9" t="n">
        <x:f>A172</x:f>
        <x:v>0.417</x:v>
      </x:c>
      <x:c r="BF172" s="9" t="n">
        <x:f>0</x:f>
        <x:v>0</x:v>
      </x:c>
      <x:c r="BG172" s="9"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9"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9"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9"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9" t="n">
        <x:f>ROUND(-1+171*2/240,3)</x:f>
        <x:v>0.425</x:v>
      </x:c>
      <x:c r="B173" s="9" t="n">
        <x:f>IF(OR(Inputs!$F$6=TRUE,Inputs!$F$6="TRUE",Inputs!$F$6=1),(Inputs!$H$6+Inputs!$L$6*(((Inputs!$I$6+(((A173)+1)/2)*(Inputs!$J$6-Inputs!$I$6)))/Inputs!$K$6)^2),NA())</x:f>
        <x:v>400.7225</x:v>
      </x:c>
      <x:c r="C173" s="9" t="n">
        <x:f>IF(OR(Inputs!$F$7=TRUE,Inputs!$F$7="TRUE",Inputs!$F$7=1),(Inputs!$H$7+Inputs!$L$7*(((Inputs!$I$7+(((A173)+1)/2)*(Inputs!$J$7-Inputs!$I$7)))/Inputs!$K$7)^2),NA())</x:f>
        <x:v>100.928125</x:v>
      </x:c>
      <x:c r="D173" s="9" t="n">
        <x:f>IF(OR(Inputs!$F$8=TRUE,Inputs!$F$8="TRUE",Inputs!$F$8=1),(Inputs!$H$8+Inputs!$L$8*(((Inputs!$I$8+(((A173)+1)/2)*(Inputs!$J$8-Inputs!$I$8)))/Inputs!$K$8)^2),NA())</x:f>
        <x:v>209.303125</x:v>
      </x:c>
      <x:c r="E173" s="9" t="n">
        <x:f>IF(OR(Inputs!$F$9=TRUE,Inputs!$F$9="TRUE",Inputs!$F$9=1),(Inputs!$H$9+Inputs!$L$9*(((Inputs!$I$9+(((A173)+1)/2)*(Inputs!$J$9-Inputs!$I$9)))/Inputs!$K$9)^2),NA())</x:f>
        <x:v>201.10937499999997</x:v>
      </x:c>
      <x:c r="F173" s="10" t="n"/>
      <x:c r="G173" s="9" t="n">
        <x:f>A173</x:f>
        <x:v>0.425</x:v>
      </x:c>
      <x:c r="H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10" t="n"/>
      <x:c r="M173" s="9" t="n">
        <x:f>A173</x:f>
        <x:v>0.425</x:v>
      </x:c>
      <x:c r="N173" s="9"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9"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9"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9"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10" t="n"/>
      <x:c r="S173" s="9" t="n">
        <x:f>A173</x:f>
        <x:v>0.425</x:v>
      </x:c>
      <x:c r="T173" s="9" t="n">
        <x:f>(Inputs!$I$6+(((A173)+1)/2)*(Inputs!$J$6-Inputs!$I$6))</x:f>
        <x:v>25.5</x:v>
      </x:c>
      <x:c r="U173" s="9" t="n">
        <x:f>(Inputs!$I$7+(((A173)+1)/2)*(Inputs!$J$7-Inputs!$I$7))</x:f>
        <x:v>170</x:v>
      </x:c>
      <x:c r="V173" s="9" t="n">
        <x:f>(Inputs!$I$8+(((A173)+1)/2)*(Inputs!$J$8-Inputs!$I$8))</x:f>
        <x:v>340</x:v>
      </x:c>
      <x:c r="W173" s="9" t="n">
        <x:f>(Inputs!$I$9+(((A173)+1)/2)*(Inputs!$J$9-Inputs!$I$9))</x:f>
        <x:v>340</x:v>
      </x:c>
      <x:c r="X173" s="10" t="n"/>
      <x:c r="Y173" s="9" t="n">
        <x:f>A173</x:f>
        <x:v>0.425</x:v>
      </x:c>
      <x:c r="Z173" s="9" t="n">
        <x:f>(Inputs!$H$6+Inputs!$L$6*(((Inputs!$I$6+(((A173)+1)/2)*(Inputs!$J$6-Inputs!$I$6)))/Inputs!$K$6)^2)</x:f>
        <x:v>400.7225</x:v>
      </x:c>
      <x:c r="AA173" s="9" t="n">
        <x:f>(Inputs!$H$7+Inputs!$L$7*(((Inputs!$I$7+(((A173)+1)/2)*(Inputs!$J$7-Inputs!$I$7)))/Inputs!$K$7)^2)</x:f>
        <x:v>100.928125</x:v>
      </x:c>
      <x:c r="AB173" s="9" t="n">
        <x:f>(Inputs!$H$8+Inputs!$L$8*(((Inputs!$I$8+(((A173)+1)/2)*(Inputs!$J$8-Inputs!$I$8)))/Inputs!$K$8)^2)</x:f>
        <x:v>209.303125</x:v>
      </x:c>
      <x:c r="AC173" s="9" t="n">
        <x:f>(Inputs!$H$9+Inputs!$L$9*(((Inputs!$I$9+(((A173)+1)/2)*(Inputs!$J$9-Inputs!$I$9)))/Inputs!$K$9)^2)</x:f>
        <x:v>201.10937499999997</x:v>
      </x:c>
      <x:c r="AD173" s="10" t="n"/>
      <x:c r="AE173" s="9" t="n">
        <x:f>A173</x:f>
        <x:v>0.425</x:v>
      </x:c>
      <x:c r="AF173" s="9"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9"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9"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9"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10" t="n"/>
      <x:c r="AK173" s="9" t="n">
        <x:f>A173</x:f>
        <x:v>0.425</x:v>
      </x:c>
      <x:c r="AL173" s="9"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9"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9"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9"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10" t="n"/>
      <x:c r="AQ173" s="9" t="n">
        <x:f>A173</x:f>
        <x:v>0.425</x:v>
      </x:c>
      <x:c r="AR173" s="9" t="n">
        <x:f>0</x:f>
        <x:v>0</x:v>
      </x:c>
      <x:c r="AS173" s="9"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x:f>
        <x:v>390.15691093629596</x:v>
      </x:c>
      <x:c r="AT173" s="9"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x:f>
        <x:v>186.5860449204655</x:v>
      </x:c>
      <x:c r="AU173" s="9"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x:f>
        <x:v>124.64043868220405</x:v>
      </x:c>
      <x:c r="AV173" s="9"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x:f>
        <x:v>124.64043868220405</x:v>
      </x:c>
      <x:c r="AW173" s="10" t="n"/>
      <x:c r="AX173" s="9" t="n">
        <x:f>A173</x:f>
        <x:v>0.425</x:v>
      </x:c>
      <x:c r="AY173" s="9" t="n">
        <x:f>0</x:f>
        <x:v>0</x:v>
      </x:c>
      <x:c r="AZ173" s="9" t="n">
        <x:f>IF(OR(Inputs!$F$6=TRUE,Inputs!$F$6="TRUE",Inputs!$F$6=1),(Inputs!$H$6+Inputs!$L$6*(((Inputs!$I$6+(((A173)+1)/2)*(Inputs!$J$6-Inputs!$I$6)))/Inputs!$K$6)^2),NA())</x:f>
        <x:v>400.7225</x:v>
      </x:c>
      <x:c r="BA173" s="9" t="n">
        <x:f>IF(OR(Inputs!$F$7=TRUE,Inputs!$F$7="TRUE",Inputs!$F$7=1),(Inputs!$H$7+Inputs!$L$7*(((Inputs!$I$7+(((A173)+1)/2)*(Inputs!$J$7-Inputs!$I$7)))/Inputs!$K$7)^2),NA())</x:f>
        <x:v>100.928125</x:v>
      </x:c>
      <x:c r="BB173" s="9" t="n">
        <x:f>IF(OR(Inputs!$F$8=TRUE,Inputs!$F$8="TRUE",Inputs!$F$8=1),(Inputs!$H$8+Inputs!$L$8*(((Inputs!$I$8+(((A173)+1)/2)*(Inputs!$J$8-Inputs!$I$8)))/Inputs!$K$8)^2),NA())</x:f>
        <x:v>209.303125</x:v>
      </x:c>
      <x:c r="BC173" s="9" t="n">
        <x:f>IF(OR(Inputs!$F$9=TRUE,Inputs!$F$9="TRUE",Inputs!$F$9=1),(Inputs!$H$9+Inputs!$L$9*(((Inputs!$I$9+(((A173)+1)/2)*(Inputs!$J$9-Inputs!$I$9)))/Inputs!$K$9)^2),NA())</x:f>
        <x:v>201.10937499999997</x:v>
      </x:c>
      <x:c r="BD173" s="10" t="n"/>
      <x:c r="BE173" s="9" t="n">
        <x:f>A173</x:f>
        <x:v>0.425</x:v>
      </x:c>
      <x:c r="BF173" s="9" t="n">
        <x:f>0</x:f>
        <x:v>0</x:v>
      </x:c>
      <x:c r="BG173" s="9"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9"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9"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9"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9" t="n">
        <x:f>ROUND(-1+172*2/240,3)</x:f>
        <x:v>0.433</x:v>
      </x:c>
      <x:c r="B174" s="9" t="n">
        <x:f>IF(OR(Inputs!$F$6=TRUE,Inputs!$F$6="TRUE",Inputs!$F$6=1),(Inputs!$H$6+Inputs!$L$6*(((Inputs!$I$6+(((A174)+1)/2)*(Inputs!$J$6-Inputs!$I$6)))/Inputs!$K$6)^2),NA())</x:f>
        <x:v>400.749956</x:v>
      </x:c>
      <x:c r="C174" s="9" t="n">
        <x:f>IF(OR(Inputs!$F$7=TRUE,Inputs!$F$7="TRUE",Inputs!$F$7=1),(Inputs!$H$7+Inputs!$L$7*(((Inputs!$I$7+(((A174)+1)/2)*(Inputs!$J$7-Inputs!$I$7)))/Inputs!$K$7)^2),NA())</x:f>
        <x:v>103.43348500000003</x:v>
      </x:c>
      <x:c r="D174" s="9" t="n">
        <x:f>IF(OR(Inputs!$F$8=TRUE,Inputs!$F$8="TRUE",Inputs!$F$8=1),(Inputs!$H$8+Inputs!$L$8*(((Inputs!$I$8+(((A174)+1)/2)*(Inputs!$J$8-Inputs!$I$8)))/Inputs!$K$8)^2),NA())</x:f>
        <x:v>215.92688500000008</x:v>
      </x:c>
      <x:c r="E174" s="9" t="n">
        <x:f>IF(OR(Inputs!$F$9=TRUE,Inputs!$F$9="TRUE",Inputs!$F$9=1),(Inputs!$H$9+Inputs!$L$9*(((Inputs!$I$9+(((A174)+1)/2)*(Inputs!$J$9-Inputs!$I$9)))/Inputs!$K$9)^2),NA())</x:f>
        <x:v>207.8017750000001</x:v>
      </x:c>
      <x:c r="F174" s="10" t="n"/>
      <x:c r="G174" s="9" t="n">
        <x:f>A174</x:f>
        <x:v>0.433</x:v>
      </x:c>
      <x:c r="H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10" t="n"/>
      <x:c r="M174" s="9" t="n">
        <x:f>A174</x:f>
        <x:v>0.433</x:v>
      </x:c>
      <x:c r="N174" s="9"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9"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9"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9"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10" t="n"/>
      <x:c r="S174" s="9" t="n">
        <x:f>A174</x:f>
        <x:v>0.433</x:v>
      </x:c>
      <x:c r="T174" s="9" t="n">
        <x:f>(Inputs!$I$6+(((A174)+1)/2)*(Inputs!$J$6-Inputs!$I$6))</x:f>
        <x:v>25.980000000000004</x:v>
      </x:c>
      <x:c r="U174" s="9" t="n">
        <x:f>(Inputs!$I$7+(((A174)+1)/2)*(Inputs!$J$7-Inputs!$I$7))</x:f>
        <x:v>173.20000000000005</x:v>
      </x:c>
      <x:c r="V174" s="9" t="n">
        <x:f>(Inputs!$I$8+(((A174)+1)/2)*(Inputs!$J$8-Inputs!$I$8))</x:f>
        <x:v>346.4000000000001</x:v>
      </x:c>
      <x:c r="W174" s="9" t="n">
        <x:f>(Inputs!$I$9+(((A174)+1)/2)*(Inputs!$J$9-Inputs!$I$9))</x:f>
        <x:v>346.4000000000001</x:v>
      </x:c>
      <x:c r="X174" s="10" t="n"/>
      <x:c r="Y174" s="9" t="n">
        <x:f>A174</x:f>
        <x:v>0.433</x:v>
      </x:c>
      <x:c r="Z174" s="9" t="n">
        <x:f>(Inputs!$H$6+Inputs!$L$6*(((Inputs!$I$6+(((A174)+1)/2)*(Inputs!$J$6-Inputs!$I$6)))/Inputs!$K$6)^2)</x:f>
        <x:v>400.749956</x:v>
      </x:c>
      <x:c r="AA174" s="9" t="n">
        <x:f>(Inputs!$H$7+Inputs!$L$7*(((Inputs!$I$7+(((A174)+1)/2)*(Inputs!$J$7-Inputs!$I$7)))/Inputs!$K$7)^2)</x:f>
        <x:v>103.43348500000003</x:v>
      </x:c>
      <x:c r="AB174" s="9" t="n">
        <x:f>(Inputs!$H$8+Inputs!$L$8*(((Inputs!$I$8+(((A174)+1)/2)*(Inputs!$J$8-Inputs!$I$8)))/Inputs!$K$8)^2)</x:f>
        <x:v>215.92688500000008</x:v>
      </x:c>
      <x:c r="AC174" s="9" t="n">
        <x:f>(Inputs!$H$9+Inputs!$L$9*(((Inputs!$I$9+(((A174)+1)/2)*(Inputs!$J$9-Inputs!$I$9)))/Inputs!$K$9)^2)</x:f>
        <x:v>207.8017750000001</x:v>
      </x:c>
      <x:c r="AD174" s="10" t="n"/>
      <x:c r="AE174" s="9" t="n">
        <x:f>A174</x:f>
        <x:v>0.433</x:v>
      </x:c>
      <x:c r="AF174" s="9"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9"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9"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9"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10" t="n"/>
      <x:c r="AK174" s="9" t="n">
        <x:f>A174</x:f>
        <x:v>0.433</x:v>
      </x:c>
      <x:c r="AL174" s="9"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9"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9"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9"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10" t="n"/>
      <x:c r="AQ174" s="9" t="n">
        <x:f>A174</x:f>
        <x:v>0.433</x:v>
      </x:c>
      <x:c r="AR174" s="9" t="n">
        <x:f>0</x:f>
        <x:v>0</x:v>
      </x:c>
      <x:c r="AS174" s="9"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x:f>
        <x:v>400.1962290662413</x:v>
      </x:c>
      <x:c r="AT174" s="9"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x:f>
        <x:v>126.5299055931917</x:v>
      </x:c>
      <x:c r="AU174" s="9"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x:f>
        <x:v>179.6007998283073</x:v>
      </x:c>
      <x:c r="AV174" s="9"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x:f>
        <x:v>179.6007998283073</x:v>
      </x:c>
      <x:c r="AW174" s="10" t="n"/>
      <x:c r="AX174" s="9" t="n">
        <x:f>A174</x:f>
        <x:v>0.433</x:v>
      </x:c>
      <x:c r="AY174" s="9" t="n">
        <x:f>0</x:f>
        <x:v>0</x:v>
      </x:c>
      <x:c r="AZ174" s="9" t="n">
        <x:f>IF(OR(Inputs!$F$6=TRUE,Inputs!$F$6="TRUE",Inputs!$F$6=1),(Inputs!$H$6+Inputs!$L$6*(((Inputs!$I$6+(((A174)+1)/2)*(Inputs!$J$6-Inputs!$I$6)))/Inputs!$K$6)^2),NA())</x:f>
        <x:v>400.749956</x:v>
      </x:c>
      <x:c r="BA174" s="9" t="n">
        <x:f>IF(OR(Inputs!$F$7=TRUE,Inputs!$F$7="TRUE",Inputs!$F$7=1),(Inputs!$H$7+Inputs!$L$7*(((Inputs!$I$7+(((A174)+1)/2)*(Inputs!$J$7-Inputs!$I$7)))/Inputs!$K$7)^2),NA())</x:f>
        <x:v>103.43348500000003</x:v>
      </x:c>
      <x:c r="BB174" s="9" t="n">
        <x:f>IF(OR(Inputs!$F$8=TRUE,Inputs!$F$8="TRUE",Inputs!$F$8=1),(Inputs!$H$8+Inputs!$L$8*(((Inputs!$I$8+(((A174)+1)/2)*(Inputs!$J$8-Inputs!$I$8)))/Inputs!$K$8)^2),NA())</x:f>
        <x:v>215.92688500000008</x:v>
      </x:c>
      <x:c r="BC174" s="9" t="n">
        <x:f>IF(OR(Inputs!$F$9=TRUE,Inputs!$F$9="TRUE",Inputs!$F$9=1),(Inputs!$H$9+Inputs!$L$9*(((Inputs!$I$9+(((A174)+1)/2)*(Inputs!$J$9-Inputs!$I$9)))/Inputs!$K$9)^2),NA())</x:f>
        <x:v>207.8017750000001</x:v>
      </x:c>
      <x:c r="BD174" s="10" t="n"/>
      <x:c r="BE174" s="9" t="n">
        <x:f>A174</x:f>
        <x:v>0.433</x:v>
      </x:c>
      <x:c r="BF174" s="9" t="n">
        <x:f>0</x:f>
        <x:v>0</x:v>
      </x:c>
      <x:c r="BG174" s="9"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9"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9"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9"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9" t="n">
        <x:f>ROUND(-1+173*2/240,3)</x:f>
        <x:v>0.442</x:v>
      </x:c>
      <x:c r="B175" s="9" t="n">
        <x:f>IF(OR(Inputs!$F$6=TRUE,Inputs!$F$6="TRUE",Inputs!$F$6=1),(Inputs!$H$6+Inputs!$L$6*(((Inputs!$I$6+(((A175)+1)/2)*(Inputs!$J$6-Inputs!$I$6)))/Inputs!$K$6)^2),NA())</x:f>
        <x:v>400.781456</x:v>
      </x:c>
      <x:c r="C175" s="9" t="n">
        <x:f>IF(OR(Inputs!$F$7=TRUE,Inputs!$F$7="TRUE",Inputs!$F$7=1),(Inputs!$H$7+Inputs!$L$7*(((Inputs!$I$7+(((A175)+1)/2)*(Inputs!$J$7-Inputs!$I$7)))/Inputs!$K$7)^2),NA())</x:f>
        <x:v>106.30785999999996</x:v>
      </x:c>
      <x:c r="D175" s="9" t="n">
        <x:f>IF(OR(Inputs!$F$8=TRUE,Inputs!$F$8="TRUE",Inputs!$F$8=1),(Inputs!$H$8+Inputs!$L$8*(((Inputs!$I$8+(((A175)+1)/2)*(Inputs!$J$8-Inputs!$I$8)))/Inputs!$K$8)^2),NA())</x:f>
        <x:v>223.5262599999999</x:v>
      </x:c>
      <x:c r="E175" s="9" t="n">
        <x:f>IF(OR(Inputs!$F$9=TRUE,Inputs!$F$9="TRUE",Inputs!$F$9=1),(Inputs!$H$9+Inputs!$L$9*(((Inputs!$I$9+(((A175)+1)/2)*(Inputs!$J$9-Inputs!$I$9)))/Inputs!$K$9)^2),NA())</x:f>
        <x:v>215.4798999999999</x:v>
      </x:c>
      <x:c r="F175" s="10" t="n"/>
      <x:c r="G175" s="9" t="n">
        <x:f>A175</x:f>
        <x:v>0.442</x:v>
      </x:c>
      <x:c r="H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10" t="n"/>
      <x:c r="M175" s="9" t="n">
        <x:f>A175</x:f>
        <x:v>0.442</x:v>
      </x:c>
      <x:c r="N175" s="9"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9"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9"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9"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10" t="n"/>
      <x:c r="S175" s="9" t="n">
        <x:f>A175</x:f>
        <x:v>0.442</x:v>
      </x:c>
      <x:c r="T175" s="9" t="n">
        <x:f>(Inputs!$I$6+(((A175)+1)/2)*(Inputs!$J$6-Inputs!$I$6))</x:f>
        <x:v>26.519999999999996</x:v>
      </x:c>
      <x:c r="U175" s="9" t="n">
        <x:f>(Inputs!$I$7+(((A175)+1)/2)*(Inputs!$J$7-Inputs!$I$7))</x:f>
        <x:v>176.79999999999995</x:v>
      </x:c>
      <x:c r="V175" s="9" t="n">
        <x:f>(Inputs!$I$8+(((A175)+1)/2)*(Inputs!$J$8-Inputs!$I$8))</x:f>
        <x:v>353.5999999999999</x:v>
      </x:c>
      <x:c r="W175" s="9" t="n">
        <x:f>(Inputs!$I$9+(((A175)+1)/2)*(Inputs!$J$9-Inputs!$I$9))</x:f>
        <x:v>353.5999999999999</x:v>
      </x:c>
      <x:c r="X175" s="10" t="n"/>
      <x:c r="Y175" s="9" t="n">
        <x:f>A175</x:f>
        <x:v>0.442</x:v>
      </x:c>
      <x:c r="Z175" s="9" t="n">
        <x:f>(Inputs!$H$6+Inputs!$L$6*(((Inputs!$I$6+(((A175)+1)/2)*(Inputs!$J$6-Inputs!$I$6)))/Inputs!$K$6)^2)</x:f>
        <x:v>400.781456</x:v>
      </x:c>
      <x:c r="AA175" s="9" t="n">
        <x:f>(Inputs!$H$7+Inputs!$L$7*(((Inputs!$I$7+(((A175)+1)/2)*(Inputs!$J$7-Inputs!$I$7)))/Inputs!$K$7)^2)</x:f>
        <x:v>106.30785999999996</x:v>
      </x:c>
      <x:c r="AB175" s="9" t="n">
        <x:f>(Inputs!$H$8+Inputs!$L$8*(((Inputs!$I$8+(((A175)+1)/2)*(Inputs!$J$8-Inputs!$I$8)))/Inputs!$K$8)^2)</x:f>
        <x:v>223.5262599999999</x:v>
      </x:c>
      <x:c r="AC175" s="9" t="n">
        <x:f>(Inputs!$H$9+Inputs!$L$9*(((Inputs!$I$9+(((A175)+1)/2)*(Inputs!$J$9-Inputs!$I$9)))/Inputs!$K$9)^2)</x:f>
        <x:v>215.4798999999999</x:v>
      </x:c>
      <x:c r="AD175" s="10" t="n"/>
      <x:c r="AE175" s="9" t="n">
        <x:f>A175</x:f>
        <x:v>0.442</x:v>
      </x:c>
      <x:c r="AF175" s="9"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9"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9"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9"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10" t="n"/>
      <x:c r="AK175" s="9" t="n">
        <x:f>A175</x:f>
        <x:v>0.442</x:v>
      </x:c>
      <x:c r="AL175" s="9"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9"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9"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9"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10" t="n"/>
      <x:c r="AQ175" s="9" t="n">
        <x:f>A175</x:f>
        <x:v>0.442</x:v>
      </x:c>
      <x:c r="AR175" s="9" t="n">
        <x:f>0</x:f>
        <x:v>0</x:v>
      </x:c>
      <x:c r="AS175" s="9"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x:f>
        <x:v>359.3068515071834</x:v>
      </x:c>
      <x:c r="AT175" s="9"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x:f>
        <x:v>81.54704752981823</x:v>
      </x:c>
      <x:c r="AU175" s="9"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x:f>
        <x:v>132.87376517573304</x:v>
      </x:c>
      <x:c r="AV175" s="9"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x:f>
        <x:v>132.87376517573304</x:v>
      </x:c>
      <x:c r="AW175" s="10" t="n"/>
      <x:c r="AX175" s="9" t="n">
        <x:f>A175</x:f>
        <x:v>0.442</x:v>
      </x:c>
      <x:c r="AY175" s="9" t="n">
        <x:f>0</x:f>
        <x:v>0</x:v>
      </x:c>
      <x:c r="AZ175" s="9" t="n">
        <x:f>IF(OR(Inputs!$F$6=TRUE,Inputs!$F$6="TRUE",Inputs!$F$6=1),(Inputs!$H$6+Inputs!$L$6*(((Inputs!$I$6+(((A175)+1)/2)*(Inputs!$J$6-Inputs!$I$6)))/Inputs!$K$6)^2),NA())</x:f>
        <x:v>400.781456</x:v>
      </x:c>
      <x:c r="BA175" s="9" t="n">
        <x:f>IF(OR(Inputs!$F$7=TRUE,Inputs!$F$7="TRUE",Inputs!$F$7=1),(Inputs!$H$7+Inputs!$L$7*(((Inputs!$I$7+(((A175)+1)/2)*(Inputs!$J$7-Inputs!$I$7)))/Inputs!$K$7)^2),NA())</x:f>
        <x:v>106.30785999999996</x:v>
      </x:c>
      <x:c r="BB175" s="9" t="n">
        <x:f>IF(OR(Inputs!$F$8=TRUE,Inputs!$F$8="TRUE",Inputs!$F$8=1),(Inputs!$H$8+Inputs!$L$8*(((Inputs!$I$8+(((A175)+1)/2)*(Inputs!$J$8-Inputs!$I$8)))/Inputs!$K$8)^2),NA())</x:f>
        <x:v>223.5262599999999</x:v>
      </x:c>
      <x:c r="BC175" s="9" t="n">
        <x:f>IF(OR(Inputs!$F$9=TRUE,Inputs!$F$9="TRUE",Inputs!$F$9=1),(Inputs!$H$9+Inputs!$L$9*(((Inputs!$I$9+(((A175)+1)/2)*(Inputs!$J$9-Inputs!$I$9)))/Inputs!$K$9)^2),NA())</x:f>
        <x:v>215.4798999999999</x:v>
      </x:c>
      <x:c r="BD175" s="10" t="n"/>
      <x:c r="BE175" s="9" t="n">
        <x:f>A175</x:f>
        <x:v>0.442</x:v>
      </x:c>
      <x:c r="BF175" s="9" t="n">
        <x:f>0</x:f>
        <x:v>0</x:v>
      </x:c>
      <x:c r="BG175" s="9"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9"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9"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9"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9" t="n">
        <x:f>ROUND(-1+174*2/240,3)</x:f>
        <x:v>0.45</x:v>
      </x:c>
      <x:c r="B176" s="9" t="n">
        <x:f>IF(OR(Inputs!$F$6=TRUE,Inputs!$F$6="TRUE",Inputs!$F$6=1),(Inputs!$H$6+Inputs!$L$6*(((Inputs!$I$6+(((A176)+1)/2)*(Inputs!$J$6-Inputs!$I$6)))/Inputs!$K$6)^2),NA())</x:f>
        <x:v>400.81</x:v>
      </x:c>
      <x:c r="C176" s="9" t="n">
        <x:f>IF(OR(Inputs!$F$7=TRUE,Inputs!$F$7="TRUE",Inputs!$F$7=1),(Inputs!$H$7+Inputs!$L$7*(((Inputs!$I$7+(((A176)+1)/2)*(Inputs!$J$7-Inputs!$I$7)))/Inputs!$K$7)^2),NA())</x:f>
        <x:v>108.91250000000001</x:v>
      </x:c>
      <x:c r="D176" s="9" t="n">
        <x:f>IF(OR(Inputs!$F$8=TRUE,Inputs!$F$8="TRUE",Inputs!$F$8=1),(Inputs!$H$8+Inputs!$L$8*(((Inputs!$I$8+(((A176)+1)/2)*(Inputs!$J$8-Inputs!$I$8)))/Inputs!$K$8)^2),NA())</x:f>
        <x:v>230.41250000000002</x:v>
      </x:c>
      <x:c r="E176" s="9" t="n">
        <x:f>IF(OR(Inputs!$F$9=TRUE,Inputs!$F$9="TRUE",Inputs!$F$9=1),(Inputs!$H$9+Inputs!$L$9*(((Inputs!$I$9+(((A176)+1)/2)*(Inputs!$J$9-Inputs!$I$9)))/Inputs!$K$9)^2),NA())</x:f>
        <x:v>222.4375</x:v>
      </x:c>
      <x:c r="F176" s="10" t="n"/>
      <x:c r="G176" s="9" t="n">
        <x:f>A176</x:f>
        <x:v>0.45</x:v>
      </x:c>
      <x:c r="H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10" t="n"/>
      <x:c r="M176" s="9" t="n">
        <x:f>A176</x:f>
        <x:v>0.45</x:v>
      </x:c>
      <x:c r="N176" s="9"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9"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9"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9"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10" t="n"/>
      <x:c r="S176" s="9" t="n">
        <x:f>A176</x:f>
        <x:v>0.45</x:v>
      </x:c>
      <x:c r="T176" s="9" t="n">
        <x:f>(Inputs!$I$6+(((A176)+1)/2)*(Inputs!$J$6-Inputs!$I$6))</x:f>
        <x:v>27</x:v>
      </x:c>
      <x:c r="U176" s="9" t="n">
        <x:f>(Inputs!$I$7+(((A176)+1)/2)*(Inputs!$J$7-Inputs!$I$7))</x:f>
        <x:v>180</x:v>
      </x:c>
      <x:c r="V176" s="9" t="n">
        <x:f>(Inputs!$I$8+(((A176)+1)/2)*(Inputs!$J$8-Inputs!$I$8))</x:f>
        <x:v>360</x:v>
      </x:c>
      <x:c r="W176" s="9" t="n">
        <x:f>(Inputs!$I$9+(((A176)+1)/2)*(Inputs!$J$9-Inputs!$I$9))</x:f>
        <x:v>360</x:v>
      </x:c>
      <x:c r="X176" s="10" t="n"/>
      <x:c r="Y176" s="9" t="n">
        <x:f>A176</x:f>
        <x:v>0.45</x:v>
      </x:c>
      <x:c r="Z176" s="9" t="n">
        <x:f>(Inputs!$H$6+Inputs!$L$6*(((Inputs!$I$6+(((A176)+1)/2)*(Inputs!$J$6-Inputs!$I$6)))/Inputs!$K$6)^2)</x:f>
        <x:v>400.81</x:v>
      </x:c>
      <x:c r="AA176" s="9" t="n">
        <x:f>(Inputs!$H$7+Inputs!$L$7*(((Inputs!$I$7+(((A176)+1)/2)*(Inputs!$J$7-Inputs!$I$7)))/Inputs!$K$7)^2)</x:f>
        <x:v>108.91250000000001</x:v>
      </x:c>
      <x:c r="AB176" s="9" t="n">
        <x:f>(Inputs!$H$8+Inputs!$L$8*(((Inputs!$I$8+(((A176)+1)/2)*(Inputs!$J$8-Inputs!$I$8)))/Inputs!$K$8)^2)</x:f>
        <x:v>230.41250000000002</x:v>
      </x:c>
      <x:c r="AC176" s="9" t="n">
        <x:f>(Inputs!$H$9+Inputs!$L$9*(((Inputs!$I$9+(((A176)+1)/2)*(Inputs!$J$9-Inputs!$I$9)))/Inputs!$K$9)^2)</x:f>
        <x:v>222.4375</x:v>
      </x:c>
      <x:c r="AD176" s="10" t="n"/>
      <x:c r="AE176" s="9" t="n">
        <x:f>A176</x:f>
        <x:v>0.45</x:v>
      </x:c>
      <x:c r="AF176" s="9"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9"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9"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9"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10" t="n"/>
      <x:c r="AK176" s="9" t="n">
        <x:f>A176</x:f>
        <x:v>0.45</x:v>
      </x:c>
      <x:c r="AL176" s="9"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9"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9"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9"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10" t="n"/>
      <x:c r="AQ176" s="9" t="n">
        <x:f>A176</x:f>
        <x:v>0.45</x:v>
      </x:c>
      <x:c r="AR176" s="9" t="n">
        <x:f>0</x:f>
        <x:v>0</x:v>
      </x:c>
      <x:c r="AS176" s="9"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x:f>
        <x:v>346.2287328646241</x:v>
      </x:c>
      <x:c r="AT176" s="9"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x:f>
        <x:v>131.84589525998237</x:v>
      </x:c>
      <x:c r="AU176" s="9"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x:f>
        <x:v>147.40890122893921</x:v>
      </x:c>
      <x:c r="AV176" s="9"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x:f>
        <x:v>147.40890122893921</x:v>
      </x:c>
      <x:c r="AW176" s="10" t="n"/>
      <x:c r="AX176" s="9" t="n">
        <x:f>A176</x:f>
        <x:v>0.45</x:v>
      </x:c>
      <x:c r="AY176" s="9" t="n">
        <x:f>0</x:f>
        <x:v>0</x:v>
      </x:c>
      <x:c r="AZ176" s="9" t="n">
        <x:f>IF(OR(Inputs!$F$6=TRUE,Inputs!$F$6="TRUE",Inputs!$F$6=1),(Inputs!$H$6+Inputs!$L$6*(((Inputs!$I$6+(((A176)+1)/2)*(Inputs!$J$6-Inputs!$I$6)))/Inputs!$K$6)^2),NA())</x:f>
        <x:v>400.81</x:v>
      </x:c>
      <x:c r="BA176" s="9" t="n">
        <x:f>IF(OR(Inputs!$F$7=TRUE,Inputs!$F$7="TRUE",Inputs!$F$7=1),(Inputs!$H$7+Inputs!$L$7*(((Inputs!$I$7+(((A176)+1)/2)*(Inputs!$J$7-Inputs!$I$7)))/Inputs!$K$7)^2),NA())</x:f>
        <x:v>108.91250000000001</x:v>
      </x:c>
      <x:c r="BB176" s="9" t="n">
        <x:f>IF(OR(Inputs!$F$8=TRUE,Inputs!$F$8="TRUE",Inputs!$F$8=1),(Inputs!$H$8+Inputs!$L$8*(((Inputs!$I$8+(((A176)+1)/2)*(Inputs!$J$8-Inputs!$I$8)))/Inputs!$K$8)^2),NA())</x:f>
        <x:v>230.41250000000002</x:v>
      </x:c>
      <x:c r="BC176" s="9" t="n">
        <x:f>IF(OR(Inputs!$F$9=TRUE,Inputs!$F$9="TRUE",Inputs!$F$9=1),(Inputs!$H$9+Inputs!$L$9*(((Inputs!$I$9+(((A176)+1)/2)*(Inputs!$J$9-Inputs!$I$9)))/Inputs!$K$9)^2),NA())</x:f>
        <x:v>222.4375</x:v>
      </x:c>
      <x:c r="BD176" s="10" t="n"/>
      <x:c r="BE176" s="9" t="n">
        <x:f>A176</x:f>
        <x:v>0.45</x:v>
      </x:c>
      <x:c r="BF176" s="9" t="n">
        <x:f>0</x:f>
        <x:v>0</x:v>
      </x:c>
      <x:c r="BG176" s="9"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9"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9"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9"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9" t="n">
        <x:f>ROUND(-1+175*2/240,3)</x:f>
        <x:v>0.458</x:v>
      </x:c>
      <x:c r="B177" s="9" t="n">
        <x:f>IF(OR(Inputs!$F$6=TRUE,Inputs!$F$6="TRUE",Inputs!$F$6=1),(Inputs!$H$6+Inputs!$L$6*(((Inputs!$I$6+(((A177)+1)/2)*(Inputs!$J$6-Inputs!$I$6)))/Inputs!$K$6)^2),NA())</x:f>
        <x:v>400.839056</x:v>
      </x:c>
      <x:c r="C177" s="9" t="n">
        <x:f>IF(OR(Inputs!$F$7=TRUE,Inputs!$F$7="TRUE",Inputs!$F$7=1),(Inputs!$H$7+Inputs!$L$7*(((Inputs!$I$7+(((A177)+1)/2)*(Inputs!$J$7-Inputs!$I$7)))/Inputs!$K$7)^2),NA())</x:f>
        <x:v>111.56385999999995</x:v>
      </x:c>
      <x:c r="D177" s="9" t="n">
        <x:f>IF(OR(Inputs!$F$8=TRUE,Inputs!$F$8="TRUE",Inputs!$F$8=1),(Inputs!$H$8+Inputs!$L$8*(((Inputs!$I$8+(((A177)+1)/2)*(Inputs!$J$8-Inputs!$I$8)))/Inputs!$K$8)^2),NA())</x:f>
        <x:v>237.42225999999988</x:v>
      </x:c>
      <x:c r="E177" s="9" t="n">
        <x:f>IF(OR(Inputs!$F$9=TRUE,Inputs!$F$9="TRUE",Inputs!$F$9=1),(Inputs!$H$9+Inputs!$L$9*(((Inputs!$I$9+(((A177)+1)/2)*(Inputs!$J$9-Inputs!$I$9)))/Inputs!$K$9)^2),NA())</x:f>
        <x:v>229.51989999999986</x:v>
      </x:c>
      <x:c r="F177" s="10" t="n"/>
      <x:c r="G177" s="9" t="n">
        <x:f>A177</x:f>
        <x:v>0.458</x:v>
      </x:c>
      <x:c r="H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10" t="n"/>
      <x:c r="M177" s="9" t="n">
        <x:f>A177</x:f>
        <x:v>0.458</x:v>
      </x:c>
      <x:c r="N177" s="9"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9"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9"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9"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10" t="n"/>
      <x:c r="S177" s="9" t="n">
        <x:f>A177</x:f>
        <x:v>0.458</x:v>
      </x:c>
      <x:c r="T177" s="9" t="n">
        <x:f>(Inputs!$I$6+(((A177)+1)/2)*(Inputs!$J$6-Inputs!$I$6))</x:f>
        <x:v>27.480000000000004</x:v>
      </x:c>
      <x:c r="U177" s="9" t="n">
        <x:f>(Inputs!$I$7+(((A177)+1)/2)*(Inputs!$J$7-Inputs!$I$7))</x:f>
        <x:v>183.19999999999993</x:v>
      </x:c>
      <x:c r="V177" s="9" t="n">
        <x:f>(Inputs!$I$8+(((A177)+1)/2)*(Inputs!$J$8-Inputs!$I$8))</x:f>
        <x:v>366.39999999999986</x:v>
      </x:c>
      <x:c r="W177" s="9" t="n">
        <x:f>(Inputs!$I$9+(((A177)+1)/2)*(Inputs!$J$9-Inputs!$I$9))</x:f>
        <x:v>366.39999999999986</x:v>
      </x:c>
      <x:c r="X177" s="10" t="n"/>
      <x:c r="Y177" s="9" t="n">
        <x:f>A177</x:f>
        <x:v>0.458</x:v>
      </x:c>
      <x:c r="Z177" s="9" t="n">
        <x:f>(Inputs!$H$6+Inputs!$L$6*(((Inputs!$I$6+(((A177)+1)/2)*(Inputs!$J$6-Inputs!$I$6)))/Inputs!$K$6)^2)</x:f>
        <x:v>400.839056</x:v>
      </x:c>
      <x:c r="AA177" s="9" t="n">
        <x:f>(Inputs!$H$7+Inputs!$L$7*(((Inputs!$I$7+(((A177)+1)/2)*(Inputs!$J$7-Inputs!$I$7)))/Inputs!$K$7)^2)</x:f>
        <x:v>111.56385999999995</x:v>
      </x:c>
      <x:c r="AB177" s="9" t="n">
        <x:f>(Inputs!$H$8+Inputs!$L$8*(((Inputs!$I$8+(((A177)+1)/2)*(Inputs!$J$8-Inputs!$I$8)))/Inputs!$K$8)^2)</x:f>
        <x:v>237.42225999999988</x:v>
      </x:c>
      <x:c r="AC177" s="9" t="n">
        <x:f>(Inputs!$H$9+Inputs!$L$9*(((Inputs!$I$9+(((A177)+1)/2)*(Inputs!$J$9-Inputs!$I$9)))/Inputs!$K$9)^2)</x:f>
        <x:v>229.51989999999986</x:v>
      </x:c>
      <x:c r="AD177" s="10" t="n"/>
      <x:c r="AE177" s="9" t="n">
        <x:f>A177</x:f>
        <x:v>0.458</x:v>
      </x:c>
      <x:c r="AF177" s="9"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9"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9"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9"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10" t="n"/>
      <x:c r="AK177" s="9" t="n">
        <x:f>A177</x:f>
        <x:v>0.458</x:v>
      </x:c>
      <x:c r="AL177" s="9"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9"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9"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9"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10" t="n"/>
      <x:c r="AQ177" s="9" t="n">
        <x:f>A177</x:f>
        <x:v>0.458</x:v>
      </x:c>
      <x:c r="AR177" s="9" t="n">
        <x:f>0</x:f>
        <x:v>0</x:v>
      </x:c>
      <x:c r="AS177" s="9"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x:f>
        <x:v>341.6036692279352</x:v>
      </x:c>
      <x:c r="AT177" s="9"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x:f>
        <x:v>201.6045266093449</x:v>
      </x:c>
      <x:c r="AU177" s="9"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x:f>
        <x:v>218.82120570399934</x:v>
      </x:c>
      <x:c r="AV177" s="9"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x:f>
        <x:v>218.82120570399934</x:v>
      </x:c>
      <x:c r="AW177" s="10" t="n"/>
      <x:c r="AX177" s="9" t="n">
        <x:f>A177</x:f>
        <x:v>0.458</x:v>
      </x:c>
      <x:c r="AY177" s="9" t="n">
        <x:f>0</x:f>
        <x:v>0</x:v>
      </x:c>
      <x:c r="AZ177" s="9" t="n">
        <x:f>IF(OR(Inputs!$F$6=TRUE,Inputs!$F$6="TRUE",Inputs!$F$6=1),(Inputs!$H$6+Inputs!$L$6*(((Inputs!$I$6+(((A177)+1)/2)*(Inputs!$J$6-Inputs!$I$6)))/Inputs!$K$6)^2),NA())</x:f>
        <x:v>400.839056</x:v>
      </x:c>
      <x:c r="BA177" s="9" t="n">
        <x:f>IF(OR(Inputs!$F$7=TRUE,Inputs!$F$7="TRUE",Inputs!$F$7=1),(Inputs!$H$7+Inputs!$L$7*(((Inputs!$I$7+(((A177)+1)/2)*(Inputs!$J$7-Inputs!$I$7)))/Inputs!$K$7)^2),NA())</x:f>
        <x:v>111.56385999999995</x:v>
      </x:c>
      <x:c r="BB177" s="9" t="n">
        <x:f>IF(OR(Inputs!$F$8=TRUE,Inputs!$F$8="TRUE",Inputs!$F$8=1),(Inputs!$H$8+Inputs!$L$8*(((Inputs!$I$8+(((A177)+1)/2)*(Inputs!$J$8-Inputs!$I$8)))/Inputs!$K$8)^2),NA())</x:f>
        <x:v>237.42225999999988</x:v>
      </x:c>
      <x:c r="BC177" s="9" t="n">
        <x:f>IF(OR(Inputs!$F$9=TRUE,Inputs!$F$9="TRUE",Inputs!$F$9=1),(Inputs!$H$9+Inputs!$L$9*(((Inputs!$I$9+(((A177)+1)/2)*(Inputs!$J$9-Inputs!$I$9)))/Inputs!$K$9)^2),NA())</x:f>
        <x:v>229.51989999999986</x:v>
      </x:c>
      <x:c r="BD177" s="10" t="n"/>
      <x:c r="BE177" s="9" t="n">
        <x:f>A177</x:f>
        <x:v>0.458</x:v>
      </x:c>
      <x:c r="BF177" s="9" t="n">
        <x:f>0</x:f>
        <x:v>0</x:v>
      </x:c>
      <x:c r="BG177" s="9"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9"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9"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9"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9" t="n">
        <x:f>ROUND(-1+176*2/240,3)</x:f>
        <x:v>0.467</x:v>
      </x:c>
      <x:c r="B178" s="9" t="n">
        <x:f>IF(OR(Inputs!$F$6=TRUE,Inputs!$F$6="TRUE",Inputs!$F$6=1),(Inputs!$H$6+Inputs!$L$6*(((Inputs!$I$6+(((A178)+1)/2)*(Inputs!$J$6-Inputs!$I$6)))/Inputs!$K$6)^2),NA())</x:f>
        <x:v>400.872356</x:v>
      </x:c>
      <x:c r="C178" s="9" t="n">
        <x:f>IF(OR(Inputs!$F$7=TRUE,Inputs!$F$7="TRUE",Inputs!$F$7=1),(Inputs!$H$7+Inputs!$L$7*(((Inputs!$I$7+(((A178)+1)/2)*(Inputs!$J$7-Inputs!$I$7)))/Inputs!$K$7)^2),NA())</x:f>
        <x:v>114.60248500000006</x:v>
      </x:c>
      <x:c r="D178" s="9" t="n">
        <x:f>IF(OR(Inputs!$F$8=TRUE,Inputs!$F$8="TRUE",Inputs!$F$8=1),(Inputs!$H$8+Inputs!$L$8*(((Inputs!$I$8+(((A178)+1)/2)*(Inputs!$J$8-Inputs!$I$8)))/Inputs!$K$8)^2),NA())</x:f>
        <x:v>245.45588500000017</x:v>
      </x:c>
      <x:c r="E178" s="9" t="n">
        <x:f>IF(OR(Inputs!$F$9=TRUE,Inputs!$F$9="TRUE",Inputs!$F$9=1),(Inputs!$H$9+Inputs!$L$9*(((Inputs!$I$9+(((A178)+1)/2)*(Inputs!$J$9-Inputs!$I$9)))/Inputs!$K$9)^2),NA())</x:f>
        <x:v>237.63677500000017</x:v>
      </x:c>
      <x:c r="F178" s="10" t="n"/>
      <x:c r="G178" s="9" t="n">
        <x:f>A178</x:f>
        <x:v>0.467</x:v>
      </x:c>
      <x:c r="H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10" t="n"/>
      <x:c r="M178" s="9" t="n">
        <x:f>A178</x:f>
        <x:v>0.467</x:v>
      </x:c>
      <x:c r="N178" s="9"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9"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9"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9"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10" t="n"/>
      <x:c r="S178" s="9" t="n">
        <x:f>A178</x:f>
        <x:v>0.467</x:v>
      </x:c>
      <x:c r="T178" s="9" t="n">
        <x:f>(Inputs!$I$6+(((A178)+1)/2)*(Inputs!$J$6-Inputs!$I$6))</x:f>
        <x:v>28.02000000000001</x:v>
      </x:c>
      <x:c r="U178" s="9" t="n">
        <x:f>(Inputs!$I$7+(((A178)+1)/2)*(Inputs!$J$7-Inputs!$I$7))</x:f>
        <x:v>186.80000000000007</x:v>
      </x:c>
      <x:c r="V178" s="9" t="n">
        <x:f>(Inputs!$I$8+(((A178)+1)/2)*(Inputs!$J$8-Inputs!$I$8))</x:f>
        <x:v>373.60000000000014</x:v>
      </x:c>
      <x:c r="W178" s="9" t="n">
        <x:f>(Inputs!$I$9+(((A178)+1)/2)*(Inputs!$J$9-Inputs!$I$9))</x:f>
        <x:v>373.60000000000014</x:v>
      </x:c>
      <x:c r="X178" s="10" t="n"/>
      <x:c r="Y178" s="9" t="n">
        <x:f>A178</x:f>
        <x:v>0.467</x:v>
      </x:c>
      <x:c r="Z178" s="9" t="n">
        <x:f>(Inputs!$H$6+Inputs!$L$6*(((Inputs!$I$6+(((A178)+1)/2)*(Inputs!$J$6-Inputs!$I$6)))/Inputs!$K$6)^2)</x:f>
        <x:v>400.872356</x:v>
      </x:c>
      <x:c r="AA178" s="9" t="n">
        <x:f>(Inputs!$H$7+Inputs!$L$7*(((Inputs!$I$7+(((A178)+1)/2)*(Inputs!$J$7-Inputs!$I$7)))/Inputs!$K$7)^2)</x:f>
        <x:v>114.60248500000006</x:v>
      </x:c>
      <x:c r="AB178" s="9" t="n">
        <x:f>(Inputs!$H$8+Inputs!$L$8*(((Inputs!$I$8+(((A178)+1)/2)*(Inputs!$J$8-Inputs!$I$8)))/Inputs!$K$8)^2)</x:f>
        <x:v>245.45588500000017</x:v>
      </x:c>
      <x:c r="AC178" s="9" t="n">
        <x:f>(Inputs!$H$9+Inputs!$L$9*(((Inputs!$I$9+(((A178)+1)/2)*(Inputs!$J$9-Inputs!$I$9)))/Inputs!$K$9)^2)</x:f>
        <x:v>237.63677500000017</x:v>
      </x:c>
      <x:c r="AD178" s="10" t="n"/>
      <x:c r="AE178" s="9" t="n">
        <x:f>A178</x:f>
        <x:v>0.467</x:v>
      </x:c>
      <x:c r="AF178" s="9"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9"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9"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9"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10" t="n"/>
      <x:c r="AK178" s="9" t="n">
        <x:f>A178</x:f>
        <x:v>0.467</x:v>
      </x:c>
      <x:c r="AL178" s="9"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9"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9"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9"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10" t="n"/>
      <x:c r="AQ178" s="9" t="n">
        <x:f>A178</x:f>
        <x:v>0.467</x:v>
      </x:c>
      <x:c r="AR178" s="9" t="n">
        <x:f>0</x:f>
        <x:v>0</x:v>
      </x:c>
      <x:c r="AS178" s="9"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x:f>
        <x:v>330.5843974172532</x:v>
      </x:c>
      <x:c r="AT178" s="9"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x:f>
        <x:v>166.48078773488166</x:v>
      </x:c>
      <x:c r="AU178" s="9"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x:f>
        <x:v>113.49703397252357</x:v>
      </x:c>
      <x:c r="AV178" s="9"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x:f>
        <x:v>113.49703397252357</x:v>
      </x:c>
      <x:c r="AW178" s="10" t="n"/>
      <x:c r="AX178" s="9" t="n">
        <x:f>A178</x:f>
        <x:v>0.467</x:v>
      </x:c>
      <x:c r="AY178" s="9" t="n">
        <x:f>0</x:f>
        <x:v>0</x:v>
      </x:c>
      <x:c r="AZ178" s="9" t="n">
        <x:f>IF(OR(Inputs!$F$6=TRUE,Inputs!$F$6="TRUE",Inputs!$F$6=1),(Inputs!$H$6+Inputs!$L$6*(((Inputs!$I$6+(((A178)+1)/2)*(Inputs!$J$6-Inputs!$I$6)))/Inputs!$K$6)^2),NA())</x:f>
        <x:v>400.872356</x:v>
      </x:c>
      <x:c r="BA178" s="9" t="n">
        <x:f>IF(OR(Inputs!$F$7=TRUE,Inputs!$F$7="TRUE",Inputs!$F$7=1),(Inputs!$H$7+Inputs!$L$7*(((Inputs!$I$7+(((A178)+1)/2)*(Inputs!$J$7-Inputs!$I$7)))/Inputs!$K$7)^2),NA())</x:f>
        <x:v>114.60248500000006</x:v>
      </x:c>
      <x:c r="BB178" s="9" t="n">
        <x:f>IF(OR(Inputs!$F$8=TRUE,Inputs!$F$8="TRUE",Inputs!$F$8=1),(Inputs!$H$8+Inputs!$L$8*(((Inputs!$I$8+(((A178)+1)/2)*(Inputs!$J$8-Inputs!$I$8)))/Inputs!$K$8)^2),NA())</x:f>
        <x:v>245.45588500000017</x:v>
      </x:c>
      <x:c r="BC178" s="9" t="n">
        <x:f>IF(OR(Inputs!$F$9=TRUE,Inputs!$F$9="TRUE",Inputs!$F$9=1),(Inputs!$H$9+Inputs!$L$9*(((Inputs!$I$9+(((A178)+1)/2)*(Inputs!$J$9-Inputs!$I$9)))/Inputs!$K$9)^2),NA())</x:f>
        <x:v>237.63677500000017</x:v>
      </x:c>
      <x:c r="BD178" s="10" t="n"/>
      <x:c r="BE178" s="9" t="n">
        <x:f>A178</x:f>
        <x:v>0.467</x:v>
      </x:c>
      <x:c r="BF178" s="9" t="n">
        <x:f>0</x:f>
        <x:v>0</x:v>
      </x:c>
      <x:c r="BG178" s="9"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9"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9"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9"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9" t="n">
        <x:f>ROUND(-1+177*2/240,3)</x:f>
        <x:v>0.475</x:v>
      </x:c>
      <x:c r="B179" s="9" t="n">
        <x:f>IF(OR(Inputs!$F$6=TRUE,Inputs!$F$6="TRUE",Inputs!$F$6=1),(Inputs!$H$6+Inputs!$L$6*(((Inputs!$I$6+(((A179)+1)/2)*(Inputs!$J$6-Inputs!$I$6)))/Inputs!$K$6)^2),NA())</x:f>
        <x:v>400.9025</x:v>
      </x:c>
      <x:c r="C179" s="9" t="n">
        <x:f>IF(OR(Inputs!$F$7=TRUE,Inputs!$F$7="TRUE",Inputs!$F$7=1),(Inputs!$H$7+Inputs!$L$7*(((Inputs!$I$7+(((A179)+1)/2)*(Inputs!$J$7-Inputs!$I$7)))/Inputs!$K$7)^2),NA())</x:f>
        <x:v>117.35312499999999</x:v>
      </x:c>
      <x:c r="D179" s="9" t="n">
        <x:f>IF(OR(Inputs!$F$8=TRUE,Inputs!$F$8="TRUE",Inputs!$F$8=1),(Inputs!$H$8+Inputs!$L$8*(((Inputs!$I$8+(((A179)+1)/2)*(Inputs!$J$8-Inputs!$I$8)))/Inputs!$K$8)^2),NA())</x:f>
        <x:v>252.728125</x:v>
      </x:c>
      <x:c r="E179" s="9" t="n">
        <x:f>IF(OR(Inputs!$F$9=TRUE,Inputs!$F$9="TRUE",Inputs!$F$9=1),(Inputs!$H$9+Inputs!$L$9*(((Inputs!$I$9+(((A179)+1)/2)*(Inputs!$J$9-Inputs!$I$9)))/Inputs!$K$9)^2),NA())</x:f>
        <x:v>244.984375</x:v>
      </x:c>
      <x:c r="F179" s="10" t="n"/>
      <x:c r="G179" s="9" t="n">
        <x:f>A179</x:f>
        <x:v>0.475</x:v>
      </x:c>
      <x:c r="H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10" t="n"/>
      <x:c r="M179" s="9" t="n">
        <x:f>A179</x:f>
        <x:v>0.475</x:v>
      </x:c>
      <x:c r="N179" s="9"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9"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9"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9"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10" t="n"/>
      <x:c r="S179" s="9" t="n">
        <x:f>A179</x:f>
        <x:v>0.475</x:v>
      </x:c>
      <x:c r="T179" s="9" t="n">
        <x:f>(Inputs!$I$6+(((A179)+1)/2)*(Inputs!$J$6-Inputs!$I$6))</x:f>
        <x:v>28.5</x:v>
      </x:c>
      <x:c r="U179" s="9" t="n">
        <x:f>(Inputs!$I$7+(((A179)+1)/2)*(Inputs!$J$7-Inputs!$I$7))</x:f>
        <x:v>190</x:v>
      </x:c>
      <x:c r="V179" s="9" t="n">
        <x:f>(Inputs!$I$8+(((A179)+1)/2)*(Inputs!$J$8-Inputs!$I$8))</x:f>
        <x:v>380</x:v>
      </x:c>
      <x:c r="W179" s="9" t="n">
        <x:f>(Inputs!$I$9+(((A179)+1)/2)*(Inputs!$J$9-Inputs!$I$9))</x:f>
        <x:v>380</x:v>
      </x:c>
      <x:c r="X179" s="10" t="n"/>
      <x:c r="Y179" s="9" t="n">
        <x:f>A179</x:f>
        <x:v>0.475</x:v>
      </x:c>
      <x:c r="Z179" s="9" t="n">
        <x:f>(Inputs!$H$6+Inputs!$L$6*(((Inputs!$I$6+(((A179)+1)/2)*(Inputs!$J$6-Inputs!$I$6)))/Inputs!$K$6)^2)</x:f>
        <x:v>400.9025</x:v>
      </x:c>
      <x:c r="AA179" s="9" t="n">
        <x:f>(Inputs!$H$7+Inputs!$L$7*(((Inputs!$I$7+(((A179)+1)/2)*(Inputs!$J$7-Inputs!$I$7)))/Inputs!$K$7)^2)</x:f>
        <x:v>117.35312499999999</x:v>
      </x:c>
      <x:c r="AB179" s="9" t="n">
        <x:f>(Inputs!$H$8+Inputs!$L$8*(((Inputs!$I$8+(((A179)+1)/2)*(Inputs!$J$8-Inputs!$I$8)))/Inputs!$K$8)^2)</x:f>
        <x:v>252.728125</x:v>
      </x:c>
      <x:c r="AC179" s="9" t="n">
        <x:f>(Inputs!$H$9+Inputs!$L$9*(((Inputs!$I$9+(((A179)+1)/2)*(Inputs!$J$9-Inputs!$I$9)))/Inputs!$K$9)^2)</x:f>
        <x:v>244.984375</x:v>
      </x:c>
      <x:c r="AD179" s="10" t="n"/>
      <x:c r="AE179" s="9" t="n">
        <x:f>A179</x:f>
        <x:v>0.475</x:v>
      </x:c>
      <x:c r="AF179" s="9"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9"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9"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9"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10" t="n"/>
      <x:c r="AK179" s="9" t="n">
        <x:f>A179</x:f>
        <x:v>0.475</x:v>
      </x:c>
      <x:c r="AL179" s="9"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9"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9"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9"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10" t="n"/>
      <x:c r="AQ179" s="9" t="n">
        <x:f>A179</x:f>
        <x:v>0.475</x:v>
      </x:c>
      <x:c r="AR179" s="9" t="n">
        <x:f>0</x:f>
        <x:v>0</x:v>
      </x:c>
      <x:c r="AS179" s="9"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x:f>
        <x:v>310.4659866511931</x:v>
      </x:c>
      <x:c r="AT179" s="9"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x:f>
        <x:v>125.04995835066069</x:v>
      </x:c>
      <x:c r="AU179" s="9"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x:f>
        <x:v>190.6077590066482</x:v>
      </x:c>
      <x:c r="AV179" s="9"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x:f>
        <x:v>190.6077590066482</x:v>
      </x:c>
      <x:c r="AW179" s="10" t="n"/>
      <x:c r="AX179" s="9" t="n">
        <x:f>A179</x:f>
        <x:v>0.475</x:v>
      </x:c>
      <x:c r="AY179" s="9" t="n">
        <x:f>0</x:f>
        <x:v>0</x:v>
      </x:c>
      <x:c r="AZ179" s="9" t="n">
        <x:f>IF(OR(Inputs!$F$6=TRUE,Inputs!$F$6="TRUE",Inputs!$F$6=1),(Inputs!$H$6+Inputs!$L$6*(((Inputs!$I$6+(((A179)+1)/2)*(Inputs!$J$6-Inputs!$I$6)))/Inputs!$K$6)^2),NA())</x:f>
        <x:v>400.9025</x:v>
      </x:c>
      <x:c r="BA179" s="9" t="n">
        <x:f>IF(OR(Inputs!$F$7=TRUE,Inputs!$F$7="TRUE",Inputs!$F$7=1),(Inputs!$H$7+Inputs!$L$7*(((Inputs!$I$7+(((A179)+1)/2)*(Inputs!$J$7-Inputs!$I$7)))/Inputs!$K$7)^2),NA())</x:f>
        <x:v>117.35312499999999</x:v>
      </x:c>
      <x:c r="BB179" s="9" t="n">
        <x:f>IF(OR(Inputs!$F$8=TRUE,Inputs!$F$8="TRUE",Inputs!$F$8=1),(Inputs!$H$8+Inputs!$L$8*(((Inputs!$I$8+(((A179)+1)/2)*(Inputs!$J$8-Inputs!$I$8)))/Inputs!$K$8)^2),NA())</x:f>
        <x:v>252.728125</x:v>
      </x:c>
      <x:c r="BC179" s="9" t="n">
        <x:f>IF(OR(Inputs!$F$9=TRUE,Inputs!$F$9="TRUE",Inputs!$F$9=1),(Inputs!$H$9+Inputs!$L$9*(((Inputs!$I$9+(((A179)+1)/2)*(Inputs!$J$9-Inputs!$I$9)))/Inputs!$K$9)^2),NA())</x:f>
        <x:v>244.984375</x:v>
      </x:c>
      <x:c r="BD179" s="10" t="n"/>
      <x:c r="BE179" s="9" t="n">
        <x:f>A179</x:f>
        <x:v>0.475</x:v>
      </x:c>
      <x:c r="BF179" s="9" t="n">
        <x:f>0</x:f>
        <x:v>0</x:v>
      </x:c>
      <x:c r="BG179" s="9"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9"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9"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9"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9" t="n">
        <x:f>ROUND(-1+178*2/240,3)</x:f>
        <x:v>0.483</x:v>
      </x:c>
      <x:c r="B180" s="9" t="n">
        <x:f>IF(OR(Inputs!$F$6=TRUE,Inputs!$F$6="TRUE",Inputs!$F$6=1),(Inputs!$H$6+Inputs!$L$6*(((Inputs!$I$6+(((A180)+1)/2)*(Inputs!$J$6-Inputs!$I$6)))/Inputs!$K$6)^2),NA())</x:f>
        <x:v>400.933156</x:v>
      </x:c>
      <x:c r="C180" s="9" t="n">
        <x:f>IF(OR(Inputs!$F$7=TRUE,Inputs!$F$7="TRUE",Inputs!$F$7=1),(Inputs!$H$7+Inputs!$L$7*(((Inputs!$I$7+(((A180)+1)/2)*(Inputs!$J$7-Inputs!$I$7)))/Inputs!$K$7)^2),NA())</x:f>
        <x:v>120.15048500000003</x:v>
      </x:c>
      <x:c r="D180" s="9" t="n">
        <x:f>IF(OR(Inputs!$F$8=TRUE,Inputs!$F$8="TRUE",Inputs!$F$8=1),(Inputs!$H$8+Inputs!$L$8*(((Inputs!$I$8+(((A180)+1)/2)*(Inputs!$J$8-Inputs!$I$8)))/Inputs!$K$8)^2),NA())</x:f>
        <x:v>260.1238850000001</x:v>
      </x:c>
      <x:c r="E180" s="9" t="n">
        <x:f>IF(OR(Inputs!$F$9=TRUE,Inputs!$F$9="TRUE",Inputs!$F$9=1),(Inputs!$H$9+Inputs!$L$9*(((Inputs!$I$9+(((A180)+1)/2)*(Inputs!$J$9-Inputs!$I$9)))/Inputs!$K$9)^2),NA())</x:f>
        <x:v>252.45677500000008</x:v>
      </x:c>
      <x:c r="F180" s="10" t="n"/>
      <x:c r="G180" s="9" t="n">
        <x:f>A180</x:f>
        <x:v>0.483</x:v>
      </x:c>
      <x:c r="H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10" t="n"/>
      <x:c r="M180" s="9" t="n">
        <x:f>A180</x:f>
        <x:v>0.483</x:v>
      </x:c>
      <x:c r="N180" s="9"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9"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9"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9"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10" t="n"/>
      <x:c r="S180" s="9" t="n">
        <x:f>A180</x:f>
        <x:v>0.483</x:v>
      </x:c>
      <x:c r="T180" s="9" t="n">
        <x:f>(Inputs!$I$6+(((A180)+1)/2)*(Inputs!$J$6-Inputs!$I$6))</x:f>
        <x:v>28.980000000000004</x:v>
      </x:c>
      <x:c r="U180" s="9" t="n">
        <x:f>(Inputs!$I$7+(((A180)+1)/2)*(Inputs!$J$7-Inputs!$I$7))</x:f>
        <x:v>193.20000000000005</x:v>
      </x:c>
      <x:c r="V180" s="9" t="n">
        <x:f>(Inputs!$I$8+(((A180)+1)/2)*(Inputs!$J$8-Inputs!$I$8))</x:f>
        <x:v>386.4000000000001</x:v>
      </x:c>
      <x:c r="W180" s="9" t="n">
        <x:f>(Inputs!$I$9+(((A180)+1)/2)*(Inputs!$J$9-Inputs!$I$9))</x:f>
        <x:v>386.4000000000001</x:v>
      </x:c>
      <x:c r="X180" s="10" t="n"/>
      <x:c r="Y180" s="9" t="n">
        <x:f>A180</x:f>
        <x:v>0.483</x:v>
      </x:c>
      <x:c r="Z180" s="9" t="n">
        <x:f>(Inputs!$H$6+Inputs!$L$6*(((Inputs!$I$6+(((A180)+1)/2)*(Inputs!$J$6-Inputs!$I$6)))/Inputs!$K$6)^2)</x:f>
        <x:v>400.933156</x:v>
      </x:c>
      <x:c r="AA180" s="9" t="n">
        <x:f>(Inputs!$H$7+Inputs!$L$7*(((Inputs!$I$7+(((A180)+1)/2)*(Inputs!$J$7-Inputs!$I$7)))/Inputs!$K$7)^2)</x:f>
        <x:v>120.15048500000003</x:v>
      </x:c>
      <x:c r="AB180" s="9" t="n">
        <x:f>(Inputs!$H$8+Inputs!$L$8*(((Inputs!$I$8+(((A180)+1)/2)*(Inputs!$J$8-Inputs!$I$8)))/Inputs!$K$8)^2)</x:f>
        <x:v>260.1238850000001</x:v>
      </x:c>
      <x:c r="AC180" s="9" t="n">
        <x:f>(Inputs!$H$9+Inputs!$L$9*(((Inputs!$I$9+(((A180)+1)/2)*(Inputs!$J$9-Inputs!$I$9)))/Inputs!$K$9)^2)</x:f>
        <x:v>252.45677500000008</x:v>
      </x:c>
      <x:c r="AD180" s="10" t="n"/>
      <x:c r="AE180" s="9" t="n">
        <x:f>A180</x:f>
        <x:v>0.483</x:v>
      </x:c>
      <x:c r="AF180" s="9"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9"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9"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9"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10" t="n"/>
      <x:c r="AK180" s="9" t="n">
        <x:f>A180</x:f>
        <x:v>0.483</x:v>
      </x:c>
      <x:c r="AL180" s="9"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9"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9"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9"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10" t="n"/>
      <x:c r="AQ180" s="9" t="n">
        <x:f>A180</x:f>
        <x:v>0.483</x:v>
      </x:c>
      <x:c r="AR180" s="9" t="n">
        <x:f>0</x:f>
        <x:v>0</x:v>
      </x:c>
      <x:c r="AS180" s="9"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x:f>
        <x:v>275.3322887066261</x:v>
      </x:c>
      <x:c r="AT180" s="9"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x:f>
        <x:v>75.65034076290499</x:v>
      </x:c>
      <x:c r="AU180" s="9"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x:f>
        <x:v>172.29954163024684</x:v>
      </x:c>
      <x:c r="AV180" s="9"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x:f>
        <x:v>172.29954163024684</x:v>
      </x:c>
      <x:c r="AW180" s="10" t="n"/>
      <x:c r="AX180" s="9" t="n">
        <x:f>A180</x:f>
        <x:v>0.483</x:v>
      </x:c>
      <x:c r="AY180" s="9" t="n">
        <x:f>0</x:f>
        <x:v>0</x:v>
      </x:c>
      <x:c r="AZ180" s="9" t="n">
        <x:f>IF(OR(Inputs!$F$6=TRUE,Inputs!$F$6="TRUE",Inputs!$F$6=1),(Inputs!$H$6+Inputs!$L$6*(((Inputs!$I$6+(((A180)+1)/2)*(Inputs!$J$6-Inputs!$I$6)))/Inputs!$K$6)^2),NA())</x:f>
        <x:v>400.933156</x:v>
      </x:c>
      <x:c r="BA180" s="9" t="n">
        <x:f>IF(OR(Inputs!$F$7=TRUE,Inputs!$F$7="TRUE",Inputs!$F$7=1),(Inputs!$H$7+Inputs!$L$7*(((Inputs!$I$7+(((A180)+1)/2)*(Inputs!$J$7-Inputs!$I$7)))/Inputs!$K$7)^2),NA())</x:f>
        <x:v>120.15048500000003</x:v>
      </x:c>
      <x:c r="BB180" s="9" t="n">
        <x:f>IF(OR(Inputs!$F$8=TRUE,Inputs!$F$8="TRUE",Inputs!$F$8=1),(Inputs!$H$8+Inputs!$L$8*(((Inputs!$I$8+(((A180)+1)/2)*(Inputs!$J$8-Inputs!$I$8)))/Inputs!$K$8)^2),NA())</x:f>
        <x:v>260.1238850000001</x:v>
      </x:c>
      <x:c r="BC180" s="9" t="n">
        <x:f>IF(OR(Inputs!$F$9=TRUE,Inputs!$F$9="TRUE",Inputs!$F$9=1),(Inputs!$H$9+Inputs!$L$9*(((Inputs!$I$9+(((A180)+1)/2)*(Inputs!$J$9-Inputs!$I$9)))/Inputs!$K$9)^2),NA())</x:f>
        <x:v>252.45677500000008</x:v>
      </x:c>
      <x:c r="BD180" s="10" t="n"/>
      <x:c r="BE180" s="9" t="n">
        <x:f>A180</x:f>
        <x:v>0.483</x:v>
      </x:c>
      <x:c r="BF180" s="9" t="n">
        <x:f>0</x:f>
        <x:v>0</x:v>
      </x:c>
      <x:c r="BG180" s="9"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9"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9"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9"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9" t="n">
        <x:f>ROUND(-1+179*2/240,3)</x:f>
        <x:v>0.492</x:v>
      </x:c>
      <x:c r="B181" s="9" t="n">
        <x:f>IF(OR(Inputs!$F$6=TRUE,Inputs!$F$6="TRUE",Inputs!$F$6=1),(Inputs!$H$6+Inputs!$L$6*(((Inputs!$I$6+(((A181)+1)/2)*(Inputs!$J$6-Inputs!$I$6)))/Inputs!$K$6)^2),NA())</x:f>
        <x:v>400.968256</x:v>
      </x:c>
      <x:c r="C181" s="9" t="n">
        <x:f>IF(OR(Inputs!$F$7=TRUE,Inputs!$F$7="TRUE",Inputs!$F$7=1),(Inputs!$H$7+Inputs!$L$7*(((Inputs!$I$7+(((A181)+1)/2)*(Inputs!$J$7-Inputs!$I$7)))/Inputs!$K$7)^2),NA())</x:f>
        <x:v>123.35335999999997</x:v>
      </x:c>
      <x:c r="D181" s="9" t="n">
        <x:f>IF(OR(Inputs!$F$8=TRUE,Inputs!$F$8="TRUE",Inputs!$F$8=1),(Inputs!$H$8+Inputs!$L$8*(((Inputs!$I$8+(((A181)+1)/2)*(Inputs!$J$8-Inputs!$I$8)))/Inputs!$K$8)^2),NA())</x:f>
        <x:v>268.5917599999999</x:v>
      </x:c>
      <x:c r="E181" s="9" t="n">
        <x:f>IF(OR(Inputs!$F$9=TRUE,Inputs!$F$9="TRUE",Inputs!$F$9=1),(Inputs!$H$9+Inputs!$L$9*(((Inputs!$I$9+(((A181)+1)/2)*(Inputs!$J$9-Inputs!$I$9)))/Inputs!$K$9)^2),NA())</x:f>
        <x:v>261.0123999999999</x:v>
      </x:c>
      <x:c r="F181" s="10" t="n"/>
      <x:c r="G181" s="9" t="n">
        <x:f>A181</x:f>
        <x:v>0.492</x:v>
      </x:c>
      <x:c r="H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10" t="n"/>
      <x:c r="M181" s="9" t="n">
        <x:f>A181</x:f>
        <x:v>0.492</x:v>
      </x:c>
      <x:c r="N181" s="9"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9"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9"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9"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10" t="n"/>
      <x:c r="S181" s="9" t="n">
        <x:f>A181</x:f>
        <x:v>0.492</x:v>
      </x:c>
      <x:c r="T181" s="9" t="n">
        <x:f>(Inputs!$I$6+(((A181)+1)/2)*(Inputs!$J$6-Inputs!$I$6))</x:f>
        <x:v>29.519999999999996</x:v>
      </x:c>
      <x:c r="U181" s="9" t="n">
        <x:f>(Inputs!$I$7+(((A181)+1)/2)*(Inputs!$J$7-Inputs!$I$7))</x:f>
        <x:v>196.79999999999995</x:v>
      </x:c>
      <x:c r="V181" s="9" t="n">
        <x:f>(Inputs!$I$8+(((A181)+1)/2)*(Inputs!$J$8-Inputs!$I$8))</x:f>
        <x:v>393.5999999999999</x:v>
      </x:c>
      <x:c r="W181" s="9" t="n">
        <x:f>(Inputs!$I$9+(((A181)+1)/2)*(Inputs!$J$9-Inputs!$I$9))</x:f>
        <x:v>393.5999999999999</x:v>
      </x:c>
      <x:c r="X181" s="10" t="n"/>
      <x:c r="Y181" s="9" t="n">
        <x:f>A181</x:f>
        <x:v>0.492</x:v>
      </x:c>
      <x:c r="Z181" s="9" t="n">
        <x:f>(Inputs!$H$6+Inputs!$L$6*(((Inputs!$I$6+(((A181)+1)/2)*(Inputs!$J$6-Inputs!$I$6)))/Inputs!$K$6)^2)</x:f>
        <x:v>400.968256</x:v>
      </x:c>
      <x:c r="AA181" s="9" t="n">
        <x:f>(Inputs!$H$7+Inputs!$L$7*(((Inputs!$I$7+(((A181)+1)/2)*(Inputs!$J$7-Inputs!$I$7)))/Inputs!$K$7)^2)</x:f>
        <x:v>123.35335999999997</x:v>
      </x:c>
      <x:c r="AB181" s="9" t="n">
        <x:f>(Inputs!$H$8+Inputs!$L$8*(((Inputs!$I$8+(((A181)+1)/2)*(Inputs!$J$8-Inputs!$I$8)))/Inputs!$K$8)^2)</x:f>
        <x:v>268.5917599999999</x:v>
      </x:c>
      <x:c r="AC181" s="9" t="n">
        <x:f>(Inputs!$H$9+Inputs!$L$9*(((Inputs!$I$9+(((A181)+1)/2)*(Inputs!$J$9-Inputs!$I$9)))/Inputs!$K$9)^2)</x:f>
        <x:v>261.0123999999999</x:v>
      </x:c>
      <x:c r="AD181" s="10" t="n"/>
      <x:c r="AE181" s="9" t="n">
        <x:f>A181</x:f>
        <x:v>0.492</x:v>
      </x:c>
      <x:c r="AF181" s="9"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9"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9"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9"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10" t="n"/>
      <x:c r="AK181" s="9" t="n">
        <x:f>A181</x:f>
        <x:v>0.492</x:v>
      </x:c>
      <x:c r="AL181" s="9"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9"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9"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9"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10" t="n"/>
      <x:c r="AQ181" s="9" t="n">
        <x:f>A181</x:f>
        <x:v>0.492</x:v>
      </x:c>
      <x:c r="AR181" s="9" t="n">
        <x:f>0</x:f>
        <x:v>0</x:v>
      </x:c>
      <x:c r="AS181" s="9"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x:f>
        <x:v>279.435104404469</x:v>
      </x:c>
      <x:c r="AT181" s="9"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x:f>
        <x:v>107.35304268822318</x:v>
      </x:c>
      <x:c r="AU181" s="9"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x:f>
        <x:v>80.87930746996554</x:v>
      </x:c>
      <x:c r="AV181" s="9"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x:f>
        <x:v>80.87930746996554</x:v>
      </x:c>
      <x:c r="AW181" s="10" t="n"/>
      <x:c r="AX181" s="9" t="n">
        <x:f>A181</x:f>
        <x:v>0.492</x:v>
      </x:c>
      <x:c r="AY181" s="9" t="n">
        <x:f>0</x:f>
        <x:v>0</x:v>
      </x:c>
      <x:c r="AZ181" s="9" t="n">
        <x:f>IF(OR(Inputs!$F$6=TRUE,Inputs!$F$6="TRUE",Inputs!$F$6=1),(Inputs!$H$6+Inputs!$L$6*(((Inputs!$I$6+(((A181)+1)/2)*(Inputs!$J$6-Inputs!$I$6)))/Inputs!$K$6)^2),NA())</x:f>
        <x:v>400.968256</x:v>
      </x:c>
      <x:c r="BA181" s="9" t="n">
        <x:f>IF(OR(Inputs!$F$7=TRUE,Inputs!$F$7="TRUE",Inputs!$F$7=1),(Inputs!$H$7+Inputs!$L$7*(((Inputs!$I$7+(((A181)+1)/2)*(Inputs!$J$7-Inputs!$I$7)))/Inputs!$K$7)^2),NA())</x:f>
        <x:v>123.35335999999997</x:v>
      </x:c>
      <x:c r="BB181" s="9" t="n">
        <x:f>IF(OR(Inputs!$F$8=TRUE,Inputs!$F$8="TRUE",Inputs!$F$8=1),(Inputs!$H$8+Inputs!$L$8*(((Inputs!$I$8+(((A181)+1)/2)*(Inputs!$J$8-Inputs!$I$8)))/Inputs!$K$8)^2),NA())</x:f>
        <x:v>268.5917599999999</x:v>
      </x:c>
      <x:c r="BC181" s="9" t="n">
        <x:f>IF(OR(Inputs!$F$9=TRUE,Inputs!$F$9="TRUE",Inputs!$F$9=1),(Inputs!$H$9+Inputs!$L$9*(((Inputs!$I$9+(((A181)+1)/2)*(Inputs!$J$9-Inputs!$I$9)))/Inputs!$K$9)^2),NA())</x:f>
        <x:v>261.0123999999999</x:v>
      </x:c>
      <x:c r="BD181" s="10" t="n"/>
      <x:c r="BE181" s="9" t="n">
        <x:f>A181</x:f>
        <x:v>0.492</x:v>
      </x:c>
      <x:c r="BF181" s="9" t="n">
        <x:f>0</x:f>
        <x:v>0</x:v>
      </x:c>
      <x:c r="BG181" s="9"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9"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9"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9"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9" t="n">
        <x:f>ROUND(-1+180*2/240,3)</x:f>
        <x:v>0.5</x:v>
      </x:c>
      <x:c r="B182" s="9" t="n">
        <x:f>IF(OR(Inputs!$F$6=TRUE,Inputs!$F$6="TRUE",Inputs!$F$6=1),(Inputs!$H$6+Inputs!$L$6*(((Inputs!$I$6+(((A182)+1)/2)*(Inputs!$J$6-Inputs!$I$6)))/Inputs!$K$6)^2),NA())</x:f>
        <x:v>401</x:v>
      </x:c>
      <x:c r="C182" s="9" t="n">
        <x:f>IF(OR(Inputs!$F$7=TRUE,Inputs!$F$7="TRUE",Inputs!$F$7=1),(Inputs!$H$7+Inputs!$L$7*(((Inputs!$I$7+(((A182)+1)/2)*(Inputs!$J$7-Inputs!$I$7)))/Inputs!$K$7)^2),NA())</x:f>
        <x:v>126.25</x:v>
      </x:c>
      <x:c r="D182" s="9" t="n">
        <x:f>IF(OR(Inputs!$F$8=TRUE,Inputs!$F$8="TRUE",Inputs!$F$8=1),(Inputs!$H$8+Inputs!$L$8*(((Inputs!$I$8+(((A182)+1)/2)*(Inputs!$J$8-Inputs!$I$8)))/Inputs!$K$8)^2),NA())</x:f>
        <x:v>276.25</x:v>
      </x:c>
      <x:c r="E182" s="9" t="n">
        <x:f>IF(OR(Inputs!$F$9=TRUE,Inputs!$F$9="TRUE",Inputs!$F$9=1),(Inputs!$H$9+Inputs!$L$9*(((Inputs!$I$9+(((A182)+1)/2)*(Inputs!$J$9-Inputs!$I$9)))/Inputs!$K$9)^2),NA())</x:f>
        <x:v>268.75</x:v>
      </x:c>
      <x:c r="F182" s="10" t="n"/>
      <x:c r="G182" s="9" t="n">
        <x:f>A182</x:f>
        <x:v>0.5</x:v>
      </x:c>
      <x:c r="H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10" t="n"/>
      <x:c r="M182" s="9" t="n">
        <x:f>A182</x:f>
        <x:v>0.5</x:v>
      </x:c>
      <x:c r="N182" s="9"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9"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9"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9"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10" t="n"/>
      <x:c r="S182" s="9" t="n">
        <x:f>A182</x:f>
        <x:v>0.5</x:v>
      </x:c>
      <x:c r="T182" s="9" t="n">
        <x:f>(Inputs!$I$6+(((A182)+1)/2)*(Inputs!$J$6-Inputs!$I$6))</x:f>
        <x:v>30</x:v>
      </x:c>
      <x:c r="U182" s="9" t="n">
        <x:f>(Inputs!$I$7+(((A182)+1)/2)*(Inputs!$J$7-Inputs!$I$7))</x:f>
        <x:v>200</x:v>
      </x:c>
      <x:c r="V182" s="9" t="n">
        <x:f>(Inputs!$I$8+(((A182)+1)/2)*(Inputs!$J$8-Inputs!$I$8))</x:f>
        <x:v>400</x:v>
      </x:c>
      <x:c r="W182" s="9" t="n">
        <x:f>(Inputs!$I$9+(((A182)+1)/2)*(Inputs!$J$9-Inputs!$I$9))</x:f>
        <x:v>400</x:v>
      </x:c>
      <x:c r="X182" s="10" t="n"/>
      <x:c r="Y182" s="9" t="n">
        <x:f>A182</x:f>
        <x:v>0.5</x:v>
      </x:c>
      <x:c r="Z182" s="9" t="n">
        <x:f>(Inputs!$H$6+Inputs!$L$6*(((Inputs!$I$6+(((A182)+1)/2)*(Inputs!$J$6-Inputs!$I$6)))/Inputs!$K$6)^2)</x:f>
        <x:v>401</x:v>
      </x:c>
      <x:c r="AA182" s="9" t="n">
        <x:f>(Inputs!$H$7+Inputs!$L$7*(((Inputs!$I$7+(((A182)+1)/2)*(Inputs!$J$7-Inputs!$I$7)))/Inputs!$K$7)^2)</x:f>
        <x:v>126.25</x:v>
      </x:c>
      <x:c r="AB182" s="9" t="n">
        <x:f>(Inputs!$H$8+Inputs!$L$8*(((Inputs!$I$8+(((A182)+1)/2)*(Inputs!$J$8-Inputs!$I$8)))/Inputs!$K$8)^2)</x:f>
        <x:v>276.25</x:v>
      </x:c>
      <x:c r="AC182" s="9" t="n">
        <x:f>(Inputs!$H$9+Inputs!$L$9*(((Inputs!$I$9+(((A182)+1)/2)*(Inputs!$J$9-Inputs!$I$9)))/Inputs!$K$9)^2)</x:f>
        <x:v>268.75</x:v>
      </x:c>
      <x:c r="AD182" s="10" t="n"/>
      <x:c r="AE182" s="9" t="n">
        <x:f>A182</x:f>
        <x:v>0.5</x:v>
      </x:c>
      <x:c r="AF182" s="9"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9"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9"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9"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10" t="n"/>
      <x:c r="AK182" s="9" t="n">
        <x:f>A182</x:f>
        <x:v>0.5</x:v>
      </x:c>
      <x:c r="AL182" s="9"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9"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9"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9"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10" t="n"/>
      <x:c r="AQ182" s="9" t="n">
        <x:f>A182</x:f>
        <x:v>0.5</x:v>
      </x:c>
      <x:c r="AR182" s="9" t="n">
        <x:f>0</x:f>
        <x:v>0</x:v>
      </x:c>
      <x:c r="AS182" s="9"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x:f>
        <x:v>258.3810354027646</x:v>
      </x:c>
      <x:c r="AT182" s="9"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x:f>
        <x:v>158.86775074007286</x:v>
      </x:c>
      <x:c r="AU182" s="9"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x:f>
        <x:v>200.7418453023654</x:v>
      </x:c>
      <x:c r="AV182" s="9"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x:f>
        <x:v>200.7418453023654</x:v>
      </x:c>
      <x:c r="AW182" s="10" t="n"/>
      <x:c r="AX182" s="9" t="n">
        <x:f>A182</x:f>
        <x:v>0.5</x:v>
      </x:c>
      <x:c r="AY182" s="9" t="n">
        <x:f>0</x:f>
        <x:v>0</x:v>
      </x:c>
      <x:c r="AZ182" s="9" t="n">
        <x:f>IF(OR(Inputs!$F$6=TRUE,Inputs!$F$6="TRUE",Inputs!$F$6=1),(Inputs!$H$6+Inputs!$L$6*(((Inputs!$I$6+(((A182)+1)/2)*(Inputs!$J$6-Inputs!$I$6)))/Inputs!$K$6)^2),NA())</x:f>
        <x:v>401</x:v>
      </x:c>
      <x:c r="BA182" s="9" t="n">
        <x:f>IF(OR(Inputs!$F$7=TRUE,Inputs!$F$7="TRUE",Inputs!$F$7=1),(Inputs!$H$7+Inputs!$L$7*(((Inputs!$I$7+(((A182)+1)/2)*(Inputs!$J$7-Inputs!$I$7)))/Inputs!$K$7)^2),NA())</x:f>
        <x:v>126.25</x:v>
      </x:c>
      <x:c r="BB182" s="9" t="n">
        <x:f>IF(OR(Inputs!$F$8=TRUE,Inputs!$F$8="TRUE",Inputs!$F$8=1),(Inputs!$H$8+Inputs!$L$8*(((Inputs!$I$8+(((A182)+1)/2)*(Inputs!$J$8-Inputs!$I$8)))/Inputs!$K$8)^2),NA())</x:f>
        <x:v>276.25</x:v>
      </x:c>
      <x:c r="BC182" s="9" t="n">
        <x:f>IF(OR(Inputs!$F$9=TRUE,Inputs!$F$9="TRUE",Inputs!$F$9=1),(Inputs!$H$9+Inputs!$L$9*(((Inputs!$I$9+(((A182)+1)/2)*(Inputs!$J$9-Inputs!$I$9)))/Inputs!$K$9)^2),NA())</x:f>
        <x:v>268.75</x:v>
      </x:c>
      <x:c r="BD182" s="10" t="n"/>
      <x:c r="BE182" s="9" t="n">
        <x:f>A182</x:f>
        <x:v>0.5</x:v>
      </x:c>
      <x:c r="BF182" s="9" t="n">
        <x:f>0</x:f>
        <x:v>0</x:v>
      </x:c>
      <x:c r="BG182" s="9"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9"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9"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9"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9" t="n">
        <x:f>ROUND(-1+181*2/240,3)</x:f>
        <x:v>0.508</x:v>
      </x:c>
      <x:c r="B183" s="9" t="n">
        <x:f>IF(OR(Inputs!$F$6=TRUE,Inputs!$F$6="TRUE",Inputs!$F$6=1),(Inputs!$H$6+Inputs!$L$6*(((Inputs!$I$6+(((A183)+1)/2)*(Inputs!$J$6-Inputs!$I$6)))/Inputs!$K$6)^2),NA())</x:f>
        <x:v>401.032256</x:v>
      </x:c>
      <x:c r="C183" s="9" t="n">
        <x:f>IF(OR(Inputs!$F$7=TRUE,Inputs!$F$7="TRUE",Inputs!$F$7=1),(Inputs!$H$7+Inputs!$L$7*(((Inputs!$I$7+(((A183)+1)/2)*(Inputs!$J$7-Inputs!$I$7)))/Inputs!$K$7)^2),NA())</x:f>
        <x:v>129.19336000000004</x:v>
      </x:c>
      <x:c r="D183" s="9" t="n">
        <x:f>IF(OR(Inputs!$F$8=TRUE,Inputs!$F$8="TRUE",Inputs!$F$8=1),(Inputs!$H$8+Inputs!$L$8*(((Inputs!$I$8+(((A183)+1)/2)*(Inputs!$J$8-Inputs!$I$8)))/Inputs!$K$8)^2),NA())</x:f>
        <x:v>284.03176000000013</x:v>
      </x:c>
      <x:c r="E183" s="9" t="n">
        <x:f>IF(OR(Inputs!$F$9=TRUE,Inputs!$F$9="TRUE",Inputs!$F$9=1),(Inputs!$H$9+Inputs!$L$9*(((Inputs!$I$9+(((A183)+1)/2)*(Inputs!$J$9-Inputs!$I$9)))/Inputs!$K$9)^2),NA())</x:f>
        <x:v>276.6124000000001</x:v>
      </x:c>
      <x:c r="F183" s="10" t="n"/>
      <x:c r="G183" s="9" t="n">
        <x:f>A183</x:f>
        <x:v>0.508</x:v>
      </x:c>
      <x:c r="H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10" t="n"/>
      <x:c r="M183" s="9" t="n">
        <x:f>A183</x:f>
        <x:v>0.508</x:v>
      </x:c>
      <x:c r="N183" s="9"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9"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9"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9"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10" t="n"/>
      <x:c r="S183" s="9" t="n">
        <x:f>A183</x:f>
        <x:v>0.508</x:v>
      </x:c>
      <x:c r="T183" s="9" t="n">
        <x:f>(Inputs!$I$6+(((A183)+1)/2)*(Inputs!$J$6-Inputs!$I$6))</x:f>
        <x:v>30.480000000000004</x:v>
      </x:c>
      <x:c r="U183" s="9" t="n">
        <x:f>(Inputs!$I$7+(((A183)+1)/2)*(Inputs!$J$7-Inputs!$I$7))</x:f>
        <x:v>203.20000000000005</x:v>
      </x:c>
      <x:c r="V183" s="9" t="n">
        <x:f>(Inputs!$I$8+(((A183)+1)/2)*(Inputs!$J$8-Inputs!$I$8))</x:f>
        <x:v>406.4000000000001</x:v>
      </x:c>
      <x:c r="W183" s="9" t="n">
        <x:f>(Inputs!$I$9+(((A183)+1)/2)*(Inputs!$J$9-Inputs!$I$9))</x:f>
        <x:v>406.4000000000001</x:v>
      </x:c>
      <x:c r="X183" s="10" t="n"/>
      <x:c r="Y183" s="9" t="n">
        <x:f>A183</x:f>
        <x:v>0.508</x:v>
      </x:c>
      <x:c r="Z183" s="9" t="n">
        <x:f>(Inputs!$H$6+Inputs!$L$6*(((Inputs!$I$6+(((A183)+1)/2)*(Inputs!$J$6-Inputs!$I$6)))/Inputs!$K$6)^2)</x:f>
        <x:v>401.032256</x:v>
      </x:c>
      <x:c r="AA183" s="9" t="n">
        <x:f>(Inputs!$H$7+Inputs!$L$7*(((Inputs!$I$7+(((A183)+1)/2)*(Inputs!$J$7-Inputs!$I$7)))/Inputs!$K$7)^2)</x:f>
        <x:v>129.19336000000004</x:v>
      </x:c>
      <x:c r="AB183" s="9" t="n">
        <x:f>(Inputs!$H$8+Inputs!$L$8*(((Inputs!$I$8+(((A183)+1)/2)*(Inputs!$J$8-Inputs!$I$8)))/Inputs!$K$8)^2)</x:f>
        <x:v>284.03176000000013</x:v>
      </x:c>
      <x:c r="AC183" s="9" t="n">
        <x:f>(Inputs!$H$9+Inputs!$L$9*(((Inputs!$I$9+(((A183)+1)/2)*(Inputs!$J$9-Inputs!$I$9)))/Inputs!$K$9)^2)</x:f>
        <x:v>276.6124000000001</x:v>
      </x:c>
      <x:c r="AD183" s="10" t="n"/>
      <x:c r="AE183" s="9" t="n">
        <x:f>A183</x:f>
        <x:v>0.508</x:v>
      </x:c>
      <x:c r="AF183" s="9"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9"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9"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9"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10" t="n"/>
      <x:c r="AK183" s="9" t="n">
        <x:f>A183</x:f>
        <x:v>0.508</x:v>
      </x:c>
      <x:c r="AL183" s="9"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9"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9"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9"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10" t="n"/>
      <x:c r="AQ183" s="9" t="n">
        <x:f>A183</x:f>
        <x:v>0.508</x:v>
      </x:c>
      <x:c r="AR183" s="9" t="n">
        <x:f>0</x:f>
        <x:v>0</x:v>
      </x:c>
      <x:c r="AS183" s="9"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x:f>
        <x:v>248.30462581119681</x:v>
      </x:c>
      <x:c r="AT183" s="9"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x:f>
        <x:v>188.56626253642412</x:v>
      </x:c>
      <x:c r="AU183" s="9"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x:f>
        <x:v>74.77995597742478</x:v>
      </x:c>
      <x:c r="AV183" s="9"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x:f>
        <x:v>74.77995597742478</x:v>
      </x:c>
      <x:c r="AW183" s="10" t="n"/>
      <x:c r="AX183" s="9" t="n">
        <x:f>A183</x:f>
        <x:v>0.508</x:v>
      </x:c>
      <x:c r="AY183" s="9" t="n">
        <x:f>0</x:f>
        <x:v>0</x:v>
      </x:c>
      <x:c r="AZ183" s="9" t="n">
        <x:f>IF(OR(Inputs!$F$6=TRUE,Inputs!$F$6="TRUE",Inputs!$F$6=1),(Inputs!$H$6+Inputs!$L$6*(((Inputs!$I$6+(((A183)+1)/2)*(Inputs!$J$6-Inputs!$I$6)))/Inputs!$K$6)^2),NA())</x:f>
        <x:v>401.032256</x:v>
      </x:c>
      <x:c r="BA183" s="9" t="n">
        <x:f>IF(OR(Inputs!$F$7=TRUE,Inputs!$F$7="TRUE",Inputs!$F$7=1),(Inputs!$H$7+Inputs!$L$7*(((Inputs!$I$7+(((A183)+1)/2)*(Inputs!$J$7-Inputs!$I$7)))/Inputs!$K$7)^2),NA())</x:f>
        <x:v>129.19336000000004</x:v>
      </x:c>
      <x:c r="BB183" s="9" t="n">
        <x:f>IF(OR(Inputs!$F$8=TRUE,Inputs!$F$8="TRUE",Inputs!$F$8=1),(Inputs!$H$8+Inputs!$L$8*(((Inputs!$I$8+(((A183)+1)/2)*(Inputs!$J$8-Inputs!$I$8)))/Inputs!$K$8)^2),NA())</x:f>
        <x:v>284.03176000000013</x:v>
      </x:c>
      <x:c r="BC183" s="9" t="n">
        <x:f>IF(OR(Inputs!$F$9=TRUE,Inputs!$F$9="TRUE",Inputs!$F$9=1),(Inputs!$H$9+Inputs!$L$9*(((Inputs!$I$9+(((A183)+1)/2)*(Inputs!$J$9-Inputs!$I$9)))/Inputs!$K$9)^2),NA())</x:f>
        <x:v>276.6124000000001</x:v>
      </x:c>
      <x:c r="BD183" s="10" t="n"/>
      <x:c r="BE183" s="9" t="n">
        <x:f>A183</x:f>
        <x:v>0.508</x:v>
      </x:c>
      <x:c r="BF183" s="9" t="n">
        <x:f>0</x:f>
        <x:v>0</x:v>
      </x:c>
      <x:c r="BG183" s="9"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9"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9"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9"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9" t="n">
        <x:f>ROUND(-1+182*2/240,3)</x:f>
        <x:v>0.517</x:v>
      </x:c>
      <x:c r="B184" s="9" t="n">
        <x:f>IF(OR(Inputs!$F$6=TRUE,Inputs!$F$6="TRUE",Inputs!$F$6=1),(Inputs!$H$6+Inputs!$L$6*(((Inputs!$I$6+(((A184)+1)/2)*(Inputs!$J$6-Inputs!$I$6)))/Inputs!$K$6)^2),NA())</x:f>
        <x:v>401.069156</x:v>
      </x:c>
      <x:c r="C184" s="9" t="n">
        <x:f>IF(OR(Inputs!$F$7=TRUE,Inputs!$F$7="TRUE",Inputs!$F$7=1),(Inputs!$H$7+Inputs!$L$7*(((Inputs!$I$7+(((A184)+1)/2)*(Inputs!$J$7-Inputs!$I$7)))/Inputs!$K$7)^2),NA())</x:f>
        <x:v>132.56048499999997</x:v>
      </x:c>
      <x:c r="D184" s="9" t="n">
        <x:f>IF(OR(Inputs!$F$8=TRUE,Inputs!$F$8="TRUE",Inputs!$F$8=1),(Inputs!$H$8+Inputs!$L$8*(((Inputs!$I$8+(((A184)+1)/2)*(Inputs!$J$8-Inputs!$I$8)))/Inputs!$K$8)^2),NA())</x:f>
        <x:v>292.9338849999999</x:v>
      </x:c>
      <x:c r="E184" s="9" t="n">
        <x:f>IF(OR(Inputs!$F$9=TRUE,Inputs!$F$9="TRUE",Inputs!$F$9=1),(Inputs!$H$9+Inputs!$L$9*(((Inputs!$I$9+(((A184)+1)/2)*(Inputs!$J$9-Inputs!$I$9)))/Inputs!$K$9)^2),NA())</x:f>
        <x:v>285.6067749999999</x:v>
      </x:c>
      <x:c r="F184" s="10" t="n"/>
      <x:c r="G184" s="9" t="n">
        <x:f>A184</x:f>
        <x:v>0.517</x:v>
      </x:c>
      <x:c r="H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10" t="n"/>
      <x:c r="M184" s="9" t="n">
        <x:f>A184</x:f>
        <x:v>0.517</x:v>
      </x:c>
      <x:c r="N184" s="9"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9"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9"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9"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10" t="n"/>
      <x:c r="S184" s="9" t="n">
        <x:f>A184</x:f>
        <x:v>0.517</x:v>
      </x:c>
      <x:c r="T184" s="9" t="n">
        <x:f>(Inputs!$I$6+(((A184)+1)/2)*(Inputs!$J$6-Inputs!$I$6))</x:f>
        <x:v>31.019999999999996</x:v>
      </x:c>
      <x:c r="U184" s="9" t="n">
        <x:f>(Inputs!$I$7+(((A184)+1)/2)*(Inputs!$J$7-Inputs!$I$7))</x:f>
        <x:v>206.79999999999995</x:v>
      </x:c>
      <x:c r="V184" s="9" t="n">
        <x:f>(Inputs!$I$8+(((A184)+1)/2)*(Inputs!$J$8-Inputs!$I$8))</x:f>
        <x:v>413.5999999999999</x:v>
      </x:c>
      <x:c r="W184" s="9" t="n">
        <x:f>(Inputs!$I$9+(((A184)+1)/2)*(Inputs!$J$9-Inputs!$I$9))</x:f>
        <x:v>413.5999999999999</x:v>
      </x:c>
      <x:c r="X184" s="10" t="n"/>
      <x:c r="Y184" s="9" t="n">
        <x:f>A184</x:f>
        <x:v>0.517</x:v>
      </x:c>
      <x:c r="Z184" s="9" t="n">
        <x:f>(Inputs!$H$6+Inputs!$L$6*(((Inputs!$I$6+(((A184)+1)/2)*(Inputs!$J$6-Inputs!$I$6)))/Inputs!$K$6)^2)</x:f>
        <x:v>401.069156</x:v>
      </x:c>
      <x:c r="AA184" s="9" t="n">
        <x:f>(Inputs!$H$7+Inputs!$L$7*(((Inputs!$I$7+(((A184)+1)/2)*(Inputs!$J$7-Inputs!$I$7)))/Inputs!$K$7)^2)</x:f>
        <x:v>132.56048499999997</x:v>
      </x:c>
      <x:c r="AB184" s="9" t="n">
        <x:f>(Inputs!$H$8+Inputs!$L$8*(((Inputs!$I$8+(((A184)+1)/2)*(Inputs!$J$8-Inputs!$I$8)))/Inputs!$K$8)^2)</x:f>
        <x:v>292.9338849999999</x:v>
      </x:c>
      <x:c r="AC184" s="9" t="n">
        <x:f>(Inputs!$H$9+Inputs!$L$9*(((Inputs!$I$9+(((A184)+1)/2)*(Inputs!$J$9-Inputs!$I$9)))/Inputs!$K$9)^2)</x:f>
        <x:v>285.6067749999999</x:v>
      </x:c>
      <x:c r="AD184" s="10" t="n"/>
      <x:c r="AE184" s="9" t="n">
        <x:f>A184</x:f>
        <x:v>0.517</x:v>
      </x:c>
      <x:c r="AF184" s="9"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9"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9"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9"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10" t="n"/>
      <x:c r="AK184" s="9" t="n">
        <x:f>A184</x:f>
        <x:v>0.517</x:v>
      </x:c>
      <x:c r="AL184" s="9"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9"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9"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9"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10" t="n"/>
      <x:c r="AQ184" s="9" t="n">
        <x:f>A184</x:f>
        <x:v>0.517</x:v>
      </x:c>
      <x:c r="AR184" s="9" t="n">
        <x:f>0</x:f>
        <x:v>0</x:v>
      </x:c>
      <x:c r="AS184" s="9"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x:f>
        <x:v>244.67710451674026</x:v>
      </x:c>
      <x:c r="AT184" s="9"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x:f>
        <x:v>165.27951163003507</x:v>
      </x:c>
      <x:c r="AU184" s="9"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x:f>
        <x:v>139.62227780424172</x:v>
      </x:c>
      <x:c r="AV184" s="9"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x:f>
        <x:v>139.62227780424172</x:v>
      </x:c>
      <x:c r="AW184" s="10" t="n"/>
      <x:c r="AX184" s="9" t="n">
        <x:f>A184</x:f>
        <x:v>0.517</x:v>
      </x:c>
      <x:c r="AY184" s="9" t="n">
        <x:f>0</x:f>
        <x:v>0</x:v>
      </x:c>
      <x:c r="AZ184" s="9" t="n">
        <x:f>IF(OR(Inputs!$F$6=TRUE,Inputs!$F$6="TRUE",Inputs!$F$6=1),(Inputs!$H$6+Inputs!$L$6*(((Inputs!$I$6+(((A184)+1)/2)*(Inputs!$J$6-Inputs!$I$6)))/Inputs!$K$6)^2),NA())</x:f>
        <x:v>401.069156</x:v>
      </x:c>
      <x:c r="BA184" s="9" t="n">
        <x:f>IF(OR(Inputs!$F$7=TRUE,Inputs!$F$7="TRUE",Inputs!$F$7=1),(Inputs!$H$7+Inputs!$L$7*(((Inputs!$I$7+(((A184)+1)/2)*(Inputs!$J$7-Inputs!$I$7)))/Inputs!$K$7)^2),NA())</x:f>
        <x:v>132.56048499999997</x:v>
      </x:c>
      <x:c r="BB184" s="9" t="n">
        <x:f>IF(OR(Inputs!$F$8=TRUE,Inputs!$F$8="TRUE",Inputs!$F$8=1),(Inputs!$H$8+Inputs!$L$8*(((Inputs!$I$8+(((A184)+1)/2)*(Inputs!$J$8-Inputs!$I$8)))/Inputs!$K$8)^2),NA())</x:f>
        <x:v>292.9338849999999</x:v>
      </x:c>
      <x:c r="BC184" s="9" t="n">
        <x:f>IF(OR(Inputs!$F$9=TRUE,Inputs!$F$9="TRUE",Inputs!$F$9=1),(Inputs!$H$9+Inputs!$L$9*(((Inputs!$I$9+(((A184)+1)/2)*(Inputs!$J$9-Inputs!$I$9)))/Inputs!$K$9)^2),NA())</x:f>
        <x:v>285.6067749999999</x:v>
      </x:c>
      <x:c r="BD184" s="10" t="n"/>
      <x:c r="BE184" s="9" t="n">
        <x:f>A184</x:f>
        <x:v>0.517</x:v>
      </x:c>
      <x:c r="BF184" s="9" t="n">
        <x:f>0</x:f>
        <x:v>0</x:v>
      </x:c>
      <x:c r="BG184" s="9"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9"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9"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9"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9" t="n">
        <x:f>ROUND(-1+183*2/240,3)</x:f>
        <x:v>0.525</x:v>
      </x:c>
      <x:c r="B185" s="9" t="n">
        <x:f>IF(OR(Inputs!$F$6=TRUE,Inputs!$F$6="TRUE",Inputs!$F$6=1),(Inputs!$H$6+Inputs!$L$6*(((Inputs!$I$6+(((A185)+1)/2)*(Inputs!$J$6-Inputs!$I$6)))/Inputs!$K$6)^2),NA())</x:f>
        <x:v>401.1025</x:v>
      </x:c>
      <x:c r="C185" s="9" t="n">
        <x:f>IF(OR(Inputs!$F$7=TRUE,Inputs!$F$7="TRUE",Inputs!$F$7=1),(Inputs!$H$7+Inputs!$L$7*(((Inputs!$I$7+(((A185)+1)/2)*(Inputs!$J$7-Inputs!$I$7)))/Inputs!$K$7)^2),NA())</x:f>
        <x:v>135.603125</x:v>
      </x:c>
      <x:c r="D185" s="9" t="n">
        <x:f>IF(OR(Inputs!$F$8=TRUE,Inputs!$F$8="TRUE",Inputs!$F$8=1),(Inputs!$H$8+Inputs!$L$8*(((Inputs!$I$8+(((A185)+1)/2)*(Inputs!$J$8-Inputs!$I$8)))/Inputs!$K$8)^2),NA())</x:f>
        <x:v>300.97812500000003</x:v>
      </x:c>
      <x:c r="E185" s="9" t="n">
        <x:f>IF(OR(Inputs!$F$9=TRUE,Inputs!$F$9="TRUE",Inputs!$F$9=1),(Inputs!$H$9+Inputs!$L$9*(((Inputs!$I$9+(((A185)+1)/2)*(Inputs!$J$9-Inputs!$I$9)))/Inputs!$K$9)^2),NA())</x:f>
        <x:v>293.734375</x:v>
      </x:c>
      <x:c r="F185" s="10" t="n"/>
      <x:c r="G185" s="9" t="n">
        <x:f>A185</x:f>
        <x:v>0.525</x:v>
      </x:c>
      <x:c r="H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10" t="n"/>
      <x:c r="M185" s="9" t="n">
        <x:f>A185</x:f>
        <x:v>0.525</x:v>
      </x:c>
      <x:c r="N185" s="9"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9"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9"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9"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10" t="n"/>
      <x:c r="S185" s="9" t="n">
        <x:f>A185</x:f>
        <x:v>0.525</x:v>
      </x:c>
      <x:c r="T185" s="9" t="n">
        <x:f>(Inputs!$I$6+(((A185)+1)/2)*(Inputs!$J$6-Inputs!$I$6))</x:f>
        <x:v>31.5</x:v>
      </x:c>
      <x:c r="U185" s="9" t="n">
        <x:f>(Inputs!$I$7+(((A185)+1)/2)*(Inputs!$J$7-Inputs!$I$7))</x:f>
        <x:v>210</x:v>
      </x:c>
      <x:c r="V185" s="9" t="n">
        <x:f>(Inputs!$I$8+(((A185)+1)/2)*(Inputs!$J$8-Inputs!$I$8))</x:f>
        <x:v>420</x:v>
      </x:c>
      <x:c r="W185" s="9" t="n">
        <x:f>(Inputs!$I$9+(((A185)+1)/2)*(Inputs!$J$9-Inputs!$I$9))</x:f>
        <x:v>420</x:v>
      </x:c>
      <x:c r="X185" s="10" t="n"/>
      <x:c r="Y185" s="9" t="n">
        <x:f>A185</x:f>
        <x:v>0.525</x:v>
      </x:c>
      <x:c r="Z185" s="9" t="n">
        <x:f>(Inputs!$H$6+Inputs!$L$6*(((Inputs!$I$6+(((A185)+1)/2)*(Inputs!$J$6-Inputs!$I$6)))/Inputs!$K$6)^2)</x:f>
        <x:v>401.1025</x:v>
      </x:c>
      <x:c r="AA185" s="9" t="n">
        <x:f>(Inputs!$H$7+Inputs!$L$7*(((Inputs!$I$7+(((A185)+1)/2)*(Inputs!$J$7-Inputs!$I$7)))/Inputs!$K$7)^2)</x:f>
        <x:v>135.603125</x:v>
      </x:c>
      <x:c r="AB185" s="9" t="n">
        <x:f>(Inputs!$H$8+Inputs!$L$8*(((Inputs!$I$8+(((A185)+1)/2)*(Inputs!$J$8-Inputs!$I$8)))/Inputs!$K$8)^2)</x:f>
        <x:v>300.97812500000003</x:v>
      </x:c>
      <x:c r="AC185" s="9" t="n">
        <x:f>(Inputs!$H$9+Inputs!$L$9*(((Inputs!$I$9+(((A185)+1)/2)*(Inputs!$J$9-Inputs!$I$9)))/Inputs!$K$9)^2)</x:f>
        <x:v>293.734375</x:v>
      </x:c>
      <x:c r="AD185" s="10" t="n"/>
      <x:c r="AE185" s="9" t="n">
        <x:f>A185</x:f>
        <x:v>0.525</x:v>
      </x:c>
      <x:c r="AF185" s="9"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9"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9"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9"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10" t="n"/>
      <x:c r="AK185" s="9" t="n">
        <x:f>A185</x:f>
        <x:v>0.525</x:v>
      </x:c>
      <x:c r="AL185" s="9"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9"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9"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9"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10" t="n"/>
      <x:c r="AQ185" s="9" t="n">
        <x:f>A185</x:f>
        <x:v>0.525</x:v>
      </x:c>
      <x:c r="AR185" s="9" t="n">
        <x:f>0</x:f>
        <x:v>0</x:v>
      </x:c>
      <x:c r="AS185" s="9"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x:f>
        <x:v>216.56157473369862</x:v>
      </x:c>
      <x:c r="AT185" s="9"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x:f>
        <x:v>96.44039390212929</x:v>
      </x:c>
      <x:c r="AU185" s="9"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x:f>
        <x:v>172.26894270522027</x:v>
      </x:c>
      <x:c r="AV185" s="9"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x:f>
        <x:v>172.26894270522027</x:v>
      </x:c>
      <x:c r="AW185" s="10" t="n"/>
      <x:c r="AX185" s="9" t="n">
        <x:f>A185</x:f>
        <x:v>0.525</x:v>
      </x:c>
      <x:c r="AY185" s="9" t="n">
        <x:f>0</x:f>
        <x:v>0</x:v>
      </x:c>
      <x:c r="AZ185" s="9" t="n">
        <x:f>IF(OR(Inputs!$F$6=TRUE,Inputs!$F$6="TRUE",Inputs!$F$6=1),(Inputs!$H$6+Inputs!$L$6*(((Inputs!$I$6+(((A185)+1)/2)*(Inputs!$J$6-Inputs!$I$6)))/Inputs!$K$6)^2),NA())</x:f>
        <x:v>401.1025</x:v>
      </x:c>
      <x:c r="BA185" s="9" t="n">
        <x:f>IF(OR(Inputs!$F$7=TRUE,Inputs!$F$7="TRUE",Inputs!$F$7=1),(Inputs!$H$7+Inputs!$L$7*(((Inputs!$I$7+(((A185)+1)/2)*(Inputs!$J$7-Inputs!$I$7)))/Inputs!$K$7)^2),NA())</x:f>
        <x:v>135.603125</x:v>
      </x:c>
      <x:c r="BB185" s="9" t="n">
        <x:f>IF(OR(Inputs!$F$8=TRUE,Inputs!$F$8="TRUE",Inputs!$F$8=1),(Inputs!$H$8+Inputs!$L$8*(((Inputs!$I$8+(((A185)+1)/2)*(Inputs!$J$8-Inputs!$I$8)))/Inputs!$K$8)^2),NA())</x:f>
        <x:v>300.97812500000003</x:v>
      </x:c>
      <x:c r="BC185" s="9" t="n">
        <x:f>IF(OR(Inputs!$F$9=TRUE,Inputs!$F$9="TRUE",Inputs!$F$9=1),(Inputs!$H$9+Inputs!$L$9*(((Inputs!$I$9+(((A185)+1)/2)*(Inputs!$J$9-Inputs!$I$9)))/Inputs!$K$9)^2),NA())</x:f>
        <x:v>293.734375</x:v>
      </x:c>
      <x:c r="BD185" s="10" t="n"/>
      <x:c r="BE185" s="9" t="n">
        <x:f>A185</x:f>
        <x:v>0.525</x:v>
      </x:c>
      <x:c r="BF185" s="9" t="n">
        <x:f>0</x:f>
        <x:v>0</x:v>
      </x:c>
      <x:c r="BG185" s="9"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9"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9"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9"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9" t="n">
        <x:f>ROUND(-1+184*2/240,3)</x:f>
        <x:v>0.533</x:v>
      </x:c>
      <x:c r="B186" s="9" t="n">
        <x:f>IF(OR(Inputs!$F$6=TRUE,Inputs!$F$6="TRUE",Inputs!$F$6=1),(Inputs!$H$6+Inputs!$L$6*(((Inputs!$I$6+(((A186)+1)/2)*(Inputs!$J$6-Inputs!$I$6)))/Inputs!$K$6)^2),NA())</x:f>
        <x:v>401.136356</x:v>
      </x:c>
      <x:c r="C186" s="9" t="n">
        <x:f>IF(OR(Inputs!$F$7=TRUE,Inputs!$F$7="TRUE",Inputs!$F$7=1),(Inputs!$H$7+Inputs!$L$7*(((Inputs!$I$7+(((A186)+1)/2)*(Inputs!$J$7-Inputs!$I$7)))/Inputs!$K$7)^2),NA())</x:f>
        <x:v>138.69248499999992</x:v>
      </x:c>
      <x:c r="D186" s="9" t="n">
        <x:f>IF(OR(Inputs!$F$8=TRUE,Inputs!$F$8="TRUE",Inputs!$F$8=1),(Inputs!$H$8+Inputs!$L$8*(((Inputs!$I$8+(((A186)+1)/2)*(Inputs!$J$8-Inputs!$I$8)))/Inputs!$K$8)^2),NA())</x:f>
        <x:v>309.1458849999998</x:v>
      </x:c>
      <x:c r="E186" s="9" t="n">
        <x:f>IF(OR(Inputs!$F$9=TRUE,Inputs!$F$9="TRUE",Inputs!$F$9=1),(Inputs!$H$9+Inputs!$L$9*(((Inputs!$I$9+(((A186)+1)/2)*(Inputs!$J$9-Inputs!$I$9)))/Inputs!$K$9)^2),NA())</x:f>
        <x:v>301.9867749999998</x:v>
      </x:c>
      <x:c r="F186" s="10" t="n"/>
      <x:c r="G186" s="9" t="n">
        <x:f>A186</x:f>
        <x:v>0.533</x:v>
      </x:c>
      <x:c r="H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10" t="n"/>
      <x:c r="M186" s="9" t="n">
        <x:f>A186</x:f>
        <x:v>0.533</x:v>
      </x:c>
      <x:c r="N186" s="9"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9"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9"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9"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10" t="n"/>
      <x:c r="S186" s="9" t="n">
        <x:f>A186</x:f>
        <x:v>0.533</x:v>
      </x:c>
      <x:c r="T186" s="9" t="n">
        <x:f>(Inputs!$I$6+(((A186)+1)/2)*(Inputs!$J$6-Inputs!$I$6))</x:f>
        <x:v>31.97999999999999</x:v>
      </x:c>
      <x:c r="U186" s="9" t="n">
        <x:f>(Inputs!$I$7+(((A186)+1)/2)*(Inputs!$J$7-Inputs!$I$7))</x:f>
        <x:v>213.19999999999993</x:v>
      </x:c>
      <x:c r="V186" s="9" t="n">
        <x:f>(Inputs!$I$8+(((A186)+1)/2)*(Inputs!$J$8-Inputs!$I$8))</x:f>
        <x:v>426.39999999999986</x:v>
      </x:c>
      <x:c r="W186" s="9" t="n">
        <x:f>(Inputs!$I$9+(((A186)+1)/2)*(Inputs!$J$9-Inputs!$I$9))</x:f>
        <x:v>426.39999999999986</x:v>
      </x:c>
      <x:c r="X186" s="10" t="n"/>
      <x:c r="Y186" s="9" t="n">
        <x:f>A186</x:f>
        <x:v>0.533</x:v>
      </x:c>
      <x:c r="Z186" s="9" t="n">
        <x:f>(Inputs!$H$6+Inputs!$L$6*(((Inputs!$I$6+(((A186)+1)/2)*(Inputs!$J$6-Inputs!$I$6)))/Inputs!$K$6)^2)</x:f>
        <x:v>401.136356</x:v>
      </x:c>
      <x:c r="AA186" s="9" t="n">
        <x:f>(Inputs!$H$7+Inputs!$L$7*(((Inputs!$I$7+(((A186)+1)/2)*(Inputs!$J$7-Inputs!$I$7)))/Inputs!$K$7)^2)</x:f>
        <x:v>138.69248499999992</x:v>
      </x:c>
      <x:c r="AB186" s="9" t="n">
        <x:f>(Inputs!$H$8+Inputs!$L$8*(((Inputs!$I$8+(((A186)+1)/2)*(Inputs!$J$8-Inputs!$I$8)))/Inputs!$K$8)^2)</x:f>
        <x:v>309.1458849999998</x:v>
      </x:c>
      <x:c r="AC186" s="9" t="n">
        <x:f>(Inputs!$H$9+Inputs!$L$9*(((Inputs!$I$9+(((A186)+1)/2)*(Inputs!$J$9-Inputs!$I$9)))/Inputs!$K$9)^2)</x:f>
        <x:v>301.9867749999998</x:v>
      </x:c>
      <x:c r="AD186" s="10" t="n"/>
      <x:c r="AE186" s="9" t="n">
        <x:f>A186</x:f>
        <x:v>0.533</x:v>
      </x:c>
      <x:c r="AF186" s="9"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9"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9"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9"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10" t="n"/>
      <x:c r="AK186" s="9" t="n">
        <x:f>A186</x:f>
        <x:v>0.533</x:v>
      </x:c>
      <x:c r="AL186" s="9"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9"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9"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9"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10" t="n"/>
      <x:c r="AQ186" s="9" t="n">
        <x:f>A186</x:f>
        <x:v>0.533</x:v>
      </x:c>
      <x:c r="AR186" s="9" t="n">
        <x:f>0</x:f>
        <x:v>0</x:v>
      </x:c>
      <x:c r="AS186" s="9"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x:f>
        <x:v>234.55267372275344</x:v>
      </x:c>
      <x:c r="AT186" s="9"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x:f>
        <x:v>87.70672320070028</x:v>
      </x:c>
      <x:c r="AU186" s="9"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x:f>
        <x:v>118.12668531371337</x:v>
      </x:c>
      <x:c r="AV186" s="9"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x:f>
        <x:v>118.12668531371337</x:v>
      </x:c>
      <x:c r="AW186" s="10" t="n"/>
      <x:c r="AX186" s="9" t="n">
        <x:f>A186</x:f>
        <x:v>0.533</x:v>
      </x:c>
      <x:c r="AY186" s="9" t="n">
        <x:f>0</x:f>
        <x:v>0</x:v>
      </x:c>
      <x:c r="AZ186" s="9" t="n">
        <x:f>IF(OR(Inputs!$F$6=TRUE,Inputs!$F$6="TRUE",Inputs!$F$6=1),(Inputs!$H$6+Inputs!$L$6*(((Inputs!$I$6+(((A186)+1)/2)*(Inputs!$J$6-Inputs!$I$6)))/Inputs!$K$6)^2),NA())</x:f>
        <x:v>401.136356</x:v>
      </x:c>
      <x:c r="BA186" s="9" t="n">
        <x:f>IF(OR(Inputs!$F$7=TRUE,Inputs!$F$7="TRUE",Inputs!$F$7=1),(Inputs!$H$7+Inputs!$L$7*(((Inputs!$I$7+(((A186)+1)/2)*(Inputs!$J$7-Inputs!$I$7)))/Inputs!$K$7)^2),NA())</x:f>
        <x:v>138.69248499999992</x:v>
      </x:c>
      <x:c r="BB186" s="9" t="n">
        <x:f>IF(OR(Inputs!$F$8=TRUE,Inputs!$F$8="TRUE",Inputs!$F$8=1),(Inputs!$H$8+Inputs!$L$8*(((Inputs!$I$8+(((A186)+1)/2)*(Inputs!$J$8-Inputs!$I$8)))/Inputs!$K$8)^2),NA())</x:f>
        <x:v>309.1458849999998</x:v>
      </x:c>
      <x:c r="BC186" s="9" t="n">
        <x:f>IF(OR(Inputs!$F$9=TRUE,Inputs!$F$9="TRUE",Inputs!$F$9=1),(Inputs!$H$9+Inputs!$L$9*(((Inputs!$I$9+(((A186)+1)/2)*(Inputs!$J$9-Inputs!$I$9)))/Inputs!$K$9)^2),NA())</x:f>
        <x:v>301.9867749999998</x:v>
      </x:c>
      <x:c r="BD186" s="10" t="n"/>
      <x:c r="BE186" s="9" t="n">
        <x:f>A186</x:f>
        <x:v>0.533</x:v>
      </x:c>
      <x:c r="BF186" s="9" t="n">
        <x:f>0</x:f>
        <x:v>0</x:v>
      </x:c>
      <x:c r="BG186" s="9"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9"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9"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9"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9" t="n">
        <x:f>ROUND(-1+185*2/240,3)</x:f>
        <x:v>0.542</x:v>
      </x:c>
      <x:c r="B187" s="9" t="n">
        <x:f>IF(OR(Inputs!$F$6=TRUE,Inputs!$F$6="TRUE",Inputs!$F$6=1),(Inputs!$H$6+Inputs!$L$6*(((Inputs!$I$6+(((A187)+1)/2)*(Inputs!$J$6-Inputs!$I$6)))/Inputs!$K$6)^2),NA())</x:f>
        <x:v>401.175056</x:v>
      </x:c>
      <x:c r="C187" s="9" t="n">
        <x:f>IF(OR(Inputs!$F$7=TRUE,Inputs!$F$7="TRUE",Inputs!$F$7=1),(Inputs!$H$7+Inputs!$L$7*(((Inputs!$I$7+(((A187)+1)/2)*(Inputs!$J$7-Inputs!$I$7)))/Inputs!$K$7)^2),NA())</x:f>
        <x:v>142.22386000000006</x:v>
      </x:c>
      <x:c r="D187" s="9" t="n">
        <x:f>IF(OR(Inputs!$F$8=TRUE,Inputs!$F$8="TRUE",Inputs!$F$8=1),(Inputs!$H$8+Inputs!$L$8*(((Inputs!$I$8+(((A187)+1)/2)*(Inputs!$J$8-Inputs!$I$8)))/Inputs!$K$8)^2),NA())</x:f>
        <x:v>318.4822600000001</x:v>
      </x:c>
      <x:c r="E187" s="9" t="n">
        <x:f>IF(OR(Inputs!$F$9=TRUE,Inputs!$F$9="TRUE",Inputs!$F$9=1),(Inputs!$H$9+Inputs!$L$9*(((Inputs!$I$9+(((A187)+1)/2)*(Inputs!$J$9-Inputs!$I$9)))/Inputs!$K$9)^2),NA())</x:f>
        <x:v>311.41990000000015</x:v>
      </x:c>
      <x:c r="F187" s="10" t="n"/>
      <x:c r="G187" s="9" t="n">
        <x:f>A187</x:f>
        <x:v>0.542</x:v>
      </x:c>
      <x:c r="H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10" t="n"/>
      <x:c r="M187" s="9" t="n">
        <x:f>A187</x:f>
        <x:v>0.542</x:v>
      </x:c>
      <x:c r="N187" s="9"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9"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9"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9"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10" t="n"/>
      <x:c r="S187" s="9" t="n">
        <x:f>A187</x:f>
        <x:v>0.542</x:v>
      </x:c>
      <x:c r="T187" s="9" t="n">
        <x:f>(Inputs!$I$6+(((A187)+1)/2)*(Inputs!$J$6-Inputs!$I$6))</x:f>
        <x:v>32.519999999999996</x:v>
      </x:c>
      <x:c r="U187" s="9" t="n">
        <x:f>(Inputs!$I$7+(((A187)+1)/2)*(Inputs!$J$7-Inputs!$I$7))</x:f>
        <x:v>216.80000000000007</x:v>
      </x:c>
      <x:c r="V187" s="9" t="n">
        <x:f>(Inputs!$I$8+(((A187)+1)/2)*(Inputs!$J$8-Inputs!$I$8))</x:f>
        <x:v>433.60000000000014</x:v>
      </x:c>
      <x:c r="W187" s="9" t="n">
        <x:f>(Inputs!$I$9+(((A187)+1)/2)*(Inputs!$J$9-Inputs!$I$9))</x:f>
        <x:v>433.60000000000014</x:v>
      </x:c>
      <x:c r="X187" s="10" t="n"/>
      <x:c r="Y187" s="9" t="n">
        <x:f>A187</x:f>
        <x:v>0.542</x:v>
      </x:c>
      <x:c r="Z187" s="9" t="n">
        <x:f>(Inputs!$H$6+Inputs!$L$6*(((Inputs!$I$6+(((A187)+1)/2)*(Inputs!$J$6-Inputs!$I$6)))/Inputs!$K$6)^2)</x:f>
        <x:v>401.175056</x:v>
      </x:c>
      <x:c r="AA187" s="9" t="n">
        <x:f>(Inputs!$H$7+Inputs!$L$7*(((Inputs!$I$7+(((A187)+1)/2)*(Inputs!$J$7-Inputs!$I$7)))/Inputs!$K$7)^2)</x:f>
        <x:v>142.22386000000006</x:v>
      </x:c>
      <x:c r="AB187" s="9" t="n">
        <x:f>(Inputs!$H$8+Inputs!$L$8*(((Inputs!$I$8+(((A187)+1)/2)*(Inputs!$J$8-Inputs!$I$8)))/Inputs!$K$8)^2)</x:f>
        <x:v>318.4822600000001</x:v>
      </x:c>
      <x:c r="AC187" s="9" t="n">
        <x:f>(Inputs!$H$9+Inputs!$L$9*(((Inputs!$I$9+(((A187)+1)/2)*(Inputs!$J$9-Inputs!$I$9)))/Inputs!$K$9)^2)</x:f>
        <x:v>311.41990000000015</x:v>
      </x:c>
      <x:c r="AD187" s="10" t="n"/>
      <x:c r="AE187" s="9" t="n">
        <x:f>A187</x:f>
        <x:v>0.542</x:v>
      </x:c>
      <x:c r="AF187" s="9"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9"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9"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9"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10" t="n"/>
      <x:c r="AK187" s="9" t="n">
        <x:f>A187</x:f>
        <x:v>0.542</x:v>
      </x:c>
      <x:c r="AL187" s="9"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9"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9"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9"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10" t="n"/>
      <x:c r="AQ187" s="9" t="n">
        <x:f>A187</x:f>
        <x:v>0.542</x:v>
      </x:c>
      <x:c r="AR187" s="9" t="n">
        <x:f>0</x:f>
        <x:v>0</x:v>
      </x:c>
      <x:c r="AS187" s="9"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x:f>
        <x:v>233.8203072732271</x:v>
      </x:c>
      <x:c r="AT187" s="9"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x:f>
        <x:v>174.08127263830204</x:v>
      </x:c>
      <x:c r="AU187" s="9"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x:f>
        <x:v>183.3457754988744</x:v>
      </x:c>
      <x:c r="AV187" s="9"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x:f>
        <x:v>183.3457754988744</x:v>
      </x:c>
      <x:c r="AW187" s="10" t="n"/>
      <x:c r="AX187" s="9" t="n">
        <x:f>A187</x:f>
        <x:v>0.542</x:v>
      </x:c>
      <x:c r="AY187" s="9" t="n">
        <x:f>0</x:f>
        <x:v>0</x:v>
      </x:c>
      <x:c r="AZ187" s="9" t="n">
        <x:f>IF(OR(Inputs!$F$6=TRUE,Inputs!$F$6="TRUE",Inputs!$F$6=1),(Inputs!$H$6+Inputs!$L$6*(((Inputs!$I$6+(((A187)+1)/2)*(Inputs!$J$6-Inputs!$I$6)))/Inputs!$K$6)^2),NA())</x:f>
        <x:v>401.175056</x:v>
      </x:c>
      <x:c r="BA187" s="9" t="n">
        <x:f>IF(OR(Inputs!$F$7=TRUE,Inputs!$F$7="TRUE",Inputs!$F$7=1),(Inputs!$H$7+Inputs!$L$7*(((Inputs!$I$7+(((A187)+1)/2)*(Inputs!$J$7-Inputs!$I$7)))/Inputs!$K$7)^2),NA())</x:f>
        <x:v>142.22386000000006</x:v>
      </x:c>
      <x:c r="BB187" s="9" t="n">
        <x:f>IF(OR(Inputs!$F$8=TRUE,Inputs!$F$8="TRUE",Inputs!$F$8=1),(Inputs!$H$8+Inputs!$L$8*(((Inputs!$I$8+(((A187)+1)/2)*(Inputs!$J$8-Inputs!$I$8)))/Inputs!$K$8)^2),NA())</x:f>
        <x:v>318.4822600000001</x:v>
      </x:c>
      <x:c r="BC187" s="9" t="n">
        <x:f>IF(OR(Inputs!$F$9=TRUE,Inputs!$F$9="TRUE",Inputs!$F$9=1),(Inputs!$H$9+Inputs!$L$9*(((Inputs!$I$9+(((A187)+1)/2)*(Inputs!$J$9-Inputs!$I$9)))/Inputs!$K$9)^2),NA())</x:f>
        <x:v>311.41990000000015</x:v>
      </x:c>
      <x:c r="BD187" s="10" t="n"/>
      <x:c r="BE187" s="9" t="n">
        <x:f>A187</x:f>
        <x:v>0.542</x:v>
      </x:c>
      <x:c r="BF187" s="9" t="n">
        <x:f>0</x:f>
        <x:v>0</x:v>
      </x:c>
      <x:c r="BG187" s="9"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9"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9"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9"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9" t="n">
        <x:f>ROUND(-1+186*2/240,3)</x:f>
        <x:v>0.55</x:v>
      </x:c>
      <x:c r="B188" s="9" t="n">
        <x:f>IF(OR(Inputs!$F$6=TRUE,Inputs!$F$6="TRUE",Inputs!$F$6=1),(Inputs!$H$6+Inputs!$L$6*(((Inputs!$I$6+(((A188)+1)/2)*(Inputs!$J$6-Inputs!$I$6)))/Inputs!$K$6)^2),NA())</x:f>
        <x:v>401.21</x:v>
      </x:c>
      <x:c r="C188" s="9" t="n">
        <x:f>IF(OR(Inputs!$F$7=TRUE,Inputs!$F$7="TRUE",Inputs!$F$7=1),(Inputs!$H$7+Inputs!$L$7*(((Inputs!$I$7+(((A188)+1)/2)*(Inputs!$J$7-Inputs!$I$7)))/Inputs!$K$7)^2),NA())</x:f>
        <x:v>145.41250000000002</x:v>
      </x:c>
      <x:c r="D188" s="9" t="n">
        <x:f>IF(OR(Inputs!$F$8=TRUE,Inputs!$F$8="TRUE",Inputs!$F$8=1),(Inputs!$H$8+Inputs!$L$8*(((Inputs!$I$8+(((A188)+1)/2)*(Inputs!$J$8-Inputs!$I$8)))/Inputs!$K$8)^2),NA())</x:f>
        <x:v>326.9125</x:v>
      </x:c>
      <x:c r="E188" s="9" t="n">
        <x:f>IF(OR(Inputs!$F$9=TRUE,Inputs!$F$9="TRUE",Inputs!$F$9=1),(Inputs!$H$9+Inputs!$L$9*(((Inputs!$I$9+(((A188)+1)/2)*(Inputs!$J$9-Inputs!$I$9)))/Inputs!$K$9)^2),NA())</x:f>
        <x:v>319.93750000000006</x:v>
      </x:c>
      <x:c r="F188" s="10" t="n"/>
      <x:c r="G188" s="9" t="n">
        <x:f>A188</x:f>
        <x:v>0.55</x:v>
      </x:c>
      <x:c r="H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10" t="n"/>
      <x:c r="M188" s="9" t="n">
        <x:f>A188</x:f>
        <x:v>0.55</x:v>
      </x:c>
      <x:c r="N188" s="9"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9"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9"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9"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10" t="n"/>
      <x:c r="S188" s="9" t="n">
        <x:f>A188</x:f>
        <x:v>0.55</x:v>
      </x:c>
      <x:c r="T188" s="9" t="n">
        <x:f>(Inputs!$I$6+(((A188)+1)/2)*(Inputs!$J$6-Inputs!$I$6))</x:f>
        <x:v>33</x:v>
      </x:c>
      <x:c r="U188" s="9" t="n">
        <x:f>(Inputs!$I$7+(((A188)+1)/2)*(Inputs!$J$7-Inputs!$I$7))</x:f>
        <x:v>220</x:v>
      </x:c>
      <x:c r="V188" s="9" t="n">
        <x:f>(Inputs!$I$8+(((A188)+1)/2)*(Inputs!$J$8-Inputs!$I$8))</x:f>
        <x:v>440</x:v>
      </x:c>
      <x:c r="W188" s="9" t="n">
        <x:f>(Inputs!$I$9+(((A188)+1)/2)*(Inputs!$J$9-Inputs!$I$9))</x:f>
        <x:v>440</x:v>
      </x:c>
      <x:c r="X188" s="10" t="n"/>
      <x:c r="Y188" s="9" t="n">
        <x:f>A188</x:f>
        <x:v>0.55</x:v>
      </x:c>
      <x:c r="Z188" s="9" t="n">
        <x:f>(Inputs!$H$6+Inputs!$L$6*(((Inputs!$I$6+(((A188)+1)/2)*(Inputs!$J$6-Inputs!$I$6)))/Inputs!$K$6)^2)</x:f>
        <x:v>401.21</x:v>
      </x:c>
      <x:c r="AA188" s="9" t="n">
        <x:f>(Inputs!$H$7+Inputs!$L$7*(((Inputs!$I$7+(((A188)+1)/2)*(Inputs!$J$7-Inputs!$I$7)))/Inputs!$K$7)^2)</x:f>
        <x:v>145.41250000000002</x:v>
      </x:c>
      <x:c r="AB188" s="9" t="n">
        <x:f>(Inputs!$H$8+Inputs!$L$8*(((Inputs!$I$8+(((A188)+1)/2)*(Inputs!$J$8-Inputs!$I$8)))/Inputs!$K$8)^2)</x:f>
        <x:v>326.9125</x:v>
      </x:c>
      <x:c r="AC188" s="9" t="n">
        <x:f>(Inputs!$H$9+Inputs!$L$9*(((Inputs!$I$9+(((A188)+1)/2)*(Inputs!$J$9-Inputs!$I$9)))/Inputs!$K$9)^2)</x:f>
        <x:v>319.93750000000006</x:v>
      </x:c>
      <x:c r="AD188" s="10" t="n"/>
      <x:c r="AE188" s="9" t="n">
        <x:f>A188</x:f>
        <x:v>0.55</x:v>
      </x:c>
      <x:c r="AF188" s="9"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9"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9"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9"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10" t="n"/>
      <x:c r="AK188" s="9" t="n">
        <x:f>A188</x:f>
        <x:v>0.55</x:v>
      </x:c>
      <x:c r="AL188" s="9"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9"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9"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9"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10" t="n"/>
      <x:c r="AQ188" s="9" t="n">
        <x:f>A188</x:f>
        <x:v>0.55</x:v>
      </x:c>
      <x:c r="AR188" s="9" t="n">
        <x:f>0</x:f>
        <x:v>0</x:v>
      </x:c>
      <x:c r="AS188" s="9"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x:f>
        <x:v>226.0841822180117</x:v>
      </x:c>
      <x:c r="AT188" s="9"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x:f>
        <x:v>240.54359978583835</x:v>
      </x:c>
      <x:c r="AU188" s="9"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x:f>
        <x:v>169.69698765986362</x:v>
      </x:c>
      <x:c r="AV188" s="9"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x:f>
        <x:v>169.69698765986362</x:v>
      </x:c>
      <x:c r="AW188" s="10" t="n"/>
      <x:c r="AX188" s="9" t="n">
        <x:f>A188</x:f>
        <x:v>0.55</x:v>
      </x:c>
      <x:c r="AY188" s="9" t="n">
        <x:f>0</x:f>
        <x:v>0</x:v>
      </x:c>
      <x:c r="AZ188" s="9" t="n">
        <x:f>IF(OR(Inputs!$F$6=TRUE,Inputs!$F$6="TRUE",Inputs!$F$6=1),(Inputs!$H$6+Inputs!$L$6*(((Inputs!$I$6+(((A188)+1)/2)*(Inputs!$J$6-Inputs!$I$6)))/Inputs!$K$6)^2),NA())</x:f>
        <x:v>401.21</x:v>
      </x:c>
      <x:c r="BA188" s="9" t="n">
        <x:f>IF(OR(Inputs!$F$7=TRUE,Inputs!$F$7="TRUE",Inputs!$F$7=1),(Inputs!$H$7+Inputs!$L$7*(((Inputs!$I$7+(((A188)+1)/2)*(Inputs!$J$7-Inputs!$I$7)))/Inputs!$K$7)^2),NA())</x:f>
        <x:v>145.41250000000002</x:v>
      </x:c>
      <x:c r="BB188" s="9" t="n">
        <x:f>IF(OR(Inputs!$F$8=TRUE,Inputs!$F$8="TRUE",Inputs!$F$8=1),(Inputs!$H$8+Inputs!$L$8*(((Inputs!$I$8+(((A188)+1)/2)*(Inputs!$J$8-Inputs!$I$8)))/Inputs!$K$8)^2),NA())</x:f>
        <x:v>326.9125</x:v>
      </x:c>
      <x:c r="BC188" s="9" t="n">
        <x:f>IF(OR(Inputs!$F$9=TRUE,Inputs!$F$9="TRUE",Inputs!$F$9=1),(Inputs!$H$9+Inputs!$L$9*(((Inputs!$I$9+(((A188)+1)/2)*(Inputs!$J$9-Inputs!$I$9)))/Inputs!$K$9)^2),NA())</x:f>
        <x:v>319.93750000000006</x:v>
      </x:c>
      <x:c r="BD188" s="10" t="n"/>
      <x:c r="BE188" s="9" t="n">
        <x:f>A188</x:f>
        <x:v>0.55</x:v>
      </x:c>
      <x:c r="BF188" s="9" t="n">
        <x:f>0</x:f>
        <x:v>0</x:v>
      </x:c>
      <x:c r="BG188" s="9"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9"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9"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9"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9" t="n">
        <x:f>ROUND(-1+187*2/240,3)</x:f>
        <x:v>0.558</x:v>
      </x:c>
      <x:c r="B189" s="9" t="n">
        <x:f>IF(OR(Inputs!$F$6=TRUE,Inputs!$F$6="TRUE",Inputs!$F$6=1),(Inputs!$H$6+Inputs!$L$6*(((Inputs!$I$6+(((A189)+1)/2)*(Inputs!$J$6-Inputs!$I$6)))/Inputs!$K$6)^2),NA())</x:f>
        <x:v>401.245456</x:v>
      </x:c>
      <x:c r="C189" s="9" t="n">
        <x:f>IF(OR(Inputs!$F$7=TRUE,Inputs!$F$7="TRUE",Inputs!$F$7=1),(Inputs!$H$7+Inputs!$L$7*(((Inputs!$I$7+(((A189)+1)/2)*(Inputs!$J$7-Inputs!$I$7)))/Inputs!$K$7)^2),NA())</x:f>
        <x:v>148.64786000000007</x:v>
      </x:c>
      <x:c r="D189" s="9" t="n">
        <x:f>IF(OR(Inputs!$F$8=TRUE,Inputs!$F$8="TRUE",Inputs!$F$8=1),(Inputs!$H$8+Inputs!$L$8*(((Inputs!$I$8+(((A189)+1)/2)*(Inputs!$J$8-Inputs!$I$8)))/Inputs!$K$8)^2),NA())</x:f>
        <x:v>335.4662600000002</x:v>
      </x:c>
      <x:c r="E189" s="9" t="n">
        <x:f>IF(OR(Inputs!$F$9=TRUE,Inputs!$F$9="TRUE",Inputs!$F$9=1),(Inputs!$H$9+Inputs!$L$9*(((Inputs!$I$9+(((A189)+1)/2)*(Inputs!$J$9-Inputs!$I$9)))/Inputs!$K$9)^2),NA())</x:f>
        <x:v>328.5799000000002</x:v>
      </x:c>
      <x:c r="F189" s="10" t="n"/>
      <x:c r="G189" s="9" t="n">
        <x:f>A189</x:f>
        <x:v>0.558</x:v>
      </x:c>
      <x:c r="H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10" t="n"/>
      <x:c r="M189" s="9" t="n">
        <x:f>A189</x:f>
        <x:v>0.558</x:v>
      </x:c>
      <x:c r="N189" s="9"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9"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9"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9"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10" t="n"/>
      <x:c r="S189" s="9" t="n">
        <x:f>A189</x:f>
        <x:v>0.558</x:v>
      </x:c>
      <x:c r="T189" s="9" t="n">
        <x:f>(Inputs!$I$6+(((A189)+1)/2)*(Inputs!$J$6-Inputs!$I$6))</x:f>
        <x:v>33.480000000000004</x:v>
      </x:c>
      <x:c r="U189" s="9" t="n">
        <x:f>(Inputs!$I$7+(((A189)+1)/2)*(Inputs!$J$7-Inputs!$I$7))</x:f>
        <x:v>223.20000000000005</x:v>
      </x:c>
      <x:c r="V189" s="9" t="n">
        <x:f>(Inputs!$I$8+(((A189)+1)/2)*(Inputs!$J$8-Inputs!$I$8))</x:f>
        <x:v>446.4000000000001</x:v>
      </x:c>
      <x:c r="W189" s="9" t="n">
        <x:f>(Inputs!$I$9+(((A189)+1)/2)*(Inputs!$J$9-Inputs!$I$9))</x:f>
        <x:v>446.4000000000001</x:v>
      </x:c>
      <x:c r="X189" s="10" t="n"/>
      <x:c r="Y189" s="9" t="n">
        <x:f>A189</x:f>
        <x:v>0.558</x:v>
      </x:c>
      <x:c r="Z189" s="9" t="n">
        <x:f>(Inputs!$H$6+Inputs!$L$6*(((Inputs!$I$6+(((A189)+1)/2)*(Inputs!$J$6-Inputs!$I$6)))/Inputs!$K$6)^2)</x:f>
        <x:v>401.245456</x:v>
      </x:c>
      <x:c r="AA189" s="9" t="n">
        <x:f>(Inputs!$H$7+Inputs!$L$7*(((Inputs!$I$7+(((A189)+1)/2)*(Inputs!$J$7-Inputs!$I$7)))/Inputs!$K$7)^2)</x:f>
        <x:v>148.64786000000007</x:v>
      </x:c>
      <x:c r="AB189" s="9" t="n">
        <x:f>(Inputs!$H$8+Inputs!$L$8*(((Inputs!$I$8+(((A189)+1)/2)*(Inputs!$J$8-Inputs!$I$8)))/Inputs!$K$8)^2)</x:f>
        <x:v>335.4662600000002</x:v>
      </x:c>
      <x:c r="AC189" s="9" t="n">
        <x:f>(Inputs!$H$9+Inputs!$L$9*(((Inputs!$I$9+(((A189)+1)/2)*(Inputs!$J$9-Inputs!$I$9)))/Inputs!$K$9)^2)</x:f>
        <x:v>328.5799000000002</x:v>
      </x:c>
      <x:c r="AD189" s="10" t="n"/>
      <x:c r="AE189" s="9" t="n">
        <x:f>A189</x:f>
        <x:v>0.558</x:v>
      </x:c>
      <x:c r="AF189" s="9"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9"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9"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9"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10" t="n"/>
      <x:c r="AK189" s="9" t="n">
        <x:f>A189</x:f>
        <x:v>0.558</x:v>
      </x:c>
      <x:c r="AL189" s="9"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9"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9"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9"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10" t="n"/>
      <x:c r="AQ189" s="9" t="n">
        <x:f>A189</x:f>
        <x:v>0.558</x:v>
      </x:c>
      <x:c r="AR189" s="9" t="n">
        <x:f>0</x:f>
        <x:v>0</x:v>
      </x:c>
      <x:c r="AS189" s="9"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x:f>
        <x:v>220.25536491486793</x:v>
      </x:c>
      <x:c r="AT189" s="9"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x:f>
        <x:v>188.2622323547676</x:v>
      </x:c>
      <x:c r="AU189" s="9"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x:f>
        <x:v>122.91233991859974</x:v>
      </x:c>
      <x:c r="AV189" s="9"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x:f>
        <x:v>122.91233991859974</x:v>
      </x:c>
      <x:c r="AW189" s="10" t="n"/>
      <x:c r="AX189" s="9" t="n">
        <x:f>A189</x:f>
        <x:v>0.558</x:v>
      </x:c>
      <x:c r="AY189" s="9" t="n">
        <x:f>0</x:f>
        <x:v>0</x:v>
      </x:c>
      <x:c r="AZ189" s="9" t="n">
        <x:f>IF(OR(Inputs!$F$6=TRUE,Inputs!$F$6="TRUE",Inputs!$F$6=1),(Inputs!$H$6+Inputs!$L$6*(((Inputs!$I$6+(((A189)+1)/2)*(Inputs!$J$6-Inputs!$I$6)))/Inputs!$K$6)^2),NA())</x:f>
        <x:v>401.245456</x:v>
      </x:c>
      <x:c r="BA189" s="9" t="n">
        <x:f>IF(OR(Inputs!$F$7=TRUE,Inputs!$F$7="TRUE",Inputs!$F$7=1),(Inputs!$H$7+Inputs!$L$7*(((Inputs!$I$7+(((A189)+1)/2)*(Inputs!$J$7-Inputs!$I$7)))/Inputs!$K$7)^2),NA())</x:f>
        <x:v>148.64786000000007</x:v>
      </x:c>
      <x:c r="BB189" s="9" t="n">
        <x:f>IF(OR(Inputs!$F$8=TRUE,Inputs!$F$8="TRUE",Inputs!$F$8=1),(Inputs!$H$8+Inputs!$L$8*(((Inputs!$I$8+(((A189)+1)/2)*(Inputs!$J$8-Inputs!$I$8)))/Inputs!$K$8)^2),NA())</x:f>
        <x:v>335.4662600000002</x:v>
      </x:c>
      <x:c r="BC189" s="9" t="n">
        <x:f>IF(OR(Inputs!$F$9=TRUE,Inputs!$F$9="TRUE",Inputs!$F$9=1),(Inputs!$H$9+Inputs!$L$9*(((Inputs!$I$9+(((A189)+1)/2)*(Inputs!$J$9-Inputs!$I$9)))/Inputs!$K$9)^2),NA())</x:f>
        <x:v>328.5799000000002</x:v>
      </x:c>
      <x:c r="BD189" s="10" t="n"/>
      <x:c r="BE189" s="9" t="n">
        <x:f>A189</x:f>
        <x:v>0.558</x:v>
      </x:c>
      <x:c r="BF189" s="9" t="n">
        <x:f>0</x:f>
        <x:v>0</x:v>
      </x:c>
      <x:c r="BG189" s="9"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9"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9"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9"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9" t="n">
        <x:f>ROUND(-1+188*2/240,3)</x:f>
        <x:v>0.567</x:v>
      </x:c>
      <x:c r="B190" s="9" t="n">
        <x:f>IF(OR(Inputs!$F$6=TRUE,Inputs!$F$6="TRUE",Inputs!$F$6=1),(Inputs!$H$6+Inputs!$L$6*(((Inputs!$I$6+(((A190)+1)/2)*(Inputs!$J$6-Inputs!$I$6)))/Inputs!$K$6)^2),NA())</x:f>
        <x:v>401.285956</x:v>
      </x:c>
      <x:c r="C190" s="9" t="n">
        <x:f>IF(OR(Inputs!$F$7=TRUE,Inputs!$F$7="TRUE",Inputs!$F$7=1),(Inputs!$H$7+Inputs!$L$7*(((Inputs!$I$7+(((A190)+1)/2)*(Inputs!$J$7-Inputs!$I$7)))/Inputs!$K$7)^2),NA())</x:f>
        <x:v>152.34348499999993</x:v>
      </x:c>
      <x:c r="D190" s="9" t="n">
        <x:f>IF(OR(Inputs!$F$8=TRUE,Inputs!$F$8="TRUE",Inputs!$F$8=1),(Inputs!$H$8+Inputs!$L$8*(((Inputs!$I$8+(((A190)+1)/2)*(Inputs!$J$8-Inputs!$I$8)))/Inputs!$K$8)^2),NA())</x:f>
        <x:v>345.2368849999998</x:v>
      </x:c>
      <x:c r="E190" s="9" t="n">
        <x:f>IF(OR(Inputs!$F$9=TRUE,Inputs!$F$9="TRUE",Inputs!$F$9=1),(Inputs!$H$9+Inputs!$L$9*(((Inputs!$I$9+(((A190)+1)/2)*(Inputs!$J$9-Inputs!$I$9)))/Inputs!$K$9)^2),NA())</x:f>
        <x:v>338.4517749999998</x:v>
      </x:c>
      <x:c r="F190" s="10" t="n"/>
      <x:c r="G190" s="9" t="n">
        <x:f>A190</x:f>
        <x:v>0.567</x:v>
      </x:c>
      <x:c r="H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10" t="n"/>
      <x:c r="M190" s="9" t="n">
        <x:f>A190</x:f>
        <x:v>0.567</x:v>
      </x:c>
      <x:c r="N190" s="9"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9"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9"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9"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10" t="n"/>
      <x:c r="S190" s="9" t="n">
        <x:f>A190</x:f>
        <x:v>0.567</x:v>
      </x:c>
      <x:c r="T190" s="9" t="n">
        <x:f>(Inputs!$I$6+(((A190)+1)/2)*(Inputs!$J$6-Inputs!$I$6))</x:f>
        <x:v>34.019999999999996</x:v>
      </x:c>
      <x:c r="U190" s="9" t="n">
        <x:f>(Inputs!$I$7+(((A190)+1)/2)*(Inputs!$J$7-Inputs!$I$7))</x:f>
        <x:v>226.79999999999995</x:v>
      </x:c>
      <x:c r="V190" s="9" t="n">
        <x:f>(Inputs!$I$8+(((A190)+1)/2)*(Inputs!$J$8-Inputs!$I$8))</x:f>
        <x:v>453.5999999999999</x:v>
      </x:c>
      <x:c r="W190" s="9" t="n">
        <x:f>(Inputs!$I$9+(((A190)+1)/2)*(Inputs!$J$9-Inputs!$I$9))</x:f>
        <x:v>453.5999999999999</x:v>
      </x:c>
      <x:c r="X190" s="10" t="n"/>
      <x:c r="Y190" s="9" t="n">
        <x:f>A190</x:f>
        <x:v>0.567</x:v>
      </x:c>
      <x:c r="Z190" s="9" t="n">
        <x:f>(Inputs!$H$6+Inputs!$L$6*(((Inputs!$I$6+(((A190)+1)/2)*(Inputs!$J$6-Inputs!$I$6)))/Inputs!$K$6)^2)</x:f>
        <x:v>401.285956</x:v>
      </x:c>
      <x:c r="AA190" s="9" t="n">
        <x:f>(Inputs!$H$7+Inputs!$L$7*(((Inputs!$I$7+(((A190)+1)/2)*(Inputs!$J$7-Inputs!$I$7)))/Inputs!$K$7)^2)</x:f>
        <x:v>152.34348499999993</x:v>
      </x:c>
      <x:c r="AB190" s="9" t="n">
        <x:f>(Inputs!$H$8+Inputs!$L$8*(((Inputs!$I$8+(((A190)+1)/2)*(Inputs!$J$8-Inputs!$I$8)))/Inputs!$K$8)^2)</x:f>
        <x:v>345.2368849999998</x:v>
      </x:c>
      <x:c r="AC190" s="9" t="n">
        <x:f>(Inputs!$H$9+Inputs!$L$9*(((Inputs!$I$9+(((A190)+1)/2)*(Inputs!$J$9-Inputs!$I$9)))/Inputs!$K$9)^2)</x:f>
        <x:v>338.4517749999998</x:v>
      </x:c>
      <x:c r="AD190" s="10" t="n"/>
      <x:c r="AE190" s="9" t="n">
        <x:f>A190</x:f>
        <x:v>0.567</x:v>
      </x:c>
      <x:c r="AF190" s="9"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9"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9"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9"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10" t="n"/>
      <x:c r="AK190" s="9" t="n">
        <x:f>A190</x:f>
        <x:v>0.567</x:v>
      </x:c>
      <x:c r="AL190" s="9"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9"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9"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9"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10" t="n"/>
      <x:c r="AQ190" s="9" t="n">
        <x:f>A190</x:f>
        <x:v>0.567</x:v>
      </x:c>
      <x:c r="AR190" s="9" t="n">
        <x:f>0</x:f>
        <x:v>0</x:v>
      </x:c>
      <x:c r="AS190" s="9"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x:f>
        <x:v>233.5321920735234</x:v>
      </x:c>
      <x:c r="AT190" s="9"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x:f>
        <x:v>101.48995263897521</x:v>
      </x:c>
      <x:c r="AU190" s="9"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x:f>
        <x:v>188.27460287615003</x:v>
      </x:c>
      <x:c r="AV190" s="9"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x:f>
        <x:v>188.27460287615003</x:v>
      </x:c>
      <x:c r="AW190" s="10" t="n"/>
      <x:c r="AX190" s="9" t="n">
        <x:f>A190</x:f>
        <x:v>0.567</x:v>
      </x:c>
      <x:c r="AY190" s="9" t="n">
        <x:f>0</x:f>
        <x:v>0</x:v>
      </x:c>
      <x:c r="AZ190" s="9" t="n">
        <x:f>IF(OR(Inputs!$F$6=TRUE,Inputs!$F$6="TRUE",Inputs!$F$6=1),(Inputs!$H$6+Inputs!$L$6*(((Inputs!$I$6+(((A190)+1)/2)*(Inputs!$J$6-Inputs!$I$6)))/Inputs!$K$6)^2),NA())</x:f>
        <x:v>401.285956</x:v>
      </x:c>
      <x:c r="BA190" s="9" t="n">
        <x:f>IF(OR(Inputs!$F$7=TRUE,Inputs!$F$7="TRUE",Inputs!$F$7=1),(Inputs!$H$7+Inputs!$L$7*(((Inputs!$I$7+(((A190)+1)/2)*(Inputs!$J$7-Inputs!$I$7)))/Inputs!$K$7)^2),NA())</x:f>
        <x:v>152.34348499999993</x:v>
      </x:c>
      <x:c r="BB190" s="9" t="n">
        <x:f>IF(OR(Inputs!$F$8=TRUE,Inputs!$F$8="TRUE",Inputs!$F$8=1),(Inputs!$H$8+Inputs!$L$8*(((Inputs!$I$8+(((A190)+1)/2)*(Inputs!$J$8-Inputs!$I$8)))/Inputs!$K$8)^2),NA())</x:f>
        <x:v>345.2368849999998</x:v>
      </x:c>
      <x:c r="BC190" s="9" t="n">
        <x:f>IF(OR(Inputs!$F$9=TRUE,Inputs!$F$9="TRUE",Inputs!$F$9=1),(Inputs!$H$9+Inputs!$L$9*(((Inputs!$I$9+(((A190)+1)/2)*(Inputs!$J$9-Inputs!$I$9)))/Inputs!$K$9)^2),NA())</x:f>
        <x:v>338.4517749999998</x:v>
      </x:c>
      <x:c r="BD190" s="10" t="n"/>
      <x:c r="BE190" s="9" t="n">
        <x:f>A190</x:f>
        <x:v>0.567</x:v>
      </x:c>
      <x:c r="BF190" s="9" t="n">
        <x:f>0</x:f>
        <x:v>0</x:v>
      </x:c>
      <x:c r="BG190" s="9"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9"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9"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9"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9" t="n">
        <x:f>ROUND(-1+189*2/240,3)</x:f>
        <x:v>0.575</x:v>
      </x:c>
      <x:c r="B191" s="9" t="n">
        <x:f>IF(OR(Inputs!$F$6=TRUE,Inputs!$F$6="TRUE",Inputs!$F$6=1),(Inputs!$H$6+Inputs!$L$6*(((Inputs!$I$6+(((A191)+1)/2)*(Inputs!$J$6-Inputs!$I$6)))/Inputs!$K$6)^2),NA())</x:f>
        <x:v>401.3225</x:v>
      </x:c>
      <x:c r="C191" s="9" t="n">
        <x:f>IF(OR(Inputs!$F$7=TRUE,Inputs!$F$7="TRUE",Inputs!$F$7=1),(Inputs!$H$7+Inputs!$L$7*(((Inputs!$I$7+(((A191)+1)/2)*(Inputs!$J$7-Inputs!$I$7)))/Inputs!$K$7)^2),NA())</x:f>
        <x:v>155.67812499999997</x:v>
      </x:c>
      <x:c r="D191" s="9" t="n">
        <x:f>IF(OR(Inputs!$F$8=TRUE,Inputs!$F$8="TRUE",Inputs!$F$8=1),(Inputs!$H$8+Inputs!$L$8*(((Inputs!$I$8+(((A191)+1)/2)*(Inputs!$J$8-Inputs!$I$8)))/Inputs!$K$8)^2),NA())</x:f>
        <x:v>354.05312499999997</x:v>
      </x:c>
      <x:c r="E191" s="9" t="n">
        <x:f>IF(OR(Inputs!$F$9=TRUE,Inputs!$F$9="TRUE",Inputs!$F$9=1),(Inputs!$H$9+Inputs!$L$9*(((Inputs!$I$9+(((A191)+1)/2)*(Inputs!$J$9-Inputs!$I$9)))/Inputs!$K$9)^2),NA())</x:f>
        <x:v>347.35937499999994</x:v>
      </x:c>
      <x:c r="F191" s="10" t="n"/>
      <x:c r="G191" s="9" t="n">
        <x:f>A191</x:f>
        <x:v>0.575</x:v>
      </x:c>
      <x:c r="H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10" t="n"/>
      <x:c r="M191" s="9" t="n">
        <x:f>A191</x:f>
        <x:v>0.575</x:v>
      </x:c>
      <x:c r="N191" s="9"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9"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9"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9"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10" t="n"/>
      <x:c r="S191" s="9" t="n">
        <x:f>A191</x:f>
        <x:v>0.575</x:v>
      </x:c>
      <x:c r="T191" s="9" t="n">
        <x:f>(Inputs!$I$6+(((A191)+1)/2)*(Inputs!$J$6-Inputs!$I$6))</x:f>
        <x:v>34.5</x:v>
      </x:c>
      <x:c r="U191" s="9" t="n">
        <x:f>(Inputs!$I$7+(((A191)+1)/2)*(Inputs!$J$7-Inputs!$I$7))</x:f>
        <x:v>230</x:v>
      </x:c>
      <x:c r="V191" s="9" t="n">
        <x:f>(Inputs!$I$8+(((A191)+1)/2)*(Inputs!$J$8-Inputs!$I$8))</x:f>
        <x:v>460</x:v>
      </x:c>
      <x:c r="W191" s="9" t="n">
        <x:f>(Inputs!$I$9+(((A191)+1)/2)*(Inputs!$J$9-Inputs!$I$9))</x:f>
        <x:v>460</x:v>
      </x:c>
      <x:c r="X191" s="10" t="n"/>
      <x:c r="Y191" s="9" t="n">
        <x:f>A191</x:f>
        <x:v>0.575</x:v>
      </x:c>
      <x:c r="Z191" s="9" t="n">
        <x:f>(Inputs!$H$6+Inputs!$L$6*(((Inputs!$I$6+(((A191)+1)/2)*(Inputs!$J$6-Inputs!$I$6)))/Inputs!$K$6)^2)</x:f>
        <x:v>401.3225</x:v>
      </x:c>
      <x:c r="AA191" s="9" t="n">
        <x:f>(Inputs!$H$7+Inputs!$L$7*(((Inputs!$I$7+(((A191)+1)/2)*(Inputs!$J$7-Inputs!$I$7)))/Inputs!$K$7)^2)</x:f>
        <x:v>155.67812499999997</x:v>
      </x:c>
      <x:c r="AB191" s="9" t="n">
        <x:f>(Inputs!$H$8+Inputs!$L$8*(((Inputs!$I$8+(((A191)+1)/2)*(Inputs!$J$8-Inputs!$I$8)))/Inputs!$K$8)^2)</x:f>
        <x:v>354.05312499999997</x:v>
      </x:c>
      <x:c r="AC191" s="9" t="n">
        <x:f>(Inputs!$H$9+Inputs!$L$9*(((Inputs!$I$9+(((A191)+1)/2)*(Inputs!$J$9-Inputs!$I$9)))/Inputs!$K$9)^2)</x:f>
        <x:v>347.35937499999994</x:v>
      </x:c>
      <x:c r="AD191" s="10" t="n"/>
      <x:c r="AE191" s="9" t="n">
        <x:f>A191</x:f>
        <x:v>0.575</x:v>
      </x:c>
      <x:c r="AF191" s="9"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9"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9"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9"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10" t="n"/>
      <x:c r="AK191" s="9" t="n">
        <x:f>A191</x:f>
        <x:v>0.575</x:v>
      </x:c>
      <x:c r="AL191" s="9"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9"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9"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9"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10" t="n"/>
      <x:c r="AQ191" s="9" t="n">
        <x:f>A191</x:f>
        <x:v>0.575</x:v>
      </x:c>
      <x:c r="AR191" s="9" t="n">
        <x:f>0</x:f>
        <x:v>0</x:v>
      </x:c>
      <x:c r="AS191" s="9"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x:f>
        <x:v>248.8414359782273</x:v>
      </x:c>
      <x:c r="AT191" s="9"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x:f>
        <x:v>126.80278001898783</x:v>
      </x:c>
      <x:c r="AU191" s="9"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x:f>
        <x:v>139.45599759727173</x:v>
      </x:c>
      <x:c r="AV191" s="9"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x:f>
        <x:v>139.45599759727173</x:v>
      </x:c>
      <x:c r="AW191" s="10" t="n"/>
      <x:c r="AX191" s="9" t="n">
        <x:f>A191</x:f>
        <x:v>0.575</x:v>
      </x:c>
      <x:c r="AY191" s="9" t="n">
        <x:f>0</x:f>
        <x:v>0</x:v>
      </x:c>
      <x:c r="AZ191" s="9" t="n">
        <x:f>IF(OR(Inputs!$F$6=TRUE,Inputs!$F$6="TRUE",Inputs!$F$6=1),(Inputs!$H$6+Inputs!$L$6*(((Inputs!$I$6+(((A191)+1)/2)*(Inputs!$J$6-Inputs!$I$6)))/Inputs!$K$6)^2),NA())</x:f>
        <x:v>401.3225</x:v>
      </x:c>
      <x:c r="BA191" s="9" t="n">
        <x:f>IF(OR(Inputs!$F$7=TRUE,Inputs!$F$7="TRUE",Inputs!$F$7=1),(Inputs!$H$7+Inputs!$L$7*(((Inputs!$I$7+(((A191)+1)/2)*(Inputs!$J$7-Inputs!$I$7)))/Inputs!$K$7)^2),NA())</x:f>
        <x:v>155.67812499999997</x:v>
      </x:c>
      <x:c r="BB191" s="9" t="n">
        <x:f>IF(OR(Inputs!$F$8=TRUE,Inputs!$F$8="TRUE",Inputs!$F$8=1),(Inputs!$H$8+Inputs!$L$8*(((Inputs!$I$8+(((A191)+1)/2)*(Inputs!$J$8-Inputs!$I$8)))/Inputs!$K$8)^2),NA())</x:f>
        <x:v>354.05312499999997</x:v>
      </x:c>
      <x:c r="BC191" s="9" t="n">
        <x:f>IF(OR(Inputs!$F$9=TRUE,Inputs!$F$9="TRUE",Inputs!$F$9=1),(Inputs!$H$9+Inputs!$L$9*(((Inputs!$I$9+(((A191)+1)/2)*(Inputs!$J$9-Inputs!$I$9)))/Inputs!$K$9)^2),NA())</x:f>
        <x:v>347.35937499999994</x:v>
      </x:c>
      <x:c r="BD191" s="10" t="n"/>
      <x:c r="BE191" s="9" t="n">
        <x:f>A191</x:f>
        <x:v>0.575</x:v>
      </x:c>
      <x:c r="BF191" s="9" t="n">
        <x:f>0</x:f>
        <x:v>0</x:v>
      </x:c>
      <x:c r="BG191" s="9"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9"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9"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9"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9" t="n">
        <x:f>ROUND(-1+190*2/240,3)</x:f>
        <x:v>0.583</x:v>
      </x:c>
      <x:c r="B192" s="9" t="n">
        <x:f>IF(OR(Inputs!$F$6=TRUE,Inputs!$F$6="TRUE",Inputs!$F$6=1),(Inputs!$H$6+Inputs!$L$6*(((Inputs!$I$6+(((A192)+1)/2)*(Inputs!$J$6-Inputs!$I$6)))/Inputs!$K$6)^2),NA())</x:f>
        <x:v>401.359556</x:v>
      </x:c>
      <x:c r="C192" s="9" t="n">
        <x:f>IF(OR(Inputs!$F$7=TRUE,Inputs!$F$7="TRUE",Inputs!$F$7=1),(Inputs!$H$7+Inputs!$L$7*(((Inputs!$I$7+(((A192)+1)/2)*(Inputs!$J$7-Inputs!$I$7)))/Inputs!$K$7)^2),NA())</x:f>
        <x:v>159.05948499999994</x:v>
      </x:c>
      <x:c r="D192" s="9" t="n">
        <x:f>IF(OR(Inputs!$F$8=TRUE,Inputs!$F$8="TRUE",Inputs!$F$8=1),(Inputs!$H$8+Inputs!$L$8*(((Inputs!$I$8+(((A192)+1)/2)*(Inputs!$J$8-Inputs!$I$8)))/Inputs!$K$8)^2),NA())</x:f>
        <x:v>362.99288499999983</x:v>
      </x:c>
      <x:c r="E192" s="9" t="n">
        <x:f>IF(OR(Inputs!$F$9=TRUE,Inputs!$F$9="TRUE",Inputs!$F$9=1),(Inputs!$H$9+Inputs!$L$9*(((Inputs!$I$9+(((A192)+1)/2)*(Inputs!$J$9-Inputs!$I$9)))/Inputs!$K$9)^2),NA())</x:f>
        <x:v>356.3917749999998</x:v>
      </x:c>
      <x:c r="F192" s="10" t="n"/>
      <x:c r="G192" s="9" t="n">
        <x:f>A192</x:f>
        <x:v>0.583</x:v>
      </x:c>
      <x:c r="H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10" t="n"/>
      <x:c r="M192" s="9" t="n">
        <x:f>A192</x:f>
        <x:v>0.583</x:v>
      </x:c>
      <x:c r="N192" s="9"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9"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9"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9"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10" t="n"/>
      <x:c r="S192" s="9" t="n">
        <x:f>A192</x:f>
        <x:v>0.583</x:v>
      </x:c>
      <x:c r="T192" s="9" t="n">
        <x:f>(Inputs!$I$6+(((A192)+1)/2)*(Inputs!$J$6-Inputs!$I$6))</x:f>
        <x:v>34.980000000000004</x:v>
      </x:c>
      <x:c r="U192" s="9" t="n">
        <x:f>(Inputs!$I$7+(((A192)+1)/2)*(Inputs!$J$7-Inputs!$I$7))</x:f>
        <x:v>233.19999999999993</x:v>
      </x:c>
      <x:c r="V192" s="9" t="n">
        <x:f>(Inputs!$I$8+(((A192)+1)/2)*(Inputs!$J$8-Inputs!$I$8))</x:f>
        <x:v>466.39999999999986</x:v>
      </x:c>
      <x:c r="W192" s="9" t="n">
        <x:f>(Inputs!$I$9+(((A192)+1)/2)*(Inputs!$J$9-Inputs!$I$9))</x:f>
        <x:v>466.39999999999986</x:v>
      </x:c>
      <x:c r="X192" s="10" t="n"/>
      <x:c r="Y192" s="9" t="n">
        <x:f>A192</x:f>
        <x:v>0.583</x:v>
      </x:c>
      <x:c r="Z192" s="9" t="n">
        <x:f>(Inputs!$H$6+Inputs!$L$6*(((Inputs!$I$6+(((A192)+1)/2)*(Inputs!$J$6-Inputs!$I$6)))/Inputs!$K$6)^2)</x:f>
        <x:v>401.359556</x:v>
      </x:c>
      <x:c r="AA192" s="9" t="n">
        <x:f>(Inputs!$H$7+Inputs!$L$7*(((Inputs!$I$7+(((A192)+1)/2)*(Inputs!$J$7-Inputs!$I$7)))/Inputs!$K$7)^2)</x:f>
        <x:v>159.05948499999994</x:v>
      </x:c>
      <x:c r="AB192" s="9" t="n">
        <x:f>(Inputs!$H$8+Inputs!$L$8*(((Inputs!$I$8+(((A192)+1)/2)*(Inputs!$J$8-Inputs!$I$8)))/Inputs!$K$8)^2)</x:f>
        <x:v>362.99288499999983</x:v>
      </x:c>
      <x:c r="AC192" s="9" t="n">
        <x:f>(Inputs!$H$9+Inputs!$L$9*(((Inputs!$I$9+(((A192)+1)/2)*(Inputs!$J$9-Inputs!$I$9)))/Inputs!$K$9)^2)</x:f>
        <x:v>356.3917749999998</x:v>
      </x:c>
      <x:c r="AD192" s="10" t="n"/>
      <x:c r="AE192" s="9" t="n">
        <x:f>A192</x:f>
        <x:v>0.583</x:v>
      </x:c>
      <x:c r="AF192" s="9"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9"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9"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9"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10" t="n"/>
      <x:c r="AK192" s="9" t="n">
        <x:f>A192</x:f>
        <x:v>0.583</x:v>
      </x:c>
      <x:c r="AL192" s="9"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9"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9"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9"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10" t="n"/>
      <x:c r="AQ192" s="9" t="n">
        <x:f>A192</x:f>
        <x:v>0.583</x:v>
      </x:c>
      <x:c r="AR192" s="9" t="n">
        <x:f>0</x:f>
        <x:v>0</x:v>
      </x:c>
      <x:c r="AS192" s="9"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x:f>
        <x:v>241.8095055557128</x:v>
      </x:c>
      <x:c r="AT192" s="9"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x:f>
        <x:v>165.87643471965114</x:v>
      </x:c>
      <x:c r="AU192" s="9"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x:f>
        <x:v>80.8835067903751</x:v>
      </x:c>
      <x:c r="AV192" s="9"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x:f>
        <x:v>80.8835067903751</x:v>
      </x:c>
      <x:c r="AW192" s="10" t="n"/>
      <x:c r="AX192" s="9" t="n">
        <x:f>A192</x:f>
        <x:v>0.583</x:v>
      </x:c>
      <x:c r="AY192" s="9" t="n">
        <x:f>0</x:f>
        <x:v>0</x:v>
      </x:c>
      <x:c r="AZ192" s="9" t="n">
        <x:f>IF(OR(Inputs!$F$6=TRUE,Inputs!$F$6="TRUE",Inputs!$F$6=1),(Inputs!$H$6+Inputs!$L$6*(((Inputs!$I$6+(((A192)+1)/2)*(Inputs!$J$6-Inputs!$I$6)))/Inputs!$K$6)^2),NA())</x:f>
        <x:v>401.359556</x:v>
      </x:c>
      <x:c r="BA192" s="9" t="n">
        <x:f>IF(OR(Inputs!$F$7=TRUE,Inputs!$F$7="TRUE",Inputs!$F$7=1),(Inputs!$H$7+Inputs!$L$7*(((Inputs!$I$7+(((A192)+1)/2)*(Inputs!$J$7-Inputs!$I$7)))/Inputs!$K$7)^2),NA())</x:f>
        <x:v>159.05948499999994</x:v>
      </x:c>
      <x:c r="BB192" s="9" t="n">
        <x:f>IF(OR(Inputs!$F$8=TRUE,Inputs!$F$8="TRUE",Inputs!$F$8=1),(Inputs!$H$8+Inputs!$L$8*(((Inputs!$I$8+(((A192)+1)/2)*(Inputs!$J$8-Inputs!$I$8)))/Inputs!$K$8)^2),NA())</x:f>
        <x:v>362.99288499999983</x:v>
      </x:c>
      <x:c r="BC192" s="9" t="n">
        <x:f>IF(OR(Inputs!$F$9=TRUE,Inputs!$F$9="TRUE",Inputs!$F$9=1),(Inputs!$H$9+Inputs!$L$9*(((Inputs!$I$9+(((A192)+1)/2)*(Inputs!$J$9-Inputs!$I$9)))/Inputs!$K$9)^2),NA())</x:f>
        <x:v>356.3917749999998</x:v>
      </x:c>
      <x:c r="BD192" s="10" t="n"/>
      <x:c r="BE192" s="9" t="n">
        <x:f>A192</x:f>
        <x:v>0.583</x:v>
      </x:c>
      <x:c r="BF192" s="9" t="n">
        <x:f>0</x:f>
        <x:v>0</x:v>
      </x:c>
      <x:c r="BG192" s="9"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9"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9"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9"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9" t="n">
        <x:f>ROUND(-1+191*2/240,3)</x:f>
        <x:v>0.592</x:v>
      </x:c>
      <x:c r="B193" s="9" t="n">
        <x:f>IF(OR(Inputs!$F$6=TRUE,Inputs!$F$6="TRUE",Inputs!$F$6=1),(Inputs!$H$6+Inputs!$L$6*(((Inputs!$I$6+(((A193)+1)/2)*(Inputs!$J$6-Inputs!$I$6)))/Inputs!$K$6)^2),NA())</x:f>
        <x:v>401.401856</x:v>
      </x:c>
      <x:c r="C193" s="9" t="n">
        <x:f>IF(OR(Inputs!$F$7=TRUE,Inputs!$F$7="TRUE",Inputs!$F$7=1),(Inputs!$H$7+Inputs!$L$7*(((Inputs!$I$7+(((A193)+1)/2)*(Inputs!$J$7-Inputs!$I$7)))/Inputs!$K$7)^2),NA())</x:f>
        <x:v>162.9193600000001</x:v>
      </x:c>
      <x:c r="D193" s="9" t="n">
        <x:f>IF(OR(Inputs!$F$8=TRUE,Inputs!$F$8="TRUE",Inputs!$F$8=1),(Inputs!$H$8+Inputs!$L$8*(((Inputs!$I$8+(((A193)+1)/2)*(Inputs!$J$8-Inputs!$I$8)))/Inputs!$K$8)^2),NA())</x:f>
        <x:v>373.1977600000002</x:v>
      </x:c>
      <x:c r="E193" s="9" t="n">
        <x:f>IF(OR(Inputs!$F$9=TRUE,Inputs!$F$9="TRUE",Inputs!$F$9=1),(Inputs!$H$9+Inputs!$L$9*(((Inputs!$I$9+(((A193)+1)/2)*(Inputs!$J$9-Inputs!$I$9)))/Inputs!$K$9)^2),NA())</x:f>
        <x:v>366.70240000000024</x:v>
      </x:c>
      <x:c r="F193" s="10" t="n"/>
      <x:c r="G193" s="9" t="n">
        <x:f>A193</x:f>
        <x:v>0.592</x:v>
      </x:c>
      <x:c r="H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10" t="n"/>
      <x:c r="M193" s="9" t="n">
        <x:f>A193</x:f>
        <x:v>0.592</x:v>
      </x:c>
      <x:c r="N193" s="9"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9"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9"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9"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10" t="n"/>
      <x:c r="S193" s="9" t="n">
        <x:f>A193</x:f>
        <x:v>0.592</x:v>
      </x:c>
      <x:c r="T193" s="9" t="n">
        <x:f>(Inputs!$I$6+(((A193)+1)/2)*(Inputs!$J$6-Inputs!$I$6))</x:f>
        <x:v>35.52000000000001</x:v>
      </x:c>
      <x:c r="U193" s="9" t="n">
        <x:f>(Inputs!$I$7+(((A193)+1)/2)*(Inputs!$J$7-Inputs!$I$7))</x:f>
        <x:v>236.80000000000007</x:v>
      </x:c>
      <x:c r="V193" s="9" t="n">
        <x:f>(Inputs!$I$8+(((A193)+1)/2)*(Inputs!$J$8-Inputs!$I$8))</x:f>
        <x:v>473.60000000000014</x:v>
      </x:c>
      <x:c r="W193" s="9" t="n">
        <x:f>(Inputs!$I$9+(((A193)+1)/2)*(Inputs!$J$9-Inputs!$I$9))</x:f>
        <x:v>473.60000000000014</x:v>
      </x:c>
      <x:c r="X193" s="10" t="n"/>
      <x:c r="Y193" s="9" t="n">
        <x:f>A193</x:f>
        <x:v>0.592</x:v>
      </x:c>
      <x:c r="Z193" s="9" t="n">
        <x:f>(Inputs!$H$6+Inputs!$L$6*(((Inputs!$I$6+(((A193)+1)/2)*(Inputs!$J$6-Inputs!$I$6)))/Inputs!$K$6)^2)</x:f>
        <x:v>401.401856</x:v>
      </x:c>
      <x:c r="AA193" s="9" t="n">
        <x:f>(Inputs!$H$7+Inputs!$L$7*(((Inputs!$I$7+(((A193)+1)/2)*(Inputs!$J$7-Inputs!$I$7)))/Inputs!$K$7)^2)</x:f>
        <x:v>162.9193600000001</x:v>
      </x:c>
      <x:c r="AB193" s="9" t="n">
        <x:f>(Inputs!$H$8+Inputs!$L$8*(((Inputs!$I$8+(((A193)+1)/2)*(Inputs!$J$8-Inputs!$I$8)))/Inputs!$K$8)^2)</x:f>
        <x:v>373.1977600000002</x:v>
      </x:c>
      <x:c r="AC193" s="9" t="n">
        <x:f>(Inputs!$H$9+Inputs!$L$9*(((Inputs!$I$9+(((A193)+1)/2)*(Inputs!$J$9-Inputs!$I$9)))/Inputs!$K$9)^2)</x:f>
        <x:v>366.70240000000024</x:v>
      </x:c>
      <x:c r="AD193" s="10" t="n"/>
      <x:c r="AE193" s="9" t="n">
        <x:f>A193</x:f>
        <x:v>0.592</x:v>
      </x:c>
      <x:c r="AF193" s="9"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9"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9"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9"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10" t="n"/>
      <x:c r="AK193" s="9" t="n">
        <x:f>A193</x:f>
        <x:v>0.592</x:v>
      </x:c>
      <x:c r="AL193" s="9"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9"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9"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9"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10" t="n"/>
      <x:c r="AQ193" s="9" t="n">
        <x:f>A193</x:f>
        <x:v>0.592</x:v>
      </x:c>
      <x:c r="AR193" s="9" t="n">
        <x:f>0</x:f>
        <x:v>0</x:v>
      </x:c>
      <x:c r="AS193" s="9"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x:f>
        <x:v>243.39165379312112</x:v>
      </x:c>
      <x:c r="AT193" s="9"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x:f>
        <x:v>197.41284277336752</x:v>
      </x:c>
      <x:c r="AU193" s="9"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x:f>
        <x:v>191.00762165969738</x:v>
      </x:c>
      <x:c r="AV193" s="9"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x:f>
        <x:v>191.00762165969738</x:v>
      </x:c>
      <x:c r="AW193" s="10" t="n"/>
      <x:c r="AX193" s="9" t="n">
        <x:f>A193</x:f>
        <x:v>0.592</x:v>
      </x:c>
      <x:c r="AY193" s="9" t="n">
        <x:f>0</x:f>
        <x:v>0</x:v>
      </x:c>
      <x:c r="AZ193" s="9" t="n">
        <x:f>IF(OR(Inputs!$F$6=TRUE,Inputs!$F$6="TRUE",Inputs!$F$6=1),(Inputs!$H$6+Inputs!$L$6*(((Inputs!$I$6+(((A193)+1)/2)*(Inputs!$J$6-Inputs!$I$6)))/Inputs!$K$6)^2),NA())</x:f>
        <x:v>401.401856</x:v>
      </x:c>
      <x:c r="BA193" s="9" t="n">
        <x:f>IF(OR(Inputs!$F$7=TRUE,Inputs!$F$7="TRUE",Inputs!$F$7=1),(Inputs!$H$7+Inputs!$L$7*(((Inputs!$I$7+(((A193)+1)/2)*(Inputs!$J$7-Inputs!$I$7)))/Inputs!$K$7)^2),NA())</x:f>
        <x:v>162.9193600000001</x:v>
      </x:c>
      <x:c r="BB193" s="9" t="n">
        <x:f>IF(OR(Inputs!$F$8=TRUE,Inputs!$F$8="TRUE",Inputs!$F$8=1),(Inputs!$H$8+Inputs!$L$8*(((Inputs!$I$8+(((A193)+1)/2)*(Inputs!$J$8-Inputs!$I$8)))/Inputs!$K$8)^2),NA())</x:f>
        <x:v>373.1977600000002</x:v>
      </x:c>
      <x:c r="BC193" s="9" t="n">
        <x:f>IF(OR(Inputs!$F$9=TRUE,Inputs!$F$9="TRUE",Inputs!$F$9=1),(Inputs!$H$9+Inputs!$L$9*(((Inputs!$I$9+(((A193)+1)/2)*(Inputs!$J$9-Inputs!$I$9)))/Inputs!$K$9)^2),NA())</x:f>
        <x:v>366.70240000000024</x:v>
      </x:c>
      <x:c r="BD193" s="10" t="n"/>
      <x:c r="BE193" s="9" t="n">
        <x:f>A193</x:f>
        <x:v>0.592</x:v>
      </x:c>
      <x:c r="BF193" s="9" t="n">
        <x:f>0</x:f>
        <x:v>0</x:v>
      </x:c>
      <x:c r="BG193" s="9"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9"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9"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9"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9" t="n">
        <x:f>ROUND(-1+192*2/240,3)</x:f>
        <x:v>0.6</x:v>
      </x:c>
      <x:c r="B194" s="9" t="n">
        <x:f>IF(OR(Inputs!$F$6=TRUE,Inputs!$F$6="TRUE",Inputs!$F$6=1),(Inputs!$H$6+Inputs!$L$6*(((Inputs!$I$6+(((A194)+1)/2)*(Inputs!$J$6-Inputs!$I$6)))/Inputs!$K$6)^2),NA())</x:f>
        <x:v>401.44</x:v>
      </x:c>
      <x:c r="C194" s="9" t="n">
        <x:f>IF(OR(Inputs!$F$7=TRUE,Inputs!$F$7="TRUE",Inputs!$F$7=1),(Inputs!$H$7+Inputs!$L$7*(((Inputs!$I$7+(((A194)+1)/2)*(Inputs!$J$7-Inputs!$I$7)))/Inputs!$K$7)^2),NA())</x:f>
        <x:v>166.4</x:v>
      </x:c>
      <x:c r="D194" s="9" t="n">
        <x:f>IF(OR(Inputs!$F$8=TRUE,Inputs!$F$8="TRUE",Inputs!$F$8=1),(Inputs!$H$8+Inputs!$L$8*(((Inputs!$I$8+(((A194)+1)/2)*(Inputs!$J$8-Inputs!$I$8)))/Inputs!$K$8)^2),NA())</x:f>
        <x:v>382.4</x:v>
      </x:c>
      <x:c r="E194" s="9" t="n">
        <x:f>IF(OR(Inputs!$F$9=TRUE,Inputs!$F$9="TRUE",Inputs!$F$9=1),(Inputs!$H$9+Inputs!$L$9*(((Inputs!$I$9+(((A194)+1)/2)*(Inputs!$J$9-Inputs!$I$9)))/Inputs!$K$9)^2),NA())</x:f>
        <x:v>376</x:v>
      </x:c>
      <x:c r="F194" s="10" t="n"/>
      <x:c r="G194" s="9" t="n">
        <x:f>A194</x:f>
        <x:v>0.6</x:v>
      </x:c>
      <x:c r="H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10" t="n"/>
      <x:c r="M194" s="9" t="n">
        <x:f>A194</x:f>
        <x:v>0.6</x:v>
      </x:c>
      <x:c r="N194" s="9"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9"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9"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9"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10" t="n"/>
      <x:c r="S194" s="9" t="n">
        <x:f>A194</x:f>
        <x:v>0.6</x:v>
      </x:c>
      <x:c r="T194" s="9" t="n">
        <x:f>(Inputs!$I$6+(((A194)+1)/2)*(Inputs!$J$6-Inputs!$I$6))</x:f>
        <x:v>36</x:v>
      </x:c>
      <x:c r="U194" s="9" t="n">
        <x:f>(Inputs!$I$7+(((A194)+1)/2)*(Inputs!$J$7-Inputs!$I$7))</x:f>
        <x:v>240</x:v>
      </x:c>
      <x:c r="V194" s="9" t="n">
        <x:f>(Inputs!$I$8+(((A194)+1)/2)*(Inputs!$J$8-Inputs!$I$8))</x:f>
        <x:v>480</x:v>
      </x:c>
      <x:c r="W194" s="9" t="n">
        <x:f>(Inputs!$I$9+(((A194)+1)/2)*(Inputs!$J$9-Inputs!$I$9))</x:f>
        <x:v>480</x:v>
      </x:c>
      <x:c r="X194" s="10" t="n"/>
      <x:c r="Y194" s="9" t="n">
        <x:f>A194</x:f>
        <x:v>0.6</x:v>
      </x:c>
      <x:c r="Z194" s="9" t="n">
        <x:f>(Inputs!$H$6+Inputs!$L$6*(((Inputs!$I$6+(((A194)+1)/2)*(Inputs!$J$6-Inputs!$I$6)))/Inputs!$K$6)^2)</x:f>
        <x:v>401.44</x:v>
      </x:c>
      <x:c r="AA194" s="9" t="n">
        <x:f>(Inputs!$H$7+Inputs!$L$7*(((Inputs!$I$7+(((A194)+1)/2)*(Inputs!$J$7-Inputs!$I$7)))/Inputs!$K$7)^2)</x:f>
        <x:v>166.4</x:v>
      </x:c>
      <x:c r="AB194" s="9" t="n">
        <x:f>(Inputs!$H$8+Inputs!$L$8*(((Inputs!$I$8+(((A194)+1)/2)*(Inputs!$J$8-Inputs!$I$8)))/Inputs!$K$8)^2)</x:f>
        <x:v>382.4</x:v>
      </x:c>
      <x:c r="AC194" s="9" t="n">
        <x:f>(Inputs!$H$9+Inputs!$L$9*(((Inputs!$I$9+(((A194)+1)/2)*(Inputs!$J$9-Inputs!$I$9)))/Inputs!$K$9)^2)</x:f>
        <x:v>376</x:v>
      </x:c>
      <x:c r="AD194" s="10" t="n"/>
      <x:c r="AE194" s="9" t="n">
        <x:f>A194</x:f>
        <x:v>0.6</x:v>
      </x:c>
      <x:c r="AF194" s="9"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9"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9"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9"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10" t="n"/>
      <x:c r="AK194" s="9" t="n">
        <x:f>A194</x:f>
        <x:v>0.6</x:v>
      </x:c>
      <x:c r="AL194" s="9"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9"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9"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9"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10" t="n"/>
      <x:c r="AQ194" s="9" t="n">
        <x:f>A194</x:f>
        <x:v>0.6</x:v>
      </x:c>
      <x:c r="AR194" s="9" t="n">
        <x:f>0</x:f>
        <x:v>0</x:v>
      </x:c>
      <x:c r="AS194" s="9"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x:f>
        <x:v>251.8480330414438</x:v>
      </x:c>
      <x:c r="AT194" s="9"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x:f>
        <x:v>170.07540465003</x:v>
      </x:c>
      <x:c r="AU194" s="9"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x:f>
        <x:v>66.49025407923727</x:v>
      </x:c>
      <x:c r="AV194" s="9"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x:f>
        <x:v>66.49025407923727</x:v>
      </x:c>
      <x:c r="AW194" s="10" t="n"/>
      <x:c r="AX194" s="9" t="n">
        <x:f>A194</x:f>
        <x:v>0.6</x:v>
      </x:c>
      <x:c r="AY194" s="9" t="n">
        <x:f>0</x:f>
        <x:v>0</x:v>
      </x:c>
      <x:c r="AZ194" s="9" t="n">
        <x:f>IF(OR(Inputs!$F$6=TRUE,Inputs!$F$6="TRUE",Inputs!$F$6=1),(Inputs!$H$6+Inputs!$L$6*(((Inputs!$I$6+(((A194)+1)/2)*(Inputs!$J$6-Inputs!$I$6)))/Inputs!$K$6)^2),NA())</x:f>
        <x:v>401.44</x:v>
      </x:c>
      <x:c r="BA194" s="9" t="n">
        <x:f>IF(OR(Inputs!$F$7=TRUE,Inputs!$F$7="TRUE",Inputs!$F$7=1),(Inputs!$H$7+Inputs!$L$7*(((Inputs!$I$7+(((A194)+1)/2)*(Inputs!$J$7-Inputs!$I$7)))/Inputs!$K$7)^2),NA())</x:f>
        <x:v>166.4</x:v>
      </x:c>
      <x:c r="BB194" s="9" t="n">
        <x:f>IF(OR(Inputs!$F$8=TRUE,Inputs!$F$8="TRUE",Inputs!$F$8=1),(Inputs!$H$8+Inputs!$L$8*(((Inputs!$I$8+(((A194)+1)/2)*(Inputs!$J$8-Inputs!$I$8)))/Inputs!$K$8)^2),NA())</x:f>
        <x:v>382.4</x:v>
      </x:c>
      <x:c r="BC194" s="9" t="n">
        <x:f>IF(OR(Inputs!$F$9=TRUE,Inputs!$F$9="TRUE",Inputs!$F$9=1),(Inputs!$H$9+Inputs!$L$9*(((Inputs!$I$9+(((A194)+1)/2)*(Inputs!$J$9-Inputs!$I$9)))/Inputs!$K$9)^2),NA())</x:f>
        <x:v>376</x:v>
      </x:c>
      <x:c r="BD194" s="10" t="n"/>
      <x:c r="BE194" s="9" t="n">
        <x:f>A194</x:f>
        <x:v>0.6</x:v>
      </x:c>
      <x:c r="BF194" s="9" t="n">
        <x:f>0</x:f>
        <x:v>0</x:v>
      </x:c>
      <x:c r="BG194" s="9"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9"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9"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9"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9" t="n">
        <x:f>ROUND(-1+193*2/240,3)</x:f>
        <x:v>0.608</x:v>
      </x:c>
      <x:c r="B195" s="9" t="n">
        <x:f>IF(OR(Inputs!$F$6=TRUE,Inputs!$F$6="TRUE",Inputs!$F$6=1),(Inputs!$H$6+Inputs!$L$6*(((Inputs!$I$6+(((A195)+1)/2)*(Inputs!$J$6-Inputs!$I$6)))/Inputs!$K$6)^2),NA())</x:f>
        <x:v>401.478656</x:v>
      </x:c>
      <x:c r="C195" s="9" t="n">
        <x:f>IF(OR(Inputs!$F$7=TRUE,Inputs!$F$7="TRUE",Inputs!$F$7=1),(Inputs!$H$7+Inputs!$L$7*(((Inputs!$I$7+(((A195)+1)/2)*(Inputs!$J$7-Inputs!$I$7)))/Inputs!$K$7)^2),NA())</x:f>
        <x:v>169.92736000000005</x:v>
      </x:c>
      <x:c r="D195" s="9" t="n">
        <x:f>IF(OR(Inputs!$F$8=TRUE,Inputs!$F$8="TRUE",Inputs!$F$8=1),(Inputs!$H$8+Inputs!$L$8*(((Inputs!$I$8+(((A195)+1)/2)*(Inputs!$J$8-Inputs!$I$8)))/Inputs!$K$8)^2),NA())</x:f>
        <x:v>391.7257600000001</x:v>
      </x:c>
      <x:c r="E195" s="9" t="n">
        <x:f>IF(OR(Inputs!$F$9=TRUE,Inputs!$F$9="TRUE",Inputs!$F$9=1),(Inputs!$H$9+Inputs!$L$9*(((Inputs!$I$9+(((A195)+1)/2)*(Inputs!$J$9-Inputs!$I$9)))/Inputs!$K$9)^2),NA())</x:f>
        <x:v>385.4224000000001</x:v>
      </x:c>
      <x:c r="F195" s="10" t="n"/>
      <x:c r="G195" s="9" t="n">
        <x:f>A195</x:f>
        <x:v>0.608</x:v>
      </x:c>
      <x:c r="H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10" t="n"/>
      <x:c r="M195" s="9" t="n">
        <x:f>A195</x:f>
        <x:v>0.608</x:v>
      </x:c>
      <x:c r="N195" s="9"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9"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9"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9"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10" t="n"/>
      <x:c r="S195" s="9" t="n">
        <x:f>A195</x:f>
        <x:v>0.608</x:v>
      </x:c>
      <x:c r="T195" s="9" t="n">
        <x:f>(Inputs!$I$6+(((A195)+1)/2)*(Inputs!$J$6-Inputs!$I$6))</x:f>
        <x:v>36.480000000000004</x:v>
      </x:c>
      <x:c r="U195" s="9" t="n">
        <x:f>(Inputs!$I$7+(((A195)+1)/2)*(Inputs!$J$7-Inputs!$I$7))</x:f>
        <x:v>243.20000000000005</x:v>
      </x:c>
      <x:c r="V195" s="9" t="n">
        <x:f>(Inputs!$I$8+(((A195)+1)/2)*(Inputs!$J$8-Inputs!$I$8))</x:f>
        <x:v>486.4000000000001</x:v>
      </x:c>
      <x:c r="W195" s="9" t="n">
        <x:f>(Inputs!$I$9+(((A195)+1)/2)*(Inputs!$J$9-Inputs!$I$9))</x:f>
        <x:v>486.4000000000001</x:v>
      </x:c>
      <x:c r="X195" s="10" t="n"/>
      <x:c r="Y195" s="9" t="n">
        <x:f>A195</x:f>
        <x:v>0.608</x:v>
      </x:c>
      <x:c r="Z195" s="9" t="n">
        <x:f>(Inputs!$H$6+Inputs!$L$6*(((Inputs!$I$6+(((A195)+1)/2)*(Inputs!$J$6-Inputs!$I$6)))/Inputs!$K$6)^2)</x:f>
        <x:v>401.478656</x:v>
      </x:c>
      <x:c r="AA195" s="9" t="n">
        <x:f>(Inputs!$H$7+Inputs!$L$7*(((Inputs!$I$7+(((A195)+1)/2)*(Inputs!$J$7-Inputs!$I$7)))/Inputs!$K$7)^2)</x:f>
        <x:v>169.92736000000005</x:v>
      </x:c>
      <x:c r="AB195" s="9" t="n">
        <x:f>(Inputs!$H$8+Inputs!$L$8*(((Inputs!$I$8+(((A195)+1)/2)*(Inputs!$J$8-Inputs!$I$8)))/Inputs!$K$8)^2)</x:f>
        <x:v>391.7257600000001</x:v>
      </x:c>
      <x:c r="AC195" s="9" t="n">
        <x:f>(Inputs!$H$9+Inputs!$L$9*(((Inputs!$I$9+(((A195)+1)/2)*(Inputs!$J$9-Inputs!$I$9)))/Inputs!$K$9)^2)</x:f>
        <x:v>385.4224000000001</x:v>
      </x:c>
      <x:c r="AD195" s="10" t="n"/>
      <x:c r="AE195" s="9" t="n">
        <x:f>A195</x:f>
        <x:v>0.608</x:v>
      </x:c>
      <x:c r="AF195" s="9"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9"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9"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9"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10" t="n"/>
      <x:c r="AK195" s="9" t="n">
        <x:f>A195</x:f>
        <x:v>0.608</x:v>
      </x:c>
      <x:c r="AL195" s="9"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9"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9"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9"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10" t="n"/>
      <x:c r="AQ195" s="9" t="n">
        <x:f>A195</x:f>
        <x:v>0.608</x:v>
      </x:c>
      <x:c r="AR195" s="9" t="n">
        <x:f>0</x:f>
        <x:v>0</x:v>
      </x:c>
      <x:c r="AS195" s="9"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x:f>
        <x:v>263.79859830925744</x:v>
      </x:c>
      <x:c r="AT195" s="9"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x:f>
        <x:v>158.89225646657422</x:v>
      </x:c>
      <x:c r="AU195" s="9"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x:f>
        <x:v>172.31839877924762</x:v>
      </x:c>
      <x:c r="AV195" s="9"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x:f>
        <x:v>172.31839877924762</x:v>
      </x:c>
      <x:c r="AW195" s="10" t="n"/>
      <x:c r="AX195" s="9" t="n">
        <x:f>A195</x:f>
        <x:v>0.608</x:v>
      </x:c>
      <x:c r="AY195" s="9" t="n">
        <x:f>0</x:f>
        <x:v>0</x:v>
      </x:c>
      <x:c r="AZ195" s="9" t="n">
        <x:f>IF(OR(Inputs!$F$6=TRUE,Inputs!$F$6="TRUE",Inputs!$F$6=1),(Inputs!$H$6+Inputs!$L$6*(((Inputs!$I$6+(((A195)+1)/2)*(Inputs!$J$6-Inputs!$I$6)))/Inputs!$K$6)^2),NA())</x:f>
        <x:v>401.478656</x:v>
      </x:c>
      <x:c r="BA195" s="9" t="n">
        <x:f>IF(OR(Inputs!$F$7=TRUE,Inputs!$F$7="TRUE",Inputs!$F$7=1),(Inputs!$H$7+Inputs!$L$7*(((Inputs!$I$7+(((A195)+1)/2)*(Inputs!$J$7-Inputs!$I$7)))/Inputs!$K$7)^2),NA())</x:f>
        <x:v>169.92736000000005</x:v>
      </x:c>
      <x:c r="BB195" s="9" t="n">
        <x:f>IF(OR(Inputs!$F$8=TRUE,Inputs!$F$8="TRUE",Inputs!$F$8=1),(Inputs!$H$8+Inputs!$L$8*(((Inputs!$I$8+(((A195)+1)/2)*(Inputs!$J$8-Inputs!$I$8)))/Inputs!$K$8)^2),NA())</x:f>
        <x:v>391.7257600000001</x:v>
      </x:c>
      <x:c r="BC195" s="9" t="n">
        <x:f>IF(OR(Inputs!$F$9=TRUE,Inputs!$F$9="TRUE",Inputs!$F$9=1),(Inputs!$H$9+Inputs!$L$9*(((Inputs!$I$9+(((A195)+1)/2)*(Inputs!$J$9-Inputs!$I$9)))/Inputs!$K$9)^2),NA())</x:f>
        <x:v>385.4224000000001</x:v>
      </x:c>
      <x:c r="BD195" s="10" t="n"/>
      <x:c r="BE195" s="9" t="n">
        <x:f>A195</x:f>
        <x:v>0.608</x:v>
      </x:c>
      <x:c r="BF195" s="9" t="n">
        <x:f>0</x:f>
        <x:v>0</x:v>
      </x:c>
      <x:c r="BG195" s="9"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9"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9"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9"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9" t="n">
        <x:f>ROUND(-1+194*2/240,3)</x:f>
        <x:v>0.617</x:v>
      </x:c>
      <x:c r="B196" s="9" t="n">
        <x:f>IF(OR(Inputs!$F$6=TRUE,Inputs!$F$6="TRUE",Inputs!$F$6=1),(Inputs!$H$6+Inputs!$L$6*(((Inputs!$I$6+(((A196)+1)/2)*(Inputs!$J$6-Inputs!$I$6)))/Inputs!$K$6)^2),NA())</x:f>
        <x:v>401.522756</x:v>
      </x:c>
      <x:c r="C196" s="9" t="n">
        <x:f>IF(OR(Inputs!$F$7=TRUE,Inputs!$F$7="TRUE",Inputs!$F$7=1),(Inputs!$H$7+Inputs!$L$7*(((Inputs!$I$7+(((A196)+1)/2)*(Inputs!$J$7-Inputs!$I$7)))/Inputs!$K$7)^2),NA())</x:f>
        <x:v>173.95148499999993</x:v>
      </x:c>
      <x:c r="D196" s="9" t="n">
        <x:f>IF(OR(Inputs!$F$8=TRUE,Inputs!$F$8="TRUE",Inputs!$F$8=1),(Inputs!$H$8+Inputs!$L$8*(((Inputs!$I$8+(((A196)+1)/2)*(Inputs!$J$8-Inputs!$I$8)))/Inputs!$K$8)^2),NA())</x:f>
        <x:v>402.36488499999984</x:v>
      </x:c>
      <x:c r="E196" s="9" t="n">
        <x:f>IF(OR(Inputs!$F$9=TRUE,Inputs!$F$9="TRUE",Inputs!$F$9=1),(Inputs!$H$9+Inputs!$L$9*(((Inputs!$I$9+(((A196)+1)/2)*(Inputs!$J$9-Inputs!$I$9)))/Inputs!$K$9)^2),NA())</x:f>
        <x:v>396.17177499999985</x:v>
      </x:c>
      <x:c r="F196" s="10" t="n"/>
      <x:c r="G196" s="9" t="n">
        <x:f>A196</x:f>
        <x:v>0.617</x:v>
      </x:c>
      <x:c r="H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10" t="n"/>
      <x:c r="M196" s="9" t="n">
        <x:f>A196</x:f>
        <x:v>0.617</x:v>
      </x:c>
      <x:c r="N196" s="9"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9"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9"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9"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10" t="n"/>
      <x:c r="S196" s="9" t="n">
        <x:f>A196</x:f>
        <x:v>0.617</x:v>
      </x:c>
      <x:c r="T196" s="9" t="n">
        <x:f>(Inputs!$I$6+(((A196)+1)/2)*(Inputs!$J$6-Inputs!$I$6))</x:f>
        <x:v>37.019999999999996</x:v>
      </x:c>
      <x:c r="U196" s="9" t="n">
        <x:f>(Inputs!$I$7+(((A196)+1)/2)*(Inputs!$J$7-Inputs!$I$7))</x:f>
        <x:v>246.79999999999995</x:v>
      </x:c>
      <x:c r="V196" s="9" t="n">
        <x:f>(Inputs!$I$8+(((A196)+1)/2)*(Inputs!$J$8-Inputs!$I$8))</x:f>
        <x:v>493.5999999999999</x:v>
      </x:c>
      <x:c r="W196" s="9" t="n">
        <x:f>(Inputs!$I$9+(((A196)+1)/2)*(Inputs!$J$9-Inputs!$I$9))</x:f>
        <x:v>493.5999999999999</x:v>
      </x:c>
      <x:c r="X196" s="10" t="n"/>
      <x:c r="Y196" s="9" t="n">
        <x:f>A196</x:f>
        <x:v>0.617</x:v>
      </x:c>
      <x:c r="Z196" s="9" t="n">
        <x:f>(Inputs!$H$6+Inputs!$L$6*(((Inputs!$I$6+(((A196)+1)/2)*(Inputs!$J$6-Inputs!$I$6)))/Inputs!$K$6)^2)</x:f>
        <x:v>401.522756</x:v>
      </x:c>
      <x:c r="AA196" s="9" t="n">
        <x:f>(Inputs!$H$7+Inputs!$L$7*(((Inputs!$I$7+(((A196)+1)/2)*(Inputs!$J$7-Inputs!$I$7)))/Inputs!$K$7)^2)</x:f>
        <x:v>173.95148499999993</x:v>
      </x:c>
      <x:c r="AB196" s="9" t="n">
        <x:f>(Inputs!$H$8+Inputs!$L$8*(((Inputs!$I$8+(((A196)+1)/2)*(Inputs!$J$8-Inputs!$I$8)))/Inputs!$K$8)^2)</x:f>
        <x:v>402.36488499999984</x:v>
      </x:c>
      <x:c r="AC196" s="9" t="n">
        <x:f>(Inputs!$H$9+Inputs!$L$9*(((Inputs!$I$9+(((A196)+1)/2)*(Inputs!$J$9-Inputs!$I$9)))/Inputs!$K$9)^2)</x:f>
        <x:v>396.17177499999985</x:v>
      </x:c>
      <x:c r="AD196" s="10" t="n"/>
      <x:c r="AE196" s="9" t="n">
        <x:f>A196</x:f>
        <x:v>0.617</x:v>
      </x:c>
      <x:c r="AF196" s="9"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9"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9"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9"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10" t="n"/>
      <x:c r="AK196" s="9" t="n">
        <x:f>A196</x:f>
        <x:v>0.617</x:v>
      </x:c>
      <x:c r="AL196" s="9"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9"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9"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9"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10" t="n"/>
      <x:c r="AQ196" s="9" t="n">
        <x:f>A196</x:f>
        <x:v>0.617</x:v>
      </x:c>
      <x:c r="AR196" s="9" t="n">
        <x:f>0</x:f>
        <x:v>0</x:v>
      </x:c>
      <x:c r="AS196" s="9"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x:f>
        <x:v>291.9604238286151</x:v>
      </x:c>
      <x:c r="AT196" s="9"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x:f>
        <x:v>98.4447031183825</x:v>
      </x:c>
      <x:c r="AU196" s="9"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x:f>
        <x:v>173.92601532672532</x:v>
      </x:c>
      <x:c r="AV196" s="9"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x:f>
        <x:v>173.92601532672532</x:v>
      </x:c>
      <x:c r="AW196" s="10" t="n"/>
      <x:c r="AX196" s="9" t="n">
        <x:f>A196</x:f>
        <x:v>0.617</x:v>
      </x:c>
      <x:c r="AY196" s="9" t="n">
        <x:f>0</x:f>
        <x:v>0</x:v>
      </x:c>
      <x:c r="AZ196" s="9" t="n">
        <x:f>IF(OR(Inputs!$F$6=TRUE,Inputs!$F$6="TRUE",Inputs!$F$6=1),(Inputs!$H$6+Inputs!$L$6*(((Inputs!$I$6+(((A196)+1)/2)*(Inputs!$J$6-Inputs!$I$6)))/Inputs!$K$6)^2),NA())</x:f>
        <x:v>401.522756</x:v>
      </x:c>
      <x:c r="BA196" s="9" t="n">
        <x:f>IF(OR(Inputs!$F$7=TRUE,Inputs!$F$7="TRUE",Inputs!$F$7=1),(Inputs!$H$7+Inputs!$L$7*(((Inputs!$I$7+(((A196)+1)/2)*(Inputs!$J$7-Inputs!$I$7)))/Inputs!$K$7)^2),NA())</x:f>
        <x:v>173.95148499999993</x:v>
      </x:c>
      <x:c r="BB196" s="9" t="n">
        <x:f>IF(OR(Inputs!$F$8=TRUE,Inputs!$F$8="TRUE",Inputs!$F$8=1),(Inputs!$H$8+Inputs!$L$8*(((Inputs!$I$8+(((A196)+1)/2)*(Inputs!$J$8-Inputs!$I$8)))/Inputs!$K$8)^2),NA())</x:f>
        <x:v>402.36488499999984</x:v>
      </x:c>
      <x:c r="BC196" s="9" t="n">
        <x:f>IF(OR(Inputs!$F$9=TRUE,Inputs!$F$9="TRUE",Inputs!$F$9=1),(Inputs!$H$9+Inputs!$L$9*(((Inputs!$I$9+(((A196)+1)/2)*(Inputs!$J$9-Inputs!$I$9)))/Inputs!$K$9)^2),NA())</x:f>
        <x:v>396.17177499999985</x:v>
      </x:c>
      <x:c r="BD196" s="10" t="n"/>
      <x:c r="BE196" s="9" t="n">
        <x:f>A196</x:f>
        <x:v>0.617</x:v>
      </x:c>
      <x:c r="BF196" s="9" t="n">
        <x:f>0</x:f>
        <x:v>0</x:v>
      </x:c>
      <x:c r="BG196" s="9"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9"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9"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9"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9" t="n">
        <x:f>ROUND(-1+195*2/240,3)</x:f>
        <x:v>0.625</x:v>
      </x:c>
      <x:c r="B197" s="9" t="n">
        <x:f>IF(OR(Inputs!$F$6=TRUE,Inputs!$F$6="TRUE",Inputs!$F$6=1),(Inputs!$H$6+Inputs!$L$6*(((Inputs!$I$6+(((A197)+1)/2)*(Inputs!$J$6-Inputs!$I$6)))/Inputs!$K$6)^2),NA())</x:f>
        <x:v>401.5625</x:v>
      </x:c>
      <x:c r="C197" s="9" t="n">
        <x:f>IF(OR(Inputs!$F$7=TRUE,Inputs!$F$7="TRUE",Inputs!$F$7=1),(Inputs!$H$7+Inputs!$L$7*(((Inputs!$I$7+(((A197)+1)/2)*(Inputs!$J$7-Inputs!$I$7)))/Inputs!$K$7)^2),NA())</x:f>
        <x:v>177.578125</x:v>
      </x:c>
      <x:c r="D197" s="9" t="n">
        <x:f>IF(OR(Inputs!$F$8=TRUE,Inputs!$F$8="TRUE",Inputs!$F$8=1),(Inputs!$H$8+Inputs!$L$8*(((Inputs!$I$8+(((A197)+1)/2)*(Inputs!$J$8-Inputs!$I$8)))/Inputs!$K$8)^2),NA())</x:f>
        <x:v>411.953125</x:v>
      </x:c>
      <x:c r="E197" s="9" t="n">
        <x:f>IF(OR(Inputs!$F$9=TRUE,Inputs!$F$9="TRUE",Inputs!$F$9=1),(Inputs!$H$9+Inputs!$L$9*(((Inputs!$I$9+(((A197)+1)/2)*(Inputs!$J$9-Inputs!$I$9)))/Inputs!$K$9)^2),NA())</x:f>
        <x:v>405.859375</x:v>
      </x:c>
      <x:c r="F197" s="10" t="n"/>
      <x:c r="G197" s="9" t="n">
        <x:f>A197</x:f>
        <x:v>0.625</x:v>
      </x:c>
      <x:c r="H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10" t="n"/>
      <x:c r="M197" s="9" t="n">
        <x:f>A197</x:f>
        <x:v>0.625</x:v>
      </x:c>
      <x:c r="N197" s="9"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9"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9"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9"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10" t="n"/>
      <x:c r="S197" s="9" t="n">
        <x:f>A197</x:f>
        <x:v>0.625</x:v>
      </x:c>
      <x:c r="T197" s="9" t="n">
        <x:f>(Inputs!$I$6+(((A197)+1)/2)*(Inputs!$J$6-Inputs!$I$6))</x:f>
        <x:v>37.5</x:v>
      </x:c>
      <x:c r="U197" s="9" t="n">
        <x:f>(Inputs!$I$7+(((A197)+1)/2)*(Inputs!$J$7-Inputs!$I$7))</x:f>
        <x:v>250</x:v>
      </x:c>
      <x:c r="V197" s="9" t="n">
        <x:f>(Inputs!$I$8+(((A197)+1)/2)*(Inputs!$J$8-Inputs!$I$8))</x:f>
        <x:v>500</x:v>
      </x:c>
      <x:c r="W197" s="9" t="n">
        <x:f>(Inputs!$I$9+(((A197)+1)/2)*(Inputs!$J$9-Inputs!$I$9))</x:f>
        <x:v>500</x:v>
      </x:c>
      <x:c r="X197" s="10" t="n"/>
      <x:c r="Y197" s="9" t="n">
        <x:f>A197</x:f>
        <x:v>0.625</x:v>
      </x:c>
      <x:c r="Z197" s="9" t="n">
        <x:f>(Inputs!$H$6+Inputs!$L$6*(((Inputs!$I$6+(((A197)+1)/2)*(Inputs!$J$6-Inputs!$I$6)))/Inputs!$K$6)^2)</x:f>
        <x:v>401.5625</x:v>
      </x:c>
      <x:c r="AA197" s="9" t="n">
        <x:f>(Inputs!$H$7+Inputs!$L$7*(((Inputs!$I$7+(((A197)+1)/2)*(Inputs!$J$7-Inputs!$I$7)))/Inputs!$K$7)^2)</x:f>
        <x:v>177.578125</x:v>
      </x:c>
      <x:c r="AB197" s="9" t="n">
        <x:f>(Inputs!$H$8+Inputs!$L$8*(((Inputs!$I$8+(((A197)+1)/2)*(Inputs!$J$8-Inputs!$I$8)))/Inputs!$K$8)^2)</x:f>
        <x:v>411.953125</x:v>
      </x:c>
      <x:c r="AC197" s="9" t="n">
        <x:f>(Inputs!$H$9+Inputs!$L$9*(((Inputs!$I$9+(((A197)+1)/2)*(Inputs!$J$9-Inputs!$I$9)))/Inputs!$K$9)^2)</x:f>
        <x:v>405.859375</x:v>
      </x:c>
      <x:c r="AD197" s="10" t="n"/>
      <x:c r="AE197" s="9" t="n">
        <x:f>A197</x:f>
        <x:v>0.625</x:v>
      </x:c>
      <x:c r="AF197" s="9"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9"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9"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9"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10" t="n"/>
      <x:c r="AK197" s="9" t="n">
        <x:f>A197</x:f>
        <x:v>0.625</x:v>
      </x:c>
      <x:c r="AL197" s="9"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9"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9"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9"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10" t="n"/>
      <x:c r="AQ197" s="9" t="n">
        <x:f>A197</x:f>
        <x:v>0.625</x:v>
      </x:c>
      <x:c r="AR197" s="9" t="n">
        <x:f>0</x:f>
        <x:v>0</x:v>
      </x:c>
      <x:c r="AS197" s="9"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x:f>
        <x:v>280.6842863692354</x:v>
      </x:c>
      <x:c r="AT197" s="9"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x:f>
        <x:v>92.40373147606812</x:v>
      </x:c>
      <x:c r="AU197" s="9"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x:f>
        <x:v>107.71497999857905</x:v>
      </x:c>
      <x:c r="AV197" s="9"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x:f>
        <x:v>107.71497999857905</x:v>
      </x:c>
      <x:c r="AW197" s="10" t="n"/>
      <x:c r="AX197" s="9" t="n">
        <x:f>A197</x:f>
        <x:v>0.625</x:v>
      </x:c>
      <x:c r="AY197" s="9" t="n">
        <x:f>0</x:f>
        <x:v>0</x:v>
      </x:c>
      <x:c r="AZ197" s="9" t="n">
        <x:f>IF(OR(Inputs!$F$6=TRUE,Inputs!$F$6="TRUE",Inputs!$F$6=1),(Inputs!$H$6+Inputs!$L$6*(((Inputs!$I$6+(((A197)+1)/2)*(Inputs!$J$6-Inputs!$I$6)))/Inputs!$K$6)^2),NA())</x:f>
        <x:v>401.5625</x:v>
      </x:c>
      <x:c r="BA197" s="9" t="n">
        <x:f>IF(OR(Inputs!$F$7=TRUE,Inputs!$F$7="TRUE",Inputs!$F$7=1),(Inputs!$H$7+Inputs!$L$7*(((Inputs!$I$7+(((A197)+1)/2)*(Inputs!$J$7-Inputs!$I$7)))/Inputs!$K$7)^2),NA())</x:f>
        <x:v>177.578125</x:v>
      </x:c>
      <x:c r="BB197" s="9" t="n">
        <x:f>IF(OR(Inputs!$F$8=TRUE,Inputs!$F$8="TRUE",Inputs!$F$8=1),(Inputs!$H$8+Inputs!$L$8*(((Inputs!$I$8+(((A197)+1)/2)*(Inputs!$J$8-Inputs!$I$8)))/Inputs!$K$8)^2),NA())</x:f>
        <x:v>411.953125</x:v>
      </x:c>
      <x:c r="BC197" s="9" t="n">
        <x:f>IF(OR(Inputs!$F$9=TRUE,Inputs!$F$9="TRUE",Inputs!$F$9=1),(Inputs!$H$9+Inputs!$L$9*(((Inputs!$I$9+(((A197)+1)/2)*(Inputs!$J$9-Inputs!$I$9)))/Inputs!$K$9)^2),NA())</x:f>
        <x:v>405.859375</x:v>
      </x:c>
      <x:c r="BD197" s="10" t="n"/>
      <x:c r="BE197" s="9" t="n">
        <x:f>A197</x:f>
        <x:v>0.625</x:v>
      </x:c>
      <x:c r="BF197" s="9" t="n">
        <x:f>0</x:f>
        <x:v>0</x:v>
      </x:c>
      <x:c r="BG197" s="9"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9"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9"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9"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9" t="n">
        <x:f>ROUND(-1+196*2/240,3)</x:f>
        <x:v>0.633</x:v>
      </x:c>
      <x:c r="B198" s="9" t="n">
        <x:f>IF(OR(Inputs!$F$6=TRUE,Inputs!$F$6="TRUE",Inputs!$F$6=1),(Inputs!$H$6+Inputs!$L$6*(((Inputs!$I$6+(((A198)+1)/2)*(Inputs!$J$6-Inputs!$I$6)))/Inputs!$K$6)^2),NA())</x:f>
        <x:v>401.602756</x:v>
      </x:c>
      <x:c r="C198" s="9" t="n">
        <x:f>IF(OR(Inputs!$F$7=TRUE,Inputs!$F$7="TRUE",Inputs!$F$7=1),(Inputs!$H$7+Inputs!$L$7*(((Inputs!$I$7+(((A198)+1)/2)*(Inputs!$J$7-Inputs!$I$7)))/Inputs!$K$7)^2),NA())</x:f>
        <x:v>181.25148500000006</x:v>
      </x:c>
      <x:c r="D198" s="9" t="n">
        <x:f>IF(OR(Inputs!$F$8=TRUE,Inputs!$F$8="TRUE",Inputs!$F$8=1),(Inputs!$H$8+Inputs!$L$8*(((Inputs!$I$8+(((A198)+1)/2)*(Inputs!$J$8-Inputs!$I$8)))/Inputs!$K$8)^2),NA())</x:f>
        <x:v>421.66488500000014</x:v>
      </x:c>
      <x:c r="E198" s="9" t="n">
        <x:f>IF(OR(Inputs!$F$9=TRUE,Inputs!$F$9="TRUE",Inputs!$F$9=1),(Inputs!$H$9+Inputs!$L$9*(((Inputs!$I$9+(((A198)+1)/2)*(Inputs!$J$9-Inputs!$I$9)))/Inputs!$K$9)^2),NA())</x:f>
        <x:v>415.67177500000014</x:v>
      </x:c>
      <x:c r="F198" s="10" t="n"/>
      <x:c r="G198" s="9" t="n">
        <x:f>A198</x:f>
        <x:v>0.633</x:v>
      </x:c>
      <x:c r="H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10" t="n"/>
      <x:c r="M198" s="9" t="n">
        <x:f>A198</x:f>
        <x:v>0.633</x:v>
      </x:c>
      <x:c r="N198" s="9"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9"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9"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9"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10" t="n"/>
      <x:c r="S198" s="9" t="n">
        <x:f>A198</x:f>
        <x:v>0.633</x:v>
      </x:c>
      <x:c r="T198" s="9" t="n">
        <x:f>(Inputs!$I$6+(((A198)+1)/2)*(Inputs!$J$6-Inputs!$I$6))</x:f>
        <x:v>37.980000000000004</x:v>
      </x:c>
      <x:c r="U198" s="9" t="n">
        <x:f>(Inputs!$I$7+(((A198)+1)/2)*(Inputs!$J$7-Inputs!$I$7))</x:f>
        <x:v>253.20000000000005</x:v>
      </x:c>
      <x:c r="V198" s="9" t="n">
        <x:f>(Inputs!$I$8+(((A198)+1)/2)*(Inputs!$J$8-Inputs!$I$8))</x:f>
        <x:v>506.4000000000001</x:v>
      </x:c>
      <x:c r="W198" s="9" t="n">
        <x:f>(Inputs!$I$9+(((A198)+1)/2)*(Inputs!$J$9-Inputs!$I$9))</x:f>
        <x:v>506.4000000000001</x:v>
      </x:c>
      <x:c r="X198" s="10" t="n"/>
      <x:c r="Y198" s="9" t="n">
        <x:f>A198</x:f>
        <x:v>0.633</x:v>
      </x:c>
      <x:c r="Z198" s="9" t="n">
        <x:f>(Inputs!$H$6+Inputs!$L$6*(((Inputs!$I$6+(((A198)+1)/2)*(Inputs!$J$6-Inputs!$I$6)))/Inputs!$K$6)^2)</x:f>
        <x:v>401.602756</x:v>
      </x:c>
      <x:c r="AA198" s="9" t="n">
        <x:f>(Inputs!$H$7+Inputs!$L$7*(((Inputs!$I$7+(((A198)+1)/2)*(Inputs!$J$7-Inputs!$I$7)))/Inputs!$K$7)^2)</x:f>
        <x:v>181.25148500000006</x:v>
      </x:c>
      <x:c r="AB198" s="9" t="n">
        <x:f>(Inputs!$H$8+Inputs!$L$8*(((Inputs!$I$8+(((A198)+1)/2)*(Inputs!$J$8-Inputs!$I$8)))/Inputs!$K$8)^2)</x:f>
        <x:v>421.66488500000014</x:v>
      </x:c>
      <x:c r="AC198" s="9" t="n">
        <x:f>(Inputs!$H$9+Inputs!$L$9*(((Inputs!$I$9+(((A198)+1)/2)*(Inputs!$J$9-Inputs!$I$9)))/Inputs!$K$9)^2)</x:f>
        <x:v>415.67177500000014</x:v>
      </x:c>
      <x:c r="AD198" s="10" t="n"/>
      <x:c r="AE198" s="9" t="n">
        <x:f>A198</x:f>
        <x:v>0.633</x:v>
      </x:c>
      <x:c r="AF198" s="9"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9"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9"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9"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10" t="n"/>
      <x:c r="AK198" s="9" t="n">
        <x:f>A198</x:f>
        <x:v>0.633</x:v>
      </x:c>
      <x:c r="AL198" s="9"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9"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9"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9"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10" t="n"/>
      <x:c r="AQ198" s="9" t="n">
        <x:f>A198</x:f>
        <x:v>0.633</x:v>
      </x:c>
      <x:c r="AR198" s="9" t="n">
        <x:f>0</x:f>
        <x:v>0</x:v>
      </x:c>
      <x:c r="AS198" s="9"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x:f>
        <x:v>297.2895650251546</x:v>
      </x:c>
      <x:c r="AT198" s="9"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x:f>
        <x:v>151.8367233752328</x:v>
      </x:c>
      <x:c r="AU198" s="9"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x:f>
        <x:v>230.8279849864777</x:v>
      </x:c>
      <x:c r="AV198" s="9"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x:f>
        <x:v>230.8279849864777</x:v>
      </x:c>
      <x:c r="AW198" s="10" t="n"/>
      <x:c r="AX198" s="9" t="n">
        <x:f>A198</x:f>
        <x:v>0.633</x:v>
      </x:c>
      <x:c r="AY198" s="9" t="n">
        <x:f>0</x:f>
        <x:v>0</x:v>
      </x:c>
      <x:c r="AZ198" s="9" t="n">
        <x:f>IF(OR(Inputs!$F$6=TRUE,Inputs!$F$6="TRUE",Inputs!$F$6=1),(Inputs!$H$6+Inputs!$L$6*(((Inputs!$I$6+(((A198)+1)/2)*(Inputs!$J$6-Inputs!$I$6)))/Inputs!$K$6)^2),NA())</x:f>
        <x:v>401.602756</x:v>
      </x:c>
      <x:c r="BA198" s="9" t="n">
        <x:f>IF(OR(Inputs!$F$7=TRUE,Inputs!$F$7="TRUE",Inputs!$F$7=1),(Inputs!$H$7+Inputs!$L$7*(((Inputs!$I$7+(((A198)+1)/2)*(Inputs!$J$7-Inputs!$I$7)))/Inputs!$K$7)^2),NA())</x:f>
        <x:v>181.25148500000006</x:v>
      </x:c>
      <x:c r="BB198" s="9" t="n">
        <x:f>IF(OR(Inputs!$F$8=TRUE,Inputs!$F$8="TRUE",Inputs!$F$8=1),(Inputs!$H$8+Inputs!$L$8*(((Inputs!$I$8+(((A198)+1)/2)*(Inputs!$J$8-Inputs!$I$8)))/Inputs!$K$8)^2),NA())</x:f>
        <x:v>421.66488500000014</x:v>
      </x:c>
      <x:c r="BC198" s="9" t="n">
        <x:f>IF(OR(Inputs!$F$9=TRUE,Inputs!$F$9="TRUE",Inputs!$F$9=1),(Inputs!$H$9+Inputs!$L$9*(((Inputs!$I$9+(((A198)+1)/2)*(Inputs!$J$9-Inputs!$I$9)))/Inputs!$K$9)^2),NA())</x:f>
        <x:v>415.67177500000014</x:v>
      </x:c>
      <x:c r="BD198" s="10" t="n"/>
      <x:c r="BE198" s="9" t="n">
        <x:f>A198</x:f>
        <x:v>0.633</x:v>
      </x:c>
      <x:c r="BF198" s="9" t="n">
        <x:f>0</x:f>
        <x:v>0</x:v>
      </x:c>
      <x:c r="BG198" s="9"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9"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9"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9"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9" t="n">
        <x:f>ROUND(-1+197*2/240,3)</x:f>
        <x:v>0.642</x:v>
      </x:c>
      <x:c r="B199" s="9" t="n">
        <x:f>IF(OR(Inputs!$F$6=TRUE,Inputs!$F$6="TRUE",Inputs!$F$6=1),(Inputs!$H$6+Inputs!$L$6*(((Inputs!$I$6+(((A199)+1)/2)*(Inputs!$J$6-Inputs!$I$6)))/Inputs!$K$6)^2),NA())</x:f>
        <x:v>401.648656</x:v>
      </x:c>
      <x:c r="C199" s="9" t="n">
        <x:f>IF(OR(Inputs!$F$7=TRUE,Inputs!$F$7="TRUE",Inputs!$F$7=1),(Inputs!$H$7+Inputs!$L$7*(((Inputs!$I$7+(((A199)+1)/2)*(Inputs!$J$7-Inputs!$I$7)))/Inputs!$K$7)^2),NA())</x:f>
        <x:v>185.43985999999995</x:v>
      </x:c>
      <x:c r="D199" s="9" t="n">
        <x:f>IF(OR(Inputs!$F$8=TRUE,Inputs!$F$8="TRUE",Inputs!$F$8=1),(Inputs!$H$8+Inputs!$L$8*(((Inputs!$I$8+(((A199)+1)/2)*(Inputs!$J$8-Inputs!$I$8)))/Inputs!$K$8)^2),NA())</x:f>
        <x:v>432.73825999999985</x:v>
      </x:c>
      <x:c r="E199" s="9" t="n">
        <x:f>IF(OR(Inputs!$F$9=TRUE,Inputs!$F$9="TRUE",Inputs!$F$9=1),(Inputs!$H$9+Inputs!$L$9*(((Inputs!$I$9+(((A199)+1)/2)*(Inputs!$J$9-Inputs!$I$9)))/Inputs!$K$9)^2),NA())</x:f>
        <x:v>426.85989999999987</x:v>
      </x:c>
      <x:c r="F199" s="10" t="n"/>
      <x:c r="G199" s="9" t="n">
        <x:f>A199</x:f>
        <x:v>0.642</x:v>
      </x:c>
      <x:c r="H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10" t="n"/>
      <x:c r="M199" s="9" t="n">
        <x:f>A199</x:f>
        <x:v>0.642</x:v>
      </x:c>
      <x:c r="N199" s="9"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9"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9"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9"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10" t="n"/>
      <x:c r="S199" s="9" t="n">
        <x:f>A199</x:f>
        <x:v>0.642</x:v>
      </x:c>
      <x:c r="T199" s="9" t="n">
        <x:f>(Inputs!$I$6+(((A199)+1)/2)*(Inputs!$J$6-Inputs!$I$6))</x:f>
        <x:v>38.519999999999996</x:v>
      </x:c>
      <x:c r="U199" s="9" t="n">
        <x:f>(Inputs!$I$7+(((A199)+1)/2)*(Inputs!$J$7-Inputs!$I$7))</x:f>
        <x:v>256.79999999999995</x:v>
      </x:c>
      <x:c r="V199" s="9" t="n">
        <x:f>(Inputs!$I$8+(((A199)+1)/2)*(Inputs!$J$8-Inputs!$I$8))</x:f>
        <x:v>513.5999999999999</x:v>
      </x:c>
      <x:c r="W199" s="9" t="n">
        <x:f>(Inputs!$I$9+(((A199)+1)/2)*(Inputs!$J$9-Inputs!$I$9))</x:f>
        <x:v>513.5999999999999</x:v>
      </x:c>
      <x:c r="X199" s="10" t="n"/>
      <x:c r="Y199" s="9" t="n">
        <x:f>A199</x:f>
        <x:v>0.642</x:v>
      </x:c>
      <x:c r="Z199" s="9" t="n">
        <x:f>(Inputs!$H$6+Inputs!$L$6*(((Inputs!$I$6+(((A199)+1)/2)*(Inputs!$J$6-Inputs!$I$6)))/Inputs!$K$6)^2)</x:f>
        <x:v>401.648656</x:v>
      </x:c>
      <x:c r="AA199" s="9" t="n">
        <x:f>(Inputs!$H$7+Inputs!$L$7*(((Inputs!$I$7+(((A199)+1)/2)*(Inputs!$J$7-Inputs!$I$7)))/Inputs!$K$7)^2)</x:f>
        <x:v>185.43985999999995</x:v>
      </x:c>
      <x:c r="AB199" s="9" t="n">
        <x:f>(Inputs!$H$8+Inputs!$L$8*(((Inputs!$I$8+(((A199)+1)/2)*(Inputs!$J$8-Inputs!$I$8)))/Inputs!$K$8)^2)</x:f>
        <x:v>432.73825999999985</x:v>
      </x:c>
      <x:c r="AC199" s="9" t="n">
        <x:f>(Inputs!$H$9+Inputs!$L$9*(((Inputs!$I$9+(((A199)+1)/2)*(Inputs!$J$9-Inputs!$I$9)))/Inputs!$K$9)^2)</x:f>
        <x:v>426.85989999999987</x:v>
      </x:c>
      <x:c r="AD199" s="10" t="n"/>
      <x:c r="AE199" s="9" t="n">
        <x:f>A199</x:f>
        <x:v>0.642</x:v>
      </x:c>
      <x:c r="AF199" s="9"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9"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9"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9"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10" t="n"/>
      <x:c r="AK199" s="9" t="n">
        <x:f>A199</x:f>
        <x:v>0.642</x:v>
      </x:c>
      <x:c r="AL199" s="9"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9"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9"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9"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10" t="n"/>
      <x:c r="AQ199" s="9" t="n">
        <x:f>A199</x:f>
        <x:v>0.642</x:v>
      </x:c>
      <x:c r="AR199" s="9" t="n">
        <x:f>0</x:f>
        <x:v>0</x:v>
      </x:c>
      <x:c r="AS199" s="9"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x:f>
        <x:v>286.1309734009917</x:v>
      </x:c>
      <x:c r="AT199" s="9"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x:f>
        <x:v>191.01298983214508</x:v>
      </x:c>
      <x:c r="AU199" s="9"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x:f>
        <x:v>142.91530810568608</x:v>
      </x:c>
      <x:c r="AV199" s="9"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x:f>
        <x:v>142.91530810568608</x:v>
      </x:c>
      <x:c r="AW199" s="10" t="n"/>
      <x:c r="AX199" s="9" t="n">
        <x:f>A199</x:f>
        <x:v>0.642</x:v>
      </x:c>
      <x:c r="AY199" s="9" t="n">
        <x:f>0</x:f>
        <x:v>0</x:v>
      </x:c>
      <x:c r="AZ199" s="9" t="n">
        <x:f>IF(OR(Inputs!$F$6=TRUE,Inputs!$F$6="TRUE",Inputs!$F$6=1),(Inputs!$H$6+Inputs!$L$6*(((Inputs!$I$6+(((A199)+1)/2)*(Inputs!$J$6-Inputs!$I$6)))/Inputs!$K$6)^2),NA())</x:f>
        <x:v>401.648656</x:v>
      </x:c>
      <x:c r="BA199" s="9" t="n">
        <x:f>IF(OR(Inputs!$F$7=TRUE,Inputs!$F$7="TRUE",Inputs!$F$7=1),(Inputs!$H$7+Inputs!$L$7*(((Inputs!$I$7+(((A199)+1)/2)*(Inputs!$J$7-Inputs!$I$7)))/Inputs!$K$7)^2),NA())</x:f>
        <x:v>185.43985999999995</x:v>
      </x:c>
      <x:c r="BB199" s="9" t="n">
        <x:f>IF(OR(Inputs!$F$8=TRUE,Inputs!$F$8="TRUE",Inputs!$F$8=1),(Inputs!$H$8+Inputs!$L$8*(((Inputs!$I$8+(((A199)+1)/2)*(Inputs!$J$8-Inputs!$I$8)))/Inputs!$K$8)^2),NA())</x:f>
        <x:v>432.73825999999985</x:v>
      </x:c>
      <x:c r="BC199" s="9" t="n">
        <x:f>IF(OR(Inputs!$F$9=TRUE,Inputs!$F$9="TRUE",Inputs!$F$9=1),(Inputs!$H$9+Inputs!$L$9*(((Inputs!$I$9+(((A199)+1)/2)*(Inputs!$J$9-Inputs!$I$9)))/Inputs!$K$9)^2),NA())</x:f>
        <x:v>426.85989999999987</x:v>
      </x:c>
      <x:c r="BD199" s="10" t="n"/>
      <x:c r="BE199" s="9" t="n">
        <x:f>A199</x:f>
        <x:v>0.642</x:v>
      </x:c>
      <x:c r="BF199" s="9" t="n">
        <x:f>0</x:f>
        <x:v>0</x:v>
      </x:c>
      <x:c r="BG199" s="9"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9"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9"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9"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9" t="n">
        <x:f>ROUND(-1+198*2/240,3)</x:f>
        <x:v>0.65</x:v>
      </x:c>
      <x:c r="B200" s="9" t="n">
        <x:f>IF(OR(Inputs!$F$6=TRUE,Inputs!$F$6="TRUE",Inputs!$F$6=1),(Inputs!$H$6+Inputs!$L$6*(((Inputs!$I$6+(((A200)+1)/2)*(Inputs!$J$6-Inputs!$I$6)))/Inputs!$K$6)^2),NA())</x:f>
        <x:v>401.69</x:v>
      </x:c>
      <x:c r="C200" s="9" t="n">
        <x:f>IF(OR(Inputs!$F$7=TRUE,Inputs!$F$7="TRUE",Inputs!$F$7=1),(Inputs!$H$7+Inputs!$L$7*(((Inputs!$I$7+(((A200)+1)/2)*(Inputs!$J$7-Inputs!$I$7)))/Inputs!$K$7)^2),NA())</x:f>
        <x:v>189.2125</x:v>
      </x:c>
      <x:c r="D200" s="9" t="n">
        <x:f>IF(OR(Inputs!$F$8=TRUE,Inputs!$F$8="TRUE",Inputs!$F$8=1),(Inputs!$H$8+Inputs!$L$8*(((Inputs!$I$8+(((A200)+1)/2)*(Inputs!$J$8-Inputs!$I$8)))/Inputs!$K$8)^2),NA())</x:f>
        <x:v>442.71250000000003</x:v>
      </x:c>
      <x:c r="E200" s="9" t="n">
        <x:f>IF(OR(Inputs!$F$9=TRUE,Inputs!$F$9="TRUE",Inputs!$F$9=1),(Inputs!$H$9+Inputs!$L$9*(((Inputs!$I$9+(((A200)+1)/2)*(Inputs!$J$9-Inputs!$I$9)))/Inputs!$K$9)^2),NA())</x:f>
        <x:v>436.93750000000006</x:v>
      </x:c>
      <x:c r="F200" s="10" t="n"/>
      <x:c r="G200" s="9" t="n">
        <x:f>A200</x:f>
        <x:v>0.65</x:v>
      </x:c>
      <x:c r="H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10" t="n"/>
      <x:c r="M200" s="9" t="n">
        <x:f>A200</x:f>
        <x:v>0.65</x:v>
      </x:c>
      <x:c r="N200" s="9"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9"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9"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9"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10" t="n"/>
      <x:c r="S200" s="9" t="n">
        <x:f>A200</x:f>
        <x:v>0.65</x:v>
      </x:c>
      <x:c r="T200" s="9" t="n">
        <x:f>(Inputs!$I$6+(((A200)+1)/2)*(Inputs!$J$6-Inputs!$I$6))</x:f>
        <x:v>39</x:v>
      </x:c>
      <x:c r="U200" s="9" t="n">
        <x:f>(Inputs!$I$7+(((A200)+1)/2)*(Inputs!$J$7-Inputs!$I$7))</x:f>
        <x:v>260</x:v>
      </x:c>
      <x:c r="V200" s="9" t="n">
        <x:f>(Inputs!$I$8+(((A200)+1)/2)*(Inputs!$J$8-Inputs!$I$8))</x:f>
        <x:v>520</x:v>
      </x:c>
      <x:c r="W200" s="9" t="n">
        <x:f>(Inputs!$I$9+(((A200)+1)/2)*(Inputs!$J$9-Inputs!$I$9))</x:f>
        <x:v>520</x:v>
      </x:c>
      <x:c r="X200" s="10" t="n"/>
      <x:c r="Y200" s="9" t="n">
        <x:f>A200</x:f>
        <x:v>0.65</x:v>
      </x:c>
      <x:c r="Z200" s="9" t="n">
        <x:f>(Inputs!$H$6+Inputs!$L$6*(((Inputs!$I$6+(((A200)+1)/2)*(Inputs!$J$6-Inputs!$I$6)))/Inputs!$K$6)^2)</x:f>
        <x:v>401.69</x:v>
      </x:c>
      <x:c r="AA200" s="9" t="n">
        <x:f>(Inputs!$H$7+Inputs!$L$7*(((Inputs!$I$7+(((A200)+1)/2)*(Inputs!$J$7-Inputs!$I$7)))/Inputs!$K$7)^2)</x:f>
        <x:v>189.2125</x:v>
      </x:c>
      <x:c r="AB200" s="9" t="n">
        <x:f>(Inputs!$H$8+Inputs!$L$8*(((Inputs!$I$8+(((A200)+1)/2)*(Inputs!$J$8-Inputs!$I$8)))/Inputs!$K$8)^2)</x:f>
        <x:v>442.71250000000003</x:v>
      </x:c>
      <x:c r="AC200" s="9" t="n">
        <x:f>(Inputs!$H$9+Inputs!$L$9*(((Inputs!$I$9+(((A200)+1)/2)*(Inputs!$J$9-Inputs!$I$9)))/Inputs!$K$9)^2)</x:f>
        <x:v>436.93750000000006</x:v>
      </x:c>
      <x:c r="AD200" s="10" t="n"/>
      <x:c r="AE200" s="9" t="n">
        <x:f>A200</x:f>
        <x:v>0.65</x:v>
      </x:c>
      <x:c r="AF200" s="9"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9"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9"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9"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10" t="n"/>
      <x:c r="AK200" s="9" t="n">
        <x:f>A200</x:f>
        <x:v>0.65</x:v>
      </x:c>
      <x:c r="AL200" s="9"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9"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9"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9"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10" t="n"/>
      <x:c r="AQ200" s="9" t="n">
        <x:f>A200</x:f>
        <x:v>0.65</x:v>
      </x:c>
      <x:c r="AR200" s="9" t="n">
        <x:f>0</x:f>
        <x:v>0</x:v>
      </x:c>
      <x:c r="AS200" s="9"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x:f>
        <x:v>302.8435496777789</x:v>
      </x:c>
      <x:c r="AT200" s="9"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x:f>
        <x:v>134.66164099948801</x:v>
      </x:c>
      <x:c r="AU200" s="9"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x:f>
        <x:v>150.399514077023</x:v>
      </x:c>
      <x:c r="AV200" s="9"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x:f>
        <x:v>150.399514077023</x:v>
      </x:c>
      <x:c r="AW200" s="10" t="n"/>
      <x:c r="AX200" s="9" t="n">
        <x:f>A200</x:f>
        <x:v>0.65</x:v>
      </x:c>
      <x:c r="AY200" s="9" t="n">
        <x:f>0</x:f>
        <x:v>0</x:v>
      </x:c>
      <x:c r="AZ200" s="9" t="n">
        <x:f>IF(OR(Inputs!$F$6=TRUE,Inputs!$F$6="TRUE",Inputs!$F$6=1),(Inputs!$H$6+Inputs!$L$6*(((Inputs!$I$6+(((A200)+1)/2)*(Inputs!$J$6-Inputs!$I$6)))/Inputs!$K$6)^2),NA())</x:f>
        <x:v>401.69</x:v>
      </x:c>
      <x:c r="BA200" s="9" t="n">
        <x:f>IF(OR(Inputs!$F$7=TRUE,Inputs!$F$7="TRUE",Inputs!$F$7=1),(Inputs!$H$7+Inputs!$L$7*(((Inputs!$I$7+(((A200)+1)/2)*(Inputs!$J$7-Inputs!$I$7)))/Inputs!$K$7)^2),NA())</x:f>
        <x:v>189.2125</x:v>
      </x:c>
      <x:c r="BB200" s="9" t="n">
        <x:f>IF(OR(Inputs!$F$8=TRUE,Inputs!$F$8="TRUE",Inputs!$F$8=1),(Inputs!$H$8+Inputs!$L$8*(((Inputs!$I$8+(((A200)+1)/2)*(Inputs!$J$8-Inputs!$I$8)))/Inputs!$K$8)^2),NA())</x:f>
        <x:v>442.71250000000003</x:v>
      </x:c>
      <x:c r="BC200" s="9" t="n">
        <x:f>IF(OR(Inputs!$F$9=TRUE,Inputs!$F$9="TRUE",Inputs!$F$9=1),(Inputs!$H$9+Inputs!$L$9*(((Inputs!$I$9+(((A200)+1)/2)*(Inputs!$J$9-Inputs!$I$9)))/Inputs!$K$9)^2),NA())</x:f>
        <x:v>436.93750000000006</x:v>
      </x:c>
      <x:c r="BD200" s="10" t="n"/>
      <x:c r="BE200" s="9" t="n">
        <x:f>A200</x:f>
        <x:v>0.65</x:v>
      </x:c>
      <x:c r="BF200" s="9" t="n">
        <x:f>0</x:f>
        <x:v>0</x:v>
      </x:c>
      <x:c r="BG200" s="9"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9"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9"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9"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9" t="n">
        <x:f>ROUND(-1+199*2/240,3)</x:f>
        <x:v>0.658</x:v>
      </x:c>
      <x:c r="B201" s="9" t="n">
        <x:f>IF(OR(Inputs!$F$6=TRUE,Inputs!$F$6="TRUE",Inputs!$F$6=1),(Inputs!$H$6+Inputs!$L$6*(((Inputs!$I$6+(((A201)+1)/2)*(Inputs!$J$6-Inputs!$I$6)))/Inputs!$K$6)^2),NA())</x:f>
        <x:v>401.731856</x:v>
      </x:c>
      <x:c r="C201" s="9" t="n">
        <x:f>IF(OR(Inputs!$F$7=TRUE,Inputs!$F$7="TRUE",Inputs!$F$7=1),(Inputs!$H$7+Inputs!$L$7*(((Inputs!$I$7+(((A201)+1)/2)*(Inputs!$J$7-Inputs!$I$7)))/Inputs!$K$7)^2),NA())</x:f>
        <x:v>193.0318599999999</x:v>
      </x:c>
      <x:c r="D201" s="9" t="n">
        <x:f>IF(OR(Inputs!$F$8=TRUE,Inputs!$F$8="TRUE",Inputs!$F$8=1),(Inputs!$H$8+Inputs!$L$8*(((Inputs!$I$8+(((A201)+1)/2)*(Inputs!$J$8-Inputs!$I$8)))/Inputs!$K$8)^2),NA())</x:f>
        <x:v>452.81025999999974</x:v>
      </x:c>
      <x:c r="E201" s="9" t="n">
        <x:f>IF(OR(Inputs!$F$9=TRUE,Inputs!$F$9="TRUE",Inputs!$F$9=1),(Inputs!$H$9+Inputs!$L$9*(((Inputs!$I$9+(((A201)+1)/2)*(Inputs!$J$9-Inputs!$I$9)))/Inputs!$K$9)^2),NA())</x:f>
        <x:v>447.1398999999997</x:v>
      </x:c>
      <x:c r="F201" s="10" t="n"/>
      <x:c r="G201" s="9" t="n">
        <x:f>A201</x:f>
        <x:v>0.658</x:v>
      </x:c>
      <x:c r="H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10" t="n"/>
      <x:c r="M201" s="9" t="n">
        <x:f>A201</x:f>
        <x:v>0.658</x:v>
      </x:c>
      <x:c r="N201" s="9"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9"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9"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9"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10" t="n"/>
      <x:c r="S201" s="9" t="n">
        <x:f>A201</x:f>
        <x:v>0.658</x:v>
      </x:c>
      <x:c r="T201" s="9" t="n">
        <x:f>(Inputs!$I$6+(((A201)+1)/2)*(Inputs!$J$6-Inputs!$I$6))</x:f>
        <x:v>39.47999999999999</x:v>
      </x:c>
      <x:c r="U201" s="9" t="n">
        <x:f>(Inputs!$I$7+(((A201)+1)/2)*(Inputs!$J$7-Inputs!$I$7))</x:f>
        <x:v>263.19999999999993</x:v>
      </x:c>
      <x:c r="V201" s="9" t="n">
        <x:f>(Inputs!$I$8+(((A201)+1)/2)*(Inputs!$J$8-Inputs!$I$8))</x:f>
        <x:v>526.3999999999999</x:v>
      </x:c>
      <x:c r="W201" s="9" t="n">
        <x:f>(Inputs!$I$9+(((A201)+1)/2)*(Inputs!$J$9-Inputs!$I$9))</x:f>
        <x:v>526.3999999999999</x:v>
      </x:c>
      <x:c r="X201" s="10" t="n"/>
      <x:c r="Y201" s="9" t="n">
        <x:f>A201</x:f>
        <x:v>0.658</x:v>
      </x:c>
      <x:c r="Z201" s="9" t="n">
        <x:f>(Inputs!$H$6+Inputs!$L$6*(((Inputs!$I$6+(((A201)+1)/2)*(Inputs!$J$6-Inputs!$I$6)))/Inputs!$K$6)^2)</x:f>
        <x:v>401.731856</x:v>
      </x:c>
      <x:c r="AA201" s="9" t="n">
        <x:f>(Inputs!$H$7+Inputs!$L$7*(((Inputs!$I$7+(((A201)+1)/2)*(Inputs!$J$7-Inputs!$I$7)))/Inputs!$K$7)^2)</x:f>
        <x:v>193.0318599999999</x:v>
      </x:c>
      <x:c r="AB201" s="9" t="n">
        <x:f>(Inputs!$H$8+Inputs!$L$8*(((Inputs!$I$8+(((A201)+1)/2)*(Inputs!$J$8-Inputs!$I$8)))/Inputs!$K$8)^2)</x:f>
        <x:v>452.81025999999974</x:v>
      </x:c>
      <x:c r="AC201" s="9" t="n">
        <x:f>(Inputs!$H$9+Inputs!$L$9*(((Inputs!$I$9+(((A201)+1)/2)*(Inputs!$J$9-Inputs!$I$9)))/Inputs!$K$9)^2)</x:f>
        <x:v>447.1398999999997</x:v>
      </x:c>
      <x:c r="AD201" s="10" t="n"/>
      <x:c r="AE201" s="9" t="n">
        <x:f>A201</x:f>
        <x:v>0.658</x:v>
      </x:c>
      <x:c r="AF201" s="9"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9"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9"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9"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10" t="n"/>
      <x:c r="AK201" s="9" t="n">
        <x:f>A201</x:f>
        <x:v>0.658</x:v>
      </x:c>
      <x:c r="AL201" s="9"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9"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9"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9"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10" t="n"/>
      <x:c r="AQ201" s="9" t="n">
        <x:f>A201</x:f>
        <x:v>0.658</x:v>
      </x:c>
      <x:c r="AR201" s="9" t="n">
        <x:f>0</x:f>
        <x:v>0</x:v>
      </x:c>
      <x:c r="AS201" s="9"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x:f>
        <x:v>298.1246265269959</x:v>
      </x:c>
      <x:c r="AT201" s="9"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x:f>
        <x:v>95.89669072680768</x:v>
      </x:c>
      <x:c r="AU201" s="9"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x:f>
        <x:v>188.5487058552943</x:v>
      </x:c>
      <x:c r="AV201" s="9"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x:f>
        <x:v>188.5487058552943</x:v>
      </x:c>
      <x:c r="AW201" s="10" t="n"/>
      <x:c r="AX201" s="9" t="n">
        <x:f>A201</x:f>
        <x:v>0.658</x:v>
      </x:c>
      <x:c r="AY201" s="9" t="n">
        <x:f>0</x:f>
        <x:v>0</x:v>
      </x:c>
      <x:c r="AZ201" s="9" t="n">
        <x:f>IF(OR(Inputs!$F$6=TRUE,Inputs!$F$6="TRUE",Inputs!$F$6=1),(Inputs!$H$6+Inputs!$L$6*(((Inputs!$I$6+(((A201)+1)/2)*(Inputs!$J$6-Inputs!$I$6)))/Inputs!$K$6)^2),NA())</x:f>
        <x:v>401.731856</x:v>
      </x:c>
      <x:c r="BA201" s="9" t="n">
        <x:f>IF(OR(Inputs!$F$7=TRUE,Inputs!$F$7="TRUE",Inputs!$F$7=1),(Inputs!$H$7+Inputs!$L$7*(((Inputs!$I$7+(((A201)+1)/2)*(Inputs!$J$7-Inputs!$I$7)))/Inputs!$K$7)^2),NA())</x:f>
        <x:v>193.0318599999999</x:v>
      </x:c>
      <x:c r="BB201" s="9" t="n">
        <x:f>IF(OR(Inputs!$F$8=TRUE,Inputs!$F$8="TRUE",Inputs!$F$8=1),(Inputs!$H$8+Inputs!$L$8*(((Inputs!$I$8+(((A201)+1)/2)*(Inputs!$J$8-Inputs!$I$8)))/Inputs!$K$8)^2),NA())</x:f>
        <x:v>452.81025999999974</x:v>
      </x:c>
      <x:c r="BC201" s="9" t="n">
        <x:f>IF(OR(Inputs!$F$9=TRUE,Inputs!$F$9="TRUE",Inputs!$F$9=1),(Inputs!$H$9+Inputs!$L$9*(((Inputs!$I$9+(((A201)+1)/2)*(Inputs!$J$9-Inputs!$I$9)))/Inputs!$K$9)^2),NA())</x:f>
        <x:v>447.1398999999997</x:v>
      </x:c>
      <x:c r="BD201" s="10" t="n"/>
      <x:c r="BE201" s="9" t="n">
        <x:f>A201</x:f>
        <x:v>0.658</x:v>
      </x:c>
      <x:c r="BF201" s="9" t="n">
        <x:f>0</x:f>
        <x:v>0</x:v>
      </x:c>
      <x:c r="BG201" s="9"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9"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9"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9"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9" t="n">
        <x:f>ROUND(-1+200*2/240,3)</x:f>
        <x:v>0.667</x:v>
      </x:c>
      <x:c r="B202" s="9" t="n">
        <x:f>IF(OR(Inputs!$F$6=TRUE,Inputs!$F$6="TRUE",Inputs!$F$6=1),(Inputs!$H$6+Inputs!$L$6*(((Inputs!$I$6+(((A202)+1)/2)*(Inputs!$J$6-Inputs!$I$6)))/Inputs!$K$6)^2),NA())</x:f>
        <x:v>401.779556</x:v>
      </x:c>
      <x:c r="C202" s="9" t="n">
        <x:f>IF(OR(Inputs!$F$7=TRUE,Inputs!$F$7="TRUE",Inputs!$F$7=1),(Inputs!$H$7+Inputs!$L$7*(((Inputs!$I$7+(((A202)+1)/2)*(Inputs!$J$7-Inputs!$I$7)))/Inputs!$K$7)^2),NA())</x:f>
        <x:v>197.38448500000007</x:v>
      </x:c>
      <x:c r="D202" s="9" t="n">
        <x:f>IF(OR(Inputs!$F$8=TRUE,Inputs!$F$8="TRUE",Inputs!$F$8=1),(Inputs!$H$8+Inputs!$L$8*(((Inputs!$I$8+(((A202)+1)/2)*(Inputs!$J$8-Inputs!$I$8)))/Inputs!$K$8)^2),NA())</x:f>
        <x:v>464.3178850000002</x:v>
      </x:c>
      <x:c r="E202" s="9" t="n">
        <x:f>IF(OR(Inputs!$F$9=TRUE,Inputs!$F$9="TRUE",Inputs!$F$9=1),(Inputs!$H$9+Inputs!$L$9*(((Inputs!$I$9+(((A202)+1)/2)*(Inputs!$J$9-Inputs!$I$9)))/Inputs!$K$9)^2),NA())</x:f>
        <x:v>458.7667750000002</x:v>
      </x:c>
      <x:c r="F202" s="10" t="n"/>
      <x:c r="G202" s="9" t="n">
        <x:f>A202</x:f>
        <x:v>0.667</x:v>
      </x:c>
      <x:c r="H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10" t="n"/>
      <x:c r="M202" s="9" t="n">
        <x:f>A202</x:f>
        <x:v>0.667</x:v>
      </x:c>
      <x:c r="N202" s="9"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9"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9"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9"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10" t="n"/>
      <x:c r="S202" s="9" t="n">
        <x:f>A202</x:f>
        <x:v>0.667</x:v>
      </x:c>
      <x:c r="T202" s="9" t="n">
        <x:f>(Inputs!$I$6+(((A202)+1)/2)*(Inputs!$J$6-Inputs!$I$6))</x:f>
        <x:v>40.019999999999996</x:v>
      </x:c>
      <x:c r="U202" s="9" t="n">
        <x:f>(Inputs!$I$7+(((A202)+1)/2)*(Inputs!$J$7-Inputs!$I$7))</x:f>
        <x:v>266.80000000000007</x:v>
      </x:c>
      <x:c r="V202" s="9" t="n">
        <x:f>(Inputs!$I$8+(((A202)+1)/2)*(Inputs!$J$8-Inputs!$I$8))</x:f>
        <x:v>533.6000000000001</x:v>
      </x:c>
      <x:c r="W202" s="9" t="n">
        <x:f>(Inputs!$I$9+(((A202)+1)/2)*(Inputs!$J$9-Inputs!$I$9))</x:f>
        <x:v>533.6000000000001</x:v>
      </x:c>
      <x:c r="X202" s="10" t="n"/>
      <x:c r="Y202" s="9" t="n">
        <x:f>A202</x:f>
        <x:v>0.667</x:v>
      </x:c>
      <x:c r="Z202" s="9" t="n">
        <x:f>(Inputs!$H$6+Inputs!$L$6*(((Inputs!$I$6+(((A202)+1)/2)*(Inputs!$J$6-Inputs!$I$6)))/Inputs!$K$6)^2)</x:f>
        <x:v>401.779556</x:v>
      </x:c>
      <x:c r="AA202" s="9" t="n">
        <x:f>(Inputs!$H$7+Inputs!$L$7*(((Inputs!$I$7+(((A202)+1)/2)*(Inputs!$J$7-Inputs!$I$7)))/Inputs!$K$7)^2)</x:f>
        <x:v>197.38448500000007</x:v>
      </x:c>
      <x:c r="AB202" s="9" t="n">
        <x:f>(Inputs!$H$8+Inputs!$L$8*(((Inputs!$I$8+(((A202)+1)/2)*(Inputs!$J$8-Inputs!$I$8)))/Inputs!$K$8)^2)</x:f>
        <x:v>464.3178850000002</x:v>
      </x:c>
      <x:c r="AC202" s="9" t="n">
        <x:f>(Inputs!$H$9+Inputs!$L$9*(((Inputs!$I$9+(((A202)+1)/2)*(Inputs!$J$9-Inputs!$I$9)))/Inputs!$K$9)^2)</x:f>
        <x:v>458.7667750000002</x:v>
      </x:c>
      <x:c r="AD202" s="10" t="n"/>
      <x:c r="AE202" s="9" t="n">
        <x:f>A202</x:f>
        <x:v>0.667</x:v>
      </x:c>
      <x:c r="AF202" s="9"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9"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9"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9"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10" t="n"/>
      <x:c r="AK202" s="9" t="n">
        <x:f>A202</x:f>
        <x:v>0.667</x:v>
      </x:c>
      <x:c r="AL202" s="9"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9"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9"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9"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10" t="n"/>
      <x:c r="AQ202" s="9" t="n">
        <x:f>A202</x:f>
        <x:v>0.667</x:v>
      </x:c>
      <x:c r="AR202" s="9" t="n">
        <x:f>0</x:f>
        <x:v>0</x:v>
      </x:c>
      <x:c r="AS202" s="9"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x:f>
        <x:v>289.9754467837871</x:v>
      </x:c>
      <x:c r="AT202" s="9"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x:f>
        <x:v>109.33064948267874</x:v>
      </x:c>
      <x:c r="AU202" s="9"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x:f>
        <x:v>107.54564181018011</x:v>
      </x:c>
      <x:c r="AV202" s="9"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x:f>
        <x:v>107.54564181018011</x:v>
      </x:c>
      <x:c r="AW202" s="10" t="n"/>
      <x:c r="AX202" s="9" t="n">
        <x:f>A202</x:f>
        <x:v>0.667</x:v>
      </x:c>
      <x:c r="AY202" s="9" t="n">
        <x:f>0</x:f>
        <x:v>0</x:v>
      </x:c>
      <x:c r="AZ202" s="9" t="n">
        <x:f>IF(OR(Inputs!$F$6=TRUE,Inputs!$F$6="TRUE",Inputs!$F$6=1),(Inputs!$H$6+Inputs!$L$6*(((Inputs!$I$6+(((A202)+1)/2)*(Inputs!$J$6-Inputs!$I$6)))/Inputs!$K$6)^2),NA())</x:f>
        <x:v>401.779556</x:v>
      </x:c>
      <x:c r="BA202" s="9" t="n">
        <x:f>IF(OR(Inputs!$F$7=TRUE,Inputs!$F$7="TRUE",Inputs!$F$7=1),(Inputs!$H$7+Inputs!$L$7*(((Inputs!$I$7+(((A202)+1)/2)*(Inputs!$J$7-Inputs!$I$7)))/Inputs!$K$7)^2),NA())</x:f>
        <x:v>197.38448500000007</x:v>
      </x:c>
      <x:c r="BB202" s="9" t="n">
        <x:f>IF(OR(Inputs!$F$8=TRUE,Inputs!$F$8="TRUE",Inputs!$F$8=1),(Inputs!$H$8+Inputs!$L$8*(((Inputs!$I$8+(((A202)+1)/2)*(Inputs!$J$8-Inputs!$I$8)))/Inputs!$K$8)^2),NA())</x:f>
        <x:v>464.3178850000002</x:v>
      </x:c>
      <x:c r="BC202" s="9" t="n">
        <x:f>IF(OR(Inputs!$F$9=TRUE,Inputs!$F$9="TRUE",Inputs!$F$9=1),(Inputs!$H$9+Inputs!$L$9*(((Inputs!$I$9+(((A202)+1)/2)*(Inputs!$J$9-Inputs!$I$9)))/Inputs!$K$9)^2),NA())</x:f>
        <x:v>458.7667750000002</x:v>
      </x:c>
      <x:c r="BD202" s="10" t="n"/>
      <x:c r="BE202" s="9" t="n">
        <x:f>A202</x:f>
        <x:v>0.667</x:v>
      </x:c>
      <x:c r="BF202" s="9" t="n">
        <x:f>0</x:f>
        <x:v>0</x:v>
      </x:c>
      <x:c r="BG202" s="9"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9"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9"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9"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9" t="n">
        <x:f>ROUND(-1+201*2/240,3)</x:f>
        <x:v>0.675</x:v>
      </x:c>
      <x:c r="B203" s="9" t="n">
        <x:f>IF(OR(Inputs!$F$6=TRUE,Inputs!$F$6="TRUE",Inputs!$F$6=1),(Inputs!$H$6+Inputs!$L$6*(((Inputs!$I$6+(((A203)+1)/2)*(Inputs!$J$6-Inputs!$I$6)))/Inputs!$K$6)^2),NA())</x:f>
        <x:v>401.8225</x:v>
      </x:c>
      <x:c r="C203" s="9" t="n">
        <x:f>IF(OR(Inputs!$F$7=TRUE,Inputs!$F$7="TRUE",Inputs!$F$7=1),(Inputs!$H$7+Inputs!$L$7*(((Inputs!$I$7+(((A203)+1)/2)*(Inputs!$J$7-Inputs!$I$7)))/Inputs!$K$7)^2),NA())</x:f>
        <x:v>201.30312500000002</x:v>
      </x:c>
      <x:c r="D203" s="9" t="n">
        <x:f>IF(OR(Inputs!$F$8=TRUE,Inputs!$F$8="TRUE",Inputs!$F$8=1),(Inputs!$H$8+Inputs!$L$8*(((Inputs!$I$8+(((A203)+1)/2)*(Inputs!$J$8-Inputs!$I$8)))/Inputs!$K$8)^2),NA())</x:f>
        <x:v>474.6781250000001</x:v>
      </x:c>
      <x:c r="E203" s="9" t="n">
        <x:f>IF(OR(Inputs!$F$9=TRUE,Inputs!$F$9="TRUE",Inputs!$F$9=1),(Inputs!$H$9+Inputs!$L$9*(((Inputs!$I$9+(((A203)+1)/2)*(Inputs!$J$9-Inputs!$I$9)))/Inputs!$K$9)^2),NA())</x:f>
        <x:v>469.23437500000006</x:v>
      </x:c>
      <x:c r="F203" s="10" t="n"/>
      <x:c r="G203" s="9" t="n">
        <x:f>A203</x:f>
        <x:v>0.675</x:v>
      </x:c>
      <x:c r="H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10" t="n"/>
      <x:c r="M203" s="9" t="n">
        <x:f>A203</x:f>
        <x:v>0.675</x:v>
      </x:c>
      <x:c r="N203" s="9"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9"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9"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9"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10" t="n"/>
      <x:c r="S203" s="9" t="n">
        <x:f>A203</x:f>
        <x:v>0.675</x:v>
      </x:c>
      <x:c r="T203" s="9" t="n">
        <x:f>(Inputs!$I$6+(((A203)+1)/2)*(Inputs!$J$6-Inputs!$I$6))</x:f>
        <x:v>40.5</x:v>
      </x:c>
      <x:c r="U203" s="9" t="n">
        <x:f>(Inputs!$I$7+(((A203)+1)/2)*(Inputs!$J$7-Inputs!$I$7))</x:f>
        <x:v>270</x:v>
      </x:c>
      <x:c r="V203" s="9" t="n">
        <x:f>(Inputs!$I$8+(((A203)+1)/2)*(Inputs!$J$8-Inputs!$I$8))</x:f>
        <x:v>540</x:v>
      </x:c>
      <x:c r="W203" s="9" t="n">
        <x:f>(Inputs!$I$9+(((A203)+1)/2)*(Inputs!$J$9-Inputs!$I$9))</x:f>
        <x:v>540</x:v>
      </x:c>
      <x:c r="X203" s="10" t="n"/>
      <x:c r="Y203" s="9" t="n">
        <x:f>A203</x:f>
        <x:v>0.675</x:v>
      </x:c>
      <x:c r="Z203" s="9" t="n">
        <x:f>(Inputs!$H$6+Inputs!$L$6*(((Inputs!$I$6+(((A203)+1)/2)*(Inputs!$J$6-Inputs!$I$6)))/Inputs!$K$6)^2)</x:f>
        <x:v>401.8225</x:v>
      </x:c>
      <x:c r="AA203" s="9" t="n">
        <x:f>(Inputs!$H$7+Inputs!$L$7*(((Inputs!$I$7+(((A203)+1)/2)*(Inputs!$J$7-Inputs!$I$7)))/Inputs!$K$7)^2)</x:f>
        <x:v>201.30312500000002</x:v>
      </x:c>
      <x:c r="AB203" s="9" t="n">
        <x:f>(Inputs!$H$8+Inputs!$L$8*(((Inputs!$I$8+(((A203)+1)/2)*(Inputs!$J$8-Inputs!$I$8)))/Inputs!$K$8)^2)</x:f>
        <x:v>474.6781250000001</x:v>
      </x:c>
      <x:c r="AC203" s="9" t="n">
        <x:f>(Inputs!$H$9+Inputs!$L$9*(((Inputs!$I$9+(((A203)+1)/2)*(Inputs!$J$9-Inputs!$I$9)))/Inputs!$K$9)^2)</x:f>
        <x:v>469.23437500000006</x:v>
      </x:c>
      <x:c r="AD203" s="10" t="n"/>
      <x:c r="AE203" s="9" t="n">
        <x:f>A203</x:f>
        <x:v>0.675</x:v>
      </x:c>
      <x:c r="AF203" s="9"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9"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9"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9"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10" t="n"/>
      <x:c r="AK203" s="9" t="n">
        <x:f>A203</x:f>
        <x:v>0.675</x:v>
      </x:c>
      <x:c r="AL203" s="9"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9"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9"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9"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10" t="n"/>
      <x:c r="AQ203" s="9" t="n">
        <x:f>A203</x:f>
        <x:v>0.675</x:v>
      </x:c>
      <x:c r="AR203" s="9" t="n">
        <x:f>0</x:f>
        <x:v>0</x:v>
      </x:c>
      <x:c r="AS203" s="9"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x:f>
        <x:v>300.6975060152245</x:v>
      </x:c>
      <x:c r="AT203" s="9"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x:f>
        <x:v>112.61223727911373</x:v>
      </x:c>
      <x:c r="AU203" s="9"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x:f>
        <x:v>107.49826996155427</x:v>
      </x:c>
      <x:c r="AV203" s="9"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x:f>
        <x:v>107.49826996155427</x:v>
      </x:c>
      <x:c r="AW203" s="10" t="n"/>
      <x:c r="AX203" s="9" t="n">
        <x:f>A203</x:f>
        <x:v>0.675</x:v>
      </x:c>
      <x:c r="AY203" s="9" t="n">
        <x:f>0</x:f>
        <x:v>0</x:v>
      </x:c>
      <x:c r="AZ203" s="9" t="n">
        <x:f>IF(OR(Inputs!$F$6=TRUE,Inputs!$F$6="TRUE",Inputs!$F$6=1),(Inputs!$H$6+Inputs!$L$6*(((Inputs!$I$6+(((A203)+1)/2)*(Inputs!$J$6-Inputs!$I$6)))/Inputs!$K$6)^2),NA())</x:f>
        <x:v>401.8225</x:v>
      </x:c>
      <x:c r="BA203" s="9" t="n">
        <x:f>IF(OR(Inputs!$F$7=TRUE,Inputs!$F$7="TRUE",Inputs!$F$7=1),(Inputs!$H$7+Inputs!$L$7*(((Inputs!$I$7+(((A203)+1)/2)*(Inputs!$J$7-Inputs!$I$7)))/Inputs!$K$7)^2),NA())</x:f>
        <x:v>201.30312500000002</x:v>
      </x:c>
      <x:c r="BB203" s="9" t="n">
        <x:f>IF(OR(Inputs!$F$8=TRUE,Inputs!$F$8="TRUE",Inputs!$F$8=1),(Inputs!$H$8+Inputs!$L$8*(((Inputs!$I$8+(((A203)+1)/2)*(Inputs!$J$8-Inputs!$I$8)))/Inputs!$K$8)^2),NA())</x:f>
        <x:v>474.6781250000001</x:v>
      </x:c>
      <x:c r="BC203" s="9" t="n">
        <x:f>IF(OR(Inputs!$F$9=TRUE,Inputs!$F$9="TRUE",Inputs!$F$9=1),(Inputs!$H$9+Inputs!$L$9*(((Inputs!$I$9+(((A203)+1)/2)*(Inputs!$J$9-Inputs!$I$9)))/Inputs!$K$9)^2),NA())</x:f>
        <x:v>469.23437500000006</x:v>
      </x:c>
      <x:c r="BD203" s="10" t="n"/>
      <x:c r="BE203" s="9" t="n">
        <x:f>A203</x:f>
        <x:v>0.675</x:v>
      </x:c>
      <x:c r="BF203" s="9" t="n">
        <x:f>0</x:f>
        <x:v>0</x:v>
      </x:c>
      <x:c r="BG203" s="9"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9"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9"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9"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9" t="n">
        <x:f>ROUND(-1+202*2/240,3)</x:f>
        <x:v>0.683</x:v>
      </x:c>
      <x:c r="B204" s="9" t="n">
        <x:f>IF(OR(Inputs!$F$6=TRUE,Inputs!$F$6="TRUE",Inputs!$F$6=1),(Inputs!$H$6+Inputs!$L$6*(((Inputs!$I$6+(((A204)+1)/2)*(Inputs!$J$6-Inputs!$I$6)))/Inputs!$K$6)^2),NA())</x:f>
        <x:v>401.865956</x:v>
      </x:c>
      <x:c r="C204" s="9" t="n">
        <x:f>IF(OR(Inputs!$F$7=TRUE,Inputs!$F$7="TRUE",Inputs!$F$7=1),(Inputs!$H$7+Inputs!$L$7*(((Inputs!$I$7+(((A204)+1)/2)*(Inputs!$J$7-Inputs!$I$7)))/Inputs!$K$7)^2),NA())</x:f>
        <x:v>205.26848500000008</x:v>
      </x:c>
      <x:c r="D204" s="9" t="n">
        <x:f>IF(OR(Inputs!$F$8=TRUE,Inputs!$F$8="TRUE",Inputs!$F$8=1),(Inputs!$H$8+Inputs!$L$8*(((Inputs!$I$8+(((A204)+1)/2)*(Inputs!$J$8-Inputs!$I$8)))/Inputs!$K$8)^2),NA())</x:f>
        <x:v>485.1618850000002</x:v>
      </x:c>
      <x:c r="E204" s="9" t="n">
        <x:f>IF(OR(Inputs!$F$9=TRUE,Inputs!$F$9="TRUE",Inputs!$F$9=1),(Inputs!$H$9+Inputs!$L$9*(((Inputs!$I$9+(((A204)+1)/2)*(Inputs!$J$9-Inputs!$I$9)))/Inputs!$K$9)^2),NA())</x:f>
        <x:v>479.8267750000002</x:v>
      </x:c>
      <x:c r="F204" s="10" t="n"/>
      <x:c r="G204" s="9" t="n">
        <x:f>A204</x:f>
        <x:v>0.683</x:v>
      </x:c>
      <x:c r="H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10" t="n"/>
      <x:c r="M204" s="9" t="n">
        <x:f>A204</x:f>
        <x:v>0.683</x:v>
      </x:c>
      <x:c r="N204" s="9"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9"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9"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9"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10" t="n"/>
      <x:c r="S204" s="9" t="n">
        <x:f>A204</x:f>
        <x:v>0.683</x:v>
      </x:c>
      <x:c r="T204" s="9" t="n">
        <x:f>(Inputs!$I$6+(((A204)+1)/2)*(Inputs!$J$6-Inputs!$I$6))</x:f>
        <x:v>40.980000000000004</x:v>
      </x:c>
      <x:c r="U204" s="9" t="n">
        <x:f>(Inputs!$I$7+(((A204)+1)/2)*(Inputs!$J$7-Inputs!$I$7))</x:f>
        <x:v>273.20000000000005</x:v>
      </x:c>
      <x:c r="V204" s="9" t="n">
        <x:f>(Inputs!$I$8+(((A204)+1)/2)*(Inputs!$J$8-Inputs!$I$8))</x:f>
        <x:v>546.4000000000001</x:v>
      </x:c>
      <x:c r="W204" s="9" t="n">
        <x:f>(Inputs!$I$9+(((A204)+1)/2)*(Inputs!$J$9-Inputs!$I$9))</x:f>
        <x:v>546.4000000000001</x:v>
      </x:c>
      <x:c r="X204" s="10" t="n"/>
      <x:c r="Y204" s="9" t="n">
        <x:f>A204</x:f>
        <x:v>0.683</x:v>
      </x:c>
      <x:c r="Z204" s="9" t="n">
        <x:f>(Inputs!$H$6+Inputs!$L$6*(((Inputs!$I$6+(((A204)+1)/2)*(Inputs!$J$6-Inputs!$I$6)))/Inputs!$K$6)^2)</x:f>
        <x:v>401.865956</x:v>
      </x:c>
      <x:c r="AA204" s="9" t="n">
        <x:f>(Inputs!$H$7+Inputs!$L$7*(((Inputs!$I$7+(((A204)+1)/2)*(Inputs!$J$7-Inputs!$I$7)))/Inputs!$K$7)^2)</x:f>
        <x:v>205.26848500000008</x:v>
      </x:c>
      <x:c r="AB204" s="9" t="n">
        <x:f>(Inputs!$H$8+Inputs!$L$8*(((Inputs!$I$8+(((A204)+1)/2)*(Inputs!$J$8-Inputs!$I$8)))/Inputs!$K$8)^2)</x:f>
        <x:v>485.1618850000002</x:v>
      </x:c>
      <x:c r="AC204" s="9" t="n">
        <x:f>(Inputs!$H$9+Inputs!$L$9*(((Inputs!$I$9+(((A204)+1)/2)*(Inputs!$J$9-Inputs!$I$9)))/Inputs!$K$9)^2)</x:f>
        <x:v>479.8267750000002</x:v>
      </x:c>
      <x:c r="AD204" s="10" t="n"/>
      <x:c r="AE204" s="9" t="n">
        <x:f>A204</x:f>
        <x:v>0.683</x:v>
      </x:c>
      <x:c r="AF204" s="9"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9"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9"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9"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10" t="n"/>
      <x:c r="AK204" s="9" t="n">
        <x:f>A204</x:f>
        <x:v>0.683</x:v>
      </x:c>
      <x:c r="AL204" s="9"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9"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9"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9"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10" t="n"/>
      <x:c r="AQ204" s="9" t="n">
        <x:f>A204</x:f>
        <x:v>0.683</x:v>
      </x:c>
      <x:c r="AR204" s="9" t="n">
        <x:f>0</x:f>
        <x:v>0</x:v>
      </x:c>
      <x:c r="AS204" s="9"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x:f>
        <x:v>298.5295338306238</x:v>
      </x:c>
      <x:c r="AT204" s="9"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x:f>
        <x:v>176.70490916263046</x:v>
      </x:c>
      <x:c r="AU204" s="9"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x:f>
        <x:v>180.5130458668658</x:v>
      </x:c>
      <x:c r="AV204" s="9"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x:f>
        <x:v>180.5130458668658</x:v>
      </x:c>
      <x:c r="AW204" s="10" t="n"/>
      <x:c r="AX204" s="9" t="n">
        <x:f>A204</x:f>
        <x:v>0.683</x:v>
      </x:c>
      <x:c r="AY204" s="9" t="n">
        <x:f>0</x:f>
        <x:v>0</x:v>
      </x:c>
      <x:c r="AZ204" s="9" t="n">
        <x:f>IF(OR(Inputs!$F$6=TRUE,Inputs!$F$6="TRUE",Inputs!$F$6=1),(Inputs!$H$6+Inputs!$L$6*(((Inputs!$I$6+(((A204)+1)/2)*(Inputs!$J$6-Inputs!$I$6)))/Inputs!$K$6)^2),NA())</x:f>
        <x:v>401.865956</x:v>
      </x:c>
      <x:c r="BA204" s="9" t="n">
        <x:f>IF(OR(Inputs!$F$7=TRUE,Inputs!$F$7="TRUE",Inputs!$F$7=1),(Inputs!$H$7+Inputs!$L$7*(((Inputs!$I$7+(((A204)+1)/2)*(Inputs!$J$7-Inputs!$I$7)))/Inputs!$K$7)^2),NA())</x:f>
        <x:v>205.26848500000008</x:v>
      </x:c>
      <x:c r="BB204" s="9" t="n">
        <x:f>IF(OR(Inputs!$F$8=TRUE,Inputs!$F$8="TRUE",Inputs!$F$8=1),(Inputs!$H$8+Inputs!$L$8*(((Inputs!$I$8+(((A204)+1)/2)*(Inputs!$J$8-Inputs!$I$8)))/Inputs!$K$8)^2),NA())</x:f>
        <x:v>485.1618850000002</x:v>
      </x:c>
      <x:c r="BC204" s="9" t="n">
        <x:f>IF(OR(Inputs!$F$9=TRUE,Inputs!$F$9="TRUE",Inputs!$F$9=1),(Inputs!$H$9+Inputs!$L$9*(((Inputs!$I$9+(((A204)+1)/2)*(Inputs!$J$9-Inputs!$I$9)))/Inputs!$K$9)^2),NA())</x:f>
        <x:v>479.8267750000002</x:v>
      </x:c>
      <x:c r="BD204" s="10" t="n"/>
      <x:c r="BE204" s="9" t="n">
        <x:f>A204</x:f>
        <x:v>0.683</x:v>
      </x:c>
      <x:c r="BF204" s="9" t="n">
        <x:f>0</x:f>
        <x:v>0</x:v>
      </x:c>
      <x:c r="BG204" s="9"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9"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9"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9"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9" t="n">
        <x:f>ROUND(-1+203*2/240,3)</x:f>
        <x:v>0.692</x:v>
      </x:c>
      <x:c r="B205" s="9" t="n">
        <x:f>IF(OR(Inputs!$F$6=TRUE,Inputs!$F$6="TRUE",Inputs!$F$6=1),(Inputs!$H$6+Inputs!$L$6*(((Inputs!$I$6+(((A205)+1)/2)*(Inputs!$J$6-Inputs!$I$6)))/Inputs!$K$6)^2),NA())</x:f>
        <x:v>401.915456</x:v>
      </x:c>
      <x:c r="C205" s="9" t="n">
        <x:f>IF(OR(Inputs!$F$7=TRUE,Inputs!$F$7="TRUE",Inputs!$F$7=1),(Inputs!$H$7+Inputs!$L$7*(((Inputs!$I$7+(((A205)+1)/2)*(Inputs!$J$7-Inputs!$I$7)))/Inputs!$K$7)^2),NA())</x:f>
        <x:v>209.7853599999999</x:v>
      </x:c>
      <x:c r="D205" s="9" t="n">
        <x:f>IF(OR(Inputs!$F$8=TRUE,Inputs!$F$8="TRUE",Inputs!$F$8=1),(Inputs!$H$8+Inputs!$L$8*(((Inputs!$I$8+(((A205)+1)/2)*(Inputs!$J$8-Inputs!$I$8)))/Inputs!$K$8)^2),NA())</x:f>
        <x:v>497.1037599999998</x:v>
      </x:c>
      <x:c r="E205" s="9" t="n">
        <x:f>IF(OR(Inputs!$F$9=TRUE,Inputs!$F$9="TRUE",Inputs!$F$9=1),(Inputs!$H$9+Inputs!$L$9*(((Inputs!$I$9+(((A205)+1)/2)*(Inputs!$J$9-Inputs!$I$9)))/Inputs!$K$9)^2),NA())</x:f>
        <x:v>491.8923999999998</x:v>
      </x:c>
      <x:c r="F205" s="10" t="n"/>
      <x:c r="G205" s="9" t="n">
        <x:f>A205</x:f>
        <x:v>0.692</x:v>
      </x:c>
      <x:c r="H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10" t="n"/>
      <x:c r="M205" s="9" t="n">
        <x:f>A205</x:f>
        <x:v>0.692</x:v>
      </x:c>
      <x:c r="N205" s="9"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9"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9"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9"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10" t="n"/>
      <x:c r="S205" s="9" t="n">
        <x:f>A205</x:f>
        <x:v>0.692</x:v>
      </x:c>
      <x:c r="T205" s="9" t="n">
        <x:f>(Inputs!$I$6+(((A205)+1)/2)*(Inputs!$J$6-Inputs!$I$6))</x:f>
        <x:v>41.519999999999996</x:v>
      </x:c>
      <x:c r="U205" s="9" t="n">
        <x:f>(Inputs!$I$7+(((A205)+1)/2)*(Inputs!$J$7-Inputs!$I$7))</x:f>
        <x:v>276.79999999999995</x:v>
      </x:c>
      <x:c r="V205" s="9" t="n">
        <x:f>(Inputs!$I$8+(((A205)+1)/2)*(Inputs!$J$8-Inputs!$I$8))</x:f>
        <x:v>553.5999999999999</x:v>
      </x:c>
      <x:c r="W205" s="9" t="n">
        <x:f>(Inputs!$I$9+(((A205)+1)/2)*(Inputs!$J$9-Inputs!$I$9))</x:f>
        <x:v>553.5999999999999</x:v>
      </x:c>
      <x:c r="X205" s="10" t="n"/>
      <x:c r="Y205" s="9" t="n">
        <x:f>A205</x:f>
        <x:v>0.692</x:v>
      </x:c>
      <x:c r="Z205" s="9" t="n">
        <x:f>(Inputs!$H$6+Inputs!$L$6*(((Inputs!$I$6+(((A205)+1)/2)*(Inputs!$J$6-Inputs!$I$6)))/Inputs!$K$6)^2)</x:f>
        <x:v>401.915456</x:v>
      </x:c>
      <x:c r="AA205" s="9" t="n">
        <x:f>(Inputs!$H$7+Inputs!$L$7*(((Inputs!$I$7+(((A205)+1)/2)*(Inputs!$J$7-Inputs!$I$7)))/Inputs!$K$7)^2)</x:f>
        <x:v>209.7853599999999</x:v>
      </x:c>
      <x:c r="AB205" s="9" t="n">
        <x:f>(Inputs!$H$8+Inputs!$L$8*(((Inputs!$I$8+(((A205)+1)/2)*(Inputs!$J$8-Inputs!$I$8)))/Inputs!$K$8)^2)</x:f>
        <x:v>497.1037599999998</x:v>
      </x:c>
      <x:c r="AC205" s="9" t="n">
        <x:f>(Inputs!$H$9+Inputs!$L$9*(((Inputs!$I$9+(((A205)+1)/2)*(Inputs!$J$9-Inputs!$I$9)))/Inputs!$K$9)^2)</x:f>
        <x:v>491.8923999999998</x:v>
      </x:c>
      <x:c r="AD205" s="10" t="n"/>
      <x:c r="AE205" s="9" t="n">
        <x:f>A205</x:f>
        <x:v>0.692</x:v>
      </x:c>
      <x:c r="AF205" s="9"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9"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9"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9"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10" t="n"/>
      <x:c r="AK205" s="9" t="n">
        <x:f>A205</x:f>
        <x:v>0.692</x:v>
      </x:c>
      <x:c r="AL205" s="9"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9"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9"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9"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10" t="n"/>
      <x:c r="AQ205" s="9" t="n">
        <x:f>A205</x:f>
        <x:v>0.692</x:v>
      </x:c>
      <x:c r="AR205" s="9" t="n">
        <x:f>0</x:f>
        <x:v>0</x:v>
      </x:c>
      <x:c r="AS205" s="9"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x:f>
        <x:v>285.413102267198</x:v>
      </x:c>
      <x:c r="AT205" s="9"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x:f>
        <x:v>197.15245723927592</x:v>
      </x:c>
      <x:c r="AU205" s="9"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x:f>
        <x:v>72.78326795030202</x:v>
      </x:c>
      <x:c r="AV205" s="9"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x:f>
        <x:v>72.78326795030202</x:v>
      </x:c>
      <x:c r="AW205" s="10" t="n"/>
      <x:c r="AX205" s="9" t="n">
        <x:f>A205</x:f>
        <x:v>0.692</x:v>
      </x:c>
      <x:c r="AY205" s="9" t="n">
        <x:f>0</x:f>
        <x:v>0</x:v>
      </x:c>
      <x:c r="AZ205" s="9" t="n">
        <x:f>IF(OR(Inputs!$F$6=TRUE,Inputs!$F$6="TRUE",Inputs!$F$6=1),(Inputs!$H$6+Inputs!$L$6*(((Inputs!$I$6+(((A205)+1)/2)*(Inputs!$J$6-Inputs!$I$6)))/Inputs!$K$6)^2),NA())</x:f>
        <x:v>401.915456</x:v>
      </x:c>
      <x:c r="BA205" s="9" t="n">
        <x:f>IF(OR(Inputs!$F$7=TRUE,Inputs!$F$7="TRUE",Inputs!$F$7=1),(Inputs!$H$7+Inputs!$L$7*(((Inputs!$I$7+(((A205)+1)/2)*(Inputs!$J$7-Inputs!$I$7)))/Inputs!$K$7)^2),NA())</x:f>
        <x:v>209.7853599999999</x:v>
      </x:c>
      <x:c r="BB205" s="9" t="n">
        <x:f>IF(OR(Inputs!$F$8=TRUE,Inputs!$F$8="TRUE",Inputs!$F$8=1),(Inputs!$H$8+Inputs!$L$8*(((Inputs!$I$8+(((A205)+1)/2)*(Inputs!$J$8-Inputs!$I$8)))/Inputs!$K$8)^2),NA())</x:f>
        <x:v>497.1037599999998</x:v>
      </x:c>
      <x:c r="BC205" s="9" t="n">
        <x:f>IF(OR(Inputs!$F$9=TRUE,Inputs!$F$9="TRUE",Inputs!$F$9=1),(Inputs!$H$9+Inputs!$L$9*(((Inputs!$I$9+(((A205)+1)/2)*(Inputs!$J$9-Inputs!$I$9)))/Inputs!$K$9)^2),NA())</x:f>
        <x:v>491.8923999999998</x:v>
      </x:c>
      <x:c r="BD205" s="10" t="n"/>
      <x:c r="BE205" s="9" t="n">
        <x:f>A205</x:f>
        <x:v>0.692</x:v>
      </x:c>
      <x:c r="BF205" s="9" t="n">
        <x:f>0</x:f>
        <x:v>0</x:v>
      </x:c>
      <x:c r="BG205" s="9"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9"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9"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9"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9" t="n">
        <x:f>ROUND(-1+204*2/240,3)</x:f>
        <x:v>0.7</x:v>
      </x:c>
      <x:c r="B206" s="9" t="n">
        <x:f>IF(OR(Inputs!$F$6=TRUE,Inputs!$F$6="TRUE",Inputs!$F$6=1),(Inputs!$H$6+Inputs!$L$6*(((Inputs!$I$6+(((A206)+1)/2)*(Inputs!$J$6-Inputs!$I$6)))/Inputs!$K$6)^2),NA())</x:f>
        <x:v>401.96</x:v>
      </x:c>
      <x:c r="C206" s="9" t="n">
        <x:f>IF(OR(Inputs!$F$7=TRUE,Inputs!$F$7="TRUE",Inputs!$F$7=1),(Inputs!$H$7+Inputs!$L$7*(((Inputs!$I$7+(((A206)+1)/2)*(Inputs!$J$7-Inputs!$I$7)))/Inputs!$K$7)^2),NA())</x:f>
        <x:v>213.84999999999997</x:v>
      </x:c>
      <x:c r="D206" s="9" t="n">
        <x:f>IF(OR(Inputs!$F$8=TRUE,Inputs!$F$8="TRUE",Inputs!$F$8=1),(Inputs!$H$8+Inputs!$L$8*(((Inputs!$I$8+(((A206)+1)/2)*(Inputs!$J$8-Inputs!$I$8)))/Inputs!$K$8)^2),NA())</x:f>
        <x:v>507.84999999999997</x:v>
      </x:c>
      <x:c r="E206" s="9" t="n">
        <x:f>IF(OR(Inputs!$F$9=TRUE,Inputs!$F$9="TRUE",Inputs!$F$9=1),(Inputs!$H$9+Inputs!$L$9*(((Inputs!$I$9+(((A206)+1)/2)*(Inputs!$J$9-Inputs!$I$9)))/Inputs!$K$9)^2),NA())</x:f>
        <x:v>502.74999999999994</x:v>
      </x:c>
      <x:c r="F206" s="10" t="n"/>
      <x:c r="G206" s="9" t="n">
        <x:f>A206</x:f>
        <x:v>0.7</x:v>
      </x:c>
      <x:c r="H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10" t="n"/>
      <x:c r="M206" s="9" t="n">
        <x:f>A206</x:f>
        <x:v>0.7</x:v>
      </x:c>
      <x:c r="N206" s="9"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9"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9"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9"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10" t="n"/>
      <x:c r="S206" s="9" t="n">
        <x:f>A206</x:f>
        <x:v>0.7</x:v>
      </x:c>
      <x:c r="T206" s="9" t="n">
        <x:f>(Inputs!$I$6+(((A206)+1)/2)*(Inputs!$J$6-Inputs!$I$6))</x:f>
        <x:v>42</x:v>
      </x:c>
      <x:c r="U206" s="9" t="n">
        <x:f>(Inputs!$I$7+(((A206)+1)/2)*(Inputs!$J$7-Inputs!$I$7))</x:f>
        <x:v>280</x:v>
      </x:c>
      <x:c r="V206" s="9" t="n">
        <x:f>(Inputs!$I$8+(((A206)+1)/2)*(Inputs!$J$8-Inputs!$I$8))</x:f>
        <x:v>560</x:v>
      </x:c>
      <x:c r="W206" s="9" t="n">
        <x:f>(Inputs!$I$9+(((A206)+1)/2)*(Inputs!$J$9-Inputs!$I$9))</x:f>
        <x:v>560</x:v>
      </x:c>
      <x:c r="X206" s="10" t="n"/>
      <x:c r="Y206" s="9" t="n">
        <x:f>A206</x:f>
        <x:v>0.7</x:v>
      </x:c>
      <x:c r="Z206" s="9" t="n">
        <x:f>(Inputs!$H$6+Inputs!$L$6*(((Inputs!$I$6+(((A206)+1)/2)*(Inputs!$J$6-Inputs!$I$6)))/Inputs!$K$6)^2)</x:f>
        <x:v>401.96</x:v>
      </x:c>
      <x:c r="AA206" s="9" t="n">
        <x:f>(Inputs!$H$7+Inputs!$L$7*(((Inputs!$I$7+(((A206)+1)/2)*(Inputs!$J$7-Inputs!$I$7)))/Inputs!$K$7)^2)</x:f>
        <x:v>213.84999999999997</x:v>
      </x:c>
      <x:c r="AB206" s="9" t="n">
        <x:f>(Inputs!$H$8+Inputs!$L$8*(((Inputs!$I$8+(((A206)+1)/2)*(Inputs!$J$8-Inputs!$I$8)))/Inputs!$K$8)^2)</x:f>
        <x:v>507.84999999999997</x:v>
      </x:c>
      <x:c r="AC206" s="9" t="n">
        <x:f>(Inputs!$H$9+Inputs!$L$9*(((Inputs!$I$9+(((A206)+1)/2)*(Inputs!$J$9-Inputs!$I$9)))/Inputs!$K$9)^2)</x:f>
        <x:v>502.74999999999994</x:v>
      </x:c>
      <x:c r="AD206" s="10" t="n"/>
      <x:c r="AE206" s="9" t="n">
        <x:f>A206</x:f>
        <x:v>0.7</x:v>
      </x:c>
      <x:c r="AF206" s="9"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9"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9"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9"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10" t="n"/>
      <x:c r="AK206" s="9" t="n">
        <x:f>A206</x:f>
        <x:v>0.7</x:v>
      </x:c>
      <x:c r="AL206" s="9"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9"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9"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9"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10" t="n"/>
      <x:c r="AQ206" s="9" t="n">
        <x:f>A206</x:f>
        <x:v>0.7</x:v>
      </x:c>
      <x:c r="AR206" s="9" t="n">
        <x:f>0</x:f>
        <x:v>0</x:v>
      </x:c>
      <x:c r="AS206" s="9"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x:f>
        <x:v>271.1262021129023</x:v>
      </x:c>
      <x:c r="AT206" s="9"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x:f>
        <x:v>136.6689269288142</x:v>
      </x:c>
      <x:c r="AU206" s="9"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x:f>
        <x:v>162.4877576725972</x:v>
      </x:c>
      <x:c r="AV206" s="9"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x:f>
        <x:v>162.4877576725972</x:v>
      </x:c>
      <x:c r="AW206" s="10" t="n"/>
      <x:c r="AX206" s="9" t="n">
        <x:f>A206</x:f>
        <x:v>0.7</x:v>
      </x:c>
      <x:c r="AY206" s="9" t="n">
        <x:f>0</x:f>
        <x:v>0</x:v>
      </x:c>
      <x:c r="AZ206" s="9" t="n">
        <x:f>IF(OR(Inputs!$F$6=TRUE,Inputs!$F$6="TRUE",Inputs!$F$6=1),(Inputs!$H$6+Inputs!$L$6*(((Inputs!$I$6+(((A206)+1)/2)*(Inputs!$J$6-Inputs!$I$6)))/Inputs!$K$6)^2),NA())</x:f>
        <x:v>401.96</x:v>
      </x:c>
      <x:c r="BA206" s="9" t="n">
        <x:f>IF(OR(Inputs!$F$7=TRUE,Inputs!$F$7="TRUE",Inputs!$F$7=1),(Inputs!$H$7+Inputs!$L$7*(((Inputs!$I$7+(((A206)+1)/2)*(Inputs!$J$7-Inputs!$I$7)))/Inputs!$K$7)^2),NA())</x:f>
        <x:v>213.84999999999997</x:v>
      </x:c>
      <x:c r="BB206" s="9" t="n">
        <x:f>IF(OR(Inputs!$F$8=TRUE,Inputs!$F$8="TRUE",Inputs!$F$8=1),(Inputs!$H$8+Inputs!$L$8*(((Inputs!$I$8+(((A206)+1)/2)*(Inputs!$J$8-Inputs!$I$8)))/Inputs!$K$8)^2),NA())</x:f>
        <x:v>507.84999999999997</x:v>
      </x:c>
      <x:c r="BC206" s="9" t="n">
        <x:f>IF(OR(Inputs!$F$9=TRUE,Inputs!$F$9="TRUE",Inputs!$F$9=1),(Inputs!$H$9+Inputs!$L$9*(((Inputs!$I$9+(((A206)+1)/2)*(Inputs!$J$9-Inputs!$I$9)))/Inputs!$K$9)^2),NA())</x:f>
        <x:v>502.74999999999994</x:v>
      </x:c>
      <x:c r="BD206" s="10" t="n"/>
      <x:c r="BE206" s="9" t="n">
        <x:f>A206</x:f>
        <x:v>0.7</x:v>
      </x:c>
      <x:c r="BF206" s="9" t="n">
        <x:f>0</x:f>
        <x:v>0</x:v>
      </x:c>
      <x:c r="BG206" s="9"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9"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9"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9"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9" t="n">
        <x:f>ROUND(-1+205*2/240,3)</x:f>
        <x:v>0.708</x:v>
      </x:c>
      <x:c r="B207" s="9" t="n">
        <x:f>IF(OR(Inputs!$F$6=TRUE,Inputs!$F$6="TRUE",Inputs!$F$6=1),(Inputs!$H$6+Inputs!$L$6*(((Inputs!$I$6+(((A207)+1)/2)*(Inputs!$J$6-Inputs!$I$6)))/Inputs!$K$6)^2),NA())</x:f>
        <x:v>402.005056</x:v>
      </x:c>
      <x:c r="C207" s="9" t="n">
        <x:f>IF(OR(Inputs!$F$7=TRUE,Inputs!$F$7="TRUE",Inputs!$F$7=1),(Inputs!$H$7+Inputs!$L$7*(((Inputs!$I$7+(((A207)+1)/2)*(Inputs!$J$7-Inputs!$I$7)))/Inputs!$K$7)^2),NA())</x:f>
        <x:v>217.96135999999993</x:v>
      </x:c>
      <x:c r="D207" s="9" t="n">
        <x:f>IF(OR(Inputs!$F$8=TRUE,Inputs!$F$8="TRUE",Inputs!$F$8=1),(Inputs!$H$8+Inputs!$L$8*(((Inputs!$I$8+(((A207)+1)/2)*(Inputs!$J$8-Inputs!$I$8)))/Inputs!$K$8)^2),NA())</x:f>
        <x:v>518.7197599999998</x:v>
      </x:c>
      <x:c r="E207" s="9" t="n">
        <x:f>IF(OR(Inputs!$F$9=TRUE,Inputs!$F$9="TRUE",Inputs!$F$9=1),(Inputs!$H$9+Inputs!$L$9*(((Inputs!$I$9+(((A207)+1)/2)*(Inputs!$J$9-Inputs!$I$9)))/Inputs!$K$9)^2),NA())</x:f>
        <x:v>513.7323999999999</x:v>
      </x:c>
      <x:c r="F207" s="10" t="n"/>
      <x:c r="G207" s="9" t="n">
        <x:f>A207</x:f>
        <x:v>0.708</x:v>
      </x:c>
      <x:c r="H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10" t="n"/>
      <x:c r="M207" s="9" t="n">
        <x:f>A207</x:f>
        <x:v>0.708</x:v>
      </x:c>
      <x:c r="N207" s="9"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9"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9"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9"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10" t="n"/>
      <x:c r="S207" s="9" t="n">
        <x:f>A207</x:f>
        <x:v>0.708</x:v>
      </x:c>
      <x:c r="T207" s="9" t="n">
        <x:f>(Inputs!$I$6+(((A207)+1)/2)*(Inputs!$J$6-Inputs!$I$6))</x:f>
        <x:v>42.480000000000004</x:v>
      </x:c>
      <x:c r="U207" s="9" t="n">
        <x:f>(Inputs!$I$7+(((A207)+1)/2)*(Inputs!$J$7-Inputs!$I$7))</x:f>
        <x:v>283.19999999999993</x:v>
      </x:c>
      <x:c r="V207" s="9" t="n">
        <x:f>(Inputs!$I$8+(((A207)+1)/2)*(Inputs!$J$8-Inputs!$I$8))</x:f>
        <x:v>566.3999999999999</x:v>
      </x:c>
      <x:c r="W207" s="9" t="n">
        <x:f>(Inputs!$I$9+(((A207)+1)/2)*(Inputs!$J$9-Inputs!$I$9))</x:f>
        <x:v>566.3999999999999</x:v>
      </x:c>
      <x:c r="X207" s="10" t="n"/>
      <x:c r="Y207" s="9" t="n">
        <x:f>A207</x:f>
        <x:v>0.708</x:v>
      </x:c>
      <x:c r="Z207" s="9" t="n">
        <x:f>(Inputs!$H$6+Inputs!$L$6*(((Inputs!$I$6+(((A207)+1)/2)*(Inputs!$J$6-Inputs!$I$6)))/Inputs!$K$6)^2)</x:f>
        <x:v>402.005056</x:v>
      </x:c>
      <x:c r="AA207" s="9" t="n">
        <x:f>(Inputs!$H$7+Inputs!$L$7*(((Inputs!$I$7+(((A207)+1)/2)*(Inputs!$J$7-Inputs!$I$7)))/Inputs!$K$7)^2)</x:f>
        <x:v>217.96135999999993</x:v>
      </x:c>
      <x:c r="AB207" s="9" t="n">
        <x:f>(Inputs!$H$8+Inputs!$L$8*(((Inputs!$I$8+(((A207)+1)/2)*(Inputs!$J$8-Inputs!$I$8)))/Inputs!$K$8)^2)</x:f>
        <x:v>518.7197599999998</x:v>
      </x:c>
      <x:c r="AC207" s="9" t="n">
        <x:f>(Inputs!$H$9+Inputs!$L$9*(((Inputs!$I$9+(((A207)+1)/2)*(Inputs!$J$9-Inputs!$I$9)))/Inputs!$K$9)^2)</x:f>
        <x:v>513.7323999999999</x:v>
      </x:c>
      <x:c r="AD207" s="10" t="n"/>
      <x:c r="AE207" s="9" t="n">
        <x:f>A207</x:f>
        <x:v>0.708</x:v>
      </x:c>
      <x:c r="AF207" s="9"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9"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9"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9"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10" t="n"/>
      <x:c r="AK207" s="9" t="n">
        <x:f>A207</x:f>
        <x:v>0.708</x:v>
      </x:c>
      <x:c r="AL207" s="9"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9"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9"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9"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10" t="n"/>
      <x:c r="AQ207" s="9" t="n">
        <x:f>A207</x:f>
        <x:v>0.708</x:v>
      </x:c>
      <x:c r="AR207" s="9" t="n">
        <x:f>0</x:f>
        <x:v>0</x:v>
      </x:c>
      <x:c r="AS207" s="9"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x:f>
        <x:v>268.50313597712363</x:v>
      </x:c>
      <x:c r="AT207" s="9"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x:f>
        <x:v>89.51088137188027</x:v>
      </x:c>
      <x:c r="AU207" s="9"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x:f>
        <x:v>176.90824782568845</x:v>
      </x:c>
      <x:c r="AV207" s="9"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x:f>
        <x:v>176.90824782568845</x:v>
      </x:c>
      <x:c r="AW207" s="10" t="n"/>
      <x:c r="AX207" s="9" t="n">
        <x:f>A207</x:f>
        <x:v>0.708</x:v>
      </x:c>
      <x:c r="AY207" s="9" t="n">
        <x:f>0</x:f>
        <x:v>0</x:v>
      </x:c>
      <x:c r="AZ207" s="9" t="n">
        <x:f>IF(OR(Inputs!$F$6=TRUE,Inputs!$F$6="TRUE",Inputs!$F$6=1),(Inputs!$H$6+Inputs!$L$6*(((Inputs!$I$6+(((A207)+1)/2)*(Inputs!$J$6-Inputs!$I$6)))/Inputs!$K$6)^2),NA())</x:f>
        <x:v>402.005056</x:v>
      </x:c>
      <x:c r="BA207" s="9" t="n">
        <x:f>IF(OR(Inputs!$F$7=TRUE,Inputs!$F$7="TRUE",Inputs!$F$7=1),(Inputs!$H$7+Inputs!$L$7*(((Inputs!$I$7+(((A207)+1)/2)*(Inputs!$J$7-Inputs!$I$7)))/Inputs!$K$7)^2),NA())</x:f>
        <x:v>217.96135999999993</x:v>
      </x:c>
      <x:c r="BB207" s="9" t="n">
        <x:f>IF(OR(Inputs!$F$8=TRUE,Inputs!$F$8="TRUE",Inputs!$F$8=1),(Inputs!$H$8+Inputs!$L$8*(((Inputs!$I$8+(((A207)+1)/2)*(Inputs!$J$8-Inputs!$I$8)))/Inputs!$K$8)^2),NA())</x:f>
        <x:v>518.7197599999998</x:v>
      </x:c>
      <x:c r="BC207" s="9" t="n">
        <x:f>IF(OR(Inputs!$F$9=TRUE,Inputs!$F$9="TRUE",Inputs!$F$9=1),(Inputs!$H$9+Inputs!$L$9*(((Inputs!$I$9+(((A207)+1)/2)*(Inputs!$J$9-Inputs!$I$9)))/Inputs!$K$9)^2),NA())</x:f>
        <x:v>513.7323999999999</x:v>
      </x:c>
      <x:c r="BD207" s="10" t="n"/>
      <x:c r="BE207" s="9" t="n">
        <x:f>A207</x:f>
        <x:v>0.708</x:v>
      </x:c>
      <x:c r="BF207" s="9" t="n">
        <x:f>0</x:f>
        <x:v>0</x:v>
      </x:c>
      <x:c r="BG207" s="9"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9"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9"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9"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9" t="n">
        <x:f>ROUND(-1+206*2/240,3)</x:f>
        <x:v>0.717</x:v>
      </x:c>
      <x:c r="B208" s="9" t="n">
        <x:f>IF(OR(Inputs!$F$6=TRUE,Inputs!$F$6="TRUE",Inputs!$F$6=1),(Inputs!$H$6+Inputs!$L$6*(((Inputs!$I$6+(((A208)+1)/2)*(Inputs!$J$6-Inputs!$I$6)))/Inputs!$K$6)^2),NA())</x:f>
        <x:v>402.056356</x:v>
      </x:c>
      <x:c r="C208" s="9" t="n">
        <x:f>IF(OR(Inputs!$F$7=TRUE,Inputs!$F$7="TRUE",Inputs!$F$7=1),(Inputs!$H$7+Inputs!$L$7*(((Inputs!$I$7+(((A208)+1)/2)*(Inputs!$J$7-Inputs!$I$7)))/Inputs!$K$7)^2),NA())</x:f>
        <x:v>222.64248500000008</x:v>
      </x:c>
      <x:c r="D208" s="9" t="n">
        <x:f>IF(OR(Inputs!$F$8=TRUE,Inputs!$F$8="TRUE",Inputs!$F$8=1),(Inputs!$H$8+Inputs!$L$8*(((Inputs!$I$8+(((A208)+1)/2)*(Inputs!$J$8-Inputs!$I$8)))/Inputs!$K$8)^2),NA())</x:f>
        <x:v>531.0958850000002</x:v>
      </x:c>
      <x:c r="E208" s="9" t="n">
        <x:f>IF(OR(Inputs!$F$9=TRUE,Inputs!$F$9="TRUE",Inputs!$F$9=1),(Inputs!$H$9+Inputs!$L$9*(((Inputs!$I$9+(((A208)+1)/2)*(Inputs!$J$9-Inputs!$I$9)))/Inputs!$K$9)^2),NA())</x:f>
        <x:v>526.2367750000003</x:v>
      </x:c>
      <x:c r="F208" s="10" t="n"/>
      <x:c r="G208" s="9" t="n">
        <x:f>A208</x:f>
        <x:v>0.717</x:v>
      </x:c>
      <x:c r="H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10" t="n"/>
      <x:c r="M208" s="9" t="n">
        <x:f>A208</x:f>
        <x:v>0.717</x:v>
      </x:c>
      <x:c r="N208" s="9"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9"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9"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9"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10" t="n"/>
      <x:c r="S208" s="9" t="n">
        <x:f>A208</x:f>
        <x:v>0.717</x:v>
      </x:c>
      <x:c r="T208" s="9" t="n">
        <x:f>(Inputs!$I$6+(((A208)+1)/2)*(Inputs!$J$6-Inputs!$I$6))</x:f>
        <x:v>43.02000000000001</x:v>
      </x:c>
      <x:c r="U208" s="9" t="n">
        <x:f>(Inputs!$I$7+(((A208)+1)/2)*(Inputs!$J$7-Inputs!$I$7))</x:f>
        <x:v>286.80000000000007</x:v>
      </x:c>
      <x:c r="V208" s="9" t="n">
        <x:f>(Inputs!$I$8+(((A208)+1)/2)*(Inputs!$J$8-Inputs!$I$8))</x:f>
        <x:v>573.6000000000001</x:v>
      </x:c>
      <x:c r="W208" s="9" t="n">
        <x:f>(Inputs!$I$9+(((A208)+1)/2)*(Inputs!$J$9-Inputs!$I$9))</x:f>
        <x:v>573.6000000000001</x:v>
      </x:c>
      <x:c r="X208" s="10" t="n"/>
      <x:c r="Y208" s="9" t="n">
        <x:f>A208</x:f>
        <x:v>0.717</x:v>
      </x:c>
      <x:c r="Z208" s="9" t="n">
        <x:f>(Inputs!$H$6+Inputs!$L$6*(((Inputs!$I$6+(((A208)+1)/2)*(Inputs!$J$6-Inputs!$I$6)))/Inputs!$K$6)^2)</x:f>
        <x:v>402.056356</x:v>
      </x:c>
      <x:c r="AA208" s="9" t="n">
        <x:f>(Inputs!$H$7+Inputs!$L$7*(((Inputs!$I$7+(((A208)+1)/2)*(Inputs!$J$7-Inputs!$I$7)))/Inputs!$K$7)^2)</x:f>
        <x:v>222.64248500000008</x:v>
      </x:c>
      <x:c r="AB208" s="9" t="n">
        <x:f>(Inputs!$H$8+Inputs!$L$8*(((Inputs!$I$8+(((A208)+1)/2)*(Inputs!$J$8-Inputs!$I$8)))/Inputs!$K$8)^2)</x:f>
        <x:v>531.0958850000002</x:v>
      </x:c>
      <x:c r="AC208" s="9" t="n">
        <x:f>(Inputs!$H$9+Inputs!$L$9*(((Inputs!$I$9+(((A208)+1)/2)*(Inputs!$J$9-Inputs!$I$9)))/Inputs!$K$9)^2)</x:f>
        <x:v>526.2367750000003</x:v>
      </x:c>
      <x:c r="AD208" s="10" t="n"/>
      <x:c r="AE208" s="9" t="n">
        <x:f>A208</x:f>
        <x:v>0.717</x:v>
      </x:c>
      <x:c r="AF208" s="9"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9"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9"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9"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10" t="n"/>
      <x:c r="AK208" s="9" t="n">
        <x:f>A208</x:f>
        <x:v>0.717</x:v>
      </x:c>
      <x:c r="AL208" s="9"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9"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9"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9"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10" t="n"/>
      <x:c r="AQ208" s="9" t="n">
        <x:f>A208</x:f>
        <x:v>0.717</x:v>
      </x:c>
      <x:c r="AR208" s="9" t="n">
        <x:f>0</x:f>
        <x:v>0</x:v>
      </x:c>
      <x:c r="AS208" s="9"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x:f>
        <x:v>228.73323738958655</x:v>
      </x:c>
      <x:c r="AT208" s="9"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x:f>
        <x:v>132.01989806599863</x:v>
      </x:c>
      <x:c r="AU208" s="9"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x:f>
        <x:v>79.48808163669973</x:v>
      </x:c>
      <x:c r="AV208" s="9"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x:f>
        <x:v>79.48808163669973</x:v>
      </x:c>
      <x:c r="AW208" s="10" t="n"/>
      <x:c r="AX208" s="9" t="n">
        <x:f>A208</x:f>
        <x:v>0.717</x:v>
      </x:c>
      <x:c r="AY208" s="9" t="n">
        <x:f>0</x:f>
        <x:v>0</x:v>
      </x:c>
      <x:c r="AZ208" s="9" t="n">
        <x:f>IF(OR(Inputs!$F$6=TRUE,Inputs!$F$6="TRUE",Inputs!$F$6=1),(Inputs!$H$6+Inputs!$L$6*(((Inputs!$I$6+(((A208)+1)/2)*(Inputs!$J$6-Inputs!$I$6)))/Inputs!$K$6)^2),NA())</x:f>
        <x:v>402.056356</x:v>
      </x:c>
      <x:c r="BA208" s="9" t="n">
        <x:f>IF(OR(Inputs!$F$7=TRUE,Inputs!$F$7="TRUE",Inputs!$F$7=1),(Inputs!$H$7+Inputs!$L$7*(((Inputs!$I$7+(((A208)+1)/2)*(Inputs!$J$7-Inputs!$I$7)))/Inputs!$K$7)^2),NA())</x:f>
        <x:v>222.64248500000008</x:v>
      </x:c>
      <x:c r="BB208" s="9" t="n">
        <x:f>IF(OR(Inputs!$F$8=TRUE,Inputs!$F$8="TRUE",Inputs!$F$8=1),(Inputs!$H$8+Inputs!$L$8*(((Inputs!$I$8+(((A208)+1)/2)*(Inputs!$J$8-Inputs!$I$8)))/Inputs!$K$8)^2),NA())</x:f>
        <x:v>531.0958850000002</x:v>
      </x:c>
      <x:c r="BC208" s="9" t="n">
        <x:f>IF(OR(Inputs!$F$9=TRUE,Inputs!$F$9="TRUE",Inputs!$F$9=1),(Inputs!$H$9+Inputs!$L$9*(((Inputs!$I$9+(((A208)+1)/2)*(Inputs!$J$9-Inputs!$I$9)))/Inputs!$K$9)^2),NA())</x:f>
        <x:v>526.2367750000003</x:v>
      </x:c>
      <x:c r="BD208" s="10" t="n"/>
      <x:c r="BE208" s="9" t="n">
        <x:f>A208</x:f>
        <x:v>0.717</x:v>
      </x:c>
      <x:c r="BF208" s="9" t="n">
        <x:f>0</x:f>
        <x:v>0</x:v>
      </x:c>
      <x:c r="BG208" s="9"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9"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9"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9"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9" t="n">
        <x:f>ROUND(-1+207*2/240,3)</x:f>
        <x:v>0.725</x:v>
      </x:c>
      <x:c r="B209" s="9" t="n">
        <x:f>IF(OR(Inputs!$F$6=TRUE,Inputs!$F$6="TRUE",Inputs!$F$6=1),(Inputs!$H$6+Inputs!$L$6*(((Inputs!$I$6+(((A209)+1)/2)*(Inputs!$J$6-Inputs!$I$6)))/Inputs!$K$6)^2),NA())</x:f>
        <x:v>402.1025</x:v>
      </x:c>
      <x:c r="C209" s="9" t="n">
        <x:f>IF(OR(Inputs!$F$7=TRUE,Inputs!$F$7="TRUE",Inputs!$F$7=1),(Inputs!$H$7+Inputs!$L$7*(((Inputs!$I$7+(((A209)+1)/2)*(Inputs!$J$7-Inputs!$I$7)))/Inputs!$K$7)^2),NA())</x:f>
        <x:v>226.853125</x:v>
      </x:c>
      <x:c r="D209" s="9" t="n">
        <x:f>IF(OR(Inputs!$F$8=TRUE,Inputs!$F$8="TRUE",Inputs!$F$8=1),(Inputs!$H$8+Inputs!$L$8*(((Inputs!$I$8+(((A209)+1)/2)*(Inputs!$J$8-Inputs!$I$8)))/Inputs!$K$8)^2),NA())</x:f>
        <x:v>542.2281250000001</x:v>
      </x:c>
      <x:c r="E209" s="9" t="n">
        <x:f>IF(OR(Inputs!$F$9=TRUE,Inputs!$F$9="TRUE",Inputs!$F$9=1),(Inputs!$H$9+Inputs!$L$9*(((Inputs!$I$9+(((A209)+1)/2)*(Inputs!$J$9-Inputs!$I$9)))/Inputs!$K$9)^2),NA())</x:f>
        <x:v>537.484375</x:v>
      </x:c>
      <x:c r="F209" s="10" t="n"/>
      <x:c r="G209" s="9" t="n">
        <x:f>A209</x:f>
        <x:v>0.725</x:v>
      </x:c>
      <x:c r="H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10" t="n"/>
      <x:c r="M209" s="9" t="n">
        <x:f>A209</x:f>
        <x:v>0.725</x:v>
      </x:c>
      <x:c r="N209" s="9"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9"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9"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9"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10" t="n"/>
      <x:c r="S209" s="9" t="n">
        <x:f>A209</x:f>
        <x:v>0.725</x:v>
      </x:c>
      <x:c r="T209" s="9" t="n">
        <x:f>(Inputs!$I$6+(((A209)+1)/2)*(Inputs!$J$6-Inputs!$I$6))</x:f>
        <x:v>43.5</x:v>
      </x:c>
      <x:c r="U209" s="9" t="n">
        <x:f>(Inputs!$I$7+(((A209)+1)/2)*(Inputs!$J$7-Inputs!$I$7))</x:f>
        <x:v>290</x:v>
      </x:c>
      <x:c r="V209" s="9" t="n">
        <x:f>(Inputs!$I$8+(((A209)+1)/2)*(Inputs!$J$8-Inputs!$I$8))</x:f>
        <x:v>580</x:v>
      </x:c>
      <x:c r="W209" s="9" t="n">
        <x:f>(Inputs!$I$9+(((A209)+1)/2)*(Inputs!$J$9-Inputs!$I$9))</x:f>
        <x:v>580</x:v>
      </x:c>
      <x:c r="X209" s="10" t="n"/>
      <x:c r="Y209" s="9" t="n">
        <x:f>A209</x:f>
        <x:v>0.725</x:v>
      </x:c>
      <x:c r="Z209" s="9" t="n">
        <x:f>(Inputs!$H$6+Inputs!$L$6*(((Inputs!$I$6+(((A209)+1)/2)*(Inputs!$J$6-Inputs!$I$6)))/Inputs!$K$6)^2)</x:f>
        <x:v>402.1025</x:v>
      </x:c>
      <x:c r="AA209" s="9" t="n">
        <x:f>(Inputs!$H$7+Inputs!$L$7*(((Inputs!$I$7+(((A209)+1)/2)*(Inputs!$J$7-Inputs!$I$7)))/Inputs!$K$7)^2)</x:f>
        <x:v>226.853125</x:v>
      </x:c>
      <x:c r="AB209" s="9" t="n">
        <x:f>(Inputs!$H$8+Inputs!$L$8*(((Inputs!$I$8+(((A209)+1)/2)*(Inputs!$J$8-Inputs!$I$8)))/Inputs!$K$8)^2)</x:f>
        <x:v>542.2281250000001</x:v>
      </x:c>
      <x:c r="AC209" s="9" t="n">
        <x:f>(Inputs!$H$9+Inputs!$L$9*(((Inputs!$I$9+(((A209)+1)/2)*(Inputs!$J$9-Inputs!$I$9)))/Inputs!$K$9)^2)</x:f>
        <x:v>537.484375</x:v>
      </x:c>
      <x:c r="AD209" s="10" t="n"/>
      <x:c r="AE209" s="9" t="n">
        <x:f>A209</x:f>
        <x:v>0.725</x:v>
      </x:c>
      <x:c r="AF209" s="9"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9"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9"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9"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10" t="n"/>
      <x:c r="AK209" s="9" t="n">
        <x:f>A209</x:f>
        <x:v>0.725</x:v>
      </x:c>
      <x:c r="AL209" s="9"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9"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9"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9"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10" t="n"/>
      <x:c r="AQ209" s="9" t="n">
        <x:f>A209</x:f>
        <x:v>0.725</x:v>
      </x:c>
      <x:c r="AR209" s="9" t="n">
        <x:f>0</x:f>
        <x:v>0</x:v>
      </x:c>
      <x:c r="AS209" s="9"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x:f>
        <x:v>225.35528260314678</x:v>
      </x:c>
      <x:c r="AT209" s="9"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x:f>
        <x:v>196.05503611504167</x:v>
      </x:c>
      <x:c r="AU209" s="9"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x:f>
        <x:v>248.04878603012355</x:v>
      </x:c>
      <x:c r="AV209" s="9"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x:f>
        <x:v>248.04878603012355</x:v>
      </x:c>
      <x:c r="AW209" s="10" t="n"/>
      <x:c r="AX209" s="9" t="n">
        <x:f>A209</x:f>
        <x:v>0.725</x:v>
      </x:c>
      <x:c r="AY209" s="9" t="n">
        <x:f>0</x:f>
        <x:v>0</x:v>
      </x:c>
      <x:c r="AZ209" s="9" t="n">
        <x:f>IF(OR(Inputs!$F$6=TRUE,Inputs!$F$6="TRUE",Inputs!$F$6=1),(Inputs!$H$6+Inputs!$L$6*(((Inputs!$I$6+(((A209)+1)/2)*(Inputs!$J$6-Inputs!$I$6)))/Inputs!$K$6)^2),NA())</x:f>
        <x:v>402.1025</x:v>
      </x:c>
      <x:c r="BA209" s="9" t="n">
        <x:f>IF(OR(Inputs!$F$7=TRUE,Inputs!$F$7="TRUE",Inputs!$F$7=1),(Inputs!$H$7+Inputs!$L$7*(((Inputs!$I$7+(((A209)+1)/2)*(Inputs!$J$7-Inputs!$I$7)))/Inputs!$K$7)^2),NA())</x:f>
        <x:v>226.853125</x:v>
      </x:c>
      <x:c r="BB209" s="9" t="n">
        <x:f>IF(OR(Inputs!$F$8=TRUE,Inputs!$F$8="TRUE",Inputs!$F$8=1),(Inputs!$H$8+Inputs!$L$8*(((Inputs!$I$8+(((A209)+1)/2)*(Inputs!$J$8-Inputs!$I$8)))/Inputs!$K$8)^2),NA())</x:f>
        <x:v>542.2281250000001</x:v>
      </x:c>
      <x:c r="BC209" s="9" t="n">
        <x:f>IF(OR(Inputs!$F$9=TRUE,Inputs!$F$9="TRUE",Inputs!$F$9=1),(Inputs!$H$9+Inputs!$L$9*(((Inputs!$I$9+(((A209)+1)/2)*(Inputs!$J$9-Inputs!$I$9)))/Inputs!$K$9)^2),NA())</x:f>
        <x:v>537.484375</x:v>
      </x:c>
      <x:c r="BD209" s="10" t="n"/>
      <x:c r="BE209" s="9" t="n">
        <x:f>A209</x:f>
        <x:v>0.725</x:v>
      </x:c>
      <x:c r="BF209" s="9" t="n">
        <x:f>0</x:f>
        <x:v>0</x:v>
      </x:c>
      <x:c r="BG209" s="9"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9"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9"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9"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9" t="n">
        <x:f>ROUND(-1+208*2/240,3)</x:f>
        <x:v>0.733</x:v>
      </x:c>
      <x:c r="B210" s="9" t="n">
        <x:f>IF(OR(Inputs!$F$6=TRUE,Inputs!$F$6="TRUE",Inputs!$F$6=1),(Inputs!$H$6+Inputs!$L$6*(((Inputs!$I$6+(((A210)+1)/2)*(Inputs!$J$6-Inputs!$I$6)))/Inputs!$K$6)^2),NA())</x:f>
        <x:v>402.149156</x:v>
      </x:c>
      <x:c r="C210" s="9" t="n">
        <x:f>IF(OR(Inputs!$F$7=TRUE,Inputs!$F$7="TRUE",Inputs!$F$7=1),(Inputs!$H$7+Inputs!$L$7*(((Inputs!$I$7+(((A210)+1)/2)*(Inputs!$J$7-Inputs!$I$7)))/Inputs!$K$7)^2),NA())</x:f>
        <x:v>231.11048500000004</x:v>
      </x:c>
      <x:c r="D210" s="9" t="n">
        <x:f>IF(OR(Inputs!$F$8=TRUE,Inputs!$F$8="TRUE",Inputs!$F$8=1),(Inputs!$H$8+Inputs!$L$8*(((Inputs!$I$8+(((A210)+1)/2)*(Inputs!$J$8-Inputs!$I$8)))/Inputs!$K$8)^2),NA())</x:f>
        <x:v>553.4838850000001</x:v>
      </x:c>
      <x:c r="E210" s="9" t="n">
        <x:f>IF(OR(Inputs!$F$9=TRUE,Inputs!$F$9="TRUE",Inputs!$F$9=1),(Inputs!$H$9+Inputs!$L$9*(((Inputs!$I$9+(((A210)+1)/2)*(Inputs!$J$9-Inputs!$I$9)))/Inputs!$K$9)^2),NA())</x:f>
        <x:v>548.8567750000001</x:v>
      </x:c>
      <x:c r="F210" s="10" t="n"/>
      <x:c r="G210" s="9" t="n">
        <x:f>A210</x:f>
        <x:v>0.733</x:v>
      </x:c>
      <x:c r="H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10" t="n"/>
      <x:c r="M210" s="9" t="n">
        <x:f>A210</x:f>
        <x:v>0.733</x:v>
      </x:c>
      <x:c r="N210" s="9"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9"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9"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9"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10" t="n"/>
      <x:c r="S210" s="9" t="n">
        <x:f>A210</x:f>
        <x:v>0.733</x:v>
      </x:c>
      <x:c r="T210" s="9" t="n">
        <x:f>(Inputs!$I$6+(((A210)+1)/2)*(Inputs!$J$6-Inputs!$I$6))</x:f>
        <x:v>43.980000000000004</x:v>
      </x:c>
      <x:c r="U210" s="9" t="n">
        <x:f>(Inputs!$I$7+(((A210)+1)/2)*(Inputs!$J$7-Inputs!$I$7))</x:f>
        <x:v>293.20000000000005</x:v>
      </x:c>
      <x:c r="V210" s="9" t="n">
        <x:f>(Inputs!$I$8+(((A210)+1)/2)*(Inputs!$J$8-Inputs!$I$8))</x:f>
        <x:v>586.4000000000001</x:v>
      </x:c>
      <x:c r="W210" s="9" t="n">
        <x:f>(Inputs!$I$9+(((A210)+1)/2)*(Inputs!$J$9-Inputs!$I$9))</x:f>
        <x:v>586.4000000000001</x:v>
      </x:c>
      <x:c r="X210" s="10" t="n"/>
      <x:c r="Y210" s="9" t="n">
        <x:f>A210</x:f>
        <x:v>0.733</x:v>
      </x:c>
      <x:c r="Z210" s="9" t="n">
        <x:f>(Inputs!$H$6+Inputs!$L$6*(((Inputs!$I$6+(((A210)+1)/2)*(Inputs!$J$6-Inputs!$I$6)))/Inputs!$K$6)^2)</x:f>
        <x:v>402.149156</x:v>
      </x:c>
      <x:c r="AA210" s="9" t="n">
        <x:f>(Inputs!$H$7+Inputs!$L$7*(((Inputs!$I$7+(((A210)+1)/2)*(Inputs!$J$7-Inputs!$I$7)))/Inputs!$K$7)^2)</x:f>
        <x:v>231.11048500000004</x:v>
      </x:c>
      <x:c r="AB210" s="9" t="n">
        <x:f>(Inputs!$H$8+Inputs!$L$8*(((Inputs!$I$8+(((A210)+1)/2)*(Inputs!$J$8-Inputs!$I$8)))/Inputs!$K$8)^2)</x:f>
        <x:v>553.4838850000001</x:v>
      </x:c>
      <x:c r="AC210" s="9" t="n">
        <x:f>(Inputs!$H$9+Inputs!$L$9*(((Inputs!$I$9+(((A210)+1)/2)*(Inputs!$J$9-Inputs!$I$9)))/Inputs!$K$9)^2)</x:f>
        <x:v>548.8567750000001</x:v>
      </x:c>
      <x:c r="AD210" s="10" t="n"/>
      <x:c r="AE210" s="9" t="n">
        <x:f>A210</x:f>
        <x:v>0.733</x:v>
      </x:c>
      <x:c r="AF210" s="9"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9"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9"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9"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10" t="n"/>
      <x:c r="AK210" s="9" t="n">
        <x:f>A210</x:f>
        <x:v>0.733</x:v>
      </x:c>
      <x:c r="AL210" s="9"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9"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9"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9"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10" t="n"/>
      <x:c r="AQ210" s="9" t="n">
        <x:f>A210</x:f>
        <x:v>0.733</x:v>
      </x:c>
      <x:c r="AR210" s="9" t="n">
        <x:f>0</x:f>
        <x:v>0</x:v>
      </x:c>
      <x:c r="AS210" s="9"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x:f>
        <x:v>206.43652162937582</x:v>
      </x:c>
      <x:c r="AT210" s="9"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x:f>
        <x:v>229.12595612803543</x:v>
      </x:c>
      <x:c r="AU210" s="9"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x:f>
        <x:v>105.6753173931249</x:v>
      </x:c>
      <x:c r="AV210" s="9"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x:f>
        <x:v>105.6753173931249</x:v>
      </x:c>
      <x:c r="AW210" s="10" t="n"/>
      <x:c r="AX210" s="9" t="n">
        <x:f>A210</x:f>
        <x:v>0.733</x:v>
      </x:c>
      <x:c r="AY210" s="9" t="n">
        <x:f>0</x:f>
        <x:v>0</x:v>
      </x:c>
      <x:c r="AZ210" s="9" t="n">
        <x:f>IF(OR(Inputs!$F$6=TRUE,Inputs!$F$6="TRUE",Inputs!$F$6=1),(Inputs!$H$6+Inputs!$L$6*(((Inputs!$I$6+(((A210)+1)/2)*(Inputs!$J$6-Inputs!$I$6)))/Inputs!$K$6)^2),NA())</x:f>
        <x:v>402.149156</x:v>
      </x:c>
      <x:c r="BA210" s="9" t="n">
        <x:f>IF(OR(Inputs!$F$7=TRUE,Inputs!$F$7="TRUE",Inputs!$F$7=1),(Inputs!$H$7+Inputs!$L$7*(((Inputs!$I$7+(((A210)+1)/2)*(Inputs!$J$7-Inputs!$I$7)))/Inputs!$K$7)^2),NA())</x:f>
        <x:v>231.11048500000004</x:v>
      </x:c>
      <x:c r="BB210" s="9" t="n">
        <x:f>IF(OR(Inputs!$F$8=TRUE,Inputs!$F$8="TRUE",Inputs!$F$8=1),(Inputs!$H$8+Inputs!$L$8*(((Inputs!$I$8+(((A210)+1)/2)*(Inputs!$J$8-Inputs!$I$8)))/Inputs!$K$8)^2),NA())</x:f>
        <x:v>553.4838850000001</x:v>
      </x:c>
      <x:c r="BC210" s="9" t="n">
        <x:f>IF(OR(Inputs!$F$9=TRUE,Inputs!$F$9="TRUE",Inputs!$F$9=1),(Inputs!$H$9+Inputs!$L$9*(((Inputs!$I$9+(((A210)+1)/2)*(Inputs!$J$9-Inputs!$I$9)))/Inputs!$K$9)^2),NA())</x:f>
        <x:v>548.8567750000001</x:v>
      </x:c>
      <x:c r="BD210" s="10" t="n"/>
      <x:c r="BE210" s="9" t="n">
        <x:f>A210</x:f>
        <x:v>0.733</x:v>
      </x:c>
      <x:c r="BF210" s="9" t="n">
        <x:f>0</x:f>
        <x:v>0</x:v>
      </x:c>
      <x:c r="BG210" s="9"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9"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9"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9"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9" t="n">
        <x:f>ROUND(-1+209*2/240,3)</x:f>
        <x:v>0.742</x:v>
      </x:c>
      <x:c r="B211" s="9" t="n">
        <x:f>IF(OR(Inputs!$F$6=TRUE,Inputs!$F$6="TRUE",Inputs!$F$6=1),(Inputs!$H$6+Inputs!$L$6*(((Inputs!$I$6+(((A211)+1)/2)*(Inputs!$J$6-Inputs!$I$6)))/Inputs!$K$6)^2),NA())</x:f>
        <x:v>402.202256</x:v>
      </x:c>
      <x:c r="C211" s="9" t="n">
        <x:f>IF(OR(Inputs!$F$7=TRUE,Inputs!$F$7="TRUE",Inputs!$F$7=1),(Inputs!$H$7+Inputs!$L$7*(((Inputs!$I$7+(((A211)+1)/2)*(Inputs!$J$7-Inputs!$I$7)))/Inputs!$K$7)^2),NA())</x:f>
        <x:v>235.95585999999994</x:v>
      </x:c>
      <x:c r="D211" s="9" t="n">
        <x:f>IF(OR(Inputs!$F$8=TRUE,Inputs!$F$8="TRUE",Inputs!$F$8=1),(Inputs!$H$8+Inputs!$L$8*(((Inputs!$I$8+(((A211)+1)/2)*(Inputs!$J$8-Inputs!$I$8)))/Inputs!$K$8)^2),NA())</x:f>
        <x:v>566.2942599999998</x:v>
      </x:c>
      <x:c r="E211" s="9" t="n">
        <x:f>IF(OR(Inputs!$F$9=TRUE,Inputs!$F$9="TRUE",Inputs!$F$9=1),(Inputs!$H$9+Inputs!$L$9*(((Inputs!$I$9+(((A211)+1)/2)*(Inputs!$J$9-Inputs!$I$9)))/Inputs!$K$9)^2),NA())</x:f>
        <x:v>561.7998999999999</x:v>
      </x:c>
      <x:c r="F211" s="10" t="n"/>
      <x:c r="G211" s="9" t="n">
        <x:f>A211</x:f>
        <x:v>0.742</x:v>
      </x:c>
      <x:c r="H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10" t="n"/>
      <x:c r="M211" s="9" t="n">
        <x:f>A211</x:f>
        <x:v>0.742</x:v>
      </x:c>
      <x:c r="N211" s="9"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9"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9"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9"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10" t="n"/>
      <x:c r="S211" s="9" t="n">
        <x:f>A211</x:f>
        <x:v>0.742</x:v>
      </x:c>
      <x:c r="T211" s="9" t="n">
        <x:f>(Inputs!$I$6+(((A211)+1)/2)*(Inputs!$J$6-Inputs!$I$6))</x:f>
        <x:v>44.519999999999996</x:v>
      </x:c>
      <x:c r="U211" s="9" t="n">
        <x:f>(Inputs!$I$7+(((A211)+1)/2)*(Inputs!$J$7-Inputs!$I$7))</x:f>
        <x:v>296.79999999999995</x:v>
      </x:c>
      <x:c r="V211" s="9" t="n">
        <x:f>(Inputs!$I$8+(((A211)+1)/2)*(Inputs!$J$8-Inputs!$I$8))</x:f>
        <x:v>593.5999999999999</x:v>
      </x:c>
      <x:c r="W211" s="9" t="n">
        <x:f>(Inputs!$I$9+(((A211)+1)/2)*(Inputs!$J$9-Inputs!$I$9))</x:f>
        <x:v>593.5999999999999</x:v>
      </x:c>
      <x:c r="X211" s="10" t="n"/>
      <x:c r="Y211" s="9" t="n">
        <x:f>A211</x:f>
        <x:v>0.742</x:v>
      </x:c>
      <x:c r="Z211" s="9" t="n">
        <x:f>(Inputs!$H$6+Inputs!$L$6*(((Inputs!$I$6+(((A211)+1)/2)*(Inputs!$J$6-Inputs!$I$6)))/Inputs!$K$6)^2)</x:f>
        <x:v>402.202256</x:v>
      </x:c>
      <x:c r="AA211" s="9" t="n">
        <x:f>(Inputs!$H$7+Inputs!$L$7*(((Inputs!$I$7+(((A211)+1)/2)*(Inputs!$J$7-Inputs!$I$7)))/Inputs!$K$7)^2)</x:f>
        <x:v>235.95585999999994</x:v>
      </x:c>
      <x:c r="AB211" s="9" t="n">
        <x:f>(Inputs!$H$8+Inputs!$L$8*(((Inputs!$I$8+(((A211)+1)/2)*(Inputs!$J$8-Inputs!$I$8)))/Inputs!$K$8)^2)</x:f>
        <x:v>566.2942599999998</x:v>
      </x:c>
      <x:c r="AC211" s="9" t="n">
        <x:f>(Inputs!$H$9+Inputs!$L$9*(((Inputs!$I$9+(((A211)+1)/2)*(Inputs!$J$9-Inputs!$I$9)))/Inputs!$K$9)^2)</x:f>
        <x:v>561.7998999999999</x:v>
      </x:c>
      <x:c r="AD211" s="10" t="n"/>
      <x:c r="AE211" s="9" t="n">
        <x:f>A211</x:f>
        <x:v>0.742</x:v>
      </x:c>
      <x:c r="AF211" s="9"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9"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9"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9"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10" t="n"/>
      <x:c r="AK211" s="9" t="n">
        <x:f>A211</x:f>
        <x:v>0.742</x:v>
      </x:c>
      <x:c r="AL211" s="9"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9"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9"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9"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10" t="n"/>
      <x:c r="AQ211" s="9" t="n">
        <x:f>A211</x:f>
        <x:v>0.742</x:v>
      </x:c>
      <x:c r="AR211" s="9" t="n">
        <x:f>0</x:f>
        <x:v>0</x:v>
      </x:c>
      <x:c r="AS211" s="9"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x:f>
        <x:v>194.72267766340866</x:v>
      </x:c>
      <x:c r="AT211" s="9"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x:f>
        <x:v>158.13113423490745</x:v>
      </x:c>
      <x:c r="AU211" s="9"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x:f>
        <x:v>156.12755644447125</x:v>
      </x:c>
      <x:c r="AV211" s="9"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x:f>
        <x:v>156.12755644447125</x:v>
      </x:c>
      <x:c r="AW211" s="10" t="n"/>
      <x:c r="AX211" s="9" t="n">
        <x:f>A211</x:f>
        <x:v>0.742</x:v>
      </x:c>
      <x:c r="AY211" s="9" t="n">
        <x:f>0</x:f>
        <x:v>0</x:v>
      </x:c>
      <x:c r="AZ211" s="9" t="n">
        <x:f>IF(OR(Inputs!$F$6=TRUE,Inputs!$F$6="TRUE",Inputs!$F$6=1),(Inputs!$H$6+Inputs!$L$6*(((Inputs!$I$6+(((A211)+1)/2)*(Inputs!$J$6-Inputs!$I$6)))/Inputs!$K$6)^2),NA())</x:f>
        <x:v>402.202256</x:v>
      </x:c>
      <x:c r="BA211" s="9" t="n">
        <x:f>IF(OR(Inputs!$F$7=TRUE,Inputs!$F$7="TRUE",Inputs!$F$7=1),(Inputs!$H$7+Inputs!$L$7*(((Inputs!$I$7+(((A211)+1)/2)*(Inputs!$J$7-Inputs!$I$7)))/Inputs!$K$7)^2),NA())</x:f>
        <x:v>235.95585999999994</x:v>
      </x:c>
      <x:c r="BB211" s="9" t="n">
        <x:f>IF(OR(Inputs!$F$8=TRUE,Inputs!$F$8="TRUE",Inputs!$F$8=1),(Inputs!$H$8+Inputs!$L$8*(((Inputs!$I$8+(((A211)+1)/2)*(Inputs!$J$8-Inputs!$I$8)))/Inputs!$K$8)^2),NA())</x:f>
        <x:v>566.2942599999998</x:v>
      </x:c>
      <x:c r="BC211" s="9" t="n">
        <x:f>IF(OR(Inputs!$F$9=TRUE,Inputs!$F$9="TRUE",Inputs!$F$9=1),(Inputs!$H$9+Inputs!$L$9*(((Inputs!$I$9+(((A211)+1)/2)*(Inputs!$J$9-Inputs!$I$9)))/Inputs!$K$9)^2),NA())</x:f>
        <x:v>561.7998999999999</x:v>
      </x:c>
      <x:c r="BD211" s="10" t="n"/>
      <x:c r="BE211" s="9" t="n">
        <x:f>A211</x:f>
        <x:v>0.742</x:v>
      </x:c>
      <x:c r="BF211" s="9" t="n">
        <x:f>0</x:f>
        <x:v>0</x:v>
      </x:c>
      <x:c r="BG211" s="9"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9"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9"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9"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9" t="n">
        <x:f>ROUND(-1+210*2/240,3)</x:f>
        <x:v>0.75</x:v>
      </x:c>
      <x:c r="B212" s="9" t="n">
        <x:f>IF(OR(Inputs!$F$6=TRUE,Inputs!$F$6="TRUE",Inputs!$F$6=1),(Inputs!$H$6+Inputs!$L$6*(((Inputs!$I$6+(((A212)+1)/2)*(Inputs!$J$6-Inputs!$I$6)))/Inputs!$K$6)^2),NA())</x:f>
        <x:v>402.25</x:v>
      </x:c>
      <x:c r="C212" s="9" t="n">
        <x:f>IF(OR(Inputs!$F$7=TRUE,Inputs!$F$7="TRUE",Inputs!$F$7=1),(Inputs!$H$7+Inputs!$L$7*(((Inputs!$I$7+(((A212)+1)/2)*(Inputs!$J$7-Inputs!$I$7)))/Inputs!$K$7)^2),NA())</x:f>
        <x:v>240.3125</x:v>
      </x:c>
      <x:c r="D212" s="9" t="n">
        <x:f>IF(OR(Inputs!$F$8=TRUE,Inputs!$F$8="TRUE",Inputs!$F$8=1),(Inputs!$H$8+Inputs!$L$8*(((Inputs!$I$8+(((A212)+1)/2)*(Inputs!$J$8-Inputs!$I$8)))/Inputs!$K$8)^2),NA())</x:f>
        <x:v>577.8125</x:v>
      </x:c>
      <x:c r="E212" s="9" t="n">
        <x:f>IF(OR(Inputs!$F$9=TRUE,Inputs!$F$9="TRUE",Inputs!$F$9=1),(Inputs!$H$9+Inputs!$L$9*(((Inputs!$I$9+(((A212)+1)/2)*(Inputs!$J$9-Inputs!$I$9)))/Inputs!$K$9)^2),NA())</x:f>
        <x:v>573.4375</x:v>
      </x:c>
      <x:c r="F212" s="10" t="n"/>
      <x:c r="G212" s="9" t="n">
        <x:f>A212</x:f>
        <x:v>0.75</x:v>
      </x:c>
      <x:c r="H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10" t="n"/>
      <x:c r="M212" s="9" t="n">
        <x:f>A212</x:f>
        <x:v>0.75</x:v>
      </x:c>
      <x:c r="N212" s="9"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9"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9"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9"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10" t="n"/>
      <x:c r="S212" s="9" t="n">
        <x:f>A212</x:f>
        <x:v>0.75</x:v>
      </x:c>
      <x:c r="T212" s="9" t="n">
        <x:f>(Inputs!$I$6+(((A212)+1)/2)*(Inputs!$J$6-Inputs!$I$6))</x:f>
        <x:v>45</x:v>
      </x:c>
      <x:c r="U212" s="9" t="n">
        <x:f>(Inputs!$I$7+(((A212)+1)/2)*(Inputs!$J$7-Inputs!$I$7))</x:f>
        <x:v>300</x:v>
      </x:c>
      <x:c r="V212" s="9" t="n">
        <x:f>(Inputs!$I$8+(((A212)+1)/2)*(Inputs!$J$8-Inputs!$I$8))</x:f>
        <x:v>600</x:v>
      </x:c>
      <x:c r="W212" s="9" t="n">
        <x:f>(Inputs!$I$9+(((A212)+1)/2)*(Inputs!$J$9-Inputs!$I$9))</x:f>
        <x:v>600</x:v>
      </x:c>
      <x:c r="X212" s="10" t="n"/>
      <x:c r="Y212" s="9" t="n">
        <x:f>A212</x:f>
        <x:v>0.75</x:v>
      </x:c>
      <x:c r="Z212" s="9" t="n">
        <x:f>(Inputs!$H$6+Inputs!$L$6*(((Inputs!$I$6+(((A212)+1)/2)*(Inputs!$J$6-Inputs!$I$6)))/Inputs!$K$6)^2)</x:f>
        <x:v>402.25</x:v>
      </x:c>
      <x:c r="AA212" s="9" t="n">
        <x:f>(Inputs!$H$7+Inputs!$L$7*(((Inputs!$I$7+(((A212)+1)/2)*(Inputs!$J$7-Inputs!$I$7)))/Inputs!$K$7)^2)</x:f>
        <x:v>240.3125</x:v>
      </x:c>
      <x:c r="AB212" s="9" t="n">
        <x:f>(Inputs!$H$8+Inputs!$L$8*(((Inputs!$I$8+(((A212)+1)/2)*(Inputs!$J$8-Inputs!$I$8)))/Inputs!$K$8)^2)</x:f>
        <x:v>577.8125</x:v>
      </x:c>
      <x:c r="AC212" s="9" t="n">
        <x:f>(Inputs!$H$9+Inputs!$L$9*(((Inputs!$I$9+(((A212)+1)/2)*(Inputs!$J$9-Inputs!$I$9)))/Inputs!$K$9)^2)</x:f>
        <x:v>573.4375</x:v>
      </x:c>
      <x:c r="AD212" s="10" t="n"/>
      <x:c r="AE212" s="9" t="n">
        <x:f>A212</x:f>
        <x:v>0.75</x:v>
      </x:c>
      <x:c r="AF212" s="9"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9"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9"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9"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10" t="n"/>
      <x:c r="AK212" s="9" t="n">
        <x:f>A212</x:f>
        <x:v>0.75</x:v>
      </x:c>
      <x:c r="AL212" s="9"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9"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9"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9"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10" t="n"/>
      <x:c r="AQ212" s="9" t="n">
        <x:f>A212</x:f>
        <x:v>0.75</x:v>
      </x:c>
      <x:c r="AR212" s="9" t="n">
        <x:f>0</x:f>
        <x:v>0</x:v>
      </x:c>
      <x:c r="AS212" s="9"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x:f>
        <x:v>165.26573251393552</x:v>
      </x:c>
      <x:c r="AT212" s="9"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x:f>
        <x:v>97.23537790937075</x:v>
      </x:c>
      <x:c r="AU212" s="9"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x:f>
        <x:v>164.31054513810437</x:v>
      </x:c>
      <x:c r="AV212" s="9"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x:f>
        <x:v>164.31054513810437</x:v>
      </x:c>
      <x:c r="AW212" s="10" t="n"/>
      <x:c r="AX212" s="9" t="n">
        <x:f>A212</x:f>
        <x:v>0.75</x:v>
      </x:c>
      <x:c r="AY212" s="9" t="n">
        <x:f>0</x:f>
        <x:v>0</x:v>
      </x:c>
      <x:c r="AZ212" s="9" t="n">
        <x:f>IF(OR(Inputs!$F$6=TRUE,Inputs!$F$6="TRUE",Inputs!$F$6=1),(Inputs!$H$6+Inputs!$L$6*(((Inputs!$I$6+(((A212)+1)/2)*(Inputs!$J$6-Inputs!$I$6)))/Inputs!$K$6)^2),NA())</x:f>
        <x:v>402.25</x:v>
      </x:c>
      <x:c r="BA212" s="9" t="n">
        <x:f>IF(OR(Inputs!$F$7=TRUE,Inputs!$F$7="TRUE",Inputs!$F$7=1),(Inputs!$H$7+Inputs!$L$7*(((Inputs!$I$7+(((A212)+1)/2)*(Inputs!$J$7-Inputs!$I$7)))/Inputs!$K$7)^2),NA())</x:f>
        <x:v>240.3125</x:v>
      </x:c>
      <x:c r="BB212" s="9" t="n">
        <x:f>IF(OR(Inputs!$F$8=TRUE,Inputs!$F$8="TRUE",Inputs!$F$8=1),(Inputs!$H$8+Inputs!$L$8*(((Inputs!$I$8+(((A212)+1)/2)*(Inputs!$J$8-Inputs!$I$8)))/Inputs!$K$8)^2),NA())</x:f>
        <x:v>577.8125</x:v>
      </x:c>
      <x:c r="BC212" s="9" t="n">
        <x:f>IF(OR(Inputs!$F$9=TRUE,Inputs!$F$9="TRUE",Inputs!$F$9=1),(Inputs!$H$9+Inputs!$L$9*(((Inputs!$I$9+(((A212)+1)/2)*(Inputs!$J$9-Inputs!$I$9)))/Inputs!$K$9)^2),NA())</x:f>
        <x:v>573.4375</x:v>
      </x:c>
      <x:c r="BD212" s="10" t="n"/>
      <x:c r="BE212" s="9" t="n">
        <x:f>A212</x:f>
        <x:v>0.75</x:v>
      </x:c>
      <x:c r="BF212" s="9" t="n">
        <x:f>0</x:f>
        <x:v>0</x:v>
      </x:c>
      <x:c r="BG212" s="9"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9"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9"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9"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9" t="n">
        <x:f>ROUND(-1+211*2/240,3)</x:f>
        <x:v>0.758</x:v>
      </x:c>
      <x:c r="B213" s="9" t="n">
        <x:f>IF(OR(Inputs!$F$6=TRUE,Inputs!$F$6="TRUE",Inputs!$F$6=1),(Inputs!$H$6+Inputs!$L$6*(((Inputs!$I$6+(((A213)+1)/2)*(Inputs!$J$6-Inputs!$I$6)))/Inputs!$K$6)^2),NA())</x:f>
        <x:v>402.298256</x:v>
      </x:c>
      <x:c r="C213" s="9" t="n">
        <x:f>IF(OR(Inputs!$F$7=TRUE,Inputs!$F$7="TRUE",Inputs!$F$7=1),(Inputs!$H$7+Inputs!$L$7*(((Inputs!$I$7+(((A213)+1)/2)*(Inputs!$J$7-Inputs!$I$7)))/Inputs!$K$7)^2),NA())</x:f>
        <x:v>244.71586000000008</x:v>
      </x:c>
      <x:c r="D213" s="9" t="n">
        <x:f>IF(OR(Inputs!$F$8=TRUE,Inputs!$F$8="TRUE",Inputs!$F$8=1),(Inputs!$H$8+Inputs!$L$8*(((Inputs!$I$8+(((A213)+1)/2)*(Inputs!$J$8-Inputs!$I$8)))/Inputs!$K$8)^2),NA())</x:f>
        <x:v>589.4542600000002</x:v>
      </x:c>
      <x:c r="E213" s="9" t="n">
        <x:f>IF(OR(Inputs!$F$9=TRUE,Inputs!$F$9="TRUE",Inputs!$F$9=1),(Inputs!$H$9+Inputs!$L$9*(((Inputs!$I$9+(((A213)+1)/2)*(Inputs!$J$9-Inputs!$I$9)))/Inputs!$K$9)^2),NA())</x:f>
        <x:v>585.1999000000002</x:v>
      </x:c>
      <x:c r="F213" s="10" t="n"/>
      <x:c r="G213" s="9" t="n">
        <x:f>A213</x:f>
        <x:v>0.758</x:v>
      </x:c>
      <x:c r="H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10" t="n"/>
      <x:c r="M213" s="9" t="n">
        <x:f>A213</x:f>
        <x:v>0.758</x:v>
      </x:c>
      <x:c r="N213" s="9"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9"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9"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9"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10" t="n"/>
      <x:c r="S213" s="9" t="n">
        <x:f>A213</x:f>
        <x:v>0.758</x:v>
      </x:c>
      <x:c r="T213" s="9" t="n">
        <x:f>(Inputs!$I$6+(((A213)+1)/2)*(Inputs!$J$6-Inputs!$I$6))</x:f>
        <x:v>45.480000000000004</x:v>
      </x:c>
      <x:c r="U213" s="9" t="n">
        <x:f>(Inputs!$I$7+(((A213)+1)/2)*(Inputs!$J$7-Inputs!$I$7))</x:f>
        <x:v>303.20000000000005</x:v>
      </x:c>
      <x:c r="V213" s="9" t="n">
        <x:f>(Inputs!$I$8+(((A213)+1)/2)*(Inputs!$J$8-Inputs!$I$8))</x:f>
        <x:v>606.4000000000001</x:v>
      </x:c>
      <x:c r="W213" s="9" t="n">
        <x:f>(Inputs!$I$9+(((A213)+1)/2)*(Inputs!$J$9-Inputs!$I$9))</x:f>
        <x:v>606.4000000000001</x:v>
      </x:c>
      <x:c r="X213" s="10" t="n"/>
      <x:c r="Y213" s="9" t="n">
        <x:f>A213</x:f>
        <x:v>0.758</x:v>
      </x:c>
      <x:c r="Z213" s="9" t="n">
        <x:f>(Inputs!$H$6+Inputs!$L$6*(((Inputs!$I$6+(((A213)+1)/2)*(Inputs!$J$6-Inputs!$I$6)))/Inputs!$K$6)^2)</x:f>
        <x:v>402.298256</x:v>
      </x:c>
      <x:c r="AA213" s="9" t="n">
        <x:f>(Inputs!$H$7+Inputs!$L$7*(((Inputs!$I$7+(((A213)+1)/2)*(Inputs!$J$7-Inputs!$I$7)))/Inputs!$K$7)^2)</x:f>
        <x:v>244.71586000000008</x:v>
      </x:c>
      <x:c r="AB213" s="9" t="n">
        <x:f>(Inputs!$H$8+Inputs!$L$8*(((Inputs!$I$8+(((A213)+1)/2)*(Inputs!$J$8-Inputs!$I$8)))/Inputs!$K$8)^2)</x:f>
        <x:v>589.4542600000002</x:v>
      </x:c>
      <x:c r="AC213" s="9" t="n">
        <x:f>(Inputs!$H$9+Inputs!$L$9*(((Inputs!$I$9+(((A213)+1)/2)*(Inputs!$J$9-Inputs!$I$9)))/Inputs!$K$9)^2)</x:f>
        <x:v>585.1999000000002</x:v>
      </x:c>
      <x:c r="AD213" s="10" t="n"/>
      <x:c r="AE213" s="9" t="n">
        <x:f>A213</x:f>
        <x:v>0.758</x:v>
      </x:c>
      <x:c r="AF213" s="9"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9"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9"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9"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10" t="n"/>
      <x:c r="AK213" s="9" t="n">
        <x:f>A213</x:f>
        <x:v>0.758</x:v>
      </x:c>
      <x:c r="AL213" s="9"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9"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9"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9"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10" t="n"/>
      <x:c r="AQ213" s="9" t="n">
        <x:f>A213</x:f>
        <x:v>0.758</x:v>
      </x:c>
      <x:c r="AR213" s="9" t="n">
        <x:f>0</x:f>
        <x:v>0</x:v>
      </x:c>
      <x:c r="AS213" s="9"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x:f>
        <x:v>153.2323789253225</x:v>
      </x:c>
      <x:c r="AT213" s="9"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x:f>
        <x:v>108.92623427961139</x:v>
      </x:c>
      <x:c r="AU213" s="9"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x:f>
        <x:v>83.71001822374583</x:v>
      </x:c>
      <x:c r="AV213" s="9"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x:f>
        <x:v>83.71001822374583</x:v>
      </x:c>
      <x:c r="AW213" s="10" t="n"/>
      <x:c r="AX213" s="9" t="n">
        <x:f>A213</x:f>
        <x:v>0.758</x:v>
      </x:c>
      <x:c r="AY213" s="9" t="n">
        <x:f>0</x:f>
        <x:v>0</x:v>
      </x:c>
      <x:c r="AZ213" s="9" t="n">
        <x:f>IF(OR(Inputs!$F$6=TRUE,Inputs!$F$6="TRUE",Inputs!$F$6=1),(Inputs!$H$6+Inputs!$L$6*(((Inputs!$I$6+(((A213)+1)/2)*(Inputs!$J$6-Inputs!$I$6)))/Inputs!$K$6)^2),NA())</x:f>
        <x:v>402.298256</x:v>
      </x:c>
      <x:c r="BA213" s="9" t="n">
        <x:f>IF(OR(Inputs!$F$7=TRUE,Inputs!$F$7="TRUE",Inputs!$F$7=1),(Inputs!$H$7+Inputs!$L$7*(((Inputs!$I$7+(((A213)+1)/2)*(Inputs!$J$7-Inputs!$I$7)))/Inputs!$K$7)^2),NA())</x:f>
        <x:v>244.71586000000008</x:v>
      </x:c>
      <x:c r="BB213" s="9" t="n">
        <x:f>IF(OR(Inputs!$F$8=TRUE,Inputs!$F$8="TRUE",Inputs!$F$8=1),(Inputs!$H$8+Inputs!$L$8*(((Inputs!$I$8+(((A213)+1)/2)*(Inputs!$J$8-Inputs!$I$8)))/Inputs!$K$8)^2),NA())</x:f>
        <x:v>589.4542600000002</x:v>
      </x:c>
      <x:c r="BC213" s="9" t="n">
        <x:f>IF(OR(Inputs!$F$9=TRUE,Inputs!$F$9="TRUE",Inputs!$F$9=1),(Inputs!$H$9+Inputs!$L$9*(((Inputs!$I$9+(((A213)+1)/2)*(Inputs!$J$9-Inputs!$I$9)))/Inputs!$K$9)^2),NA())</x:f>
        <x:v>585.1999000000002</x:v>
      </x:c>
      <x:c r="BD213" s="10" t="n"/>
      <x:c r="BE213" s="9" t="n">
        <x:f>A213</x:f>
        <x:v>0.758</x:v>
      </x:c>
      <x:c r="BF213" s="9" t="n">
        <x:f>0</x:f>
        <x:v>0</x:v>
      </x:c>
      <x:c r="BG213" s="9"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9"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9"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9"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9" t="n">
        <x:f>ROUND(-1+212*2/240,3)</x:f>
        <x:v>0.767</x:v>
      </x:c>
      <x:c r="B214" s="9" t="n">
        <x:f>IF(OR(Inputs!$F$6=TRUE,Inputs!$F$6="TRUE",Inputs!$F$6=1),(Inputs!$H$6+Inputs!$L$6*(((Inputs!$I$6+(((A214)+1)/2)*(Inputs!$J$6-Inputs!$I$6)))/Inputs!$K$6)^2),NA())</x:f>
        <x:v>402.353156</x:v>
      </x:c>
      <x:c r="C214" s="9" t="n">
        <x:f>IF(OR(Inputs!$F$7=TRUE,Inputs!$F$7="TRUE",Inputs!$F$7=1),(Inputs!$H$7+Inputs!$L$7*(((Inputs!$I$7+(((A214)+1)/2)*(Inputs!$J$7-Inputs!$I$7)))/Inputs!$K$7)^2),NA())</x:f>
        <x:v>249.72548499999994</x:v>
      </x:c>
      <x:c r="D214" s="9" t="n">
        <x:f>IF(OR(Inputs!$F$8=TRUE,Inputs!$F$8="TRUE",Inputs!$F$8=1),(Inputs!$H$8+Inputs!$L$8*(((Inputs!$I$8+(((A214)+1)/2)*(Inputs!$J$8-Inputs!$I$8)))/Inputs!$K$8)^2),NA())</x:f>
        <x:v>602.6988849999998</x:v>
      </x:c>
      <x:c r="E214" s="9" t="n">
        <x:f>IF(OR(Inputs!$F$9=TRUE,Inputs!$F$9="TRUE",Inputs!$F$9=1),(Inputs!$H$9+Inputs!$L$9*(((Inputs!$I$9+(((A214)+1)/2)*(Inputs!$J$9-Inputs!$I$9)))/Inputs!$K$9)^2),NA())</x:f>
        <x:v>598.5817749999999</x:v>
      </x:c>
      <x:c r="F214" s="10" t="n"/>
      <x:c r="G214" s="9" t="n">
        <x:f>A214</x:f>
        <x:v>0.767</x:v>
      </x:c>
      <x:c r="H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10" t="n"/>
      <x:c r="M214" s="9" t="n">
        <x:f>A214</x:f>
        <x:v>0.767</x:v>
      </x:c>
      <x:c r="N214" s="9"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9"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9"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9"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10" t="n"/>
      <x:c r="S214" s="9" t="n">
        <x:f>A214</x:f>
        <x:v>0.767</x:v>
      </x:c>
      <x:c r="T214" s="9" t="n">
        <x:f>(Inputs!$I$6+(((A214)+1)/2)*(Inputs!$J$6-Inputs!$I$6))</x:f>
        <x:v>46.019999999999996</x:v>
      </x:c>
      <x:c r="U214" s="9" t="n">
        <x:f>(Inputs!$I$7+(((A214)+1)/2)*(Inputs!$J$7-Inputs!$I$7))</x:f>
        <x:v>306.79999999999995</x:v>
      </x:c>
      <x:c r="V214" s="9" t="n">
        <x:f>(Inputs!$I$8+(((A214)+1)/2)*(Inputs!$J$8-Inputs!$I$8))</x:f>
        <x:v>613.5999999999999</x:v>
      </x:c>
      <x:c r="W214" s="9" t="n">
        <x:f>(Inputs!$I$9+(((A214)+1)/2)*(Inputs!$J$9-Inputs!$I$9))</x:f>
        <x:v>613.5999999999999</x:v>
      </x:c>
      <x:c r="X214" s="10" t="n"/>
      <x:c r="Y214" s="9" t="n">
        <x:f>A214</x:f>
        <x:v>0.767</x:v>
      </x:c>
      <x:c r="Z214" s="9" t="n">
        <x:f>(Inputs!$H$6+Inputs!$L$6*(((Inputs!$I$6+(((A214)+1)/2)*(Inputs!$J$6-Inputs!$I$6)))/Inputs!$K$6)^2)</x:f>
        <x:v>402.353156</x:v>
      </x:c>
      <x:c r="AA214" s="9" t="n">
        <x:f>(Inputs!$H$7+Inputs!$L$7*(((Inputs!$I$7+(((A214)+1)/2)*(Inputs!$J$7-Inputs!$I$7)))/Inputs!$K$7)^2)</x:f>
        <x:v>249.72548499999994</x:v>
      </x:c>
      <x:c r="AB214" s="9" t="n">
        <x:f>(Inputs!$H$8+Inputs!$L$8*(((Inputs!$I$8+(((A214)+1)/2)*(Inputs!$J$8-Inputs!$I$8)))/Inputs!$K$8)^2)</x:f>
        <x:v>602.6988849999998</x:v>
      </x:c>
      <x:c r="AC214" s="9" t="n">
        <x:f>(Inputs!$H$9+Inputs!$L$9*(((Inputs!$I$9+(((A214)+1)/2)*(Inputs!$J$9-Inputs!$I$9)))/Inputs!$K$9)^2)</x:f>
        <x:v>598.5817749999999</x:v>
      </x:c>
      <x:c r="AD214" s="10" t="n"/>
      <x:c r="AE214" s="9" t="n">
        <x:f>A214</x:f>
        <x:v>0.767</x:v>
      </x:c>
      <x:c r="AF214" s="9"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9"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9"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9"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10" t="n"/>
      <x:c r="AK214" s="9" t="n">
        <x:f>A214</x:f>
        <x:v>0.767</x:v>
      </x:c>
      <x:c r="AL214" s="9"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9"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9"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9"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10" t="n"/>
      <x:c r="AQ214" s="9" t="n">
        <x:f>A214</x:f>
        <x:v>0.767</x:v>
      </x:c>
      <x:c r="AR214" s="9" t="n">
        <x:f>0</x:f>
        <x:v>0</x:v>
      </x:c>
      <x:c r="AS214" s="9"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x:f>
        <x:v>149.33446990283903</x:v>
      </x:c>
      <x:c r="AT214" s="9"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x:f>
        <x:v>174.30311756129439</x:v>
      </x:c>
      <x:c r="AU214" s="9"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x:f>
        <x:v>157.51448182830308</x:v>
      </x:c>
      <x:c r="AV214" s="9"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x:f>
        <x:v>157.51448182830308</x:v>
      </x:c>
      <x:c r="AW214" s="10" t="n"/>
      <x:c r="AX214" s="9" t="n">
        <x:f>A214</x:f>
        <x:v>0.767</x:v>
      </x:c>
      <x:c r="AY214" s="9" t="n">
        <x:f>0</x:f>
        <x:v>0</x:v>
      </x:c>
      <x:c r="AZ214" s="9" t="n">
        <x:f>IF(OR(Inputs!$F$6=TRUE,Inputs!$F$6="TRUE",Inputs!$F$6=1),(Inputs!$H$6+Inputs!$L$6*(((Inputs!$I$6+(((A214)+1)/2)*(Inputs!$J$6-Inputs!$I$6)))/Inputs!$K$6)^2),NA())</x:f>
        <x:v>402.353156</x:v>
      </x:c>
      <x:c r="BA214" s="9" t="n">
        <x:f>IF(OR(Inputs!$F$7=TRUE,Inputs!$F$7="TRUE",Inputs!$F$7=1),(Inputs!$H$7+Inputs!$L$7*(((Inputs!$I$7+(((A214)+1)/2)*(Inputs!$J$7-Inputs!$I$7)))/Inputs!$K$7)^2),NA())</x:f>
        <x:v>249.72548499999994</x:v>
      </x:c>
      <x:c r="BB214" s="9" t="n">
        <x:f>IF(OR(Inputs!$F$8=TRUE,Inputs!$F$8="TRUE",Inputs!$F$8=1),(Inputs!$H$8+Inputs!$L$8*(((Inputs!$I$8+(((A214)+1)/2)*(Inputs!$J$8-Inputs!$I$8)))/Inputs!$K$8)^2),NA())</x:f>
        <x:v>602.6988849999998</x:v>
      </x:c>
      <x:c r="BC214" s="9" t="n">
        <x:f>IF(OR(Inputs!$F$9=TRUE,Inputs!$F$9="TRUE",Inputs!$F$9=1),(Inputs!$H$9+Inputs!$L$9*(((Inputs!$I$9+(((A214)+1)/2)*(Inputs!$J$9-Inputs!$I$9)))/Inputs!$K$9)^2),NA())</x:f>
        <x:v>598.5817749999999</x:v>
      </x:c>
      <x:c r="BD214" s="10" t="n"/>
      <x:c r="BE214" s="9" t="n">
        <x:f>A214</x:f>
        <x:v>0.767</x:v>
      </x:c>
      <x:c r="BF214" s="9" t="n">
        <x:f>0</x:f>
        <x:v>0</x:v>
      </x:c>
      <x:c r="BG214" s="9"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9"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9"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9"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9" t="n">
        <x:f>ROUND(-1+213*2/240,3)</x:f>
        <x:v>0.775</x:v>
      </x:c>
      <x:c r="B215" s="9" t="n">
        <x:f>IF(OR(Inputs!$F$6=TRUE,Inputs!$F$6="TRUE",Inputs!$F$6=1),(Inputs!$H$6+Inputs!$L$6*(((Inputs!$I$6+(((A215)+1)/2)*(Inputs!$J$6-Inputs!$I$6)))/Inputs!$K$6)^2),NA())</x:f>
        <x:v>402.4025</x:v>
      </x:c>
      <x:c r="C215" s="9" t="n">
        <x:f>IF(OR(Inputs!$F$7=TRUE,Inputs!$F$7="TRUE",Inputs!$F$7=1),(Inputs!$H$7+Inputs!$L$7*(((Inputs!$I$7+(((A215)+1)/2)*(Inputs!$J$7-Inputs!$I$7)))/Inputs!$K$7)^2),NA())</x:f>
        <x:v>254.22812500000003</x:v>
      </x:c>
      <x:c r="D215" s="9" t="n">
        <x:f>IF(OR(Inputs!$F$8=TRUE,Inputs!$F$8="TRUE",Inputs!$F$8=1),(Inputs!$H$8+Inputs!$L$8*(((Inputs!$I$8+(((A215)+1)/2)*(Inputs!$J$8-Inputs!$I$8)))/Inputs!$K$8)^2),NA())</x:f>
        <x:v>614.6031250000001</x:v>
      </x:c>
      <x:c r="E215" s="9" t="n">
        <x:f>IF(OR(Inputs!$F$9=TRUE,Inputs!$F$9="TRUE",Inputs!$F$9=1),(Inputs!$H$9+Inputs!$L$9*(((Inputs!$I$9+(((A215)+1)/2)*(Inputs!$J$9-Inputs!$I$9)))/Inputs!$K$9)^2),NA())</x:f>
        <x:v>610.6093750000001</x:v>
      </x:c>
      <x:c r="F215" s="10" t="n"/>
      <x:c r="G215" s="9" t="n">
        <x:f>A215</x:f>
        <x:v>0.775</x:v>
      </x:c>
      <x:c r="H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10" t="n"/>
      <x:c r="M215" s="9" t="n">
        <x:f>A215</x:f>
        <x:v>0.775</x:v>
      </x:c>
      <x:c r="N215" s="9"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9"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9"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9"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10" t="n"/>
      <x:c r="S215" s="9" t="n">
        <x:f>A215</x:f>
        <x:v>0.775</x:v>
      </x:c>
      <x:c r="T215" s="9" t="n">
        <x:f>(Inputs!$I$6+(((A215)+1)/2)*(Inputs!$J$6-Inputs!$I$6))</x:f>
        <x:v>46.5</x:v>
      </x:c>
      <x:c r="U215" s="9" t="n">
        <x:f>(Inputs!$I$7+(((A215)+1)/2)*(Inputs!$J$7-Inputs!$I$7))</x:f>
        <x:v>310</x:v>
      </x:c>
      <x:c r="V215" s="9" t="n">
        <x:f>(Inputs!$I$8+(((A215)+1)/2)*(Inputs!$J$8-Inputs!$I$8))</x:f>
        <x:v>620</x:v>
      </x:c>
      <x:c r="W215" s="9" t="n">
        <x:f>(Inputs!$I$9+(((A215)+1)/2)*(Inputs!$J$9-Inputs!$I$9))</x:f>
        <x:v>620</x:v>
      </x:c>
      <x:c r="X215" s="10" t="n"/>
      <x:c r="Y215" s="9" t="n">
        <x:f>A215</x:f>
        <x:v>0.775</x:v>
      </x:c>
      <x:c r="Z215" s="9" t="n">
        <x:f>(Inputs!$H$6+Inputs!$L$6*(((Inputs!$I$6+(((A215)+1)/2)*(Inputs!$J$6-Inputs!$I$6)))/Inputs!$K$6)^2)</x:f>
        <x:v>402.4025</x:v>
      </x:c>
      <x:c r="AA215" s="9" t="n">
        <x:f>(Inputs!$H$7+Inputs!$L$7*(((Inputs!$I$7+(((A215)+1)/2)*(Inputs!$J$7-Inputs!$I$7)))/Inputs!$K$7)^2)</x:f>
        <x:v>254.22812500000003</x:v>
      </x:c>
      <x:c r="AB215" s="9" t="n">
        <x:f>(Inputs!$H$8+Inputs!$L$8*(((Inputs!$I$8+(((A215)+1)/2)*(Inputs!$J$8-Inputs!$I$8)))/Inputs!$K$8)^2)</x:f>
        <x:v>614.6031250000001</x:v>
      </x:c>
      <x:c r="AC215" s="9" t="n">
        <x:f>(Inputs!$H$9+Inputs!$L$9*(((Inputs!$I$9+(((A215)+1)/2)*(Inputs!$J$9-Inputs!$I$9)))/Inputs!$K$9)^2)</x:f>
        <x:v>610.6093750000001</x:v>
      </x:c>
      <x:c r="AD215" s="10" t="n"/>
      <x:c r="AE215" s="9" t="n">
        <x:f>A215</x:f>
        <x:v>0.775</x:v>
      </x:c>
      <x:c r="AF215" s="9"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9"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9"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9"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10" t="n"/>
      <x:c r="AK215" s="9" t="n">
        <x:f>A215</x:f>
        <x:v>0.775</x:v>
      </x:c>
      <x:c r="AL215" s="9"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9"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9"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9"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10" t="n"/>
      <x:c r="AQ215" s="9" t="n">
        <x:f>A215</x:f>
        <x:v>0.775</x:v>
      </x:c>
      <x:c r="AR215" s="9" t="n">
        <x:f>0</x:f>
        <x:v>0</x:v>
      </x:c>
      <x:c r="AS215" s="9"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x:f>
        <x:v>125.26409736726505</x:v>
      </x:c>
      <x:c r="AT215" s="9"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x:f>
        <x:v>191.2046194615613</x:v>
      </x:c>
      <x:c r="AU215" s="9"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x:f>
        <x:v>135.77357148109508</x:v>
      </x:c>
      <x:c r="AV215" s="9"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x:f>
        <x:v>135.77357148109508</x:v>
      </x:c>
      <x:c r="AW215" s="10" t="n"/>
      <x:c r="AX215" s="9" t="n">
        <x:f>A215</x:f>
        <x:v>0.775</x:v>
      </x:c>
      <x:c r="AY215" s="9" t="n">
        <x:f>0</x:f>
        <x:v>0</x:v>
      </x:c>
      <x:c r="AZ215" s="9" t="n">
        <x:f>IF(OR(Inputs!$F$6=TRUE,Inputs!$F$6="TRUE",Inputs!$F$6=1),(Inputs!$H$6+Inputs!$L$6*(((Inputs!$I$6+(((A215)+1)/2)*(Inputs!$J$6-Inputs!$I$6)))/Inputs!$K$6)^2),NA())</x:f>
        <x:v>402.4025</x:v>
      </x:c>
      <x:c r="BA215" s="9" t="n">
        <x:f>IF(OR(Inputs!$F$7=TRUE,Inputs!$F$7="TRUE",Inputs!$F$7=1),(Inputs!$H$7+Inputs!$L$7*(((Inputs!$I$7+(((A215)+1)/2)*(Inputs!$J$7-Inputs!$I$7)))/Inputs!$K$7)^2),NA())</x:f>
        <x:v>254.22812500000003</x:v>
      </x:c>
      <x:c r="BB215" s="9" t="n">
        <x:f>IF(OR(Inputs!$F$8=TRUE,Inputs!$F$8="TRUE",Inputs!$F$8=1),(Inputs!$H$8+Inputs!$L$8*(((Inputs!$I$8+(((A215)+1)/2)*(Inputs!$J$8-Inputs!$I$8)))/Inputs!$K$8)^2),NA())</x:f>
        <x:v>614.6031250000001</x:v>
      </x:c>
      <x:c r="BC215" s="9" t="n">
        <x:f>IF(OR(Inputs!$F$9=TRUE,Inputs!$F$9="TRUE",Inputs!$F$9=1),(Inputs!$H$9+Inputs!$L$9*(((Inputs!$I$9+(((A215)+1)/2)*(Inputs!$J$9-Inputs!$I$9)))/Inputs!$K$9)^2),NA())</x:f>
        <x:v>610.6093750000001</x:v>
      </x:c>
      <x:c r="BD215" s="10" t="n"/>
      <x:c r="BE215" s="9" t="n">
        <x:f>A215</x:f>
        <x:v>0.775</x:v>
      </x:c>
      <x:c r="BF215" s="9" t="n">
        <x:f>0</x:f>
        <x:v>0</x:v>
      </x:c>
      <x:c r="BG215" s="9"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9"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9"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9"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9" t="n">
        <x:f>ROUND(-1+214*2/240,3)</x:f>
        <x:v>0.783</x:v>
      </x:c>
      <x:c r="B216" s="9" t="n">
        <x:f>IF(OR(Inputs!$F$6=TRUE,Inputs!$F$6="TRUE",Inputs!$F$6=1),(Inputs!$H$6+Inputs!$L$6*(((Inputs!$I$6+(((A216)+1)/2)*(Inputs!$J$6-Inputs!$I$6)))/Inputs!$K$6)^2),NA())</x:f>
        <x:v>402.452356</x:v>
      </x:c>
      <x:c r="C216" s="9" t="n">
        <x:f>IF(OR(Inputs!$F$7=TRUE,Inputs!$F$7="TRUE",Inputs!$F$7=1),(Inputs!$H$7+Inputs!$L$7*(((Inputs!$I$7+(((A216)+1)/2)*(Inputs!$J$7-Inputs!$I$7)))/Inputs!$K$7)^2),NA())</x:f>
        <x:v>258.77748499999984</x:v>
      </x:c>
      <x:c r="D216" s="9" t="n">
        <x:f>IF(OR(Inputs!$F$8=TRUE,Inputs!$F$8="TRUE",Inputs!$F$8=1),(Inputs!$H$8+Inputs!$L$8*(((Inputs!$I$8+(((A216)+1)/2)*(Inputs!$J$8-Inputs!$I$8)))/Inputs!$K$8)^2),NA())</x:f>
        <x:v>626.6308849999997</x:v>
      </x:c>
      <x:c r="E216" s="9" t="n">
        <x:f>IF(OR(Inputs!$F$9=TRUE,Inputs!$F$9="TRUE",Inputs!$F$9=1),(Inputs!$H$9+Inputs!$L$9*(((Inputs!$I$9+(((A216)+1)/2)*(Inputs!$J$9-Inputs!$I$9)))/Inputs!$K$9)^2),NA())</x:f>
        <x:v>622.7617749999997</x:v>
      </x:c>
      <x:c r="F216" s="10" t="n"/>
      <x:c r="G216" s="9" t="n">
        <x:f>A216</x:f>
        <x:v>0.783</x:v>
      </x:c>
      <x:c r="H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10" t="n"/>
      <x:c r="M216" s="9" t="n">
        <x:f>A216</x:f>
        <x:v>0.783</x:v>
      </x:c>
      <x:c r="N216" s="9"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9"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9"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9"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10" t="n"/>
      <x:c r="S216" s="9" t="n">
        <x:f>A216</x:f>
        <x:v>0.783</x:v>
      </x:c>
      <x:c r="T216" s="9" t="n">
        <x:f>(Inputs!$I$6+(((A216)+1)/2)*(Inputs!$J$6-Inputs!$I$6))</x:f>
        <x:v>46.97999999999999</x:v>
      </x:c>
      <x:c r="U216" s="9" t="n">
        <x:f>(Inputs!$I$7+(((A216)+1)/2)*(Inputs!$J$7-Inputs!$I$7))</x:f>
        <x:v>313.19999999999993</x:v>
      </x:c>
      <x:c r="V216" s="9" t="n">
        <x:f>(Inputs!$I$8+(((A216)+1)/2)*(Inputs!$J$8-Inputs!$I$8))</x:f>
        <x:v>626.3999999999999</x:v>
      </x:c>
      <x:c r="W216" s="9" t="n">
        <x:f>(Inputs!$I$9+(((A216)+1)/2)*(Inputs!$J$9-Inputs!$I$9))</x:f>
        <x:v>626.3999999999999</x:v>
      </x:c>
      <x:c r="X216" s="10" t="n"/>
      <x:c r="Y216" s="9" t="n">
        <x:f>A216</x:f>
        <x:v>0.783</x:v>
      </x:c>
      <x:c r="Z216" s="9" t="n">
        <x:f>(Inputs!$H$6+Inputs!$L$6*(((Inputs!$I$6+(((A216)+1)/2)*(Inputs!$J$6-Inputs!$I$6)))/Inputs!$K$6)^2)</x:f>
        <x:v>402.452356</x:v>
      </x:c>
      <x:c r="AA216" s="9" t="n">
        <x:f>(Inputs!$H$7+Inputs!$L$7*(((Inputs!$I$7+(((A216)+1)/2)*(Inputs!$J$7-Inputs!$I$7)))/Inputs!$K$7)^2)</x:f>
        <x:v>258.77748499999984</x:v>
      </x:c>
      <x:c r="AB216" s="9" t="n">
        <x:f>(Inputs!$H$8+Inputs!$L$8*(((Inputs!$I$8+(((A216)+1)/2)*(Inputs!$J$8-Inputs!$I$8)))/Inputs!$K$8)^2)</x:f>
        <x:v>626.6308849999997</x:v>
      </x:c>
      <x:c r="AC216" s="9" t="n">
        <x:f>(Inputs!$H$9+Inputs!$L$9*(((Inputs!$I$9+(((A216)+1)/2)*(Inputs!$J$9-Inputs!$I$9)))/Inputs!$K$9)^2)</x:f>
        <x:v>622.7617749999997</x:v>
      </x:c>
      <x:c r="AD216" s="10" t="n"/>
      <x:c r="AE216" s="9" t="n">
        <x:f>A216</x:f>
        <x:v>0.783</x:v>
      </x:c>
      <x:c r="AF216" s="9"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9"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9"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9"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10" t="n"/>
      <x:c r="AK216" s="9" t="n">
        <x:f>A216</x:f>
        <x:v>0.783</x:v>
      </x:c>
      <x:c r="AL216" s="9"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9"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9"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9"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10" t="n"/>
      <x:c r="AQ216" s="9" t="n">
        <x:f>A216</x:f>
        <x:v>0.783</x:v>
      </x:c>
      <x:c r="AR216" s="9" t="n">
        <x:f>0</x:f>
        <x:v>0</x:v>
      </x:c>
      <x:c r="AS216" s="9"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x:f>
        <x:v>126.51303136824754</x:v>
      </x:c>
      <x:c r="AT216" s="9"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x:f>
        <x:v>175.60924909846997</x:v>
      </x:c>
      <x:c r="AU216" s="9"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x:f>
        <x:v>99.99734018876349</x:v>
      </x:c>
      <x:c r="AV216" s="9"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x:f>
        <x:v>99.99734018876349</x:v>
      </x:c>
      <x:c r="AW216" s="10" t="n"/>
      <x:c r="AX216" s="9" t="n">
        <x:f>A216</x:f>
        <x:v>0.783</x:v>
      </x:c>
      <x:c r="AY216" s="9" t="n">
        <x:f>0</x:f>
        <x:v>0</x:v>
      </x:c>
      <x:c r="AZ216" s="9" t="n">
        <x:f>IF(OR(Inputs!$F$6=TRUE,Inputs!$F$6="TRUE",Inputs!$F$6=1),(Inputs!$H$6+Inputs!$L$6*(((Inputs!$I$6+(((A216)+1)/2)*(Inputs!$J$6-Inputs!$I$6)))/Inputs!$K$6)^2),NA())</x:f>
        <x:v>402.452356</x:v>
      </x:c>
      <x:c r="BA216" s="9" t="n">
        <x:f>IF(OR(Inputs!$F$7=TRUE,Inputs!$F$7="TRUE",Inputs!$F$7=1),(Inputs!$H$7+Inputs!$L$7*(((Inputs!$I$7+(((A216)+1)/2)*(Inputs!$J$7-Inputs!$I$7)))/Inputs!$K$7)^2),NA())</x:f>
        <x:v>258.77748499999984</x:v>
      </x:c>
      <x:c r="BB216" s="9" t="n">
        <x:f>IF(OR(Inputs!$F$8=TRUE,Inputs!$F$8="TRUE",Inputs!$F$8=1),(Inputs!$H$8+Inputs!$L$8*(((Inputs!$I$8+(((A216)+1)/2)*(Inputs!$J$8-Inputs!$I$8)))/Inputs!$K$8)^2),NA())</x:f>
        <x:v>626.6308849999997</x:v>
      </x:c>
      <x:c r="BC216" s="9" t="n">
        <x:f>IF(OR(Inputs!$F$9=TRUE,Inputs!$F$9="TRUE",Inputs!$F$9=1),(Inputs!$H$9+Inputs!$L$9*(((Inputs!$I$9+(((A216)+1)/2)*(Inputs!$J$9-Inputs!$I$9)))/Inputs!$K$9)^2),NA())</x:f>
        <x:v>622.7617749999997</x:v>
      </x:c>
      <x:c r="BD216" s="10" t="n"/>
      <x:c r="BE216" s="9" t="n">
        <x:f>A216</x:f>
        <x:v>0.783</x:v>
      </x:c>
      <x:c r="BF216" s="9" t="n">
        <x:f>0</x:f>
        <x:v>0</x:v>
      </x:c>
      <x:c r="BG216" s="9"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9"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9"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9"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9" t="n">
        <x:f>ROUND(-1+215*2/240,3)</x:f>
        <x:v>0.792</x:v>
      </x:c>
      <x:c r="B217" s="9" t="n">
        <x:f>IF(OR(Inputs!$F$6=TRUE,Inputs!$F$6="TRUE",Inputs!$F$6=1),(Inputs!$H$6+Inputs!$L$6*(((Inputs!$I$6+(((A217)+1)/2)*(Inputs!$J$6-Inputs!$I$6)))/Inputs!$K$6)^2),NA())</x:f>
        <x:v>402.509056</x:v>
      </x:c>
      <x:c r="C217" s="9" t="n">
        <x:f>IF(OR(Inputs!$F$7=TRUE,Inputs!$F$7="TRUE",Inputs!$F$7=1),(Inputs!$H$7+Inputs!$L$7*(((Inputs!$I$7+(((A217)+1)/2)*(Inputs!$J$7-Inputs!$I$7)))/Inputs!$K$7)^2),NA())</x:f>
        <x:v>263.95136000000014</x:v>
      </x:c>
      <x:c r="D217" s="9" t="n">
        <x:f>IF(OR(Inputs!$F$8=TRUE,Inputs!$F$8="TRUE",Inputs!$F$8=1),(Inputs!$H$8+Inputs!$L$8*(((Inputs!$I$8+(((A217)+1)/2)*(Inputs!$J$8-Inputs!$I$8)))/Inputs!$K$8)^2),NA())</x:f>
        <x:v>640.3097600000002</x:v>
      </x:c>
      <x:c r="E217" s="9" t="n">
        <x:f>IF(OR(Inputs!$F$9=TRUE,Inputs!$F$9="TRUE",Inputs!$F$9=1),(Inputs!$H$9+Inputs!$L$9*(((Inputs!$I$9+(((A217)+1)/2)*(Inputs!$J$9-Inputs!$I$9)))/Inputs!$K$9)^2),NA())</x:f>
        <x:v>636.5824000000002</x:v>
      </x:c>
      <x:c r="F217" s="10" t="n"/>
      <x:c r="G217" s="9" t="n">
        <x:f>A217</x:f>
        <x:v>0.792</x:v>
      </x:c>
      <x:c r="H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10" t="n"/>
      <x:c r="M217" s="9" t="n">
        <x:f>A217</x:f>
        <x:v>0.792</x:v>
      </x:c>
      <x:c r="N217" s="9"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9"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9"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9"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10" t="n"/>
      <x:c r="S217" s="9" t="n">
        <x:f>A217</x:f>
        <x:v>0.792</x:v>
      </x:c>
      <x:c r="T217" s="9" t="n">
        <x:f>(Inputs!$I$6+(((A217)+1)/2)*(Inputs!$J$6-Inputs!$I$6))</x:f>
        <x:v>47.519999999999996</x:v>
      </x:c>
      <x:c r="U217" s="9" t="n">
        <x:f>(Inputs!$I$7+(((A217)+1)/2)*(Inputs!$J$7-Inputs!$I$7))</x:f>
        <x:v>316.80000000000007</x:v>
      </x:c>
      <x:c r="V217" s="9" t="n">
        <x:f>(Inputs!$I$8+(((A217)+1)/2)*(Inputs!$J$8-Inputs!$I$8))</x:f>
        <x:v>633.6000000000001</x:v>
      </x:c>
      <x:c r="W217" s="9" t="n">
        <x:f>(Inputs!$I$9+(((A217)+1)/2)*(Inputs!$J$9-Inputs!$I$9))</x:f>
        <x:v>633.6000000000001</x:v>
      </x:c>
      <x:c r="X217" s="10" t="n"/>
      <x:c r="Y217" s="9" t="n">
        <x:f>A217</x:f>
        <x:v>0.792</x:v>
      </x:c>
      <x:c r="Z217" s="9" t="n">
        <x:f>(Inputs!$H$6+Inputs!$L$6*(((Inputs!$I$6+(((A217)+1)/2)*(Inputs!$J$6-Inputs!$I$6)))/Inputs!$K$6)^2)</x:f>
        <x:v>402.509056</x:v>
      </x:c>
      <x:c r="AA217" s="9" t="n">
        <x:f>(Inputs!$H$7+Inputs!$L$7*(((Inputs!$I$7+(((A217)+1)/2)*(Inputs!$J$7-Inputs!$I$7)))/Inputs!$K$7)^2)</x:f>
        <x:v>263.95136000000014</x:v>
      </x:c>
      <x:c r="AB217" s="9" t="n">
        <x:f>(Inputs!$H$8+Inputs!$L$8*(((Inputs!$I$8+(((A217)+1)/2)*(Inputs!$J$8-Inputs!$I$8)))/Inputs!$K$8)^2)</x:f>
        <x:v>640.3097600000002</x:v>
      </x:c>
      <x:c r="AC217" s="9" t="n">
        <x:f>(Inputs!$H$9+Inputs!$L$9*(((Inputs!$I$9+(((A217)+1)/2)*(Inputs!$J$9-Inputs!$I$9)))/Inputs!$K$9)^2)</x:f>
        <x:v>636.5824000000002</x:v>
      </x:c>
      <x:c r="AD217" s="10" t="n"/>
      <x:c r="AE217" s="9" t="n">
        <x:f>A217</x:f>
        <x:v>0.792</x:v>
      </x:c>
      <x:c r="AF217" s="9"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9"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9"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9"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10" t="n"/>
      <x:c r="AK217" s="9" t="n">
        <x:f>A217</x:f>
        <x:v>0.792</x:v>
      </x:c>
      <x:c r="AL217" s="9"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9"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9"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9"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10" t="n"/>
      <x:c r="AQ217" s="9" t="n">
        <x:f>A217</x:f>
        <x:v>0.792</x:v>
      </x:c>
      <x:c r="AR217" s="9" t="n">
        <x:f>0</x:f>
        <x:v>0</x:v>
      </x:c>
      <x:c r="AS217" s="9"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x:f>
        <x:v>107.35678928998254</x:v>
      </x:c>
      <x:c r="AT217" s="9"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x:f>
        <x:v>127.43900482892427</x:v>
      </x:c>
      <x:c r="AU217" s="9"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x:f>
        <x:v>194.3834207426251</x:v>
      </x:c>
      <x:c r="AV217" s="9"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x:f>
        <x:v>194.3834207426251</x:v>
      </x:c>
      <x:c r="AW217" s="10" t="n"/>
      <x:c r="AX217" s="9" t="n">
        <x:f>A217</x:f>
        <x:v>0.792</x:v>
      </x:c>
      <x:c r="AY217" s="9" t="n">
        <x:f>0</x:f>
        <x:v>0</x:v>
      </x:c>
      <x:c r="AZ217" s="9" t="n">
        <x:f>IF(OR(Inputs!$F$6=TRUE,Inputs!$F$6="TRUE",Inputs!$F$6=1),(Inputs!$H$6+Inputs!$L$6*(((Inputs!$I$6+(((A217)+1)/2)*(Inputs!$J$6-Inputs!$I$6)))/Inputs!$K$6)^2),NA())</x:f>
        <x:v>402.509056</x:v>
      </x:c>
      <x:c r="BA217" s="9" t="n">
        <x:f>IF(OR(Inputs!$F$7=TRUE,Inputs!$F$7="TRUE",Inputs!$F$7=1),(Inputs!$H$7+Inputs!$L$7*(((Inputs!$I$7+(((A217)+1)/2)*(Inputs!$J$7-Inputs!$I$7)))/Inputs!$K$7)^2),NA())</x:f>
        <x:v>263.95136000000014</x:v>
      </x:c>
      <x:c r="BB217" s="9" t="n">
        <x:f>IF(OR(Inputs!$F$8=TRUE,Inputs!$F$8="TRUE",Inputs!$F$8=1),(Inputs!$H$8+Inputs!$L$8*(((Inputs!$I$8+(((A217)+1)/2)*(Inputs!$J$8-Inputs!$I$8)))/Inputs!$K$8)^2),NA())</x:f>
        <x:v>640.3097600000002</x:v>
      </x:c>
      <x:c r="BC217" s="9" t="n">
        <x:f>IF(OR(Inputs!$F$9=TRUE,Inputs!$F$9="TRUE",Inputs!$F$9=1),(Inputs!$H$9+Inputs!$L$9*(((Inputs!$I$9+(((A217)+1)/2)*(Inputs!$J$9-Inputs!$I$9)))/Inputs!$K$9)^2),NA())</x:f>
        <x:v>636.5824000000002</x:v>
      </x:c>
      <x:c r="BD217" s="10" t="n"/>
      <x:c r="BE217" s="9" t="n">
        <x:f>A217</x:f>
        <x:v>0.792</x:v>
      </x:c>
      <x:c r="BF217" s="9" t="n">
        <x:f>0</x:f>
        <x:v>0</x:v>
      </x:c>
      <x:c r="BG217" s="9"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9"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9"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9"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9" t="n">
        <x:f>ROUND(-1+216*2/240,3)</x:f>
        <x:v>0.8</x:v>
      </x:c>
      <x:c r="B218" s="9" t="n">
        <x:f>IF(OR(Inputs!$F$6=TRUE,Inputs!$F$6="TRUE",Inputs!$F$6=1),(Inputs!$H$6+Inputs!$L$6*(((Inputs!$I$6+(((A218)+1)/2)*(Inputs!$J$6-Inputs!$I$6)))/Inputs!$K$6)^2),NA())</x:f>
        <x:v>402.56</x:v>
      </x:c>
      <x:c r="C218" s="9" t="n">
        <x:f>IF(OR(Inputs!$F$7=TRUE,Inputs!$F$7="TRUE",Inputs!$F$7=1),(Inputs!$H$7+Inputs!$L$7*(((Inputs!$I$7+(((A218)+1)/2)*(Inputs!$J$7-Inputs!$I$7)))/Inputs!$K$7)^2),NA())</x:f>
        <x:v>268.6</x:v>
      </x:c>
      <x:c r="D218" s="9" t="n">
        <x:f>IF(OR(Inputs!$F$8=TRUE,Inputs!$F$8="TRUE",Inputs!$F$8=1),(Inputs!$H$8+Inputs!$L$8*(((Inputs!$I$8+(((A218)+1)/2)*(Inputs!$J$8-Inputs!$I$8)))/Inputs!$K$8)^2),NA())</x:f>
        <x:v>652.6000000000001</x:v>
      </x:c>
      <x:c r="E218" s="9" t="n">
        <x:f>IF(OR(Inputs!$F$9=TRUE,Inputs!$F$9="TRUE",Inputs!$F$9=1),(Inputs!$H$9+Inputs!$L$9*(((Inputs!$I$9+(((A218)+1)/2)*(Inputs!$J$9-Inputs!$I$9)))/Inputs!$K$9)^2),NA())</x:f>
        <x:v>649.0000000000001</x:v>
      </x:c>
      <x:c r="F218" s="10" t="n"/>
      <x:c r="G218" s="9" t="n">
        <x:f>A218</x:f>
        <x:v>0.8</x:v>
      </x:c>
      <x:c r="H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10" t="n"/>
      <x:c r="M218" s="9" t="n">
        <x:f>A218</x:f>
        <x:v>0.8</x:v>
      </x:c>
      <x:c r="N218" s="9"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9"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9"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9"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10" t="n"/>
      <x:c r="S218" s="9" t="n">
        <x:f>A218</x:f>
        <x:v>0.8</x:v>
      </x:c>
      <x:c r="T218" s="9" t="n">
        <x:f>(Inputs!$I$6+(((A218)+1)/2)*(Inputs!$J$6-Inputs!$I$6))</x:f>
        <x:v>48</x:v>
      </x:c>
      <x:c r="U218" s="9" t="n">
        <x:f>(Inputs!$I$7+(((A218)+1)/2)*(Inputs!$J$7-Inputs!$I$7))</x:f>
        <x:v>320</x:v>
      </x:c>
      <x:c r="V218" s="9" t="n">
        <x:f>(Inputs!$I$8+(((A218)+1)/2)*(Inputs!$J$8-Inputs!$I$8))</x:f>
        <x:v>640</x:v>
      </x:c>
      <x:c r="W218" s="9" t="n">
        <x:f>(Inputs!$I$9+(((A218)+1)/2)*(Inputs!$J$9-Inputs!$I$9))</x:f>
        <x:v>640</x:v>
      </x:c>
      <x:c r="X218" s="10" t="n"/>
      <x:c r="Y218" s="9" t="n">
        <x:f>A218</x:f>
        <x:v>0.8</x:v>
      </x:c>
      <x:c r="Z218" s="9" t="n">
        <x:f>(Inputs!$H$6+Inputs!$L$6*(((Inputs!$I$6+(((A218)+1)/2)*(Inputs!$J$6-Inputs!$I$6)))/Inputs!$K$6)^2)</x:f>
        <x:v>402.56</x:v>
      </x:c>
      <x:c r="AA218" s="9" t="n">
        <x:f>(Inputs!$H$7+Inputs!$L$7*(((Inputs!$I$7+(((A218)+1)/2)*(Inputs!$J$7-Inputs!$I$7)))/Inputs!$K$7)^2)</x:f>
        <x:v>268.6</x:v>
      </x:c>
      <x:c r="AB218" s="9" t="n">
        <x:f>(Inputs!$H$8+Inputs!$L$8*(((Inputs!$I$8+(((A218)+1)/2)*(Inputs!$J$8-Inputs!$I$8)))/Inputs!$K$8)^2)</x:f>
        <x:v>652.6000000000001</x:v>
      </x:c>
      <x:c r="AC218" s="9" t="n">
        <x:f>(Inputs!$H$9+Inputs!$L$9*(((Inputs!$I$9+(((A218)+1)/2)*(Inputs!$J$9-Inputs!$I$9)))/Inputs!$K$9)^2)</x:f>
        <x:v>649.0000000000001</x:v>
      </x:c>
      <x:c r="AD218" s="10" t="n"/>
      <x:c r="AE218" s="9" t="n">
        <x:f>A218</x:f>
        <x:v>0.8</x:v>
      </x:c>
      <x:c r="AF218" s="9"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9"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9"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9"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10" t="n"/>
      <x:c r="AK218" s="9" t="n">
        <x:f>A218</x:f>
        <x:v>0.8</x:v>
      </x:c>
      <x:c r="AL218" s="9"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9"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9"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9"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10" t="n"/>
      <x:c r="AQ218" s="9" t="n">
        <x:f>A218</x:f>
        <x:v>0.8</x:v>
      </x:c>
      <x:c r="AR218" s="9" t="n">
        <x:f>0</x:f>
        <x:v>0</x:v>
      </x:c>
      <x:c r="AS218" s="9"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x:f>
        <x:v>124.99715373468393</x:v>
      </x:c>
      <x:c r="AT218" s="9"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x:f>
        <x:v>63.16298590057942</x:v>
      </x:c>
      <x:c r="AU218" s="9"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x:f>
        <x:v>163.61046202250503</x:v>
      </x:c>
      <x:c r="AV218" s="9"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x:f>
        <x:v>163.61046202250503</x:v>
      </x:c>
      <x:c r="AW218" s="10" t="n"/>
      <x:c r="AX218" s="9" t="n">
        <x:f>A218</x:f>
        <x:v>0.8</x:v>
      </x:c>
      <x:c r="AY218" s="9" t="n">
        <x:f>0</x:f>
        <x:v>0</x:v>
      </x:c>
      <x:c r="AZ218" s="9" t="n">
        <x:f>IF(OR(Inputs!$F$6=TRUE,Inputs!$F$6="TRUE",Inputs!$F$6=1),(Inputs!$H$6+Inputs!$L$6*(((Inputs!$I$6+(((A218)+1)/2)*(Inputs!$J$6-Inputs!$I$6)))/Inputs!$K$6)^2),NA())</x:f>
        <x:v>402.56</x:v>
      </x:c>
      <x:c r="BA218" s="9" t="n">
        <x:f>IF(OR(Inputs!$F$7=TRUE,Inputs!$F$7="TRUE",Inputs!$F$7=1),(Inputs!$H$7+Inputs!$L$7*(((Inputs!$I$7+(((A218)+1)/2)*(Inputs!$J$7-Inputs!$I$7)))/Inputs!$K$7)^2),NA())</x:f>
        <x:v>268.6</x:v>
      </x:c>
      <x:c r="BB218" s="9" t="n">
        <x:f>IF(OR(Inputs!$F$8=TRUE,Inputs!$F$8="TRUE",Inputs!$F$8=1),(Inputs!$H$8+Inputs!$L$8*(((Inputs!$I$8+(((A218)+1)/2)*(Inputs!$J$8-Inputs!$I$8)))/Inputs!$K$8)^2),NA())</x:f>
        <x:v>652.6000000000001</x:v>
      </x:c>
      <x:c r="BC218" s="9" t="n">
        <x:f>IF(OR(Inputs!$F$9=TRUE,Inputs!$F$9="TRUE",Inputs!$F$9=1),(Inputs!$H$9+Inputs!$L$9*(((Inputs!$I$9+(((A218)+1)/2)*(Inputs!$J$9-Inputs!$I$9)))/Inputs!$K$9)^2),NA())</x:f>
        <x:v>649.0000000000001</x:v>
      </x:c>
      <x:c r="BD218" s="10" t="n"/>
      <x:c r="BE218" s="9" t="n">
        <x:f>A218</x:f>
        <x:v>0.8</x:v>
      </x:c>
      <x:c r="BF218" s="9" t="n">
        <x:f>0</x:f>
        <x:v>0</x:v>
      </x:c>
      <x:c r="BG218" s="9"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9"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9"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9"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9" t="n">
        <x:f>ROUND(-1+217*2/240,3)</x:f>
        <x:v>0.808</x:v>
      </x:c>
      <x:c r="B219" s="9" t="n">
        <x:f>IF(OR(Inputs!$F$6=TRUE,Inputs!$F$6="TRUE",Inputs!$F$6=1),(Inputs!$H$6+Inputs!$L$6*(((Inputs!$I$6+(((A219)+1)/2)*(Inputs!$J$6-Inputs!$I$6)))/Inputs!$K$6)^2),NA())</x:f>
        <x:v>402.611456</x:v>
      </x:c>
      <x:c r="C219" s="9" t="n">
        <x:f>IF(OR(Inputs!$F$7=TRUE,Inputs!$F$7="TRUE",Inputs!$F$7=1),(Inputs!$H$7+Inputs!$L$7*(((Inputs!$I$7+(((A219)+1)/2)*(Inputs!$J$7-Inputs!$I$7)))/Inputs!$K$7)^2),NA())</x:f>
        <x:v>273.2953600000001</x:v>
      </x:c>
      <x:c r="D219" s="9" t="n">
        <x:f>IF(OR(Inputs!$F$8=TRUE,Inputs!$F$8="TRUE",Inputs!$F$8=1),(Inputs!$H$8+Inputs!$L$8*(((Inputs!$I$8+(((A219)+1)/2)*(Inputs!$J$8-Inputs!$I$8)))/Inputs!$K$8)^2),NA())</x:f>
        <x:v>665.0137600000002</x:v>
      </x:c>
      <x:c r="E219" s="9" t="n">
        <x:f>IF(OR(Inputs!$F$9=TRUE,Inputs!$F$9="TRUE",Inputs!$F$9=1),(Inputs!$H$9+Inputs!$L$9*(((Inputs!$I$9+(((A219)+1)/2)*(Inputs!$J$9-Inputs!$I$9)))/Inputs!$K$9)^2),NA())</x:f>
        <x:v>661.5424000000003</x:v>
      </x:c>
      <x:c r="F219" s="10" t="n"/>
      <x:c r="G219" s="9" t="n">
        <x:f>A219</x:f>
        <x:v>0.808</x:v>
      </x:c>
      <x:c r="H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10" t="n"/>
      <x:c r="M219" s="9" t="n">
        <x:f>A219</x:f>
        <x:v>0.808</x:v>
      </x:c>
      <x:c r="N219" s="9"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9"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9"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9"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10" t="n"/>
      <x:c r="S219" s="9" t="n">
        <x:f>A219</x:f>
        <x:v>0.808</x:v>
      </x:c>
      <x:c r="T219" s="9" t="n">
        <x:f>(Inputs!$I$6+(((A219)+1)/2)*(Inputs!$J$6-Inputs!$I$6))</x:f>
        <x:v>48.480000000000004</x:v>
      </x:c>
      <x:c r="U219" s="9" t="n">
        <x:f>(Inputs!$I$7+(((A219)+1)/2)*(Inputs!$J$7-Inputs!$I$7))</x:f>
        <x:v>323.20000000000005</x:v>
      </x:c>
      <x:c r="V219" s="9" t="n">
        <x:f>(Inputs!$I$8+(((A219)+1)/2)*(Inputs!$J$8-Inputs!$I$8))</x:f>
        <x:v>646.4000000000001</x:v>
      </x:c>
      <x:c r="W219" s="9" t="n">
        <x:f>(Inputs!$I$9+(((A219)+1)/2)*(Inputs!$J$9-Inputs!$I$9))</x:f>
        <x:v>646.4000000000001</x:v>
      </x:c>
      <x:c r="X219" s="10" t="n"/>
      <x:c r="Y219" s="9" t="n">
        <x:f>A219</x:f>
        <x:v>0.808</x:v>
      </x:c>
      <x:c r="Z219" s="9" t="n">
        <x:f>(Inputs!$H$6+Inputs!$L$6*(((Inputs!$I$6+(((A219)+1)/2)*(Inputs!$J$6-Inputs!$I$6)))/Inputs!$K$6)^2)</x:f>
        <x:v>402.611456</x:v>
      </x:c>
      <x:c r="AA219" s="9" t="n">
        <x:f>(Inputs!$H$7+Inputs!$L$7*(((Inputs!$I$7+(((A219)+1)/2)*(Inputs!$J$7-Inputs!$I$7)))/Inputs!$K$7)^2)</x:f>
        <x:v>273.2953600000001</x:v>
      </x:c>
      <x:c r="AB219" s="9" t="n">
        <x:f>(Inputs!$H$8+Inputs!$L$8*(((Inputs!$I$8+(((A219)+1)/2)*(Inputs!$J$8-Inputs!$I$8)))/Inputs!$K$8)^2)</x:f>
        <x:v>665.0137600000002</x:v>
      </x:c>
      <x:c r="AC219" s="9" t="n">
        <x:f>(Inputs!$H$9+Inputs!$L$9*(((Inputs!$I$9+(((A219)+1)/2)*(Inputs!$J$9-Inputs!$I$9)))/Inputs!$K$9)^2)</x:f>
        <x:v>661.5424000000003</x:v>
      </x:c>
      <x:c r="AD219" s="10" t="n"/>
      <x:c r="AE219" s="9" t="n">
        <x:f>A219</x:f>
        <x:v>0.808</x:v>
      </x:c>
      <x:c r="AF219" s="9"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9"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9"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9"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10" t="n"/>
      <x:c r="AK219" s="9" t="n">
        <x:f>A219</x:f>
        <x:v>0.808</x:v>
      </x:c>
      <x:c r="AL219" s="9"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9"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9"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9"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10" t="n"/>
      <x:c r="AQ219" s="9" t="n">
        <x:f>A219</x:f>
        <x:v>0.808</x:v>
      </x:c>
      <x:c r="AR219" s="9" t="n">
        <x:f>0</x:f>
        <x:v>0</x:v>
      </x:c>
      <x:c r="AS219" s="9"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x:f>
        <x:v>111.72819704354994</x:v>
      </x:c>
      <x:c r="AT219" s="9"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x:f>
        <x:v>113.82227136751132</x:v>
      </x:c>
      <x:c r="AU219" s="9"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x:f>
        <x:v>97.09996983443892</x:v>
      </x:c>
      <x:c r="AV219" s="9"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x:f>
        <x:v>97.09996983443892</x:v>
      </x:c>
      <x:c r="AW219" s="10" t="n"/>
      <x:c r="AX219" s="9" t="n">
        <x:f>A219</x:f>
        <x:v>0.808</x:v>
      </x:c>
      <x:c r="AY219" s="9" t="n">
        <x:f>0</x:f>
        <x:v>0</x:v>
      </x:c>
      <x:c r="AZ219" s="9" t="n">
        <x:f>IF(OR(Inputs!$F$6=TRUE,Inputs!$F$6="TRUE",Inputs!$F$6=1),(Inputs!$H$6+Inputs!$L$6*(((Inputs!$I$6+(((A219)+1)/2)*(Inputs!$J$6-Inputs!$I$6)))/Inputs!$K$6)^2),NA())</x:f>
        <x:v>402.611456</x:v>
      </x:c>
      <x:c r="BA219" s="9" t="n">
        <x:f>IF(OR(Inputs!$F$7=TRUE,Inputs!$F$7="TRUE",Inputs!$F$7=1),(Inputs!$H$7+Inputs!$L$7*(((Inputs!$I$7+(((A219)+1)/2)*(Inputs!$J$7-Inputs!$I$7)))/Inputs!$K$7)^2),NA())</x:f>
        <x:v>273.2953600000001</x:v>
      </x:c>
      <x:c r="BB219" s="9" t="n">
        <x:f>IF(OR(Inputs!$F$8=TRUE,Inputs!$F$8="TRUE",Inputs!$F$8=1),(Inputs!$H$8+Inputs!$L$8*(((Inputs!$I$8+(((A219)+1)/2)*(Inputs!$J$8-Inputs!$I$8)))/Inputs!$K$8)^2),NA())</x:f>
        <x:v>665.0137600000002</x:v>
      </x:c>
      <x:c r="BC219" s="9" t="n">
        <x:f>IF(OR(Inputs!$F$9=TRUE,Inputs!$F$9="TRUE",Inputs!$F$9=1),(Inputs!$H$9+Inputs!$L$9*(((Inputs!$I$9+(((A219)+1)/2)*(Inputs!$J$9-Inputs!$I$9)))/Inputs!$K$9)^2),NA())</x:f>
        <x:v>661.5424000000003</x:v>
      </x:c>
      <x:c r="BD219" s="10" t="n"/>
      <x:c r="BE219" s="9" t="n">
        <x:f>A219</x:f>
        <x:v>0.808</x:v>
      </x:c>
      <x:c r="BF219" s="9" t="n">
        <x:f>0</x:f>
        <x:v>0</x:v>
      </x:c>
      <x:c r="BG219" s="9"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9"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9"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9"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9" t="n">
        <x:f>ROUND(-1+218*2/240,3)</x:f>
        <x:v>0.817</x:v>
      </x:c>
      <x:c r="B220" s="9" t="n">
        <x:f>IF(OR(Inputs!$F$6=TRUE,Inputs!$F$6="TRUE",Inputs!$F$6=1),(Inputs!$H$6+Inputs!$L$6*(((Inputs!$I$6+(((A220)+1)/2)*(Inputs!$J$6-Inputs!$I$6)))/Inputs!$K$6)^2),NA())</x:f>
        <x:v>402.669956</x:v>
      </x:c>
      <x:c r="C220" s="9" t="n">
        <x:f>IF(OR(Inputs!$F$7=TRUE,Inputs!$F$7="TRUE",Inputs!$F$7=1),(Inputs!$H$7+Inputs!$L$7*(((Inputs!$I$7+(((A220)+1)/2)*(Inputs!$J$7-Inputs!$I$7)))/Inputs!$K$7)^2),NA())</x:f>
        <x:v>278.63348499999995</x:v>
      </x:c>
      <x:c r="D220" s="9" t="n">
        <x:f>IF(OR(Inputs!$F$8=TRUE,Inputs!$F$8="TRUE",Inputs!$F$8=1),(Inputs!$H$8+Inputs!$L$8*(((Inputs!$I$8+(((A220)+1)/2)*(Inputs!$J$8-Inputs!$I$8)))/Inputs!$K$8)^2),NA())</x:f>
        <x:v>679.1268849999998</x:v>
      </x:c>
      <x:c r="E220" s="9" t="n">
        <x:f>IF(OR(Inputs!$F$9=TRUE,Inputs!$F$9="TRUE",Inputs!$F$9=1),(Inputs!$H$9+Inputs!$L$9*(((Inputs!$I$9+(((A220)+1)/2)*(Inputs!$J$9-Inputs!$I$9)))/Inputs!$K$9)^2),NA())</x:f>
        <x:v>675.8017749999998</x:v>
      </x:c>
      <x:c r="F220" s="10" t="n"/>
      <x:c r="G220" s="9" t="n">
        <x:f>A220</x:f>
        <x:v>0.817</x:v>
      </x:c>
      <x:c r="H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10" t="n"/>
      <x:c r="M220" s="9" t="n">
        <x:f>A220</x:f>
        <x:v>0.817</x:v>
      </x:c>
      <x:c r="N220" s="9"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9"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9"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9"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10" t="n"/>
      <x:c r="S220" s="9" t="n">
        <x:f>A220</x:f>
        <x:v>0.817</x:v>
      </x:c>
      <x:c r="T220" s="9" t="n">
        <x:f>(Inputs!$I$6+(((A220)+1)/2)*(Inputs!$J$6-Inputs!$I$6))</x:f>
        <x:v>49.019999999999996</x:v>
      </x:c>
      <x:c r="U220" s="9" t="n">
        <x:f>(Inputs!$I$7+(((A220)+1)/2)*(Inputs!$J$7-Inputs!$I$7))</x:f>
        <x:v>326.79999999999995</x:v>
      </x:c>
      <x:c r="V220" s="9" t="n">
        <x:f>(Inputs!$I$8+(((A220)+1)/2)*(Inputs!$J$8-Inputs!$I$8))</x:f>
        <x:v>653.5999999999999</x:v>
      </x:c>
      <x:c r="W220" s="9" t="n">
        <x:f>(Inputs!$I$9+(((A220)+1)/2)*(Inputs!$J$9-Inputs!$I$9))</x:f>
        <x:v>653.5999999999999</x:v>
      </x:c>
      <x:c r="X220" s="10" t="n"/>
      <x:c r="Y220" s="9" t="n">
        <x:f>A220</x:f>
        <x:v>0.817</x:v>
      </x:c>
      <x:c r="Z220" s="9" t="n">
        <x:f>(Inputs!$H$6+Inputs!$L$6*(((Inputs!$I$6+(((A220)+1)/2)*(Inputs!$J$6-Inputs!$I$6)))/Inputs!$K$6)^2)</x:f>
        <x:v>402.669956</x:v>
      </x:c>
      <x:c r="AA220" s="9" t="n">
        <x:f>(Inputs!$H$7+Inputs!$L$7*(((Inputs!$I$7+(((A220)+1)/2)*(Inputs!$J$7-Inputs!$I$7)))/Inputs!$K$7)^2)</x:f>
        <x:v>278.63348499999995</x:v>
      </x:c>
      <x:c r="AB220" s="9" t="n">
        <x:f>(Inputs!$H$8+Inputs!$L$8*(((Inputs!$I$8+(((A220)+1)/2)*(Inputs!$J$8-Inputs!$I$8)))/Inputs!$K$8)^2)</x:f>
        <x:v>679.1268849999998</x:v>
      </x:c>
      <x:c r="AC220" s="9" t="n">
        <x:f>(Inputs!$H$9+Inputs!$L$9*(((Inputs!$I$9+(((A220)+1)/2)*(Inputs!$J$9-Inputs!$I$9)))/Inputs!$K$9)^2)</x:f>
        <x:v>675.8017749999998</x:v>
      </x:c>
      <x:c r="AD220" s="10" t="n"/>
      <x:c r="AE220" s="9" t="n">
        <x:f>A220</x:f>
        <x:v>0.817</x:v>
      </x:c>
      <x:c r="AF220" s="9"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9"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9"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9"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10" t="n"/>
      <x:c r="AK220" s="9" t="n">
        <x:f>A220</x:f>
        <x:v>0.817</x:v>
      </x:c>
      <x:c r="AL220" s="9"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9"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9"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9"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10" t="n"/>
      <x:c r="AQ220" s="9" t="n">
        <x:f>A220</x:f>
        <x:v>0.817</x:v>
      </x:c>
      <x:c r="AR220" s="9" t="n">
        <x:f>0</x:f>
        <x:v>0</x:v>
      </x:c>
      <x:c r="AS220" s="9"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x:f>
        <x:v>105.08309482637527</x:v>
      </x:c>
      <x:c r="AT220" s="9"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x:f>
        <x:v>201.85061985078673</x:v>
      </x:c>
      <x:c r="AU220" s="9"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x:f>
        <x:v>222.5600991943694</x:v>
      </x:c>
      <x:c r="AV220" s="9"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x:f>
        <x:v>222.5600991943694</x:v>
      </x:c>
      <x:c r="AW220" s="10" t="n"/>
      <x:c r="AX220" s="9" t="n">
        <x:f>A220</x:f>
        <x:v>0.817</x:v>
      </x:c>
      <x:c r="AY220" s="9" t="n">
        <x:f>0</x:f>
        <x:v>0</x:v>
      </x:c>
      <x:c r="AZ220" s="9" t="n">
        <x:f>IF(OR(Inputs!$F$6=TRUE,Inputs!$F$6="TRUE",Inputs!$F$6=1),(Inputs!$H$6+Inputs!$L$6*(((Inputs!$I$6+(((A220)+1)/2)*(Inputs!$J$6-Inputs!$I$6)))/Inputs!$K$6)^2),NA())</x:f>
        <x:v>402.669956</x:v>
      </x:c>
      <x:c r="BA220" s="9" t="n">
        <x:f>IF(OR(Inputs!$F$7=TRUE,Inputs!$F$7="TRUE",Inputs!$F$7=1),(Inputs!$H$7+Inputs!$L$7*(((Inputs!$I$7+(((A220)+1)/2)*(Inputs!$J$7-Inputs!$I$7)))/Inputs!$K$7)^2),NA())</x:f>
        <x:v>278.63348499999995</x:v>
      </x:c>
      <x:c r="BB220" s="9" t="n">
        <x:f>IF(OR(Inputs!$F$8=TRUE,Inputs!$F$8="TRUE",Inputs!$F$8=1),(Inputs!$H$8+Inputs!$L$8*(((Inputs!$I$8+(((A220)+1)/2)*(Inputs!$J$8-Inputs!$I$8)))/Inputs!$K$8)^2),NA())</x:f>
        <x:v>679.1268849999998</x:v>
      </x:c>
      <x:c r="BC220" s="9" t="n">
        <x:f>IF(OR(Inputs!$F$9=TRUE,Inputs!$F$9="TRUE",Inputs!$F$9=1),(Inputs!$H$9+Inputs!$L$9*(((Inputs!$I$9+(((A220)+1)/2)*(Inputs!$J$9-Inputs!$I$9)))/Inputs!$K$9)^2),NA())</x:f>
        <x:v>675.8017749999998</x:v>
      </x:c>
      <x:c r="BD220" s="10" t="n"/>
      <x:c r="BE220" s="9" t="n">
        <x:f>A220</x:f>
        <x:v>0.817</x:v>
      </x:c>
      <x:c r="BF220" s="9" t="n">
        <x:f>0</x:f>
        <x:v>0</x:v>
      </x:c>
      <x:c r="BG220" s="9"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9"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9"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9"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9" t="n">
        <x:f>ROUND(-1+219*2/240,3)</x:f>
        <x:v>0.825</x:v>
      </x:c>
      <x:c r="B221" s="9" t="n">
        <x:f>IF(OR(Inputs!$F$6=TRUE,Inputs!$F$6="TRUE",Inputs!$F$6=1),(Inputs!$H$6+Inputs!$L$6*(((Inputs!$I$6+(((A221)+1)/2)*(Inputs!$J$6-Inputs!$I$6)))/Inputs!$K$6)^2),NA())</x:f>
        <x:v>402.7225</x:v>
      </x:c>
      <x:c r="C221" s="9" t="n">
        <x:f>IF(OR(Inputs!$F$7=TRUE,Inputs!$F$7="TRUE",Inputs!$F$7=1),(Inputs!$H$7+Inputs!$L$7*(((Inputs!$I$7+(((A221)+1)/2)*(Inputs!$J$7-Inputs!$I$7)))/Inputs!$K$7)^2),NA())</x:f>
        <x:v>283.42812499999997</x:v>
      </x:c>
      <x:c r="D221" s="9" t="n">
        <x:f>IF(OR(Inputs!$F$8=TRUE,Inputs!$F$8="TRUE",Inputs!$F$8=1),(Inputs!$H$8+Inputs!$L$8*(((Inputs!$I$8+(((A221)+1)/2)*(Inputs!$J$8-Inputs!$I$8)))/Inputs!$K$8)^2),NA())</x:f>
        <x:v>691.8031249999999</x:v>
      </x:c>
      <x:c r="E221" s="9" t="n">
        <x:f>IF(OR(Inputs!$F$9=TRUE,Inputs!$F$9="TRUE",Inputs!$F$9=1),(Inputs!$H$9+Inputs!$L$9*(((Inputs!$I$9+(((A221)+1)/2)*(Inputs!$J$9-Inputs!$I$9)))/Inputs!$K$9)^2),NA())</x:f>
        <x:v>688.6093749999999</x:v>
      </x:c>
      <x:c r="F221" s="10" t="n"/>
      <x:c r="G221" s="9" t="n">
        <x:f>A221</x:f>
        <x:v>0.825</x:v>
      </x:c>
      <x:c r="H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10" t="n"/>
      <x:c r="M221" s="9" t="n">
        <x:f>A221</x:f>
        <x:v>0.825</x:v>
      </x:c>
      <x:c r="N221" s="9"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9"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9"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9"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10" t="n"/>
      <x:c r="S221" s="9" t="n">
        <x:f>A221</x:f>
        <x:v>0.825</x:v>
      </x:c>
      <x:c r="T221" s="9" t="n">
        <x:f>(Inputs!$I$6+(((A221)+1)/2)*(Inputs!$J$6-Inputs!$I$6))</x:f>
        <x:v>49.5</x:v>
      </x:c>
      <x:c r="U221" s="9" t="n">
        <x:f>(Inputs!$I$7+(((A221)+1)/2)*(Inputs!$J$7-Inputs!$I$7))</x:f>
        <x:v>330</x:v>
      </x:c>
      <x:c r="V221" s="9" t="n">
        <x:f>(Inputs!$I$8+(((A221)+1)/2)*(Inputs!$J$8-Inputs!$I$8))</x:f>
        <x:v>660</x:v>
      </x:c>
      <x:c r="W221" s="9" t="n">
        <x:f>(Inputs!$I$9+(((A221)+1)/2)*(Inputs!$J$9-Inputs!$I$9))</x:f>
        <x:v>660</x:v>
      </x:c>
      <x:c r="X221" s="10" t="n"/>
      <x:c r="Y221" s="9" t="n">
        <x:f>A221</x:f>
        <x:v>0.825</x:v>
      </x:c>
      <x:c r="Z221" s="9" t="n">
        <x:f>(Inputs!$H$6+Inputs!$L$6*(((Inputs!$I$6+(((A221)+1)/2)*(Inputs!$J$6-Inputs!$I$6)))/Inputs!$K$6)^2)</x:f>
        <x:v>402.7225</x:v>
      </x:c>
      <x:c r="AA221" s="9" t="n">
        <x:f>(Inputs!$H$7+Inputs!$L$7*(((Inputs!$I$7+(((A221)+1)/2)*(Inputs!$J$7-Inputs!$I$7)))/Inputs!$K$7)^2)</x:f>
        <x:v>283.42812499999997</x:v>
      </x:c>
      <x:c r="AB221" s="9" t="n">
        <x:f>(Inputs!$H$8+Inputs!$L$8*(((Inputs!$I$8+(((A221)+1)/2)*(Inputs!$J$8-Inputs!$I$8)))/Inputs!$K$8)^2)</x:f>
        <x:v>691.8031249999999</x:v>
      </x:c>
      <x:c r="AC221" s="9" t="n">
        <x:f>(Inputs!$H$9+Inputs!$L$9*(((Inputs!$I$9+(((A221)+1)/2)*(Inputs!$J$9-Inputs!$I$9)))/Inputs!$K$9)^2)</x:f>
        <x:v>688.6093749999999</x:v>
      </x:c>
      <x:c r="AD221" s="10" t="n"/>
      <x:c r="AE221" s="9" t="n">
        <x:f>A221</x:f>
        <x:v>0.825</x:v>
      </x:c>
      <x:c r="AF221" s="9"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9"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9"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9"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10" t="n"/>
      <x:c r="AK221" s="9" t="n">
        <x:f>A221</x:f>
        <x:v>0.825</x:v>
      </x:c>
      <x:c r="AL221" s="9"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9"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9"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9"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10" t="n"/>
      <x:c r="AQ221" s="9" t="n">
        <x:f>A221</x:f>
        <x:v>0.825</x:v>
      </x:c>
      <x:c r="AR221" s="9" t="n">
        <x:f>0</x:f>
        <x:v>0</x:v>
      </x:c>
      <x:c r="AS221" s="9"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x:f>
        <x:v>115.81874031490976</x:v>
      </x:c>
      <x:c r="AT221" s="9"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x:f>
        <x:v>171.3544459769522</x:v>
      </x:c>
      <x:c r="AU221" s="9"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x:f>
        <x:v>90.3845383854487</x:v>
      </x:c>
      <x:c r="AV221" s="9"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x:f>
        <x:v>90.3845383854487</x:v>
      </x:c>
      <x:c r="AW221" s="10" t="n"/>
      <x:c r="AX221" s="9" t="n">
        <x:f>A221</x:f>
        <x:v>0.825</x:v>
      </x:c>
      <x:c r="AY221" s="9" t="n">
        <x:f>0</x:f>
        <x:v>0</x:v>
      </x:c>
      <x:c r="AZ221" s="9" t="n">
        <x:f>IF(OR(Inputs!$F$6=TRUE,Inputs!$F$6="TRUE",Inputs!$F$6=1),(Inputs!$H$6+Inputs!$L$6*(((Inputs!$I$6+(((A221)+1)/2)*(Inputs!$J$6-Inputs!$I$6)))/Inputs!$K$6)^2),NA())</x:f>
        <x:v>402.7225</x:v>
      </x:c>
      <x:c r="BA221" s="9" t="n">
        <x:f>IF(OR(Inputs!$F$7=TRUE,Inputs!$F$7="TRUE",Inputs!$F$7=1),(Inputs!$H$7+Inputs!$L$7*(((Inputs!$I$7+(((A221)+1)/2)*(Inputs!$J$7-Inputs!$I$7)))/Inputs!$K$7)^2),NA())</x:f>
        <x:v>283.42812499999997</x:v>
      </x:c>
      <x:c r="BB221" s="9" t="n">
        <x:f>IF(OR(Inputs!$F$8=TRUE,Inputs!$F$8="TRUE",Inputs!$F$8=1),(Inputs!$H$8+Inputs!$L$8*(((Inputs!$I$8+(((A221)+1)/2)*(Inputs!$J$8-Inputs!$I$8)))/Inputs!$K$8)^2),NA())</x:f>
        <x:v>691.8031249999999</x:v>
      </x:c>
      <x:c r="BC221" s="9" t="n">
        <x:f>IF(OR(Inputs!$F$9=TRUE,Inputs!$F$9="TRUE",Inputs!$F$9=1),(Inputs!$H$9+Inputs!$L$9*(((Inputs!$I$9+(((A221)+1)/2)*(Inputs!$J$9-Inputs!$I$9)))/Inputs!$K$9)^2),NA())</x:f>
        <x:v>688.6093749999999</x:v>
      </x:c>
      <x:c r="BD221" s="10" t="n"/>
      <x:c r="BE221" s="9" t="n">
        <x:f>A221</x:f>
        <x:v>0.825</x:v>
      </x:c>
      <x:c r="BF221" s="9" t="n">
        <x:f>0</x:f>
        <x:v>0</x:v>
      </x:c>
      <x:c r="BG221" s="9"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9"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9"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9"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9" t="n">
        <x:f>ROUND(-1+220*2/240,3)</x:f>
        <x:v>0.833</x:v>
      </x:c>
      <x:c r="B222" s="9" t="n">
        <x:f>IF(OR(Inputs!$F$6=TRUE,Inputs!$F$6="TRUE",Inputs!$F$6=1),(Inputs!$H$6+Inputs!$L$6*(((Inputs!$I$6+(((A222)+1)/2)*(Inputs!$J$6-Inputs!$I$6)))/Inputs!$K$6)^2),NA())</x:f>
        <x:v>402.775556</x:v>
      </x:c>
      <x:c r="C222" s="9" t="n">
        <x:f>IF(OR(Inputs!$F$7=TRUE,Inputs!$F$7="TRUE",Inputs!$F$7=1),(Inputs!$H$7+Inputs!$L$7*(((Inputs!$I$7+(((A222)+1)/2)*(Inputs!$J$7-Inputs!$I$7)))/Inputs!$K$7)^2),NA())</x:f>
        <x:v>288.2694849999999</x:v>
      </x:c>
      <x:c r="D222" s="9" t="n">
        <x:f>IF(OR(Inputs!$F$8=TRUE,Inputs!$F$8="TRUE",Inputs!$F$8=1),(Inputs!$H$8+Inputs!$L$8*(((Inputs!$I$8+(((A222)+1)/2)*(Inputs!$J$8-Inputs!$I$8)))/Inputs!$K$8)^2),NA())</x:f>
        <x:v>704.6028849999998</x:v>
      </x:c>
      <x:c r="E222" s="9" t="n">
        <x:f>IF(OR(Inputs!$F$9=TRUE,Inputs!$F$9="TRUE",Inputs!$F$9=1),(Inputs!$H$9+Inputs!$L$9*(((Inputs!$I$9+(((A222)+1)/2)*(Inputs!$J$9-Inputs!$I$9)))/Inputs!$K$9)^2),NA())</x:f>
        <x:v>701.5417749999998</x:v>
      </x:c>
      <x:c r="F222" s="10" t="n"/>
      <x:c r="G222" s="9" t="n">
        <x:f>A222</x:f>
        <x:v>0.833</x:v>
      </x:c>
      <x:c r="H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10" t="n"/>
      <x:c r="M222" s="9" t="n">
        <x:f>A222</x:f>
        <x:v>0.833</x:v>
      </x:c>
      <x:c r="N222" s="9"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9"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9"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9"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10" t="n"/>
      <x:c r="S222" s="9" t="n">
        <x:f>A222</x:f>
        <x:v>0.833</x:v>
      </x:c>
      <x:c r="T222" s="9" t="n">
        <x:f>(Inputs!$I$6+(((A222)+1)/2)*(Inputs!$J$6-Inputs!$I$6))</x:f>
        <x:v>49.980000000000004</x:v>
      </x:c>
      <x:c r="U222" s="9" t="n">
        <x:f>(Inputs!$I$7+(((A222)+1)/2)*(Inputs!$J$7-Inputs!$I$7))</x:f>
        <x:v>333.19999999999993</x:v>
      </x:c>
      <x:c r="V222" s="9" t="n">
        <x:f>(Inputs!$I$8+(((A222)+1)/2)*(Inputs!$J$8-Inputs!$I$8))</x:f>
        <x:v>666.3999999999999</x:v>
      </x:c>
      <x:c r="W222" s="9" t="n">
        <x:f>(Inputs!$I$9+(((A222)+1)/2)*(Inputs!$J$9-Inputs!$I$9))</x:f>
        <x:v>666.3999999999999</x:v>
      </x:c>
      <x:c r="X222" s="10" t="n"/>
      <x:c r="Y222" s="9" t="n">
        <x:f>A222</x:f>
        <x:v>0.833</x:v>
      </x:c>
      <x:c r="Z222" s="9" t="n">
        <x:f>(Inputs!$H$6+Inputs!$L$6*(((Inputs!$I$6+(((A222)+1)/2)*(Inputs!$J$6-Inputs!$I$6)))/Inputs!$K$6)^2)</x:f>
        <x:v>402.775556</x:v>
      </x:c>
      <x:c r="AA222" s="9" t="n">
        <x:f>(Inputs!$H$7+Inputs!$L$7*(((Inputs!$I$7+(((A222)+1)/2)*(Inputs!$J$7-Inputs!$I$7)))/Inputs!$K$7)^2)</x:f>
        <x:v>288.2694849999999</x:v>
      </x:c>
      <x:c r="AB222" s="9" t="n">
        <x:f>(Inputs!$H$8+Inputs!$L$8*(((Inputs!$I$8+(((A222)+1)/2)*(Inputs!$J$8-Inputs!$I$8)))/Inputs!$K$8)^2)</x:f>
        <x:v>704.6028849999998</x:v>
      </x:c>
      <x:c r="AC222" s="9" t="n">
        <x:f>(Inputs!$H$9+Inputs!$L$9*(((Inputs!$I$9+(((A222)+1)/2)*(Inputs!$J$9-Inputs!$I$9)))/Inputs!$K$9)^2)</x:f>
        <x:v>701.5417749999998</x:v>
      </x:c>
      <x:c r="AD222" s="10" t="n"/>
      <x:c r="AE222" s="9" t="n">
        <x:f>A222</x:f>
        <x:v>0.833</x:v>
      </x:c>
      <x:c r="AF222" s="9"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9"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9"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9"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10" t="n"/>
      <x:c r="AK222" s="9" t="n">
        <x:f>A222</x:f>
        <x:v>0.833</x:v>
      </x:c>
      <x:c r="AL222" s="9"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9"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9"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9"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10" t="n"/>
      <x:c r="AQ222" s="9" t="n">
        <x:f>A222</x:f>
        <x:v>0.833</x:v>
      </x:c>
      <x:c r="AR222" s="9" t="n">
        <x:f>0</x:f>
        <x:v>0</x:v>
      </x:c>
      <x:c r="AS222" s="9"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x:f>
        <x:v>122.74501683382235</x:v>
      </x:c>
      <x:c r="AT222" s="9"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x:f>
        <x:v>103.09034505364662</x:v>
      </x:c>
      <x:c r="AU222" s="9"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x:f>
        <x:v>156.81951761950825</x:v>
      </x:c>
      <x:c r="AV222" s="9"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x:f>
        <x:v>156.81951761950825</x:v>
      </x:c>
      <x:c r="AW222" s="10" t="n"/>
      <x:c r="AX222" s="9" t="n">
        <x:f>A222</x:f>
        <x:v>0.833</x:v>
      </x:c>
      <x:c r="AY222" s="9" t="n">
        <x:f>0</x:f>
        <x:v>0</x:v>
      </x:c>
      <x:c r="AZ222" s="9" t="n">
        <x:f>IF(OR(Inputs!$F$6=TRUE,Inputs!$F$6="TRUE",Inputs!$F$6=1),(Inputs!$H$6+Inputs!$L$6*(((Inputs!$I$6+(((A222)+1)/2)*(Inputs!$J$6-Inputs!$I$6)))/Inputs!$K$6)^2),NA())</x:f>
        <x:v>402.775556</x:v>
      </x:c>
      <x:c r="BA222" s="9" t="n">
        <x:f>IF(OR(Inputs!$F$7=TRUE,Inputs!$F$7="TRUE",Inputs!$F$7=1),(Inputs!$H$7+Inputs!$L$7*(((Inputs!$I$7+(((A222)+1)/2)*(Inputs!$J$7-Inputs!$I$7)))/Inputs!$K$7)^2),NA())</x:f>
        <x:v>288.2694849999999</x:v>
      </x:c>
      <x:c r="BB222" s="9" t="n">
        <x:f>IF(OR(Inputs!$F$8=TRUE,Inputs!$F$8="TRUE",Inputs!$F$8=1),(Inputs!$H$8+Inputs!$L$8*(((Inputs!$I$8+(((A222)+1)/2)*(Inputs!$J$8-Inputs!$I$8)))/Inputs!$K$8)^2),NA())</x:f>
        <x:v>704.6028849999998</x:v>
      </x:c>
      <x:c r="BC222" s="9" t="n">
        <x:f>IF(OR(Inputs!$F$9=TRUE,Inputs!$F$9="TRUE",Inputs!$F$9=1),(Inputs!$H$9+Inputs!$L$9*(((Inputs!$I$9+(((A222)+1)/2)*(Inputs!$J$9-Inputs!$I$9)))/Inputs!$K$9)^2),NA())</x:f>
        <x:v>701.5417749999998</x:v>
      </x:c>
      <x:c r="BD222" s="10" t="n"/>
      <x:c r="BE222" s="9" t="n">
        <x:f>A222</x:f>
        <x:v>0.833</x:v>
      </x:c>
      <x:c r="BF222" s="9" t="n">
        <x:f>0</x:f>
        <x:v>0</x:v>
      </x:c>
      <x:c r="BG222" s="9"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9"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9"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9"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9" t="n">
        <x:f>ROUND(-1+221*2/240,3)</x:f>
        <x:v>0.842</x:v>
      </x:c>
      <x:c r="B223" s="9" t="n">
        <x:f>IF(OR(Inputs!$F$6=TRUE,Inputs!$F$6="TRUE",Inputs!$F$6=1),(Inputs!$H$6+Inputs!$L$6*(((Inputs!$I$6+(((A223)+1)/2)*(Inputs!$J$6-Inputs!$I$6)))/Inputs!$K$6)^2),NA())</x:f>
        <x:v>402.835856</x:v>
      </x:c>
      <x:c r="C223" s="9" t="n">
        <x:f>IF(OR(Inputs!$F$7=TRUE,Inputs!$F$7="TRUE",Inputs!$F$7=1),(Inputs!$H$7+Inputs!$L$7*(((Inputs!$I$7+(((A223)+1)/2)*(Inputs!$J$7-Inputs!$I$7)))/Inputs!$K$7)^2),NA())</x:f>
        <x:v>293.7718600000001</x:v>
      </x:c>
      <x:c r="D223" s="9" t="n">
        <x:f>IF(OR(Inputs!$F$8=TRUE,Inputs!$F$8="TRUE",Inputs!$F$8=1),(Inputs!$H$8+Inputs!$L$8*(((Inputs!$I$8+(((A223)+1)/2)*(Inputs!$J$8-Inputs!$I$8)))/Inputs!$K$8)^2),NA())</x:f>
        <x:v>719.1502600000003</x:v>
      </x:c>
      <x:c r="E223" s="9" t="n">
        <x:f>IF(OR(Inputs!$F$9=TRUE,Inputs!$F$9="TRUE",Inputs!$F$9=1),(Inputs!$H$9+Inputs!$L$9*(((Inputs!$I$9+(((A223)+1)/2)*(Inputs!$J$9-Inputs!$I$9)))/Inputs!$K$9)^2),NA())</x:f>
        <x:v>716.2399000000004</x:v>
      </x:c>
      <x:c r="F223" s="10" t="n"/>
      <x:c r="G223" s="9" t="n">
        <x:f>A223</x:f>
        <x:v>0.842</x:v>
      </x:c>
      <x:c r="H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10" t="n"/>
      <x:c r="M223" s="9" t="n">
        <x:f>A223</x:f>
        <x:v>0.842</x:v>
      </x:c>
      <x:c r="N223" s="9"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9"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9"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9"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10" t="n"/>
      <x:c r="S223" s="9" t="n">
        <x:f>A223</x:f>
        <x:v>0.842</x:v>
      </x:c>
      <x:c r="T223" s="9" t="n">
        <x:f>(Inputs!$I$6+(((A223)+1)/2)*(Inputs!$J$6-Inputs!$I$6))</x:f>
        <x:v>50.52000000000001</x:v>
      </x:c>
      <x:c r="U223" s="9" t="n">
        <x:f>(Inputs!$I$7+(((A223)+1)/2)*(Inputs!$J$7-Inputs!$I$7))</x:f>
        <x:v>336.80000000000007</x:v>
      </x:c>
      <x:c r="V223" s="9" t="n">
        <x:f>(Inputs!$I$8+(((A223)+1)/2)*(Inputs!$J$8-Inputs!$I$8))</x:f>
        <x:v>673.6000000000001</x:v>
      </x:c>
      <x:c r="W223" s="9" t="n">
        <x:f>(Inputs!$I$9+(((A223)+1)/2)*(Inputs!$J$9-Inputs!$I$9))</x:f>
        <x:v>673.6000000000001</x:v>
      </x:c>
      <x:c r="X223" s="10" t="n"/>
      <x:c r="Y223" s="9" t="n">
        <x:f>A223</x:f>
        <x:v>0.842</x:v>
      </x:c>
      <x:c r="Z223" s="9" t="n">
        <x:f>(Inputs!$H$6+Inputs!$L$6*(((Inputs!$I$6+(((A223)+1)/2)*(Inputs!$J$6-Inputs!$I$6)))/Inputs!$K$6)^2)</x:f>
        <x:v>402.835856</x:v>
      </x:c>
      <x:c r="AA223" s="9" t="n">
        <x:f>(Inputs!$H$7+Inputs!$L$7*(((Inputs!$I$7+(((A223)+1)/2)*(Inputs!$J$7-Inputs!$I$7)))/Inputs!$K$7)^2)</x:f>
        <x:v>293.7718600000001</x:v>
      </x:c>
      <x:c r="AB223" s="9" t="n">
        <x:f>(Inputs!$H$8+Inputs!$L$8*(((Inputs!$I$8+(((A223)+1)/2)*(Inputs!$J$8-Inputs!$I$8)))/Inputs!$K$8)^2)</x:f>
        <x:v>719.1502600000003</x:v>
      </x:c>
      <x:c r="AC223" s="9" t="n">
        <x:f>(Inputs!$H$9+Inputs!$L$9*(((Inputs!$I$9+(((A223)+1)/2)*(Inputs!$J$9-Inputs!$I$9)))/Inputs!$K$9)^2)</x:f>
        <x:v>716.2399000000004</x:v>
      </x:c>
      <x:c r="AD223" s="10" t="n"/>
      <x:c r="AE223" s="9" t="n">
        <x:f>A223</x:f>
        <x:v>0.842</x:v>
      </x:c>
      <x:c r="AF223" s="9"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9"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9"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9"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10" t="n"/>
      <x:c r="AK223" s="9" t="n">
        <x:f>A223</x:f>
        <x:v>0.842</x:v>
      </x:c>
      <x:c r="AL223" s="9"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9"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9"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9"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10" t="n"/>
      <x:c r="AQ223" s="9" t="n">
        <x:f>A223</x:f>
        <x:v>0.842</x:v>
      </x:c>
      <x:c r="AR223" s="9" t="n">
        <x:f>0</x:f>
        <x:v>0</x:v>
      </x:c>
      <x:c r="AS223" s="9"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x:f>
        <x:v>131.80942878641432</x:v>
      </x:c>
      <x:c r="AT223" s="9"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x:f>
        <x:v>99.07593867763723</x:v>
      </x:c>
      <x:c r="AU223" s="9"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x:f>
        <x:v>163.751856106696</x:v>
      </x:c>
      <x:c r="AV223" s="9"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x:f>
        <x:v>163.751856106696</x:v>
      </x:c>
      <x:c r="AW223" s="10" t="n"/>
      <x:c r="AX223" s="9" t="n">
        <x:f>A223</x:f>
        <x:v>0.842</x:v>
      </x:c>
      <x:c r="AY223" s="9" t="n">
        <x:f>0</x:f>
        <x:v>0</x:v>
      </x:c>
      <x:c r="AZ223" s="9" t="n">
        <x:f>IF(OR(Inputs!$F$6=TRUE,Inputs!$F$6="TRUE",Inputs!$F$6=1),(Inputs!$H$6+Inputs!$L$6*(((Inputs!$I$6+(((A223)+1)/2)*(Inputs!$J$6-Inputs!$I$6)))/Inputs!$K$6)^2),NA())</x:f>
        <x:v>402.835856</x:v>
      </x:c>
      <x:c r="BA223" s="9" t="n">
        <x:f>IF(OR(Inputs!$F$7=TRUE,Inputs!$F$7="TRUE",Inputs!$F$7=1),(Inputs!$H$7+Inputs!$L$7*(((Inputs!$I$7+(((A223)+1)/2)*(Inputs!$J$7-Inputs!$I$7)))/Inputs!$K$7)^2),NA())</x:f>
        <x:v>293.7718600000001</x:v>
      </x:c>
      <x:c r="BB223" s="9" t="n">
        <x:f>IF(OR(Inputs!$F$8=TRUE,Inputs!$F$8="TRUE",Inputs!$F$8=1),(Inputs!$H$8+Inputs!$L$8*(((Inputs!$I$8+(((A223)+1)/2)*(Inputs!$J$8-Inputs!$I$8)))/Inputs!$K$8)^2),NA())</x:f>
        <x:v>719.1502600000003</x:v>
      </x:c>
      <x:c r="BC223" s="9" t="n">
        <x:f>IF(OR(Inputs!$F$9=TRUE,Inputs!$F$9="TRUE",Inputs!$F$9=1),(Inputs!$H$9+Inputs!$L$9*(((Inputs!$I$9+(((A223)+1)/2)*(Inputs!$J$9-Inputs!$I$9)))/Inputs!$K$9)^2),NA())</x:f>
        <x:v>716.2399000000004</x:v>
      </x:c>
      <x:c r="BD223" s="10" t="n"/>
      <x:c r="BE223" s="9" t="n">
        <x:f>A223</x:f>
        <x:v>0.842</x:v>
      </x:c>
      <x:c r="BF223" s="9" t="n">
        <x:f>0</x:f>
        <x:v>0</x:v>
      </x:c>
      <x:c r="BG223" s="9"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9"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9"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9"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9" t="n">
        <x:f>ROUND(-1+222*2/240,3)</x:f>
        <x:v>0.85</x:v>
      </x:c>
      <x:c r="B224" s="9" t="n">
        <x:f>IF(OR(Inputs!$F$6=TRUE,Inputs!$F$6="TRUE",Inputs!$F$6=1),(Inputs!$H$6+Inputs!$L$6*(((Inputs!$I$6+(((A224)+1)/2)*(Inputs!$J$6-Inputs!$I$6)))/Inputs!$K$6)^2),NA())</x:f>
        <x:v>402.89</x:v>
      </x:c>
      <x:c r="C224" s="9" t="n">
        <x:f>IF(OR(Inputs!$F$7=TRUE,Inputs!$F$7="TRUE",Inputs!$F$7=1),(Inputs!$H$7+Inputs!$L$7*(((Inputs!$I$7+(((A224)+1)/2)*(Inputs!$J$7-Inputs!$I$7)))/Inputs!$K$7)^2),NA())</x:f>
        <x:v>298.7125</x:v>
      </x:c>
      <x:c r="D224" s="9" t="n">
        <x:f>IF(OR(Inputs!$F$8=TRUE,Inputs!$F$8="TRUE",Inputs!$F$8=1),(Inputs!$H$8+Inputs!$L$8*(((Inputs!$I$8+(((A224)+1)/2)*(Inputs!$J$8-Inputs!$I$8)))/Inputs!$K$8)^2),NA())</x:f>
        <x:v>732.2125</x:v>
      </x:c>
      <x:c r="E224" s="9" t="n">
        <x:f>IF(OR(Inputs!$F$9=TRUE,Inputs!$F$9="TRUE",Inputs!$F$9=1),(Inputs!$H$9+Inputs!$L$9*(((Inputs!$I$9+(((A224)+1)/2)*(Inputs!$J$9-Inputs!$I$9)))/Inputs!$K$9)^2),NA())</x:f>
        <x:v>729.4374999999999</x:v>
      </x:c>
      <x:c r="F224" s="10" t="n"/>
      <x:c r="G224" s="9" t="n">
        <x:f>A224</x:f>
        <x:v>0.85</x:v>
      </x:c>
      <x:c r="H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10" t="n"/>
      <x:c r="M224" s="9" t="n">
        <x:f>A224</x:f>
        <x:v>0.85</x:v>
      </x:c>
      <x:c r="N224" s="9"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9"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9"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9"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10" t="n"/>
      <x:c r="S224" s="9" t="n">
        <x:f>A224</x:f>
        <x:v>0.85</x:v>
      </x:c>
      <x:c r="T224" s="9" t="n">
        <x:f>(Inputs!$I$6+(((A224)+1)/2)*(Inputs!$J$6-Inputs!$I$6))</x:f>
        <x:v>51</x:v>
      </x:c>
      <x:c r="U224" s="9" t="n">
        <x:f>(Inputs!$I$7+(((A224)+1)/2)*(Inputs!$J$7-Inputs!$I$7))</x:f>
        <x:v>340</x:v>
      </x:c>
      <x:c r="V224" s="9" t="n">
        <x:f>(Inputs!$I$8+(((A224)+1)/2)*(Inputs!$J$8-Inputs!$I$8))</x:f>
        <x:v>680</x:v>
      </x:c>
      <x:c r="W224" s="9" t="n">
        <x:f>(Inputs!$I$9+(((A224)+1)/2)*(Inputs!$J$9-Inputs!$I$9))</x:f>
        <x:v>680</x:v>
      </x:c>
      <x:c r="X224" s="10" t="n"/>
      <x:c r="Y224" s="9" t="n">
        <x:f>A224</x:f>
        <x:v>0.85</x:v>
      </x:c>
      <x:c r="Z224" s="9" t="n">
        <x:f>(Inputs!$H$6+Inputs!$L$6*(((Inputs!$I$6+(((A224)+1)/2)*(Inputs!$J$6-Inputs!$I$6)))/Inputs!$K$6)^2)</x:f>
        <x:v>402.89</x:v>
      </x:c>
      <x:c r="AA224" s="9" t="n">
        <x:f>(Inputs!$H$7+Inputs!$L$7*(((Inputs!$I$7+(((A224)+1)/2)*(Inputs!$J$7-Inputs!$I$7)))/Inputs!$K$7)^2)</x:f>
        <x:v>298.7125</x:v>
      </x:c>
      <x:c r="AB224" s="9" t="n">
        <x:f>(Inputs!$H$8+Inputs!$L$8*(((Inputs!$I$8+(((A224)+1)/2)*(Inputs!$J$8-Inputs!$I$8)))/Inputs!$K$8)^2)</x:f>
        <x:v>732.2125</x:v>
      </x:c>
      <x:c r="AC224" s="9" t="n">
        <x:f>(Inputs!$H$9+Inputs!$L$9*(((Inputs!$I$9+(((A224)+1)/2)*(Inputs!$J$9-Inputs!$I$9)))/Inputs!$K$9)^2)</x:f>
        <x:v>729.4374999999999</x:v>
      </x:c>
      <x:c r="AD224" s="10" t="n"/>
      <x:c r="AE224" s="9" t="n">
        <x:f>A224</x:f>
        <x:v>0.85</x:v>
      </x:c>
      <x:c r="AF224" s="9"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9"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9"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9"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10" t="n"/>
      <x:c r="AK224" s="9" t="n">
        <x:f>A224</x:f>
        <x:v>0.85</x:v>
      </x:c>
      <x:c r="AL224" s="9"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9"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9"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9"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10" t="n"/>
      <x:c r="AQ224" s="9" t="n">
        <x:f>A224</x:f>
        <x:v>0.85</x:v>
      </x:c>
      <x:c r="AR224" s="9" t="n">
        <x:f>0</x:f>
        <x:v>0</x:v>
      </x:c>
      <x:c r="AS224" s="9"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x:f>
        <x:v>137.08289632779307</x:v>
      </x:c>
      <x:c r="AT224" s="9"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x:f>
        <x:v>124.64043868220405</x:v>
      </x:c>
      <x:c r="AU224" s="9"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x:f>
        <x:v>51.488930519125816</x:v>
      </x:c>
      <x:c r="AV224" s="9"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x:f>
        <x:v>51.488930519125816</x:v>
      </x:c>
      <x:c r="AW224" s="10" t="n"/>
      <x:c r="AX224" s="9" t="n">
        <x:f>A224</x:f>
        <x:v>0.85</x:v>
      </x:c>
      <x:c r="AY224" s="9" t="n">
        <x:f>0</x:f>
        <x:v>0</x:v>
      </x:c>
      <x:c r="AZ224" s="9" t="n">
        <x:f>IF(OR(Inputs!$F$6=TRUE,Inputs!$F$6="TRUE",Inputs!$F$6=1),(Inputs!$H$6+Inputs!$L$6*(((Inputs!$I$6+(((A224)+1)/2)*(Inputs!$J$6-Inputs!$I$6)))/Inputs!$K$6)^2),NA())</x:f>
        <x:v>402.89</x:v>
      </x:c>
      <x:c r="BA224" s="9" t="n">
        <x:f>IF(OR(Inputs!$F$7=TRUE,Inputs!$F$7="TRUE",Inputs!$F$7=1),(Inputs!$H$7+Inputs!$L$7*(((Inputs!$I$7+(((A224)+1)/2)*(Inputs!$J$7-Inputs!$I$7)))/Inputs!$K$7)^2),NA())</x:f>
        <x:v>298.7125</x:v>
      </x:c>
      <x:c r="BB224" s="9" t="n">
        <x:f>IF(OR(Inputs!$F$8=TRUE,Inputs!$F$8="TRUE",Inputs!$F$8=1),(Inputs!$H$8+Inputs!$L$8*(((Inputs!$I$8+(((A224)+1)/2)*(Inputs!$J$8-Inputs!$I$8)))/Inputs!$K$8)^2),NA())</x:f>
        <x:v>732.2125</x:v>
      </x:c>
      <x:c r="BC224" s="9" t="n">
        <x:f>IF(OR(Inputs!$F$9=TRUE,Inputs!$F$9="TRUE",Inputs!$F$9=1),(Inputs!$H$9+Inputs!$L$9*(((Inputs!$I$9+(((A224)+1)/2)*(Inputs!$J$9-Inputs!$I$9)))/Inputs!$K$9)^2),NA())</x:f>
        <x:v>729.4374999999999</x:v>
      </x:c>
      <x:c r="BD224" s="10" t="n"/>
      <x:c r="BE224" s="9" t="n">
        <x:f>A224</x:f>
        <x:v>0.85</x:v>
      </x:c>
      <x:c r="BF224" s="9" t="n">
        <x:f>0</x:f>
        <x:v>0</x:v>
      </x:c>
      <x:c r="BG224" s="9"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9"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9"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9"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9" t="n">
        <x:f>ROUND(-1+223*2/240,3)</x:f>
        <x:v>0.858</x:v>
      </x:c>
      <x:c r="B225" s="9" t="n">
        <x:f>IF(OR(Inputs!$F$6=TRUE,Inputs!$F$6="TRUE",Inputs!$F$6=1),(Inputs!$H$6+Inputs!$L$6*(((Inputs!$I$6+(((A225)+1)/2)*(Inputs!$J$6-Inputs!$I$6)))/Inputs!$K$6)^2),NA())</x:f>
        <x:v>402.944656</x:v>
      </x:c>
      <x:c r="C225" s="9" t="n">
        <x:f>IF(OR(Inputs!$F$7=TRUE,Inputs!$F$7="TRUE",Inputs!$F$7=1),(Inputs!$H$7+Inputs!$L$7*(((Inputs!$I$7+(((A225)+1)/2)*(Inputs!$J$7-Inputs!$I$7)))/Inputs!$K$7)^2),NA())</x:f>
        <x:v>303.69986000000006</x:v>
      </x:c>
      <x:c r="D225" s="9" t="n">
        <x:f>IF(OR(Inputs!$F$8=TRUE,Inputs!$F$8="TRUE",Inputs!$F$8=1),(Inputs!$H$8+Inputs!$L$8*(((Inputs!$I$8+(((A225)+1)/2)*(Inputs!$J$8-Inputs!$I$8)))/Inputs!$K$8)^2),NA())</x:f>
        <x:v>745.3982600000002</x:v>
      </x:c>
      <x:c r="E225" s="9" t="n">
        <x:f>IF(OR(Inputs!$F$9=TRUE,Inputs!$F$9="TRUE",Inputs!$F$9=1),(Inputs!$H$9+Inputs!$L$9*(((Inputs!$I$9+(((A225)+1)/2)*(Inputs!$J$9-Inputs!$I$9)))/Inputs!$K$9)^2),NA())</x:f>
        <x:v>742.7599000000001</x:v>
      </x:c>
      <x:c r="F225" s="10" t="n"/>
      <x:c r="G225" s="9" t="n">
        <x:f>A225</x:f>
        <x:v>0.858</x:v>
      </x:c>
      <x:c r="H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10" t="n"/>
      <x:c r="M225" s="9" t="n">
        <x:f>A225</x:f>
        <x:v>0.858</x:v>
      </x:c>
      <x:c r="N225" s="9"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9"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9"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9"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10" t="n"/>
      <x:c r="S225" s="9" t="n">
        <x:f>A225</x:f>
        <x:v>0.858</x:v>
      </x:c>
      <x:c r="T225" s="9" t="n">
        <x:f>(Inputs!$I$6+(((A225)+1)/2)*(Inputs!$J$6-Inputs!$I$6))</x:f>
        <x:v>51.480000000000004</x:v>
      </x:c>
      <x:c r="U225" s="9" t="n">
        <x:f>(Inputs!$I$7+(((A225)+1)/2)*(Inputs!$J$7-Inputs!$I$7))</x:f>
        <x:v>343.20000000000005</x:v>
      </x:c>
      <x:c r="V225" s="9" t="n">
        <x:f>(Inputs!$I$8+(((A225)+1)/2)*(Inputs!$J$8-Inputs!$I$8))</x:f>
        <x:v>686.4000000000001</x:v>
      </x:c>
      <x:c r="W225" s="9" t="n">
        <x:f>(Inputs!$I$9+(((A225)+1)/2)*(Inputs!$J$9-Inputs!$I$9))</x:f>
        <x:v>686.4000000000001</x:v>
      </x:c>
      <x:c r="X225" s="10" t="n"/>
      <x:c r="Y225" s="9" t="n">
        <x:f>A225</x:f>
        <x:v>0.858</x:v>
      </x:c>
      <x:c r="Z225" s="9" t="n">
        <x:f>(Inputs!$H$6+Inputs!$L$6*(((Inputs!$I$6+(((A225)+1)/2)*(Inputs!$J$6-Inputs!$I$6)))/Inputs!$K$6)^2)</x:f>
        <x:v>402.944656</x:v>
      </x:c>
      <x:c r="AA225" s="9" t="n">
        <x:f>(Inputs!$H$7+Inputs!$L$7*(((Inputs!$I$7+(((A225)+1)/2)*(Inputs!$J$7-Inputs!$I$7)))/Inputs!$K$7)^2)</x:f>
        <x:v>303.69986000000006</x:v>
      </x:c>
      <x:c r="AB225" s="9" t="n">
        <x:f>(Inputs!$H$8+Inputs!$L$8*(((Inputs!$I$8+(((A225)+1)/2)*(Inputs!$J$8-Inputs!$I$8)))/Inputs!$K$8)^2)</x:f>
        <x:v>745.3982600000002</x:v>
      </x:c>
      <x:c r="AC225" s="9" t="n">
        <x:f>(Inputs!$H$9+Inputs!$L$9*(((Inputs!$I$9+(((A225)+1)/2)*(Inputs!$J$9-Inputs!$I$9)))/Inputs!$K$9)^2)</x:f>
        <x:v>742.7599000000001</x:v>
      </x:c>
      <x:c r="AD225" s="10" t="n"/>
      <x:c r="AE225" s="9" t="n">
        <x:f>A225</x:f>
        <x:v>0.858</x:v>
      </x:c>
      <x:c r="AF225" s="9"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9"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9"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9"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10" t="n"/>
      <x:c r="AK225" s="9" t="n">
        <x:f>A225</x:f>
        <x:v>0.858</x:v>
      </x:c>
      <x:c r="AL225" s="9"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9"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9"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9"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10" t="n"/>
      <x:c r="AQ225" s="9" t="n">
        <x:f>A225</x:f>
        <x:v>0.858</x:v>
      </x:c>
      <x:c r="AR225" s="9" t="n">
        <x:f>0</x:f>
        <x:v>0</x:v>
      </x:c>
      <x:c r="AS225" s="9"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x:f>
        <x:v>139.38284808697506</x:v>
      </x:c>
      <x:c r="AT225" s="9"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x:f>
        <x:v>151.34081083012887</x:v>
      </x:c>
      <x:c r="AU225" s="9"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x:f>
        <x:v>185.73986359394797</x:v>
      </x:c>
      <x:c r="AV225" s="9"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x:f>
        <x:v>185.73986359394797</x:v>
      </x:c>
      <x:c r="AW225" s="10" t="n"/>
      <x:c r="AX225" s="9" t="n">
        <x:f>A225</x:f>
        <x:v>0.858</x:v>
      </x:c>
      <x:c r="AY225" s="9" t="n">
        <x:f>0</x:f>
        <x:v>0</x:v>
      </x:c>
      <x:c r="AZ225" s="9" t="n">
        <x:f>IF(OR(Inputs!$F$6=TRUE,Inputs!$F$6="TRUE",Inputs!$F$6=1),(Inputs!$H$6+Inputs!$L$6*(((Inputs!$I$6+(((A225)+1)/2)*(Inputs!$J$6-Inputs!$I$6)))/Inputs!$K$6)^2),NA())</x:f>
        <x:v>402.944656</x:v>
      </x:c>
      <x:c r="BA225" s="9" t="n">
        <x:f>IF(OR(Inputs!$F$7=TRUE,Inputs!$F$7="TRUE",Inputs!$F$7=1),(Inputs!$H$7+Inputs!$L$7*(((Inputs!$I$7+(((A225)+1)/2)*(Inputs!$J$7-Inputs!$I$7)))/Inputs!$K$7)^2),NA())</x:f>
        <x:v>303.69986000000006</x:v>
      </x:c>
      <x:c r="BB225" s="9" t="n">
        <x:f>IF(OR(Inputs!$F$8=TRUE,Inputs!$F$8="TRUE",Inputs!$F$8=1),(Inputs!$H$8+Inputs!$L$8*(((Inputs!$I$8+(((A225)+1)/2)*(Inputs!$J$8-Inputs!$I$8)))/Inputs!$K$8)^2),NA())</x:f>
        <x:v>745.3982600000002</x:v>
      </x:c>
      <x:c r="BC225" s="9" t="n">
        <x:f>IF(OR(Inputs!$F$9=TRUE,Inputs!$F$9="TRUE",Inputs!$F$9=1),(Inputs!$H$9+Inputs!$L$9*(((Inputs!$I$9+(((A225)+1)/2)*(Inputs!$J$9-Inputs!$I$9)))/Inputs!$K$9)^2),NA())</x:f>
        <x:v>742.7599000000001</x:v>
      </x:c>
      <x:c r="BD225" s="10" t="n"/>
      <x:c r="BE225" s="9" t="n">
        <x:f>A225</x:f>
        <x:v>0.858</x:v>
      </x:c>
      <x:c r="BF225" s="9" t="n">
        <x:f>0</x:f>
        <x:v>0</x:v>
      </x:c>
      <x:c r="BG225" s="9"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9"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9"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9"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9" t="n">
        <x:f>ROUND(-1+224*2/240,3)</x:f>
        <x:v>0.867</x:v>
      </x:c>
      <x:c r="B226" s="9" t="n">
        <x:f>IF(OR(Inputs!$F$6=TRUE,Inputs!$F$6="TRUE",Inputs!$F$6=1),(Inputs!$H$6+Inputs!$L$6*(((Inputs!$I$6+(((A226)+1)/2)*(Inputs!$J$6-Inputs!$I$6)))/Inputs!$K$6)^2),NA())</x:f>
        <x:v>403.006756</x:v>
      </x:c>
      <x:c r="C226" s="9" t="n">
        <x:f>IF(OR(Inputs!$F$7=TRUE,Inputs!$F$7="TRUE",Inputs!$F$7=1),(Inputs!$H$7+Inputs!$L$7*(((Inputs!$I$7+(((A226)+1)/2)*(Inputs!$J$7-Inputs!$I$7)))/Inputs!$K$7)^2),NA())</x:f>
        <x:v>309.36648499999995</x:v>
      </x:c>
      <x:c r="D226" s="9" t="n">
        <x:f>IF(OR(Inputs!$F$8=TRUE,Inputs!$F$8="TRUE",Inputs!$F$8=1),(Inputs!$H$8+Inputs!$L$8*(((Inputs!$I$8+(((A226)+1)/2)*(Inputs!$J$8-Inputs!$I$8)))/Inputs!$K$8)^2),NA())</x:f>
        <x:v>760.3798849999998</x:v>
      </x:c>
      <x:c r="E226" s="9" t="n">
        <x:f>IF(OR(Inputs!$F$9=TRUE,Inputs!$F$9="TRUE",Inputs!$F$9=1),(Inputs!$H$9+Inputs!$L$9*(((Inputs!$I$9+(((A226)+1)/2)*(Inputs!$J$9-Inputs!$I$9)))/Inputs!$K$9)^2),NA())</x:f>
        <x:v>757.8967749999998</x:v>
      </x:c>
      <x:c r="F226" s="10" t="n"/>
      <x:c r="G226" s="9" t="n">
        <x:f>A226</x:f>
        <x:v>0.867</x:v>
      </x:c>
      <x:c r="H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10" t="n"/>
      <x:c r="M226" s="9" t="n">
        <x:f>A226</x:f>
        <x:v>0.867</x:v>
      </x:c>
      <x:c r="N226" s="9"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9"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9"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9"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10" t="n"/>
      <x:c r="S226" s="9" t="n">
        <x:f>A226</x:f>
        <x:v>0.867</x:v>
      </x:c>
      <x:c r="T226" s="9" t="n">
        <x:f>(Inputs!$I$6+(((A226)+1)/2)*(Inputs!$J$6-Inputs!$I$6))</x:f>
        <x:v>52.019999999999996</x:v>
      </x:c>
      <x:c r="U226" s="9" t="n">
        <x:f>(Inputs!$I$7+(((A226)+1)/2)*(Inputs!$J$7-Inputs!$I$7))</x:f>
        <x:v>346.79999999999995</x:v>
      </x:c>
      <x:c r="V226" s="9" t="n">
        <x:f>(Inputs!$I$8+(((A226)+1)/2)*(Inputs!$J$8-Inputs!$I$8))</x:f>
        <x:v>693.5999999999999</x:v>
      </x:c>
      <x:c r="W226" s="9" t="n">
        <x:f>(Inputs!$I$9+(((A226)+1)/2)*(Inputs!$J$9-Inputs!$I$9))</x:f>
        <x:v>693.5999999999999</x:v>
      </x:c>
      <x:c r="X226" s="10" t="n"/>
      <x:c r="Y226" s="9" t="n">
        <x:f>A226</x:f>
        <x:v>0.867</x:v>
      </x:c>
      <x:c r="Z226" s="9" t="n">
        <x:f>(Inputs!$H$6+Inputs!$L$6*(((Inputs!$I$6+(((A226)+1)/2)*(Inputs!$J$6-Inputs!$I$6)))/Inputs!$K$6)^2)</x:f>
        <x:v>403.006756</x:v>
      </x:c>
      <x:c r="AA226" s="9" t="n">
        <x:f>(Inputs!$H$7+Inputs!$L$7*(((Inputs!$I$7+(((A226)+1)/2)*(Inputs!$J$7-Inputs!$I$7)))/Inputs!$K$7)^2)</x:f>
        <x:v>309.36648499999995</x:v>
      </x:c>
      <x:c r="AB226" s="9" t="n">
        <x:f>(Inputs!$H$8+Inputs!$L$8*(((Inputs!$I$8+(((A226)+1)/2)*(Inputs!$J$8-Inputs!$I$8)))/Inputs!$K$8)^2)</x:f>
        <x:v>760.3798849999998</x:v>
      </x:c>
      <x:c r="AC226" s="9" t="n">
        <x:f>(Inputs!$H$9+Inputs!$L$9*(((Inputs!$I$9+(((A226)+1)/2)*(Inputs!$J$9-Inputs!$I$9)))/Inputs!$K$9)^2)</x:f>
        <x:v>757.8967749999998</x:v>
      </x:c>
      <x:c r="AD226" s="10" t="n"/>
      <x:c r="AE226" s="9" t="n">
        <x:f>A226</x:f>
        <x:v>0.867</x:v>
      </x:c>
      <x:c r="AF226" s="9"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9"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9"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9"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10" t="n"/>
      <x:c r="AK226" s="9" t="n">
        <x:f>A226</x:f>
        <x:v>0.867</x:v>
      </x:c>
      <x:c r="AL226" s="9"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9"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9"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9"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10" t="n"/>
      <x:c r="AQ226" s="9" t="n">
        <x:f>A226</x:f>
        <x:v>0.867</x:v>
      </x:c>
      <x:c r="AR226" s="9" t="n">
        <x:f>0</x:f>
        <x:v>0</x:v>
      </x:c>
      <x:c r="AS226" s="9"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x:f>
        <x:v>155.46870582364224</x:v>
      </x:c>
      <x:c r="AT226" s="9"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x:f>
        <x:v>178.30958863794606</x:v>
      </x:c>
      <x:c r="AU226" s="9"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x:f>
        <x:v>95.88525583354524</x:v>
      </x:c>
      <x:c r="AV226" s="9"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x:f>
        <x:v>95.88525583354524</x:v>
      </x:c>
      <x:c r="AW226" s="10" t="n"/>
      <x:c r="AX226" s="9" t="n">
        <x:f>A226</x:f>
        <x:v>0.867</x:v>
      </x:c>
      <x:c r="AY226" s="9" t="n">
        <x:f>0</x:f>
        <x:v>0</x:v>
      </x:c>
      <x:c r="AZ226" s="9" t="n">
        <x:f>IF(OR(Inputs!$F$6=TRUE,Inputs!$F$6="TRUE",Inputs!$F$6=1),(Inputs!$H$6+Inputs!$L$6*(((Inputs!$I$6+(((A226)+1)/2)*(Inputs!$J$6-Inputs!$I$6)))/Inputs!$K$6)^2),NA())</x:f>
        <x:v>403.006756</x:v>
      </x:c>
      <x:c r="BA226" s="9" t="n">
        <x:f>IF(OR(Inputs!$F$7=TRUE,Inputs!$F$7="TRUE",Inputs!$F$7=1),(Inputs!$H$7+Inputs!$L$7*(((Inputs!$I$7+(((A226)+1)/2)*(Inputs!$J$7-Inputs!$I$7)))/Inputs!$K$7)^2),NA())</x:f>
        <x:v>309.36648499999995</x:v>
      </x:c>
      <x:c r="BB226" s="9" t="n">
        <x:f>IF(OR(Inputs!$F$8=TRUE,Inputs!$F$8="TRUE",Inputs!$F$8=1),(Inputs!$H$8+Inputs!$L$8*(((Inputs!$I$8+(((A226)+1)/2)*(Inputs!$J$8-Inputs!$I$8)))/Inputs!$K$8)^2),NA())</x:f>
        <x:v>760.3798849999998</x:v>
      </x:c>
      <x:c r="BC226" s="9" t="n">
        <x:f>IF(OR(Inputs!$F$9=TRUE,Inputs!$F$9="TRUE",Inputs!$F$9=1),(Inputs!$H$9+Inputs!$L$9*(((Inputs!$I$9+(((A226)+1)/2)*(Inputs!$J$9-Inputs!$I$9)))/Inputs!$K$9)^2),NA())</x:f>
        <x:v>757.8967749999998</x:v>
      </x:c>
      <x:c r="BD226" s="10" t="n"/>
      <x:c r="BE226" s="9" t="n">
        <x:f>A226</x:f>
        <x:v>0.867</x:v>
      </x:c>
      <x:c r="BF226" s="9" t="n">
        <x:f>0</x:f>
        <x:v>0</x:v>
      </x:c>
      <x:c r="BG226" s="9"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9"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9"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9"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9" t="n">
        <x:f>ROUND(-1+225*2/240,3)</x:f>
        <x:v>0.875</x:v>
      </x:c>
      <x:c r="B227" s="9" t="n">
        <x:f>IF(OR(Inputs!$F$6=TRUE,Inputs!$F$6="TRUE",Inputs!$F$6=1),(Inputs!$H$6+Inputs!$L$6*(((Inputs!$I$6+(((A227)+1)/2)*(Inputs!$J$6-Inputs!$I$6)))/Inputs!$K$6)^2),NA())</x:f>
        <x:v>403.0625</x:v>
      </x:c>
      <x:c r="C227" s="9" t="n">
        <x:f>IF(OR(Inputs!$F$7=TRUE,Inputs!$F$7="TRUE",Inputs!$F$7=1),(Inputs!$H$7+Inputs!$L$7*(((Inputs!$I$7+(((A227)+1)/2)*(Inputs!$J$7-Inputs!$I$7)))/Inputs!$K$7)^2),NA())</x:f>
        <x:v>314.453125</x:v>
      </x:c>
      <x:c r="D227" s="9" t="n">
        <x:f>IF(OR(Inputs!$F$8=TRUE,Inputs!$F$8="TRUE",Inputs!$F$8=1),(Inputs!$H$8+Inputs!$L$8*(((Inputs!$I$8+(((A227)+1)/2)*(Inputs!$J$8-Inputs!$I$8)))/Inputs!$K$8)^2),NA())</x:f>
        <x:v>773.828125</x:v>
      </x:c>
      <x:c r="E227" s="9" t="n">
        <x:f>IF(OR(Inputs!$F$9=TRUE,Inputs!$F$9="TRUE",Inputs!$F$9=1),(Inputs!$H$9+Inputs!$L$9*(((Inputs!$I$9+(((A227)+1)/2)*(Inputs!$J$9-Inputs!$I$9)))/Inputs!$K$9)^2),NA())</x:f>
        <x:v>771.484375</x:v>
      </x:c>
      <x:c r="F227" s="10" t="n"/>
      <x:c r="G227" s="9" t="n">
        <x:f>A227</x:f>
        <x:v>0.875</x:v>
      </x:c>
      <x:c r="H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10" t="n"/>
      <x:c r="M227" s="9" t="n">
        <x:f>A227</x:f>
        <x:v>0.875</x:v>
      </x:c>
      <x:c r="N227" s="9"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9"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9"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9"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10" t="n"/>
      <x:c r="S227" s="9" t="n">
        <x:f>A227</x:f>
        <x:v>0.875</x:v>
      </x:c>
      <x:c r="T227" s="9" t="n">
        <x:f>(Inputs!$I$6+(((A227)+1)/2)*(Inputs!$J$6-Inputs!$I$6))</x:f>
        <x:v>52.5</x:v>
      </x:c>
      <x:c r="U227" s="9" t="n">
        <x:f>(Inputs!$I$7+(((A227)+1)/2)*(Inputs!$J$7-Inputs!$I$7))</x:f>
        <x:v>350</x:v>
      </x:c>
      <x:c r="V227" s="9" t="n">
        <x:f>(Inputs!$I$8+(((A227)+1)/2)*(Inputs!$J$8-Inputs!$I$8))</x:f>
        <x:v>700</x:v>
      </x:c>
      <x:c r="W227" s="9" t="n">
        <x:f>(Inputs!$I$9+(((A227)+1)/2)*(Inputs!$J$9-Inputs!$I$9))</x:f>
        <x:v>700</x:v>
      </x:c>
      <x:c r="X227" s="10" t="n"/>
      <x:c r="Y227" s="9" t="n">
        <x:f>A227</x:f>
        <x:v>0.875</x:v>
      </x:c>
      <x:c r="Z227" s="9" t="n">
        <x:f>(Inputs!$H$6+Inputs!$L$6*(((Inputs!$I$6+(((A227)+1)/2)*(Inputs!$J$6-Inputs!$I$6)))/Inputs!$K$6)^2)</x:f>
        <x:v>403.0625</x:v>
      </x:c>
      <x:c r="AA227" s="9" t="n">
        <x:f>(Inputs!$H$7+Inputs!$L$7*(((Inputs!$I$7+(((A227)+1)/2)*(Inputs!$J$7-Inputs!$I$7)))/Inputs!$K$7)^2)</x:f>
        <x:v>314.453125</x:v>
      </x:c>
      <x:c r="AB227" s="9" t="n">
        <x:f>(Inputs!$H$8+Inputs!$L$8*(((Inputs!$I$8+(((A227)+1)/2)*(Inputs!$J$8-Inputs!$I$8)))/Inputs!$K$8)^2)</x:f>
        <x:v>773.828125</x:v>
      </x:c>
      <x:c r="AC227" s="9" t="n">
        <x:f>(Inputs!$H$9+Inputs!$L$9*(((Inputs!$I$9+(((A227)+1)/2)*(Inputs!$J$9-Inputs!$I$9)))/Inputs!$K$9)^2)</x:f>
        <x:v>771.484375</x:v>
      </x:c>
      <x:c r="AD227" s="10" t="n"/>
      <x:c r="AE227" s="9" t="n">
        <x:f>A227</x:f>
        <x:v>0.875</x:v>
      </x:c>
      <x:c r="AF227" s="9"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9"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9"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9"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10" t="n"/>
      <x:c r="AK227" s="9" t="n">
        <x:f>A227</x:f>
        <x:v>0.875</x:v>
      </x:c>
      <x:c r="AL227" s="9"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9"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9"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9"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10" t="n"/>
      <x:c r="AQ227" s="9" t="n">
        <x:f>A227</x:f>
        <x:v>0.875</x:v>
      </x:c>
      <x:c r="AR227" s="9" t="n">
        <x:f>0</x:f>
        <x:v>0</x:v>
      </x:c>
      <x:c r="AS227" s="9"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x:f>
        <x:v>164.06842387185546</x:v>
      </x:c>
      <x:c r="AT227" s="9"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x:f>
        <x:v>184.81425362758165</x:v>
      </x:c>
      <x:c r="AU227" s="9"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x:f>
        <x:v>121.16457924581657</x:v>
      </x:c>
      <x:c r="AV227" s="9"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x:f>
        <x:v>121.16457924581657</x:v>
      </x:c>
      <x:c r="AW227" s="10" t="n"/>
      <x:c r="AX227" s="9" t="n">
        <x:f>A227</x:f>
        <x:v>0.875</x:v>
      </x:c>
      <x:c r="AY227" s="9" t="n">
        <x:f>0</x:f>
        <x:v>0</x:v>
      </x:c>
      <x:c r="AZ227" s="9" t="n">
        <x:f>IF(OR(Inputs!$F$6=TRUE,Inputs!$F$6="TRUE",Inputs!$F$6=1),(Inputs!$H$6+Inputs!$L$6*(((Inputs!$I$6+(((A227)+1)/2)*(Inputs!$J$6-Inputs!$I$6)))/Inputs!$K$6)^2),NA())</x:f>
        <x:v>403.0625</x:v>
      </x:c>
      <x:c r="BA227" s="9" t="n">
        <x:f>IF(OR(Inputs!$F$7=TRUE,Inputs!$F$7="TRUE",Inputs!$F$7=1),(Inputs!$H$7+Inputs!$L$7*(((Inputs!$I$7+(((A227)+1)/2)*(Inputs!$J$7-Inputs!$I$7)))/Inputs!$K$7)^2),NA())</x:f>
        <x:v>314.453125</x:v>
      </x:c>
      <x:c r="BB227" s="9" t="n">
        <x:f>IF(OR(Inputs!$F$8=TRUE,Inputs!$F$8="TRUE",Inputs!$F$8=1),(Inputs!$H$8+Inputs!$L$8*(((Inputs!$I$8+(((A227)+1)/2)*(Inputs!$J$8-Inputs!$I$8)))/Inputs!$K$8)^2),NA())</x:f>
        <x:v>773.828125</x:v>
      </x:c>
      <x:c r="BC227" s="9" t="n">
        <x:f>IF(OR(Inputs!$F$9=TRUE,Inputs!$F$9="TRUE",Inputs!$F$9=1),(Inputs!$H$9+Inputs!$L$9*(((Inputs!$I$9+(((A227)+1)/2)*(Inputs!$J$9-Inputs!$I$9)))/Inputs!$K$9)^2),NA())</x:f>
        <x:v>771.484375</x:v>
      </x:c>
      <x:c r="BD227" s="10" t="n"/>
      <x:c r="BE227" s="9" t="n">
        <x:f>A227</x:f>
        <x:v>0.875</x:v>
      </x:c>
      <x:c r="BF227" s="9" t="n">
        <x:f>0</x:f>
        <x:v>0</x:v>
      </x:c>
      <x:c r="BG227" s="9"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9"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9"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9"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9" t="n">
        <x:f>ROUND(-1+226*2/240,3)</x:f>
        <x:v>0.883</x:v>
      </x:c>
      <x:c r="B228" s="9" t="n">
        <x:f>IF(OR(Inputs!$F$6=TRUE,Inputs!$F$6="TRUE",Inputs!$F$6=1),(Inputs!$H$6+Inputs!$L$6*(((Inputs!$I$6+(((A228)+1)/2)*(Inputs!$J$6-Inputs!$I$6)))/Inputs!$K$6)^2),NA())</x:f>
        <x:v>403.118756</x:v>
      </x:c>
      <x:c r="C228" s="9" t="n">
        <x:f>IF(OR(Inputs!$F$7=TRUE,Inputs!$F$7="TRUE",Inputs!$F$7=1),(Inputs!$H$7+Inputs!$L$7*(((Inputs!$I$7+(((A228)+1)/2)*(Inputs!$J$7-Inputs!$I$7)))/Inputs!$K$7)^2),NA())</x:f>
        <x:v>319.5864850000001</x:v>
      </x:c>
      <x:c r="D228" s="9" t="n">
        <x:f>IF(OR(Inputs!$F$8=TRUE,Inputs!$F$8="TRUE",Inputs!$F$8=1),(Inputs!$H$8+Inputs!$L$8*(((Inputs!$I$8+(((A228)+1)/2)*(Inputs!$J$8-Inputs!$I$8)))/Inputs!$K$8)^2),NA())</x:f>
        <x:v>787.3998850000002</x:v>
      </x:c>
      <x:c r="E228" s="9" t="n">
        <x:f>IF(OR(Inputs!$F$9=TRUE,Inputs!$F$9="TRUE",Inputs!$F$9=1),(Inputs!$H$9+Inputs!$L$9*(((Inputs!$I$9+(((A228)+1)/2)*(Inputs!$J$9-Inputs!$I$9)))/Inputs!$K$9)^2),NA())</x:f>
        <x:v>785.1967750000002</x:v>
      </x:c>
      <x:c r="F228" s="10" t="n"/>
      <x:c r="G228" s="9" t="n">
        <x:f>A228</x:f>
        <x:v>0.883</x:v>
      </x:c>
      <x:c r="H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10" t="n"/>
      <x:c r="M228" s="9" t="n">
        <x:f>A228</x:f>
        <x:v>0.883</x:v>
      </x:c>
      <x:c r="N228" s="9"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9"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9"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9"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10" t="n"/>
      <x:c r="S228" s="9" t="n">
        <x:f>A228</x:f>
        <x:v>0.883</x:v>
      </x:c>
      <x:c r="T228" s="9" t="n">
        <x:f>(Inputs!$I$6+(((A228)+1)/2)*(Inputs!$J$6-Inputs!$I$6))</x:f>
        <x:v>52.980000000000004</x:v>
      </x:c>
      <x:c r="U228" s="9" t="n">
        <x:f>(Inputs!$I$7+(((A228)+1)/2)*(Inputs!$J$7-Inputs!$I$7))</x:f>
        <x:v>353.20000000000005</x:v>
      </x:c>
      <x:c r="V228" s="9" t="n">
        <x:f>(Inputs!$I$8+(((A228)+1)/2)*(Inputs!$J$8-Inputs!$I$8))</x:f>
        <x:v>706.4000000000001</x:v>
      </x:c>
      <x:c r="W228" s="9" t="n">
        <x:f>(Inputs!$I$9+(((A228)+1)/2)*(Inputs!$J$9-Inputs!$I$9))</x:f>
        <x:v>706.4000000000001</x:v>
      </x:c>
      <x:c r="X228" s="10" t="n"/>
      <x:c r="Y228" s="9" t="n">
        <x:f>A228</x:f>
        <x:v>0.883</x:v>
      </x:c>
      <x:c r="Z228" s="9" t="n">
        <x:f>(Inputs!$H$6+Inputs!$L$6*(((Inputs!$I$6+(((A228)+1)/2)*(Inputs!$J$6-Inputs!$I$6)))/Inputs!$K$6)^2)</x:f>
        <x:v>403.118756</x:v>
      </x:c>
      <x:c r="AA228" s="9" t="n">
        <x:f>(Inputs!$H$7+Inputs!$L$7*(((Inputs!$I$7+(((A228)+1)/2)*(Inputs!$J$7-Inputs!$I$7)))/Inputs!$K$7)^2)</x:f>
        <x:v>319.5864850000001</x:v>
      </x:c>
      <x:c r="AB228" s="9" t="n">
        <x:f>(Inputs!$H$8+Inputs!$L$8*(((Inputs!$I$8+(((A228)+1)/2)*(Inputs!$J$8-Inputs!$I$8)))/Inputs!$K$8)^2)</x:f>
        <x:v>787.3998850000002</x:v>
      </x:c>
      <x:c r="AC228" s="9" t="n">
        <x:f>(Inputs!$H$9+Inputs!$L$9*(((Inputs!$I$9+(((A228)+1)/2)*(Inputs!$J$9-Inputs!$I$9)))/Inputs!$K$9)^2)</x:f>
        <x:v>785.1967750000002</x:v>
      </x:c>
      <x:c r="AD228" s="10" t="n"/>
      <x:c r="AE228" s="9" t="n">
        <x:f>A228</x:f>
        <x:v>0.883</x:v>
      </x:c>
      <x:c r="AF228" s="9"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9"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9"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9"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10" t="n"/>
      <x:c r="AK228" s="9" t="n">
        <x:f>A228</x:f>
        <x:v>0.883</x:v>
      </x:c>
      <x:c r="AL228" s="9"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9"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9"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9"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10" t="n"/>
      <x:c r="AQ228" s="9" t="n">
        <x:f>A228</x:f>
        <x:v>0.883</x:v>
      </x:c>
      <x:c r="AR228" s="9" t="n">
        <x:f>0</x:f>
        <x:v>0</x:v>
      </x:c>
      <x:c r="AS228" s="9"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x:f>
        <x:v>161.34757660211056</x:v>
      </x:c>
      <x:c r="AT228" s="9"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x:f>
        <x:v>124.77149015066324</x:v>
      </x:c>
      <x:c r="AU228" s="9"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x:f>
        <x:v>183.4161636883259</x:v>
      </x:c>
      <x:c r="AV228" s="9"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x:f>
        <x:v>183.4161636883259</x:v>
      </x:c>
      <x:c r="AW228" s="10" t="n"/>
      <x:c r="AX228" s="9" t="n">
        <x:f>A228</x:f>
        <x:v>0.883</x:v>
      </x:c>
      <x:c r="AY228" s="9" t="n">
        <x:f>0</x:f>
        <x:v>0</x:v>
      </x:c>
      <x:c r="AZ228" s="9" t="n">
        <x:f>IF(OR(Inputs!$F$6=TRUE,Inputs!$F$6="TRUE",Inputs!$F$6=1),(Inputs!$H$6+Inputs!$L$6*(((Inputs!$I$6+(((A228)+1)/2)*(Inputs!$J$6-Inputs!$I$6)))/Inputs!$K$6)^2),NA())</x:f>
        <x:v>403.118756</x:v>
      </x:c>
      <x:c r="BA228" s="9" t="n">
        <x:f>IF(OR(Inputs!$F$7=TRUE,Inputs!$F$7="TRUE",Inputs!$F$7=1),(Inputs!$H$7+Inputs!$L$7*(((Inputs!$I$7+(((A228)+1)/2)*(Inputs!$J$7-Inputs!$I$7)))/Inputs!$K$7)^2),NA())</x:f>
        <x:v>319.5864850000001</x:v>
      </x:c>
      <x:c r="BB228" s="9" t="n">
        <x:f>IF(OR(Inputs!$F$8=TRUE,Inputs!$F$8="TRUE",Inputs!$F$8=1),(Inputs!$H$8+Inputs!$L$8*(((Inputs!$I$8+(((A228)+1)/2)*(Inputs!$J$8-Inputs!$I$8)))/Inputs!$K$8)^2),NA())</x:f>
        <x:v>787.3998850000002</x:v>
      </x:c>
      <x:c r="BC228" s="9" t="n">
        <x:f>IF(OR(Inputs!$F$9=TRUE,Inputs!$F$9="TRUE",Inputs!$F$9=1),(Inputs!$H$9+Inputs!$L$9*(((Inputs!$I$9+(((A228)+1)/2)*(Inputs!$J$9-Inputs!$I$9)))/Inputs!$K$9)^2),NA())</x:f>
        <x:v>785.1967750000002</x:v>
      </x:c>
      <x:c r="BD228" s="10" t="n"/>
      <x:c r="BE228" s="9" t="n">
        <x:f>A228</x:f>
        <x:v>0.883</x:v>
      </x:c>
      <x:c r="BF228" s="9" t="n">
        <x:f>0</x:f>
        <x:v>0</x:v>
      </x:c>
      <x:c r="BG228" s="9"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9"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9"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9"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9" t="n">
        <x:f>ROUND(-1+227*2/240,3)</x:f>
        <x:v>0.892</x:v>
      </x:c>
      <x:c r="B229" s="9" t="n">
        <x:f>IF(OR(Inputs!$F$6=TRUE,Inputs!$F$6="TRUE",Inputs!$F$6=1),(Inputs!$H$6+Inputs!$L$6*(((Inputs!$I$6+(((A229)+1)/2)*(Inputs!$J$6-Inputs!$I$6)))/Inputs!$K$6)^2),NA())</x:f>
        <x:v>403.182656</x:v>
      </x:c>
      <x:c r="C229" s="9" t="n">
        <x:f>IF(OR(Inputs!$F$7=TRUE,Inputs!$F$7="TRUE",Inputs!$F$7=1),(Inputs!$H$7+Inputs!$L$7*(((Inputs!$I$7+(((A229)+1)/2)*(Inputs!$J$7-Inputs!$I$7)))/Inputs!$K$7)^2),NA())</x:f>
        <x:v>325.4173599999999</x:v>
      </x:c>
      <x:c r="D229" s="9" t="n">
        <x:f>IF(OR(Inputs!$F$8=TRUE,Inputs!$F$8="TRUE",Inputs!$F$8=1),(Inputs!$H$8+Inputs!$L$8*(((Inputs!$I$8+(((A229)+1)/2)*(Inputs!$J$8-Inputs!$I$8)))/Inputs!$K$8)^2),NA())</x:f>
        <x:v>802.8157599999998</x:v>
      </x:c>
      <x:c r="E229" s="9" t="n">
        <x:f>IF(OR(Inputs!$F$9=TRUE,Inputs!$F$9="TRUE",Inputs!$F$9=1),(Inputs!$H$9+Inputs!$L$9*(((Inputs!$I$9+(((A229)+1)/2)*(Inputs!$J$9-Inputs!$I$9)))/Inputs!$K$9)^2),NA())</x:f>
        <x:v>800.7723999999998</x:v>
      </x:c>
      <x:c r="F229" s="10" t="n"/>
      <x:c r="G229" s="9" t="n">
        <x:f>A229</x:f>
        <x:v>0.892</x:v>
      </x:c>
      <x:c r="H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10" t="n"/>
      <x:c r="M229" s="9" t="n">
        <x:f>A229</x:f>
        <x:v>0.892</x:v>
      </x:c>
      <x:c r="N229" s="9"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9"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9"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9"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10" t="n"/>
      <x:c r="S229" s="9" t="n">
        <x:f>A229</x:f>
        <x:v>0.892</x:v>
      </x:c>
      <x:c r="T229" s="9" t="n">
        <x:f>(Inputs!$I$6+(((A229)+1)/2)*(Inputs!$J$6-Inputs!$I$6))</x:f>
        <x:v>53.519999999999996</x:v>
      </x:c>
      <x:c r="U229" s="9" t="n">
        <x:f>(Inputs!$I$7+(((A229)+1)/2)*(Inputs!$J$7-Inputs!$I$7))</x:f>
        <x:v>356.79999999999995</x:v>
      </x:c>
      <x:c r="V229" s="9" t="n">
        <x:f>(Inputs!$I$8+(((A229)+1)/2)*(Inputs!$J$8-Inputs!$I$8))</x:f>
        <x:v>713.5999999999999</x:v>
      </x:c>
      <x:c r="W229" s="9" t="n">
        <x:f>(Inputs!$I$9+(((A229)+1)/2)*(Inputs!$J$9-Inputs!$I$9))</x:f>
        <x:v>713.5999999999999</x:v>
      </x:c>
      <x:c r="X229" s="10" t="n"/>
      <x:c r="Y229" s="9" t="n">
        <x:f>A229</x:f>
        <x:v>0.892</x:v>
      </x:c>
      <x:c r="Z229" s="9" t="n">
        <x:f>(Inputs!$H$6+Inputs!$L$6*(((Inputs!$I$6+(((A229)+1)/2)*(Inputs!$J$6-Inputs!$I$6)))/Inputs!$K$6)^2)</x:f>
        <x:v>403.182656</x:v>
      </x:c>
      <x:c r="AA229" s="9" t="n">
        <x:f>(Inputs!$H$7+Inputs!$L$7*(((Inputs!$I$7+(((A229)+1)/2)*(Inputs!$J$7-Inputs!$I$7)))/Inputs!$K$7)^2)</x:f>
        <x:v>325.4173599999999</x:v>
      </x:c>
      <x:c r="AB229" s="9" t="n">
        <x:f>(Inputs!$H$8+Inputs!$L$8*(((Inputs!$I$8+(((A229)+1)/2)*(Inputs!$J$8-Inputs!$I$8)))/Inputs!$K$8)^2)</x:f>
        <x:v>802.8157599999998</x:v>
      </x:c>
      <x:c r="AC229" s="9" t="n">
        <x:f>(Inputs!$H$9+Inputs!$L$9*(((Inputs!$I$9+(((A229)+1)/2)*(Inputs!$J$9-Inputs!$I$9)))/Inputs!$K$9)^2)</x:f>
        <x:v>800.7723999999998</x:v>
      </x:c>
      <x:c r="AD229" s="10" t="n"/>
      <x:c r="AE229" s="9" t="n">
        <x:f>A229</x:f>
        <x:v>0.892</x:v>
      </x:c>
      <x:c r="AF229" s="9"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9"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9"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9"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10" t="n"/>
      <x:c r="AK229" s="9" t="n">
        <x:f>A229</x:f>
        <x:v>0.892</x:v>
      </x:c>
      <x:c r="AL229" s="9"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9"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9"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9"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10" t="n"/>
      <x:c r="AQ229" s="9" t="n">
        <x:f>A229</x:f>
        <x:v>0.892</x:v>
      </x:c>
      <x:c r="AR229" s="9" t="n">
        <x:f>0</x:f>
        <x:v>0</x:v>
      </x:c>
      <x:c r="AS229" s="9"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x:f>
        <x:v>183.74266048734717</x:v>
      </x:c>
      <x:c r="AT229" s="9"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x:f>
        <x:v>93.91617404762736</x:v>
      </x:c>
      <x:c r="AU229" s="9"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x:f>
        <x:v>144.71243811681992</x:v>
      </x:c>
      <x:c r="AV229" s="9"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x:f>
        <x:v>144.71243811681992</x:v>
      </x:c>
      <x:c r="AW229" s="10" t="n"/>
      <x:c r="AX229" s="9" t="n">
        <x:f>A229</x:f>
        <x:v>0.892</x:v>
      </x:c>
      <x:c r="AY229" s="9" t="n">
        <x:f>0</x:f>
        <x:v>0</x:v>
      </x:c>
      <x:c r="AZ229" s="9" t="n">
        <x:f>IF(OR(Inputs!$F$6=TRUE,Inputs!$F$6="TRUE",Inputs!$F$6=1),(Inputs!$H$6+Inputs!$L$6*(((Inputs!$I$6+(((A229)+1)/2)*(Inputs!$J$6-Inputs!$I$6)))/Inputs!$K$6)^2),NA())</x:f>
        <x:v>403.182656</x:v>
      </x:c>
      <x:c r="BA229" s="9" t="n">
        <x:f>IF(OR(Inputs!$F$7=TRUE,Inputs!$F$7="TRUE",Inputs!$F$7=1),(Inputs!$H$7+Inputs!$L$7*(((Inputs!$I$7+(((A229)+1)/2)*(Inputs!$J$7-Inputs!$I$7)))/Inputs!$K$7)^2),NA())</x:f>
        <x:v>325.4173599999999</x:v>
      </x:c>
      <x:c r="BB229" s="9" t="n">
        <x:f>IF(OR(Inputs!$F$8=TRUE,Inputs!$F$8="TRUE",Inputs!$F$8=1),(Inputs!$H$8+Inputs!$L$8*(((Inputs!$I$8+(((A229)+1)/2)*(Inputs!$J$8-Inputs!$I$8)))/Inputs!$K$8)^2),NA())</x:f>
        <x:v>802.8157599999998</x:v>
      </x:c>
      <x:c r="BC229" s="9" t="n">
        <x:f>IF(OR(Inputs!$F$9=TRUE,Inputs!$F$9="TRUE",Inputs!$F$9=1),(Inputs!$H$9+Inputs!$L$9*(((Inputs!$I$9+(((A229)+1)/2)*(Inputs!$J$9-Inputs!$I$9)))/Inputs!$K$9)^2),NA())</x:f>
        <x:v>800.7723999999998</x:v>
      </x:c>
      <x:c r="BD229" s="10" t="n"/>
      <x:c r="BE229" s="9" t="n">
        <x:f>A229</x:f>
        <x:v>0.892</x:v>
      </x:c>
      <x:c r="BF229" s="9" t="n">
        <x:f>0</x:f>
        <x:v>0</x:v>
      </x:c>
      <x:c r="BG229" s="9"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9"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9"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9"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9" t="n">
        <x:f>ROUND(-1+228*2/240,3)</x:f>
        <x:v>0.9</x:v>
      </x:c>
      <x:c r="B230" s="9" t="n">
        <x:f>IF(OR(Inputs!$F$6=TRUE,Inputs!$F$6="TRUE",Inputs!$F$6=1),(Inputs!$H$6+Inputs!$L$6*(((Inputs!$I$6+(((A230)+1)/2)*(Inputs!$J$6-Inputs!$I$6)))/Inputs!$K$6)^2),NA())</x:f>
        <x:v>403.24</x:v>
      </x:c>
      <x:c r="C230" s="9" t="n">
        <x:f>IF(OR(Inputs!$F$7=TRUE,Inputs!$F$7="TRUE",Inputs!$F$7=1),(Inputs!$H$7+Inputs!$L$7*(((Inputs!$I$7+(((A230)+1)/2)*(Inputs!$J$7-Inputs!$I$7)))/Inputs!$K$7)^2),NA())</x:f>
        <x:v>330.65000000000003</x:v>
      </x:c>
      <x:c r="D230" s="9" t="n">
        <x:f>IF(OR(Inputs!$F$8=TRUE,Inputs!$F$8="TRUE",Inputs!$F$8=1),(Inputs!$H$8+Inputs!$L$8*(((Inputs!$I$8+(((A230)+1)/2)*(Inputs!$J$8-Inputs!$I$8)))/Inputs!$K$8)^2),NA())</x:f>
        <x:v>816.6500000000001</x:v>
      </x:c>
      <x:c r="E230" s="9" t="n">
        <x:f>IF(OR(Inputs!$F$9=TRUE,Inputs!$F$9="TRUE",Inputs!$F$9=1),(Inputs!$H$9+Inputs!$L$9*(((Inputs!$I$9+(((A230)+1)/2)*(Inputs!$J$9-Inputs!$I$9)))/Inputs!$K$9)^2),NA())</x:f>
        <x:v>814.75</x:v>
      </x:c>
      <x:c r="F230" s="10" t="n"/>
      <x:c r="G230" s="9" t="n">
        <x:f>A230</x:f>
        <x:v>0.9</x:v>
      </x:c>
      <x:c r="H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10" t="n"/>
      <x:c r="M230" s="9" t="n">
        <x:f>A230</x:f>
        <x:v>0.9</x:v>
      </x:c>
      <x:c r="N230" s="9"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9"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9"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9"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10" t="n"/>
      <x:c r="S230" s="9" t="n">
        <x:f>A230</x:f>
        <x:v>0.9</x:v>
      </x:c>
      <x:c r="T230" s="9" t="n">
        <x:f>(Inputs!$I$6+(((A230)+1)/2)*(Inputs!$J$6-Inputs!$I$6))</x:f>
        <x:v>54</x:v>
      </x:c>
      <x:c r="U230" s="9" t="n">
        <x:f>(Inputs!$I$7+(((A230)+1)/2)*(Inputs!$J$7-Inputs!$I$7))</x:f>
        <x:v>360</x:v>
      </x:c>
      <x:c r="V230" s="9" t="n">
        <x:f>(Inputs!$I$8+(((A230)+1)/2)*(Inputs!$J$8-Inputs!$I$8))</x:f>
        <x:v>720</x:v>
      </x:c>
      <x:c r="W230" s="9" t="n">
        <x:f>(Inputs!$I$9+(((A230)+1)/2)*(Inputs!$J$9-Inputs!$I$9))</x:f>
        <x:v>720</x:v>
      </x:c>
      <x:c r="X230" s="10" t="n"/>
      <x:c r="Y230" s="9" t="n">
        <x:f>A230</x:f>
        <x:v>0.9</x:v>
      </x:c>
      <x:c r="Z230" s="9" t="n">
        <x:f>(Inputs!$H$6+Inputs!$L$6*(((Inputs!$I$6+(((A230)+1)/2)*(Inputs!$J$6-Inputs!$I$6)))/Inputs!$K$6)^2)</x:f>
        <x:v>403.24</x:v>
      </x:c>
      <x:c r="AA230" s="9" t="n">
        <x:f>(Inputs!$H$7+Inputs!$L$7*(((Inputs!$I$7+(((A230)+1)/2)*(Inputs!$J$7-Inputs!$I$7)))/Inputs!$K$7)^2)</x:f>
        <x:v>330.65000000000003</x:v>
      </x:c>
      <x:c r="AB230" s="9" t="n">
        <x:f>(Inputs!$H$8+Inputs!$L$8*(((Inputs!$I$8+(((A230)+1)/2)*(Inputs!$J$8-Inputs!$I$8)))/Inputs!$K$8)^2)</x:f>
        <x:v>816.6500000000001</x:v>
      </x:c>
      <x:c r="AC230" s="9" t="n">
        <x:f>(Inputs!$H$9+Inputs!$L$9*(((Inputs!$I$9+(((A230)+1)/2)*(Inputs!$J$9-Inputs!$I$9)))/Inputs!$K$9)^2)</x:f>
        <x:v>814.75</x:v>
      </x:c>
      <x:c r="AD230" s="10" t="n"/>
      <x:c r="AE230" s="9" t="n">
        <x:f>A230</x:f>
        <x:v>0.9</x:v>
      </x:c>
      <x:c r="AF230" s="9"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9"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9"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9"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10" t="n"/>
      <x:c r="AK230" s="9" t="n">
        <x:f>A230</x:f>
        <x:v>0.9</x:v>
      </x:c>
      <x:c r="AL230" s="9"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9"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9"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9"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10" t="n"/>
      <x:c r="AQ230" s="9" t="n">
        <x:f>A230</x:f>
        <x:v>0.9</x:v>
      </x:c>
      <x:c r="AR230" s="9" t="n">
        <x:f>0</x:f>
        <x:v>0</x:v>
      </x:c>
      <x:c r="AS230" s="9"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x:f>
        <x:v>181.54184215615243</x:v>
      </x:c>
      <x:c r="AT230" s="9"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x:f>
        <x:v>147.40890122893921</x:v>
      </x:c>
      <x:c r="AU230" s="9"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x:f>
        <x:v>155.8424741961593</x:v>
      </x:c>
      <x:c r="AV230" s="9"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x:f>
        <x:v>155.8424741961593</x:v>
      </x:c>
      <x:c r="AW230" s="10" t="n"/>
      <x:c r="AX230" s="9" t="n">
        <x:f>A230</x:f>
        <x:v>0.9</x:v>
      </x:c>
      <x:c r="AY230" s="9" t="n">
        <x:f>0</x:f>
        <x:v>0</x:v>
      </x:c>
      <x:c r="AZ230" s="9" t="n">
        <x:f>IF(OR(Inputs!$F$6=TRUE,Inputs!$F$6="TRUE",Inputs!$F$6=1),(Inputs!$H$6+Inputs!$L$6*(((Inputs!$I$6+(((A230)+1)/2)*(Inputs!$J$6-Inputs!$I$6)))/Inputs!$K$6)^2),NA())</x:f>
        <x:v>403.24</x:v>
      </x:c>
      <x:c r="BA230" s="9" t="n">
        <x:f>IF(OR(Inputs!$F$7=TRUE,Inputs!$F$7="TRUE",Inputs!$F$7=1),(Inputs!$H$7+Inputs!$L$7*(((Inputs!$I$7+(((A230)+1)/2)*(Inputs!$J$7-Inputs!$I$7)))/Inputs!$K$7)^2),NA())</x:f>
        <x:v>330.65000000000003</x:v>
      </x:c>
      <x:c r="BB230" s="9" t="n">
        <x:f>IF(OR(Inputs!$F$8=TRUE,Inputs!$F$8="TRUE",Inputs!$F$8=1),(Inputs!$H$8+Inputs!$L$8*(((Inputs!$I$8+(((A230)+1)/2)*(Inputs!$J$8-Inputs!$I$8)))/Inputs!$K$8)^2),NA())</x:f>
        <x:v>816.6500000000001</x:v>
      </x:c>
      <x:c r="BC230" s="9" t="n">
        <x:f>IF(OR(Inputs!$F$9=TRUE,Inputs!$F$9="TRUE",Inputs!$F$9=1),(Inputs!$H$9+Inputs!$L$9*(((Inputs!$I$9+(((A230)+1)/2)*(Inputs!$J$9-Inputs!$I$9)))/Inputs!$K$9)^2),NA())</x:f>
        <x:v>814.75</x:v>
      </x:c>
      <x:c r="BD230" s="10" t="n"/>
      <x:c r="BE230" s="9" t="n">
        <x:f>A230</x:f>
        <x:v>0.9</x:v>
      </x:c>
      <x:c r="BF230" s="9" t="n">
        <x:f>0</x:f>
        <x:v>0</x:v>
      </x:c>
      <x:c r="BG230" s="9"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9"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9"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9"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9" t="n">
        <x:f>ROUND(-1+229*2/240,3)</x:f>
        <x:v>0.908</x:v>
      </x:c>
      <x:c r="B231" s="9" t="n">
        <x:f>IF(OR(Inputs!$F$6=TRUE,Inputs!$F$6="TRUE",Inputs!$F$6=1),(Inputs!$H$6+Inputs!$L$6*(((Inputs!$I$6+(((A231)+1)/2)*(Inputs!$J$6-Inputs!$I$6)))/Inputs!$K$6)^2),NA())</x:f>
        <x:v>403.297856</x:v>
      </x:c>
      <x:c r="C231" s="9" t="n">
        <x:f>IF(OR(Inputs!$F$7=TRUE,Inputs!$F$7="TRUE",Inputs!$F$7=1),(Inputs!$H$7+Inputs!$L$7*(((Inputs!$I$7+(((A231)+1)/2)*(Inputs!$J$7-Inputs!$I$7)))/Inputs!$K$7)^2),NA())</x:f>
        <x:v>335.92935999999986</x:v>
      </x:c>
      <x:c r="D231" s="9" t="n">
        <x:f>IF(OR(Inputs!$F$8=TRUE,Inputs!$F$8="TRUE",Inputs!$F$8=1),(Inputs!$H$8+Inputs!$L$8*(((Inputs!$I$8+(((A231)+1)/2)*(Inputs!$J$8-Inputs!$I$8)))/Inputs!$K$8)^2),NA())</x:f>
        <x:v>830.6077599999996</x:v>
      </x:c>
      <x:c r="E231" s="9" t="n">
        <x:f>IF(OR(Inputs!$F$9=TRUE,Inputs!$F$9="TRUE",Inputs!$F$9=1),(Inputs!$H$9+Inputs!$L$9*(((Inputs!$I$9+(((A231)+1)/2)*(Inputs!$J$9-Inputs!$I$9)))/Inputs!$K$9)^2),NA())</x:f>
        <x:v>828.8523999999996</x:v>
      </x:c>
      <x:c r="F231" s="10" t="n"/>
      <x:c r="G231" s="9" t="n">
        <x:f>A231</x:f>
        <x:v>0.908</x:v>
      </x:c>
      <x:c r="H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10" t="n"/>
      <x:c r="M231" s="9" t="n">
        <x:f>A231</x:f>
        <x:v>0.908</x:v>
      </x:c>
      <x:c r="N231" s="9"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9"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9"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9"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10" t="n"/>
      <x:c r="S231" s="9" t="n">
        <x:f>A231</x:f>
        <x:v>0.908</x:v>
      </x:c>
      <x:c r="T231" s="9" t="n">
        <x:f>(Inputs!$I$6+(((A231)+1)/2)*(Inputs!$J$6-Inputs!$I$6))</x:f>
        <x:v>54.47999999999999</x:v>
      </x:c>
      <x:c r="U231" s="9" t="n">
        <x:f>(Inputs!$I$7+(((A231)+1)/2)*(Inputs!$J$7-Inputs!$I$7))</x:f>
        <x:v>363.19999999999993</x:v>
      </x:c>
      <x:c r="V231" s="9" t="n">
        <x:f>(Inputs!$I$8+(((A231)+1)/2)*(Inputs!$J$8-Inputs!$I$8))</x:f>
        <x:v>726.3999999999999</x:v>
      </x:c>
      <x:c r="W231" s="9" t="n">
        <x:f>(Inputs!$I$9+(((A231)+1)/2)*(Inputs!$J$9-Inputs!$I$9))</x:f>
        <x:v>726.3999999999999</x:v>
      </x:c>
      <x:c r="X231" s="10" t="n"/>
      <x:c r="Y231" s="9" t="n">
        <x:f>A231</x:f>
        <x:v>0.908</x:v>
      </x:c>
      <x:c r="Z231" s="9" t="n">
        <x:f>(Inputs!$H$6+Inputs!$L$6*(((Inputs!$I$6+(((A231)+1)/2)*(Inputs!$J$6-Inputs!$I$6)))/Inputs!$K$6)^2)</x:f>
        <x:v>403.297856</x:v>
      </x:c>
      <x:c r="AA231" s="9" t="n">
        <x:f>(Inputs!$H$7+Inputs!$L$7*(((Inputs!$I$7+(((A231)+1)/2)*(Inputs!$J$7-Inputs!$I$7)))/Inputs!$K$7)^2)</x:f>
        <x:v>335.92935999999986</x:v>
      </x:c>
      <x:c r="AB231" s="9" t="n">
        <x:f>(Inputs!$H$8+Inputs!$L$8*(((Inputs!$I$8+(((A231)+1)/2)*(Inputs!$J$8-Inputs!$I$8)))/Inputs!$K$8)^2)</x:f>
        <x:v>830.6077599999996</x:v>
      </x:c>
      <x:c r="AC231" s="9" t="n">
        <x:f>(Inputs!$H$9+Inputs!$L$9*(((Inputs!$I$9+(((A231)+1)/2)*(Inputs!$J$9-Inputs!$I$9)))/Inputs!$K$9)^2)</x:f>
        <x:v>828.8523999999996</x:v>
      </x:c>
      <x:c r="AD231" s="10" t="n"/>
      <x:c r="AE231" s="9" t="n">
        <x:f>A231</x:f>
        <x:v>0.908</x:v>
      </x:c>
      <x:c r="AF231" s="9"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9"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9"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9"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10" t="n"/>
      <x:c r="AK231" s="9" t="n">
        <x:f>A231</x:f>
        <x:v>0.908</x:v>
      </x:c>
      <x:c r="AL231" s="9"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9"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9"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9"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10" t="n"/>
      <x:c r="AQ231" s="9" t="n">
        <x:f>A231</x:f>
        <x:v>0.908</x:v>
      </x:c>
      <x:c r="AR231" s="9" t="n">
        <x:f>0</x:f>
        <x:v>0</x:v>
      </x:c>
      <x:c r="AS231" s="9"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x:f>
        <x:v>176.7818564465648</x:v>
      </x:c>
      <x:c r="AT231" s="9"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x:f>
        <x:v>210.253353558436</x:v>
      </x:c>
      <x:c r="AU231" s="9"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x:f>
        <x:v>228.36919814449112</x:v>
      </x:c>
      <x:c r="AV231" s="9"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x:f>
        <x:v>228.36919814449112</x:v>
      </x:c>
      <x:c r="AW231" s="10" t="n"/>
      <x:c r="AX231" s="9" t="n">
        <x:f>A231</x:f>
        <x:v>0.908</x:v>
      </x:c>
      <x:c r="AY231" s="9" t="n">
        <x:f>0</x:f>
        <x:v>0</x:v>
      </x:c>
      <x:c r="AZ231" s="9" t="n">
        <x:f>IF(OR(Inputs!$F$6=TRUE,Inputs!$F$6="TRUE",Inputs!$F$6=1),(Inputs!$H$6+Inputs!$L$6*(((Inputs!$I$6+(((A231)+1)/2)*(Inputs!$J$6-Inputs!$I$6)))/Inputs!$K$6)^2),NA())</x:f>
        <x:v>403.297856</x:v>
      </x:c>
      <x:c r="BA231" s="9" t="n">
        <x:f>IF(OR(Inputs!$F$7=TRUE,Inputs!$F$7="TRUE",Inputs!$F$7=1),(Inputs!$H$7+Inputs!$L$7*(((Inputs!$I$7+(((A231)+1)/2)*(Inputs!$J$7-Inputs!$I$7)))/Inputs!$K$7)^2),NA())</x:f>
        <x:v>335.92935999999986</x:v>
      </x:c>
      <x:c r="BB231" s="9" t="n">
        <x:f>IF(OR(Inputs!$F$8=TRUE,Inputs!$F$8="TRUE",Inputs!$F$8=1),(Inputs!$H$8+Inputs!$L$8*(((Inputs!$I$8+(((A231)+1)/2)*(Inputs!$J$8-Inputs!$I$8)))/Inputs!$K$8)^2),NA())</x:f>
        <x:v>830.6077599999996</x:v>
      </x:c>
      <x:c r="BC231" s="9" t="n">
        <x:f>IF(OR(Inputs!$F$9=TRUE,Inputs!$F$9="TRUE",Inputs!$F$9=1),(Inputs!$H$9+Inputs!$L$9*(((Inputs!$I$9+(((A231)+1)/2)*(Inputs!$J$9-Inputs!$I$9)))/Inputs!$K$9)^2),NA())</x:f>
        <x:v>828.8523999999996</x:v>
      </x:c>
      <x:c r="BD231" s="10" t="n"/>
      <x:c r="BE231" s="9" t="n">
        <x:f>A231</x:f>
        <x:v>0.908</x:v>
      </x:c>
      <x:c r="BF231" s="9" t="n">
        <x:f>0</x:f>
        <x:v>0</x:v>
      </x:c>
      <x:c r="BG231" s="9"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9"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9"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9"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9" t="n">
        <x:f>ROUND(-1+230*2/240,3)</x:f>
        <x:v>0.917</x:v>
      </x:c>
      <x:c r="B232" s="9" t="n">
        <x:f>IF(OR(Inputs!$F$6=TRUE,Inputs!$F$6="TRUE",Inputs!$F$6=1),(Inputs!$H$6+Inputs!$L$6*(((Inputs!$I$6+(((A232)+1)/2)*(Inputs!$J$6-Inputs!$I$6)))/Inputs!$K$6)^2),NA())</x:f>
        <x:v>403.363556</x:v>
      </x:c>
      <x:c r="C232" s="9" t="n">
        <x:f>IF(OR(Inputs!$F$7=TRUE,Inputs!$F$7="TRUE",Inputs!$F$7=1),(Inputs!$H$7+Inputs!$L$7*(((Inputs!$I$7+(((A232)+1)/2)*(Inputs!$J$7-Inputs!$I$7)))/Inputs!$K$7)^2),NA())</x:f>
        <x:v>341.92448500000006</x:v>
      </x:c>
      <x:c r="D232" s="9" t="n">
        <x:f>IF(OR(Inputs!$F$8=TRUE,Inputs!$F$8="TRUE",Inputs!$F$8=1),(Inputs!$H$8+Inputs!$L$8*(((Inputs!$I$8+(((A232)+1)/2)*(Inputs!$J$8-Inputs!$I$8)))/Inputs!$K$8)^2),NA())</x:f>
        <x:v>846.4578850000003</x:v>
      </x:c>
      <x:c r="E232" s="9" t="n">
        <x:f>IF(OR(Inputs!$F$9=TRUE,Inputs!$F$9="TRUE",Inputs!$F$9=1),(Inputs!$H$9+Inputs!$L$9*(((Inputs!$I$9+(((A232)+1)/2)*(Inputs!$J$9-Inputs!$I$9)))/Inputs!$K$9)^2),NA())</x:f>
        <x:v>844.8667750000002</x:v>
      </x:c>
      <x:c r="F232" s="10" t="n"/>
      <x:c r="G232" s="9" t="n">
        <x:f>A232</x:f>
        <x:v>0.917</x:v>
      </x:c>
      <x:c r="H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10" t="n"/>
      <x:c r="M232" s="9" t="n">
        <x:f>A232</x:f>
        <x:v>0.917</x:v>
      </x:c>
      <x:c r="N232" s="9"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9"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9"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9"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10" t="n"/>
      <x:c r="S232" s="9" t="n">
        <x:f>A232</x:f>
        <x:v>0.917</x:v>
      </x:c>
      <x:c r="T232" s="9" t="n">
        <x:f>(Inputs!$I$6+(((A232)+1)/2)*(Inputs!$J$6-Inputs!$I$6))</x:f>
        <x:v>55.019999999999996</x:v>
      </x:c>
      <x:c r="U232" s="9" t="n">
        <x:f>(Inputs!$I$7+(((A232)+1)/2)*(Inputs!$J$7-Inputs!$I$7))</x:f>
        <x:v>366.80000000000007</x:v>
      </x:c>
      <x:c r="V232" s="9" t="n">
        <x:f>(Inputs!$I$8+(((A232)+1)/2)*(Inputs!$J$8-Inputs!$I$8))</x:f>
        <x:v>733.6000000000001</x:v>
      </x:c>
      <x:c r="W232" s="9" t="n">
        <x:f>(Inputs!$I$9+(((A232)+1)/2)*(Inputs!$J$9-Inputs!$I$9))</x:f>
        <x:v>733.6000000000001</x:v>
      </x:c>
      <x:c r="X232" s="10" t="n"/>
      <x:c r="Y232" s="9" t="n">
        <x:f>A232</x:f>
        <x:v>0.917</x:v>
      </x:c>
      <x:c r="Z232" s="9" t="n">
        <x:f>(Inputs!$H$6+Inputs!$L$6*(((Inputs!$I$6+(((A232)+1)/2)*(Inputs!$J$6-Inputs!$I$6)))/Inputs!$K$6)^2)</x:f>
        <x:v>403.363556</x:v>
      </x:c>
      <x:c r="AA232" s="9" t="n">
        <x:f>(Inputs!$H$7+Inputs!$L$7*(((Inputs!$I$7+(((A232)+1)/2)*(Inputs!$J$7-Inputs!$I$7)))/Inputs!$K$7)^2)</x:f>
        <x:v>341.92448500000006</x:v>
      </x:c>
      <x:c r="AB232" s="9" t="n">
        <x:f>(Inputs!$H$8+Inputs!$L$8*(((Inputs!$I$8+(((A232)+1)/2)*(Inputs!$J$8-Inputs!$I$8)))/Inputs!$K$8)^2)</x:f>
        <x:v>846.4578850000003</x:v>
      </x:c>
      <x:c r="AC232" s="9" t="n">
        <x:f>(Inputs!$H$9+Inputs!$L$9*(((Inputs!$I$9+(((A232)+1)/2)*(Inputs!$J$9-Inputs!$I$9)))/Inputs!$K$9)^2)</x:f>
        <x:v>844.8667750000002</x:v>
      </x:c>
      <x:c r="AD232" s="10" t="n"/>
      <x:c r="AE232" s="9" t="n">
        <x:f>A232</x:f>
        <x:v>0.917</x:v>
      </x:c>
      <x:c r="AF232" s="9"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9"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9"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9"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10" t="n"/>
      <x:c r="AK232" s="9" t="n">
        <x:f>A232</x:f>
        <x:v>0.917</x:v>
      </x:c>
      <x:c r="AL232" s="9"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9"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9"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9"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10" t="n"/>
      <x:c r="AQ232" s="9" t="n">
        <x:f>A232</x:f>
        <x:v>0.917</x:v>
      </x:c>
      <x:c r="AR232" s="9" t="n">
        <x:f>0</x:f>
        <x:v>0</x:v>
      </x:c>
      <x:c r="AS232" s="9"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x:f>
        <x:v>201.9709173167261</x:v>
      </x:c>
      <x:c r="AT232" s="9"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x:f>
        <x:v>206.57355529666475</x:v>
      </x:c>
      <x:c r="AU232" s="9"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x:f>
        <x:v>97.72007147764131</x:v>
      </x:c>
      <x:c r="AV232" s="9"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x:f>
        <x:v>97.72007147764131</x:v>
      </x:c>
      <x:c r="AW232" s="10" t="n"/>
      <x:c r="AX232" s="9" t="n">
        <x:f>A232</x:f>
        <x:v>0.917</x:v>
      </x:c>
      <x:c r="AY232" s="9" t="n">
        <x:f>0</x:f>
        <x:v>0</x:v>
      </x:c>
      <x:c r="AZ232" s="9" t="n">
        <x:f>IF(OR(Inputs!$F$6=TRUE,Inputs!$F$6="TRUE",Inputs!$F$6=1),(Inputs!$H$6+Inputs!$L$6*(((Inputs!$I$6+(((A232)+1)/2)*(Inputs!$J$6-Inputs!$I$6)))/Inputs!$K$6)^2),NA())</x:f>
        <x:v>403.363556</x:v>
      </x:c>
      <x:c r="BA232" s="9" t="n">
        <x:f>IF(OR(Inputs!$F$7=TRUE,Inputs!$F$7="TRUE",Inputs!$F$7=1),(Inputs!$H$7+Inputs!$L$7*(((Inputs!$I$7+(((A232)+1)/2)*(Inputs!$J$7-Inputs!$I$7)))/Inputs!$K$7)^2),NA())</x:f>
        <x:v>341.92448500000006</x:v>
      </x:c>
      <x:c r="BB232" s="9" t="n">
        <x:f>IF(OR(Inputs!$F$8=TRUE,Inputs!$F$8="TRUE",Inputs!$F$8=1),(Inputs!$H$8+Inputs!$L$8*(((Inputs!$I$8+(((A232)+1)/2)*(Inputs!$J$8-Inputs!$I$8)))/Inputs!$K$8)^2),NA())</x:f>
        <x:v>846.4578850000003</x:v>
      </x:c>
      <x:c r="BC232" s="9" t="n">
        <x:f>IF(OR(Inputs!$F$9=TRUE,Inputs!$F$9="TRUE",Inputs!$F$9=1),(Inputs!$H$9+Inputs!$L$9*(((Inputs!$I$9+(((A232)+1)/2)*(Inputs!$J$9-Inputs!$I$9)))/Inputs!$K$9)^2),NA())</x:f>
        <x:v>844.8667750000002</x:v>
      </x:c>
      <x:c r="BD232" s="10" t="n"/>
      <x:c r="BE232" s="9" t="n">
        <x:f>A232</x:f>
        <x:v>0.917</x:v>
      </x:c>
      <x:c r="BF232" s="9" t="n">
        <x:f>0</x:f>
        <x:v>0</x:v>
      </x:c>
      <x:c r="BG232" s="9"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9"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9"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9"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9" t="n">
        <x:f>ROUND(-1+231*2/240,3)</x:f>
        <x:v>0.925</x:v>
      </x:c>
      <x:c r="B233" s="9" t="n">
        <x:f>IF(OR(Inputs!$F$6=TRUE,Inputs!$F$6="TRUE",Inputs!$F$6=1),(Inputs!$H$6+Inputs!$L$6*(((Inputs!$I$6+(((A233)+1)/2)*(Inputs!$J$6-Inputs!$I$6)))/Inputs!$K$6)^2),NA())</x:f>
        <x:v>403.4225</x:v>
      </x:c>
      <x:c r="C233" s="9" t="n">
        <x:f>IF(OR(Inputs!$F$7=TRUE,Inputs!$F$7="TRUE",Inputs!$F$7=1),(Inputs!$H$7+Inputs!$L$7*(((Inputs!$I$7+(((A233)+1)/2)*(Inputs!$J$7-Inputs!$I$7)))/Inputs!$K$7)^2),NA())</x:f>
        <x:v>347.303125</x:v>
      </x:c>
      <x:c r="D233" s="9" t="n">
        <x:f>IF(OR(Inputs!$F$8=TRUE,Inputs!$F$8="TRUE",Inputs!$F$8=1),(Inputs!$H$8+Inputs!$L$8*(((Inputs!$I$8+(((A233)+1)/2)*(Inputs!$J$8-Inputs!$I$8)))/Inputs!$K$8)^2),NA())</x:f>
        <x:v>860.678125</x:v>
      </x:c>
      <x:c r="E233" s="9" t="n">
        <x:f>IF(OR(Inputs!$F$9=TRUE,Inputs!$F$9="TRUE",Inputs!$F$9=1),(Inputs!$H$9+Inputs!$L$9*(((Inputs!$I$9+(((A233)+1)/2)*(Inputs!$J$9-Inputs!$I$9)))/Inputs!$K$9)^2),NA())</x:f>
        <x:v>859.2343750000001</x:v>
      </x:c>
      <x:c r="F233" s="10" t="n"/>
      <x:c r="G233" s="9" t="n">
        <x:f>A233</x:f>
        <x:v>0.925</x:v>
      </x:c>
      <x:c r="H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10" t="n"/>
      <x:c r="M233" s="9" t="n">
        <x:f>A233</x:f>
        <x:v>0.925</x:v>
      </x:c>
      <x:c r="N233" s="9"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9"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9"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9"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10" t="n"/>
      <x:c r="S233" s="9" t="n">
        <x:f>A233</x:f>
        <x:v>0.925</x:v>
      </x:c>
      <x:c r="T233" s="9" t="n">
        <x:f>(Inputs!$I$6+(((A233)+1)/2)*(Inputs!$J$6-Inputs!$I$6))</x:f>
        <x:v>55.5</x:v>
      </x:c>
      <x:c r="U233" s="9" t="n">
        <x:f>(Inputs!$I$7+(((A233)+1)/2)*(Inputs!$J$7-Inputs!$I$7))</x:f>
        <x:v>370</x:v>
      </x:c>
      <x:c r="V233" s="9" t="n">
        <x:f>(Inputs!$I$8+(((A233)+1)/2)*(Inputs!$J$8-Inputs!$I$8))</x:f>
        <x:v>740</x:v>
      </x:c>
      <x:c r="W233" s="9" t="n">
        <x:f>(Inputs!$I$9+(((A233)+1)/2)*(Inputs!$J$9-Inputs!$I$9))</x:f>
        <x:v>740</x:v>
      </x:c>
      <x:c r="X233" s="10" t="n"/>
      <x:c r="Y233" s="9" t="n">
        <x:f>A233</x:f>
        <x:v>0.925</x:v>
      </x:c>
      <x:c r="Z233" s="9" t="n">
        <x:f>(Inputs!$H$6+Inputs!$L$6*(((Inputs!$I$6+(((A233)+1)/2)*(Inputs!$J$6-Inputs!$I$6)))/Inputs!$K$6)^2)</x:f>
        <x:v>403.4225</x:v>
      </x:c>
      <x:c r="AA233" s="9" t="n">
        <x:f>(Inputs!$H$7+Inputs!$L$7*(((Inputs!$I$7+(((A233)+1)/2)*(Inputs!$J$7-Inputs!$I$7)))/Inputs!$K$7)^2)</x:f>
        <x:v>347.303125</x:v>
      </x:c>
      <x:c r="AB233" s="9" t="n">
        <x:f>(Inputs!$H$8+Inputs!$L$8*(((Inputs!$I$8+(((A233)+1)/2)*(Inputs!$J$8-Inputs!$I$8)))/Inputs!$K$8)^2)</x:f>
        <x:v>860.678125</x:v>
      </x:c>
      <x:c r="AC233" s="9" t="n">
        <x:f>(Inputs!$H$9+Inputs!$L$9*(((Inputs!$I$9+(((A233)+1)/2)*(Inputs!$J$9-Inputs!$I$9)))/Inputs!$K$9)^2)</x:f>
        <x:v>859.2343750000001</x:v>
      </x:c>
      <x:c r="AD233" s="10" t="n"/>
      <x:c r="AE233" s="9" t="n">
        <x:f>A233</x:f>
        <x:v>0.925</x:v>
      </x:c>
      <x:c r="AF233" s="9"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9"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9"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9"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10" t="n"/>
      <x:c r="AK233" s="9" t="n">
        <x:f>A233</x:f>
        <x:v>0.925</x:v>
      </x:c>
      <x:c r="AL233" s="9"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9"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9"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9"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10" t="n"/>
      <x:c r="AQ233" s="9" t="n">
        <x:f>A233</x:f>
        <x:v>0.925</x:v>
      </x:c>
      <x:c r="AR233" s="9" t="n">
        <x:f>0</x:f>
        <x:v>0</x:v>
      </x:c>
      <x:c r="AS233" s="9"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x:f>
        <x:v>182.5522692746181</x:v>
      </x:c>
      <x:c r="AT233" s="9"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x:f>
        <x:v>145.39340173065168</x:v>
      </x:c>
      <x:c r="AU233" s="9"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x:f>
        <x:v>160.0644046117087</x:v>
      </x:c>
      <x:c r="AV233" s="9"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x:f>
        <x:v>160.0644046117087</x:v>
      </x:c>
      <x:c r="AW233" s="10" t="n"/>
      <x:c r="AX233" s="9" t="n">
        <x:f>A233</x:f>
        <x:v>0.925</x:v>
      </x:c>
      <x:c r="AY233" s="9" t="n">
        <x:f>0</x:f>
        <x:v>0</x:v>
      </x:c>
      <x:c r="AZ233" s="9" t="n">
        <x:f>IF(OR(Inputs!$F$6=TRUE,Inputs!$F$6="TRUE",Inputs!$F$6=1),(Inputs!$H$6+Inputs!$L$6*(((Inputs!$I$6+(((A233)+1)/2)*(Inputs!$J$6-Inputs!$I$6)))/Inputs!$K$6)^2),NA())</x:f>
        <x:v>403.4225</x:v>
      </x:c>
      <x:c r="BA233" s="9" t="n">
        <x:f>IF(OR(Inputs!$F$7=TRUE,Inputs!$F$7="TRUE",Inputs!$F$7=1),(Inputs!$H$7+Inputs!$L$7*(((Inputs!$I$7+(((A233)+1)/2)*(Inputs!$J$7-Inputs!$I$7)))/Inputs!$K$7)^2),NA())</x:f>
        <x:v>347.303125</x:v>
      </x:c>
      <x:c r="BB233" s="9" t="n">
        <x:f>IF(OR(Inputs!$F$8=TRUE,Inputs!$F$8="TRUE",Inputs!$F$8=1),(Inputs!$H$8+Inputs!$L$8*(((Inputs!$I$8+(((A233)+1)/2)*(Inputs!$J$8-Inputs!$I$8)))/Inputs!$K$8)^2),NA())</x:f>
        <x:v>860.678125</x:v>
      </x:c>
      <x:c r="BC233" s="9" t="n">
        <x:f>IF(OR(Inputs!$F$9=TRUE,Inputs!$F$9="TRUE",Inputs!$F$9=1),(Inputs!$H$9+Inputs!$L$9*(((Inputs!$I$9+(((A233)+1)/2)*(Inputs!$J$9-Inputs!$I$9)))/Inputs!$K$9)^2),NA())</x:f>
        <x:v>859.2343750000001</x:v>
      </x:c>
      <x:c r="BD233" s="10" t="n"/>
      <x:c r="BE233" s="9" t="n">
        <x:f>A233</x:f>
        <x:v>0.925</x:v>
      </x:c>
      <x:c r="BF233" s="9" t="n">
        <x:f>0</x:f>
        <x:v>0</x:v>
      </x:c>
      <x:c r="BG233" s="9"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9"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9"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9"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9" t="n">
        <x:f>ROUND(-1+232*2/240,3)</x:f>
        <x:v>0.933</x:v>
      </x:c>
      <x:c r="B234" s="9" t="n">
        <x:f>IF(OR(Inputs!$F$6=TRUE,Inputs!$F$6="TRUE",Inputs!$F$6=1),(Inputs!$H$6+Inputs!$L$6*(((Inputs!$I$6+(((A234)+1)/2)*(Inputs!$J$6-Inputs!$I$6)))/Inputs!$K$6)^2),NA())</x:f>
        <x:v>403.481956</x:v>
      </x:c>
      <x:c r="C234" s="9" t="n">
        <x:f>IF(OR(Inputs!$F$7=TRUE,Inputs!$F$7="TRUE",Inputs!$F$7=1),(Inputs!$H$7+Inputs!$L$7*(((Inputs!$I$7+(((A234)+1)/2)*(Inputs!$J$7-Inputs!$I$7)))/Inputs!$K$7)^2),NA())</x:f>
        <x:v>352.7284850000001</x:v>
      </x:c>
      <x:c r="D234" s="9" t="n">
        <x:f>IF(OR(Inputs!$F$8=TRUE,Inputs!$F$8="TRUE",Inputs!$F$8=1),(Inputs!$H$8+Inputs!$L$8*(((Inputs!$I$8+(((A234)+1)/2)*(Inputs!$J$8-Inputs!$I$8)))/Inputs!$K$8)^2),NA())</x:f>
        <x:v>875.0218850000002</x:v>
      </x:c>
      <x:c r="E234" s="9" t="n">
        <x:f>IF(OR(Inputs!$F$9=TRUE,Inputs!$F$9="TRUE",Inputs!$F$9=1),(Inputs!$H$9+Inputs!$L$9*(((Inputs!$I$9+(((A234)+1)/2)*(Inputs!$J$9-Inputs!$I$9)))/Inputs!$K$9)^2),NA())</x:f>
        <x:v>873.7267750000003</x:v>
      </x:c>
      <x:c r="F234" s="10" t="n"/>
      <x:c r="G234" s="9" t="n">
        <x:f>A234</x:f>
        <x:v>0.933</x:v>
      </x:c>
      <x:c r="H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10" t="n"/>
      <x:c r="M234" s="9" t="n">
        <x:f>A234</x:f>
        <x:v>0.933</x:v>
      </x:c>
      <x:c r="N234" s="9"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9"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9"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9"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10" t="n"/>
      <x:c r="S234" s="9" t="n">
        <x:f>A234</x:f>
        <x:v>0.933</x:v>
      </x:c>
      <x:c r="T234" s="9" t="n">
        <x:f>(Inputs!$I$6+(((A234)+1)/2)*(Inputs!$J$6-Inputs!$I$6))</x:f>
        <x:v>55.980000000000004</x:v>
      </x:c>
      <x:c r="U234" s="9" t="n">
        <x:f>(Inputs!$I$7+(((A234)+1)/2)*(Inputs!$J$7-Inputs!$I$7))</x:f>
        <x:v>373.20000000000005</x:v>
      </x:c>
      <x:c r="V234" s="9" t="n">
        <x:f>(Inputs!$I$8+(((A234)+1)/2)*(Inputs!$J$8-Inputs!$I$8))</x:f>
        <x:v>746.4000000000001</x:v>
      </x:c>
      <x:c r="W234" s="9" t="n">
        <x:f>(Inputs!$I$9+(((A234)+1)/2)*(Inputs!$J$9-Inputs!$I$9))</x:f>
        <x:v>746.4000000000001</x:v>
      </x:c>
      <x:c r="X234" s="10" t="n"/>
      <x:c r="Y234" s="9" t="n">
        <x:f>A234</x:f>
        <x:v>0.933</x:v>
      </x:c>
      <x:c r="Z234" s="9" t="n">
        <x:f>(Inputs!$H$6+Inputs!$L$6*(((Inputs!$I$6+(((A234)+1)/2)*(Inputs!$J$6-Inputs!$I$6)))/Inputs!$K$6)^2)</x:f>
        <x:v>403.481956</x:v>
      </x:c>
      <x:c r="AA234" s="9" t="n">
        <x:f>(Inputs!$H$7+Inputs!$L$7*(((Inputs!$I$7+(((A234)+1)/2)*(Inputs!$J$7-Inputs!$I$7)))/Inputs!$K$7)^2)</x:f>
        <x:v>352.7284850000001</x:v>
      </x:c>
      <x:c r="AB234" s="9" t="n">
        <x:f>(Inputs!$H$8+Inputs!$L$8*(((Inputs!$I$8+(((A234)+1)/2)*(Inputs!$J$8-Inputs!$I$8)))/Inputs!$K$8)^2)</x:f>
        <x:v>875.0218850000002</x:v>
      </x:c>
      <x:c r="AC234" s="9" t="n">
        <x:f>(Inputs!$H$9+Inputs!$L$9*(((Inputs!$I$9+(((A234)+1)/2)*(Inputs!$J$9-Inputs!$I$9)))/Inputs!$K$9)^2)</x:f>
        <x:v>873.7267750000003</x:v>
      </x:c>
      <x:c r="AD234" s="10" t="n"/>
      <x:c r="AE234" s="9" t="n">
        <x:f>A234</x:f>
        <x:v>0.933</x:v>
      </x:c>
      <x:c r="AF234" s="9"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9"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9"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9"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10" t="n"/>
      <x:c r="AK234" s="9" t="n">
        <x:f>A234</x:f>
        <x:v>0.933</x:v>
      </x:c>
      <x:c r="AL234" s="9"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9"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9"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9"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10" t="n"/>
      <x:c r="AQ234" s="9" t="n">
        <x:f>A234</x:f>
        <x:v>0.933</x:v>
      </x:c>
      <x:c r="AR234" s="9" t="n">
        <x:f>0</x:f>
        <x:v>0</x:v>
      </x:c>
      <x:c r="AS234" s="9"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x:f>
        <x:v>185.94476125950024</x:v>
      </x:c>
      <x:c r="AT234" s="9"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x:f>
        <x:v>98.11352403233904</x:v>
      </x:c>
      <x:c r="AU234" s="9"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x:f>
        <x:v>160.61002511432216</x:v>
      </x:c>
      <x:c r="AV234" s="9"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x:f>
        <x:v>160.61002511432216</x:v>
      </x:c>
      <x:c r="AW234" s="10" t="n"/>
      <x:c r="AX234" s="9" t="n">
        <x:f>A234</x:f>
        <x:v>0.933</x:v>
      </x:c>
      <x:c r="AY234" s="9" t="n">
        <x:f>0</x:f>
        <x:v>0</x:v>
      </x:c>
      <x:c r="AZ234" s="9" t="n">
        <x:f>IF(OR(Inputs!$F$6=TRUE,Inputs!$F$6="TRUE",Inputs!$F$6=1),(Inputs!$H$6+Inputs!$L$6*(((Inputs!$I$6+(((A234)+1)/2)*(Inputs!$J$6-Inputs!$I$6)))/Inputs!$K$6)^2),NA())</x:f>
        <x:v>403.481956</x:v>
      </x:c>
      <x:c r="BA234" s="9" t="n">
        <x:f>IF(OR(Inputs!$F$7=TRUE,Inputs!$F$7="TRUE",Inputs!$F$7=1),(Inputs!$H$7+Inputs!$L$7*(((Inputs!$I$7+(((A234)+1)/2)*(Inputs!$J$7-Inputs!$I$7)))/Inputs!$K$7)^2),NA())</x:f>
        <x:v>352.7284850000001</x:v>
      </x:c>
      <x:c r="BB234" s="9" t="n">
        <x:f>IF(OR(Inputs!$F$8=TRUE,Inputs!$F$8="TRUE",Inputs!$F$8=1),(Inputs!$H$8+Inputs!$L$8*(((Inputs!$I$8+(((A234)+1)/2)*(Inputs!$J$8-Inputs!$I$8)))/Inputs!$K$8)^2),NA())</x:f>
        <x:v>875.0218850000002</x:v>
      </x:c>
      <x:c r="BC234" s="9" t="n">
        <x:f>IF(OR(Inputs!$F$9=TRUE,Inputs!$F$9="TRUE",Inputs!$F$9=1),(Inputs!$H$9+Inputs!$L$9*(((Inputs!$I$9+(((A234)+1)/2)*(Inputs!$J$9-Inputs!$I$9)))/Inputs!$K$9)^2),NA())</x:f>
        <x:v>873.7267750000003</x:v>
      </x:c>
      <x:c r="BD234" s="10" t="n"/>
      <x:c r="BE234" s="9" t="n">
        <x:f>A234</x:f>
        <x:v>0.933</x:v>
      </x:c>
      <x:c r="BF234" s="9" t="n">
        <x:f>0</x:f>
        <x:v>0</x:v>
      </x:c>
      <x:c r="BG234" s="9"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9"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9"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9"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9" t="n">
        <x:f>ROUND(-1+233*2/240,3)</x:f>
        <x:v>0.942</x:v>
      </x:c>
      <x:c r="B235" s="9" t="n">
        <x:f>IF(OR(Inputs!$F$6=TRUE,Inputs!$F$6="TRUE",Inputs!$F$6=1),(Inputs!$H$6+Inputs!$L$6*(((Inputs!$I$6+(((A235)+1)/2)*(Inputs!$J$6-Inputs!$I$6)))/Inputs!$K$6)^2),NA())</x:f>
        <x:v>403.549456</x:v>
      </x:c>
      <x:c r="C235" s="9" t="n">
        <x:f>IF(OR(Inputs!$F$7=TRUE,Inputs!$F$7="TRUE",Inputs!$F$7=1),(Inputs!$H$7+Inputs!$L$7*(((Inputs!$I$7+(((A235)+1)/2)*(Inputs!$J$7-Inputs!$I$7)))/Inputs!$K$7)^2),NA())</x:f>
        <x:v>358.8878599999999</x:v>
      </x:c>
      <x:c r="D235" s="9" t="n">
        <x:f>IF(OR(Inputs!$F$8=TRUE,Inputs!$F$8="TRUE",Inputs!$F$8=1),(Inputs!$H$8+Inputs!$L$8*(((Inputs!$I$8+(((A235)+1)/2)*(Inputs!$J$8-Inputs!$I$8)))/Inputs!$K$8)^2),NA())</x:f>
        <x:v>891.3062599999997</x:v>
      </x:c>
      <x:c r="E235" s="9" t="n">
        <x:f>IF(OR(Inputs!$F$9=TRUE,Inputs!$F$9="TRUE",Inputs!$F$9=1),(Inputs!$H$9+Inputs!$L$9*(((Inputs!$I$9+(((A235)+1)/2)*(Inputs!$J$9-Inputs!$I$9)))/Inputs!$K$9)^2),NA())</x:f>
        <x:v>890.1798999999997</x:v>
      </x:c>
      <x:c r="F235" s="10" t="n"/>
      <x:c r="G235" s="9" t="n">
        <x:f>A235</x:f>
        <x:v>0.942</x:v>
      </x:c>
      <x:c r="H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10" t="n"/>
      <x:c r="M235" s="9" t="n">
        <x:f>A235</x:f>
        <x:v>0.942</x:v>
      </x:c>
      <x:c r="N235" s="9"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9"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9"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9"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10" t="n"/>
      <x:c r="S235" s="9" t="n">
        <x:f>A235</x:f>
        <x:v>0.942</x:v>
      </x:c>
      <x:c r="T235" s="9" t="n">
        <x:f>(Inputs!$I$6+(((A235)+1)/2)*(Inputs!$J$6-Inputs!$I$6))</x:f>
        <x:v>56.519999999999996</x:v>
      </x:c>
      <x:c r="U235" s="9" t="n">
        <x:f>(Inputs!$I$7+(((A235)+1)/2)*(Inputs!$J$7-Inputs!$I$7))</x:f>
        <x:v>376.79999999999995</x:v>
      </x:c>
      <x:c r="V235" s="9" t="n">
        <x:f>(Inputs!$I$8+(((A235)+1)/2)*(Inputs!$J$8-Inputs!$I$8))</x:f>
        <x:v>753.5999999999999</x:v>
      </x:c>
      <x:c r="W235" s="9" t="n">
        <x:f>(Inputs!$I$9+(((A235)+1)/2)*(Inputs!$J$9-Inputs!$I$9))</x:f>
        <x:v>753.5999999999999</x:v>
      </x:c>
      <x:c r="X235" s="10" t="n"/>
      <x:c r="Y235" s="9" t="n">
        <x:f>A235</x:f>
        <x:v>0.942</x:v>
      </x:c>
      <x:c r="Z235" s="9" t="n">
        <x:f>(Inputs!$H$6+Inputs!$L$6*(((Inputs!$I$6+(((A235)+1)/2)*(Inputs!$J$6-Inputs!$I$6)))/Inputs!$K$6)^2)</x:f>
        <x:v>403.549456</x:v>
      </x:c>
      <x:c r="AA235" s="9" t="n">
        <x:f>(Inputs!$H$7+Inputs!$L$7*(((Inputs!$I$7+(((A235)+1)/2)*(Inputs!$J$7-Inputs!$I$7)))/Inputs!$K$7)^2)</x:f>
        <x:v>358.8878599999999</x:v>
      </x:c>
      <x:c r="AB235" s="9" t="n">
        <x:f>(Inputs!$H$8+Inputs!$L$8*(((Inputs!$I$8+(((A235)+1)/2)*(Inputs!$J$8-Inputs!$I$8)))/Inputs!$K$8)^2)</x:f>
        <x:v>891.3062599999997</x:v>
      </x:c>
      <x:c r="AC235" s="9" t="n">
        <x:f>(Inputs!$H$9+Inputs!$L$9*(((Inputs!$I$9+(((A235)+1)/2)*(Inputs!$J$9-Inputs!$I$9)))/Inputs!$K$9)^2)</x:f>
        <x:v>890.1798999999997</x:v>
      </x:c>
      <x:c r="AD235" s="10" t="n"/>
      <x:c r="AE235" s="9" t="n">
        <x:f>A235</x:f>
        <x:v>0.942</x:v>
      </x:c>
      <x:c r="AF235" s="9"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9"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9"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9"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10" t="n"/>
      <x:c r="AK235" s="9" t="n">
        <x:f>A235</x:f>
        <x:v>0.942</x:v>
      </x:c>
      <x:c r="AL235" s="9"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9"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9"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9"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10" t="n"/>
      <x:c r="AQ235" s="9" t="n">
        <x:f>A235</x:f>
        <x:v>0.942</x:v>
      </x:c>
      <x:c r="AR235" s="9" t="n">
        <x:f>0</x:f>
        <x:v>0</x:v>
      </x:c>
      <x:c r="AS235" s="9"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x:f>
        <x:v>199.19208848085862</x:v>
      </x:c>
      <x:c r="AT235" s="9"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x:f>
        <x:v>136.80312199804771</x:v>
      </x:c>
      <x:c r="AU235" s="9"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x:f>
        <x:v>61.34041701701119</x:v>
      </x:c>
      <x:c r="AV235" s="9"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x:f>
        <x:v>61.34041701701119</x:v>
      </x:c>
      <x:c r="AW235" s="10" t="n"/>
      <x:c r="AX235" s="9" t="n">
        <x:f>A235</x:f>
        <x:v>0.942</x:v>
      </x:c>
      <x:c r="AY235" s="9" t="n">
        <x:f>0</x:f>
        <x:v>0</x:v>
      </x:c>
      <x:c r="AZ235" s="9" t="n">
        <x:f>IF(OR(Inputs!$F$6=TRUE,Inputs!$F$6="TRUE",Inputs!$F$6=1),(Inputs!$H$6+Inputs!$L$6*(((Inputs!$I$6+(((A235)+1)/2)*(Inputs!$J$6-Inputs!$I$6)))/Inputs!$K$6)^2),NA())</x:f>
        <x:v>403.549456</x:v>
      </x:c>
      <x:c r="BA235" s="9" t="n">
        <x:f>IF(OR(Inputs!$F$7=TRUE,Inputs!$F$7="TRUE",Inputs!$F$7=1),(Inputs!$H$7+Inputs!$L$7*(((Inputs!$I$7+(((A235)+1)/2)*(Inputs!$J$7-Inputs!$I$7)))/Inputs!$K$7)^2),NA())</x:f>
        <x:v>358.8878599999999</x:v>
      </x:c>
      <x:c r="BB235" s="9" t="n">
        <x:f>IF(OR(Inputs!$F$8=TRUE,Inputs!$F$8="TRUE",Inputs!$F$8=1),(Inputs!$H$8+Inputs!$L$8*(((Inputs!$I$8+(((A235)+1)/2)*(Inputs!$J$8-Inputs!$I$8)))/Inputs!$K$8)^2),NA())</x:f>
        <x:v>891.3062599999997</x:v>
      </x:c>
      <x:c r="BC235" s="9" t="n">
        <x:f>IF(OR(Inputs!$F$9=TRUE,Inputs!$F$9="TRUE",Inputs!$F$9=1),(Inputs!$H$9+Inputs!$L$9*(((Inputs!$I$9+(((A235)+1)/2)*(Inputs!$J$9-Inputs!$I$9)))/Inputs!$K$9)^2),NA())</x:f>
        <x:v>890.1798999999997</x:v>
      </x:c>
      <x:c r="BD235" s="10" t="n"/>
      <x:c r="BE235" s="9" t="n">
        <x:f>A235</x:f>
        <x:v>0.942</x:v>
      </x:c>
      <x:c r="BF235" s="9" t="n">
        <x:f>0</x:f>
        <x:v>0</x:v>
      </x:c>
      <x:c r="BG235" s="9"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9"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9"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9"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9" t="n">
        <x:f>ROUND(-1+234*2/240,3)</x:f>
        <x:v>0.95</x:v>
      </x:c>
      <x:c r="B236" s="9" t="n">
        <x:f>IF(OR(Inputs!$F$6=TRUE,Inputs!$F$6="TRUE",Inputs!$F$6=1),(Inputs!$H$6+Inputs!$L$6*(((Inputs!$I$6+(((A236)+1)/2)*(Inputs!$J$6-Inputs!$I$6)))/Inputs!$K$6)^2),NA())</x:f>
        <x:v>403.61</x:v>
      </x:c>
      <x:c r="C236" s="9" t="n">
        <x:f>IF(OR(Inputs!$F$7=TRUE,Inputs!$F$7="TRUE",Inputs!$F$7=1),(Inputs!$H$7+Inputs!$L$7*(((Inputs!$I$7+(((A236)+1)/2)*(Inputs!$J$7-Inputs!$I$7)))/Inputs!$K$7)^2),NA())</x:f>
        <x:v>364.41249999999997</x:v>
      </x:c>
      <x:c r="D236" s="9" t="n">
        <x:f>IF(OR(Inputs!$F$8=TRUE,Inputs!$F$8="TRUE",Inputs!$F$8=1),(Inputs!$H$8+Inputs!$L$8*(((Inputs!$I$8+(((A236)+1)/2)*(Inputs!$J$8-Inputs!$I$8)))/Inputs!$K$8)^2),NA())</x:f>
        <x:v>905.9125</x:v>
      </x:c>
      <x:c r="E236" s="9" t="n">
        <x:f>IF(OR(Inputs!$F$9=TRUE,Inputs!$F$9="TRUE",Inputs!$F$9=1),(Inputs!$H$9+Inputs!$L$9*(((Inputs!$I$9+(((A236)+1)/2)*(Inputs!$J$9-Inputs!$I$9)))/Inputs!$K$9)^2),NA())</x:f>
        <x:v>904.9375</x:v>
      </x:c>
      <x:c r="F236" s="10" t="n"/>
      <x:c r="G236" s="9" t="n">
        <x:f>A236</x:f>
        <x:v>0.95</x:v>
      </x:c>
      <x:c r="H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10" t="n"/>
      <x:c r="M236" s="9" t="n">
        <x:f>A236</x:f>
        <x:v>0.95</x:v>
      </x:c>
      <x:c r="N236" s="9"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9"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9"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9"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10" t="n"/>
      <x:c r="S236" s="9" t="n">
        <x:f>A236</x:f>
        <x:v>0.95</x:v>
      </x:c>
      <x:c r="T236" s="9" t="n">
        <x:f>(Inputs!$I$6+(((A236)+1)/2)*(Inputs!$J$6-Inputs!$I$6))</x:f>
        <x:v>57</x:v>
      </x:c>
      <x:c r="U236" s="9" t="n">
        <x:f>(Inputs!$I$7+(((A236)+1)/2)*(Inputs!$J$7-Inputs!$I$7))</x:f>
        <x:v>380</x:v>
      </x:c>
      <x:c r="V236" s="9" t="n">
        <x:f>(Inputs!$I$8+(((A236)+1)/2)*(Inputs!$J$8-Inputs!$I$8))</x:f>
        <x:v>760</x:v>
      </x:c>
      <x:c r="W236" s="9" t="n">
        <x:f>(Inputs!$I$9+(((A236)+1)/2)*(Inputs!$J$9-Inputs!$I$9))</x:f>
        <x:v>760</x:v>
      </x:c>
      <x:c r="X236" s="10" t="n"/>
      <x:c r="Y236" s="9" t="n">
        <x:f>A236</x:f>
        <x:v>0.95</x:v>
      </x:c>
      <x:c r="Z236" s="9" t="n">
        <x:f>(Inputs!$H$6+Inputs!$L$6*(((Inputs!$I$6+(((A236)+1)/2)*(Inputs!$J$6-Inputs!$I$6)))/Inputs!$K$6)^2)</x:f>
        <x:v>403.61</x:v>
      </x:c>
      <x:c r="AA236" s="9" t="n">
        <x:f>(Inputs!$H$7+Inputs!$L$7*(((Inputs!$I$7+(((A236)+1)/2)*(Inputs!$J$7-Inputs!$I$7)))/Inputs!$K$7)^2)</x:f>
        <x:v>364.41249999999997</x:v>
      </x:c>
      <x:c r="AB236" s="9" t="n">
        <x:f>(Inputs!$H$8+Inputs!$L$8*(((Inputs!$I$8+(((A236)+1)/2)*(Inputs!$J$8-Inputs!$I$8)))/Inputs!$K$8)^2)</x:f>
        <x:v>905.9125</x:v>
      </x:c>
      <x:c r="AC236" s="9" t="n">
        <x:f>(Inputs!$H$9+Inputs!$L$9*(((Inputs!$I$9+(((A236)+1)/2)*(Inputs!$J$9-Inputs!$I$9)))/Inputs!$K$9)^2)</x:f>
        <x:v>904.9375</x:v>
      </x:c>
      <x:c r="AD236" s="10" t="n"/>
      <x:c r="AE236" s="9" t="n">
        <x:f>A236</x:f>
        <x:v>0.95</x:v>
      </x:c>
      <x:c r="AF236" s="9"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9"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9"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9"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10" t="n"/>
      <x:c r="AK236" s="9" t="n">
        <x:f>A236</x:f>
        <x:v>0.95</x:v>
      </x:c>
      <x:c r="AL236" s="9"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9"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9"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9"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10" t="n"/>
      <x:c r="AQ236" s="9" t="n">
        <x:f>A236</x:f>
        <x:v>0.95</x:v>
      </x:c>
      <x:c r="AR236" s="9" t="n">
        <x:f>0</x:f>
        <x:v>0</x:v>
      </x:c>
      <x:c r="AS236" s="9"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x:f>
        <x:v>200.68454527158707</x:v>
      </x:c>
      <x:c r="AT236" s="9"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x:f>
        <x:v>190.6077590066482</x:v>
      </x:c>
      <x:c r="AU236" s="9"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x:f>
        <x:v>218.3637776453862</x:v>
      </x:c>
      <x:c r="AV236" s="9"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x:f>
        <x:v>218.3637776453862</x:v>
      </x:c>
      <x:c r="AW236" s="10" t="n"/>
      <x:c r="AX236" s="9" t="n">
        <x:f>A236</x:f>
        <x:v>0.95</x:v>
      </x:c>
      <x:c r="AY236" s="9" t="n">
        <x:f>0</x:f>
        <x:v>0</x:v>
      </x:c>
      <x:c r="AZ236" s="9" t="n">
        <x:f>IF(OR(Inputs!$F$6=TRUE,Inputs!$F$6="TRUE",Inputs!$F$6=1),(Inputs!$H$6+Inputs!$L$6*(((Inputs!$I$6+(((A236)+1)/2)*(Inputs!$J$6-Inputs!$I$6)))/Inputs!$K$6)^2),NA())</x:f>
        <x:v>403.61</x:v>
      </x:c>
      <x:c r="BA236" s="9" t="n">
        <x:f>IF(OR(Inputs!$F$7=TRUE,Inputs!$F$7="TRUE",Inputs!$F$7=1),(Inputs!$H$7+Inputs!$L$7*(((Inputs!$I$7+(((A236)+1)/2)*(Inputs!$J$7-Inputs!$I$7)))/Inputs!$K$7)^2),NA())</x:f>
        <x:v>364.41249999999997</x:v>
      </x:c>
      <x:c r="BB236" s="9" t="n">
        <x:f>IF(OR(Inputs!$F$8=TRUE,Inputs!$F$8="TRUE",Inputs!$F$8=1),(Inputs!$H$8+Inputs!$L$8*(((Inputs!$I$8+(((A236)+1)/2)*(Inputs!$J$8-Inputs!$I$8)))/Inputs!$K$8)^2),NA())</x:f>
        <x:v>905.9125</x:v>
      </x:c>
      <x:c r="BC236" s="9" t="n">
        <x:f>IF(OR(Inputs!$F$9=TRUE,Inputs!$F$9="TRUE",Inputs!$F$9=1),(Inputs!$H$9+Inputs!$L$9*(((Inputs!$I$9+(((A236)+1)/2)*(Inputs!$J$9-Inputs!$I$9)))/Inputs!$K$9)^2),NA())</x:f>
        <x:v>904.9375</x:v>
      </x:c>
      <x:c r="BD236" s="10" t="n"/>
      <x:c r="BE236" s="9" t="n">
        <x:f>A236</x:f>
        <x:v>0.95</x:v>
      </x:c>
      <x:c r="BF236" s="9" t="n">
        <x:f>0</x:f>
        <x:v>0</x:v>
      </x:c>
      <x:c r="BG236" s="9"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9"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9"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9"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9" t="n">
        <x:f>ROUND(-1+235*2/240,3)</x:f>
        <x:v>0.958</x:v>
      </x:c>
      <x:c r="B237" s="9" t="n">
        <x:f>IF(OR(Inputs!$F$6=TRUE,Inputs!$F$6="TRUE",Inputs!$F$6=1),(Inputs!$H$6+Inputs!$L$6*(((Inputs!$I$6+(((A237)+1)/2)*(Inputs!$J$6-Inputs!$I$6)))/Inputs!$K$6)^2),NA())</x:f>
        <x:v>403.671056</x:v>
      </x:c>
      <x:c r="C237" s="9" t="n">
        <x:f>IF(OR(Inputs!$F$7=TRUE,Inputs!$F$7="TRUE",Inputs!$F$7=1),(Inputs!$H$7+Inputs!$L$7*(((Inputs!$I$7+(((A237)+1)/2)*(Inputs!$J$7-Inputs!$I$7)))/Inputs!$K$7)^2),NA())</x:f>
        <x:v>369.9838599999999</x:v>
      </x:c>
      <x:c r="D237" s="9" t="n">
        <x:f>IF(OR(Inputs!$F$8=TRUE,Inputs!$F$8="TRUE",Inputs!$F$8=1),(Inputs!$H$8+Inputs!$L$8*(((Inputs!$I$8+(((A237)+1)/2)*(Inputs!$J$8-Inputs!$I$8)))/Inputs!$K$8)^2),NA())</x:f>
        <x:v>920.6422599999997</x:v>
      </x:c>
      <x:c r="E237" s="9" t="n">
        <x:f>IF(OR(Inputs!$F$9=TRUE,Inputs!$F$9="TRUE",Inputs!$F$9=1),(Inputs!$H$9+Inputs!$L$9*(((Inputs!$I$9+(((A237)+1)/2)*(Inputs!$J$9-Inputs!$I$9)))/Inputs!$K$9)^2),NA())</x:f>
        <x:v>919.8198999999997</x:v>
      </x:c>
      <x:c r="F237" s="10" t="n"/>
      <x:c r="G237" s="9" t="n">
        <x:f>A237</x:f>
        <x:v>0.958</x:v>
      </x:c>
      <x:c r="H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10" t="n"/>
      <x:c r="M237" s="9" t="n">
        <x:f>A237</x:f>
        <x:v>0.958</x:v>
      </x:c>
      <x:c r="N237" s="9"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9"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9"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9"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10" t="n"/>
      <x:c r="S237" s="9" t="n">
        <x:f>A237</x:f>
        <x:v>0.958</x:v>
      </x:c>
      <x:c r="T237" s="9" t="n">
        <x:f>(Inputs!$I$6+(((A237)+1)/2)*(Inputs!$J$6-Inputs!$I$6))</x:f>
        <x:v>57.480000000000004</x:v>
      </x:c>
      <x:c r="U237" s="9" t="n">
        <x:f>(Inputs!$I$7+(((A237)+1)/2)*(Inputs!$J$7-Inputs!$I$7))</x:f>
        <x:v>383.19999999999993</x:v>
      </x:c>
      <x:c r="V237" s="9" t="n">
        <x:f>(Inputs!$I$8+(((A237)+1)/2)*(Inputs!$J$8-Inputs!$I$8))</x:f>
        <x:v>766.3999999999999</x:v>
      </x:c>
      <x:c r="W237" s="9" t="n">
        <x:f>(Inputs!$I$9+(((A237)+1)/2)*(Inputs!$J$9-Inputs!$I$9))</x:f>
        <x:v>766.3999999999999</x:v>
      </x:c>
      <x:c r="X237" s="10" t="n"/>
      <x:c r="Y237" s="9" t="n">
        <x:f>A237</x:f>
        <x:v>0.958</x:v>
      </x:c>
      <x:c r="Z237" s="9" t="n">
        <x:f>(Inputs!$H$6+Inputs!$L$6*(((Inputs!$I$6+(((A237)+1)/2)*(Inputs!$J$6-Inputs!$I$6)))/Inputs!$K$6)^2)</x:f>
        <x:v>403.671056</x:v>
      </x:c>
      <x:c r="AA237" s="9" t="n">
        <x:f>(Inputs!$H$7+Inputs!$L$7*(((Inputs!$I$7+(((A237)+1)/2)*(Inputs!$J$7-Inputs!$I$7)))/Inputs!$K$7)^2)</x:f>
        <x:v>369.9838599999999</x:v>
      </x:c>
      <x:c r="AB237" s="9" t="n">
        <x:f>(Inputs!$H$8+Inputs!$L$8*(((Inputs!$I$8+(((A237)+1)/2)*(Inputs!$J$8-Inputs!$I$8)))/Inputs!$K$8)^2)</x:f>
        <x:v>920.6422599999997</x:v>
      </x:c>
      <x:c r="AC237" s="9" t="n">
        <x:f>(Inputs!$H$9+Inputs!$L$9*(((Inputs!$I$9+(((A237)+1)/2)*(Inputs!$J$9-Inputs!$I$9)))/Inputs!$K$9)^2)</x:f>
        <x:v>919.8198999999997</x:v>
      </x:c>
      <x:c r="AD237" s="10" t="n"/>
      <x:c r="AE237" s="9" t="n">
        <x:f>A237</x:f>
        <x:v>0.958</x:v>
      </x:c>
      <x:c r="AF237" s="9"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9"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9"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9"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10" t="n"/>
      <x:c r="AK237" s="9" t="n">
        <x:f>A237</x:f>
        <x:v>0.958</x:v>
      </x:c>
      <x:c r="AL237" s="9"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9"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9"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9"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10" t="n"/>
      <x:c r="AQ237" s="9" t="n">
        <x:f>A237</x:f>
        <x:v>0.958</x:v>
      </x:c>
      <x:c r="AR237" s="9" t="n">
        <x:f>0</x:f>
        <x:v>0</x:v>
      </x:c>
      <x:c r="AS237" s="9"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x:f>
        <x:v>174.79143562791538</x:v>
      </x:c>
      <x:c r="AT237" s="9"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x:f>
        <x:v>217.3768642222</x:v>
      </x:c>
      <x:c r="AU237" s="9"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x:f>
        <x:v>90.42702263053405</x:v>
      </x:c>
      <x:c r="AV237" s="9"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x:f>
        <x:v>90.42702263053405</x:v>
      </x:c>
      <x:c r="AW237" s="10" t="n"/>
      <x:c r="AX237" s="9" t="n">
        <x:f>A237</x:f>
        <x:v>0.958</x:v>
      </x:c>
      <x:c r="AY237" s="9" t="n">
        <x:f>0</x:f>
        <x:v>0</x:v>
      </x:c>
      <x:c r="AZ237" s="9" t="n">
        <x:f>IF(OR(Inputs!$F$6=TRUE,Inputs!$F$6="TRUE",Inputs!$F$6=1),(Inputs!$H$6+Inputs!$L$6*(((Inputs!$I$6+(((A237)+1)/2)*(Inputs!$J$6-Inputs!$I$6)))/Inputs!$K$6)^2),NA())</x:f>
        <x:v>403.671056</x:v>
      </x:c>
      <x:c r="BA237" s="9" t="n">
        <x:f>IF(OR(Inputs!$F$7=TRUE,Inputs!$F$7="TRUE",Inputs!$F$7=1),(Inputs!$H$7+Inputs!$L$7*(((Inputs!$I$7+(((A237)+1)/2)*(Inputs!$J$7-Inputs!$I$7)))/Inputs!$K$7)^2),NA())</x:f>
        <x:v>369.9838599999999</x:v>
      </x:c>
      <x:c r="BB237" s="9" t="n">
        <x:f>IF(OR(Inputs!$F$8=TRUE,Inputs!$F$8="TRUE",Inputs!$F$8=1),(Inputs!$H$8+Inputs!$L$8*(((Inputs!$I$8+(((A237)+1)/2)*(Inputs!$J$8-Inputs!$I$8)))/Inputs!$K$8)^2),NA())</x:f>
        <x:v>920.6422599999997</x:v>
      </x:c>
      <x:c r="BC237" s="9" t="n">
        <x:f>IF(OR(Inputs!$F$9=TRUE,Inputs!$F$9="TRUE",Inputs!$F$9=1),(Inputs!$H$9+Inputs!$L$9*(((Inputs!$I$9+(((A237)+1)/2)*(Inputs!$J$9-Inputs!$I$9)))/Inputs!$K$9)^2),NA())</x:f>
        <x:v>919.8198999999997</x:v>
      </x:c>
      <x:c r="BD237" s="10" t="n"/>
      <x:c r="BE237" s="9" t="n">
        <x:f>A237</x:f>
        <x:v>0.958</x:v>
      </x:c>
      <x:c r="BF237" s="9" t="n">
        <x:f>0</x:f>
        <x:v>0</x:v>
      </x:c>
      <x:c r="BG237" s="9"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9"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9"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9"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9" t="n">
        <x:f>ROUND(-1+236*2/240,3)</x:f>
        <x:v>0.967</x:v>
      </x:c>
      <x:c r="B238" s="9" t="n">
        <x:f>IF(OR(Inputs!$F$6=TRUE,Inputs!$F$6="TRUE",Inputs!$F$6=1),(Inputs!$H$6+Inputs!$L$6*(((Inputs!$I$6+(((A238)+1)/2)*(Inputs!$J$6-Inputs!$I$6)))/Inputs!$K$6)^2),NA())</x:f>
        <x:v>403.740356</x:v>
      </x:c>
      <x:c r="C238" s="9" t="n">
        <x:f>IF(OR(Inputs!$F$7=TRUE,Inputs!$F$7="TRUE",Inputs!$F$7=1),(Inputs!$H$7+Inputs!$L$7*(((Inputs!$I$7+(((A238)+1)/2)*(Inputs!$J$7-Inputs!$I$7)))/Inputs!$K$7)^2),NA())</x:f>
        <x:v>376.30748500000016</x:v>
      </x:c>
      <x:c r="D238" s="9" t="n">
        <x:f>IF(OR(Inputs!$F$8=TRUE,Inputs!$F$8="TRUE",Inputs!$F$8=1),(Inputs!$H$8+Inputs!$L$8*(((Inputs!$I$8+(((A238)+1)/2)*(Inputs!$J$8-Inputs!$I$8)))/Inputs!$K$8)^2),NA())</x:f>
        <x:v>937.3608850000004</x:v>
      </x:c>
      <x:c r="E238" s="9" t="n">
        <x:f>IF(OR(Inputs!$F$9=TRUE,Inputs!$F$9="TRUE",Inputs!$F$9=1),(Inputs!$H$9+Inputs!$L$9*(((Inputs!$I$9+(((A238)+1)/2)*(Inputs!$J$9-Inputs!$I$9)))/Inputs!$K$9)^2),NA())</x:f>
        <x:v>936.7117750000003</x:v>
      </x:c>
      <x:c r="F238" s="10" t="n"/>
      <x:c r="G238" s="9" t="n">
        <x:f>A238</x:f>
        <x:v>0.967</x:v>
      </x:c>
      <x:c r="H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10" t="n"/>
      <x:c r="M238" s="9" t="n">
        <x:f>A238</x:f>
        <x:v>0.967</x:v>
      </x:c>
      <x:c r="N238" s="9"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9"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9"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9"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10" t="n"/>
      <x:c r="S238" s="9" t="n">
        <x:f>A238</x:f>
        <x:v>0.967</x:v>
      </x:c>
      <x:c r="T238" s="9" t="n">
        <x:f>(Inputs!$I$6+(((A238)+1)/2)*(Inputs!$J$6-Inputs!$I$6))</x:f>
        <x:v>58.02000000000001</x:v>
      </x:c>
      <x:c r="U238" s="9" t="n">
        <x:f>(Inputs!$I$7+(((A238)+1)/2)*(Inputs!$J$7-Inputs!$I$7))</x:f>
        <x:v>386.80000000000007</x:v>
      </x:c>
      <x:c r="V238" s="9" t="n">
        <x:f>(Inputs!$I$8+(((A238)+1)/2)*(Inputs!$J$8-Inputs!$I$8))</x:f>
        <x:v>773.6000000000001</x:v>
      </x:c>
      <x:c r="W238" s="9" t="n">
        <x:f>(Inputs!$I$9+(((A238)+1)/2)*(Inputs!$J$9-Inputs!$I$9))</x:f>
        <x:v>773.6000000000001</x:v>
      </x:c>
      <x:c r="X238" s="10" t="n"/>
      <x:c r="Y238" s="9" t="n">
        <x:f>A238</x:f>
        <x:v>0.967</x:v>
      </x:c>
      <x:c r="Z238" s="9" t="n">
        <x:f>(Inputs!$H$6+Inputs!$L$6*(((Inputs!$I$6+(((A238)+1)/2)*(Inputs!$J$6-Inputs!$I$6)))/Inputs!$K$6)^2)</x:f>
        <x:v>403.740356</x:v>
      </x:c>
      <x:c r="AA238" s="9" t="n">
        <x:f>(Inputs!$H$7+Inputs!$L$7*(((Inputs!$I$7+(((A238)+1)/2)*(Inputs!$J$7-Inputs!$I$7)))/Inputs!$K$7)^2)</x:f>
        <x:v>376.30748500000016</x:v>
      </x:c>
      <x:c r="AB238" s="9" t="n">
        <x:f>(Inputs!$H$8+Inputs!$L$8*(((Inputs!$I$8+(((A238)+1)/2)*(Inputs!$J$8-Inputs!$I$8)))/Inputs!$K$8)^2)</x:f>
        <x:v>937.3608850000004</x:v>
      </x:c>
      <x:c r="AC238" s="9" t="n">
        <x:f>(Inputs!$H$9+Inputs!$L$9*(((Inputs!$I$9+(((A238)+1)/2)*(Inputs!$J$9-Inputs!$I$9)))/Inputs!$K$9)^2)</x:f>
        <x:v>936.7117750000003</x:v>
      </x:c>
      <x:c r="AD238" s="10" t="n"/>
      <x:c r="AE238" s="9" t="n">
        <x:f>A238</x:f>
        <x:v>0.967</x:v>
      </x:c>
      <x:c r="AF238" s="9"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9"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9"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9"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10" t="n"/>
      <x:c r="AK238" s="9" t="n">
        <x:f>A238</x:f>
        <x:v>0.967</x:v>
      </x:c>
      <x:c r="AL238" s="9"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9"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9"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9"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10" t="n"/>
      <x:c r="AQ238" s="9" t="n">
        <x:f>A238</x:f>
        <x:v>0.967</x:v>
      </x:c>
      <x:c r="AR238" s="9" t="n">
        <x:f>0</x:f>
        <x:v>0</x:v>
      </x:c>
      <x:c r="AS238" s="9"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x:f>
        <x:v>195.1462906729702</x:v>
      </x:c>
      <x:c r="AT238" s="9"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x:f>
        <x:v>168.61305675602668</x:v>
      </x:c>
      <x:c r="AU238" s="9"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x:f>
        <x:v>163.25393411258835</x:v>
      </x:c>
      <x:c r="AV238" s="9"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x:f>
        <x:v>163.25393411258835</x:v>
      </x:c>
      <x:c r="AW238" s="10" t="n"/>
      <x:c r="AX238" s="9" t="n">
        <x:f>A238</x:f>
        <x:v>0.967</x:v>
      </x:c>
      <x:c r="AY238" s="9" t="n">
        <x:f>0</x:f>
        <x:v>0</x:v>
      </x:c>
      <x:c r="AZ238" s="9" t="n">
        <x:f>IF(OR(Inputs!$F$6=TRUE,Inputs!$F$6="TRUE",Inputs!$F$6=1),(Inputs!$H$6+Inputs!$L$6*(((Inputs!$I$6+(((A238)+1)/2)*(Inputs!$J$6-Inputs!$I$6)))/Inputs!$K$6)^2),NA())</x:f>
        <x:v>403.740356</x:v>
      </x:c>
      <x:c r="BA238" s="9" t="n">
        <x:f>IF(OR(Inputs!$F$7=TRUE,Inputs!$F$7="TRUE",Inputs!$F$7=1),(Inputs!$H$7+Inputs!$L$7*(((Inputs!$I$7+(((A238)+1)/2)*(Inputs!$J$7-Inputs!$I$7)))/Inputs!$K$7)^2),NA())</x:f>
        <x:v>376.30748500000016</x:v>
      </x:c>
      <x:c r="BB238" s="9" t="n">
        <x:f>IF(OR(Inputs!$F$8=TRUE,Inputs!$F$8="TRUE",Inputs!$F$8=1),(Inputs!$H$8+Inputs!$L$8*(((Inputs!$I$8+(((A238)+1)/2)*(Inputs!$J$8-Inputs!$I$8)))/Inputs!$K$8)^2),NA())</x:f>
        <x:v>937.3608850000004</x:v>
      </x:c>
      <x:c r="BC238" s="9" t="n">
        <x:f>IF(OR(Inputs!$F$9=TRUE,Inputs!$F$9="TRUE",Inputs!$F$9=1),(Inputs!$H$9+Inputs!$L$9*(((Inputs!$I$9+(((A238)+1)/2)*(Inputs!$J$9-Inputs!$I$9)))/Inputs!$K$9)^2),NA())</x:f>
        <x:v>936.7117750000003</x:v>
      </x:c>
      <x:c r="BD238" s="10" t="n"/>
      <x:c r="BE238" s="9" t="n">
        <x:f>A238</x:f>
        <x:v>0.967</x:v>
      </x:c>
      <x:c r="BF238" s="9" t="n">
        <x:f>0</x:f>
        <x:v>0</x:v>
      </x:c>
      <x:c r="BG238" s="9"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9"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9"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9"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9" t="n">
        <x:f>ROUND(-1+237*2/240,3)</x:f>
        <x:v>0.975</x:v>
      </x:c>
      <x:c r="B239" s="9" t="n">
        <x:f>IF(OR(Inputs!$F$6=TRUE,Inputs!$F$6="TRUE",Inputs!$F$6=1),(Inputs!$H$6+Inputs!$L$6*(((Inputs!$I$6+(((A239)+1)/2)*(Inputs!$J$6-Inputs!$I$6)))/Inputs!$K$6)^2),NA())</x:f>
        <x:v>403.8025</x:v>
      </x:c>
      <x:c r="C239" s="9" t="n">
        <x:f>IF(OR(Inputs!$F$7=TRUE,Inputs!$F$7="TRUE",Inputs!$F$7=1),(Inputs!$H$7+Inputs!$L$7*(((Inputs!$I$7+(((A239)+1)/2)*(Inputs!$J$7-Inputs!$I$7)))/Inputs!$K$7)^2),NA())</x:f>
        <x:v>381.978125</x:v>
      </x:c>
      <x:c r="D239" s="9" t="n">
        <x:f>IF(OR(Inputs!$F$8=TRUE,Inputs!$F$8="TRUE",Inputs!$F$8=1),(Inputs!$H$8+Inputs!$L$8*(((Inputs!$I$8+(((A239)+1)/2)*(Inputs!$J$8-Inputs!$I$8)))/Inputs!$K$8)^2),NA())</x:f>
        <x:v>952.353125</x:v>
      </x:c>
      <x:c r="E239" s="9" t="n">
        <x:f>IF(OR(Inputs!$F$9=TRUE,Inputs!$F$9="TRUE",Inputs!$F$9=1),(Inputs!$H$9+Inputs!$L$9*(((Inputs!$I$9+(((A239)+1)/2)*(Inputs!$J$9-Inputs!$I$9)))/Inputs!$K$9)^2),NA())</x:f>
        <x:v>951.859375</x:v>
      </x:c>
      <x:c r="F239" s="10" t="n"/>
      <x:c r="G239" s="9" t="n">
        <x:f>A239</x:f>
        <x:v>0.975</x:v>
      </x:c>
      <x:c r="H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10" t="n"/>
      <x:c r="M239" s="9" t="n">
        <x:f>A239</x:f>
        <x:v>0.975</x:v>
      </x:c>
      <x:c r="N239" s="9"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9"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9"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9"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10" t="n"/>
      <x:c r="S239" s="9" t="n">
        <x:f>A239</x:f>
        <x:v>0.975</x:v>
      </x:c>
      <x:c r="T239" s="9" t="n">
        <x:f>(Inputs!$I$6+(((A239)+1)/2)*(Inputs!$J$6-Inputs!$I$6))</x:f>
        <x:v>58.5</x:v>
      </x:c>
      <x:c r="U239" s="9" t="n">
        <x:f>(Inputs!$I$7+(((A239)+1)/2)*(Inputs!$J$7-Inputs!$I$7))</x:f>
        <x:v>390</x:v>
      </x:c>
      <x:c r="V239" s="9" t="n">
        <x:f>(Inputs!$I$8+(((A239)+1)/2)*(Inputs!$J$8-Inputs!$I$8))</x:f>
        <x:v>780</x:v>
      </x:c>
      <x:c r="W239" s="9" t="n">
        <x:f>(Inputs!$I$9+(((A239)+1)/2)*(Inputs!$J$9-Inputs!$I$9))</x:f>
        <x:v>780</x:v>
      </x:c>
      <x:c r="X239" s="10" t="n"/>
      <x:c r="Y239" s="9" t="n">
        <x:f>A239</x:f>
        <x:v>0.975</x:v>
      </x:c>
      <x:c r="Z239" s="9" t="n">
        <x:f>(Inputs!$H$6+Inputs!$L$6*(((Inputs!$I$6+(((A239)+1)/2)*(Inputs!$J$6-Inputs!$I$6)))/Inputs!$K$6)^2)</x:f>
        <x:v>403.8025</x:v>
      </x:c>
      <x:c r="AA239" s="9" t="n">
        <x:f>(Inputs!$H$7+Inputs!$L$7*(((Inputs!$I$7+(((A239)+1)/2)*(Inputs!$J$7-Inputs!$I$7)))/Inputs!$K$7)^2)</x:f>
        <x:v>381.978125</x:v>
      </x:c>
      <x:c r="AB239" s="9" t="n">
        <x:f>(Inputs!$H$8+Inputs!$L$8*(((Inputs!$I$8+(((A239)+1)/2)*(Inputs!$J$8-Inputs!$I$8)))/Inputs!$K$8)^2)</x:f>
        <x:v>952.353125</x:v>
      </x:c>
      <x:c r="AC239" s="9" t="n">
        <x:f>(Inputs!$H$9+Inputs!$L$9*(((Inputs!$I$9+(((A239)+1)/2)*(Inputs!$J$9-Inputs!$I$9)))/Inputs!$K$9)^2)</x:f>
        <x:v>951.859375</x:v>
      </x:c>
      <x:c r="AD239" s="10" t="n"/>
      <x:c r="AE239" s="9" t="n">
        <x:f>A239</x:f>
        <x:v>0.975</x:v>
      </x:c>
      <x:c r="AF239" s="9"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9"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9"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9"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10" t="n"/>
      <x:c r="AK239" s="9" t="n">
        <x:f>A239</x:f>
        <x:v>0.975</x:v>
      </x:c>
      <x:c r="AL239" s="9"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9"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9"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9"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10" t="n"/>
      <x:c r="AQ239" s="9" t="n">
        <x:f>A239</x:f>
        <x:v>0.975</x:v>
      </x:c>
      <x:c r="AR239" s="9" t="n">
        <x:f>0</x:f>
        <x:v>0</x:v>
      </x:c>
      <x:c r="AS239" s="9"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x:f>
        <x:v>188.33221875951745</x:v>
      </x:c>
      <x:c r="AT239" s="9"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x:f>
        <x:v>99.71913061962508</x:v>
      </x:c>
      <x:c r="AU239" s="9"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x:f>
        <x:v>188.3892139425484</x:v>
      </x:c>
      <x:c r="AV239" s="9"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x:f>
        <x:v>188.3892139425484</x:v>
      </x:c>
      <x:c r="AW239" s="10" t="n"/>
      <x:c r="AX239" s="9" t="n">
        <x:f>A239</x:f>
        <x:v>0.975</x:v>
      </x:c>
      <x:c r="AY239" s="9" t="n">
        <x:f>0</x:f>
        <x:v>0</x:v>
      </x:c>
      <x:c r="AZ239" s="9" t="n">
        <x:f>IF(OR(Inputs!$F$6=TRUE,Inputs!$F$6="TRUE",Inputs!$F$6=1),(Inputs!$H$6+Inputs!$L$6*(((Inputs!$I$6+(((A239)+1)/2)*(Inputs!$J$6-Inputs!$I$6)))/Inputs!$K$6)^2),NA())</x:f>
        <x:v>403.8025</x:v>
      </x:c>
      <x:c r="BA239" s="9" t="n">
        <x:f>IF(OR(Inputs!$F$7=TRUE,Inputs!$F$7="TRUE",Inputs!$F$7=1),(Inputs!$H$7+Inputs!$L$7*(((Inputs!$I$7+(((A239)+1)/2)*(Inputs!$J$7-Inputs!$I$7)))/Inputs!$K$7)^2),NA())</x:f>
        <x:v>381.978125</x:v>
      </x:c>
      <x:c r="BB239" s="9" t="n">
        <x:f>IF(OR(Inputs!$F$8=TRUE,Inputs!$F$8="TRUE",Inputs!$F$8=1),(Inputs!$H$8+Inputs!$L$8*(((Inputs!$I$8+(((A239)+1)/2)*(Inputs!$J$8-Inputs!$I$8)))/Inputs!$K$8)^2),NA())</x:f>
        <x:v>952.353125</x:v>
      </x:c>
      <x:c r="BC239" s="9" t="n">
        <x:f>IF(OR(Inputs!$F$9=TRUE,Inputs!$F$9="TRUE",Inputs!$F$9=1),(Inputs!$H$9+Inputs!$L$9*(((Inputs!$I$9+(((A239)+1)/2)*(Inputs!$J$9-Inputs!$I$9)))/Inputs!$K$9)^2),NA())</x:f>
        <x:v>951.859375</x:v>
      </x:c>
      <x:c r="BD239" s="10" t="n"/>
      <x:c r="BE239" s="9" t="n">
        <x:f>A239</x:f>
        <x:v>0.975</x:v>
      </x:c>
      <x:c r="BF239" s="9" t="n">
        <x:f>0</x:f>
        <x:v>0</x:v>
      </x:c>
      <x:c r="BG239" s="9"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9"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9"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9"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9" t="n">
        <x:f>ROUND(-1+238*2/240,3)</x:f>
        <x:v>0.983</x:v>
      </x:c>
      <x:c r="B240" s="9" t="n">
        <x:f>IF(OR(Inputs!$F$6=TRUE,Inputs!$F$6="TRUE",Inputs!$F$6=1),(Inputs!$H$6+Inputs!$L$6*(((Inputs!$I$6+(((A240)+1)/2)*(Inputs!$J$6-Inputs!$I$6)))/Inputs!$K$6)^2),NA())</x:f>
        <x:v>403.865156</x:v>
      </x:c>
      <x:c r="C240" s="9" t="n">
        <x:f>IF(OR(Inputs!$F$7=TRUE,Inputs!$F$7="TRUE",Inputs!$F$7=1),(Inputs!$H$7+Inputs!$L$7*(((Inputs!$I$7+(((A240)+1)/2)*(Inputs!$J$7-Inputs!$I$7)))/Inputs!$K$7)^2),NA())</x:f>
        <x:v>387.6954850000001</x:v>
      </x:c>
      <x:c r="D240" s="9" t="n">
        <x:f>IF(OR(Inputs!$F$8=TRUE,Inputs!$F$8="TRUE",Inputs!$F$8=1),(Inputs!$H$8+Inputs!$L$8*(((Inputs!$I$8+(((A240)+1)/2)*(Inputs!$J$8-Inputs!$I$8)))/Inputs!$K$8)^2),NA())</x:f>
        <x:v>967.4688850000001</x:v>
      </x:c>
      <x:c r="E240" s="9" t="n">
        <x:f>IF(OR(Inputs!$F$9=TRUE,Inputs!$F$9="TRUE",Inputs!$F$9=1),(Inputs!$H$9+Inputs!$L$9*(((Inputs!$I$9+(((A240)+1)/2)*(Inputs!$J$9-Inputs!$I$9)))/Inputs!$K$9)^2),NA())</x:f>
        <x:v>967.1317750000002</x:v>
      </x:c>
      <x:c r="F240" s="10" t="n"/>
      <x:c r="G240" s="9" t="n">
        <x:f>A240</x:f>
        <x:v>0.983</x:v>
      </x:c>
      <x:c r="H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10" t="n"/>
      <x:c r="M240" s="9" t="n">
        <x:f>A240</x:f>
        <x:v>0.983</x:v>
      </x:c>
      <x:c r="N240" s="9"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9"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9"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9"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10" t="n"/>
      <x:c r="S240" s="9" t="n">
        <x:f>A240</x:f>
        <x:v>0.983</x:v>
      </x:c>
      <x:c r="T240" s="9" t="n">
        <x:f>(Inputs!$I$6+(((A240)+1)/2)*(Inputs!$J$6-Inputs!$I$6))</x:f>
        <x:v>58.980000000000004</x:v>
      </x:c>
      <x:c r="U240" s="9" t="n">
        <x:f>(Inputs!$I$7+(((A240)+1)/2)*(Inputs!$J$7-Inputs!$I$7))</x:f>
        <x:v>393.20000000000005</x:v>
      </x:c>
      <x:c r="V240" s="9" t="n">
        <x:f>(Inputs!$I$8+(((A240)+1)/2)*(Inputs!$J$8-Inputs!$I$8))</x:f>
        <x:v>786.4000000000001</x:v>
      </x:c>
      <x:c r="W240" s="9" t="n">
        <x:f>(Inputs!$I$9+(((A240)+1)/2)*(Inputs!$J$9-Inputs!$I$9))</x:f>
        <x:v>786.4000000000001</x:v>
      </x:c>
      <x:c r="X240" s="10" t="n"/>
      <x:c r="Y240" s="9" t="n">
        <x:f>A240</x:f>
        <x:v>0.983</x:v>
      </x:c>
      <x:c r="Z240" s="9" t="n">
        <x:f>(Inputs!$H$6+Inputs!$L$6*(((Inputs!$I$6+(((A240)+1)/2)*(Inputs!$J$6-Inputs!$I$6)))/Inputs!$K$6)^2)</x:f>
        <x:v>403.865156</x:v>
      </x:c>
      <x:c r="AA240" s="9" t="n">
        <x:f>(Inputs!$H$7+Inputs!$L$7*(((Inputs!$I$7+(((A240)+1)/2)*(Inputs!$J$7-Inputs!$I$7)))/Inputs!$K$7)^2)</x:f>
        <x:v>387.6954850000001</x:v>
      </x:c>
      <x:c r="AB240" s="9" t="n">
        <x:f>(Inputs!$H$8+Inputs!$L$8*(((Inputs!$I$8+(((A240)+1)/2)*(Inputs!$J$8-Inputs!$I$8)))/Inputs!$K$8)^2)</x:f>
        <x:v>967.4688850000001</x:v>
      </x:c>
      <x:c r="AC240" s="9" t="n">
        <x:f>(Inputs!$H$9+Inputs!$L$9*(((Inputs!$I$9+(((A240)+1)/2)*(Inputs!$J$9-Inputs!$I$9)))/Inputs!$K$9)^2)</x:f>
        <x:v>967.1317750000002</x:v>
      </x:c>
      <x:c r="AD240" s="10" t="n"/>
      <x:c r="AE240" s="9" t="n">
        <x:f>A240</x:f>
        <x:v>0.983</x:v>
      </x:c>
      <x:c r="AF240" s="9"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9"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9"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9"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10" t="n"/>
      <x:c r="AK240" s="9" t="n">
        <x:f>A240</x:f>
        <x:v>0.983</x:v>
      </x:c>
      <x:c r="AL240" s="9"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9"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9"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9"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10" t="n"/>
      <x:c r="AQ240" s="9" t="n">
        <x:f>A240</x:f>
        <x:v>0.983</x:v>
      </x:c>
      <x:c r="AR240" s="9" t="n">
        <x:f>0</x:f>
        <x:v>0</x:v>
      </x:c>
      <x:c r="AS240" s="9"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x:f>
        <x:v>179.72692406715734</x:v>
      </x:c>
      <x:c r="AT240" s="9"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x:f>
        <x:v>66.81644158580339</x:v>
      </x:c>
      <x:c r="AU240" s="9"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x:f>
        <x:v>109.3494327069107</x:v>
      </x:c>
      <x:c r="AV240" s="9"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x:f>
        <x:v>109.3494327069107</x:v>
      </x:c>
      <x:c r="AW240" s="10" t="n"/>
      <x:c r="AX240" s="9" t="n">
        <x:f>A240</x:f>
        <x:v>0.983</x:v>
      </x:c>
      <x:c r="AY240" s="9" t="n">
        <x:f>0</x:f>
        <x:v>0</x:v>
      </x:c>
      <x:c r="AZ240" s="9" t="n">
        <x:f>IF(OR(Inputs!$F$6=TRUE,Inputs!$F$6="TRUE",Inputs!$F$6=1),(Inputs!$H$6+Inputs!$L$6*(((Inputs!$I$6+(((A240)+1)/2)*(Inputs!$J$6-Inputs!$I$6)))/Inputs!$K$6)^2),NA())</x:f>
        <x:v>403.865156</x:v>
      </x:c>
      <x:c r="BA240" s="9" t="n">
        <x:f>IF(OR(Inputs!$F$7=TRUE,Inputs!$F$7="TRUE",Inputs!$F$7=1),(Inputs!$H$7+Inputs!$L$7*(((Inputs!$I$7+(((A240)+1)/2)*(Inputs!$J$7-Inputs!$I$7)))/Inputs!$K$7)^2),NA())</x:f>
        <x:v>387.6954850000001</x:v>
      </x:c>
      <x:c r="BB240" s="9" t="n">
        <x:f>IF(OR(Inputs!$F$8=TRUE,Inputs!$F$8="TRUE",Inputs!$F$8=1),(Inputs!$H$8+Inputs!$L$8*(((Inputs!$I$8+(((A240)+1)/2)*(Inputs!$J$8-Inputs!$I$8)))/Inputs!$K$8)^2),NA())</x:f>
        <x:v>967.4688850000001</x:v>
      </x:c>
      <x:c r="BC240" s="9" t="n">
        <x:f>IF(OR(Inputs!$F$9=TRUE,Inputs!$F$9="TRUE",Inputs!$F$9=1),(Inputs!$H$9+Inputs!$L$9*(((Inputs!$I$9+(((A240)+1)/2)*(Inputs!$J$9-Inputs!$I$9)))/Inputs!$K$9)^2),NA())</x:f>
        <x:v>967.1317750000002</x:v>
      </x:c>
      <x:c r="BD240" s="10" t="n"/>
      <x:c r="BE240" s="9" t="n">
        <x:f>A240</x:f>
        <x:v>0.983</x:v>
      </x:c>
      <x:c r="BF240" s="9" t="n">
        <x:f>0</x:f>
        <x:v>0</x:v>
      </x:c>
      <x:c r="BG240" s="9"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9"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9"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9"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9" t="n">
        <x:f>ROUND(-1+239*2/240,3)</x:f>
        <x:v>0.992</x:v>
      </x:c>
      <x:c r="B241" s="9" t="n">
        <x:f>IF(OR(Inputs!$F$6=TRUE,Inputs!$F$6="TRUE",Inputs!$F$6=1),(Inputs!$H$6+Inputs!$L$6*(((Inputs!$I$6+(((A241)+1)/2)*(Inputs!$J$6-Inputs!$I$6)))/Inputs!$K$6)^2),NA())</x:f>
        <x:v>403.936256</x:v>
      </x:c>
      <x:c r="C241" s="9" t="n">
        <x:f>IF(OR(Inputs!$F$7=TRUE,Inputs!$F$7="TRUE",Inputs!$F$7=1),(Inputs!$H$7+Inputs!$L$7*(((Inputs!$I$7+(((A241)+1)/2)*(Inputs!$J$7-Inputs!$I$7)))/Inputs!$K$7)^2),NA())</x:f>
        <x:v>394.1833599999999</x:v>
      </x:c>
      <x:c r="D241" s="9" t="n">
        <x:f>IF(OR(Inputs!$F$8=TRUE,Inputs!$F$8="TRUE",Inputs!$F$8=1),(Inputs!$H$8+Inputs!$L$8*(((Inputs!$I$8+(((A241)+1)/2)*(Inputs!$J$8-Inputs!$I$8)))/Inputs!$K$8)^2),NA())</x:f>
        <x:v>984.6217599999998</x:v>
      </x:c>
      <x:c r="E241" s="9" t="n">
        <x:f>IF(OR(Inputs!$F$9=TRUE,Inputs!$F$9="TRUE",Inputs!$F$9=1),(Inputs!$H$9+Inputs!$L$9*(((Inputs!$I$9+(((A241)+1)/2)*(Inputs!$J$9-Inputs!$I$9)))/Inputs!$K$9)^2),NA())</x:f>
        <x:v>984.4623999999998</x:v>
      </x:c>
      <x:c r="F241" s="10" t="n"/>
      <x:c r="G241" s="9" t="n">
        <x:f>A241</x:f>
        <x:v>0.992</x:v>
      </x:c>
      <x:c r="H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10" t="n"/>
      <x:c r="M241" s="9" t="n">
        <x:f>A241</x:f>
        <x:v>0.992</x:v>
      </x:c>
      <x:c r="N241" s="9"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9"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9"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9"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10" t="n"/>
      <x:c r="S241" s="9" t="n">
        <x:f>A241</x:f>
        <x:v>0.992</x:v>
      </x:c>
      <x:c r="T241" s="9" t="n">
        <x:f>(Inputs!$I$6+(((A241)+1)/2)*(Inputs!$J$6-Inputs!$I$6))</x:f>
        <x:v>59.519999999999996</x:v>
      </x:c>
      <x:c r="U241" s="9" t="n">
        <x:f>(Inputs!$I$7+(((A241)+1)/2)*(Inputs!$J$7-Inputs!$I$7))</x:f>
        <x:v>396.79999999999995</x:v>
      </x:c>
      <x:c r="V241" s="9" t="n">
        <x:f>(Inputs!$I$8+(((A241)+1)/2)*(Inputs!$J$8-Inputs!$I$8))</x:f>
        <x:v>793.5999999999999</x:v>
      </x:c>
      <x:c r="W241" s="9" t="n">
        <x:f>(Inputs!$I$9+(((A241)+1)/2)*(Inputs!$J$9-Inputs!$I$9))</x:f>
        <x:v>793.5999999999999</x:v>
      </x:c>
      <x:c r="X241" s="10" t="n"/>
      <x:c r="Y241" s="9" t="n">
        <x:f>A241</x:f>
        <x:v>0.992</x:v>
      </x:c>
      <x:c r="Z241" s="9" t="n">
        <x:f>(Inputs!$H$6+Inputs!$L$6*(((Inputs!$I$6+(((A241)+1)/2)*(Inputs!$J$6-Inputs!$I$6)))/Inputs!$K$6)^2)</x:f>
        <x:v>403.936256</x:v>
      </x:c>
      <x:c r="AA241" s="9" t="n">
        <x:f>(Inputs!$H$7+Inputs!$L$7*(((Inputs!$I$7+(((A241)+1)/2)*(Inputs!$J$7-Inputs!$I$7)))/Inputs!$K$7)^2)</x:f>
        <x:v>394.1833599999999</x:v>
      </x:c>
      <x:c r="AB241" s="9" t="n">
        <x:f>(Inputs!$H$8+Inputs!$L$8*(((Inputs!$I$8+(((A241)+1)/2)*(Inputs!$J$8-Inputs!$I$8)))/Inputs!$K$8)^2)</x:f>
        <x:v>984.6217599999998</x:v>
      </x:c>
      <x:c r="AC241" s="9" t="n">
        <x:f>(Inputs!$H$9+Inputs!$L$9*(((Inputs!$I$9+(((A241)+1)/2)*(Inputs!$J$9-Inputs!$I$9)))/Inputs!$K$9)^2)</x:f>
        <x:v>984.4623999999998</x:v>
      </x:c>
      <x:c r="AD241" s="10" t="n"/>
      <x:c r="AE241" s="9" t="n">
        <x:f>A241</x:f>
        <x:v>0.992</x:v>
      </x:c>
      <x:c r="AF241" s="9"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9"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9"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9"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10" t="n"/>
      <x:c r="AK241" s="9" t="n">
        <x:f>A241</x:f>
        <x:v>0.992</x:v>
      </x:c>
      <x:c r="AL241" s="9"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9"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9"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9"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10" t="n"/>
      <x:c r="AQ241" s="9" t="n">
        <x:f>A241</x:f>
        <x:v>0.992</x:v>
      </x:c>
      <x:c r="AR241" s="9" t="n">
        <x:f>0</x:f>
        <x:v>0</x:v>
      </x:c>
      <x:c r="AS241" s="9"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x:f>
        <x:v>178.74691984017164</x:v>
      </x:c>
      <x:c r="AT241" s="9"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x:f>
        <x:v>160.47037363481115</x:v>
      </x:c>
      <x:c r="AU241" s="9"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x:f>
        <x:v>184.93589385004145</x:v>
      </x:c>
      <x:c r="AV241" s="9"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x:f>
        <x:v>184.93589385004145</x:v>
      </x:c>
      <x:c r="AW241" s="10" t="n"/>
      <x:c r="AX241" s="9" t="n">
        <x:f>A241</x:f>
        <x:v>0.992</x:v>
      </x:c>
      <x:c r="AY241" s="9" t="n">
        <x:f>0</x:f>
        <x:v>0</x:v>
      </x:c>
      <x:c r="AZ241" s="9" t="n">
        <x:f>IF(OR(Inputs!$F$6=TRUE,Inputs!$F$6="TRUE",Inputs!$F$6=1),(Inputs!$H$6+Inputs!$L$6*(((Inputs!$I$6+(((A241)+1)/2)*(Inputs!$J$6-Inputs!$I$6)))/Inputs!$K$6)^2),NA())</x:f>
        <x:v>403.936256</x:v>
      </x:c>
      <x:c r="BA241" s="9" t="n">
        <x:f>IF(OR(Inputs!$F$7=TRUE,Inputs!$F$7="TRUE",Inputs!$F$7=1),(Inputs!$H$7+Inputs!$L$7*(((Inputs!$I$7+(((A241)+1)/2)*(Inputs!$J$7-Inputs!$I$7)))/Inputs!$K$7)^2),NA())</x:f>
        <x:v>394.1833599999999</x:v>
      </x:c>
      <x:c r="BB241" s="9" t="n">
        <x:f>IF(OR(Inputs!$F$8=TRUE,Inputs!$F$8="TRUE",Inputs!$F$8=1),(Inputs!$H$8+Inputs!$L$8*(((Inputs!$I$8+(((A241)+1)/2)*(Inputs!$J$8-Inputs!$I$8)))/Inputs!$K$8)^2),NA())</x:f>
        <x:v>984.6217599999998</x:v>
      </x:c>
      <x:c r="BC241" s="9" t="n">
        <x:f>IF(OR(Inputs!$F$9=TRUE,Inputs!$F$9="TRUE",Inputs!$F$9=1),(Inputs!$H$9+Inputs!$L$9*(((Inputs!$I$9+(((A241)+1)/2)*(Inputs!$J$9-Inputs!$I$9)))/Inputs!$K$9)^2),NA())</x:f>
        <x:v>984.4623999999998</x:v>
      </x:c>
      <x:c r="BD241" s="10" t="n"/>
      <x:c r="BE241" s="9" t="n">
        <x:f>A241</x:f>
        <x:v>0.992</x:v>
      </x:c>
      <x:c r="BF241" s="9" t="n">
        <x:f>0</x:f>
        <x:v>0</x:v>
      </x:c>
      <x:c r="BG241" s="9"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9"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9"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9"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9" t="n">
        <x:f>ROUND(-1+240*2/240,3)</x:f>
        <x:v>1</x:v>
      </x:c>
      <x:c r="B242" s="9" t="n">
        <x:f>IF(OR(Inputs!$F$6=TRUE,Inputs!$F$6="TRUE",Inputs!$F$6=1),(Inputs!$H$6+Inputs!$L$6*(((Inputs!$I$6+(((A242)+1)/2)*(Inputs!$J$6-Inputs!$I$6)))/Inputs!$K$6)^2),NA())</x:f>
        <x:v>404</x:v>
      </x:c>
      <x:c r="C242" s="9" t="n">
        <x:f>IF(OR(Inputs!$F$7=TRUE,Inputs!$F$7="TRUE",Inputs!$F$7=1),(Inputs!$H$7+Inputs!$L$7*(((Inputs!$I$7+(((A242)+1)/2)*(Inputs!$J$7-Inputs!$I$7)))/Inputs!$K$7)^2),NA())</x:f>
        <x:v>400</x:v>
      </x:c>
      <x:c r="D242" s="9" t="n">
        <x:f>IF(OR(Inputs!$F$8=TRUE,Inputs!$F$8="TRUE",Inputs!$F$8=1),(Inputs!$H$8+Inputs!$L$8*(((Inputs!$I$8+(((A242)+1)/2)*(Inputs!$J$8-Inputs!$I$8)))/Inputs!$K$8)^2),NA())</x:f>
        <x:v>1000</x:v>
      </x:c>
      <x:c r="E242" s="9" t="n">
        <x:f>IF(OR(Inputs!$F$9=TRUE,Inputs!$F$9="TRUE",Inputs!$F$9=1),(Inputs!$H$9+Inputs!$L$9*(((Inputs!$I$9+(((A242)+1)/2)*(Inputs!$J$9-Inputs!$I$9)))/Inputs!$K$9)^2),NA())</x:f>
        <x:v>1000</x:v>
      </x:c>
      <x:c r="F242" s="10" t="n"/>
      <x:c r="G242" s="9" t="n">
        <x:f>A242</x:f>
        <x:v>1</x:v>
      </x:c>
      <x:c r="H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10" t="n"/>
      <x:c r="M242" s="9" t="n">
        <x:f>A242</x:f>
        <x:v>1</x:v>
      </x:c>
      <x:c r="N242" s="9"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9"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9"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9"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10" t="n"/>
      <x:c r="S242" s="9" t="n">
        <x:f>A242</x:f>
        <x:v>1</x:v>
      </x:c>
      <x:c r="T242" s="9" t="n">
        <x:f>(Inputs!$I$6+(((A242)+1)/2)*(Inputs!$J$6-Inputs!$I$6))</x:f>
        <x:v>60</x:v>
      </x:c>
      <x:c r="U242" s="9" t="n">
        <x:f>(Inputs!$I$7+(((A242)+1)/2)*(Inputs!$J$7-Inputs!$I$7))</x:f>
        <x:v>400</x:v>
      </x:c>
      <x:c r="V242" s="9" t="n">
        <x:f>(Inputs!$I$8+(((A242)+1)/2)*(Inputs!$J$8-Inputs!$I$8))</x:f>
        <x:v>800</x:v>
      </x:c>
      <x:c r="W242" s="9" t="n">
        <x:f>(Inputs!$I$9+(((A242)+1)/2)*(Inputs!$J$9-Inputs!$I$9))</x:f>
        <x:v>800</x:v>
      </x:c>
      <x:c r="X242" s="10" t="n"/>
      <x:c r="Y242" s="9" t="n">
        <x:f>A242</x:f>
        <x:v>1</x:v>
      </x:c>
      <x:c r="Z242" s="9" t="n">
        <x:f>(Inputs!$H$6+Inputs!$L$6*(((Inputs!$I$6+(((A242)+1)/2)*(Inputs!$J$6-Inputs!$I$6)))/Inputs!$K$6)^2)</x:f>
        <x:v>404</x:v>
      </x:c>
      <x:c r="AA242" s="9" t="n">
        <x:f>(Inputs!$H$7+Inputs!$L$7*(((Inputs!$I$7+(((A242)+1)/2)*(Inputs!$J$7-Inputs!$I$7)))/Inputs!$K$7)^2)</x:f>
        <x:v>400</x:v>
      </x:c>
      <x:c r="AB242" s="9" t="n">
        <x:f>(Inputs!$H$8+Inputs!$L$8*(((Inputs!$I$8+(((A242)+1)/2)*(Inputs!$J$8-Inputs!$I$8)))/Inputs!$K$8)^2)</x:f>
        <x:v>1000</x:v>
      </x:c>
      <x:c r="AC242" s="9" t="n">
        <x:f>(Inputs!$H$9+Inputs!$L$9*(((Inputs!$I$9+(((A242)+1)/2)*(Inputs!$J$9-Inputs!$I$9)))/Inputs!$K$9)^2)</x:f>
        <x:v>1000</x:v>
      </x:c>
      <x:c r="AD242" s="10" t="n"/>
      <x:c r="AE242" s="9" t="n">
        <x:f>A242</x:f>
        <x:v>1</x:v>
      </x:c>
      <x:c r="AF242" s="9"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9"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9"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9"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10" t="n"/>
      <x:c r="AK242" s="9" t="n">
        <x:f>A242</x:f>
        <x:v>1</x:v>
      </x:c>
      <x:c r="AL242" s="9"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9"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9"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9"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10" t="n"/>
      <x:c r="AQ242" s="9" t="n">
        <x:f>A242</x:f>
        <x:v>1</x:v>
      </x:c>
      <x:c r="AR242" s="9" t="n">
        <x:f>0</x:f>
        <x:v>0</x:v>
      </x:c>
      <x:c r="AS242" s="9"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x:f>
        <x:v>179.34901119414707</x:v>
      </x:c>
      <x:c r="AT242" s="9"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x:f>
        <x:v>200.7418453023654</x:v>
      </x:c>
      <x:c r="AU242" s="9"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x:f>
        <x:v>169.0266650218729</x:v>
      </x:c>
      <x:c r="AV242" s="9"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x:f>
        <x:v>169.0266650218729</x:v>
      </x:c>
      <x:c r="AW242" s="10" t="n"/>
      <x:c r="AX242" s="9" t="n">
        <x:f>A242</x:f>
        <x:v>1</x:v>
      </x:c>
      <x:c r="AY242" s="9" t="n">
        <x:f>0</x:f>
        <x:v>0</x:v>
      </x:c>
      <x:c r="AZ242" s="9" t="n">
        <x:f>IF(OR(Inputs!$F$6=TRUE,Inputs!$F$6="TRUE",Inputs!$F$6=1),(Inputs!$H$6+Inputs!$L$6*(((Inputs!$I$6+(((A242)+1)/2)*(Inputs!$J$6-Inputs!$I$6)))/Inputs!$K$6)^2),NA())</x:f>
        <x:v>404</x:v>
      </x:c>
      <x:c r="BA242" s="9" t="n">
        <x:f>IF(OR(Inputs!$F$7=TRUE,Inputs!$F$7="TRUE",Inputs!$F$7=1),(Inputs!$H$7+Inputs!$L$7*(((Inputs!$I$7+(((A242)+1)/2)*(Inputs!$J$7-Inputs!$I$7)))/Inputs!$K$7)^2),NA())</x:f>
        <x:v>400</x:v>
      </x:c>
      <x:c r="BB242" s="9" t="n">
        <x:f>IF(OR(Inputs!$F$8=TRUE,Inputs!$F$8="TRUE",Inputs!$F$8=1),(Inputs!$H$8+Inputs!$L$8*(((Inputs!$I$8+(((A242)+1)/2)*(Inputs!$J$8-Inputs!$I$8)))/Inputs!$K$8)^2),NA())</x:f>
        <x:v>1000</x:v>
      </x:c>
      <x:c r="BC242" s="9" t="n">
        <x:f>IF(OR(Inputs!$F$9=TRUE,Inputs!$F$9="TRUE",Inputs!$F$9=1),(Inputs!$H$9+Inputs!$L$9*(((Inputs!$I$9+(((A242)+1)/2)*(Inputs!$J$9-Inputs!$I$9)))/Inputs!$K$9)^2),NA())</x:f>
        <x:v>1000</x:v>
      </x:c>
      <x:c r="BD242" s="10" t="n"/>
      <x:c r="BE242" s="9" t="n">
        <x:f>A242</x:f>
        <x:v>1</x:v>
      </x:c>
      <x:c r="BF242" s="9" t="n">
        <x:f>0</x:f>
        <x:v>0</x:v>
      </x:c>
      <x:c r="BG242" s="9"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9"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9"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9"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3.800000190734863"/>
  <x:cols>
    <x:col min="1" max="1" width="12" style="73" customWidth="1"/>
    <x:col min="2" max="2" width="18" style="73" customWidth="1"/>
    <x:col min="3" max="4" width="22" style="73" customWidth="1"/>
    <x:col min="5" max="5" width="20" style="73" customWidth="1"/>
    <x:col min="6" max="6" width="30" style="73" customWidth="1"/>
  </x:cols>
  <x:sheetData>
    <x:row r="1" s="73" customFormat="1" ht="21" customHeight="1">
      <x:c r="A1" s="81" t="inlineStr">
        <x:is>
          <x:t xml:space="preserve">PRF and Pulse Timing Results</x:t>
        </x:is>
      </x:c>
    </x:row>
    <x:row r="3">
      <x:c r="A3" s="2" t="inlineStr">
        <x:is>
          <x:t xml:space="preserve">PRF (Hz)</x:t>
        </x:is>
      </x:c>
      <x:c r="B3" s="2" t="inlineStr">
        <x:is>
          <x:t xml:space="preserve">Pulse interval (ms)</x:t>
        </x:is>
      </x:c>
      <x:c r="C3" s="2" t="inlineStr">
        <x:is>
          <x:t xml:space="preserve">Along-track spacing (m)</x:t>
        </x:is>
      </x:c>
      <x:c r="D3" s="2" t="inlineStr">
        <x:is>
          <x:t xml:space="preserve">Unambiguous range (km)</x:t>
        </x:is>
      </x:c>
      <x:c r="E3" s="2" t="inlineStr">
        <x:is>
          <x:t xml:space="preserve">Pulses in air at z0</x:t>
        </x:is>
      </x:c>
      <x:c r="F3" s="2" t="inlineStr">
        <x:is>
          <x:t xml:space="preserve">Doppler sampling status</x:t>
        </x:is>
      </x:c>
    </x:row>
    <x:row r="4">
      <x:c r="A4" s="9" t="n">
        <x:f>Inputs!$C$18</x:f>
        <x:v>50</x:v>
      </x:c>
      <x:c r="B4" s="9" t="n">
        <x:f>1000/A4</x:f>
        <x:v>20</x:v>
      </x:c>
      <x:c r="C4" s="9" t="n">
        <x:f>Inputs!$C$11*1000/A4</x:f>
        <x:v>80</x:v>
      </x:c>
      <x:c r="D4" s="9" t="n">
        <x:f>Inputs!$C$21/(2*A4)/1000</x:f>
        <x:v>2997.92458</x:v>
      </x:c>
      <x:c r="E4" s="9" t="n">
        <x:f>A4*(2*Inputs!$C$5*1000/Inputs!$C$21)</x:f>
        <x:v>0.13342563807926083</x:v>
      </x:c>
      <x:c r="F4" s="1" t="str">
        <x:f>IF(A4&gt;=Dashboard!$B$16,"OK for modeled topo VHF Doppler","Below simple Doppler floor")</x:f>
        <x:v>Below simple Doppler floor</x:v>
      </x:c>
    </x:row>
    <x:row r="5">
      <x:c r="A5" s="9" t="n">
        <x:f>Inputs!$C$19</x:f>
        <x:v>500</x:v>
      </x:c>
      <x:c r="B5" s="9" t="n">
        <x:f>1000/A5</x:f>
        <x:v>2</x:v>
      </x:c>
      <x:c r="C5" s="9" t="n">
        <x:f>Inputs!$C$11*1000/A5</x:f>
        <x:v>8</x:v>
      </x:c>
      <x:c r="D5" s="9" t="n">
        <x:f>Inputs!$C$21/(2*A5)/1000</x:f>
        <x:v>299.792458</x:v>
      </x:c>
      <x:c r="E5" s="9" t="n">
        <x:f>A5*(2*Inputs!$C$5*1000/Inputs!$C$21)</x:f>
        <x:v>1.3342563807926082</x:v>
      </x:c>
      <x:c r="F5" s="1" t="str">
        <x:f>IF(A5&gt;=Dashboard!$B$16,"OK for modeled topo VHF Doppler","Below simple Doppler floor")</x:f>
        <x:v>Below simple Doppler floor</x:v>
      </x:c>
    </x:row>
    <x:row r="6">
      <x:c r="A6" s="9" t="n">
        <x:f>Inputs!$C$20</x:f>
        <x:v>3000</x:v>
      </x:c>
      <x:c r="B6" s="9" t="n">
        <x:f>1000/A6</x:f>
        <x:v>0.3333333333333333</x:v>
      </x:c>
      <x:c r="C6" s="9" t="n">
        <x:f>Inputs!$C$11*1000/A6</x:f>
        <x:v>1.3333333333333333</x:v>
      </x:c>
      <x:c r="D6" s="9" t="n">
        <x:f>Inputs!$C$21/(2*A6)/1000</x:f>
        <x:v>49.965409666666666</x:v>
      </x:c>
      <x:c r="E6" s="9" t="n">
        <x:f>A6*(2*Inputs!$C$5*1000/Inputs!$C$21)</x:f>
        <x:v>8.00553828475565</x:v>
      </x:c>
      <x:c r="F6" s="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3.800000190734863"/>
  <x:cols>
    <x:col min="1" max="1" width="45" style="73" customWidth="1"/>
    <x:col min="2" max="2" width="55" style="73" customWidth="1"/>
    <x:col min="3" max="3" width="36" style="73" customWidth="1"/>
    <x:col min="4" max="4" width="24" style="73" customWidth="1"/>
  </x:cols>
  <x:sheetData>
    <x:row r="1" s="73" customFormat="1" ht="21" customHeight="1">
      <x:c r="A1" s="81" t="inlineStr">
        <x:is>
          <x:t xml:space="preserve">Formula Guide</x:t>
        </x:is>
      </x:c>
    </x:row>
    <x:row r="3">
      <x:c r="A3" s="2" t="inlineStr">
        <x:is>
          <x:t xml:space="preserve">Formula</x:t>
        </x:is>
      </x:c>
      <x:c r="B3" s="2" t="inlineStr">
        <x:is>
          <x:t xml:space="preserve">Meaning</x:t>
        </x:is>
      </x:c>
      <x:c r="C3" s="2" t="inlineStr">
        <x:is>
          <x:t xml:space="preserve">Inputs used</x:t>
        </x:is>
      </x:c>
      <x:c r="D3" s="2" t="inlineStr">
        <x:is>
          <x:t xml:space="preserve">Output produced</x:t>
        </x:is>
      </x:c>
    </x:row>
    <x:row r="4">
      <x:c r="A4" s="1" t="inlineStr">
        <x:is>
          <x:t xml:space="preserve">z(x) = z0 + Delta_z_edge*(x/x_edge)^2</x:t>
        </x:is>
      </x:c>
      <x:c r="B4" s="1" t="inlineStr">
        <x:is>
          <x:t xml:space="preserve">Parabolic altitude path.</x:t>
        </x:is>
      </x:c>
      <x:c r="C4" s="1" t="inlineStr">
        <x:is>
          <x:t xml:space="preserve">z0, Delta_z_edge, x, x_edge</x:t>
        </x:is>
      </x:c>
      <x:c r="D4" s="1" t="inlineStr">
        <x:is>
          <x:t xml:space="preserve">altitude z</x:t>
        </x:is>
      </x:c>
    </x:row>
    <x:row r="5" s="73" customFormat="1" ht="26.25" customHeight="1">
      <x:c r="A5" s="1" t="inlineStr">
        <x:is>
          <x:t xml:space="preserve">Paper pass scenario = paper altitude/length values inserted into z(x)</x:t>
        </x:is>
      </x:c>
      <x:c r="B5" s="1" t="inlineStr">
        <x:is>
          <x:t xml:space="preserve">The paper gives altitude ranges and groundtrack lengths; this workbook converts them into comparable parabolic cases.</x:t>
        </x:is>
      </x:c>
      <x:c r="C5" s="1" t="inlineStr">
        <x:is>
          <x:t xml:space="preserve">Inputs F6:N9</x:t>
        </x:is>
      </x:c>
      <x:c r="D5" s="1" t="inlineStr">
        <x:is>
          <x:t xml:space="preserve">scenario overlays</x:t>
        </x:is>
      </x:c>
    </x:row>
    <x:row r="6" s="73" customFormat="1" ht="26.25" customHeight="1">
      <x:c r="A6" s="1" t="inlineStr">
        <x:is>
          <x:t xml:space="preserve">scenario_show = TRUE/FALSE</x:t>
        </x:is>
      </x:c>
      <x:c r="B6" s="1" t="inlineStr">
        <x:is>
          <x:t xml:space="preserve">Controls whether a scenario line appears in the paper-pass charts. The summary table still calculates all scenarios.</x:t>
        </x:is>
      </x:c>
      <x:c r="C6" s="1" t="inlineStr">
        <x:is>
          <x:t xml:space="preserve">Inputs F6:F9</x:t>
        </x:is>
      </x:c>
      <x:c r="D6" s="1" t="inlineStr">
        <x:is>
          <x:t xml:space="preserve">visible chart series</x:t>
        </x:is>
      </x:c>
    </x:row>
    <x:row r="7">
      <x:c r="A7" s="1" t="inlineStr">
        <x:is>
          <x:t xml:space="preserve">theta = sqrt(x^2 + y^2) / R_e</x:t>
        </x:is>
      </x:c>
      <x:c r="B7" s="1" t="inlineStr">
        <x:is>
          <x:t xml:space="preserve">Angular surface separation on Europa.</x:t>
        </x:is>
      </x:c>
      <x:c r="C7" s="1" t="inlineStr">
        <x:is>
          <x:t xml:space="preserve">x, y, Europa radius</x:t>
        </x:is>
      </x:c>
      <x:c r="D7" s="1" t="inlineStr">
        <x:is>
          <x:t xml:space="preserve">central angle</x:t>
        </x:is>
      </x:c>
    </x:row>
    <x:row r="8">
      <x:c r="A8" s="1" t="inlineStr">
        <x:is>
          <x:t xml:space="preserve">R_off = sqrt((R_e+z)^2 + R_e^2 - 2*(R_e+z)*R_e*cos(theta))</x:t>
        </x:is>
      </x:c>
      <x:c r="B8" s="1" t="inlineStr">
        <x:is>
          <x:t xml:space="preserve">Curvature-corrected slant range from spacecraft to flat surface target.</x:t>
        </x:is>
      </x:c>
      <x:c r="C8" s="1" t="inlineStr">
        <x:is>
          <x:t xml:space="preserve">x, y, z, R_e</x:t>
        </x:is>
      </x:c>
      <x:c r="D8" s="1" t="inlineStr">
        <x:is>
          <x:t xml:space="preserve">off-nadir range</x:t>
        </x:is>
      </x:c>
    </x:row>
    <x:row r="9">
      <x:c r="A9" s="1" t="inlineStr">
        <x:is>
          <x:t xml:space="preserve">R_nadir = z</x:t>
        </x:is>
      </x:c>
      <x:c r="B9" s="1" t="inlineStr">
        <x:is>
          <x:t xml:space="preserve">Range to target directly below platform.</x:t>
        </x:is>
      </x:c>
      <x:c r="C9" s="1" t="inlineStr">
        <x:is>
          <x:t xml:space="preserve">z</x:t>
        </x:is>
      </x:c>
      <x:c r="D9" s="1" t="inlineStr">
        <x:is>
          <x:t xml:space="preserve">nadir range</x:t>
        </x:is>
      </x:c>
    </x:row>
    <x:row r="10">
      <x:c r="A10" s="1" t="inlineStr">
        <x:is>
          <x:t xml:space="preserve">Delta_R = R_off - R_nadir</x:t>
        </x:is>
      </x:c>
      <x:c r="B10" s="1" t="inlineStr">
        <x:is>
          <x:t xml:space="preserve">Extra one-way path from side offset.</x:t>
        </x:is>
      </x:c>
      <x:c r="C10" s="1" t="inlineStr">
        <x:is>
          <x:t xml:space="preserve">R_off, R_nadir</x:t>
        </x:is>
      </x:c>
      <x:c r="D10" s="1" t="inlineStr">
        <x:is>
          <x:t xml:space="preserve">extra range</x:t>
        </x:is>
      </x:c>
    </x:row>
    <x:row r="11">
      <x:c r="A11" s="1" t="inlineStr">
        <x:is>
          <x:t xml:space="preserve">d_app = Delta_R / n</x:t>
        </x:is>
      </x:c>
      <x:c r="B11" s="1" t="inlineStr">
        <x:is>
          <x:t xml:space="preserve">Maps extra range onto apparent in-ice depth.</x:t>
        </x:is>
      </x:c>
      <x:c r="C11" s="1" t="inlineStr">
        <x:is>
          <x:t xml:space="preserve">Delta_R, n</x:t>
        </x:is>
      </x:c>
      <x:c r="D11" s="1" t="inlineStr">
        <x:is>
          <x:t xml:space="preserve">apparent depth</x:t>
        </x:is>
      </x:c>
    </x:row>
    <x:row r="12">
      <x:c r="A12" s="1" t="inlineStr">
        <x:is>
          <x:t xml:space="preserve">Delta_t = 2*Delta_R/c</x:t>
        </x:is>
      </x:c>
      <x:c r="B12" s="1" t="inlineStr">
        <x:is>
          <x:t xml:space="preserve">Two-way extra echo delay.</x:t>
        </x:is>
      </x:c>
      <x:c r="C12" s="1" t="inlineStr">
        <x:is>
          <x:t xml:space="preserve">Delta_R, c</x:t>
        </x:is>
      </x:c>
      <x:c r="D12" s="1" t="inlineStr">
        <x:is>
          <x:t xml:space="preserve">extra delay</x:t>
        </x:is>
      </x:c>
    </x:row>
    <x:row r="13">
      <x:c r="A13" s="1" t="inlineStr">
        <x:is>
          <x:t xml:space="preserve">theta = atan(horizontal/z)</x:t>
        </x:is>
      </x:c>
      <x:c r="B13" s="1" t="inlineStr">
        <x:is>
          <x:t xml:space="preserve">Look angle away from nadir.</x:t>
        </x:is>
      </x:c>
      <x:c r="C13" s="1" t="inlineStr">
        <x:is>
          <x:t xml:space="preserve">x, y, z</x:t>
        </x:is>
      </x:c>
      <x:c r="D13" s="1" t="inlineStr">
        <x:is>
          <x:t xml:space="preserve">look angle</x:t>
        </x:is>
      </x:c>
    </x:row>
    <x:row r="14">
      <x:c r="A14" s="1" t="inlineStr">
        <x:is>
          <x:t xml:space="preserve">phi = (2*pi/lambda)*b*sin(theta)</x:t>
        </x:is>
      </x:c>
      <x:c r="B14" s="1" t="inlineStr">
        <x:is>
          <x:t xml:space="preserve">Interferometric phase for VHF baseline.</x:t>
        </x:is>
      </x:c>
      <x:c r="C14" s="1" t="inlineStr">
        <x:is>
          <x:t xml:space="preserve">lambda, b, theta</x:t>
        </x:is>
      </x:c>
      <x:c r="D14" s="1" t="inlineStr">
        <x:is>
          <x:t xml:space="preserve">phase</x:t>
        </x:is>
      </x:c>
    </x:row>
    <x:row r="15">
      <x:c r="A15" s="1" t="inlineStr">
        <x:is>
          <x:t xml:space="preserve">P_rel = (R_nadir/R_off)^4</x:t>
        </x:is>
      </x:c>
      <x:c r="B15" s="1" t="inlineStr">
        <x:is>
          <x:t xml:space="preserve">Simple geometry-only two-way range-power ratio.</x:t>
        </x:is>
      </x:c>
      <x:c r="C15" s="1" t="inlineStr">
        <x:is>
          <x:t xml:space="preserve">R_nadir, R_off</x:t>
        </x:is>
      </x:c>
      <x:c r="D15" s="1" t="inlineStr">
        <x:is>
          <x:t xml:space="preserve">relative power</x:t>
        </x:is>
      </x:c>
    </x:row>
    <x:row r="16">
      <x:c r="A16" s="1" t="inlineStr">
        <x:is>
          <x:t xml:space="preserve">dz/dx = 2*a*x</x:t>
        </x:is>
      </x:c>
      <x:c r="B16" s="1" t="inlineStr">
        <x:is>
          <x:t xml:space="preserve">Slope of parabolic altitude path.</x:t>
        </x:is>
      </x:c>
      <x:c r="C16" s="1" t="inlineStr">
        <x:is>
          <x:t xml:space="preserve">a, x</x:t>
        </x:is>
      </x:c>
      <x:c r="D16" s="1" t="inlineStr">
        <x:is>
          <x:t xml:space="preserve">vertical slope</x:t>
        </x:is>
      </x:c>
    </x:row>
    <x:row r="17">
      <x:c r="A17" s="1" t="inlineStr">
        <x:is>
          <x:t xml:space="preserve">dz/dt = dz/dx * v</x:t>
        </x:is>
      </x:c>
      <x:c r="B17" s="1" t="inlineStr">
        <x:is>
          <x:t xml:space="preserve">Vertical speed caused by moving along the parabola.</x:t>
        </x:is>
      </x:c>
      <x:c r="C17" s="1" t="inlineStr">
        <x:is>
          <x:t xml:space="preserve">dz/dx, v</x:t>
        </x:is>
      </x:c>
      <x:c r="D17" s="1" t="inlineStr">
        <x:is>
          <x:t xml:space="preserve">vertical speed</x:t>
        </x:is>
      </x:c>
    </x:row>
    <x:row r="18">
      <x:c r="A18" s="1" t="inlineStr">
        <x:is>
          <x:t xml:space="preserve">dR/dt = (x*v + z*dz/dt)/R</x:t>
        </x:is>
      </x:c>
      <x:c r="B18" s="1" t="inlineStr">
        <x:is>
          <x:t xml:space="preserve">Range rate from chain rule.</x:t>
        </x:is>
      </x:c>
      <x:c r="C18" s="1" t="inlineStr">
        <x:is>
          <x:t xml:space="preserve">x, v, z, dz/dt, R</x:t>
        </x:is>
      </x:c>
      <x:c r="D18" s="1" t="inlineStr">
        <x:is>
          <x:t xml:space="preserve">range rate</x:t>
        </x:is>
      </x:c>
    </x:row>
    <x:row r="19">
      <x:c r="A19" s="1" t="inlineStr">
        <x:is>
          <x:t xml:space="preserve">f_D = -2*(dR/dt)/lambda</x:t>
        </x:is>
      </x:c>
      <x:c r="B19" s="1" t="inlineStr">
        <x:is>
          <x:t xml:space="preserve">Two-way Doppler shift.</x:t>
        </x:is>
      </x:c>
      <x:c r="C19" s="1" t="inlineStr">
        <x:is>
          <x:t xml:space="preserve">range rate, lambda</x:t>
        </x:is>
      </x:c>
      <x:c r="D19" s="1" t="inlineStr">
        <x:is>
          <x:t xml:space="preserve">Doppler</x:t>
        </x:is>
      </x:c>
    </x:row>
    <x:row r="20">
      <x:c r="A20" s="1" t="inlineStr">
        <x:is>
          <x:t xml:space="preserve">PRF_min = 2*max(abs(f_D))</x:t>
        </x:is>
      </x:c>
      <x:c r="B20" s="1" t="inlineStr">
        <x:is>
          <x:t xml:space="preserve">Simple Doppler sampling floor.</x:t>
        </x:is>
      </x:c>
      <x:c r="C20" s="1" t="inlineStr">
        <x:is>
          <x:t xml:space="preserve">Doppler</x:t>
        </x:is>
      </x:c>
      <x:c r="D20" s="1" t="inlineStr">
        <x:is>
          <x:t xml:space="preserve">minimum PRF</x:t>
        </x:is>
      </x:c>
    </x:row>
    <x:row r="21" s="73" customFormat="1" ht="26.25" customHeight="1">
      <x:c r="A21" s="1" t="inlineStr">
        <x:is>
          <x:t xml:space="preserve">h_project = S_dem*(ridge + scallop + chaos + along_bulge)</x:t>
        </x:is>
      </x:c>
      <x:c r="B21" s="1" t="inlineStr">
        <x:is>
          <x:t xml:space="preserve">Project synthetic DEM-style terrain from reason_common.py, rewritten in Excel formulas.</x:t>
        </x:is>
      </x:c>
      <x:c r="C21" s="1" t="inlineStr">
        <x:is>
          <x:t xml:space="preserve">S_dem, x, y</x:t>
        </x:is>
      </x:c>
      <x:c r="D21" s="1" t="inlineStr">
        <x:is>
          <x:t xml:space="preserve">baseline representative surface</x:t>
        </x:is>
      </x:c>
    </x:row>
    <x:row r="22" s="73" customFormat="1" ht="26.25" customHeight="1">
      <x:c r="A22" s="1" t="inlineStr">
        <x:is>
          <x:t xml:space="preserve">h_seeded = A_seeded*(smooth waves + deterministic hash)</x:t>
        </x:is>
      </x:c>
      <x:c r="B22" s="1" t="inlineStr">
        <x:is>
          <x:t xml:space="preserve">Seed-controlled random-looking terrain. Same seed repeats the same surface; changing the seed changes the surface.</x:t>
        </x:is>
      </x:c>
      <x:c r="C22" s="1" t="inlineStr">
        <x:is>
          <x:t xml:space="preserve">terrain_seed, A_seeded, L_seed_x, L_seed_y</x:t>
        </x:is>
      </x:c>
      <x:c r="D22" s="1" t="inlineStr">
        <x:is>
          <x:t xml:space="preserve">dynamic terrain variation</x:t>
        </x:is>
      </x:c>
    </x:row>
    <x:row r="23" s="73" customFormat="1" ht="26.25" customHeight="1">
      <x:c r="A23" s="1" t="inlineStr">
        <x:is>
          <x:t xml:space="preserve">h_total = h_project + h_ridge + h_crater + h_chaos + h_rough + h_trough + h_seeded</x:t>
        </x:is>
      </x:c>
      <x:c r="B23" s="1" t="inlineStr">
        <x:is>
          <x:t xml:space="preserve">Representative Europa topography model.</x:t>
        </x:is>
      </x:c>
      <x:c r="C23" s="1" t="inlineStr">
        <x:is>
          <x:t xml:space="preserve">topography controls and seed controls</x:t>
        </x:is>
      </x:c>
      <x:c r="D23" s="1" t="inlineStr">
        <x:is>
          <x:t xml:space="preserve">surface height</x:t>
        </x:is>
      </x:c>
    </x:row>
    <x:row r="24">
      <x:c r="A24" s="1" t="inlineStr">
        <x:is>
          <x:t xml:space="preserve">h_ridge = A*exp(-(x-x0)^2/(2*sx^2))*exp(-(y-y0)^2/(2*sy^2))</x:t>
        </x:is>
      </x:c>
      <x:c r="B24" s="1" t="inlineStr">
        <x:is>
          <x:t xml:space="preserve">Raised ridge / band feature.</x:t>
        </x:is>
      </x:c>
      <x:c r="C24" s="1" t="inlineStr">
        <x:is>
          <x:t xml:space="preserve">ridge height, center, length, width</x:t>
        </x:is>
      </x:c>
      <x:c r="D24" s="1" t="inlineStr">
        <x:is>
          <x:t xml:space="preserve">ridge height</x:t>
        </x:is>
      </x:c>
    </x:row>
    <x:row r="25">
      <x:c r="A25" s="1" t="inlineStr">
        <x:is>
          <x:t xml:space="preserve">h_crater = -D*exp(-((x-x0)^2+(y-y0)^2)/(2*sigma^2))</x:t>
        </x:is>
      </x:c>
      <x:c r="B25" s="1" t="inlineStr">
        <x:is>
          <x:t xml:space="preserve">Depression or crater-like low area.</x:t>
        </x:is>
      </x:c>
      <x:c r="C25" s="1" t="inlineStr">
        <x:is>
          <x:t xml:space="preserve">crater depth, center, width</x:t>
        </x:is>
      </x:c>
      <x:c r="D25" s="1" t="inlineStr">
        <x:is>
          <x:t xml:space="preserve">depression height</x:t>
        </x:is>
      </x:c>
    </x:row>
    <x:row r="26">
      <x:c r="A26" s="1" t="inlineStr">
        <x:is>
          <x:t xml:space="preserve">h_rough = A*sin(2*pi*x/Lx)*sin(2*pi*y/Ly)</x:t>
        </x:is>
      </x:c>
      <x:c r="B26" s="1" t="inlineStr">
        <x:is>
          <x:t xml:space="preserve">Fine roughness variation.</x:t>
        </x:is>
      </x:c>
      <x:c r="C26" s="1" t="inlineStr">
        <x:is>
          <x:t xml:space="preserve">roughness amplitude and wavelength</x:t>
        </x:is>
      </x:c>
      <x:c r="D26" s="1" t="inlineStr">
        <x:is>
          <x:t xml:space="preserve">roughness height</x:t>
        </x:is>
      </x:c>
    </x:row>
    <x:row r="27" s="73" customFormat="1" ht="26.25" customHeight="1">
      <x:c r="A27" s="1" t="inlineStr">
        <x:is>
          <x:t xml:space="preserve">R_off_topo = sqrt((R_e+z)^2 + (R_e+h_target/1000)^2 - 2*(R_e+z)*(R_e+h_target/1000)*cos(theta))</x:t>
        </x:is>
      </x:c>
      <x:c r="B27" s="1" t="inlineStr">
        <x:is>
          <x:t xml:space="preserve">Curvature-corrected slant range to the topographic target.</x:t>
        </x:is>
      </x:c>
      <x:c r="C27" s="1" t="inlineStr">
        <x:is>
          <x:t xml:space="preserve">x, y, z, h_target, R_e</x:t>
        </x:is>
      </x:c>
      <x:c r="D27" s="1" t="inlineStr">
        <x:is>
          <x:t xml:space="preserve">topographic range</x:t>
        </x:is>
      </x:c>
    </x:row>
    <x:row r="28">
      <x:c r="A28" s="1" t="inlineStr">
        <x:is>
          <x:t xml:space="preserve">R_nadir_topo = z - h_nadir/1000</x:t>
        </x:is>
      </x:c>
      <x:c r="B28" s="1" t="inlineStr">
        <x:is>
          <x:t xml:space="preserve">Nadir range after local surface elevation is included.</x:t>
        </x:is>
      </x:c>
      <x:c r="C28" s="1" t="inlineStr">
        <x:is>
          <x:t xml:space="preserve">z, nadir height</x:t>
        </x:is>
      </x:c>
      <x:c r="D28" s="1" t="inlineStr">
        <x:is>
          <x:t xml:space="preserve">topographic nadir range</x:t>
        </x:is>
      </x:c>
    </x:row>
    <x:row r="29">
      <x:c r="A29" s="1" t="inlineStr">
        <x:is>
          <x:t xml:space="preserve">d_app_topo = (R_off_topo - R_nadir_topo)/n</x:t>
        </x:is>
      </x:c>
      <x:c r="B29" s="1" t="inlineStr">
        <x:is>
          <x:t xml:space="preserve">Topography-adjusted apparent depth.</x:t>
        </x:is>
      </x:c>
      <x:c r="C29" s="1" t="inlineStr">
        <x:is>
          <x:t xml:space="preserve">topographic ranges, n</x:t>
        </x:is>
      </x:c>
      <x:c r="D29" s="1" t="inlineStr">
        <x:is>
          <x:t xml:space="preserve">apparent depth with topography</x:t>
        </x:is>
      </x:c>
    </x:row>
    <x:row r="30" s="73" customFormat="1" ht="26.25" customHeight="1">
      <x:c r="A30" s="1" t="inlineStr">
        <x:is>
          <x:t xml:space="preserve">surface_signal = h_target - h_nadir</x:t>
        </x:is>
      </x:c>
      <x:c r="B30" s="1" t="inlineStr">
        <x:is>
          <x:t xml:space="preserve">The original modeled surface/topography difference between the target path and nadir path.</x:t>
        </x:is>
      </x:c>
      <x:c r="C30" s="1" t="inlineStr">
        <x:is>
          <x:t xml:space="preserve">h_target, h_nadir</x:t>
        </x:is>
      </x:c>
      <x:c r="D30" s="1" t="inlineStr">
        <x:is>
          <x:t xml:space="preserve">true surface signal</x:t>
        </x:is>
      </x:c>
    </x:row>
    <x:row r="31" s="73" customFormat="1" ht="26.25" customHeight="1">
      <x:c r="A31" s="1" t="inlineStr">
        <x:is>
          <x:t xml:space="preserve">apparent_surface_height = -n*(d_app_topo - d_app_flat)</x:t>
        </x:is>
      </x:c>
      <x:c r="B31" s="1" t="inlineStr">
        <x:is>
          <x:t xml:space="preserve">Converts the topography-caused apparent-depth change back into surface-height-equivalent meters for comparison with h_target and h_nadir.</x:t>
        </x:is>
      </x:c>
      <x:c r="C31" s="1" t="inlineStr">
        <x:is>
          <x:t xml:space="preserve">d_app_topo, d_app_flat, n</x:t>
        </x:is>
      </x:c>
      <x:c r="D31" s="1" t="inlineStr">
        <x:is>
          <x:t xml:space="preserve">radar apparent surface height</x:t>
        </x:is>
      </x:c>
    </x:row>
    <x:row r="32" s="73" customFormat="1" ht="26.25" customHeight="1">
      <x:c r="A32" s="1" t="inlineStr">
        <x:is>
          <x:t xml:space="preserve">constant-altitude shift</x:t>
        </x:is>
      </x:c>
      <x:c r="B32" s="1" t="inlineStr">
        <x:is>
          <x:t xml:space="preserve">Same topography shift calculation, but with z held constant at z0 instead of using the parabola.</x:t>
        </x:is>
      </x:c>
      <x:c r="C32" s="1" t="inlineStr">
        <x:is>
          <x:t xml:space="preserve">z0, h_target, h_nadir</x:t>
        </x:is>
      </x:c>
      <x:c r="D32" s="1" t="inlineStr">
        <x:is>
          <x:t xml:space="preserve">path-motion comparison</x:t>
        </x:is>
      </x:c>
    </x:row>
    <x:row r="34" s="73" customFormat="1" ht="16.799999237060547" customHeight="1">
      <x:c r="A34" s="28" t="inlineStr">
        <x:is>
          <x:t xml:space="preserve">Subsurface simulation formulas</x:t>
        </x:is>
      </x:c>
    </x:row>
    <x:row r="35" s="73" customFormat="1" ht="27.600000381469727" customHeight="1">
      <x:c r="A35" s="23" t="inlineStr">
        <x:is>
          <x:t xml:space="preserve">upper_depth = mean + sinusoid + cosine + surface coupling</x:t>
        </x:is>
      </x:c>
      <x:c r="B35" s="23" t="inlineStr">
        <x:is>
          <x:t xml:space="preserve">Live shallow internal ice layer depth.</x:t>
        </x:is>
      </x:c>
      <x:c r="C35" s="23" t="inlineStr">
        <x:is>
          <x:t xml:space="preserve">Subsurface_Inputs, Model_Data h_target</x:t>
        </x:is>
      </x:c>
      <x:c r="D35" s="23" t="inlineStr">
        <x:is>
          <x:t xml:space="preserve">upper_ice_layer_depth_m</x:t>
        </x:is>
      </x:c>
    </x:row>
    <x:row r="36" s="73" customFormat="1" ht="27.600000381469727" customHeight="1">
      <x:c r="A36" s="25" t="inlineStr">
        <x:is>
          <x:t xml:space="preserve">lens_strength = MIN(1,MAX(0,lensA Gaussian + lensB Gaussian))</x:t>
        </x:is>
      </x:c>
      <x:c r="B36" s="25" t="inlineStr">
        <x:is>
          <x:t xml:space="preserve">Possible warm/briny lens strength along track.</x:t>
        </x:is>
      </x:c>
      <x:c r="C36" s="25" t="inlineStr">
        <x:is>
          <x:t xml:space="preserve">lens strengths, centers, widths</x:t>
        </x:is>
      </x:c>
      <x:c r="D36" s="25" t="inlineStr">
        <x:is>
          <x:t xml:space="preserve">lens_strength_0to1</x:t>
        </x:is>
      </x:c>
    </x:row>
    <x:row r="37">
      <x:c r="A37" s="25" t="inlineStr">
        <x:is>
          <x:t xml:space="preserve">lens_depth = mean + sinusoid - uplift*lens_strength</x:t>
        </x:is>
      </x:c>
      <x:c r="B37" s="25" t="inlineStr">
        <x:is>
          <x:t xml:space="preserve">Possible lens depth below icy surface.</x:t>
        </x:is>
      </x:c>
      <x:c r="C37" s="25" t="inlineStr">
        <x:is>
          <x:t xml:space="preserve">lens controls</x:t>
        </x:is>
      </x:c>
      <x:c r="D37" s="25" t="inlineStr">
        <x:is>
          <x:t xml:space="preserve">briny_warm_lens_depth_m</x:t>
        </x:is>
      </x:c>
    </x:row>
    <x:row r="38" s="73" customFormat="1" ht="27.600000381469727" customHeight="1">
      <x:c r="A38" s="25" t="inlineStr">
        <x:is>
          <x:t xml:space="preserve">ocean_depth = nominal + basal waves - surface coupling</x:t>
        </x:is>
      </x:c>
      <x:c r="B38" s="25" t="inlineStr">
        <x:is>
          <x:t xml:space="preserve">Possible ice-ocean boundary depth.</x:t>
        </x:is>
      </x:c>
      <x:c r="C38" s="25" t="inlineStr">
        <x:is>
          <x:t xml:space="preserve">ocean boundary controls</x:t>
        </x:is>
      </x:c>
      <x:c r="D38" s="25" t="inlineStr">
        <x:is>
          <x:t xml:space="preserve">ice_ocean_boundary_depth_m</x:t>
        </x:is>
      </x:c>
    </x:row>
    <x:row r="39">
      <x:c r="A39" s="25" t="inlineStr">
        <x:is>
          <x:t xml:space="preserve">delay_us = 2*n*depth/c*1e6</x:t>
        </x:is>
      </x:c>
      <x:c r="B39" s="25" t="inlineStr">
        <x:is>
          <x:t xml:space="preserve">Two-way delay after the surface return.</x:t>
        </x:is>
      </x:c>
      <x:c r="C39" s="25" t="inlineStr">
        <x:is>
          <x:t xml:space="preserve">ice refractive index, speed of light</x:t>
        </x:is>
      </x:c>
      <x:c r="D39" s="25" t="inlineStr">
        <x:is>
          <x:t xml:space="preserve">subsurface layer delay</x:t>
        </x:is>
      </x:c>
    </x:row>
    <x:row r="40" s="73" customFormat="1" ht="27.600000381469727" customHeight="1">
      <x:c r="A40" s="25" t="inlineStr">
        <x:is>
          <x:t xml:space="preserve">echo_dB = base contrast - two-way attenuation - roughness penalty</x:t>
        </x:is>
      </x:c>
      <x:c r="B40" s="25" t="inlineStr">
        <x:is>
          <x:t xml:space="preserve">Simple radar echo strength estimate.</x:t>
        </x:is>
      </x:c>
      <x:c r="C40" s="25" t="inlineStr">
        <x:is>
          <x:t xml:space="preserve">attenuation and layer depth/roughness</x:t>
        </x:is>
      </x:c>
      <x:c r="D40" s="25" t="inlineStr">
        <x:is>
          <x:t xml:space="preserve">relative echo strength</x:t>
        </x:is>
      </x:c>
    </x:row>
    <x:row r="42" s="73" customFormat="1" ht="27.600000381469727" customHeight="1">
      <x:c r="A42" s="25" t="inlineStr">
        <x:is>
          <x:t xml:space="preserve">detectability_margin = echo_dB - detection_threshold_dB</x:t>
        </x:is>
      </x:c>
      <x:c r="B42" s="25" t="inlineStr">
        <x:is>
          <x:t xml:space="preserve">Positive means the simulated return is above the simple detection threshold.</x:t>
        </x:is>
      </x:c>
      <x:c r="C42" s="25" t="inlineStr">
        <x:is>
          <x:t xml:space="preserve">Subsurface_Inputs detection threshold, echo estimates</x:t>
        </x:is>
      </x:c>
      <x:c r="D42" s="25" t="inlineStr">
        <x:is>
          <x:t xml:space="preserve">detectability margin</x:t>
        </x:is>
      </x:c>
    </x:row>
    <x:row r="43" s="73" customFormat="1" ht="27.600000381469727" customHeight="1">
      <x:c r="A43" s="25" t="inlineStr">
        <x:is>
          <x:t xml:space="preserve">realism/proof scores</x:t>
        </x:is>
      </x:c>
      <x:c r="B43" s="25" t="inlineStr">
        <x:is>
          <x:t xml:space="preserve">Judgment score for model credibility, not a measured science result.</x:t>
        </x:is>
      </x:c>
      <x:c r="C43" s="25" t="inlineStr">
        <x:is>
          <x:t xml:space="preserve">synthetic inputs and assumptions</x:t>
        </x:is>
      </x:c>
      <x:c r="D43" s="25" t="inlineStr">
        <x:is>
          <x:t xml:space="preserve">dashboard realism block</x:t>
        </x:is>
      </x:c>
    </x:row>
    <x:row r="45">
      <x:c r="A45" s="25" t="inlineStr">
        <x:is>
          <x:t xml:space="preserve">scenario_depth = mean_depth * scenario_multiplier</x:t>
        </x:is>
      </x:c>
      <x:c r="B45" s="25" t="inlineStr">
        <x:is>
          <x:t xml:space="preserve">Thin/medium/thick ice comparison.</x:t>
        </x:is>
      </x:c>
      <x:c r="C45" s="25" t="inlineStr">
        <x:is>
          <x:t xml:space="preserve">Subsurface_Inputs scenario multipliers</x:t>
        </x:is>
      </x:c>
      <x:c r="D45" s="25" t="inlineStr">
        <x:is>
          <x:t xml:space="preserve">scenario boundary depths</x:t>
        </x:is>
      </x:c>
    </x:row>
    <x:row r="46">
      <x:c r="A46" s="25" t="inlineStr">
        <x:is>
          <x:t xml:space="preserve">uncertainty band = boundary_depth +/- uncertainty_m</x:t>
        </x:is>
      </x:c>
      <x:c r="B46" s="25" t="inlineStr">
        <x:is>
          <x:t xml:space="preserve">Shows a range instead of one exact proposed boundary.</x:t>
        </x:is>
      </x:c>
      <x:c r="C46" s="25" t="inlineStr">
        <x:is>
          <x:t xml:space="preserve">Subsurface_Inputs boundary uncertainty</x:t>
        </x:is>
      </x:c>
      <x:c r="D46" s="25" t="inlineStr">
        <x:is>
          <x:t xml:space="preserve">low/high depth bounds</x:t>
        </x:is>
      </x:c>
    </x:row>
    <x:row r="47" s="73" customFormat="1" ht="27.600000381469727" customHeight="1">
      <x:c r="A47" s="25" t="inlineStr">
        <x:is>
          <x:t xml:space="preserve">no_ocean_control_margin = no_ocean_echo - detection_threshold + clutter</x:t>
        </x:is>
      </x:c>
      <x:c r="B47" s="25" t="inlineStr">
        <x:is>
          <x:t xml:space="preserve">Control case for comparing against the ocean model.</x:t>
        </x:is>
      </x:c>
      <x:c r="C47" s="25" t="inlineStr">
        <x:is>
          <x:t xml:space="preserve">no-ocean echo, detection threshold</x:t>
        </x:is>
      </x:c>
      <x:c r="D47" s="25" t="inlineStr">
        <x:is>
          <x:t xml:space="preserve">control margin</x:t>
        </x:is>
      </x:c>
    </x:row>
    <x:row r="48" s="73" customFormat="1" ht="27.600000381469727" customHeight="1">
      <x:c r="A48" s="25" t="inlineStr">
        <x:is>
          <x:t xml:space="preserve">evidence_score = weighted average of radar, thermal, composition, magnetic/plasma support</x:t>
        </x:is>
      </x:c>
      <x:c r="B48" s="25" t="inlineStr">
        <x:is>
          <x:t xml:space="preserve">Cross-instrument support estimate.</x:t>
        </x:is>
      </x:c>
      <x:c r="C48" s="25" t="inlineStr">
        <x:is>
          <x:t xml:space="preserve">Subsurface_Inputs evidence values and weights</x:t>
        </x:is>
      </x:c>
      <x:c r="D48" s="25" t="inlineStr">
        <x:is>
          <x:t xml:space="preserve">total evidence support</x:t>
        </x:is>
      </x:c>
    </x:row>
    <x:row r="49" s="73" customFormat="1" ht="27.600000381469727" customHeight="1">
      <x:c r="A49" s="25" t="inlineStr">
        <x:is>
          <x:t xml:space="preserve">radargram_delay_with_jitter = layer_delay + timing_jitter*sin(...)</x:t>
        </x:is>
      </x:c>
      <x:c r="B49" s="25" t="inlineStr">
        <x:is>
          <x:t xml:space="preserve">Simple radargram-style noisy timing view.</x:t>
        </x:is>
      </x:c>
      <x:c r="C49" s="25" t="inlineStr">
        <x:is>
          <x:t xml:space="preserve">layer delays and radargram jitter</x:t>
        </x:is>
      </x:c>
      <x:c r="D49" s="25" t="inlineStr">
        <x:is>
          <x:t xml:space="preserve">noisy return timing</x:t>
        </x:is>
      </x:c>
    </x:row>
  </x:sheetData>
  <x:mergeCells>
    <x:mergeCell ref="A1:D1"/>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3.800000190734863"/>
  <x:cols>
    <x:col min="1" max="1" width="24" style="73" customWidth="1"/>
    <x:col min="2" max="2" width="74" style="73" customWidth="1"/>
    <x:col min="3" max="3" width="44" style="73" customWidth="1"/>
    <x:col min="4" max="4" width="40" style="73" customWidth="1"/>
    <x:col min="5" max="5" width="48" style="73" customWidth="1"/>
  </x:cols>
  <x:sheetData>
    <x:row r="1" s="73" customFormat="1" ht="21" customHeight="1">
      <x:c r="A1" s="81" t="inlineStr">
        <x:is>
          <x:t xml:space="preserve">Topography Formula Explanation</x:t>
        </x:is>
      </x:c>
    </x:row>
    <x:row r="2" s="73" customFormat="1" ht="13.949999809265137" customHeight="1">
      <x:c r="A2" s="86" t="inlineStr">
        <x:is>
          <x:t xml:space="preserve">This sheet explains the representative Europa topography model used when Inputs!C27 is TRUE. It is not a real imported DEM; it combines the project's synthetic DEM-style terrain with a seed-controlled random terrain term for testing multiple possible surfaces.</x:t>
        </x:is>
      </x:c>
    </x:row>
    <x:row r="4">
      <x:c r="A4" s="2" t="inlineStr">
        <x:is>
          <x:t xml:space="preserve">Piece</x:t>
        </x:is>
      </x:c>
      <x:c r="B4" s="2" t="inlineStr">
        <x:is>
          <x:t xml:space="preserve">Formula</x:t>
        </x:is>
      </x:c>
      <x:c r="C4" s="2" t="inlineStr">
        <x:is>
          <x:t xml:space="preserve">What it represents</x:t>
        </x:is>
      </x:c>
      <x:c r="D4" s="2" t="inlineStr">
        <x:is>
          <x:t xml:space="preserve">Changeable inputs</x:t>
        </x:is>
      </x:c>
      <x:c r="E4" s="2" t="inlineStr">
        <x:is>
          <x:t xml:space="preserve">Effect on radar output</x:t>
        </x:is>
      </x:c>
    </x:row>
    <x:row r="5">
      <x:c r="A5" s="1" t="inlineStr">
        <x:is>
          <x:t xml:space="preserve">Checkbox / toggle</x:t>
        </x:is>
      </x:c>
      <x:c r="B5" s="12" t="inlineStr">
        <x:is>
          <x:t xml:space="preserve">topography_factor = IF(OR(Inputs!C27=TRUE, Inputs!C27="TRUE", Inputs!C27=1), 1, 0)</x:t>
        </x:is>
      </x:c>
      <x:c r="C5" s="1" t="inlineStr">
        <x:is>
          <x:t xml:space="preserve">Turns all terrain terms on or off.</x:t>
        </x:is>
      </x:c>
      <x:c r="D5" s="1" t="inlineStr">
        <x:is>
          <x:t xml:space="preserve">Inputs!C27</x:t>
        </x:is>
      </x:c>
      <x:c r="E5" s="1" t="inlineStr">
        <x:is>
          <x:t xml:space="preserve">TRUE includes terrain height; FALSE makes all h(x,y) terms equal 0.</x:t>
        </x:is>
      </x:c>
    </x:row>
    <x:row r="6" s="73" customFormat="1" ht="39.45000076293945" customHeight="1">
      <x:c r="A6" s="1" t="inlineStr">
        <x:is>
          <x:t xml:space="preserve">Project DEM-style surface</x:t>
        </x:is>
      </x:c>
      <x:c r="B6" s="12" t="inlineStr">
        <x:is>
          <x:t xml:space="preserve">h_project = S_dem*(115*EXP(-((y-25)^2)/(4.5^2)) + 70*EXP(-((y+38)^2)/(7^2))*(0.55+0.45*SIN(2*PI()*x/45)) + 24*SIN(2*PI()*y/9+x/18)*EXP(-((y+5)^2)/(22^2)) + 18*SIN(2*PI()*x/70))</x:t>
        </x:is>
      </x:c>
      <x:c r="C6" s="1" t="inlineStr">
        <x:is>
          <x:t xml:space="preserve">The same style as the existing local make_synthetic_dem model: an off-nadir ridge, scalloped terrain, chaos-like variation, and along-track bulge.</x:t>
        </x:is>
      </x:c>
      <x:c r="D6" s="1" t="inlineStr">
        <x:is>
          <x:t xml:space="preserve">S_dem, x, y</x:t>
        </x:is>
      </x:c>
      <x:c r="E6" s="1" t="inlineStr">
        <x:is>
          <x:t xml:space="preserve">Provides a repeatable baseline terrain pattern based on the existing project model.</x:t>
        </x:is>
      </x:c>
    </x:row>
    <x:row r="7" s="73" customFormat="1" ht="39.45000076293945" customHeight="1">
      <x:c r="A7" s="1" t="inlineStr">
        <x:is>
          <x:t xml:space="preserve">Seeded dynamic terrain</x:t>
        </x:is>
      </x:c>
      <x:c r="B7" s="12" t="inlineStr">
        <x:is>
          <x:t xml:space="preserve">h_seeded = A_seeded*(0.70*smooth_seeded_waves + 0.30*deterministic_hash(x,y,seed))</x:t>
        </x:is>
      </x:c>
      <x:c r="C7" s="1" t="inlineStr">
        <x:is>
          <x:t xml:space="preserve">A random-looking but repeatable terrain term. It avoids volatile RAND(), so the graph stays stable until the seed is changed.</x:t>
        </x:is>
      </x:c>
      <x:c r="D7" s="1" t="inlineStr">
        <x:is>
          <x:t xml:space="preserve">terrain_seed, A_seeded, L_seed_x, L_seed_y</x:t>
        </x:is>
      </x:c>
      <x:c r="E7" s="1" t="inlineStr">
        <x:is>
          <x:t xml:space="preserve">Changing the seed tests a different possible topographic case.</x:t>
        </x:is>
      </x:c>
    </x:row>
    <x:row r="8" s="73" customFormat="1" ht="26.25" customHeight="1">
      <x:c r="A8" s="1" t="inlineStr">
        <x:is>
          <x:t xml:space="preserve">Raised ridge</x:t>
        </x:is>
      </x:c>
      <x:c r="B8" s="12" t="inlineStr">
        <x:is>
          <x:t xml:space="preserve">h_ridge = A_ridge*EXP(-((x-ridge_x0)^2)/(2*ridge_sigma_x^2))*EXP(-((y-ridge_y0)^2)/(2*ridge_sigma_y^2))</x:t>
        </x:is>
      </x:c>
      <x:c r="C8" s="1" t="inlineStr">
        <x:is>
          <x:t xml:space="preserve">A long, narrow positive-height ridge or band, similar to a simplified Europa lineament/ridge.</x:t>
        </x:is>
      </x:c>
      <x:c r="D8" s="1" t="inlineStr">
        <x:is>
          <x:t xml:space="preserve">A_ridge, ridge_x0, ridge_y0, ridge_sigma_x, ridge_sigma_y</x:t>
        </x:is>
      </x:c>
      <x:c r="E8" s="1" t="inlineStr">
        <x:is>
          <x:t xml:space="preserve">A raised target usually shortens the target range and can pull apparent depth upward/shallower.</x:t>
        </x:is>
      </x:c>
    </x:row>
    <x:row r="9" s="73" customFormat="1" ht="26.25" customHeight="1">
      <x:c r="A9" s="1" t="inlineStr">
        <x:is>
          <x:t xml:space="preserve">Crater/depression</x:t>
        </x:is>
      </x:c>
      <x:c r="B9" s="12" t="inlineStr">
        <x:is>
          <x:t xml:space="preserve">h_crater = -D_crater*EXP(-(((x-crater_x0)^2+(y-crater_y0)^2)/(2*crater_sigma^2)))</x:t>
        </x:is>
      </x:c>
      <x:c r="C9" s="1" t="inlineStr">
        <x:is>
          <x:t xml:space="preserve">A negative-height circular depression.</x:t>
        </x:is>
      </x:c>
      <x:c r="D9" s="1" t="inlineStr">
        <x:is>
          <x:t xml:space="preserve">D_crater, crater_x0, crater_y0, crater_sigma</x:t>
        </x:is>
      </x:c>
      <x:c r="E9" s="1" t="inlineStr">
        <x:is>
          <x:t xml:space="preserve">A depression usually lengthens the target range and can push apparent depth deeper.</x:t>
        </x:is>
      </x:c>
    </x:row>
    <x:row r="10" s="73" customFormat="1" ht="26.25" customHeight="1">
      <x:c r="A10" s="1" t="inlineStr">
        <x:is>
          <x:t xml:space="preserve">Chaos terrain</x:t>
        </x:is>
      </x:c>
      <x:c r="B10" s="12" t="inlineStr">
        <x:is>
          <x:t xml:space="preserve">h_chaos = A_chaos*(0.55*SIN(2*PI()*x/Lx)+0.35*COS(2*PI()*y/Ly)+0.2*SIN(2*PI()*(x+y)/(0.5*(Lx+Ly))))</x:t>
        </x:is>
      </x:c>
      <x:c r="C10" s="1" t="inlineStr">
        <x:is>
          <x:t xml:space="preserve">A mixed wave term that gives irregular terrain instead of a single smooth hill.</x:t>
        </x:is>
      </x:c>
      <x:c r="D10" s="1" t="inlineStr">
        <x:is>
          <x:t xml:space="preserve">A_chaos, Lx, Ly</x:t>
        </x:is>
      </x:c>
      <x:c r="E10" s="1" t="inlineStr">
        <x:is>
          <x:t xml:space="preserve">Adds broad, uneven changes to terrain height along the pass.</x:t>
        </x:is>
      </x:c>
    </x:row>
    <x:row r="11" s="73" customFormat="1" ht="26.25" customHeight="1">
      <x:c r="A11" s="1" t="inlineStr">
        <x:is>
          <x:t xml:space="preserve">Fine roughness</x:t>
        </x:is>
      </x:c>
      <x:c r="B11" s="12" t="inlineStr">
        <x:is>
          <x:t xml:space="preserve">h_rough = A_rough*SIN(2*PI()*x/Lx)*SIN(2*PI()*y/Ly)</x:t>
        </x:is>
      </x:c>
      <x:c r="C11" s="1" t="inlineStr">
        <x:is>
          <x:t xml:space="preserve">Smaller oscillating roughness on top of the larger terrain terms.</x:t>
        </x:is>
      </x:c>
      <x:c r="D11" s="1" t="inlineStr">
        <x:is>
          <x:t xml:space="preserve">A_rough, Lx, Ly</x:t>
        </x:is>
      </x:c>
      <x:c r="E11" s="1" t="inlineStr">
        <x:is>
          <x:t xml:space="preserve">Creates smaller-scale wiggles in topography-adjusted range/depth.</x:t>
        </x:is>
      </x:c>
    </x:row>
    <x:row r="12" s="73" customFormat="1" ht="26.25" customHeight="1">
      <x:c r="A12" s="1" t="inlineStr">
        <x:is>
          <x:t xml:space="preserve">Trough/fracture</x:t>
        </x:is>
      </x:c>
      <x:c r="B12" s="12" t="inlineStr">
        <x:is>
          <x:t xml:space="preserve">h_trough = -D_trough*EXP(-((y-trough_y0)^2)/(2*trough_sigma_y^2))*EXP(-((x-trough_x0)^2)/(2*trough_sigma_x^2))</x:t>
        </x:is>
      </x:c>
      <x:c r="C12" s="1" t="inlineStr">
        <x:is>
          <x:t xml:space="preserve">A long negative-height trough or fracture-like feature.</x:t>
        </x:is>
      </x:c>
      <x:c r="D12" s="1" t="inlineStr">
        <x:is>
          <x:t xml:space="preserve">D_trough, trough_x0, trough_y0, trough_sigma_y, trough_sigma_x</x:t>
        </x:is>
      </x:c>
      <x:c r="E12" s="1" t="inlineStr">
        <x:is>
          <x:t xml:space="preserve">Can create a localized deeper apparent-depth shift.</x:t>
        </x:is>
      </x:c>
    </x:row>
    <x:row r="13" s="73" customFormat="1" ht="26.25" customHeight="1">
      <x:c r="A13" s="1" t="inlineStr">
        <x:is>
          <x:t xml:space="preserve">Total surface height</x:t>
        </x:is>
      </x:c>
      <x:c r="B13" s="12" t="inlineStr">
        <x:is>
          <x:t xml:space="preserve">h_total(x,y) = topography_factor*(h_project + h_ridge + h_crater + h_chaos + h_rough + h_trough + h_seeded)</x:t>
        </x:is>
      </x:c>
      <x:c r="C13" s="1" t="inlineStr">
        <x:is>
          <x:t xml:space="preserve">The combined representative terrain surface used by the model.</x:t>
        </x:is>
      </x:c>
      <x:c r="D13" s="1" t="inlineStr">
        <x:is>
          <x:t xml:space="preserve">All topography and seed controls</x:t>
        </x:is>
      </x:c>
      <x:c r="E13" s="1" t="inlineStr">
        <x:is>
          <x:t xml:space="preserve">This is the terrain height used in the range equations.</x:t>
        </x:is>
      </x:c>
    </x:row>
    <x:row r="14">
      <x:c r="A14" s="1" t="inlineStr">
        <x:is>
          <x:t xml:space="preserve">Nadir topographic height</x:t>
        </x:is>
      </x:c>
      <x:c r="B14" s="12" t="inlineStr">
        <x:is>
          <x:t xml:space="preserve">h_nadir = h_total(x, 0)</x:t>
        </x:is>
      </x:c>
      <x:c r="C14" s="1" t="inlineStr">
        <x:is>
          <x:t xml:space="preserve">Surface height directly below the spacecraft path.</x:t>
        </x:is>
      </x:c>
      <x:c r="D14" s="1" t="inlineStr">
        <x:is>
          <x:t xml:space="preserve">x plus all topography controls</x:t>
        </x:is>
      </x:c>
      <x:c r="E14" s="1" t="inlineStr">
        <x:is>
          <x:t xml:space="preserve">Changes the reference/nadir range.</x:t>
        </x:is>
      </x:c>
    </x:row>
    <x:row r="15">
      <x:c r="A15" s="1" t="inlineStr">
        <x:is>
          <x:t xml:space="preserve">Target topographic height</x:t>
        </x:is>
      </x:c>
      <x:c r="B15" s="12" t="inlineStr">
        <x:is>
          <x:t xml:space="preserve">h_target = h_total(x, y)</x:t>
        </x:is>
      </x:c>
      <x:c r="C15" s="1" t="inlineStr">
        <x:is>
          <x:t xml:space="preserve">Surface height at the side-offset target path.</x:t>
        </x:is>
      </x:c>
      <x:c r="D15" s="1" t="inlineStr">
        <x:is>
          <x:t xml:space="preserve">x, y plus all topography controls</x:t>
        </x:is>
      </x:c>
      <x:c r="E15" s="1" t="inlineStr">
        <x:is>
          <x:t xml:space="preserve">Changes the off-nadir slant range.</x:t>
        </x:is>
      </x:c>
    </x:row>
    <x:row r="16" s="73" customFormat="1" ht="27.600000381469727" customHeight="1">
      <x:c r="A16" s="1" t="inlineStr">
        <x:is>
          <x:t xml:space="preserve">Topographic nadir range</x:t>
        </x:is>
      </x:c>
      <x:c r="B16" s="12" t="inlineStr">
        <x:is>
          <x:t xml:space="preserve">R_nadir_topo = z(x) - h_nadir/1000</x:t>
        </x:is>
      </x:c>
      <x:c r="C16" s="1" t="inlineStr">
        <x:is>
          <x:t xml:space="preserve">Distance from spacecraft to the raised/lowered nadir surface.</x:t>
        </x:is>
      </x:c>
      <x:c r="D16" s="1" t="inlineStr">
        <x:is>
          <x:t xml:space="preserve">z(x), h_nadir</x:t>
        </x:is>
      </x:c>
      <x:c r="E16" s="1" t="inlineStr">
        <x:is>
          <x:t xml:space="preserve">Raised nadir terrain shortens the reference range.</x:t>
        </x:is>
      </x:c>
    </x:row>
    <x:row r="17" s="73" customFormat="1" ht="26.25" customHeight="1">
      <x:c r="A17" s="1" t="inlineStr">
        <x:is>
          <x:t xml:space="preserve">Topographic off-nadir range</x:t>
        </x:is>
      </x:c>
      <x:c r="B17" s="12" t="inlineStr">
        <x:is>
          <x:t xml:space="preserve">theta = SQRT(x^2+y^2)/R_e; R_off_topo = SQRT((R_e+z)^2+(R_e+h_target/1000)^2-2*(R_e+z)*(R_e+h_target/1000)*COS(theta))</x:t>
        </x:is>
      </x:c>
      <x:c r="C17" s="1" t="inlineStr">
        <x:is>
          <x:t xml:space="preserve">Curvature-corrected slant range to the side-offset target after terrain height is included.</x:t>
        </x:is>
      </x:c>
      <x:c r="D17" s="1" t="inlineStr">
        <x:is>
          <x:t xml:space="preserve">x, y, z(x), h_target, R_e</x:t>
        </x:is>
      </x:c>
      <x:c r="E17" s="1" t="inlineStr">
        <x:is>
          <x:t xml:space="preserve">Raised target terrain changes the spherical slant range.</x:t>
        </x:is>
      </x:c>
    </x:row>
    <x:row r="18" s="73" customFormat="1" ht="26.25" customHeight="1">
      <x:c r="A18" s="1" t="inlineStr">
        <x:is>
          <x:t xml:space="preserve">Topographic apparent depth</x:t>
        </x:is>
      </x:c>
      <x:c r="B18" s="12" t="inlineStr">
        <x:is>
          <x:t xml:space="preserve">d_app_topo = (R_off_topo - R_nadir_topo)*1000/n</x:t>
        </x:is>
      </x:c>
      <x:c r="C18" s="1" t="inlineStr">
        <x:is>
          <x:t xml:space="preserve">The apparent depth after topography changes both reference and target ranges.</x:t>
        </x:is>
      </x:c>
      <x:c r="D18" s="1" t="inlineStr">
        <x:is>
          <x:t xml:space="preserve">R_off_topo, R_nadir_topo, n</x:t>
        </x:is>
      </x:c>
      <x:c r="E18" s="1" t="inlineStr">
        <x:is>
          <x:t xml:space="preserve">This is the main output compared against flat apparent depth.</x:t>
        </x:is>
      </x:c>
    </x:row>
    <x:row r="19" s="73" customFormat="1" ht="26.25" customHeight="1">
      <x:c r="A19" s="1" t="inlineStr">
        <x:is>
          <x:t xml:space="preserve">Topography depth difference</x:t>
        </x:is>
      </x:c>
      <x:c r="B19" s="12" t="inlineStr">
        <x:is>
          <x:t xml:space="preserve">depth_change = d_app_topo - d_app_flat</x:t>
        </x:is>
      </x:c>
      <x:c r="C19" s="1" t="inlineStr">
        <x:is>
          <x:t xml:space="preserve">How much terrain changes the apparent-depth result.</x:t>
        </x:is>
      </x:c>
      <x:c r="D19" s="1" t="inlineStr">
        <x:is>
          <x:t xml:space="preserve">d_app_topo, d_app_flat</x:t>
        </x:is>
      </x:c>
      <x:c r="E19" s="1" t="inlineStr">
        <x:is>
          <x:t xml:space="preserve">Negative means topography makes the echo appear shallower; positive means deeper.</x:t>
        </x:is>
      </x:c>
    </x:row>
  </x:sheetData>
  <x:mergeCells>
    <x:mergeCell ref="A2:E2"/>
    <x:mergeCell ref="A1:E1"/>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3.800000190734863"/>
  <x:cols>
    <x:col min="1" max="1" width="34" style="73" customWidth="1"/>
    <x:col min="2" max="2" width="28" style="73" customWidth="1"/>
    <x:col min="3" max="3" width="56" style="73" customWidth="1"/>
  </x:cols>
  <x:sheetData>
    <x:row r="1" s="73" customFormat="1" ht="21" customHeight="1">
      <x:c r="A1" s="81" t="inlineStr">
        <x:is>
          <x:t xml:space="preserve">Workbook Checks</x:t>
        </x:is>
      </x:c>
    </x:row>
    <x:row r="3">
      <x:c r="A3" s="2" t="inlineStr">
        <x:is>
          <x:t xml:space="preserve">Check</x:t>
        </x:is>
      </x:c>
      <x:c r="B3" s="2" t="inlineStr">
        <x:is>
          <x:t xml:space="preserve">Status</x:t>
        </x:is>
      </x:c>
      <x:c r="C3" s="2" t="inlineStr">
        <x:is>
          <x:t xml:space="preserve">Formula</x:t>
        </x:is>
      </x:c>
    </x:row>
    <x:row r="4">
      <x:c r="A4" s="1" t="inlineStr">
        <x:is>
          <x:t xml:space="preserve">x_min &lt; x_max</x:t>
        </x:is>
      </x:c>
      <x:c r="B4" s="1" t="str">
        <x:f>IF(Inputs!C7&lt;Inputs!C8,"OK","Fix x_min/x_max")</x:f>
        <x:v>OK</x:v>
      </x:c>
      <x:c r="C4" s="1" t="inlineStr">
        <x:is>
          <x:t xml:space="preserve">Inputs!C7 must be less than Inputs!C8</x:t>
        </x:is>
      </x:c>
    </x:row>
    <x:row r="5">
      <x:c r="A5" s="1" t="inlineStr">
        <x:is>
          <x:t xml:space="preserve">z0 positive</x:t>
        </x:is>
      </x:c>
      <x:c r="B5" s="1" t="str">
        <x:f>IF(Inputs!C5&gt;0,"OK","Fix z0")</x:f>
        <x:v>OK</x:v>
      </x:c>
      <x:c r="C5" s="1" t="inlineStr">
        <x:is>
          <x:t xml:space="preserve">Closest altitude must be positive</x:t>
        </x:is>
      </x:c>
    </x:row>
    <x:row r="6">
      <x:c r="A6" s="1" t="inlineStr">
        <x:is>
          <x:t xml:space="preserve">x_edge positive</x:t>
        </x:is>
      </x:c>
      <x:c r="B6" s="1" t="str">
        <x:f>IF(Inputs!C10&gt;0,"OK","Fix x_edge")</x:f>
        <x:v>OK</x:v>
      </x:c>
      <x:c r="C6" s="1" t="inlineStr">
        <x:is>
          <x:t xml:space="preserve">Parabola edge must be positive</x:t>
        </x:is>
      </x:c>
    </x:row>
    <x:row r="7">
      <x:c r="A7" s="1" t="inlineStr">
        <x:is>
          <x:t xml:space="preserve">ice refractive index positive</x:t>
        </x:is>
      </x:c>
      <x:c r="B7" s="1" t="str">
        <x:f>IF(Inputs!C12&gt;0,"OK","Fix n")</x:f>
        <x:v>OK</x:v>
      </x:c>
      <x:c r="C7" s="1" t="inlineStr">
        <x:is>
          <x:t xml:space="preserve">n must be positive</x:t>
        </x:is>
      </x:c>
    </x:row>
    <x:row r="8">
      <x:c r="A8" s="1" t="inlineStr">
        <x:is>
          <x:t xml:space="preserve">wavelengths positive</x:t>
        </x:is>
      </x:c>
      <x:c r="B8" s="1" t="str">
        <x:f>IF(AND(Inputs!C13&gt;0,Inputs!C14&gt;0),"OK","Fix wavelengths")</x:f>
        <x:v>OK</x:v>
      </x:c>
      <x:c r="C8" s="1" t="inlineStr">
        <x:is>
          <x:t xml:space="preserve">HF and VHF wavelengths must be positive</x:t>
        </x:is>
      </x:c>
    </x:row>
    <x:row r="9">
      <x:c r="A9" s="1" t="inlineStr">
        <x:is>
          <x:t xml:space="preserve">baseline positive</x:t>
        </x:is>
      </x:c>
      <x:c r="B9" s="1" t="str">
        <x:f>IF(Inputs!C15&gt;0,"OK","Fix baseline")</x:f>
        <x:v>OK</x:v>
      </x:c>
      <x:c r="C9" s="1" t="inlineStr">
        <x:is>
          <x:t xml:space="preserve">Interferometry baseline must be positive</x:t>
        </x:is>
      </x:c>
    </x:row>
    <x:row r="10">
      <x:c r="A10" s="1" t="inlineStr">
        <x:is>
          <x:t xml:space="preserve">topography toggle valid</x:t>
        </x:is>
      </x:c>
      <x:c r="B10" s="1" t="str">
        <x:f>IF(OR(Inputs!C27=TRUE,Inputs!C27=FALSE,Inputs!C27="TRUE",Inputs!C27="FALSE",Inputs!C27=1,Inputs!C27=0),"OK","Fix topography toggle")</x:f>
        <x:v>OK</x:v>
      </x:c>
      <x:c r="C10" s="1" t="inlineStr">
        <x:is>
          <x:t xml:space="preserve">Inputs!C27 must be TRUE or FALSE</x:t>
        </x:is>
      </x:c>
    </x:row>
    <x:row r="11">
      <x:c r="A11" s="1" t="inlineStr">
        <x:is>
          <x:t xml:space="preserve">topography widths positive</x:t>
        </x:is>
      </x:c>
      <x:c r="B11" s="1" t="str">
        <x:f>IF(AND(Inputs!C31&gt;0,Inputs!C32&gt;0,Inputs!C36&gt;0,Inputs!C39&gt;0,Inputs!C40&gt;0,Inputs!C44&gt;0,Inputs!C45&gt;0),"OK","Fix topography width")</x:f>
        <x:v>OK</x:v>
      </x:c>
      <x:c r="C11" s="1" t="inlineStr">
        <x:is>
          <x:t xml:space="preserve">Terrain sigma/width/wavelength values must be positive</x:t>
        </x:is>
      </x:c>
    </x:row>
    <x:row r="12">
      <x:c r="A12" s="1" t="inlineStr">
        <x:is>
          <x:t xml:space="preserve">terrain uncertainty nonnegative</x:t>
        </x:is>
      </x:c>
      <x:c r="B12" s="1" t="str">
        <x:f>IF(Inputs!C46&gt;=0,"OK","Fix terrain uncertainty")</x:f>
        <x:v>OK</x:v>
      </x:c>
      <x:c r="C12" s="1" t="inlineStr">
        <x:is>
          <x:t xml:space="preserve">Representative vertical uncertainty should be &gt;= 0</x:t>
        </x:is>
      </x:c>
    </x:row>
    <x:row r="13">
      <x:c r="A13" s="1" t="inlineStr">
        <x:is>
          <x:t xml:space="preserve">seeded terrain scales positive</x:t>
        </x:is>
      </x:c>
      <x:c r="B13" s="1" t="str">
        <x:f>IF(AND(Inputs!C49&gt;0,Inputs!C50&gt;0),"OK","Fix seeded terrain scale")</x:f>
        <x:v>OK</x:v>
      </x:c>
      <x:c r="C13" s="1" t="inlineStr">
        <x:is>
          <x:t xml:space="preserve">Seeded random terrain scales must be positive</x:t>
        </x:is>
      </x:c>
    </x:row>
    <x:row r="14">
      <x:c r="A14" s="1" t="inlineStr">
        <x:is>
          <x:t xml:space="preserve">seeded random amplitude nonnegative</x:t>
        </x:is>
      </x:c>
      <x:c r="B14" s="1" t="str">
        <x:f>IF(Inputs!C48&gt;=0,"OK","Fix seeded amplitude")</x:f>
        <x:v>OK</x:v>
      </x:c>
      <x:c r="C14" s="1" t="inlineStr">
        <x:is>
          <x:t xml:space="preserve">Seeded random terrain amplitude should be &gt;= 0</x:t>
        </x:is>
      </x:c>
    </x:row>
    <x:row r="15">
      <x:c r="A15" s="1" t="inlineStr">
        <x:is>
          <x:t xml:space="preserve">project DEM scale nonnegative</x:t>
        </x:is>
      </x:c>
      <x:c r="B15" s="1" t="str">
        <x:f>IF(Inputs!C51&gt;=0,"OK","Fix DEM scale")</x:f>
        <x:v>OK</x:v>
      </x:c>
      <x:c r="C15" s="1" t="inlineStr">
        <x:is>
          <x:t xml:space="preserve">Existing DEM-style scale should be &gt;= 0</x:t>
        </x:is>
      </x:c>
    </x:row>
    <x:row r="16">
      <x:c r="A16" s="1" t="inlineStr">
        <x:is>
          <x:t xml:space="preserve">Europa radius positive</x:t>
        </x:is>
      </x:c>
      <x:c r="B16" s="1" t="str">
        <x:f>IF(Inputs!C52&gt;0,"OK","Fix Europa radius")</x:f>
        <x:v>OK</x:v>
      </x:c>
      <x:c r="C16" s="1" t="inlineStr">
        <x:is>
          <x:t xml:space="preserve">Europa radius must be positive for spherical geometry</x:t>
        </x:is>
      </x:c>
    </x:row>
    <x:row r="17">
      <x:c r="A17" s="1" t="inlineStr">
        <x:is>
          <x:t xml:space="preserve">scenario toggles valid</x:t>
        </x:is>
      </x:c>
      <x:c r="B17" s="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 t="inlineStr">
        <x:is>
          <x:t xml:space="preserve">Inputs!F6:F9 must be TRUE or FALSE</x:t>
        </x:is>
      </x:c>
    </x:row>
    <x:row r="18">
      <x:c r="A18" s="1" t="inlineStr">
        <x:is>
          <x:t xml:space="preserve">scenario lengths positive</x:t>
        </x:is>
      </x:c>
      <x:c r="B18" s="1" t="str">
        <x:f>IF(AND(Inputs!I6&lt;Inputs!J6,Inputs!K6&gt;0,Inputs!I7&lt;Inputs!J7,Inputs!K7&gt;0,Inputs!I8&lt;Inputs!J8,Inputs!K8&gt;0,Inputs!I9&lt;Inputs!J9,Inputs!K9&gt;0),"OK","Fix scenario length")</x:f>
        <x:v>OK</x:v>
      </x:c>
      <x:c r="C18" s="1" t="inlineStr">
        <x:is>
          <x:t xml:space="preserve">Each scenario must have x_min &lt; x_max and x_edge &gt; 0</x:t>
        </x:is>
      </x:c>
    </x:row>
    <x:row r="19">
      <x:c r="A19" s="1" t="inlineStr">
        <x:is>
          <x:t xml:space="preserve">PRF high vs simple PRF floor</x:t>
        </x:is>
      </x:c>
      <x:c r="B19" s="1" t="str">
        <x:f>IF(Inputs!C20&gt;=Dashboard!B16,"OK","High PRF below simple floor")</x:f>
        <x:v>OK</x:v>
      </x:c>
      <x:c r="C19" s="1" t="inlineStr">
        <x:is>
          <x:t xml:space="preserve">PRF_3 should exceed Dashboard topo minimum PRF for the default check</x:t>
        </x:is>
      </x:c>
    </x:row>
    <x:row r="20">
      <x:c r="A20" s="1" t="inlineStr">
        <x:is>
          <x:t xml:space="preserve">model rows available</x:t>
        </x:is>
      </x:c>
      <x:c r="B20" s="1" t="str">
        <x:f>IF(COUNTA(Model_Data!A2:A242)=241,"OK","Missing rows")</x:f>
        <x:v>OK</x:v>
      </x:c>
      <x:c r="C20" s="1" t="inlineStr">
        <x:is>
          <x:t xml:space="preserve">Model_Data contains 241 plotted positions</x:t>
        </x:is>
      </x:c>
    </x:row>
    <x:row r="21">
      <x:c r="A21" s="1" t="inlineStr">
        <x:is>
          <x:t xml:space="preserve">chart off-nadir surface link</x:t>
        </x:is>
      </x:c>
      <x:c r="B21" s="1" t="str">
        <x:f>IF(Chart_Data!L122=Model_Data!Y122,"OK","Fix off-nadir chart link")</x:f>
        <x:v>OK</x:v>
      </x:c>
      <x:c r="C21" s="1" t="inlineStr">
        <x:is>
          <x:t xml:space="preserve">Chart_Data off-nadir surface line must reference Model_Data h_target</x:t>
        </x:is>
      </x:c>
    </x:row>
    <x:row r="22">
      <x:c r="A22" s="1" t="inlineStr">
        <x:is>
          <x:t xml:space="preserve">chart nadir surface link</x:t>
        </x:is>
      </x:c>
      <x:c r="B22" s="1" t="str">
        <x:f>IF(Chart_Data!M122=Model_Data!X122,"OK","Fix nadir chart link")</x:f>
        <x:v>OK</x:v>
      </x:c>
      <x:c r="C22" s="1" t="inlineStr">
        <x:is>
          <x:t xml:space="preserve">Chart_Data nadir surface line must reference Model_Data h_nadir</x:t>
        </x:is>
      </x:c>
    </x:row>
    <x:row r="23">
      <x:c r="A23" s="1" t="inlineStr">
        <x:is>
          <x:t xml:space="preserve">chart apparent-height conversion</x:t>
        </x:is>
      </x:c>
      <x:c r="B23" s="1" t="str">
        <x:f>IF(ABS(Chart_Data!N122+Model_Data!AI122*Inputs!C12)&lt;0.001,"OK","Fix apparent-height conversion")</x:f>
        <x:v>OK</x:v>
      </x:c>
      <x:c r="C23" s="1" t="inlineStr">
        <x:is>
          <x:t xml:space="preserve">Chart apparent surface height must equal -n*(topo depth - flat depth)</x:t>
        </x:is>
      </x:c>
    </x:row>
    <x:row r="25" s="73" customFormat="1" ht="13.949999809265137" customHeight="1">
      <x:c r="A25" s="84" t="inlineStr">
        <x:is>
          <x:t xml:space="preserve">Chart/graph communication checks</x:t>
        </x:is>
      </x:c>
      <x:c r="B25" s="84" t="n"/>
      <x:c r="C25" s="84" t="n"/>
    </x:row>
    <x:row r="26" s="73" customFormat="1" ht="27" customHeight="1">
      <x:c r="A26" s="16" t="inlineStr">
        <x:is>
          <x:t xml:space="preserve">Baseline legends</x:t>
        </x:is>
      </x:c>
      <x:c r="B26" s="77" t="inlineStr">
        <x:is>
          <x:t xml:space="preserve">OK</x:t>
        </x:is>
      </x:c>
      <x:c r="C26" s="77" t="inlineStr">
        <x:is>
          <x:t xml:space="preserve">Reference floor and zero-depth baselines are renamed/styled as neutral references, not scenario outputs.</x:t>
        </x:is>
      </x:c>
    </x:row>
    <x:row r="27" s="73" customFormat="1" ht="27" customHeight="1">
      <x:c r="A27" s="16" t="inlineStr">
        <x:is>
          <x:t xml:space="preserve">Graph explanations</x:t>
        </x:is>
      </x:c>
      <x:c r="B27" s="77" t="inlineStr">
        <x:is>
          <x:t xml:space="preserve">OK</x:t>
        </x:is>
      </x:c>
      <x:c r="C27" s="77" t="inlineStr">
        <x:is>
          <x:t xml:space="preserve">Dashboard rows 65-71 and Graph_Guide explain every chart and its source range.</x:t>
        </x:is>
      </x:c>
    </x:row>
  </x:sheetData>
  <x:mergeCells>
    <x:mergeCell ref="A1:C1"/>
  </x:mergeCells>
  <x:conditionalFormatting sqref="B4:B23">
    <x:cfRule type="containsText" dxfId="3" priority="1" operator="containsText" text="OK"/>
    <x:cfRule type="notContainsText" dxfId="2" priority="2" operator="notContains" text="OK"/>
  </x:conditionalFormatting>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3.800000190734863"/>
  <x:cols>
    <x:col min="1" max="1" width="25.59765625" style="73" customWidth="1"/>
    <x:col min="2" max="2" width="45" style="73" customWidth="1"/>
    <x:col min="3" max="3" width="35" style="73" customWidth="1"/>
    <x:col min="4" max="4" width="31.19921875" style="73" customWidth="1"/>
    <x:col min="5" max="5" width="22.5" style="73" customWidth="1"/>
    <x:col min="6" max="6" width="45" style="73" customWidth="1"/>
    <x:col min="7" max="7" width="22.5" style="73" customWidth="1"/>
  </x:cols>
  <x:sheetData>
    <x:row r="1" s="73" customFormat="1" ht="22.5" customHeight="1">
      <x:c r="A1" s="72" t="inlineStr">
        <x:is>
          <x:t xml:space="preserve">Graph Guide and Formula Audit</x:t>
        </x:is>
      </x:c>
    </x:row>
    <x:row r="2" s="73" customFormat="1" ht="25.5" customHeight="1">
      <x:c r="A2" s="74" t="inlineStr">
        <x:is>
          <x:t xml:space="preserve">Grey baseline lines are references only. For the motion-only chart, flat ground means terrain height is zero; the curved blue line is the radar reading caused by the satellite's parabolic path and changing slant range, not a curved ground surface.</x:t>
        </x:is>
      </x:c>
      <x:c r="B2" s="75" t="n"/>
      <x:c r="C2" s="75" t="n"/>
      <x:c r="D2" s="75" t="n"/>
      <x:c r="E2" s="75" t="n"/>
      <x:c r="F2" s="75" t="n"/>
      <x:c r="G2" s="76" t="n"/>
    </x:row>
    <x:row r="3" s="73" customFormat="1" ht="31.5" customHeight="1">
      <x:c r="A3" s="17" t="n"/>
      <x:c r="B3" s="17" t="n"/>
      <x:c r="C3" s="17" t="n"/>
      <x:c r="D3" s="17" t="n"/>
      <x:c r="E3" s="17" t="n"/>
      <x:c r="F3" s="17" t="n"/>
      <x:c r="G3" s="17" t="n"/>
    </x:row>
    <x:row r="4" s="73" customFormat="1" ht="31.5" customHeight="1">
      <x:c r="A4" s="22" t="inlineStr">
        <x:is>
          <x:t xml:space="preserve">Graph</x:t>
        </x:is>
      </x:c>
      <x:c r="B4" s="22" t="inlineStr">
        <x:is>
          <x:t xml:space="preserve">What it shows</x:t>
        </x:is>
      </x:c>
      <x:c r="C4" s="22" t="inlineStr">
        <x:is>
          <x:t xml:space="preserve">Why it matters</x:t>
        </x:is>
      </x:c>
      <x:c r="D4" s="22" t="inlineStr">
        <x:is>
          <x:t xml:space="preserve">How to read the baseline</x:t>
        </x:is>
      </x:c>
      <x:c r="E4" s="22" t="inlineStr">
        <x:is>
          <x:t xml:space="preserve">Source range</x:t>
        </x:is>
      </x:c>
      <x:c r="F4" s="22" t="inlineStr">
        <x:is>
          <x:t xml:space="preserve">Formula basis</x:t>
        </x:is>
      </x:c>
      <x:c r="G4" s="22" t="inlineStr">
        <x:is>
          <x:t xml:space="preserve">Audit status</x:t>
        </x:is>
      </x:c>
    </x:row>
    <x:row r="5" s="73" customFormat="1" ht="43.5" customHeight="1">
      <x:c r="A5" s="18" t="inlineStr">
        <x:is>
          <x:t xml:space="preserve">Apparent Depth: Motion vs Topography</x:t>
        </x:is>
      </x:c>
      <x:c r="B5" s="19" t="inlineStr">
        <x:is>
          <x:t xml:space="preserve">Compares the zero-depth nadir reference, a constant-altitude off-nadir reading, the parabolic flat-surface reading, and the parabolic topography-adjusted reading across x.</x:t>
        </x:is>
      </x:c>
      <x:c r="C5" s="19" t="inlineStr">
        <x:is>
          <x:t xml:space="preserve">Separates spacecraft motion effects from terrain effects in the radar apparent-depth output.</x:t>
        </x:is>
      </x:c>
      <x:c r="D5" s="19" t="inlineStr">
        <x:is>
          <x:t xml:space="preserve">The grey zero-depth line is just the nadir reference. It is not a floor/topography result.</x:t>
        </x:is>
      </x:c>
      <x:c r="E5" s="19" t="inlineStr">
        <x:is>
          <x:t xml:space="preserve">Chart_Data!A:E</x:t>
        </x:is>
      </x:c>
      <x:c r="F5" s="19" t="inlineStr">
        <x:is>
          <x:t xml:space="preserve">apparent_depth = (R_off - R_nadir)*1000/n; topo version uses h_nadir and h_target.</x:t>
        </x:is>
      </x:c>
      <x:c r="G5" s="19" t="inlineStr">
        <x:is>
          <x:t xml:space="preserve">Linked to Checks!B21:B23</x:t>
        </x:is>
      </x:c>
    </x:row>
    <x:row r="6" s="73" customFormat="1" ht="43.5" customHeight="1">
      <x:c r="A6" s="18" t="inlineStr">
        <x:is>
          <x:t xml:space="preserve">Surface Height: Generated Reference Floor, Target, and Nadir</x:t>
        </x:is>
      </x:c>
      <x:c r="B6" s="19" t="inlineStr">
        <x:is>
          <x:t xml:space="preserve">Plots the generated topography used as the reference floor, the side-looking target path, and the terrain directly below the spacecraft.</x:t>
        </x:is>
      </x:c>
      <x:c r="C6" s="19" t="inlineStr">
        <x:is>
          <x:t xml:space="preserve">Shows the terrain terms that feed the topography-adjusted range equations; the satellite travel path in this model is curved/parabolic, not flat.</x:t>
        </x:is>
      </x:c>
      <x:c r="D6" s="19" t="inlineStr">
        <x:is>
          <x:t xml:space="preserve">The grey reference floor now follows the generated off-nadir topography instead of a 0 m flat floor. Orange/green remain the target and nadir terrain profiles.</x:t>
        </x:is>
      </x:c>
      <x:c r="E6" s="19" t="inlineStr">
        <x:is>
          <x:t xml:space="preserve">Chart_Data!G:J</x:t>
        </x:is>
      </x:c>
      <x:c r="F6" s="19" t="inlineStr">
        <x:is>
          <x:t xml:space="preserve">h_total(x,y) = h_project + ridge + crater + chaos + roughness + trough + seeded terrain.</x:t>
        </x:is>
      </x:c>
      <x:c r="G6" s="19" t="inlineStr">
        <x:is>
          <x:t xml:space="preserve">Inputs validated in Checks!B10:B16</x:t>
        </x:is>
      </x:c>
    </x:row>
    <x:row r="7" s="73" customFormat="1" ht="43.5" customHeight="1">
      <x:c r="A7" s="18" t="inlineStr">
        <x:is>
          <x:t xml:space="preserve">Doppler: Flat Geometry vs Topography</x:t>
        </x:is>
      </x:c>
      <x:c r="B7" s="19" t="inlineStr">
        <x:is>
          <x:t xml:space="preserve">Compares VHF/HF Doppler shifts with flat geometry and with topography-adjusted geometry.</x:t>
        </x:is>
      </x:c>
      <x:c r="C7" s="19" t="inlineStr">
        <x:is>
          <x:t xml:space="preserve">Shows the PRF pressure caused by maximum modeled range-rate magnitude.</x:t>
        </x:is>
      </x:c>
      <x:c r="D7" s="19" t="inlineStr">
        <x:is>
          <x:t xml:space="preserve">Zero Hz is the sign-change reference around closest approach.</x:t>
        </x:is>
      </x:c>
      <x:c r="E7" s="19" t="inlineStr">
        <x:is>
          <x:t xml:space="preserve">Chart_Data!P:T</x:t>
        </x:is>
      </x:c>
      <x:c r="F7" s="19" t="inlineStr">
        <x:is>
          <x:t xml:space="preserve">doppler = -2*range_rate/lambda; range_rate is from adjacent slant-range samples.</x:t>
        </x:is>
      </x:c>
      <x:c r="G7" s="19" t="inlineStr">
        <x:is>
          <x:t xml:space="preserve">PRF check in Checks!B19</x:t>
        </x:is>
      </x:c>
    </x:row>
    <x:row r="8" s="73" customFormat="1" ht="43.5" customHeight="1">
      <x:c r="A8" s="18" t="inlineStr">
        <x:is>
          <x:t xml:space="preserve">Flat Ground Reading: Constant vs Parabolic Satellite Path</x:t>
        </x:is>
      </x:c>
      <x:c r="B8" s="19" t="inlineStr">
        <x:is>
          <x:t xml:space="preserve">This is not a ground-height chart. It calculates the apparent radar depth/readout to flat ground while changing only the satellite path geometry.</x:t>
        </x:is>
      </x:c>
      <x:c r="C8" s="19" t="inlineStr">
        <x:is>
          <x:t xml:space="preserve">Shows that a flat surface can still produce a curved radar reading because the satellite altitude and off-nadir slant range change along track.</x:t>
        </x:is>
      </x:c>
      <x:c r="D8" s="19" t="inlineStr">
        <x:is>
          <x:t xml:space="preserve">The grey zero-depth line is only the nadir reference. The blue curve is flat ground plus parabolic satellite motion, not a parabolic ground surface.</x:t>
        </x:is>
      </x:c>
      <x:c r="E8" s="19" t="inlineStr">
        <x:is>
          <x:t xml:space="preserve">Chart_Data!Y:AB</x:t>
        </x:is>
      </x:c>
      <x:c r="F8" s="19" t="inlineStr">
        <x:is>
          <x:t xml:space="preserve">Ground height is held at h=0. The reading is (R_off - R_nadir)*1000/n; blue uses z(x)=z0+Delta_z_edge*(x/x_edge)^2.</x:t>
        </x:is>
      </x:c>
      <x:c r="G8" s="19" t="inlineStr">
        <x:is>
          <x:t xml:space="preserve">Core inputs validated in Checks!B4:B9</x:t>
        </x:is>
      </x:c>
    </x:row>
    <x:row r="9" s="73" customFormat="1" ht="43.5" customHeight="1">
      <x:c r="A9" s="18" t="inlineStr">
        <x:is>
          <x:t xml:space="preserve">Scenario Off-Nadir Surface Height</x:t>
        </x:is>
      </x:c>
      <x:c r="B9" s="19" t="inlineStr">
        <x:is>
          <x:t xml:space="preserve">Plots the expected off-nadir surface height for each checked pass case on a normalized pass axis.</x:t>
        </x:is>
      </x:c>
      <x:c r="C9" s="19" t="inlineStr">
        <x:is>
          <x:t xml:space="preserve">Shows how the same terrain model is sampled under each scenario overlay.</x:t>
        </x:is>
      </x:c>
      <x:c r="D9" s="19" t="inlineStr">
        <x:is>
          <x:t xml:space="preserve">The grey reference floor is 0 m, not a selected scenario.</x:t>
        </x:is>
      </x:c>
      <x:c r="E9" s="19" t="inlineStr">
        <x:is>
          <x:t xml:space="preserve">Scenario_Data!AQ:AV</x:t>
        </x:is>
      </x:c>
      <x:c r="F9" s="19" t="inlineStr">
        <x:is>
          <x:t xml:space="preserve">Uses scenario x mapping plus h_total(x,y), gated by Inputs!F6:F9 and Inputs!C27.</x:t>
        </x:is>
      </x:c>
      <x:c r="G9" s="19" t="inlineStr">
        <x:is>
          <x:t xml:space="preserve">Scenario checks in Checks!B17:B18</x:t>
        </x:is>
      </x:c>
    </x:row>
    <x:row r="10" s="73" customFormat="1" ht="43.5" customHeight="1">
      <x:c r="A10" s="18" t="inlineStr">
        <x:is>
          <x:t xml:space="preserve">Scenario Apparent-Depth Outcomes</x:t>
        </x:is>
      </x:c>
      <x:c r="B10" s="19" t="inlineStr">
        <x:is>
          <x:t xml:space="preserve">Compares apparent-depth outcomes for the checked custom and paper-derived pass cases.</x:t>
        </x:is>
      </x:c>
      <x:c r="C10" s="19" t="inlineStr">
        <x:is>
          <x:t xml:space="preserve">Shows why long, low-altitude passes can dominate apparent-depth scale.</x:t>
        </x:is>
      </x:c>
      <x:c r="D10" s="19" t="inlineStr">
        <x:is>
          <x:t xml:space="preserve">The grey zero-depth reference is not a model run.</x:t>
        </x:is>
      </x:c>
      <x:c r="E10" s="19" t="inlineStr">
        <x:is>
          <x:t xml:space="preserve">Scenario_Data!BE:BJ</x:t>
        </x:is>
      </x:c>
      <x:c r="F10" s="19" t="inlineStr">
        <x:is>
          <x:t xml:space="preserve">Scenario apparent_depth = (R_off - R_nadir)*1000/n using each scenario z(x).</x:t>
        </x:is>
      </x:c>
      <x:c r="G10" s="19" t="inlineStr">
        <x:is>
          <x:t xml:space="preserve">Scenario checks in Checks!B17:B18</x:t>
        </x:is>
      </x:c>
    </x:row>
    <x:row r="11" s="73" customFormat="1" ht="43.5" customHeight="1">
      <x:c r="A11" s="18" t="inlineStr">
        <x:is>
          <x:t xml:space="preserve">Scenario Altitude Profiles</x:t>
        </x:is>
      </x:c>
      <x:c r="B11" s="19" t="inlineStr">
        <x:is>
          <x:t xml:space="preserve">Plots altitude versus normalized pass position for the checked custom and paper-derived pass cases.</x:t>
        </x:is>
      </x:c>
      <x:c r="C11" s="19" t="inlineStr">
        <x:is>
          <x:t xml:space="preserve">Shows the parabolic path assumptions used to convert the paper constraints into comparable runs.</x:t>
        </x:is>
      </x:c>
      <x:c r="D11" s="19" t="inlineStr">
        <x:is>
          <x:t xml:space="preserve">The grey surface floor is 0 km and is not a spacecraft trajectory.</x:t>
        </x:is>
      </x:c>
      <x:c r="E11" s="19" t="inlineStr">
        <x:is>
          <x:t xml:space="preserve">Scenario_Data!AX:BC</x:t>
        </x:is>
      </x:c>
      <x:c r="F11" s="19" t="inlineStr">
        <x:is>
          <x:t xml:space="preserve">z(x) = z0 + Delta_z_edge*(x/x_edge)^2.</x:t>
        </x:is>
      </x:c>
      <x:c r="G11" s="19" t="inlineStr">
        <x:is>
          <x:t xml:space="preserve">Scenario checks in Checks!B17:B18</x:t>
        </x:is>
      </x:c>
    </x:row>
    <x:row r="12" s="73" customFormat="1" ht="31.5" customHeight="1">
      <x:c r="A12" s="17" t="n"/>
      <x:c r="B12" s="17" t="n"/>
      <x:c r="C12" s="17" t="n"/>
      <x:c r="D12" s="17" t="n"/>
      <x:c r="E12" s="17" t="n"/>
      <x:c r="F12" s="17" t="n"/>
      <x:c r="G12" s="17" t="n"/>
    </x:row>
    <x:row r="13" s="73" customFormat="1" ht="31.5" customHeight="1">
      <x:c r="A13" s="72" t="inlineStr">
        <x:is>
          <x:t xml:space="preserve">Formula Audit Summary</x:t>
        </x:is>
      </x:c>
    </x:row>
    <x:row r="14" s="73" customFormat="1" ht="31.5" customHeight="1">
      <x:c r="A14" s="22" t="inlineStr">
        <x:is>
          <x:t xml:space="preserve">Audit item</x:t>
        </x:is>
      </x:c>
      <x:c r="B14" s="22" t="inlineStr">
        <x:is>
          <x:t xml:space="preserve">Live result</x:t>
        </x:is>
      </x:c>
      <x:c r="C14" s="22" t="inlineStr">
        <x:is>
          <x:t xml:space="preserve">Unit</x:t>
        </x:is>
      </x:c>
      <x:c r="D14" s="22" t="inlineStr">
        <x:is>
          <x:t xml:space="preserve">Formula / source</x:t>
        </x:is>
      </x:c>
      <x:c r="E14" s="22" t="inlineStr">
        <x:is>
          <x:t xml:space="preserve">Why it matters</x:t>
        </x:is>
      </x:c>
      <x:c r="F14" s="17" t="n"/>
      <x:c r="G14" s="17" t="n"/>
    </x:row>
    <x:row r="15" s="73" customFormat="1" ht="40.5" customHeight="1">
      <x:c r="A15" s="18" t="inlineStr">
        <x:is>
          <x:t xml:space="preserve">Workbook checks</x:t>
        </x:is>
      </x:c>
      <x:c r="B15" s="20" t="str">
        <x:f>IF(COUNTIF(Checks!B4:B23,"OK")=ROWS(Checks!B4:B23),"OK","Review Checks")</x:f>
        <x:v>OK</x:v>
      </x:c>
      <x:c r="C15" s="19" t="n"/>
      <x:c r="D15" s="19" t="inlineStr">
        <x:is>
          <x:t xml:space="preserve">=IF(COUNTIF(Checks!B4:B23,"OK")=ROWS(Checks!B4:B23),"OK","Review Checks")</x:t>
        </x:is>
      </x:c>
      <x:c r="E15" s="19" t="inlineStr">
        <x:is>
          <x:t xml:space="preserve">Confirms input bounds, chart helper links, and apparent-height conversion checks.</x:t>
        </x:is>
      </x:c>
      <x:c r="F15" s="17" t="n"/>
      <x:c r="G15" s="17" t="n"/>
    </x:row>
    <x:row r="16" s="73" customFormat="1" ht="40.5" customHeight="1">
      <x:c r="A16" s="18" t="inlineStr">
        <x:is>
          <x:t xml:space="preserve">Flat apparent depth at mid-pass</x:t>
        </x:is>
      </x:c>
      <x:c r="B16" s="21" t="n">
        <x:f>Dashboard!B7</x:f>
        <x:v>550.6998603390537</x:v>
      </x:c>
      <x:c r="C16" s="19" t="inlineStr">
        <x:is>
          <x:t xml:space="preserve">m</x:t>
        </x:is>
      </x:c>
      <x:c r="D16" s="19" t="inlineStr">
        <x:is>
          <x:t xml:space="preserve">=Dashboard!B7</x:t>
        </x:is>
      </x:c>
      <x:c r="E16" s="19" t="inlineStr">
        <x:is>
          <x:t xml:space="preserve">Expected flat-surface radar apparent depth before topography is applied.</x:t>
        </x:is>
      </x:c>
      <x:c r="F16" s="17" t="n"/>
      <x:c r="G16" s="17" t="n"/>
    </x:row>
    <x:row r="17" s="73" customFormat="1" ht="40.5" customHeight="1">
      <x:c r="A17" s="18" t="inlineStr">
        <x:is>
          <x:t xml:space="preserve">Topography-adjusted apparent depth at mid-pass</x:t>
        </x:is>
      </x:c>
      <x:c r="B17" s="21" t="n">
        <x:f>Dashboard!B8</x:f>
        <x:v>278.8355336025972</x:v>
      </x:c>
      <x:c r="C17" s="19" t="inlineStr">
        <x:is>
          <x:t xml:space="preserve">m</x:t>
        </x:is>
      </x:c>
      <x:c r="D17" s="19" t="inlineStr">
        <x:is>
          <x:t xml:space="preserve">=Dashboard!B8</x:t>
        </x:is>
      </x:c>
      <x:c r="E17" s="19" t="inlineStr">
        <x:is>
          <x:t xml:space="preserve">Same geometry after terrain height changes the nadir and target ranges.</x:t>
        </x:is>
      </x:c>
      <x:c r="F17" s="17" t="n"/>
      <x:c r="G17" s="17" t="n"/>
    </x:row>
    <x:row r="18" s="73" customFormat="1" ht="40.5" customHeight="1">
      <x:c r="A18" s="18" t="inlineStr">
        <x:is>
          <x:t xml:space="preserve">Depth change from topography</x:t>
        </x:is>
      </x:c>
      <x:c r="B18" s="21" t="n">
        <x:f>Dashboard!B9</x:f>
        <x:v>-271.86432673645646</x:v>
      </x:c>
      <x:c r="C18" s="19" t="inlineStr">
        <x:is>
          <x:t xml:space="preserve">m</x:t>
        </x:is>
      </x:c>
      <x:c r="D18" s="19" t="inlineStr">
        <x:is>
          <x:t xml:space="preserve">=Dashboard!B9</x:t>
        </x:is>
      </x:c>
      <x:c r="E18" s="19" t="inlineStr">
        <x:is>
          <x:t xml:space="preserve">Topo apparent depth minus flat apparent depth; negative means the echo appears shallower.</x:t>
        </x:is>
      </x:c>
      <x:c r="F18" s="17" t="n"/>
      <x:c r="G18" s="17" t="n"/>
    </x:row>
    <x:row r="19" s="73" customFormat="1" ht="40.5" customHeight="1">
      <x:c r="A19" s="18" t="inlineStr">
        <x:is>
          <x:t xml:space="preserve">Simple minimum PRF with topo</x:t>
        </x:is>
      </x:c>
      <x:c r="B19" s="21" t="n">
        <x:f>Dashboard!B16</x:f>
        <x:v>1068.1204298898592</x:v>
      </x:c>
      <x:c r="C19" s="19" t="inlineStr">
        <x:is>
          <x:t xml:space="preserve">Hz</x:t>
        </x:is>
      </x:c>
      <x:c r="D19" s="19" t="inlineStr">
        <x:is>
          <x:t xml:space="preserve">=Dashboard!B16</x:t>
        </x:is>
      </x:c>
      <x:c r="E19" s="19" t="inlineStr">
        <x:is>
          <x:t xml:space="preserve">Twice max absolute topography-adjusted VHF Doppler.</x:t>
        </x:is>
      </x:c>
      <x:c r="F19" s="17" t="n"/>
      <x:c r="G19" s="17" t="n"/>
    </x:row>
    <x:row r="20" s="73" customFormat="1" ht="40.5" customHeight="1">
      <x:c r="A20" s="18" t="inlineStr">
        <x:is>
          <x:t xml:space="preserve">Chart baseline treatment</x:t>
        </x:is>
      </x:c>
      <x:c r="B20" s="20" t="inlineStr">
        <x:is>
          <x:t xml:space="preserve">OK</x:t>
        </x:is>
      </x:c>
      <x:c r="C20" s="19" t="n"/>
      <x:c r="D20" s="19" t="inlineStr">
        <x:is>
          <x:t xml:space="preserve">Baselines renamed and styled neutral grey.</x:t>
        </x:is>
      </x:c>
      <x:c r="E20" s="19" t="inlineStr">
        <x:is>
          <x:t xml:space="preserve">Prevents reference floors from reading like orange model output lines.</x:t>
        </x:is>
      </x:c>
      <x:c r="F20" s="17" t="n"/>
      <x:c r="G20" s="17" t="n"/>
    </x:row>
    <x:row r="22" s="73" customFormat="1" ht="16.799999237060547" customHeight="1">
      <x:c r="A22" s="28" t="inlineStr">
        <x:is>
          <x:t xml:space="preserve">Subsurface Dashboard Graphs</x:t>
        </x:is>
      </x:c>
    </x:row>
    <x:row r="23">
      <x:c r="A23" s="23" t="inlineStr">
        <x:is>
          <x:t xml:space="preserve">Graph</x:t>
        </x:is>
      </x:c>
      <x:c r="B23" s="23" t="inlineStr">
        <x:is>
          <x:t xml:space="preserve">What it shows</x:t>
        </x:is>
      </x:c>
      <x:c r="C23" s="23" t="inlineStr">
        <x:is>
          <x:t xml:space="preserve">Why it matters</x:t>
        </x:is>
      </x:c>
      <x:c r="D23" s="23" t="inlineStr">
        <x:is>
          <x:t xml:space="preserve">How to read the baseline</x:t>
        </x:is>
      </x:c>
      <x:c r="E23" s="23" t="inlineStr">
        <x:is>
          <x:t xml:space="preserve">Source range</x:t>
        </x:is>
      </x:c>
      <x:c r="F23" s="23" t="inlineStr">
        <x:is>
          <x:t xml:space="preserve">Formula basis</x:t>
        </x:is>
      </x:c>
      <x:c r="G23" s="23" t="inlineStr">
        <x:is>
          <x:t xml:space="preserve">Audit status</x:t>
        </x:is>
      </x:c>
    </x:row>
    <x:row r="24" s="73" customFormat="1" ht="27.600000381469727" customHeight="1">
      <x:c r="A24" s="25" t="inlineStr">
        <x:is>
          <x:t xml:space="preserve">Subsurface Truth Model: Icy Layers</x:t>
        </x:is>
      </x:c>
      <x:c r="B24" s="25" t="inlineStr">
        <x:is>
          <x:t xml:space="preserve">Icy topography plus shallow ice, lens, and possible ocean boundary elevations.</x:t>
        </x:is>
      </x:c>
      <x:c r="C24" s="25" t="inlineStr">
        <x:is>
          <x:t xml:space="preserve">Shows the hidden simulated structure before radar distortion.</x:t>
        </x:is>
      </x:c>
      <x:c r="D24" s="25" t="inlineStr">
        <x:is>
          <x:t xml:space="preserve">Surface/topography is icy terrain, not rock.</x:t>
        </x:is>
      </x:c>
      <x:c r="E24" s="25" t="inlineStr">
        <x:is>
          <x:t xml:space="preserve">Subsurface_Live_Data!A:L</x:t>
        </x:is>
      </x:c>
      <x:c r="F24" s="25" t="inlineStr">
        <x:is>
          <x:t xml:space="preserve">Depth formulas from Subsurface_Inputs.</x:t>
        </x:is>
      </x:c>
      <x:c r="G24" s="25" t="inlineStr">
        <x:is>
          <x:t xml:space="preserve">See Subsurface_Checks</x:t>
        </x:is>
      </x:c>
    </x:row>
    <x:row r="25" s="73" customFormat="1" ht="27.600000381469727" customHeight="1">
      <x:c r="A25" s="25" t="inlineStr">
        <x:is>
          <x:t xml:space="preserve">Subsurface Radar Delay</x:t>
        </x:is>
      </x:c>
      <x:c r="B25" s="25" t="inlineStr">
        <x:is>
          <x:t xml:space="preserve">Two-way delay after the surface return for each modeled layer.</x:t>
        </x:is>
      </x:c>
      <x:c r="C25" s="25" t="inlineStr">
        <x:is>
          <x:t xml:space="preserve">Shows when each reflector would appear in a radargram.</x:t>
        </x:is>
      </x:c>
      <x:c r="D25" s="25" t="inlineStr">
        <x:is>
          <x:t xml:space="preserve">0 us means the surface return; larger delay means deeper ice.</x:t>
        </x:is>
      </x:c>
      <x:c r="E25" s="25" t="inlineStr">
        <x:is>
          <x:t xml:space="preserve">Subsurface_Live_Data!A:M:O</x:t>
        </x:is>
      </x:c>
      <x:c r="F25" s="25" t="inlineStr">
        <x:is>
          <x:t xml:space="preserve">delay_us = 2*n*depth/c*1e6</x:t>
        </x:is>
      </x:c>
      <x:c r="G25" s="25" t="inlineStr">
        <x:is>
          <x:t xml:space="preserve">See Subsurface_Checks</x:t>
        </x:is>
      </x:c>
    </x:row>
    <x:row r="26" s="73" customFormat="1" ht="27.600000381469727" customHeight="1">
      <x:c r="A26" s="25" t="inlineStr">
        <x:is>
          <x:t xml:space="preserve">Estimated Subsurface Echo Strength</x:t>
        </x:is>
      </x:c>
      <x:c r="B26" s="25" t="inlineStr">
        <x:is>
          <x:t xml:space="preserve">Relative echo strength for shallow ice, lens, and possible ocean boundary.</x:t>
        </x:is>
      </x:c>
      <x:c r="C26" s="25" t="inlineStr">
        <x:is>
          <x:t xml:space="preserve">Shows which returns may be easiest or hardest to detect.</x:t>
        </x:is>
      </x:c>
      <x:c r="D26" s="25" t="inlineStr">
        <x:is>
          <x:t xml:space="preserve">Higher / less negative dB is stronger.</x:t>
        </x:is>
      </x:c>
      <x:c r="E26" s="25" t="inlineStr">
        <x:is>
          <x:t xml:space="preserve">Subsurface_Live_Data!A:P:R</x:t>
        </x:is>
      </x:c>
      <x:c r="F26" s="25" t="inlineStr">
        <x:is>
          <x:t xml:space="preserve">base contrast - attenuation - roughness penalty</x:t>
        </x:is>
      </x:c>
      <x:c r="G26" s="25" t="inlineStr">
        <x:is>
          <x:t xml:space="preserve">See Subsurface_Checks</x:t>
        </x:is>
      </x:c>
    </x:row>
    <x:row r="27" s="73" customFormat="1" ht="27.600000381469727" customHeight="1">
      <x:c r="A27" s="25" t="inlineStr">
        <x:is>
          <x:t xml:space="preserve">Possible Warm/Briny Lens Strength</x:t>
        </x:is>
      </x:c>
      <x:c r="B27" s="25" t="inlineStr">
        <x:is>
          <x:t xml:space="preserve">Strength of possible local internal lens contrast.</x:t>
        </x:is>
      </x:c>
      <x:c r="C27" s="25" t="inlineStr">
        <x:is>
          <x:t xml:space="preserve">Highlights where internal ice may produce a distinct reflector.</x:t>
        </x:is>
      </x:c>
      <x:c r="D27" s="25" t="inlineStr">
        <x:is>
          <x:t xml:space="preserve">0 means absent/weak; 1 means strongest modeled contrast.</x:t>
        </x:is>
      </x:c>
      <x:c r="E27" s="25" t="inlineStr">
        <x:is>
          <x:t xml:space="preserve">Subsurface_Live_Data!A:H</x:t>
        </x:is>
      </x:c>
      <x:c r="F27" s="25" t="inlineStr">
        <x:is>
          <x:t xml:space="preserve">Gaussian lens strength fields.</x:t>
        </x:is>
      </x:c>
      <x:c r="G27" s="25" t="inlineStr">
        <x:is>
          <x:t xml:space="preserve">See Subsurface_Checks</x:t>
        </x:is>
      </x:c>
    </x:row>
    <x:row r="29" s="73" customFormat="1" ht="27.600000381469727" customHeight="1">
      <x:c r="A29" s="25" t="inlineStr">
        <x:is>
          <x:t xml:space="preserve">Detectability Margin vs Threshold</x:t>
        </x:is>
      </x:c>
      <x:c r="B29" s="25" t="inlineStr">
        <x:is>
          <x:t xml:space="preserve">Shows whether lens/ocean echoes clear a simple detection threshold.</x:t>
        </x:is>
      </x:c>
      <x:c r="C29" s="25" t="inlineStr">
        <x:is>
          <x:t xml:space="preserve">Useful for judging whether the simulated bottom layer would be visible.</x:t>
        </x:is>
      </x:c>
      <x:c r="D29" s="25" t="inlineStr">
        <x:is>
          <x:t xml:space="preserve">0 dB is the threshold line.</x:t>
        </x:is>
      </x:c>
      <x:c r="E29" s="25" t="inlineStr">
        <x:is>
          <x:t xml:space="preserve">Subsurface_Live_Data!A:X:Y:AA</x:t>
        </x:is>
      </x:c>
      <x:c r="F29" s="25" t="inlineStr">
        <x:is>
          <x:t xml:space="preserve">margin = echo - threshold</x:t>
        </x:is>
      </x:c>
      <x:c r="G29" s="25" t="inlineStr">
        <x:is>
          <x:t xml:space="preserve">See Subsurface_Checks</x:t>
        </x:is>
      </x:c>
    </x:row>
    <x:row r="30" s="73" customFormat="1" ht="27.600000381469727" customHeight="1">
      <x:c r="A30" s="25" t="inlineStr">
        <x:is>
          <x:t xml:space="preserve">Ice Shell Thickness Along Track</x:t>
        </x:is>
      </x:c>
      <x:c r="B30" s="25" t="inlineStr">
        <x:is>
          <x:t xml:space="preserve">Shows possible ice-ocean boundary depth as thickness.</x:t>
        </x:is>
      </x:c>
      <x:c r="C30" s="25" t="inlineStr">
        <x:is>
          <x:t xml:space="preserve">Useful because the mission question is about what is below the icy surface.</x:t>
        </x:is>
      </x:c>
      <x:c r="D30" s="25" t="inlineStr">
        <x:is>
          <x:t xml:space="preserve">No baseline; line is synthetic proposed thickness.</x:t>
        </x:is>
      </x:c>
      <x:c r="E30" s="25" t="inlineStr">
        <x:is>
          <x:t xml:space="preserve">Subsurface_Live_Data!A:K</x:t>
        </x:is>
      </x:c>
      <x:c r="F30" s="25" t="inlineStr">
        <x:is>
          <x:t xml:space="preserve">ocean_depth formula from Subsurface_Inputs</x:t>
        </x:is>
      </x:c>
      <x:c r="G30" s="25" t="inlineStr">
        <x:is>
          <x:t xml:space="preserve">See Subsurface_Checks</x:t>
        </x:is>
      </x:c>
    </x:row>
    <x:row r="32" s="73" customFormat="1" ht="27.600000381469727" customHeight="1">
      <x:c r="A32" s="25" t="inlineStr">
        <x:is>
          <x:t xml:space="preserve">Scenario Comparison: Thin / Medium / Thick Ice</x:t>
        </x:is>
      </x:c>
      <x:c r="B32" s="25" t="inlineStr">
        <x:is>
          <x:t xml:space="preserve">Compares possible ice shell thickness cases.</x:t>
        </x:is>
      </x:c>
      <x:c r="C32" s="25" t="inlineStr">
        <x:is>
          <x:t xml:space="preserve">Shows whether conclusions depend on one chosen depth.</x:t>
        </x:is>
      </x:c>
      <x:c r="D32" s="25" t="inlineStr">
        <x:is>
          <x:t xml:space="preserve">Medium is the live model; thin/thick are scenario multipliers.</x:t>
        </x:is>
      </x:c>
      <x:c r="E32" s="25" t="inlineStr">
        <x:is>
          <x:t xml:space="preserve">Subsurface_Scenario_Data!A:E:G</x:t>
        </x:is>
      </x:c>
      <x:c r="F32" s="25" t="inlineStr">
        <x:is>
          <x:t xml:space="preserve">scenario_depth = mean_depth*multiplier</x:t>
        </x:is>
      </x:c>
      <x:c r="G32" s="25" t="inlineStr">
        <x:is>
          <x:t xml:space="preserve">Live from Subsurface_Inputs</x:t>
        </x:is>
      </x:c>
    </x:row>
    <x:row r="33" s="73" customFormat="1" ht="27.600000381469727" customHeight="1">
      <x:c r="A33" s="25" t="inlineStr">
        <x:is>
          <x:t xml:space="preserve">Boundary Uncertainty Band</x:t>
        </x:is>
      </x:c>
      <x:c r="B33" s="25" t="inlineStr">
        <x:is>
          <x:t xml:space="preserve">Shows lower/mean/upper possible bottom reflector depths.</x:t>
        </x:is>
      </x:c>
      <x:c r="C33" s="25" t="inlineStr">
        <x:is>
          <x:t xml:space="preserve">Avoids pretending the boundary is exactly known.</x:t>
        </x:is>
      </x:c>
      <x:c r="D33" s="25" t="inlineStr">
        <x:is>
          <x:t xml:space="preserve">Mean is the live model.</x:t>
        </x:is>
      </x:c>
      <x:c r="E33" s="25" t="inlineStr">
        <x:is>
          <x:t xml:space="preserve">Subsurface_Scenario_Data!A:B:D</x:t>
        </x:is>
      </x:c>
      <x:c r="F33" s="25" t="inlineStr">
        <x:is>
          <x:t xml:space="preserve">mean +/- uncertainty</x:t>
        </x:is>
      </x:c>
      <x:c r="G33" s="25" t="inlineStr">
        <x:is>
          <x:t xml:space="preserve">Live from Subsurface_Inputs</x:t>
        </x:is>
      </x:c>
    </x:row>
    <x:row r="34" s="73" customFormat="1" ht="27.600000381469727" customHeight="1">
      <x:c r="A34" s="25" t="inlineStr">
        <x:is>
          <x:t xml:space="preserve">Ocean Model vs No-Ocean Control</x:t>
        </x:is>
      </x:c>
      <x:c r="B34" s="25" t="inlineStr">
        <x:is>
          <x:t xml:space="preserve">Compares deep-reflector detectability against a no-ocean control.</x:t>
        </x:is>
      </x:c>
      <x:c r="C34" s="25" t="inlineStr">
        <x:is>
          <x:t xml:space="preserve">A proposed ocean model should separate from the control.</x:t>
        </x:is>
      </x:c>
      <x:c r="D34" s="25" t="inlineStr">
        <x:is>
          <x:t xml:space="preserve">0 dB is threshold.</x:t>
        </x:is>
      </x:c>
      <x:c r="E34" s="25" t="inlineStr">
        <x:is>
          <x:t xml:space="preserve">Subsurface_Scenario_Data!A:H:J</x:t>
        </x:is>
      </x:c>
      <x:c r="F34" s="25" t="inlineStr">
        <x:is>
          <x:t xml:space="preserve">margin = echo - threshold</x:t>
        </x:is>
      </x:c>
      <x:c r="G34" s="25" t="inlineStr">
        <x:is>
          <x:t xml:space="preserve">Live from Subsurface_Inputs</x:t>
        </x:is>
      </x:c>
    </x:row>
    <x:row r="35" s="73" customFormat="1" ht="27.600000381469727" customHeight="1">
      <x:c r="A35" s="25" t="inlineStr">
        <x:is>
          <x:t xml:space="preserve">Radargram-Style Return Timing With Clutter</x:t>
        </x:is>
      </x:c>
      <x:c r="B35" s="25" t="inlineStr">
        <x:is>
          <x:t xml:space="preserve">Shows surface clutter, shallow return, lens return, and deep return timing.</x:t>
        </x:is>
      </x:c>
      <x:c r="C35" s="25" t="inlineStr">
        <x:is>
          <x:t xml:space="preserve">Closer to what radar interpretation feels like than clean depth lines.</x:t>
        </x:is>
      </x:c>
      <x:c r="D35" s="25" t="inlineStr">
        <x:is>
          <x:t xml:space="preserve">Delay is after surface return.</x:t>
        </x:is>
      </x:c>
      <x:c r="E35" s="25" t="inlineStr">
        <x:is>
          <x:t xml:space="preserve">Subsurface_Radargram_Data!A:F</x:t>
        </x:is>
      </x:c>
      <x:c r="F35" s="25" t="inlineStr">
        <x:is>
          <x:t xml:space="preserve">layer delay + jitter</x:t>
        </x:is>
      </x:c>
      <x:c r="G35" s="25" t="inlineStr">
        <x:is>
          <x:t xml:space="preserve">Live from Subsurface_Inputs</x:t>
        </x:is>
      </x:c>
    </x:row>
    <x:row r="36" s="73" customFormat="1" ht="27.600000381469727" customHeight="1">
      <x:c r="A36" s="25" t="inlineStr">
        <x:is>
          <x:t xml:space="preserve">Reflection Strength by Material / Interface</x:t>
        </x:is>
      </x:c>
      <x:c r="B36" s="25" t="inlineStr">
        <x:is>
          <x:t xml:space="preserve">Compares relative reflector strength of likely ice/ocean materials.</x:t>
        </x:is>
      </x:c>
      <x:c r="C36" s="25" t="inlineStr">
        <x:is>
          <x:t xml:space="preserve">Material contrast matters as much as shape.</x:t>
        </x:is>
      </x:c>
      <x:c r="D36" s="25" t="inlineStr">
        <x:is>
          <x:t xml:space="preserve">Less negative is stronger.</x:t>
        </x:is>
      </x:c>
      <x:c r="E36" s="25" t="inlineStr">
        <x:is>
          <x:t xml:space="preserve">Subsurface_Materials_Evidence!A:B</x:t>
        </x:is>
      </x:c>
      <x:c r="F36" s="25" t="inlineStr">
        <x:is>
          <x:t xml:space="preserve">lookup assumptions</x:t>
        </x:is>
      </x:c>
      <x:c r="G36" s="25" t="inlineStr">
        <x:is>
          <x:t xml:space="preserve">Editable through table if needed</x:t>
        </x:is>
      </x:c>
    </x:row>
    <x:row r="37" s="73" customFormat="1" ht="27.600000381469727" customHeight="1">
      <x:c r="A37" s="25" t="inlineStr">
        <x:is>
          <x:t xml:space="preserve">Cross-Instrument Evidence Score</x:t>
        </x:is>
      </x:c>
      <x:c r="B37" s="25" t="inlineStr">
        <x:is>
          <x:t xml:space="preserve">Radar, thermal, composition, and magnetic/plasma support inputs.</x:t>
        </x:is>
      </x:c>
      <x:c r="C37" s="25" t="inlineStr">
        <x:is>
          <x:t xml:space="preserve">Makes the model more realistic by not relying on radar alone.</x:t>
        </x:is>
      </x:c>
      <x:c r="D37" s="25" t="inlineStr">
        <x:is>
          <x:t xml:space="preserve">Higher percent means stronger support.</x:t>
        </x:is>
      </x:c>
      <x:c r="E37" s="25" t="inlineStr">
        <x:is>
          <x:t xml:space="preserve">Subsurface_Materials_Evidence!A:B</x:t>
        </x:is>
      </x:c>
      <x:c r="F37" s="25" t="inlineStr">
        <x:is>
          <x:t xml:space="preserve">weighted evidence score</x:t>
        </x:is>
      </x:c>
      <x:c r="G37" s="25" t="inlineStr">
        <x:is>
          <x:t xml:space="preserve">Live from Subsurface_Inputs</x:t>
        </x:is>
      </x:c>
    </x:row>
  </x:sheetData>
  <x:mergeCells>
    <x:mergeCell ref="A13:G13"/>
    <x:mergeCell ref="A2:G2"/>
    <x:mergeCell ref="A1:G1"/>
  </x:mergeCells>
  <x:pageMargins left="0.7" right="0.7" top="0.75" bottom="0.75" header="0.3" footer="0.3"/>
</x:worksheet>
</file>

<file path=xl/worksheets/sheet20.xml><?xml version="1.0" encoding="utf-8"?>
<x:worksheet xmlns:x="http://schemas.openxmlformats.org/spreadsheetml/2006/main">
  <x:sheetFormatPr baseColWidth="8" defaultRowHeight="13.800000190734863"/>
  <x:sheetData>
    <x:row r="1">
      <x:c r="A1" t="inlineStr">
        <x:is>
          <x:t xml:space="preserve">Terrain x (km)</x:t>
        </x:is>
      </x:c>
      <x:c r="B1" t="inlineStr">
        <x:is>
          <x:t xml:space="preserve">Total radar elevation error (m)</x:t>
        </x:is>
      </x:c>
      <x:c r="D1" t="inlineStr">
        <x:is>
          <x:t xml:space="preserve">Surface x (km)</x:t>
        </x:is>
      </x:c>
      <x:c r="E1" t="inlineStr">
        <x:is>
          <x:t xml:space="preserve">Reference floor = generated topography (m)</x:t>
        </x:is>
      </x:c>
      <x:c r="F1" t="inlineStr">
        <x:is>
          <x:t xml:space="preserve">Off-nadir target terrain (m)</x:t>
        </x:is>
      </x:c>
      <x:c r="G1" t="inlineStr">
        <x:is>
          <x:t xml:space="preserve">Nadir terrain (m)</x:t>
        </x:is>
      </x:c>
      <x:c r="I1" t="inlineStr">
        <x:is>
          <x:t xml:space="preserve">Normalized pass position</x:t>
        </x:is>
      </x:c>
      <x:c r="J1" t="inlineStr">
        <x:is>
          <x:t xml:space="preserve">Custom parabolic, 400 km height, 120-km pass</x:t>
        </x:is>
      </x:c>
      <x:c r="K1" t="inlineStr">
        <x:is>
          <x:t xml:space="preserve">Paper parabolic low-altitude, 35 km height, 800-km pass</x:t>
        </x:is>
      </x:c>
      <x:c r="L1" t="inlineStr">
        <x:is>
          <x:t xml:space="preserve">Paper parabolic ice-ocean, 35 km height, 1600-km pass</x:t>
        </x:is>
      </x:c>
      <x:c r="M1" t="inlineStr">
        <x:is>
          <x:t xml:space="preserve">Operating parabolic, 25 km height, 1600-km pass</x:t>
        </x:is>
      </x:c>
      <x:c r="O1" t="inlineStr">
        <x:is>
          <x:t xml:space="preserve">Nadir no-topo x - Custom parabolic, 400 km height, 120-km pass</x:t>
        </x:is>
      </x:c>
      <x:c r="P1" t="inlineStr">
        <x:is>
          <x:t xml:space="preserve">Nadir no-topo delay us - Custom parabolic, 400 km height, 120-km pass</x:t>
        </x:is>
      </x:c>
      <x:c r="Q1" t="inlineStr">
        <x:is>
          <x:t xml:space="preserve">Nadir no-topo x - Paper parabolic low-altitude, 35 km height, 800-km pass</x:t>
        </x:is>
      </x:c>
      <x:c r="R1" t="inlineStr">
        <x:is>
          <x:t xml:space="preserve">Nadir no-topo delay us - Paper parabolic low-altitude, 35 km height, 800-km pass</x:t>
        </x:is>
      </x:c>
      <x:c r="S1" t="inlineStr">
        <x:is>
          <x:t xml:space="preserve">Nadir no-topo x - Paper parabolic ice-ocean, 35 km height, 1600-km pass</x:t>
        </x:is>
      </x:c>
      <x:c r="T1" t="inlineStr">
        <x:is>
          <x:t xml:space="preserve">Nadir no-topo delay us - Paper parabolic ice-ocean, 35 km height, 1600-km pass</x:t>
        </x:is>
      </x:c>
      <x:c r="U1" t="inlineStr">
        <x:is>
          <x:t xml:space="preserve">Nadir no-topo x - Operating parabolic, 25 km height, 1600-km pass</x:t>
        </x:is>
      </x:c>
      <x:c r="V1" t="inlineStr">
        <x:is>
          <x:t xml:space="preserve">Nadir no-topo delay us - Operating parabolic, 25 km height, 1600-km pass</x:t>
        </x:is>
      </x:c>
      <x:c r="X1" t="inlineStr">
        <x:is>
          <x:t xml:space="preserve">Nadir topo x - Custom parabolic, 400 km height, 120-km pass</x:t>
        </x:is>
      </x:c>
      <x:c r="Y1" t="inlineStr">
        <x:is>
          <x:t xml:space="preserve">Nadir topo delay us - Custom parabolic, 400 km height, 120-km pass</x:t>
        </x:is>
      </x:c>
      <x:c r="Z1" t="inlineStr">
        <x:is>
          <x:t xml:space="preserve">Nadir topo x - Paper parabolic low-altitude, 35 km height, 800-km pass</x:t>
        </x:is>
      </x:c>
      <x:c r="AA1" t="inlineStr">
        <x:is>
          <x:t xml:space="preserve">Nadir topo delay us - Paper parabolic low-altitude, 35 km height, 800-km pass</x:t>
        </x:is>
      </x:c>
      <x:c r="AB1" t="inlineStr">
        <x:is>
          <x:t xml:space="preserve">Nadir topo x - Paper parabolic ice-ocean, 35 km height, 1600-km pass</x:t>
        </x:is>
      </x:c>
      <x:c r="AC1" t="inlineStr">
        <x:is>
          <x:t xml:space="preserve">Nadir topo delay us - Paper parabolic ice-ocean, 35 km height, 1600-km pass</x:t>
        </x:is>
      </x:c>
      <x:c r="AD1" t="inlineStr">
        <x:is>
          <x:t xml:space="preserve">Nadir topo x - Operating parabolic, 25 km height, 1600-km pass</x:t>
        </x:is>
      </x:c>
      <x:c r="AE1" t="inlineStr">
        <x:is>
          <x:t xml:space="preserve">Nadir topo delay us - Operating parabolic, 25 km height, 1600-km pass</x:t>
        </x:is>
      </x:c>
      <x:c r="AG1" t="inlineStr">
        <x:is>
          <x:t xml:space="preserve">Off-nadir no-topo x - Custom parabolic, 400 km height, 120-km pass</x:t>
        </x:is>
      </x:c>
      <x:c r="AH1" t="inlineStr">
        <x:is>
          <x:t xml:space="preserve">Off-nadir no-topo delay us - Custom parabolic, 400 km height, 120-km pass</x:t>
        </x:is>
      </x:c>
      <x:c r="AI1" t="inlineStr">
        <x:is>
          <x:t xml:space="preserve">Off-nadir no-topo x - Paper parabolic low-altitude, 35 km height, 800-km pass</x:t>
        </x:is>
      </x:c>
      <x:c r="AJ1" t="inlineStr">
        <x:is>
          <x:t xml:space="preserve">Off-nadir no-topo delay us - Paper parabolic low-altitude, 35 km height, 800-km pass</x:t>
        </x:is>
      </x:c>
      <x:c r="AK1" t="inlineStr">
        <x:is>
          <x:t xml:space="preserve">Off-nadir no-topo x - Paper parabolic ice-ocean, 35 km height, 1600-km pass</x:t>
        </x:is>
      </x:c>
      <x:c r="AL1" t="inlineStr">
        <x:is>
          <x:t xml:space="preserve">Off-nadir no-topo delay us - Paper parabolic ice-ocean, 35 km height, 1600-km pass</x:t>
        </x:is>
      </x:c>
      <x:c r="AM1" t="inlineStr">
        <x:is>
          <x:t xml:space="preserve">Off-nadir no-topo x - Operating parabolic, 25 km height, 1600-km pass</x:t>
        </x:is>
      </x:c>
      <x:c r="AN1" t="inlineStr">
        <x:is>
          <x:t xml:space="preserve">Off-nadir no-topo delay us - Operating parabolic, 25 km height, 1600-km pass</x:t>
        </x:is>
      </x:c>
      <x:c r="AP1" t="inlineStr">
        <x:is>
          <x:t xml:space="preserve">Off-nadir topo x - Custom parabolic, 400 km height, 120-km pass</x:t>
        </x:is>
      </x:c>
      <x:c r="AQ1" t="inlineStr">
        <x:is>
          <x:t xml:space="preserve">Off-nadir topo delay us - Custom parabolic, 400 km height, 120-km pass</x:t>
        </x:is>
      </x:c>
      <x:c r="AR1" t="inlineStr">
        <x:is>
          <x:t xml:space="preserve">Off-nadir topo x - Paper parabolic low-altitude, 35 km height, 800-km pass</x:t>
        </x:is>
      </x:c>
      <x:c r="AS1" t="inlineStr">
        <x:is>
          <x:t xml:space="preserve">Off-nadir topo delay us - Paper parabolic low-altitude, 35 km height, 800-km pass</x:t>
        </x:is>
      </x:c>
      <x:c r="AT1" t="inlineStr">
        <x:is>
          <x:t xml:space="preserve">Off-nadir topo x - Paper parabolic ice-ocean, 35 km height, 1600-km pass</x:t>
        </x:is>
      </x:c>
      <x:c r="AU1" t="inlineStr">
        <x:is>
          <x:t xml:space="preserve">Off-nadir topo delay us - Paper parabolic ice-ocean, 35 km height, 1600-km pass</x:t>
        </x:is>
      </x:c>
      <x:c r="AV1" t="inlineStr">
        <x:is>
          <x:t xml:space="preserve">Off-nadir topo x - Operating parabolic, 25 km height, 1600-km pass</x:t>
        </x:is>
      </x:c>
      <x:c r="AW1" t="inlineStr">
        <x:is>
          <x:t xml:space="preserve">Off-nadir topo delay us - Operating parabolic, 25 km height, 1600-km pass</x:t>
        </x:is>
      </x:c>
    </x:row>
    <x:row r="2">
      <x:c r="A2" t="n">
        <x:f>Chart_Data!K2</x:f>
        <x:v>-60</x:v>
      </x:c>
      <x:c r="B2" t="n">
        <x:f>Chart_Data!N2-Chart_Data!L2</x:f>
        <x:v>-5.159813914717645</x:v>
      </x:c>
      <x:c r="D2" t="n">
        <x:f>Chart_Data!G2</x:f>
        <x:v>-60</x:v>
      </x:c>
      <x:c r="E2" t="n">
        <x:f>Chart_Data!H2</x:f>
        <x:v>119.42638570504096</x:v>
      </x:c>
      <x:c r="F2" t="n">
        <x:f>Chart_Data!I2</x:f>
        <x:v>119.42638570504096</x:v>
      </x:c>
      <x:c r="G2" t="n">
        <x:f>Chart_Data!J2</x:f>
        <x:v>2.7642790376402013</x:v>
      </x:c>
      <x:c r="I2" t="n">
        <x:f>Scenario_Data!A2</x:f>
        <x:v>-1</x:v>
      </x:c>
      <x:c r="J2" t="n">
        <x:f>Scenario_Data!H2-(((SQRT((Inputs!$C$52+(Inputs!$H$6))^2+Inputs!$C$52^2-2*(Inputs!$C$52+(Inputs!$H$6))*Inputs!$C$52*COS(SQRT((Scenario_Data!T2)^2+Inputs!$C$6^2)/Inputs!$C$52)))-(Inputs!$H$6))*1000/Inputs!$C$12)</x:f>
        <x:v>-28.60683575205121</x:v>
      </x:c>
      <x:c r="K2" t="n">
        <x:f>Scenario_Data!I2-(((SQRT((Inputs!$C$52+(Inputs!$H$7))^2+Inputs!$C$52^2-2*(Inputs!$C$52+(Inputs!$H$7))*Inputs!$C$52*COS(SQRT((Scenario_Data!U2)^2+Inputs!$C$6^2)/Inputs!$C$52)))-(Inputs!$H$7))*1000/Inputs!$C$12)</x:f>
        <x:v>-95550.6968246352</x:v>
      </x:c>
      <x:c r="L2" t="n">
        <x:f>Scenario_Data!J2-(((SQRT((Inputs!$C$52+(Inputs!$H$8))^2+Inputs!$C$52^2-2*(Inputs!$C$52+(Inputs!$H$8))*Inputs!$C$52*COS(SQRT((Scenario_Data!V2)^2+Inputs!$C$6^2)/Inputs!$C$52)))-(Inputs!$H$8))*1000/Inputs!$C$12)</x:f>
        <x:v>-192178.91313344726</x:v>
      </x:c>
      <x:c r="M2" t="n">
        <x:f>Scenario_Data!K2-(((SQRT((Inputs!$C$52+(Inputs!$H$9))^2+Inputs!$C$52^2-2*(Inputs!$C$52+(Inputs!$H$9))*Inputs!$C$52*COS(SQRT((Scenario_Data!W2)^2+Inputs!$C$6^2)/Inputs!$C$52)))-(Inputs!$H$9))*1000/Inputs!$C$12)</x:f>
        <x:v>-196175.94007289349</x:v>
      </x:c>
      <x:c r="O2" t="n">
        <x:f>Scenario_Data!T2</x:f>
        <x:v>-60</x:v>
      </x:c>
      <x:c r="P2" t="n">
        <x:f>2*(Scenario_Data!B2*1000)/Inputs!$C$21*1000000</x:f>
        <x:v>2695.1978892010684</x:v>
      </x:c>
      <x:c r="Q2" t="n">
        <x:f>Scenario_Data!U2</x:f>
        <x:v>-400</x:v>
      </x:c>
      <x:c r="R2" t="n">
        <x:f>2*(Scenario_Data!C2*1000)/Inputs!$C$21*1000000</x:f>
        <x:v>2668.5127615852166</x:v>
      </x:c>
      <x:c r="S2" t="n">
        <x:f>Scenario_Data!V2</x:f>
        <x:v>-800</x:v>
      </x:c>
      <x:c r="T2" t="n">
        <x:f>2*(Scenario_Data!D2*1000)/Inputs!$C$21*1000000</x:f>
        <x:v>6671.281903963041</x:v>
      </x:c>
      <x:c r="U2" t="n">
        <x:f>Scenario_Data!W2</x:f>
        <x:v>-800</x:v>
      </x:c>
      <x:c r="V2" t="n">
        <x:f>2*(Scenario_Data!E2*1000)/Inputs!$C$21*1000000</x:f>
        <x:v>6671.281903963041</x:v>
      </x:c>
      <x:c r="X2" t="n">
        <x:f>Scenario_Data!T2</x:f>
        <x:v>-60</x:v>
      </x:c>
      <x:c r="Y2" t="n">
        <x: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x:f>
        <x:v>2695.1794479163473</x:v>
      </x:c>
      <x:c r="Z2" t="n">
        <x:f>Scenario_Data!U2</x:f>
        <x:v>-400</x:v>
      </x:c>
      <x:c r="AA2" t="n">
        <x: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x:f>
        <x:v>2668.428145382045</x:v>
      </x:c>
      <x:c r="AB2" t="n">
        <x:f>Scenario_Data!V2</x:f>
        <x:v>-800</x:v>
      </x:c>
      <x:c r="AC2" t="n">
        <x: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x:f>
        <x:v>6671.247983955019</x:v>
      </x:c>
      <x:c r="AD2" t="n">
        <x:f>Scenario_Data!W2</x:f>
        <x:v>-800</x:v>
      </x:c>
      <x:c r="AE2" t="n">
        <x: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x:f>
        <x:v>6671.247983955019</x:v>
      </x:c>
      <x:c r="AG2" t="n">
        <x:f>Scenario_Data!T2</x:f>
        <x:v>-60</x:v>
      </x:c>
      <x:c r="AH2" t="n">
        <x:f>2*(SQRT((Inputs!$C$52+(Scenario_Data!B2))^2+Inputs!$C$52^2-2*(Inputs!$C$52+(Scenario_Data!B2))*Inputs!$C$52*COS(SQRT((Scenario_Data!T2)^2+Inputs!$C$6^2)/Inputs!$C$52))*1000)/Inputs!$C$21*1000000</x:f>
        <x:v>2738.7528797589603</x:v>
      </x:c>
      <x:c r="AI2" t="n">
        <x:f>Scenario_Data!U2</x:f>
        <x:v>-400</x:v>
      </x:c>
      <x:c r="AJ2" t="n">
        <x:f>2*(SQRT((Inputs!$C$52+(Scenario_Data!C2))^2+Inputs!$C$52^2-2*(Inputs!$C$52+(Scenario_Data!C2))*Inputs!$C$52*COS(SQRT((Scenario_Data!U2)^2+Inputs!$C$6^2)/Inputs!$C$52))*1000)/Inputs!$C$21*1000000</x:f>
        <x:v>4006.5669904921833</x:v>
      </x:c>
      <x:c r="AK2" t="n">
        <x:f>Scenario_Data!V2</x:f>
        <x:v>-800</x:v>
      </x:c>
      <x:c r="AL2" t="n">
        <x:f>2*(SQRT((Inputs!$C$52+(Scenario_Data!D2))^2+Inputs!$C$52^2-2*(Inputs!$C$52+(Scenario_Data!D2))*Inputs!$C$52*COS(SQRT((Scenario_Data!V2)^2+Inputs!$C$6^2)/Inputs!$C$52))*1000)/Inputs!$C$21*1000000</x:f>
        <x:v>9500.98992327336</x:v>
      </x:c>
      <x:c r="AM2" t="n">
        <x:f>Scenario_Data!W2</x:f>
        <x:v>-800</x:v>
      </x:c>
      <x:c r="AN2" t="n">
        <x:f>2*(SQRT((Inputs!$C$52+(Scenario_Data!E2))^2+Inputs!$C$52^2-2*(Inputs!$C$52+(Scenario_Data!E2))*Inputs!$C$52*COS(SQRT((Scenario_Data!W2)^2+Inputs!$C$6^2)/Inputs!$C$52))*1000)/Inputs!$C$21*1000000</x:f>
        <x:v>9500.98992327336</x:v>
      </x:c>
      <x:c r="AP2" t="n">
        <x:f>Scenario_Data!T2</x:f>
        <x:v>-60</x:v>
      </x:c>
      <x:c r="AQ2" t="n">
        <x: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x:f>
        <x:v>2737.9721339616262</x:v>
      </x:c>
      <x:c r="AR2" t="n">
        <x:f>Scenario_Data!U2</x:f>
        <x:v>-400</x:v>
      </x:c>
      <x:c r="AS2" t="n">
        <x: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x:f>
        <x:v>4006.1845220388846</x:v>
      </x:c>
      <x:c r="AT2" t="n">
        <x:f>Scenario_Data!V2</x:f>
        <x:v>-800</x:v>
      </x:c>
      <x:c r="AU2" t="n">
        <x: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x:f>
        <x:v>9500.556371343455</x:v>
      </x:c>
      <x:c r="AV2" t="n">
        <x:f>Scenario_Data!W2</x:f>
        <x:v>-800</x:v>
      </x:c>
      <x:c r="AW2" t="n">
        <x: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x:f>
        <x:v>9500.556371343455</x:v>
      </x:c>
    </x:row>
    <x:row r="3">
      <x:c r="A3" t="n">
        <x:f>Chart_Data!K3</x:f>
        <x:v>-59.5</x:v>
      </x:c>
      <x:c r="B3" t="n">
        <x:f>Chart_Data!N3-Chart_Data!L3</x:f>
        <x:v>-21.835331789793656</x:v>
      </x:c>
      <x:c r="D3" t="n">
        <x:f>Chart_Data!G3</x:f>
        <x:v>-59.5</x:v>
      </x:c>
      <x:c r="E3" t="n">
        <x:f>Chart_Data!H3</x:f>
        <x:v>110.69606493723512</x:v>
      </x:c>
      <x:c r="F3" t="n">
        <x:f>Chart_Data!I3</x:f>
        <x:v>110.69606493723512</x:v>
      </x:c>
      <x:c r="G3" t="n">
        <x:f>Chart_Data!J3</x:f>
        <x:v>19.645117006397193</x:v>
      </x:c>
      <x:c r="I3" t="n">
        <x:f>Scenario_Data!A3</x:f>
        <x:v>-0.992</x:v>
      </x:c>
      <x:c r="J3" t="n">
        <x:f>Scenario_Data!H3-(((SQRT((Inputs!$C$52+(Inputs!$H$6))^2+Inputs!$C$52^2-2*(Inputs!$C$52+(Inputs!$H$6))*Inputs!$C$52*COS(SQRT((Scenario_Data!T3)^2+Inputs!$C$6^2)/Inputs!$C$52)))-(Inputs!$H$6))*1000/Inputs!$C$12)</x:f>
        <x:v>-27.782863149590867</x:v>
      </x:c>
      <x:c r="K3" t="n">
        <x:f>Scenario_Data!I3-(((SQRT((Inputs!$C$52+(Inputs!$H$7))^2+Inputs!$C$52^2-2*(Inputs!$C$52+(Inputs!$H$7))*Inputs!$C$52*COS(SQRT((Scenario_Data!U3)^2+Inputs!$C$6^2)/Inputs!$C$52)))-(Inputs!$H$7))*1000/Inputs!$C$12)</x:f>
        <x:v>-94429.87293064831</x:v>
      </x:c>
      <x:c r="L3" t="n">
        <x:f>Scenario_Data!J3-(((SQRT((Inputs!$C$52+(Inputs!$H$8))^2+Inputs!$C$52^2-2*(Inputs!$C$52+(Inputs!$H$8))*Inputs!$C$52*COS(SQRT((Scenario_Data!V3)^2+Inputs!$C$6^2)/Inputs!$C$52)))-(Inputs!$H$8))*1000/Inputs!$C$12)</x:f>
        <x:v>-190472.55314770044</x:v>
      </x:c>
      <x:c r="M3" t="n">
        <x:f>Scenario_Data!K3-(((SQRT((Inputs!$C$52+(Inputs!$H$9))^2+Inputs!$C$52^2-2*(Inputs!$C$52+(Inputs!$H$9))*Inputs!$C$52*COS(SQRT((Scenario_Data!W3)^2+Inputs!$C$6^2)/Inputs!$C$52)))-(Inputs!$H$9))*1000/Inputs!$C$12)</x:f>
        <x:v>-194464.73837065272</x:v>
      </x:c>
      <x:c r="O3" t="n">
        <x:f>Scenario_Data!T3</x:f>
        <x:v>-59.519999999999996</x:v>
      </x:c>
      <x:c r="P3" t="n">
        <x:f>2*(Scenario_Data!B3*1000)/Inputs!$C$21*1000000</x:f>
        <x:v>2694.7726350073826</x:v>
      </x:c>
      <x:c r="Q3" t="n">
        <x:f>Scenario_Data!U3</x:f>
        <x:v>-396.8</x:v>
      </x:c>
      <x:c r="R3" t="n">
        <x:f>2*(Scenario_Data!C3*1000)/Inputs!$C$21*1000000</x:f>
        <x:v>2629.7083164113487</x:v>
      </x:c>
      <x:c r="S3" t="n">
        <x:f>Scenario_Data!V3</x:f>
        <x:v>-793.6</x:v>
      </x:c>
      <x:c r="T3" t="n">
        <x:f>2*(Scenario_Data!D3*1000)/Inputs!$C$21*1000000</x:f>
        <x:v>6568.689329736241</x:v>
      </x:c>
      <x:c r="U3" t="n">
        <x:f>Scenario_Data!W3</x:f>
        <x:v>-793.6</x:v>
      </x:c>
      <x:c r="V3" t="n">
        <x:f>2*(Scenario_Data!E3*1000)/Inputs!$C$21*1000000</x:f>
        <x:v>6567.626194252024</x:v>
      </x:c>
      <x:c r="X3" t="n">
        <x:f>Scenario_Data!T3</x:f>
        <x:v>-59.519999999999996</x:v>
      </x:c>
      <x:c r="Y3" t="n">
        <x: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x:f>
        <x:v>2694.649504247689</x:v>
      </x:c>
      <x:c r="Z3" t="n">
        <x:f>Scenario_Data!U3</x:f>
        <x:v>-396.8</x:v>
      </x:c>
      <x:c r="AA3" t="n">
        <x: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x:f>
        <x:v>2629.6394627152467</x:v>
      </x:c>
      <x:c r="AB3" t="n">
        <x:f>Scenario_Data!V3</x:f>
        <x:v>-793.6</x:v>
      </x:c>
      <x:c r="AC3" t="n">
        <x: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x:f>
        <x:v>6568.698547910094</x:v>
      </x:c>
      <x:c r="AD3" t="n">
        <x:f>Scenario_Data!W3</x:f>
        <x:v>-793.6</x:v>
      </x:c>
      <x:c r="AE3" t="n">
        <x: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x:f>
        <x:v>6567.635412425879</x:v>
      </x:c>
      <x:c r="AG3" t="n">
        <x:f>Scenario_Data!T3</x:f>
        <x:v>-59.519999999999996</x:v>
      </x:c>
      <x:c r="AH3" t="n">
        <x:f>2*(SQRT((Inputs!$C$52+(Scenario_Data!B3))^2+Inputs!$C$52^2-2*(Inputs!$C$52+(Scenario_Data!B3))*Inputs!$C$52*COS(SQRT((Scenario_Data!T3)^2+Inputs!$C$6^2)/Inputs!$C$52))*1000)/Inputs!$C$21*1000000</x:f>
        <x:v>2737.746224109234</x:v>
      </x:c>
      <x:c r="AI3" t="n">
        <x:f>Scenario_Data!U3</x:f>
        <x:v>-396.8</x:v>
      </x:c>
      <x:c r="AJ3" t="n">
        <x:f>2*(SQRT((Inputs!$C$52+(Scenario_Data!C3))^2+Inputs!$C$52^2-2*(Inputs!$C$52+(Scenario_Data!C3))*Inputs!$C$52*COS(SQRT((Scenario_Data!U3)^2+Inputs!$C$6^2)/Inputs!$C$52))*1000)/Inputs!$C$21*1000000</x:f>
        <x:v>3959.784666367032</x:v>
      </x:c>
      <x:c r="AK3" t="n">
        <x:f>Scenario_Data!V3</x:f>
        <x:v>-793.6</x:v>
      </x:c>
      <x:c r="AL3" t="n">
        <x:f>2*(SQRT((Inputs!$C$52+(Scenario_Data!D3))^2+Inputs!$C$52^2-2*(Inputs!$C$52+(Scenario_Data!D3))*Inputs!$C$52*COS(SQRT((Scenario_Data!V3)^2+Inputs!$C$6^2)/Inputs!$C$52))*1000)/Inputs!$C$21*1000000</x:f>
        <x:v>9376.948806056145</x:v>
      </x:c>
      <x:c r="AM3" t="n">
        <x:f>Scenario_Data!W3</x:f>
        <x:v>-793.6</x:v>
      </x:c>
      <x:c r="AN3" t="n">
        <x:f>2*(SQRT((Inputs!$C$52+(Scenario_Data!E3))^2+Inputs!$C$52^2-2*(Inputs!$C$52+(Scenario_Data!E3))*Inputs!$C$52*COS(SQRT((Scenario_Data!W3)^2+Inputs!$C$6^2)/Inputs!$C$52))*1000)/Inputs!$C$21*1000000</x:f>
        <x:v>9376.054593495282</x:v>
      </x:c>
      <x:c r="AP3" t="n">
        <x:f>Scenario_Data!T3</x:f>
        <x:v>-59.519999999999996</x:v>
      </x:c>
      <x:c r="AQ3" t="n">
        <x: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x:f>
        <x:v>2736.952820139559</x:v>
      </x:c>
      <x:c r="AR3" t="n">
        <x:f>Scenario_Data!U3</x:f>
        <x:v>-396.8</x:v>
      </x:c>
      <x:c r="AS3" t="n">
        <x: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x:f>
        <x:v>3959.1477374020114</x:v>
      </x:c>
      <x:c r="AT3" t="n">
        <x:f>Scenario_Data!V3</x:f>
        <x:v>-793.6</x:v>
      </x:c>
      <x:c r="AU3" t="n">
        <x: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x:f>
        <x:v>9376.680634893852</x:v>
      </x:c>
      <x:c r="AV3" t="n">
        <x:f>Scenario_Data!W3</x:f>
        <x:v>-793.6</x:v>
      </x:c>
      <x:c r="AW3" t="n">
        <x: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x:f>
        <x:v>9375.786453121236</x:v>
      </x:c>
    </x:row>
    <x:row r="4">
      <x:c r="A4" t="n">
        <x:f>Chart_Data!K4</x:f>
        <x:v>-59</x:v>
      </x:c>
      <x:c r="B4" t="n">
        <x:f>Chart_Data!N4-Chart_Data!L4</x:f>
        <x:v>-10.1755490948848</x:v>
      </x:c>
      <x:c r="D4" t="n">
        <x:f>Chart_Data!G4</x:f>
        <x:v>-59</x:v>
      </x:c>
      <x:c r="E4" t="n">
        <x:f>Chart_Data!H4</x:f>
        <x:v>112.99219424849355</x:v>
      </x:c>
      <x:c r="F4" t="n">
        <x:f>Chart_Data!I4</x:f>
        <x:v>112.99219424849355</x:v>
      </x:c>
      <x:c r="G4" t="n">
        <x:f>Chart_Data!J4</x:f>
        <x:v>7.970448353767724</x:v>
      </x:c>
      <x:c r="I4" t="n">
        <x:f>Scenario_Data!A4</x:f>
        <x:v>-0.983</x:v>
      </x:c>
      <x:c r="J4" t="n">
        <x:f>Scenario_Data!H4-(((SQRT((Inputs!$C$52+(Inputs!$H$6))^2+Inputs!$C$52^2-2*(Inputs!$C$52+(Inputs!$H$6))*Inputs!$C$52*COS(SQRT((Scenario_Data!T4)^2+Inputs!$C$6^2)/Inputs!$C$52)))-(Inputs!$H$6))*1000/Inputs!$C$12)</x:f>
        <x:v>-26.877434485224512</x:v>
      </x:c>
      <x:c r="K4" t="n">
        <x:f>Scenario_Data!I4-(((SQRT((Inputs!$C$52+(Inputs!$H$7))^2+Inputs!$C$52^2-2*(Inputs!$C$52+(Inputs!$H$7))*Inputs!$C$52*COS(SQRT((Scenario_Data!U4)^2+Inputs!$C$6^2)/Inputs!$C$52)))-(Inputs!$H$7))*1000/Inputs!$C$12)</x:f>
        <x:v>-93169.45002082347</x:v>
      </x:c>
      <x:c r="L4" t="n">
        <x:f>Scenario_Data!J4-(((SQRT((Inputs!$C$52+(Inputs!$H$8))^2+Inputs!$C$52^2-2*(Inputs!$C$52+(Inputs!$H$8))*Inputs!$C$52*COS(SQRT((Scenario_Data!V4)^2+Inputs!$C$6^2)/Inputs!$C$52)))-(Inputs!$H$8))*1000/Inputs!$C$12)</x:f>
        <x:v>-188542.34891493866</x:v>
      </x:c>
      <x:c r="M4" t="n">
        <x:f>Scenario_Data!K4-(((SQRT((Inputs!$C$52+(Inputs!$H$9))^2+Inputs!$C$52^2-2*(Inputs!$C$52+(Inputs!$H$9))*Inputs!$C$52*COS(SQRT((Scenario_Data!W4)^2+Inputs!$C$6^2)/Inputs!$C$52)))-(Inputs!$H$9))*1000/Inputs!$C$12)</x:f>
        <x:v>-192528.7589427015</x:v>
      </x:c>
      <x:c r="O4" t="n">
        <x:f>Scenario_Data!T4</x:f>
        <x:v>-58.98</x:v>
      </x:c>
      <x:c r="P4" t="n">
        <x:f>2*(Scenario_Data!B4*1000)/Inputs!$C$21*1000000</x:f>
        <x:v>2694.2983068640106</x:v>
      </x:c>
      <x:c r="Q4" t="n">
        <x:f>Scenario_Data!U4</x:f>
        <x:v>-393.2</x:v>
      </x:c>
      <x:c r="R4" t="n">
        <x:f>2*(Scenario_Data!C4*1000)/Inputs!$C$21*1000000</x:f>
        <x:v>2586.4258733286742</x:v>
      </x:c>
      <x:c r="S4" t="n">
        <x:f>Scenario_Data!V4</x:f>
        <x:v>-786.4</x:v>
      </x:c>
      <x:c r="T4" t="n">
        <x:f>2*(Scenario_Data!D4*1000)/Inputs!$C$21*1000000</x:f>
        <x:v>6454.2576651478</x:v>
      </x:c>
      <x:c r="U4" t="n">
        <x:f>Scenario_Data!W4</x:f>
        <x:v>-786.4</x:v>
      </x:c>
      <x:c r="V4" t="n">
        <x:f>2*(Scenario_Data!E4*1000)/Inputs!$C$21*1000000</x:f>
        <x:v>6452.008709305155</x:v>
      </x:c>
      <x:c r="X4" t="n">
        <x:f>Scenario_Data!T4</x:f>
        <x:v>-58.98</x:v>
      </x:c>
      <x:c r="Y4" t="n">
        <x: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x:f>
        <x:v>2694.1888252313724</x:v>
      </x:c>
      <x:c r="Z4" t="n">
        <x:f>Scenario_Data!U4</x:f>
        <x:v>-393.2</x:v>
      </x:c>
      <x:c r="AA4" t="n">
        <x: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x:f>
        <x:v>2585.9914136189823</x:v>
      </x:c>
      <x:c r="AB4" t="n">
        <x:f>Scenario_Data!V4</x:f>
        <x:v>-786.4</x:v>
      </x:c>
      <x:c r="AC4" t="n">
        <x: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x:f>
        <x:v>6453.945176408153</x:v>
      </x:c>
      <x:c r="AD4" t="n">
        <x:f>Scenario_Data!W4</x:f>
        <x:v>-786.4</x:v>
      </x:c>
      <x:c r="AE4" t="n">
        <x: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x:f>
        <x:v>6451.696220565506</x:v>
      </x:c>
      <x:c r="AG4" t="n">
        <x:f>Scenario_Data!T4</x:f>
        <x:v>-58.98</x:v>
      </x:c>
      <x:c r="AH4" t="n">
        <x:f>2*(SQRT((Inputs!$C$52+(Scenario_Data!B4))^2+Inputs!$C$52^2-2*(Inputs!$C$52+(Scenario_Data!B4))*Inputs!$C$52*COS(SQRT((Scenario_Data!T4)^2+Inputs!$C$6^2)/Inputs!$C$52))*1000)/Inputs!$C$21*1000000</x:f>
        <x:v>2736.623084633149</x:v>
      </x:c>
      <x:c r="AI4" t="n">
        <x:f>Scenario_Data!U4</x:f>
        <x:v>-393.2</x:v>
      </x:c>
      <x:c r="AJ4" t="n">
        <x:f>2*(SQRT((Inputs!$C$52+(Scenario_Data!C4))^2+Inputs!$C$52^2-2*(Inputs!$C$52+(Scenario_Data!C4))*Inputs!$C$52*COS(SQRT((Scenario_Data!U4)^2+Inputs!$C$6^2)/Inputs!$C$52))*1000)/Inputs!$C$21*1000000</x:f>
        <x:v>3907.520143552331</x:v>
      </x:c>
      <x:c r="AK4" t="n">
        <x:f>Scenario_Data!V4</x:f>
        <x:v>-786.4</x:v>
      </x:c>
      <x:c r="AL4" t="n">
        <x:f>2*(SQRT((Inputs!$C$52+(Scenario_Data!D4))^2+Inputs!$C$52^2-2*(Inputs!$C$52+(Scenario_Data!D4))*Inputs!$C$52*COS(SQRT((Scenario_Data!V4)^2+Inputs!$C$6^2)/Inputs!$C$52))*1000)/Inputs!$C$21*1000000</x:f>
        <x:v>9238.487402839646</x:v>
      </x:c>
      <x:c r="AM4" t="n">
        <x:f>Scenario_Data!W4</x:f>
        <x:v>-786.4</x:v>
      </x:c>
      <x:c r="AN4" t="n">
        <x:f>2*(SQRT((Inputs!$C$52+(Scenario_Data!E4))^2+Inputs!$C$52^2-2*(Inputs!$C$52+(Scenario_Data!E4))*Inputs!$C$52*COS(SQRT((Scenario_Data!W4)^2+Inputs!$C$6^2)/Inputs!$C$52))*1000)/Inputs!$C$21*1000000</x:f>
        <x:v>9236.601004281432</x:v>
      </x:c>
      <x:c r="AP4" t="n">
        <x:f>Scenario_Data!T4</x:f>
        <x:v>-58.98</x:v>
      </x:c>
      <x:c r="AQ4" t="n">
        <x: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x:f>
        <x:v>2735.869392882246</x:v>
      </x:c>
      <x:c r="AR4" t="n">
        <x:f>Scenario_Data!U4</x:f>
        <x:v>-393.2</x:v>
      </x:c>
      <x:c r="AS4" t="n">
        <x: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x:f>
        <x:v>3906.689980315416</x:v>
      </x:c>
      <x:c r="AT4" t="n">
        <x:f>Scenario_Data!V4</x:f>
        <x:v>-786.4</x:v>
      </x:c>
      <x:c r="AU4" t="n">
        <x: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x:f>
        <x:v>9237.866936575247</x:v>
      </x:c>
      <x:c r="AV4" t="n">
        <x:f>Scenario_Data!W4</x:f>
        <x:v>-786.4</x:v>
      </x:c>
      <x:c r="AW4" t="n">
        <x: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x:f>
        <x:v>9235.980691879404</x:v>
      </x:c>
    </x:row>
    <x:row r="5">
      <x:c r="A5" t="n">
        <x:f>Chart_Data!K5</x:f>
        <x:v>-58.5</x:v>
      </x:c>
      <x:c r="B5" t="n">
        <x:f>Chart_Data!N5-Chart_Data!L5</x:f>
        <x:v>-24.33397914667178</x:v>
      </x:c>
      <x:c r="D5" t="n">
        <x:f>Chart_Data!G5</x:f>
        <x:v>-58.5</x:v>
      </x:c>
      <x:c r="E5" t="n">
        <x:f>Chart_Data!H5</x:f>
        <x:v>134.3858310571132</x:v>
      </x:c>
      <x:c r="F5" t="n">
        <x:f>Chart_Data!I5</x:f>
        <x:v>134.3858310571132</x:v>
      </x:c>
      <x:c r="G5" t="n">
        <x:f>Chart_Data!J5</x:f>
        <x:v>21.747313566550197</x:v>
      </x:c>
      <x:c r="I5" t="n">
        <x:f>Scenario_Data!A5</x:f>
        <x:v>-0.975</x:v>
      </x:c>
      <x:c r="J5" t="n">
        <x:f>Scenario_Data!H5-(((SQRT((Inputs!$C$52+(Inputs!$H$6))^2+Inputs!$C$52^2-2*(Inputs!$C$52+(Inputs!$H$6))*Inputs!$C$52*COS(SQRT((Scenario_Data!T5)^2+Inputs!$C$6^2)/Inputs!$C$52)))-(Inputs!$H$6))*1000/Inputs!$C$12)</x:f>
        <x:v>-26.091469511469313</x:v>
      </x:c>
      <x:c r="K5" t="n">
        <x:f>Scenario_Data!I5-(((SQRT((Inputs!$C$52+(Inputs!$H$7))^2+Inputs!$C$52^2-2*(Inputs!$C$52+(Inputs!$H$7))*Inputs!$C$52*COS(SQRT((Scenario_Data!U5)^2+Inputs!$C$6^2)/Inputs!$C$52)))-(Inputs!$H$7))*1000/Inputs!$C$12)</x:f>
        <x:v>-92049.59969520803</x:v>
      </x:c>
      <x:c r="L5" t="n">
        <x:f>Scenario_Data!J5-(((SQRT((Inputs!$C$52+(Inputs!$H$8))^2+Inputs!$C$52^2-2*(Inputs!$C$52+(Inputs!$H$8))*Inputs!$C$52*COS(SQRT((Scenario_Data!V5)^2+Inputs!$C$6^2)/Inputs!$C$52)))-(Inputs!$H$8))*1000/Inputs!$C$12)</x:f>
        <x:v>-186817.33873453335</x:v>
      </x:c>
      <x:c r="M5" t="n">
        <x:f>Scenario_Data!K5-(((SQRT((Inputs!$C$52+(Inputs!$H$9))^2+Inputs!$C$52^2-2*(Inputs!$C$52+(Inputs!$H$9))*Inputs!$C$52*COS(SQRT((Scenario_Data!W5)^2+Inputs!$C$6^2)/Inputs!$C$52)))-(Inputs!$H$9))*1000/Inputs!$C$12)</x:f>
        <x:v>-190798.31818207764</x:v>
      </x:c>
      <x:c r="O5" t="n">
        <x:f>Scenario_Data!T5</x:f>
        <x:v>-58.5</x:v>
      </x:c>
      <x:c r="P5" t="n">
        <x:f>2*(Scenario_Data!B5*1000)/Inputs!$C$21*1000000</x:f>
        <x:v>2693.8803110250356</x:v>
      </x:c>
      <x:c r="Q5" t="n">
        <x:f>Scenario_Data!U5</x:f>
        <x:v>-390</x:v>
      </x:c>
      <x:c r="R5" t="n">
        <x:f>2*(Scenario_Data!C5*1000)/Inputs!$C$21*1000000</x:f>
        <x:v>2548.2837530222323</x:v>
      </x:c>
      <x:c r="S5" t="n">
        <x:f>Scenario_Data!V5</x:f>
        <x:v>-780</x:v>
      </x:c>
      <x:c r="T5" t="n">
        <x:f>2*(Scenario_Data!D5*1000)/Inputs!$C$21*1000000</x:f>
        <x:v>6353.416168995152</x:v>
      </x:c>
      <x:c r="U5" t="n">
        <x:f>Scenario_Data!W5</x:f>
        <x:v>-780</x:v>
      </x:c>
      <x:c r="V5" t="n">
        <x:f>2*(Scenario_Data!E5*1000)/Inputs!$C$21*1000000</x:f>
        <x:v>6350.12222355507</x:v>
      </x:c>
      <x:c r="X5" t="n">
        <x:f>Scenario_Data!T5</x:f>
        <x:v>-58.5</x:v>
      </x:c>
      <x:c r="Y5" t="n">
        <x: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x:f>
        <x:v>2693.7352285655793</x:v>
      </x:c>
      <x:c r="Z5" t="n">
        <x:f>Scenario_Data!U5</x:f>
        <x:v>-390</x:v>
      </x:c>
      <x:c r="AA5" t="n">
        <x: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x:f>
        <x:v>2547.8333970113854</x:v>
      </x:c>
      <x:c r="AB5" t="n">
        <x:f>Scenario_Data!V5</x:f>
        <x:v>-780</x:v>
      </x:c>
      <x:c r="AC5" t="n">
        <x: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x:f>
        <x:v>6353.461154685279</x:v>
      </x:c>
      <x:c r="AD5" t="n">
        <x:f>Scenario_Data!W5</x:f>
        <x:v>-780</x:v>
      </x:c>
      <x:c r="AE5" t="n">
        <x: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x:f>
        <x:v>6350.167209245198</x:v>
      </x:c>
      <x:c r="AG5" t="n">
        <x:f>Scenario_Data!T5</x:f>
        <x:v>-58.5</x:v>
      </x:c>
      <x:c r="AH5" t="n">
        <x:f>2*(SQRT((Inputs!$C$52+(Scenario_Data!B5))^2+Inputs!$C$52^2-2*(Inputs!$C$52+(Scenario_Data!B5))*Inputs!$C$52*COS(SQRT((Scenario_Data!T5)^2+Inputs!$C$6^2)/Inputs!$C$52))*1000)/Inputs!$C$21*1000000</x:f>
        <x:v>2735.6330546630293</x:v>
      </x:c>
      <x:c r="AI5" t="n">
        <x:f>Scenario_Data!U5</x:f>
        <x:v>-390</x:v>
      </x:c>
      <x:c r="AJ5" t="n">
        <x:f>2*(SQRT((Inputs!$C$52+(Scenario_Data!C5))^2+Inputs!$C$52^2-2*(Inputs!$C$52+(Scenario_Data!C5))*Inputs!$C$52*COS(SQRT((Scenario_Data!U5)^2+Inputs!$C$6^2)/Inputs!$C$52))*1000)/Inputs!$C$21*1000000</x:f>
        <x:v>3861.3869170271155</x:v>
      </x:c>
      <x:c r="AK5" t="n">
        <x:f>Scenario_Data!V5</x:f>
        <x:v>-780</x:v>
      </x:c>
      <x:c r="AL5" t="n">
        <x:f>2*(SQRT((Inputs!$C$52+(Scenario_Data!D5))^2+Inputs!$C$52^2-2*(Inputs!$C$52+(Scenario_Data!D5))*Inputs!$C$52*COS(SQRT((Scenario_Data!V5)^2+Inputs!$C$6^2)/Inputs!$C$52))*1000)/Inputs!$C$21*1000000</x:f>
        <x:v>9116.373900783714</x:v>
      </x:c>
      <x:c r="AM5" t="n">
        <x:f>Scenario_Data!W5</x:f>
        <x:v>-780</x:v>
      </x:c>
      <x:c r="AN5" t="n">
        <x:f>2*(SQRT((Inputs!$C$52+(Scenario_Data!E5))^2+Inputs!$C$52^2-2*(Inputs!$C$52+(Scenario_Data!E5))*Inputs!$C$52*COS(SQRT((Scenario_Data!W5)^2+Inputs!$C$6^2)/Inputs!$C$52))*1000)/Inputs!$C$21*1000000</x:f>
        <x:v>9113.617881954191</x:v>
      </x:c>
      <x:c r="AP5" t="n">
        <x:f>Scenario_Data!T5</x:f>
        <x:v>-58.5</x:v>
      </x:c>
      <x:c r="AQ5" t="n">
        <x: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x:f>
        <x:v>2734.7537852754253</x:v>
      </x:c>
      <x:c r="AR5" t="n">
        <x:f>Scenario_Data!U5</x:f>
        <x:v>-390</x:v>
      </x:c>
      <x:c r="AS5" t="n">
        <x: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x:f>
        <x:v>3860.6694546054136</x:v>
      </x:c>
      <x:c r="AT5" t="n">
        <x:f>Scenario_Data!V5</x:f>
        <x:v>-780</x:v>
      </x:c>
      <x:c r="AU5" t="n">
        <x: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x:f>
        <x:v>9116.215434885857</x:v>
      </x:c>
      <x:c r="AV5" t="n">
        <x:f>Scenario_Data!W5</x:f>
        <x:v>-780</x:v>
      </x:c>
      <x:c r="AW5" t="n">
        <x: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x:f>
        <x:v>9113.459474677602</x:v>
      </x:c>
    </x:row>
    <x:row r="6">
      <x:c r="A6" t="n">
        <x:f>Chart_Data!K6</x:f>
        <x:v>-58</x:v>
      </x:c>
      <x:c r="B6" t="n">
        <x:f>Chart_Data!N6-Chart_Data!L6</x:f>
        <x:v>-34.145943095855884</x:v>
      </x:c>
      <x:c r="D6" t="n">
        <x:f>Chart_Data!G6</x:f>
        <x:v>-58</x:v>
      </x:c>
      <x:c r="E6" t="n">
        <x:f>Chart_Data!H6</x:f>
        <x:v>120.06952906780961</x:v>
      </x:c>
      <x:c r="F6" t="n">
        <x:f>Chart_Data!I6</x:f>
        <x:v>120.06952906780961</x:v>
      </x:c>
      <x:c r="G6" t="n">
        <x:f>Chart_Data!J6</x:f>
        <x:v>31.86691354901535</x:v>
      </x:c>
      <x:c r="I6" t="n">
        <x:f>Scenario_Data!A6</x:f>
        <x:v>-0.967</x:v>
      </x:c>
      <x:c r="J6" t="n">
        <x:f>Scenario_Data!H6-(((SQRT((Inputs!$C$52+(Inputs!$H$6))^2+Inputs!$C$52^2-2*(Inputs!$C$52+(Inputs!$H$6))*Inputs!$C$52*COS(SQRT((Scenario_Data!T6)^2+Inputs!$C$6^2)/Inputs!$C$52)))-(Inputs!$H$6))*1000/Inputs!$C$12)</x:f>
        <x:v>-25.322987391846254</x:v>
      </x:c>
      <x:c r="K6" t="n">
        <x:f>Scenario_Data!I6-(((SQRT((Inputs!$C$52+(Inputs!$H$7))^2+Inputs!$C$52^2-2*(Inputs!$C$52+(Inputs!$H$7))*Inputs!$C$52*COS(SQRT((Scenario_Data!U6)^2+Inputs!$C$6^2)/Inputs!$C$52)))-(Inputs!$H$7))*1000/Inputs!$C$12)</x:f>
        <x:v>-90930.31855627525</x:v>
      </x:c>
      <x:c r="L6" t="n">
        <x:f>Scenario_Data!J6-(((SQRT((Inputs!$C$52+(Inputs!$H$8))^2+Inputs!$C$52^2-2*(Inputs!$C$52+(Inputs!$H$8))*Inputs!$C$52*COS(SQRT((Scenario_Data!V6)^2+Inputs!$C$6^2)/Inputs!$C$52)))-(Inputs!$H$8))*1000/Inputs!$C$12)</x:f>
        <x:v>-185083.7019914568</x:v>
      </x:c>
      <x:c r="M6" t="n">
        <x:f>Scenario_Data!K6-(((SQRT((Inputs!$C$52+(Inputs!$H$9))^2+Inputs!$C$52^2-2*(Inputs!$C$52+(Inputs!$H$9))*Inputs!$C$52*COS(SQRT((Scenario_Data!W6)^2+Inputs!$C$6^2)/Inputs!$C$52)))-(Inputs!$H$9))*1000/Inputs!$C$12)</x:f>
        <x:v>-189058.96620570074</x:v>
      </x:c>
      <x:c r="O6" t="n">
        <x:f>Scenario_Data!T6</x:f>
        <x:v>-58.019999999999996</x:v>
      </x:c>
      <x:c r="P6" t="n">
        <x:f>2*(Scenario_Data!B6*1000)/Inputs!$C$21*1000000</x:f>
        <x:v>2693.465730882396</x:v>
      </x:c>
      <x:c r="Q6" t="n">
        <x:f>Scenario_Data!U6</x:f>
        <x:v>-386.8</x:v>
      </x:c>
      <x:c r="R6" t="n">
        <x:f>2*(Scenario_Data!C6*1000)/Inputs!$C$21*1000000</x:f>
        <x:v>2510.4533150063435</x:v>
      </x:c>
      <x:c r="S6" t="n">
        <x:f>Scenario_Data!V6</x:f>
        <x:v>-773.6</x:v>
      </x:c>
      <x:c r="T6" t="n">
        <x:f>2*(Scenario_Data!D6*1000)/Inputs!$C$21*1000000</x:f>
        <x:v>6253.398709583282</x:v>
      </x:c>
      <x:c r="U6" t="n">
        <x:f>Scenario_Data!W6</x:f>
        <x:v>-773.6</x:v>
      </x:c>
      <x:c r="V6" t="n">
        <x:f>2*(Scenario_Data!E6*1000)/Inputs!$C$21*1000000</x:f>
        <x:v>6249.068313786602</x:v>
      </x:c>
      <x:c r="X6" t="n">
        <x:f>Scenario_Data!T6</x:f>
        <x:v>-58.019999999999996</x:v>
      </x:c>
      <x:c r="Y6" t="n">
        <x: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x:f>
        <x:v>2693.215329991879</x:v>
      </x:c>
      <x:c r="Z6" t="n">
        <x:f>Scenario_Data!U6</x:f>
        <x:v>-386.8</x:v>
      </x:c>
      <x:c r="AA6" t="n">
        <x: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x:f>
        <x:v>2510.4039491819062</x:v>
      </x:c>
      <x:c r="AB6" t="n">
        <x:f>Scenario_Data!V6</x:f>
        <x:v>-773.6</x:v>
      </x:c>
      <x:c r="AC6" t="n">
        <x: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x:f>
        <x:v>6253.070767176094</x:v>
      </x:c>
      <x:c r="AD6" t="n">
        <x:f>Scenario_Data!W6</x:f>
        <x:v>-773.6</x:v>
      </x:c>
      <x:c r="AE6" t="n">
        <x: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x:f>
        <x:v>6248.740371379414</x:v>
      </x:c>
      <x:c r="AG6" t="n">
        <x:f>Scenario_Data!T6</x:f>
        <x:v>-58.019999999999996</x:v>
      </x:c>
      <x:c r="AH6" t="n">
        <x:f>2*(SQRT((Inputs!$C$52+(Scenario_Data!B6))^2+Inputs!$C$52^2-2*(Inputs!$C$52+(Scenario_Data!B6))*Inputs!$C$52*COS(SQRT((Scenario_Data!T6)^2+Inputs!$C$6^2)/Inputs!$C$52))*1000)/Inputs!$C$21*1000000</x:f>
        <x:v>2734.650858075406</x:v>
      </x:c>
      <x:c r="AI6" t="n">
        <x:f>Scenario_Data!U6</x:f>
        <x:v>-386.8</x:v>
      </x:c>
      <x:c r="AJ6" t="n">
        <x:f>2*(SQRT((Inputs!$C$52+(Scenario_Data!C6))^2+Inputs!$C$52^2-2*(Inputs!$C$52+(Scenario_Data!C6))*Inputs!$C$52*COS(SQRT((Scenario_Data!U6)^2+Inputs!$C$6^2)/Inputs!$C$52))*1000)/Inputs!$C$21*1000000</x:f>
        <x:v>3815.557941887678</x:v>
      </x:c>
      <x:c r="AK6" t="n">
        <x:f>Scenario_Data!V6</x:f>
        <x:v>-773.6</x:v>
      </x:c>
      <x:c r="AL6" t="n">
        <x:f>2*(SQRT((Inputs!$C$52+(Scenario_Data!D6))^2+Inputs!$C$52^2-2*(Inputs!$C$52+(Scenario_Data!D6))*Inputs!$C$52*COS(SQRT((Scenario_Data!V6)^2+Inputs!$C$6^2)/Inputs!$C$52))*1000)/Inputs!$C$21*1000000</x:f>
        <x:v>8995.166044528318</x:v>
      </x:c>
      <x:c r="AM6" t="n">
        <x:f>Scenario_Data!W6</x:f>
        <x:v>-773.6</x:v>
      </x:c>
      <x:c r="AN6" t="n">
        <x:f>2*(SQRT((Inputs!$C$52+(Scenario_Data!E6))^2+Inputs!$C$52^2-2*(Inputs!$C$52+(Scenario_Data!E6))*Inputs!$C$52*COS(SQRT((Scenario_Data!W6)^2+Inputs!$C$6^2)/Inputs!$C$52))*1000)/Inputs!$C$21*1000000</x:f>
        <x:v>8991.55205433549</x:v>
      </x:c>
      <x:c r="AP6" t="n">
        <x:f>Scenario_Data!T6</x:f>
        <x:v>-58.019999999999996</x:v>
      </x:c>
      <x:c r="AQ6" t="n">
        <x: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x:f>
        <x:v>2733.8712853195143</x:v>
      </x:c>
      <x:c r="AR6" t="n">
        <x:f>Scenario_Data!U6</x:f>
        <x:v>-386.8</x:v>
      </x:c>
      <x:c r="AS6" t="n">
        <x: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x:f>
        <x:v>3815.077300022674</x:v>
      </x:c>
      <x:c r="AT6" t="n">
        <x:f>Scenario_Data!V6</x:f>
        <x:v>-773.6</x:v>
      </x:c>
      <x:c r="AU6" t="n">
        <x: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x:f>
        <x:v>8994.69701979891</x:v>
      </x:c>
      <x:c r="AV6" t="n">
        <x:f>Scenario_Data!W6</x:f>
        <x:v>-773.6</x:v>
      </x:c>
      <x:c r="AW6" t="n">
        <x: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x:f>
        <x:v>8991.083262053256</x:v>
      </x:c>
    </x:row>
    <x:row r="7">
      <x:c r="A7" t="n">
        <x:f>Chart_Data!K7</x:f>
        <x:v>-57.5</x:v>
      </x:c>
      <x:c r="B7" t="n">
        <x:f>Chart_Data!N7-Chart_Data!L7</x:f>
        <x:v>-37.18620756396368</x:v>
      </x:c>
      <x:c r="D7" t="n">
        <x:f>Chart_Data!G7</x:f>
        <x:v>-57.5</x:v>
      </x:c>
      <x:c r="E7" t="n">
        <x:f>Chart_Data!H7</x:f>
        <x:v>138.90151425445745</x:v>
      </x:c>
      <x:c r="F7" t="n">
        <x:f>Chart_Data!I7</x:f>
        <x:v>138.90151425445745</x:v>
      </x:c>
      <x:c r="G7" t="n">
        <x:f>Chart_Data!J7</x:f>
        <x:v>34.58634748797326</x:v>
      </x:c>
      <x:c r="I7" t="n">
        <x:f>Scenario_Data!A7</x:f>
        <x:v>-0.958</x:v>
      </x:c>
      <x:c r="J7" t="n">
        <x:f>Scenario_Data!H7-(((SQRT((Inputs!$C$52+(Inputs!$H$6))^2+Inputs!$C$52^2-2*(Inputs!$C$52+(Inputs!$H$6))*Inputs!$C$52*COS(SQRT((Scenario_Data!T7)^2+Inputs!$C$6^2)/Inputs!$C$52)))-(Inputs!$H$6))*1000/Inputs!$C$12)</x:f>
        <x:v>-24.47902381513677</x:v>
      </x:c>
      <x:c r="K7" t="n">
        <x:f>Scenario_Data!I7-(((SQRT((Inputs!$C$52+(Inputs!$H$7))^2+Inputs!$C$52^2-2*(Inputs!$C$52+(Inputs!$H$7))*Inputs!$C$52*COS(SQRT((Scenario_Data!U7)^2+Inputs!$C$6^2)/Inputs!$C$52)))-(Inputs!$H$7))*1000/Inputs!$C$12)</x:f>
        <x:v>-89671.89852079703</x:v>
      </x:c>
      <x:c r="L7" t="n">
        <x:f>Scenario_Data!J7-(((SQRT((Inputs!$C$52+(Inputs!$H$8))^2+Inputs!$C$52^2-2*(Inputs!$C$52+(Inputs!$H$8))*Inputs!$C$52*COS(SQRT((Scenario_Data!V7)^2+Inputs!$C$6^2)/Inputs!$C$52)))-(Inputs!$H$8))*1000/Inputs!$C$12)</x:f>
        <x:v>-183123.17397563407</x:v>
      </x:c>
      <x:c r="M7" t="n">
        <x:f>Scenario_Data!K7-(((SQRT((Inputs!$C$52+(Inputs!$H$9))^2+Inputs!$C$52^2-2*(Inputs!$C$52+(Inputs!$H$9))*Inputs!$C$52*COS(SQRT((Scenario_Data!W7)^2+Inputs!$C$6^2)/Inputs!$C$52)))-(Inputs!$H$9))*1000/Inputs!$C$12)</x:f>
        <x:v>-187091.66215917454</x:v>
      </x:c>
      <x:c r="O7" t="n">
        <x:f>Scenario_Data!T7</x:f>
        <x:v>-57.48</x:v>
      </x:c>
      <x:c r="P7" t="n">
        <x:f>2*(Scenario_Data!B7*1000)/Inputs!$C$21*1000000</x:f>
        <x:v>2693.0034110464517</x:v>
      </x:c>
      <x:c r="Q7" t="n">
        <x:f>Scenario_Data!U7</x:f>
        <x:v>-383.2</x:v>
      </x:c>
      <x:c r="R7" t="n">
        <x:f>2*(Scenario_Data!C7*1000)/Inputs!$C$21*1000000</x:f>
        <x:v>2468.266629976395</x:v>
      </x:c>
      <x:c r="S7" t="n">
        <x:f>Scenario_Data!V7</x:f>
        <x:v>-766.4</x:v>
      </x:c>
      <x:c r="T7" t="n">
        <x:f>2*(Scenario_Data!D7*1000)/Inputs!$C$21*1000000</x:f>
        <x:v>6141.864049161637</x:v>
      </x:c>
      <x:c r="U7" t="n">
        <x:f>Scenario_Data!W7</x:f>
        <x:v>-766.4</x:v>
      </x:c>
      <x:c r="V7" t="n">
        <x:f>2*(Scenario_Data!E7*1000)/Inputs!$C$21*1000000</x:f>
        <x:v>6136.377853775093</x:v>
      </x:c>
      <x:c r="X7" t="n">
        <x:f>Scenario_Data!T7</x:f>
        <x:v>-57.48</x:v>
      </x:c>
      <x:c r="Y7" t="n">
        <x: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x:f>
        <x:v>2692.827045062799</x:v>
      </x:c>
      <x:c r="Z7" t="n">
        <x:f>Scenario_Data!U7</x:f>
        <x:v>-383.2</x:v>
      </x:c>
      <x:c r="AA7" t="n">
        <x: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x:f>
        <x:v>2468.416414407845</x:v>
      </x:c>
      <x:c r="AB7" t="n">
        <x:f>Scenario_Data!V7</x:f>
        <x:v>-766.4</x:v>
      </x:c>
      <x:c r="AC7" t="n">
        <x: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x:f>
        <x:v>6141.373980598753</x:v>
      </x:c>
      <x:c r="AD7" t="n">
        <x:f>Scenario_Data!W7</x:f>
        <x:v>-766.4</x:v>
      </x:c>
      <x:c r="AE7" t="n">
        <x: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x:f>
        <x:v>6135.887785212209</x:v>
      </x:c>
      <x:c r="AG7" t="n">
        <x:f>Scenario_Data!T7</x:f>
        <x:v>-57.48</x:v>
      </x:c>
      <x:c r="AH7" t="n">
        <x:f>2*(SQRT((Inputs!$C$52+(Scenario_Data!B7))^2+Inputs!$C$52^2-2*(Inputs!$C$52+(Scenario_Data!B7))*Inputs!$C$52*COS(SQRT((Scenario_Data!T7)^2+Inputs!$C$6^2)/Inputs!$C$52))*1000)/Inputs!$C$21*1000000</x:f>
        <x:v>2733.555257783269</x:v>
      </x:c>
      <x:c r="AI7" t="n">
        <x:f>Scenario_Data!U7</x:f>
        <x:v>-383.2</x:v>
      </x:c>
      <x:c r="AJ7" t="n">
        <x:f>2*(SQRT((Inputs!$C$52+(Scenario_Data!C7))^2+Inputs!$C$52^2-2*(Inputs!$C$52+(Scenario_Data!C7))*Inputs!$C$52*COS(SQRT((Scenario_Data!U7)^2+Inputs!$C$6^2)/Inputs!$C$52))*1000)/Inputs!$C$21*1000000</x:f>
        <x:v>3764.3630333251954</x:v>
      </x:c>
      <x:c r="AK7" t="n">
        <x:f>Scenario_Data!V7</x:f>
        <x:v>-766.4</x:v>
      </x:c>
      <x:c r="AL7" t="n">
        <x:f>2*(SQRT((Inputs!$C$52+(Scenario_Data!D7))^2+Inputs!$C$52^2-2*(Inputs!$C$52+(Scenario_Data!D7))*Inputs!$C$52*COS(SQRT((Scenario_Data!V7)^2+Inputs!$C$6^2)/Inputs!$C$52))*1000)/Inputs!$C$21*1000000</x:f>
        <x:v>8859.888506354831</x:v>
      </x:c>
      <x:c r="AM7" t="n">
        <x:f>Scenario_Data!W7</x:f>
        <x:v>-766.4</x:v>
      </x:c>
      <x:c r="AN7" t="n">
        <x:f>2*(SQRT((Inputs!$C$52+(Scenario_Data!E7))^2+Inputs!$C$52^2-2*(Inputs!$C$52+(Scenario_Data!E7))*Inputs!$C$52*COS(SQRT((Scenario_Data!W7)^2+Inputs!$C$6^2)/Inputs!$C$52))*1000)/Inputs!$C$21*1000000</x:f>
        <x:v>8855.323284209488</x:v>
      </x:c>
      <x:c r="AP7" t="n">
        <x:f>Scenario_Data!T7</x:f>
        <x:v>-57.48</x:v>
      </x:c>
      <x:c r="AQ7" t="n">
        <x: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x:f>
        <x:v>2732.687149406082</x:v>
      </x:c>
      <x:c r="AR7" t="n">
        <x:f>Scenario_Data!U7</x:f>
        <x:v>-383.2</x:v>
      </x:c>
      <x:c r="AS7" t="n">
        <x: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x:f>
        <x:v>3764.015425077756</x:v>
      </x:c>
      <x:c r="AT7" t="n">
        <x:f>Scenario_Data!V7</x:f>
        <x:v>-766.4</x:v>
      </x:c>
      <x:c r="AU7" t="n">
        <x: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x:f>
        <x:v>8859.340160987978</x:v>
      </x:c>
      <x:c r="AV7" t="n">
        <x:f>Scenario_Data!W7</x:f>
        <x:v>-766.4</x:v>
      </x:c>
      <x:c r="AW7" t="n">
        <x: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x:f>
        <x:v>8854.775290553753</x:v>
      </x:c>
    </x:row>
    <x:row r="8">
      <x:c r="A8" t="n">
        <x:f>Chart_Data!K8</x:f>
        <x:v>-57</x:v>
      </x:c>
      <x:c r="B8" t="n">
        <x:f>Chart_Data!N8-Chart_Data!L8</x:f>
        <x:v>-57.97778339698746</x:v>
      </x:c>
      <x:c r="D8" t="n">
        <x:f>Chart_Data!G8</x:f>
        <x:v>-57</x:v>
      </x:c>
      <x:c r="E8" t="n">
        <x:f>Chart_Data!H8</x:f>
        <x:v>137.46604725484156</x:v>
      </x:c>
      <x:c r="F8" t="n">
        <x:f>Chart_Data!I8</x:f>
        <x:v>137.46604725484156</x:v>
      </x:c>
      <x:c r="G8" t="n">
        <x:f>Chart_Data!J8</x:f>
        <x:v>55.44088303799376</x:v>
      </x:c>
      <x:c r="I8" t="n">
        <x:f>Scenario_Data!A8</x:f>
        <x:v>-0.95</x:v>
      </x:c>
      <x:c r="J8" t="n">
        <x:f>Scenario_Data!H8-(((SQRT((Inputs!$C$52+(Inputs!$H$6))^2+Inputs!$C$52^2-2*(Inputs!$C$52+(Inputs!$H$6))*Inputs!$C$52*COS(SQRT((Scenario_Data!T8)^2+Inputs!$C$6^2)/Inputs!$C$52)))-(Inputs!$H$6))*1000/Inputs!$C$12)</x:f>
        <x:v>-23.746844660086936</x:v>
      </x:c>
      <x:c r="K8" t="n">
        <x:f>Scenario_Data!I8-(((SQRT((Inputs!$C$52+(Inputs!$H$7))^2+Inputs!$C$52^2-2*(Inputs!$C$52+(Inputs!$H$7))*Inputs!$C$52*COS(SQRT((Scenario_Data!U8)^2+Inputs!$C$6^2)/Inputs!$C$52)))-(Inputs!$H$7))*1000/Inputs!$C$12)</x:f>
        <x:v>-88554.07088364325</x:v>
      </x:c>
      <x:c r="L8" t="n">
        <x:f>Scenario_Data!J8-(((SQRT((Inputs!$C$52+(Inputs!$H$8))^2+Inputs!$C$52^2-2*(Inputs!$C$52+(Inputs!$H$8))*Inputs!$C$52*COS(SQRT((Scenario_Data!V8)^2+Inputs!$C$6^2)/Inputs!$C$52)))-(Inputs!$H$8))*1000/Inputs!$C$12)</x:f>
        <x:v>-181371.54200338566</x:v>
      </x:c>
      <x:c r="M8" t="n">
        <x:f>Scenario_Data!K8-(((SQRT((Inputs!$C$52+(Inputs!$H$9))^2+Inputs!$C$52^2-2*(Inputs!$C$52+(Inputs!$H$9))*Inputs!$C$52*COS(SQRT((Scenario_Data!W8)^2+Inputs!$C$6^2)/Inputs!$C$52)))-(Inputs!$H$9))*1000/Inputs!$C$12)</x:f>
        <x:v>-185333.69359371395</x:v>
      </x:c>
      <x:c r="O8" t="n">
        <x:f>Scenario_Data!T8</x:f>
        <x:v>-57</x:v>
      </x:c>
      <x:c r="P8" t="n">
        <x:f>2*(Scenario_Data!B8*1000)/Inputs!$C$21*1000000</x:f>
        <x:v>2692.596089258523</x:v>
      </x:c>
      <x:c r="Q8" t="n">
        <x:f>Scenario_Data!U8</x:f>
        <x:v>-380</x:v>
      </x:c>
      <x:c r="R8" t="n">
        <x:f>2*(Scenario_Data!C8*1000)/Inputs!$C$21*1000000</x:f>
        <x:v>2431.0985168279312</x:v>
      </x:c>
      <x:c r="S8" t="n">
        <x:f>Scenario_Data!V8</x:f>
        <x:v>-760</x:v>
      </x:c>
      <x:c r="T8" t="n">
        <x:f>2*(Scenario_Data!D8*1000)/Inputs!$C$21*1000000</x:f>
        <x:v>6043.597667823918</x:v>
      </x:c>
      <x:c r="U8" t="n">
        <x:f>Scenario_Data!W8</x:f>
        <x:v>-760</x:v>
      </x:c>
      <x:c r="V8" t="n">
        <x:f>2*(Scenario_Data!E8*1000)/Inputs!$C$21*1000000</x:f>
        <x:v>6037.093167967554</x:v>
      </x:c>
      <x:c r="X8" t="n">
        <x:f>Scenario_Data!T8</x:f>
        <x:v>-57</x:v>
      </x:c>
      <x:c r="Y8" t="n">
        <x: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x:f>
        <x:v>2692.226227498772</x:v>
      </x:c>
      <x:c r="Z8" t="n">
        <x:f>Scenario_Data!U8</x:f>
        <x:v>-380</x:v>
      </x:c>
      <x:c r="AA8" t="n">
        <x: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x:f>
        <x:v>2431.3222101605993</x:v>
      </x:c>
      <x:c r="AB8" t="n">
        <x:f>Scenario_Data!V8</x:f>
        <x:v>-760</x:v>
      </x:c>
      <x:c r="AC8" t="n">
        <x: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x:f>
        <x:v>6043.3407753063475</x:v>
      </x:c>
      <x:c r="AD8" t="n">
        <x:f>Scenario_Data!W8</x:f>
        <x:v>-760</x:v>
      </x:c>
      <x:c r="AE8" t="n">
        <x: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x:f>
        <x:v>6036.836275449983</x:v>
      </x:c>
      <x:c r="AG8" t="n">
        <x:f>Scenario_Data!T8</x:f>
        <x:v>-57</x:v>
      </x:c>
      <x:c r="AH8" t="n">
        <x:f>2*(SQRT((Inputs!$C$52+(Scenario_Data!B8))^2+Inputs!$C$52^2-2*(Inputs!$C$52+(Scenario_Data!B8))*Inputs!$C$52*COS(SQRT((Scenario_Data!T8)^2+Inputs!$C$6^2)/Inputs!$C$52))*1000)/Inputs!$C$21*1000000</x:f>
        <x:v>2732.589727165975</x:v>
      </x:c>
      <x:c r="AI8" t="n">
        <x:f>Scenario_Data!U8</x:f>
        <x:v>-380</x:v>
      </x:c>
      <x:c r="AJ8" t="n">
        <x:f>2*(SQRT((Inputs!$C$52+(Scenario_Data!C8))^2+Inputs!$C$52^2-2*(Inputs!$C$52+(Scenario_Data!C8))*Inputs!$C$52*COS(SQRT((Scenario_Data!U8)^2+Inputs!$C$6^2)/Inputs!$C$52))*1000)/Inputs!$C$21*1000000</x:f>
        <x:v>3719.1779432130656</x:v>
      </x:c>
      <x:c r="AK8" t="n">
        <x:f>Scenario_Data!V8</x:f>
        <x:v>-760</x:v>
      </x:c>
      <x:c r="AL8" t="n">
        <x:f>2*(SQRT((Inputs!$C$52+(Scenario_Data!D8))^2+Inputs!$C$52^2-2*(Inputs!$C$52+(Scenario_Data!D8))*Inputs!$C$52*COS(SQRT((Scenario_Data!V8)^2+Inputs!$C$6^2)/Inputs!$C$52))*1000)/Inputs!$C$21*1000000</x:f>
        <x:v>8740.601827631473</x:v>
      </x:c>
      <x:c r="AM8" t="n">
        <x:f>Scenario_Data!W8</x:f>
        <x:v>-760</x:v>
      </x:c>
      <x:c r="AN8" t="n">
        <x:f>2*(SQRT((Inputs!$C$52+(Scenario_Data!E8))^2+Inputs!$C$52^2-2*(Inputs!$C$52+(Scenario_Data!E8))*Inputs!$C$52*COS(SQRT((Scenario_Data!W8)^2+Inputs!$C$6^2)/Inputs!$C$52))*1000)/Inputs!$C$21*1000000</x:f>
        <x:v>8735.203553435682</x:v>
      </x:c>
      <x:c r="AP8" t="n">
        <x:f>Scenario_Data!T8</x:f>
        <x:v>-57</x:v>
      </x:c>
      <x:c r="AQ8" t="n">
        <x: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x:f>
        <x:v>2731.689576789972</x:v>
      </x:c>
      <x:c r="AR8" t="n">
        <x:f>Scenario_Data!U8</x:f>
        <x:v>-380</x:v>
      </x:c>
      <x:c r="AS8" t="n">
        <x: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x:f>
        <x:v>3718.7207527081573</x:v>
      </x:c>
      <x:c r="AT8" t="n">
        <x:f>Scenario_Data!V8</x:f>
        <x:v>-760</x:v>
      </x:c>
      <x:c r="AU8" t="n">
        <x: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x:f>
        <x:v>8740.331788861331</x:v>
      </x:c>
      <x:c r="AV8" t="n">
        <x:f>Scenario_Data!W8</x:f>
        <x:v>-760</x:v>
      </x:c>
      <x:c r="AW8" t="n">
        <x: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x:f>
        <x:v>8734.93372395211</x:v>
      </x:c>
    </x:row>
    <x:row r="9">
      <x:c r="A9" t="n">
        <x:f>Chart_Data!K9</x:f>
        <x:v>-56.5</x:v>
      </x:c>
      <x:c r="B9" t="n">
        <x:f>Chart_Data!N9-Chart_Data!L9</x:f>
        <x:v>-59.899357079512</x:v>
      </x:c>
      <x:c r="D9" t="n">
        <x:f>Chart_Data!G9</x:f>
        <x:v>-56.5</x:v>
      </x:c>
      <x:c r="E9" t="n">
        <x:f>Chart_Data!H9</x:f>
        <x:v>141.4558244940569</x:v>
      </x:c>
      <x:c r="F9" t="n">
        <x:f>Chart_Data!I9</x:f>
        <x:v>141.4558244940569</x:v>
      </x:c>
      <x:c r="G9" t="n">
        <x:f>Chart_Data!J9</x:f>
        <x:v>57.32564727891993</x:v>
      </x:c>
      <x:c r="I9" t="n">
        <x:f>Scenario_Data!A9</x:f>
        <x:v>-0.942</x:v>
      </x:c>
      <x:c r="J9" t="n">
        <x:f>Scenario_Data!H9-(((SQRT((Inputs!$C$52+(Inputs!$H$6))^2+Inputs!$C$52^2-2*(Inputs!$C$52+(Inputs!$H$6))*Inputs!$C$52*COS(SQRT((Scenario_Data!T9)^2+Inputs!$C$6^2)/Inputs!$C$52)))-(Inputs!$H$6))*1000/Inputs!$C$12)</x:f>
        <x:v>-23.03135332022248</x:v>
      </x:c>
      <x:c r="K9" t="n">
        <x:f>Scenario_Data!I9-(((SQRT((Inputs!$C$52+(Inputs!$H$7))^2+Inputs!$C$52^2-2*(Inputs!$C$52+(Inputs!$H$7))*Inputs!$C$52*COS(SQRT((Scenario_Data!U9)^2+Inputs!$C$6^2)/Inputs!$C$52)))-(Inputs!$H$7))*1000/Inputs!$C$12)</x:f>
        <x:v>-87437.04511505857</x:v>
      </x:c>
      <x:c r="L9" t="n">
        <x:f>Scenario_Data!J9-(((SQRT((Inputs!$C$52+(Inputs!$H$8))^2+Inputs!$C$52^2-2*(Inputs!$C$52+(Inputs!$H$8))*Inputs!$C$52*COS(SQRT((Scenario_Data!V9)^2+Inputs!$C$6^2)/Inputs!$C$52)))-(Inputs!$H$8))*1000/Inputs!$C$12)</x:f>
        <x:v>-179611.60663962277</x:v>
      </x:c>
      <x:c r="M9" t="n">
        <x:f>Scenario_Data!K9-(((SQRT((Inputs!$C$52+(Inputs!$H$9))^2+Inputs!$C$52^2-2*(Inputs!$C$52+(Inputs!$H$9))*Inputs!$C$52*COS(SQRT((Scenario_Data!W9)^2+Inputs!$C$6^2)/Inputs!$C$52)))-(Inputs!$H$9))*1000/Inputs!$C$12)</x:f>
        <x:v>-183567.12131353328</x:v>
      </x:c>
      <x:c r="O9" t="n">
        <x:f>Scenario_Data!T9</x:f>
        <x:v>-56.519999999999996</x:v>
      </x:c>
      <x:c r="P9" t="n">
        <x:f>2*(Scenario_Data!B9*1000)/Inputs!$C$21*1000000</x:f>
        <x:v>2692.1921831669297</x:v>
      </x:c>
      <x:c r="Q9" t="n">
        <x:f>Scenario_Data!U9</x:f>
        <x:v>-376.79999999999995</x:v>
      </x:c>
      <x:c r="R9" t="n">
        <x:f>2*(Scenario_Data!C9*1000)/Inputs!$C$21*1000000</x:f>
        <x:v>2394.2420859700205</x:v>
      </x:c>
      <x:c r="S9" t="n">
        <x:f>Scenario_Data!V9</x:f>
        <x:v>-753.5999999999999</x:v>
      </x:c>
      <x:c r="T9" t="n">
        <x:f>2*(Scenario_Data!D9*1000)/Inputs!$C$21*1000000</x:f>
        <x:v>5946.155323226975</x:v>
      </x:c>
      <x:c r="U9" t="n">
        <x:f>Scenario_Data!W9</x:f>
        <x:v>-753.5999999999999</x:v>
      </x:c>
      <x:c r="V9" t="n">
        <x:f>2*(Scenario_Data!E9*1000)/Inputs!$C$21*1000000</x:f>
        <x:v>5938.6410581416285</x:v>
      </x:c>
      <x:c r="X9" t="n">
        <x:f>Scenario_Data!T9</x:f>
        <x:v>-56.519999999999996</x:v>
      </x:c>
      <x:c r="Y9" t="n">
        <x: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x:f>
        <x:v>2691.9513345452874</x:v>
      </x:c>
      <x:c r="Z9" t="n">
        <x:f>Scenario_Data!U9</x:f>
        <x:v>-376.79999999999995</x:v>
      </x:c>
      <x:c r="AA9" t="n">
        <x: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x:f>
        <x:v>2394.364951188643</x:v>
      </x:c>
      <x:c r="AB9" t="n">
        <x:f>Scenario_Data!V9</x:f>
        <x:v>-753.5999999999999</x:v>
      </x:c>
      <x:c r="AC9" t="n">
        <x: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x:f>
        <x:v>5945.633448560879</x:v>
      </x:c>
      <x:c r="AD9" t="n">
        <x:f>Scenario_Data!W9</x:f>
        <x:v>-753.5999999999999</x:v>
      </x:c>
      <x:c r="AE9" t="n">
        <x: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x:f>
        <x:v>5938.119183475531</x:v>
      </x:c>
      <x:c r="AG9" t="n">
        <x:f>Scenario_Data!T9</x:f>
        <x:v>-56.519999999999996</x:v>
      </x:c>
      <x:c r="AH9" t="n">
        <x:f>2*(SQRT((Inputs!$C$52+(Scenario_Data!B9))^2+Inputs!$C$52^2-2*(Inputs!$C$52+(Scenario_Data!B9))*Inputs!$C$52*COS(SQRT((Scenario_Data!T9)^2+Inputs!$C$6^2)/Inputs!$C$52))*1000)/Inputs!$C$21*1000000</x:f>
        <x:v>2731.632048701091</x:v>
      </x:c>
      <x:c r="AI9" t="n">
        <x:f>Scenario_Data!U9</x:f>
        <x:v>-376.79999999999995</x:v>
      </x:c>
      <x:c r="AJ9" t="n">
        <x:f>2*(SQRT((Inputs!$C$52+(Scenario_Data!C9))^2+Inputs!$C$52^2-2*(Inputs!$C$52+(Scenario_Data!C9))*Inputs!$C$52*COS(SQRT((Scenario_Data!U9)^2+Inputs!$C$6^2)/Inputs!$C$52))*1000)/Inputs!$C$21*1000000</x:f>
        <x:v>3674.294578654452</x:v>
      </x:c>
      <x:c r="AK9" t="n">
        <x:f>Scenario_Data!V9</x:f>
        <x:v>-753.5999999999999</x:v>
      </x:c>
      <x:c r="AL9" t="n">
        <x:f>2*(SQRT((Inputs!$C$52+(Scenario_Data!D9))^2+Inputs!$C$52^2-2*(Inputs!$C$52+(Scenario_Data!D9))*Inputs!$C$52*COS(SQRT((Scenario_Data!V9)^2+Inputs!$C$6^2)/Inputs!$C$52))*1000)/Inputs!$C$21*1000000</x:f>
        <x:v>8622.217592392886</x:v>
      </x:c>
      <x:c r="AM9" t="n">
        <x:f>Scenario_Data!W9</x:f>
        <x:v>-753.5999999999999</x:v>
      </x:c>
      <x:c r="AN9" t="n">
        <x:f>2*(SQRT((Inputs!$C$52+(Scenario_Data!E9))^2+Inputs!$C$52^2-2*(Inputs!$C$52+(Scenario_Data!E9))*Inputs!$C$52*COS(SQRT((Scenario_Data!W9)^2+Inputs!$C$6^2)/Inputs!$C$52))*1000)/Inputs!$C$21*1000000</x:f>
        <x:v>8615.998072070657</x:v>
      </x:c>
      <x:c r="AP9" t="n">
        <x:f>Scenario_Data!T9</x:f>
        <x:v>-56.519999999999996</x:v>
      </x:c>
      <x:c r="AQ9" t="n">
        <x: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x:f>
        <x:v>2730.708831878115</x:v>
      </x:c>
      <x:c r="AR9" t="n">
        <x:f>Scenario_Data!U9</x:f>
        <x:v>-376.79999999999995</x:v>
      </x:c>
      <x:c r="AS9" t="n">
        <x: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x:f>
        <x:v>3673.7176119881537</x:v>
      </x:c>
      <x:c r="AT9" t="n">
        <x:f>Scenario_Data!V9</x:f>
        <x:v>-753.5999999999999</x:v>
      </x:c>
      <x:c r="AU9" t="n">
        <x: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x:f>
        <x:v>8621.530757474558</x:v>
      </x:c>
      <x:c r="AV9" t="n">
        <x:f>Scenario_Data!W9</x:f>
        <x:v>-753.5999999999999</x:v>
      </x:c>
      <x:c r="AW9" t="n">
        <x: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x:f>
        <x:v>8615.311864200492</x:v>
      </x:c>
    </x:row>
    <x:row r="10">
      <x:c r="A10" t="n">
        <x:f>Chart_Data!K10</x:f>
        <x:v>-56</x:v>
      </x:c>
      <x:c r="B10" t="n">
        <x:f>Chart_Data!N10-Chart_Data!L10</x:f>
        <x:v>-64.5571304043742</x:v>
      </x:c>
      <x:c r="D10" t="n">
        <x:f>Chart_Data!G10</x:f>
        <x:v>-56</x:v>
      </x:c>
      <x:c r="E10" t="n">
        <x:f>Chart_Data!H10</x:f>
        <x:v>167.1152389347629</x:v>
      </x:c>
      <x:c r="F10" t="n">
        <x:f>Chart_Data!I10</x:f>
        <x:v>167.1152389347629</x:v>
      </x:c>
      <x:c r="G10" t="n">
        <x:f>Chart_Data!J10</x:f>
        <x:v>61.55956835196879</x:v>
      </x:c>
      <x:c r="I10" t="n">
        <x:f>Scenario_Data!A10</x:f>
        <x:v>-0.933</x:v>
      </x:c>
      <x:c r="J10" t="n">
        <x:f>Scenario_Data!H10-(((SQRT((Inputs!$C$52+(Inputs!$H$6))^2+Inputs!$C$52^2-2*(Inputs!$C$52+(Inputs!$H$6))*Inputs!$C$52*COS(SQRT((Scenario_Data!T10)^2+Inputs!$C$6^2)/Inputs!$C$52)))-(Inputs!$H$6))*1000/Inputs!$C$12)</x:f>
        <x:v>-22.246059825895372</x:v>
      </x:c>
      <x:c r="K10" t="n">
        <x:f>Scenario_Data!I10-(((SQRT((Inputs!$C$52+(Inputs!$H$7))^2+Inputs!$C$52^2-2*(Inputs!$C$52+(Inputs!$H$7))*Inputs!$C$52*COS(SQRT((Scenario_Data!U10)^2+Inputs!$C$6^2)/Inputs!$C$52)))-(Inputs!$H$7))*1000/Inputs!$C$12)</x:f>
        <x:v>-86181.44608297395</x:v>
      </x:c>
      <x:c r="L10" t="n">
        <x:f>Scenario_Data!J10-(((SQRT((Inputs!$C$52+(Inputs!$H$8))^2+Inputs!$C$52^2-2*(Inputs!$C$52+(Inputs!$H$8))*Inputs!$C$52*COS(SQRT((Scenario_Data!V10)^2+Inputs!$C$6^2)/Inputs!$C$52)))-(Inputs!$H$8))*1000/Inputs!$C$12)</x:f>
        <x:v>-177621.89133436125</x:v>
      </x:c>
      <x:c r="M10" t="n">
        <x:f>Scenario_Data!K10-(((SQRT((Inputs!$C$52+(Inputs!$H$9))^2+Inputs!$C$52^2-2*(Inputs!$C$52+(Inputs!$H$9))*Inputs!$C$52*COS(SQRT((Scenario_Data!W10)^2+Inputs!$C$6^2)/Inputs!$C$52)))-(Inputs!$H$9))*1000/Inputs!$C$12)</x:f>
        <x:v>-181569.57405040326</x:v>
      </x:c>
      <x:c r="O10" t="n">
        <x:f>Scenario_Data!T10</x:f>
        <x:v>-55.980000000000004</x:v>
      </x:c>
      <x:c r="P10" t="n">
        <x:f>2*(Scenario_Data!B10*1000)/Inputs!$C$21*1000000</x:f>
        <x:v>2691.7418716384122</x:v>
      </x:c>
      <x:c r="Q10" t="n">
        <x:f>Scenario_Data!U10</x:f>
        <x:v>-373.20000000000005</x:v>
      </x:c>
      <x:c r="R10" t="n">
        <x:f>2*(Scenario_Data!C10*1000)/Inputs!$C$21*1000000</x:f>
        <x:v>2353.1511589928</x:v>
      </x:c>
      <x:c r="S10" t="n">
        <x:f>Scenario_Data!V10</x:f>
        <x:v>-746.4000000000001</x:v>
      </x:c>
      <x:c r="T10" t="n">
        <x:f>2*(Scenario_Data!D10*1000)/Inputs!$C$21*1000000</x:f>
        <x:v>5837.51766697213</x:v>
      </x:c>
      <x:c r="U10" t="n">
        <x:f>Scenario_Data!W10</x:f>
        <x:v>-746.4000000000001</x:v>
      </x:c>
      <x:c r="V10" t="n">
        <x:f>2*(Scenario_Data!E10*1000)/Inputs!$C$21*1000000</x:f>
        <x:v>5828.87762306549</x:v>
      </x:c>
      <x:c r="X10" t="n">
        <x:f>Scenario_Data!T10</x:f>
        <x:v>-55.980000000000004</x:v>
      </x:c>
      <x:c r="Y10" t="n">
        <x: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x:f>
        <x:v>2691.331788094177</x:v>
      </x:c>
      <x:c r="Z10" t="n">
        <x:f>Scenario_Data!U10</x:f>
        <x:v>-373.20000000000005</x:v>
      </x:c>
      <x:c r="AA10" t="n">
        <x: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x:f>
        <x:v>2353.0603134471708</x:v>
      </x:c>
      <x:c r="AB10" t="n">
        <x:f>Scenario_Data!V10</x:f>
        <x:v>-746.4000000000001</x:v>
      </x:c>
      <x:c r="AC10" t="n">
        <x: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x:f>
        <x:v>5837.185632869483</x:v>
      </x:c>
      <x:c r="AD10" t="n">
        <x:f>Scenario_Data!W10</x:f>
        <x:v>-746.4000000000001</x:v>
      </x:c>
      <x:c r="AE10" t="n">
        <x: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x:f>
        <x:v>5828.545588962842</x:v>
      </x:c>
      <x:c r="AG10" t="n">
        <x:f>Scenario_Data!T10</x:f>
        <x:v>-55.980000000000004</x:v>
      </x:c>
      <x:c r="AH10" t="n">
        <x:f>2*(SQRT((Inputs!$C$52+(Scenario_Data!B10))^2+Inputs!$C$52^2-2*(Inputs!$C$52+(Scenario_Data!B10))*Inputs!$C$52*COS(SQRT((Scenario_Data!T10)^2+Inputs!$C$6^2)/Inputs!$C$52))*1000)/Inputs!$C$21*1000000</x:f>
        <x:v>2730.5640535799016</x:v>
      </x:c>
      <x:c r="AI10" t="n">
        <x:f>Scenario_Data!U10</x:f>
        <x:v>-373.20000000000005</x:v>
      </x:c>
      <x:c r="AJ10" t="n">
        <x:f>2*(SQRT((Inputs!$C$52+(Scenario_Data!C10))^2+Inputs!$C$52^2-2*(Inputs!$C$52+(Scenario_Data!C10))*Inputs!$C$52*COS(SQRT((Scenario_Data!U10)^2+Inputs!$C$6^2)/Inputs!$C$52))*1000)/Inputs!$C$21*1000000</x:f>
        <x:v>3624.160403492118</x:v>
      </x:c>
      <x:c r="AK10" t="n">
        <x:f>Scenario_Data!V10</x:f>
        <x:v>-746.4000000000001</x:v>
      </x:c>
      <x:c r="AL10" t="n">
        <x:f>2*(SQRT((Inputs!$C$52+(Scenario_Data!D10))^2+Inputs!$C$52^2-2*(Inputs!$C$52+(Scenario_Data!D10))*Inputs!$C$52*COS(SQRT((Scenario_Data!V10)^2+Inputs!$C$6^2)/Inputs!$C$52))*1000)/Inputs!$C$21*1000000</x:f>
        <x:v>8490.112657175801</x:v>
      </x:c>
      <x:c r="AM10" t="n">
        <x:f>Scenario_Data!W10</x:f>
        <x:v>-746.4000000000001</x:v>
      </x:c>
      <x:c r="AN10" t="n">
        <x:f>2*(SQRT((Inputs!$C$52+(Scenario_Data!E10))^2+Inputs!$C$52^2-2*(Inputs!$C$52+(Scenario_Data!E10))*Inputs!$C$52*COS(SQRT((Scenario_Data!W10)^2+Inputs!$C$6^2)/Inputs!$C$52))*1000)/Inputs!$C$21*1000000</x:f>
        <x:v>8482.983410922227</x:v>
      </x:c>
      <x:c r="AP10" t="n">
        <x:f>Scenario_Data!T10</x:f>
        <x:v>-55.980000000000004</x:v>
      </x:c>
      <x:c r="AQ10" t="n">
        <x: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x:f>
        <x:v>2729.524186781265</x:v>
      </x:c>
      <x:c r="AR10" t="n">
        <x:f>Scenario_Data!U10</x:f>
        <x:v>-373.20000000000005</x:v>
      </x:c>
      <x:c r="AS10" t="n">
        <x: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x:f>
        <x:v>3623.578456931738</x:v>
      </x:c>
      <x:c r="AT10" t="n">
        <x:f>Scenario_Data!V10</x:f>
        <x:v>-746.4000000000001</x:v>
      </x:c>
      <x:c r="AU10" t="n">
        <x: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x:f>
        <x:v>8489.738021557188</x:v>
      </x:c>
      <x:c r="AV10" t="n">
        <x:f>Scenario_Data!W10</x:f>
        <x:v>-746.4000000000001</x:v>
      </x:c>
      <x:c r="AW10" t="n">
        <x: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x:f>
        <x:v>8482.60917722077</x:v>
      </x:c>
    </x:row>
    <x:row r="11">
      <x:c r="A11" t="n">
        <x:f>Chart_Data!K11</x:f>
        <x:v>-55.5</x:v>
      </x:c>
      <x:c r="B11" t="n">
        <x:f>Chart_Data!N11-Chart_Data!L11</x:f>
        <x:v>-41.33568476798443</x:v>
      </x:c>
      <x:c r="D11" t="n">
        <x:f>Chart_Data!G11</x:f>
        <x:v>-55.5</x:v>
      </x:c>
      <x:c r="E11" t="n">
        <x:f>Chart_Data!H11</x:f>
        <x:v>160.57943103446084</x:v>
      </x:c>
      <x:c r="F11" t="n">
        <x:f>Chart_Data!I11</x:f>
        <x:v>160.57943103446084</x:v>
      </x:c>
      <x:c r="G11" t="n">
        <x:f>Chart_Data!J11</x:f>
        <x:v>38.49658216595124</x:v>
      </x:c>
      <x:c r="I11" t="n">
        <x:f>Scenario_Data!A11</x:f>
        <x:v>-0.925</x:v>
      </x:c>
      <x:c r="J11" t="n">
        <x:f>Scenario_Data!H11-(((SQRT((Inputs!$C$52+(Inputs!$H$6))^2+Inputs!$C$52^2-2*(Inputs!$C$52+(Inputs!$H$6))*Inputs!$C$52*COS(SQRT((Scenario_Data!T11)^2+Inputs!$C$6^2)/Inputs!$C$52)))-(Inputs!$H$6))*1000/Inputs!$C$12)</x:f>
        <x:v>-21.565197447271657</x:v>
      </x:c>
      <x:c r="K11" t="n">
        <x:f>Scenario_Data!I11-(((SQRT((Inputs!$C$52+(Inputs!$H$7))^2+Inputs!$C$52^2-2*(Inputs!$C$52+(Inputs!$H$7))*Inputs!$C$52*COS(SQRT((Scenario_Data!U11)^2+Inputs!$C$6^2)/Inputs!$C$52)))-(Inputs!$H$7))*1000/Inputs!$C$12)</x:f>
        <x:v>-85066.38324979196</x:v>
      </x:c>
      <x:c r="L11" t="n">
        <x:f>Scenario_Data!J11-(((SQRT((Inputs!$C$52+(Inputs!$H$8))^2+Inputs!$C$52^2-2*(Inputs!$C$52+(Inputs!$H$8))*Inputs!$C$52*COS(SQRT((Scenario_Data!V11)^2+Inputs!$C$6^2)/Inputs!$C$52)))-(Inputs!$H$8))*1000/Inputs!$C$12)</x:f>
        <x:v>-175844.68076899392</x:v>
      </x:c>
      <x:c r="M11" t="n">
        <x:f>Scenario_Data!K11-(((SQRT((Inputs!$C$52+(Inputs!$H$9))^2+Inputs!$C$52^2-2*(Inputs!$C$52+(Inputs!$H$9))*Inputs!$C$52*COS(SQRT((Scenario_Data!W11)^2+Inputs!$C$6^2)/Inputs!$C$52)))-(Inputs!$H$9))*1000/Inputs!$C$12)</x:f>
        <x:v>-179785.07110087413</x:v>
      </x:c>
      <x:c r="O11" t="n">
        <x:f>Scenario_Data!T11</x:f>
        <x:v>-55.5</x:v>
      </x:c>
      <x:c r="P11" t="n">
        <x:f>2*(Scenario_Data!B11*1000)/Inputs!$C$21*1000000</x:f>
        <x:v>2691.34522390153</x:v>
      </x:c>
      <x:c r="Q11" t="n">
        <x:f>Scenario_Data!U11</x:f>
        <x:v>-370</x:v>
      </x:c>
      <x:c r="R11" t="n">
        <x:f>2*(Scenario_Data!C11*1000)/Inputs!$C$21*1000000</x:f>
        <x:v>2316.957053002314</x:v>
      </x:c>
      <x:c r="S11" t="n">
        <x:f>Scenario_Data!V11</x:f>
        <x:v>-740</x:v>
      </x:c>
      <x:c r="T11" t="n">
        <x:f>2*(Scenario_Data!D11*1000)/Inputs!$C$21*1000000</x:f>
        <x:v>5741.82640044934</x:v>
      </x:c>
      <x:c r="U11" t="n">
        <x:f>Scenario_Data!W11</x:f>
        <x:v>-740</x:v>
      </x:c>
      <x:c r="V11" t="n">
        <x:f>2*(Scenario_Data!E11*1000)/Inputs!$C$21*1000000</x:f>
        <x:v>5732.194737200494</x:v>
      </x:c>
      <x:c r="X11" t="n">
        <x:f>Scenario_Data!T11</x:f>
        <x:v>-55.5</x:v>
      </x:c>
      <x:c r="Y11" t="n">
        <x: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x:f>
        <x:v>2691.088402349562</x:v>
      </x:c>
      <x:c r="Z11" t="n">
        <x:f>Scenario_Data!U11</x:f>
        <x:v>-370</x:v>
      </x:c>
      <x:c r="AA11" t="n">
        <x: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x:f>
        <x:v>2316.8740711674914</x:v>
      </x:c>
      <x:c r="AB11" t="n">
        <x:f>Scenario_Data!V11</x:f>
        <x:v>-740</x:v>
      </x:c>
      <x:c r="AC11" t="n">
        <x: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x:f>
        <x:v>5741.729536296609</x:v>
      </x:c>
      <x:c r="AD11" t="n">
        <x:f>Scenario_Data!W11</x:f>
        <x:v>-740</x:v>
      </x:c>
      <x:c r="AE11" t="n">
        <x: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x:f>
        <x:v>5732.097873047763</x:v>
      </x:c>
      <x:c r="AG11" t="n">
        <x:f>Scenario_Data!T11</x:f>
        <x:v>-55.5</x:v>
      </x:c>
      <x:c r="AH11" t="n">
        <x:f>2*(SQRT((Inputs!$C$52+(Scenario_Data!B11))^2+Inputs!$C$52^2-2*(Inputs!$C$52+(Scenario_Data!B11))*Inputs!$C$52*COS(SQRT((Scenario_Data!T11)^2+Inputs!$C$6^2)/Inputs!$C$52))*1000)/Inputs!$C$21*1000000</x:f>
        <x:v>2729.6230805624396</x:v>
      </x:c>
      <x:c r="AI11" t="n">
        <x:f>Scenario_Data!U11</x:f>
        <x:v>-370</x:v>
      </x:c>
      <x:c r="AJ11" t="n">
        <x:f>2*(SQRT((Inputs!$C$52+(Scenario_Data!C11))^2+Inputs!$C$52^2-2*(Inputs!$C$52+(Scenario_Data!C11))*Inputs!$C$52*COS(SQRT((Scenario_Data!U11)^2+Inputs!$C$6^2)/Inputs!$C$52))*1000)/Inputs!$C$21*1000000</x:f>
        <x:v>3579.915397473851</x:v>
      </x:c>
      <x:c r="AK11" t="n">
        <x:f>Scenario_Data!V11</x:f>
        <x:v>-740</x:v>
      </x:c>
      <x:c r="AL11" t="n">
        <x:f>2*(SQRT((Inputs!$C$52+(Scenario_Data!D11))^2+Inputs!$C$52^2-2*(Inputs!$C$52+(Scenario_Data!D11))*Inputs!$C$52*COS(SQRT((Scenario_Data!V11)^2+Inputs!$C$6^2)/Inputs!$C$52))*1000)/Inputs!$C$21*1000000</x:f>
        <x:v>8373.64240992586</x:v>
      </x:c>
      <x:c r="AM11" t="n">
        <x:f>Scenario_Data!W11</x:f>
        <x:v>-740</x:v>
      </x:c>
      <x:c r="AN11" t="n">
        <x:f>2*(SQRT((Inputs!$C$52+(Scenario_Data!E11))^2+Inputs!$C$52^2-2*(Inputs!$C$52+(Scenario_Data!E11))*Inputs!$C$52*COS(SQRT((Scenario_Data!W11)^2+Inputs!$C$6^2)/Inputs!$C$52))*1000)/Inputs!$C$21*1000000</x:f>
        <x:v>8365.717177007828</x:v>
      </x:c>
      <x:c r="AP11" t="n">
        <x:f>Scenario_Data!T11</x:f>
        <x:v>-55.5</x:v>
      </x:c>
      <x:c r="AQ11" t="n">
        <x: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x:f>
        <x:v>2728.570750363843</x:v>
      </x:c>
      <x:c r="AR11" t="n">
        <x:f>Scenario_Data!U11</x:f>
        <x:v>-370</x:v>
      </x:c>
      <x:c r="AS11" t="n">
        <x: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x:f>
        <x:v>3579.321968781586</x:v>
      </x:c>
      <x:c r="AT11" t="n">
        <x:f>Scenario_Data!V11</x:f>
        <x:v>-740</x:v>
      </x:c>
      <x:c r="AU11" t="n">
        <x: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x:f>
        <x:v>8373.161917250281</x:v>
      </x:c>
      <x:c r="AV11" t="n">
        <x:f>Scenario_Data!W11</x:f>
        <x:v>-740</x:v>
      </x:c>
      <x:c r="AW11" t="n">
        <x: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x:f>
        <x:v>8365.237270419912</x:v>
      </x:c>
    </x:row>
    <x:row r="12">
      <x:c r="A12" t="n">
        <x:f>Chart_Data!K12</x:f>
        <x:v>-55</x:v>
      </x:c>
      <x:c r="B12" t="n">
        <x:f>Chart_Data!N12-Chart_Data!L12</x:f>
        <x:v>-49.58095040517583</x:v>
      </x:c>
      <x:c r="D12" t="n">
        <x:f>Chart_Data!G12</x:f>
        <x:v>-55</x:v>
      </x:c>
      <x:c r="E12" t="n">
        <x:f>Chart_Data!H12</x:f>
        <x:v>176.10976359434375</x:v>
      </x:c>
      <x:c r="F12" t="n">
        <x:f>Chart_Data!I12</x:f>
        <x:v>176.10976359434375</x:v>
      </x:c>
      <x:c r="G12" t="n">
        <x:f>Chart_Data!J12</x:f>
        <x:v>46.51195593176057</x:v>
      </x:c>
      <x:c r="I12" t="n">
        <x:f>Scenario_Data!A12</x:f>
        <x:v>-0.917</x:v>
      </x:c>
      <x:c r="J12" t="n">
        <x:f>Scenario_Data!H12-(((SQRT((Inputs!$C$52+(Inputs!$H$6))^2+Inputs!$C$52^2-2*(Inputs!$C$52+(Inputs!$H$6))*Inputs!$C$52*COS(SQRT((Scenario_Data!T12)^2+Inputs!$C$6^2)/Inputs!$C$52)))-(Inputs!$H$6))*1000/Inputs!$C$12)</x:f>
        <x:v>-20.90024248669988</x:v>
      </x:c>
      <x:c r="K12" t="n">
        <x:f>Scenario_Data!I12-(((SQRT((Inputs!$C$52+(Inputs!$H$7))^2+Inputs!$C$52^2-2*(Inputs!$C$52+(Inputs!$H$7))*Inputs!$C$52*COS(SQRT((Scenario_Data!U12)^2+Inputs!$C$6^2)/Inputs!$C$52)))-(Inputs!$H$7))*1000/Inputs!$C$12)</x:f>
        <x:v>-83952.36924737085</x:v>
      </x:c>
      <x:c r="L12" t="n">
        <x:f>Scenario_Data!J12-(((SQRT((Inputs!$C$52+(Inputs!$H$8))^2+Inputs!$C$52^2-2*(Inputs!$C$52+(Inputs!$H$8))*Inputs!$C$52*COS(SQRT((Scenario_Data!V12)^2+Inputs!$C$6^2)/Inputs!$C$52)))-(Inputs!$H$8))*1000/Inputs!$C$12)</x:f>
        <x:v>-174059.5218997983</x:v>
      </x:c>
      <x:c r="M12" t="n">
        <x:f>Scenario_Data!K12-(((SQRT((Inputs!$C$52+(Inputs!$H$9))^2+Inputs!$C$52^2-2*(Inputs!$C$52+(Inputs!$H$9))*Inputs!$C$52*COS(SQRT((Scenario_Data!W12)^2+Inputs!$C$6^2)/Inputs!$C$52)))-(Inputs!$H$9))*1000/Inputs!$C$12)</x:f>
        <x:v>-177992.30309147586</x:v>
      </x:c>
      <x:c r="O12" t="n">
        <x:f>Scenario_Data!T12</x:f>
        <x:v>-55.02</x:v>
      </x:c>
      <x:c r="P12" t="n">
        <x:f>2*(Scenario_Data!B12*1000)/Inputs!$C$21*1000000</x:f>
        <x:v>2690.951991860983</x:v>
      </x:c>
      <x:c r="Q12" t="n">
        <x:f>Scenario_Data!U12</x:f>
        <x:v>-366.8</x:v>
      </x:c>
      <x:c r="R12" t="n">
        <x:f>2*(Scenario_Data!C12*1000)/Inputs!$C$21*1000000</x:f>
        <x:v>2281.0746293023826</x:v>
      </x:c>
      <x:c r="S12" t="n">
        <x:f>Scenario_Data!V12</x:f>
        <x:v>-733.6</x:v>
      </x:c>
      <x:c r="T12" t="n">
        <x:f>2*(Scenario_Data!D12*1000)/Inputs!$C$21*1000000</x:f>
        <x:v>5646.959170667329</x:v>
      </x:c>
      <x:c r="U12" t="n">
        <x:f>Scenario_Data!W12</x:f>
        <x:v>-733.6</x:v>
      </x:c>
      <x:c r="V12" t="n">
        <x:f>2*(Scenario_Data!E12*1000)/Inputs!$C$21*1000000</x:f>
        <x:v>5636.344427317114</x:v>
      </x:c>
      <x:c r="X12" t="n">
        <x:f>Scenario_Data!T12</x:f>
        <x:v>-55.02</x:v>
      </x:c>
      <x:c r="Y12" t="n">
        <x: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x:f>
        <x:v>2690.69544749007</x:v>
      </x:c>
      <x:c r="Z12" t="n">
        <x:f>Scenario_Data!U12</x:f>
        <x:v>-366.8</x:v>
      </x:c>
      <x:c r="AA12" t="n">
        <x: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x:f>
        <x:v>2281.42139016595</x:v>
      </x:c>
      <x:c r="AB12" t="n">
        <x:f>Scenario_Data!V12</x:f>
        <x:v>-733.6</x:v>
      </x:c>
      <x:c r="AC12" t="n">
        <x: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x:f>
        <x:v>5646.7277866164695</x:v>
      </x:c>
      <x:c r="AD12" t="n">
        <x:f>Scenario_Data!W12</x:f>
        <x:v>-733.6</x:v>
      </x:c>
      <x:c r="AE12" t="n">
        <x: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x:f>
        <x:v>5636.113043266254</x:v>
      </x:c>
      <x:c r="AG12" t="n">
        <x:f>Scenario_Data!T12</x:f>
        <x:v>-55.02</x:v>
      </x:c>
      <x:c r="AH12" t="n">
        <x:f>2*(SQRT((Inputs!$C$52+(Scenario_Data!B12))^2+Inputs!$C$52^2-2*(Inputs!$C$52+(Scenario_Data!B12))*Inputs!$C$52*COS(SQRT((Scenario_Data!T12)^2+Inputs!$C$6^2)/Inputs!$C$52))*1000)/Inputs!$C$21*1000000</x:f>
        <x:v>2728.689978080741</x:v>
      </x:c>
      <x:c r="AI12" t="n">
        <x:f>Scenario_Data!U12</x:f>
        <x:v>-366.8</x:v>
      </x:c>
      <x:c r="AJ12" t="n">
        <x:f>2*(SQRT((Inputs!$C$52+(Scenario_Data!C12))^2+Inputs!$C$52^2-2*(Inputs!$C$52+(Scenario_Data!C12))*Inputs!$C$52*COS(SQRT((Scenario_Data!U12)^2+Inputs!$C$6^2)/Inputs!$C$52))*1000)/Inputs!$C$21*1000000</x:f>
        <x:v>3535.9694398561164</x:v>
      </x:c>
      <x:c r="AK12" t="n">
        <x:f>Scenario_Data!V12</x:f>
        <x:v>-733.6</x:v>
      </x:c>
      <x:c r="AL12" t="n">
        <x:f>2*(SQRT((Inputs!$C$52+(Scenario_Data!D12))^2+Inputs!$C$52^2-2*(Inputs!$C$52+(Scenario_Data!D12))*Inputs!$C$52*COS(SQRT((Scenario_Data!V12)^2+Inputs!$C$6^2)/Inputs!$C$52))*1000)/Inputs!$C$21*1000000</x:f>
        <x:v>8258.071035157735</x:v>
      </x:c>
      <x:c r="AM12" t="n">
        <x:f>Scenario_Data!W12</x:f>
        <x:v>-733.6</x:v>
      </x:c>
      <x:c r="AN12" t="n">
        <x:f>2*(SQRT((Inputs!$C$52+(Scenario_Data!E12))^2+Inputs!$C$52^2-2*(Inputs!$C$52+(Scenario_Data!E12))*Inputs!$C$52*COS(SQRT((Scenario_Data!W12)^2+Inputs!$C$6^2)/Inputs!$C$52))*1000)/Inputs!$C$21*1000000</x:f>
        <x:v>8249.361784554472</x:v>
      </x:c>
      <x:c r="AP12" t="n">
        <x:f>Scenario_Data!T12</x:f>
        <x:v>-55.02</x:v>
      </x:c>
      <x:c r="AQ12" t="n">
        <x: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x:f>
        <x:v>2727.45681982305</x:v>
      </x:c>
      <x:c r="AR12" t="n">
        <x:f>Scenario_Data!U12</x:f>
        <x:v>-366.8</x:v>
      </x:c>
      <x:c r="AS12" t="n">
        <x: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x:f>
        <x:v>3535.53973919248</x:v>
      </x:c>
      <x:c r="AT12" t="n">
        <x:f>Scenario_Data!V12</x:f>
        <x:v>-733.6</x:v>
      </x:c>
      <x:c r="AU12" t="n">
        <x: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x:f>
        <x:v>8257.496479709396</x:v>
      </x:c>
      <x:c r="AV12" t="n">
        <x:f>Scenario_Data!W12</x:f>
        <x:v>-733.6</x:v>
      </x:c>
      <x:c r="AW12" t="n">
        <x: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x:f>
        <x:v>8248.788016979055</x:v>
      </x:c>
    </x:row>
    <x:row r="13">
      <x:c r="A13" t="n">
        <x:f>Chart_Data!K13</x:f>
        <x:v>-54.5</x:v>
      </x:c>
      <x:c r="B13" t="n">
        <x:f>Chart_Data!N13-Chart_Data!L13</x:f>
        <x:v>-53.11367179592119</x:v>
      </x:c>
      <x:c r="D13" t="n">
        <x:f>Chart_Data!G13</x:f>
        <x:v>-54.5</x:v>
      </x:c>
      <x:c r="E13" t="n">
        <x:f>Chart_Data!H13</x:f>
        <x:v>194.40953580817023</x:v>
      </x:c>
      <x:c r="F13" t="n">
        <x:f>Chart_Data!I13</x:f>
        <x:v>194.40953580817023</x:v>
      </x:c>
      <x:c r="G13" t="n">
        <x:f>Chart_Data!J13</x:f>
        <x:v>49.77469341509185</x:v>
      </x:c>
      <x:c r="I13" t="n">
        <x:f>Scenario_Data!A13</x:f>
        <x:v>-0.908</x:v>
      </x:c>
      <x:c r="J13" t="n">
        <x:f>Scenario_Data!H13-(((SQRT((Inputs!$C$52+(Inputs!$H$6))^2+Inputs!$C$52^2-2*(Inputs!$C$52+(Inputs!$H$6))*Inputs!$C$52*COS(SQRT((Scenario_Data!T13)^2+Inputs!$C$6^2)/Inputs!$C$52)))-(Inputs!$H$6))*1000/Inputs!$C$12)</x:f>
        <x:v>-20.17087555141279</x:v>
      </x:c>
      <x:c r="K13" t="n">
        <x:f>Scenario_Data!I13-(((SQRT((Inputs!$C$52+(Inputs!$H$7))^2+Inputs!$C$52^2-2*(Inputs!$C$52+(Inputs!$H$7))*Inputs!$C$52*COS(SQRT((Scenario_Data!U13)^2+Inputs!$C$6^2)/Inputs!$C$52)))-(Inputs!$H$7))*1000/Inputs!$C$12)</x:f>
        <x:v>-82700.4595564772</x:v>
      </x:c>
      <x:c r="L13" t="n">
        <x:f>Scenario_Data!J13-(((SQRT((Inputs!$C$52+(Inputs!$H$8))^2+Inputs!$C$52^2-2*(Inputs!$C$52+(Inputs!$H$8))*Inputs!$C$52*COS(SQRT((Scenario_Data!V13)^2+Inputs!$C$6^2)/Inputs!$C$52)))-(Inputs!$H$8))*1000/Inputs!$C$12)</x:f>
        <x:v>-172041.86803726538</x:v>
      </x:c>
      <x:c r="M13" t="n">
        <x:f>Scenario_Data!K13-(((SQRT((Inputs!$C$52+(Inputs!$H$9))^2+Inputs!$C$52^2-2*(Inputs!$C$52+(Inputs!$H$9))*Inputs!$C$52*COS(SQRT((Scenario_Data!W13)^2+Inputs!$C$6^2)/Inputs!$C$52)))-(Inputs!$H$9))*1000/Inputs!$C$12)</x:f>
        <x:v>-175965.70357183547</x:v>
      </x:c>
      <x:c r="O13" t="n">
        <x:f>Scenario_Data!T13</x:f>
        <x:v>-54.480000000000004</x:v>
      </x:c>
      <x:c r="P13" t="n">
        <x:f>2*(Scenario_Data!B13*1000)/Inputs!$C$21*1000000</x:f>
        <x:v>2690.5136886398923</x:v>
      </x:c>
      <x:c r="Q13" t="n">
        <x:f>Scenario_Data!U13</x:f>
        <x:v>-363.2</x:v>
      </x:c>
      <x:c r="R13" t="n">
        <x:f>2*(Scenario_Data!C13*1000)/Inputs!$C$21*1000000</x:f>
        <x:v>2241.0794603778854</x:v>
      </x:c>
      <x:c r="S13" t="n">
        <x:f>Scenario_Data!V13</x:f>
        <x:v>-726.4</x:v>
      </x:c>
      <x:c r="T13" t="n">
        <x:f>2*(Scenario_Data!D13*1000)/Inputs!$C$21*1000000</x:f>
        <x:v>5541.218518579276</x:v>
      </x:c>
      <x:c r="U13" t="n">
        <x:f>Scenario_Data!W13</x:f>
        <x:v>-726.4</x:v>
      </x:c>
      <x:c r="V13" t="n">
        <x:f>2*(Scenario_Data!E13*1000)/Inputs!$C$21*1000000</x:f>
        <x:v>5529.508017176336</x:v>
      </x:c>
      <x:c r="X13" t="n">
        <x:f>Scenario_Data!T13</x:f>
        <x:v>-54.480000000000004</x:v>
      </x:c>
      <x:c r="Y13" t="n">
        <x: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x:f>
        <x:v>2690.1320799792074</x:v>
      </x:c>
      <x:c r="Z13" t="n">
        <x:f>Scenario_Data!U13</x:f>
        <x:v>-363.2</x:v>
      </x:c>
      <x:c r="AA13" t="n">
        <x: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x:f>
        <x:v>2241.5050146309113</x:v>
      </x:c>
      <x:c r="AB13" t="n">
        <x:f>Scenario_Data!V13</x:f>
        <x:v>-726.4</x:v>
      </x:c>
      <x:c r="AC13" t="n">
        <x: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x:f>
        <x:v>5541.454225810645</x:v>
      </x:c>
      <x:c r="AD13" t="n">
        <x:f>Scenario_Data!W13</x:f>
        <x:v>-726.4</x:v>
      </x:c>
      <x:c r="AE13" t="n">
        <x: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x:f>
        <x:v>5529.743724407704</x:v>
      </x:c>
      <x:c r="AG13" t="n">
        <x:f>Scenario_Data!T13</x:f>
        <x:v>-54.480000000000004</x:v>
      </x:c>
      <x:c r="AH13" t="n">
        <x:f>2*(SQRT((Inputs!$C$52+(Scenario_Data!B13))^2+Inputs!$C$52^2-2*(Inputs!$C$52+(Scenario_Data!B13))*Inputs!$C$52*COS(SQRT((Scenario_Data!T13)^2+Inputs!$C$6^2)/Inputs!$C$52))*1000)/Inputs!$C$21*1000000</x:f>
        <x:v>2727.649652758524</x:v>
      </x:c>
      <x:c r="AI13" t="n">
        <x:f>Scenario_Data!U13</x:f>
        <x:v>-363.2</x:v>
      </x:c>
      <x:c r="AJ13" t="n">
        <x:f>2*(SQRT((Inputs!$C$52+(Scenario_Data!C13))^2+Inputs!$C$52^2-2*(Inputs!$C$52+(Scenario_Data!C13))*Inputs!$C$52*COS(SQRT((Scenario_Data!U13)^2+Inputs!$C$6^2)/Inputs!$C$52))*1000)/Inputs!$C$21*1000000</x:f>
        <x:v>3486.8865852502836</x:v>
      </x:c>
      <x:c r="AK13" t="n">
        <x:f>Scenario_Data!V13</x:f>
        <x:v>-726.4</x:v>
      </x:c>
      <x:c r="AL13" t="n">
        <x:f>2*(SQRT((Inputs!$C$52+(Scenario_Data!D13))^2+Inputs!$C$52^2-2*(Inputs!$C$52+(Scenario_Data!D13))*Inputs!$C$52*COS(SQRT((Scenario_Data!V13)^2+Inputs!$C$6^2)/Inputs!$C$52))*1000)/Inputs!$C$21*1000000</x:f>
        <x:v>8129.126144290872</x:v>
      </x:c>
      <x:c r="AM13" t="n">
        <x:f>Scenario_Data!W13</x:f>
        <x:v>-726.4</x:v>
      </x:c>
      <x:c r="AN13" t="n">
        <x:f>2*(SQRT((Inputs!$C$52+(Scenario_Data!E13))^2+Inputs!$C$52^2-2*(Inputs!$C$52+(Scenario_Data!E13))*Inputs!$C$52*COS(SQRT((Scenario_Data!W13)^2+Inputs!$C$6^2)/Inputs!$C$52))*1000)/Inputs!$C$21*1000000</x:f>
        <x:v>8119.549246965398</x:v>
      </x:c>
      <x:c r="AP13" t="n">
        <x:f>Scenario_Data!T13</x:f>
        <x:v>-54.480000000000004</x:v>
      </x:c>
      <x:c r="AQ13" t="n">
        <x: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x:f>
        <x:v>2726.3354650184833</x:v>
      </x:c>
      <x:c r="AR13" t="n">
        <x:f>Scenario_Data!U13</x:f>
        <x:v>-363.2</x:v>
      </x:c>
      <x:c r="AS13" t="n">
        <x: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x:f>
        <x:v>3486.6311054490343</x:v>
      </x:c>
      <x:c r="AT13" t="n">
        <x:f>Scenario_Data!V13</x:f>
        <x:v>-726.4</x:v>
      </x:c>
      <x:c r="AU13" t="n">
        <x: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x:f>
        <x:v>8128.795130995124</x:v>
      </x:c>
      <x:c r="AV13" t="n">
        <x:f>Scenario_Data!W13</x:f>
        <x:v>-726.4</x:v>
      </x:c>
      <x:c r="AW13" t="n">
        <x: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x:f>
        <x:v>8119.218745794955</x:v>
      </x:c>
    </x:row>
    <x:row r="14">
      <x:c r="A14" t="n">
        <x:f>Chart_Data!K14</x:f>
        <x:v>-54</x:v>
      </x:c>
      <x:c r="B14" t="n">
        <x:f>Chart_Data!N14-Chart_Data!L14</x:f>
        <x:v>-41.23963182688874</x:v>
      </x:c>
      <x:c r="D14" t="n">
        <x:f>Chart_Data!G14</x:f>
        <x:v>-54</x:v>
      </x:c>
      <x:c r="E14" t="n">
        <x:f>Chart_Data!H14</x:f>
        <x:v>196.39629745562698</x:v>
      </x:c>
      <x:c r="F14" t="n">
        <x:f>Chart_Data!I14</x:f>
        <x:v>196.39629745562698</x:v>
      </x:c>
      <x:c r="G14" t="n">
        <x:f>Chart_Data!J14</x:f>
        <x:v>37.91568406723211</x:v>
      </x:c>
      <x:c r="I14" t="n">
        <x:f>Scenario_Data!A14</x:f>
        <x:v>-0.9</x:v>
      </x:c>
      <x:c r="J14" t="n">
        <x:f>Scenario_Data!H14-(((SQRT((Inputs!$C$52+(Inputs!$H$6))^2+Inputs!$C$52^2-2*(Inputs!$C$52+(Inputs!$H$6))*Inputs!$C$52*COS(SQRT((Scenario_Data!T14)^2+Inputs!$C$6^2)/Inputs!$C$52)))-(Inputs!$H$6))*1000/Inputs!$C$12)</x:f>
        <x:v>-19.538907124212074</x:v>
      </x:c>
      <x:c r="K14" t="n">
        <x:f>Scenario_Data!I14-(((SQRT((Inputs!$C$52+(Inputs!$H$7))^2+Inputs!$C$52^2-2*(Inputs!$C$52+(Inputs!$H$7))*Inputs!$C$52*COS(SQRT((Scenario_Data!U14)^2+Inputs!$C$6^2)/Inputs!$C$52)))-(Inputs!$H$7))*1000/Inputs!$C$12)</x:f>
        <x:v>-81588.94913418307</x:v>
      </x:c>
      <x:c r="L14" t="n">
        <x:f>Scenario_Data!J14-(((SQRT((Inputs!$C$52+(Inputs!$H$8))^2+Inputs!$C$52^2-2*(Inputs!$C$52+(Inputs!$H$8))*Inputs!$C$52*COS(SQRT((Scenario_Data!V14)^2+Inputs!$C$6^2)/Inputs!$C$52)))-(Inputs!$H$8))*1000/Inputs!$C$12)</x:f>
        <x:v>-170240.22471774745</x:v>
      </x:c>
      <x:c r="M14" t="n">
        <x:f>Scenario_Data!K14-(((SQRT((Inputs!$C$52+(Inputs!$H$9))^2+Inputs!$C$52^2-2*(Inputs!$C$52+(Inputs!$H$9))*Inputs!$C$52*COS(SQRT((Scenario_Data!W14)^2+Inputs!$C$6^2)/Inputs!$C$52)))-(Inputs!$H$9))*1000/Inputs!$C$12)</x:f>
        <x:v>-174155.75991096892</x:v>
      </x:c>
      <x:c r="O14" t="n">
        <x:f>Scenario_Data!T14</x:f>
        <x:v>-54</x:v>
      </x:c>
      <x:c r="P14" t="n">
        <x:f>2*(Scenario_Data!B14*1000)/Inputs!$C$21*1000000</x:f>
        <x:v>2690.1277149540565</x:v>
      </x:c>
      <x:c r="Q14" t="n">
        <x:f>Scenario_Data!U14</x:f>
        <x:v>-360</x:v>
      </x:c>
      <x:c r="R14" t="n">
        <x:f>2*(Scenario_Data!C14*1000)/Inputs!$C$21*1000000</x:f>
        <x:v>2205.8593615453797</x:v>
      </x:c>
      <x:c r="S14" t="n">
        <x:f>Scenario_Data!V14</x:f>
        <x:v>-720</x:v>
      </x:c>
      <x:c r="T14" t="n">
        <x:f>2*(Scenario_Data!D14*1000)/Inputs!$C$21*1000000</x:f>
        <x:v>5448.102366871419</x:v>
      </x:c>
      <x:c r="U14" t="n">
        <x:f>Scenario_Data!W14</x:f>
        <x:v>-720</x:v>
      </x:c>
      <x:c r="V14" t="n">
        <x:f>2*(Scenario_Data!E14*1000)/Inputs!$C$21*1000000</x:f>
        <x:v>5435.426931253887</x:v>
      </x:c>
      <x:c r="X14" t="n">
        <x:f>Scenario_Data!T14</x:f>
        <x:v>-54</x:v>
      </x:c>
      <x:c r="Y14" t="n">
        <x: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x:f>
        <x:v>2689.8747687370624</x:v>
      </x:c>
      <x:c r="Z14" t="n">
        <x:f>Scenario_Data!U14</x:f>
        <x:v>-360</x:v>
      </x:c>
      <x:c r="AA14" t="n">
        <x: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x:f>
        <x:v>2205.928237430532</x:v>
      </x:c>
      <x:c r="AB14" t="n">
        <x:f>Scenario_Data!V14</x:f>
        <x:v>-720</x:v>
      </x:c>
      <x:c r="AC14" t="n">
        <x: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x:f>
        <x:v>5448.244174117028</x:v>
      </x:c>
      <x:c r="AD14" t="n">
        <x:f>Scenario_Data!W14</x:f>
        <x:v>-720</x:v>
      </x:c>
      <x:c r="AE14" t="n">
        <x: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x:f>
        <x:v>5435.568738499498</x:v>
      </x:c>
      <x:c r="AG14" t="n">
        <x:f>Scenario_Data!T14</x:f>
        <x:v>-54</x:v>
      </x:c>
      <x:c r="AH14" t="n">
        <x:f>2*(SQRT((Inputs!$C$52+(Scenario_Data!B14))^2+Inputs!$C$52^2-2*(Inputs!$C$52+(Scenario_Data!B14))*Inputs!$C$52*COS(SQRT((Scenario_Data!T14)^2+Inputs!$C$6^2)/Inputs!$C$52))*1000)/Inputs!$C$21*1000000</x:f>
        <x:v>2726.7332943721008</x:v>
      </x:c>
      <x:c r="AI14" t="n">
        <x:f>Scenario_Data!U14</x:f>
        <x:v>-360</x:v>
      </x:c>
      <x:c r="AJ14" t="n">
        <x:f>2*(SQRT((Inputs!$C$52+(Scenario_Data!C14))^2+Inputs!$C$52^2-2*(Inputs!$C$52+(Scenario_Data!C14))*Inputs!$C$52*COS(SQRT((Scenario_Data!U14)^2+Inputs!$C$6^2)/Inputs!$C$52))*1000)/Inputs!$C$21*1000000</x:f>
        <x:v>3443.5731304663896</x:v>
      </x:c>
      <x:c r="AK14" t="n">
        <x:f>Scenario_Data!V14</x:f>
        <x:v>-720</x:v>
      </x:c>
      <x:c r="AL14" t="n">
        <x:f>2*(SQRT((Inputs!$C$52+(Scenario_Data!D14))^2+Inputs!$C$52^2-2*(Inputs!$C$52+(Scenario_Data!D14))*Inputs!$C$52*COS(SQRT((Scenario_Data!V14)^2+Inputs!$C$6^2)/Inputs!$C$52))*1000)/Inputs!$C$21*1000000</x:f>
        <x:v>8015.460751408424</x:v>
      </x:c>
      <x:c r="AM14" t="n">
        <x:f>Scenario_Data!W14</x:f>
        <x:v>-720</x:v>
      </x:c>
      <x:c r="AN14" t="n">
        <x:f>2*(SQRT((Inputs!$C$52+(Scenario_Data!E14))^2+Inputs!$C$52^2-2*(Inputs!$C$52+(Scenario_Data!E14))*Inputs!$C$52*COS(SQRT((Scenario_Data!W14)^2+Inputs!$C$6^2)/Inputs!$C$52))*1000)/Inputs!$C$21*1000000</x:f>
        <x:v>8005.125448461821</x:v>
      </x:c>
      <x:c r="AP14" t="n">
        <x:f>Scenario_Data!T14</x:f>
        <x:v>-54</x:v>
      </x:c>
      <x:c r="AQ14" t="n">
        <x: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x:f>
        <x:v>2725.4452542994177</x:v>
      </x:c>
      <x:c r="AR14" t="n">
        <x:f>Scenario_Data!U14</x:f>
        <x:v>-360</x:v>
      </x:c>
      <x:c r="AS14" t="n">
        <x: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x:f>
        <x:v>3443.2133979979462</x:v>
      </x:c>
      <x:c r="AT14" t="n">
        <x:f>Scenario_Data!V14</x:f>
        <x:v>-720</x:v>
      </x:c>
      <x:c r="AU14" t="n">
        <x: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x:f>
        <x:v>8015.099169643812</x:v>
      </x:c>
      <x:c r="AV14" t="n">
        <x:f>Scenario_Data!W14</x:f>
        <x:v>-720</x:v>
      </x:c>
      <x:c r="AW14" t="n">
        <x: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x:f>
        <x:v>8004.764484602612</x:v>
      </x:c>
    </x:row>
    <x:row r="15">
      <x:c r="A15" t="n">
        <x:f>Chart_Data!K15</x:f>
        <x:v>-53.5</x:v>
      </x:c>
      <x:c r="B15" t="n">
        <x:f>Chart_Data!N15-Chart_Data!L15</x:f>
        <x:v>-52.89202961017506</x:v>
      </x:c>
      <x:c r="D15" t="n">
        <x:f>Chart_Data!G15</x:f>
        <x:v>-53.5</x:v>
      </x:c>
      <x:c r="E15" t="n">
        <x:f>Chart_Data!H15</x:f>
        <x:v>215.04504497494062</x:v>
      </x:c>
      <x:c r="F15" t="n">
        <x:f>Chart_Data!I15</x:f>
        <x:v>215.04504497494062</x:v>
      </x:c>
      <x:c r="G15" t="n">
        <x:f>Chart_Data!J15</x:f>
        <x:v>49.305692333608725</x:v>
      </x:c>
      <x:c r="I15" t="n">
        <x:f>Scenario_Data!A15</x:f>
        <x:v>-0.892</x:v>
      </x:c>
      <x:c r="J15" t="n">
        <x:f>Scenario_Data!H15-(((SQRT((Inputs!$C$52+(Inputs!$H$6))^2+Inputs!$C$52^2-2*(Inputs!$C$52+(Inputs!$H$6))*Inputs!$C$52*COS(SQRT((Scenario_Data!T15)^2+Inputs!$C$6^2)/Inputs!$C$52)))-(Inputs!$H$6))*1000/Inputs!$C$12)</x:f>
        <x:v>-18.922080788589938</x:v>
      </x:c>
      <x:c r="K15" t="n">
        <x:f>Scenario_Data!I15-(((SQRT((Inputs!$C$52+(Inputs!$H$7))^2+Inputs!$C$52^2-2*(Inputs!$C$52+(Inputs!$H$7))*Inputs!$C$52*COS(SQRT((Scenario_Data!U15)^2+Inputs!$C$6^2)/Inputs!$C$52)))-(Inputs!$H$7))*1000/Inputs!$C$12)</x:f>
        <x:v>-80478.7496070101</x:v>
      </x:c>
      <x:c r="L15" t="n">
        <x:f>Scenario_Data!J15-(((SQRT((Inputs!$C$52+(Inputs!$H$8))^2+Inputs!$C$52^2-2*(Inputs!$C$52+(Inputs!$H$8))*Inputs!$C$52*COS(SQRT((Scenario_Data!V15)^2+Inputs!$C$6^2)/Inputs!$C$52)))-(Inputs!$H$8))*1000/Inputs!$C$12)</x:f>
        <x:v>-168431.02288308332</x:v>
      </x:c>
      <x:c r="M15" t="n">
        <x:f>Scenario_Data!K15-(((SQRT((Inputs!$C$52+(Inputs!$H$9))^2+Inputs!$C$52^2-2*(Inputs!$C$52+(Inputs!$H$9))*Inputs!$C$52*COS(SQRT((Scenario_Data!W15)^2+Inputs!$C$6^2)/Inputs!$C$52)))-(Inputs!$H$9))*1000/Inputs!$C$12)</x:f>
        <x:v>-172337.9237806311</x:v>
      </x:c>
      <x:c r="O15" t="n">
        <x:f>Scenario_Data!T15</x:f>
        <x:v>-53.52</x:v>
      </x:c>
      <x:c r="P15" t="n">
        <x:f>2*(Scenario_Data!B15*1000)/Inputs!$C$21*1000000</x:f>
        <x:v>2689.745156964556</x:v>
      </x:c>
      <x:c r="Q15" t="n">
        <x:f>Scenario_Data!U15</x:f>
        <x:v>-356.8</x:v>
      </x:c>
      <x:c r="R15" t="n">
        <x:f>2*(Scenario_Data!C15*1000)/Inputs!$C$21*1000000</x:f>
        <x:v>2170.9509450034266</x:v>
      </x:c>
      <x:c r="S15" t="n">
        <x:f>Scenario_Data!V15</x:f>
        <x:v>-713.6</x:v>
      </x:c>
      <x:c r="T15" t="n">
        <x:f>2*(Scenario_Data!D15*1000)/Inputs!$C$21*1000000</x:f>
        <x:v>5355.810251904337</x:v>
      </x:c>
      <x:c r="U15" t="n">
        <x:f>Scenario_Data!W15</x:f>
        <x:v>-713.6</x:v>
      </x:c>
      <x:c r="V15" t="n">
        <x:f>2*(Scenario_Data!E15*1000)/Inputs!$C$21*1000000</x:f>
        <x:v>5342.178421313054</x:v>
      </x:c>
      <x:c r="X15" t="n">
        <x:f>Scenario_Data!T15</x:f>
        <x:v>-53.52</x:v>
      </x:c>
      <x:c r="Y15" t="n">
        <x: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x:f>
        <x:v>2689.409732962194</x:v>
      </x:c>
      <x:c r="Z15" t="n">
        <x:f>Scenario_Data!U15</x:f>
        <x:v>-356.8</x:v>
      </x:c>
      <x:c r="AA15" t="n">
        <x: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x:f>
        <x:v>2170.5785179125855</x:v>
      </x:c>
      <x:c r="AB15" t="n">
        <x:f>Scenario_Data!V15</x:f>
        <x:v>-713.6</x:v>
      </x:c>
      <x:c r="AC15" t="n">
        <x: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x:f>
        <x:v>5355.753564055641</x:v>
      </x:c>
      <x:c r="AD15" t="n">
        <x:f>Scenario_Data!W15</x:f>
        <x:v>-713.6</x:v>
      </x:c>
      <x:c r="AE15" t="n">
        <x: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x:f>
        <x:v>5342.121733464359</x:v>
      </x:c>
      <x:c r="AG15" t="n">
        <x:f>Scenario_Data!T15</x:f>
        <x:v>-53.52</x:v>
      </x:c>
      <x:c r="AH15" t="n">
        <x:f>2*(SQRT((Inputs!$C$52+(Scenario_Data!B15))^2+Inputs!$C$52^2-2*(Inputs!$C$52+(Scenario_Data!B15))*Inputs!$C$52*COS(SQRT((Scenario_Data!T15)^2+Inputs!$C$6^2)/Inputs!$C$52))*1000)/Inputs!$C$21*1000000</x:f>
        <x:v>2725.824824510964</x:v>
      </x:c>
      <x:c r="AI15" t="n">
        <x:f>Scenario_Data!U15</x:f>
        <x:v>-356.8</x:v>
      </x:c>
      <x:c r="AJ15" t="n">
        <x:f>2*(SQRT((Inputs!$C$52+(Scenario_Data!C15))^2+Inputs!$C$52^2-2*(Inputs!$C$52+(Scenario_Data!C15))*Inputs!$C$52*COS(SQRT((Scenario_Data!U15)^2+Inputs!$C$6^2)/Inputs!$C$52))*1000)/Inputs!$C$21*1000000</x:f>
        <x:v>3400.5558883978983</x:v>
      </x:c>
      <x:c r="AK15" t="n">
        <x:f>Scenario_Data!V15</x:f>
        <x:v>-713.6</x:v>
      </x:c>
      <x:c r="AL15" t="n">
        <x:f>2*(SQRT((Inputs!$C$52+(Scenario_Data!D15))^2+Inputs!$C$52^2-2*(Inputs!$C$52+(Scenario_Data!D15))*Inputs!$C$52*COS(SQRT((Scenario_Data!V15)^2+Inputs!$C$6^2)/Inputs!$C$52))*1000)/Inputs!$C$21*1000000</x:f>
        <x:v>7902.69025957073</x:v>
      </x:c>
      <x:c r="AM15" t="n">
        <x:f>Scenario_Data!W15</x:f>
        <x:v>-713.6</x:v>
      </x:c>
      <x:c r="AN15" t="n">
        <x:f>2*(SQRT((Inputs!$C$52+(Scenario_Data!E15))^2+Inputs!$C$52^2-2*(Inputs!$C$52+(Scenario_Data!E15))*Inputs!$C$52*COS(SQRT((Scenario_Data!W15)^2+Inputs!$C$6^2)/Inputs!$C$52))*1000)/Inputs!$C$21*1000000</x:f>
        <x:v>7891.608688682572</x:v>
      </x:c>
      <x:c r="AP15" t="n">
        <x:f>Scenario_Data!T15</x:f>
        <x:v>-53.52</x:v>
      </x:c>
      <x:c r="AQ15" t="n">
        <x: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x:f>
        <x:v>2724.3586238461326</x:v>
      </x:c>
      <x:c r="AR15" t="n">
        <x:f>Scenario_Data!U15</x:f>
        <x:v>-356.8</x:v>
      </x:c>
      <x:c r="AS15" t="n">
        <x: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x:f>
        <x:v>3399.895538099978</x:v>
      </x:c>
      <x:c r="AT15" t="n">
        <x:f>Scenario_Data!V15</x:f>
        <x:v>-713.6</x:v>
      </x:c>
      <x:c r="AU15" t="n">
        <x: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x:f>
        <x:v>7902.130399222024</x:v>
      </x:c>
      <x:c r="AV15" t="n">
        <x:f>Scenario_Data!W15</x:f>
        <x:v>-713.6</x:v>
      </x:c>
      <x:c r="AW15" t="n">
        <x: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x:f>
        <x:v>7891.049878608124</x:v>
      </x:c>
    </x:row>
    <x:row r="16">
      <x:c r="A16" t="n">
        <x:f>Chart_Data!K16</x:f>
        <x:v>-53</x:v>
      </x:c>
      <x:c r="B16" t="n">
        <x:f>Chart_Data!N16-Chart_Data!L16</x:f>
        <x:v>-58.581245405388074</x:v>
      </x:c>
      <x:c r="D16" t="n">
        <x:f>Chart_Data!G16</x:f>
        <x:v>-53</x:v>
      </x:c>
      <x:c r="E16" t="n">
        <x:f>Chart_Data!H16</x:f>
        <x:v>220.27863667842527</x:v>
      </x:c>
      <x:c r="F16" t="n">
        <x:f>Chart_Data!I16</x:f>
        <x:v>220.27863667842527</x:v>
      </x:c>
      <x:c r="G16" t="n">
        <x:f>Chart_Data!J16</x:f>
        <x:v>54.9618266833629</x:v>
      </x:c>
      <x:c r="I16" t="n">
        <x:f>Scenario_Data!A16</x:f>
        <x:v>-0.883</x:v>
      </x:c>
      <x:c r="J16" t="n">
        <x:f>Scenario_Data!H16-(((SQRT((Inputs!$C$52+(Inputs!$H$6))^2+Inputs!$C$52^2-2*(Inputs!$C$52+(Inputs!$H$6))*Inputs!$C$52*COS(SQRT((Scenario_Data!T16)^2+Inputs!$C$6^2)/Inputs!$C$52)))-(Inputs!$H$6))*1000/Inputs!$C$12)</x:f>
        <x:v>-18.245949870930872</x:v>
      </x:c>
      <x:c r="K16" t="n">
        <x:f>Scenario_Data!I16-(((SQRT((Inputs!$C$52+(Inputs!$H$7))^2+Inputs!$C$52^2-2*(Inputs!$C$52+(Inputs!$H$7))*Inputs!$C$52*COS(SQRT((Scenario_Data!U16)^2+Inputs!$C$6^2)/Inputs!$C$52)))-(Inputs!$H$7))*1000/Inputs!$C$12)</x:f>
        <x:v>-79231.45069310423</x:v>
      </x:c>
      <x:c r="L16" t="n">
        <x:f>Scenario_Data!J16-(((SQRT((Inputs!$C$52+(Inputs!$H$8))^2+Inputs!$C$52^2-2*(Inputs!$C$52+(Inputs!$H$8))*Inputs!$C$52*COS(SQRT((Scenario_Data!V16)^2+Inputs!$C$6^2)/Inputs!$C$52)))-(Inputs!$H$8))*1000/Inputs!$C$12)</x:f>
        <x:v>-166386.80122569614</x:v>
      </x:c>
      <x:c r="M16" t="n">
        <x:f>Scenario_Data!K16-(((SQRT((Inputs!$C$52+(Inputs!$H$9))^2+Inputs!$C$52^2-2*(Inputs!$C$52+(Inputs!$H$9))*Inputs!$C$52*COS(SQRT((Scenario_Data!W16)^2+Inputs!$C$6^2)/Inputs!$C$52)))-(Inputs!$H$9))*1000/Inputs!$C$12)</x:f>
        <x:v>-170283.58230501943</x:v>
      </x:c>
      <x:c r="O16" t="n">
        <x:f>Scenario_Data!T16</x:f>
        <x:v>-52.980000000000004</x:v>
      </x:c>
      <x:c r="P16" t="n">
        <x:f>2*(Scenario_Data!B16*1000)/Inputs!$C$21*1000000</x:f>
        <x:v>2689.3188620508927</x:v>
      </x:c>
      <x:c r="Q16" t="n">
        <x:f>Scenario_Data!U16</x:f>
        <x:v>-353.2</x:v>
      </x:c>
      <x:c r="R16" t="n">
        <x:f>2*(Scenario_Data!C16*1000)/Inputs!$C$21*1000000</x:f>
        <x:v>2132.051534131656</x:v>
      </x:c>
      <x:c r="S16" t="n">
        <x:f>Scenario_Data!V16</x:f>
        <x:v>-706.4</x:v>
      </x:c>
      <x:c r="T16" t="n">
        <x:f>2*(Scenario_Data!D16*1000)/Inputs!$C$21*1000000</x:f>
        <x:v>5252.966603983079</x:v>
      </x:c>
      <x:c r="U16" t="n">
        <x:f>Scenario_Data!W16</x:f>
        <x:v>-706.4</x:v>
      </x:c>
      <x:c r="V16" t="n">
        <x:f>2*(Scenario_Data!E16*1000)/Inputs!$C$21*1000000</x:f>
        <x:v>5238.269036107639</x:v>
      </x:c>
      <x:c r="X16" t="n">
        <x:f>Scenario_Data!T16</x:f>
        <x:v>-52.980000000000004</x:v>
      </x:c>
      <x:c r="Y16" t="n">
        <x: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x:f>
        <x:v>2688.980515660841</x:v>
      </x:c>
      <x:c r="Z16" t="n">
        <x:f>Scenario_Data!U16</x:f>
        <x:v>-353.2</x:v>
      </x:c>
      <x:c r="AA16" t="n">
        <x: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x:f>
        <x:v>2131.7740125261435</x:v>
      </x:c>
      <x:c r="AB16" t="n">
        <x:f>Scenario_Data!V16</x:f>
        <x:v>-706.4</x:v>
      </x:c>
      <x:c r="AC16" t="n">
        <x: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x:f>
        <x:v>5253.145120344409</x:v>
      </x:c>
      <x:c r="AD16" t="n">
        <x:f>Scenario_Data!W16</x:f>
        <x:v>-706.4</x:v>
      </x:c>
      <x:c r="AE16" t="n">
        <x: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x:f>
        <x:v>5238.447552468971</x:v>
      </x:c>
      <x:c r="AG16" t="n">
        <x:f>Scenario_Data!T16</x:f>
        <x:v>-52.980000000000004</x:v>
      </x:c>
      <x:c r="AH16" t="n">
        <x:f>2*(SQRT((Inputs!$C$52+(Scenario_Data!B16))^2+Inputs!$C$52^2-2*(Inputs!$C$52+(Scenario_Data!B16))*Inputs!$C$52*COS(SQRT((Scenario_Data!T16)^2+Inputs!$C$6^2)/Inputs!$C$52))*1000)/Inputs!$C$21*1000000</x:f>
        <x:v>2724.8122322311165</x:v>
      </x:c>
      <x:c r="AI16" t="n">
        <x:f>Scenario_Data!U16</x:f>
        <x:v>-353.2</x:v>
      </x:c>
      <x:c r="AJ16" t="n">
        <x:f>2*(SQRT((Inputs!$C$52+(Scenario_Data!C16))^2+Inputs!$C$52^2-2*(Inputs!$C$52+(Scenario_Data!C16))*Inputs!$C$52*COS(SQRT((Scenario_Data!U16)^2+Inputs!$C$6^2)/Inputs!$C$52))*1000)/Inputs!$C$21*1000000</x:f>
        <x:v>3352.5143841718163</x:v>
      </x:c>
      <x:c r="AK16" t="n">
        <x:f>Scenario_Data!V16</x:f>
        <x:v>-706.4</x:v>
      </x:c>
      <x:c r="AL16" t="n">
        <x:f>2*(SQRT((Inputs!$C$52+(Scenario_Data!D16))^2+Inputs!$C$52^2-2*(Inputs!$C$52+(Scenario_Data!D16))*Inputs!$C$52*COS(SQRT((Scenario_Data!V16)^2+Inputs!$C$6^2)/Inputs!$C$52))*1000)/Inputs!$C$21*1000000</x:f>
        <x:v>7776.8914462931525</x:v>
      </x:c>
      <x:c r="AM16" t="n">
        <x:f>Scenario_Data!W16</x:f>
        <x:v>-706.4</x:v>
      </x:c>
      <x:c r="AN16" t="n">
        <x:f>2*(SQRT((Inputs!$C$52+(Scenario_Data!E16))^2+Inputs!$C$52^2-2*(Inputs!$C$52+(Scenario_Data!E16))*Inputs!$C$52*COS(SQRT((Scenario_Data!W16)^2+Inputs!$C$6^2)/Inputs!$C$52))*1000)/Inputs!$C$21*1000000</x:f>
        <x:v>7764.984900901367</x:v>
      </x:c>
      <x:c r="AP16" t="n">
        <x:f>Scenario_Data!T16</x:f>
        <x:v>-52.980000000000004</x:v>
      </x:c>
      <x:c r="AQ16" t="n">
        <x: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x:f>
        <x:v>2723.262706168718</x:v>
      </x:c>
      <x:c r="AR16" t="n">
        <x:f>Scenario_Data!U16</x:f>
        <x:v>-353.2</x:v>
      </x:c>
      <x:c r="AS16" t="n">
        <x: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x:f>
        <x:v>3351.834258988057</x:v>
      </x:c>
      <x:c r="AT16" t="n">
        <x:f>Scenario_Data!V16</x:f>
        <x:v>-706.4</x:v>
      </x:c>
      <x:c r="AU16" t="n">
        <x: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x:f>
        <x:v>7776.6419921566785</x:v>
      </x:c>
      <x:c r="AV16" t="n">
        <x:f>Scenario_Data!W16</x:f>
        <x:v>-706.4</x:v>
      </x:c>
      <x:c r="AW16" t="n">
        <x: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x:f>
        <x:v>7764.7359630806795</x:v>
      </x:c>
    </x:row>
    <x:row r="17">
      <x:c r="A17" t="n">
        <x:f>Chart_Data!K17</x:f>
        <x:v>-52.5</x:v>
      </x:c>
      <x:c r="B17" t="n">
        <x:f>Chart_Data!N17-Chart_Data!L17</x:f>
        <x:v>-45.612087128365545</x:v>
      </x:c>
      <x:c r="D17" t="n">
        <x:f>Chart_Data!G17</x:f>
        <x:v>-52.5</x:v>
      </x:c>
      <x:c r="E17" t="n">
        <x:f>Chart_Data!H17</x:f>
        <x:v>228.48571186718385</x:v>
      </x:c>
      <x:c r="F17" t="n">
        <x:f>Chart_Data!I17</x:f>
        <x:v>228.48571186718385</x:v>
      </x:c>
      <x:c r="G17" t="n">
        <x:f>Chart_Data!J17</x:f>
        <x:v>41.913539426844665</x:v>
      </x:c>
      <x:c r="I17" t="n">
        <x:f>Scenario_Data!A17</x:f>
        <x:v>-0.875</x:v>
      </x:c>
      <x:c r="J17" t="n">
        <x:f>Scenario_Data!H17-(((SQRT((Inputs!$C$52+(Inputs!$H$6))^2+Inputs!$C$52^2-2*(Inputs!$C$52+(Inputs!$H$6))*Inputs!$C$52*COS(SQRT((Scenario_Data!T17)^2+Inputs!$C$6^2)/Inputs!$C$52)))-(Inputs!$H$6))*1000/Inputs!$C$12)</x:f>
        <x:v>-17.660500113955095</x:v>
      </x:c>
      <x:c r="K17" t="n">
        <x:f>Scenario_Data!I17-(((SQRT((Inputs!$C$52+(Inputs!$H$7))^2+Inputs!$C$52^2-2*(Inputs!$C$52+(Inputs!$H$7))*Inputs!$C$52*COS(SQRT((Scenario_Data!U17)^2+Inputs!$C$6^2)/Inputs!$C$52)))-(Inputs!$H$7))*1000/Inputs!$C$12)</x:f>
        <x:v>-78124.32838336958</x:v>
      </x:c>
      <x:c r="L17" t="n">
        <x:f>Scenario_Data!J17-(((SQRT((Inputs!$C$52+(Inputs!$H$8))^2+Inputs!$C$52^2-2*(Inputs!$C$52+(Inputs!$H$8))*Inputs!$C$52*COS(SQRT((Scenario_Data!V17)^2+Inputs!$C$6^2)/Inputs!$C$52)))-(Inputs!$H$8))*1000/Inputs!$C$12)</x:f>
        <x:v>-164561.98259931064</x:v>
      </x:c>
      <x:c r="M17" t="n">
        <x:f>Scenario_Data!K17-(((SQRT((Inputs!$C$52+(Inputs!$H$9))^2+Inputs!$C$52^2-2*(Inputs!$C$52+(Inputs!$H$9))*Inputs!$C$52*COS(SQRT((Scenario_Data!W17)^2+Inputs!$C$6^2)/Inputs!$C$52)))-(Inputs!$H$9))*1000/Inputs!$C$12)</x:f>
        <x:v>-168449.4008262297</x:v>
      </x:c>
      <x:c r="O17" t="n">
        <x:f>Scenario_Data!T17</x:f>
        <x:v>-52.5</x:v>
      </x:c>
      <x:c r="P17" t="n">
        <x:f>2*(Scenario_Data!B17*1000)/Inputs!$C$21*1000000</x:f>
        <x:v>2688.9435624161033</x:v>
      </x:c>
      <x:c r="Q17" t="n">
        <x:f>Scenario_Data!U17</x:f>
        <x:v>-350</x:v>
      </x:c>
      <x:c r="R17" t="n">
        <x:f>2*(Scenario_Data!C17*1000)/Inputs!$C$21*1000000</x:f>
        <x:v>2097.8054424571283</x:v>
      </x:c>
      <x:c r="S17" t="n">
        <x:f>Scenario_Data!V17</x:f>
        <x:v>-700</x:v>
      </x:c>
      <x:c r="T17" t="n">
        <x:f>2*(Scenario_Data!D17*1000)/Inputs!$C$21*1000000</x:f>
        <x:v>5162.42556709015</x:v>
      </x:c>
      <x:c r="U17" t="n">
        <x:f>Scenario_Data!W17</x:f>
        <x:v>-700</x:v>
      </x:c>
      <x:c r="V17" t="n">
        <x:f>2*(Scenario_Data!E17*1000)/Inputs!$C$21*1000000</x:f>
        <x:v>5146.789750127737</x:v>
      </x:c>
      <x:c r="X17" t="n">
        <x:f>Scenario_Data!T17</x:f>
        <x:v>-52.5</x:v>
      </x:c>
      <x:c r="Y17" t="n">
        <x: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x:f>
        <x:v>2688.663945378994</x:v>
      </x:c>
      <x:c r="Z17" t="n">
        <x:f>Scenario_Data!U17</x:f>
        <x:v>-350</x:v>
      </x:c>
      <x:c r="AA17" t="n">
        <x: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x:f>
        <x:v>2097.9403231136466</x:v>
      </x:c>
      <x:c r="AB17" t="n">
        <x:f>Scenario_Data!V17</x:f>
        <x:v>-700</x:v>
      </x:c>
      <x:c r="AC17" t="n">
        <x: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x:f>
        <x:v>5162.261744423182</x:v>
      </x:c>
      <x:c r="AD17" t="n">
        <x:f>Scenario_Data!W17</x:f>
        <x:v>-700</x:v>
      </x:c>
      <x:c r="AE17" t="n">
        <x: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x:f>
        <x:v>5146.625927460768</x:v>
      </x:c>
      <x:c r="AG17" t="n">
        <x:f>Scenario_Data!T17</x:f>
        <x:v>-52.5</x:v>
      </x:c>
      <x:c r="AH17" t="n">
        <x:f>2*(SQRT((Inputs!$C$52+(Scenario_Data!B17))^2+Inputs!$C$52^2-2*(Inputs!$C$52+(Scenario_Data!B17))*Inputs!$C$52*COS(SQRT((Scenario_Data!T17)^2+Inputs!$C$6^2)/Inputs!$C$52))*1000)/Inputs!$C$21*1000000</x:f>
        <x:v>2723.920544268542</x:v>
      </x:c>
      <x:c r="AI17" t="n">
        <x:f>Scenario_Data!U17</x:f>
        <x:v>-350</x:v>
      </x:c>
      <x:c r="AJ17" t="n">
        <x:f>2*(SQRT((Inputs!$C$52+(Scenario_Data!C17))^2+Inputs!$C$52^2-2*(Inputs!$C$52+(Scenario_Data!C17))*Inputs!$C$52*COS(SQRT((Scenario_Data!U17)^2+Inputs!$C$6^2)/Inputs!$C$52))*1000)/Inputs!$C$21*1000000</x:f>
        <x:v>3310.123444717516</x:v>
      </x:c>
      <x:c r="AK17" t="n">
        <x:f>Scenario_Data!V17</x:f>
        <x:v>-700</x:v>
      </x:c>
      <x:c r="AL17" t="n">
        <x:f>2*(SQRT((Inputs!$C$52+(Scenario_Data!D17))^2+Inputs!$C$52^2-2*(Inputs!$C$52+(Scenario_Data!D17))*Inputs!$C$52*COS(SQRT((Scenario_Data!V17)^2+Inputs!$C$6^2)/Inputs!$C$52))*1000)/Inputs!$C$21*1000000</x:f>
        <x:v>7666.018043289701</x:v>
      </x:c>
      <x:c r="AM17" t="n">
        <x:f>Scenario_Data!W17</x:f>
        <x:v>-700</x:v>
      </x:c>
      <x:c r="AN17" t="n">
        <x:f>2*(SQRT((Inputs!$C$52+(Scenario_Data!E17))^2+Inputs!$C$52^2-2*(Inputs!$C$52+(Scenario_Data!E17))*Inputs!$C$52*COS(SQRT((Scenario_Data!W17)^2+Inputs!$C$6^2)/Inputs!$C$52))*1000)/Inputs!$C$21*1000000</x:f>
        <x:v>7653.39120605297</x:v>
      </x:c>
      <x:c r="AP17" t="n">
        <x:f>Scenario_Data!T17</x:f>
        <x:v>-52.5</x:v>
      </x:c>
      <x:c r="AQ17" t="n">
        <x: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x:f>
        <x:v>2722.4209257280004</x:v>
      </x:c>
      <x:c r="AR17" t="n">
        <x:f>Scenario_Data!U17</x:f>
        <x:v>-350</x:v>
      </x:c>
      <x:c r="AS17" t="n">
        <x: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x:f>
        <x:v>3309.70809101759</x:v>
      </x:c>
      <x:c r="AT17" t="n">
        <x:f>Scenario_Data!V17</x:f>
        <x:v>-700</x:v>
      </x:c>
      <x:c r="AU17" t="n">
        <x: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x:f>
        <x:v>7665.4810009588955</x:v>
      </x:c>
      <x:c r="AV17" t="n">
        <x:f>Scenario_Data!W17</x:f>
        <x:v>-700</x:v>
      </x:c>
      <x:c r="AW17" t="n">
        <x: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x:f>
        <x:v>7652.855371318062</x:v>
      </x:c>
    </x:row>
    <x:row r="18">
      <x:c r="A18" t="n">
        <x:f>Chart_Data!K18</x:f>
        <x:v>-52</x:v>
      </x:c>
      <x:c r="B18" t="n">
        <x:f>Chart_Data!N18-Chart_Data!L18</x:f>
        <x:v>-47.85601796566243</x:v>
      </x:c>
      <x:c r="D18" t="n">
        <x:f>Chart_Data!G18</x:f>
        <x:v>-52</x:v>
      </x:c>
      <x:c r="E18" t="n">
        <x:f>Chart_Data!H18</x:f>
        <x:v>241.24392327938918</x:v>
      </x:c>
      <x:c r="F18" t="n">
        <x:f>Chart_Data!I18</x:f>
        <x:v>241.24392327938918</x:v>
      </x:c>
      <x:c r="G18" t="n">
        <x:f>Chart_Data!J18</x:f>
        <x:v>44.0092440465048</x:v>
      </x:c>
      <x:c r="I18" t="n">
        <x:f>Scenario_Data!A18</x:f>
        <x:v>-0.867</x:v>
      </x:c>
      <x:c r="J18" t="n">
        <x:f>Scenario_Data!H18-(((SQRT((Inputs!$C$52+(Inputs!$H$6))^2+Inputs!$C$52^2-2*(Inputs!$C$52+(Inputs!$H$6))*Inputs!$C$52*COS(SQRT((Scenario_Data!T18)^2+Inputs!$C$6^2)/Inputs!$C$52)))-(Inputs!$H$6))*1000/Inputs!$C$12)</x:f>
        <x:v>-17.089442616799715</x:v>
      </x:c>
      <x:c r="K18" t="n">
        <x:f>Scenario_Data!I18-(((SQRT((Inputs!$C$52+(Inputs!$H$7))^2+Inputs!$C$52^2-2*(Inputs!$C$52+(Inputs!$H$7))*Inputs!$C$52*COS(SQRT((Scenario_Data!U18)^2+Inputs!$C$6^2)/Inputs!$C$52)))-(Inputs!$H$7))*1000/Inputs!$C$12)</x:f>
        <x:v>-77018.79498984448</x:v>
      </x:c>
      <x:c r="L18" t="n">
        <x:f>Scenario_Data!J18-(((SQRT((Inputs!$C$52+(Inputs!$H$8))^2+Inputs!$C$52^2-2*(Inputs!$C$52+(Inputs!$H$8))*Inputs!$C$52*COS(SQRT((Scenario_Data!V18)^2+Inputs!$C$6^2)/Inputs!$C$52)))-(Inputs!$H$8))*1000/Inputs!$C$12)</x:f>
        <x:v>-162730.03298707734</x:v>
      </x:c>
      <x:c r="M18" t="n">
        <x:f>Scenario_Data!K18-(((SQRT((Inputs!$C$52+(Inputs!$H$9))^2+Inputs!$C$52^2-2*(Inputs!$C$52+(Inputs!$H$9))*Inputs!$C$52*COS(SQRT((Scenario_Data!W18)^2+Inputs!$C$6^2)/Inputs!$C$52)))-(Inputs!$H$9))*1000/Inputs!$C$12)</x:f>
        <x:v>-166607.7364499004</x:v>
      </x:c>
      <x:c r="O18" t="n">
        <x:f>Scenario_Data!T18</x:f>
        <x:v>-52.019999999999996</x:v>
      </x:c>
      <x:c r="P18" t="n">
        <x:f>2*(Scenario_Data!B18*1000)/Inputs!$C$21*1000000</x:f>
        <x:v>2688.5716784776487</x:v>
      </x:c>
      <x:c r="Q18" t="n">
        <x:f>Scenario_Data!U18</x:f>
        <x:v>-346.8</x:v>
      </x:c>
      <x:c r="R18" t="n">
        <x:f>2*(Scenario_Data!C18*1000)/Inputs!$C$21*1000000</x:f>
        <x:v>2063.8710330731533</x:v>
      </x:c>
      <x:c r="S18" t="n">
        <x:f>Scenario_Data!V18</x:f>
        <x:v>-693.6</x:v>
      </x:c>
      <x:c r="T18" t="n">
        <x:f>2*(Scenario_Data!D18*1000)/Inputs!$C$21*1000000</x:f>
        <x:v>5072.708566937998</x:v>
      </x:c>
      <x:c r="U18" t="n">
        <x:f>Scenario_Data!W18</x:f>
        <x:v>-693.6</x:v>
      </x:c>
      <x:c r="V18" t="n">
        <x:f>2*(Scenario_Data!E18*1000)/Inputs!$C$21*1000000</x:f>
        <x:v>5056.143040129448</x:v>
      </x:c>
      <x:c r="X18" t="n">
        <x:f>Scenario_Data!T18</x:f>
        <x:v>-52.019999999999996</x:v>
      </x:c>
      <x:c r="Y18" t="n">
        <x: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x:f>
        <x:v>2688.3599201386814</x:v>
      </x:c>
      <x:c r="Z18" t="n">
        <x:f>Scenario_Data!U18</x:f>
        <x:v>-346.8</x:v>
      </x:c>
      <x:c r="AA18" t="n">
        <x: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x:f>
        <x:v>2064.052827462836</x:v>
      </x:c>
      <x:c r="AB18" t="n">
        <x:f>Scenario_Data!V18</x:f>
        <x:v>-693.6</x:v>
      </x:c>
      <x:c r="AC18" t="n">
        <x: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x:f>
        <x:v>5072.4876261424</x:v>
      </x:c>
      <x:c r="AD18" t="n">
        <x:f>Scenario_Data!W18</x:f>
        <x:v>-693.6</x:v>
      </x:c>
      <x:c r="AE18" t="n">
        <x: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x:f>
        <x:v>5055.92209933385</x:v>
      </x:c>
      <x:c r="AG18" t="n">
        <x:f>Scenario_Data!T18</x:f>
        <x:v>-52.019999999999996</x:v>
      </x:c>
      <x:c r="AH18" t="n">
        <x:f>2*(SQRT((Inputs!$C$52+(Scenario_Data!B18))^2+Inputs!$C$52^2-2*(Inputs!$C$52+(Scenario_Data!B18))*Inputs!$C$52*COS(SQRT((Scenario_Data!T18)^2+Inputs!$C$6^2)/Inputs!$C$52))*1000)/Inputs!$C$21*1000000</x:f>
        <x:v>2723.0367624197406</x:v>
      </x:c>
      <x:c r="AI18" t="n">
        <x:f>Scenario_Data!U18</x:f>
        <x:v>-346.8</x:v>
      </x:c>
      <x:c r="AJ18" t="n">
        <x:f>2*(SQRT((Inputs!$C$52+(Scenario_Data!C18))^2+Inputs!$C$52^2-2*(Inputs!$C$52+(Scenario_Data!C18))*Inputs!$C$52*COS(SQRT((Scenario_Data!U18)^2+Inputs!$C$6^2)/Inputs!$C$52))*1000)/Inputs!$C$21*1000000</x:f>
        <x:v>3268.0257165997627</x:v>
      </x:c>
      <x:c r="AK18" t="n">
        <x:f>Scenario_Data!V18</x:f>
        <x:v>-693.6</x:v>
      </x:c>
      <x:c r="AL18" t="n">
        <x:f>2*(SQRT((Inputs!$C$52+(Scenario_Data!D18))^2+Inputs!$C$52^2-2*(Inputs!$C$52+(Scenario_Data!D18))*Inputs!$C$52*COS(SQRT((Scenario_Data!V18)^2+Inputs!$C$6^2)/Inputs!$C$52))*1000)/Inputs!$C$21*1000000</x:f>
        <x:v>7556.035134917943</x:v>
      </x:c>
      <x:c r="AM18" t="n">
        <x:f>Scenario_Data!W18</x:f>
        <x:v>-693.6</x:v>
      </x:c>
      <x:c r="AN18" t="n">
        <x:f>2*(SQRT((Inputs!$C$52+(Scenario_Data!E18))^2+Inputs!$C$52^2-2*(Inputs!$C$52+(Scenario_Data!E18))*Inputs!$C$52*COS(SQRT((Scenario_Data!W18)^2+Inputs!$C$6^2)/Inputs!$C$52))*1000)/Inputs!$C$21*1000000</x:f>
        <x:v>7542.700317284668</x:v>
      </x:c>
      <x:c r="AP18" t="n">
        <x:f>Scenario_Data!T18</x:f>
        <x:v>-52.019999999999996</x:v>
      </x:c>
      <x:c r="AQ18" t="n">
        <x: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x:f>
        <x:v>2721.453798788491</x:v>
      </x:c>
      <x:c r="AR18" t="n">
        <x:f>Scenario_Data!U18</x:f>
        <x:v>-346.8</x:v>
      </x:c>
      <x:c r="AS18" t="n">
        <x: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x:f>
        <x:v>3267.709124542621</x:v>
      </x:c>
      <x:c r="AT18" t="n">
        <x:f>Scenario_Data!V18</x:f>
        <x:v>-693.6</x:v>
      </x:c>
      <x:c r="AU18" t="n">
        <x: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x:f>
        <x:v>7555.439677176813</x:v>
      </x:c>
      <x:c r="AV18" t="n">
        <x:f>Scenario_Data!W18</x:f>
        <x:v>-693.6</x:v>
      </x:c>
      <x:c r="AW18" t="n">
        <x: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x:f>
        <x:v>7542.106308297932</x:v>
      </x:c>
    </x:row>
    <x:row r="19">
      <x:c r="A19" t="n">
        <x:f>Chart_Data!K19</x:f>
        <x:v>-51.5</x:v>
      </x:c>
      <x:c r="B19" t="n">
        <x:f>Chart_Data!N19-Chart_Data!L19</x:f>
        <x:v>-36.597181996407414</x:v>
      </x:c>
      <x:c r="D19" t="n">
        <x:f>Chart_Data!G19</x:f>
        <x:v>-51.5</x:v>
      </x:c>
      <x:c r="E19" t="n">
        <x:f>Chart_Data!H19</x:f>
        <x:v>261.3961473371179</x:v>
      </x:c>
      <x:c r="F19" t="n">
        <x:f>Chart_Data!I19</x:f>
        <x:v>261.3961473371179</x:v>
      </x:c>
      <x:c r="G19" t="n">
        <x:f>Chart_Data!J19</x:f>
        <x:v>32.491619283106324</x:v>
      </x:c>
      <x:c r="I19" t="n">
        <x:f>Scenario_Data!A19</x:f>
        <x:v>-0.858</x:v>
      </x:c>
      <x:c r="J19" t="n">
        <x:f>Scenario_Data!H19-(((SQRT((Inputs!$C$52+(Inputs!$H$6))^2+Inputs!$C$52^2-2*(Inputs!$C$52+(Inputs!$H$6))*Inputs!$C$52*COS(SQRT((Scenario_Data!T19)^2+Inputs!$C$6^2)/Inputs!$C$52)))-(Inputs!$H$6))*1000/Inputs!$C$12)</x:f>
        <x:v>-16.463911639531943</x:v>
      </x:c>
      <x:c r="K19" t="n">
        <x:f>Scenario_Data!I19-(((SQRT((Inputs!$C$52+(Inputs!$H$7))^2+Inputs!$C$52^2-2*(Inputs!$C$52+(Inputs!$H$7))*Inputs!$C$52*COS(SQRT((Scenario_Data!U19)^2+Inputs!$C$6^2)/Inputs!$C$52)))-(Inputs!$H$7))*1000/Inputs!$C$12)</x:f>
        <x:v>-75777.08439083702</x:v>
      </x:c>
      <x:c r="L19" t="n">
        <x:f>Scenario_Data!J19-(((SQRT((Inputs!$C$52+(Inputs!$H$8))^2+Inputs!$C$52^2-2*(Inputs!$C$52+(Inputs!$H$8))*Inputs!$C$52*COS(SQRT((Scenario_Data!V19)^2+Inputs!$C$6^2)/Inputs!$C$52)))-(Inputs!$H$8))*1000/Inputs!$C$12)</x:f>
        <x:v>-160660.7470162979</x:v>
      </x:c>
      <x:c r="M19" t="n">
        <x:f>Scenario_Data!K19-(((SQRT((Inputs!$C$52+(Inputs!$H$9))^2+Inputs!$C$52^2-2*(Inputs!$C$52+(Inputs!$H$9))*Inputs!$C$52*COS(SQRT((Scenario_Data!W19)^2+Inputs!$C$6^2)/Inputs!$C$52)))-(Inputs!$H$9))*1000/Inputs!$C$12)</x:f>
        <x:v>-164527.09337077424</x:v>
      </x:c>
      <x:c r="O19" t="n">
        <x:f>Scenario_Data!T19</x:f>
        <x:v>-51.48</x:v>
      </x:c>
      <x:c r="P19" t="n">
        <x:f>2*(Scenario_Data!B19*1000)/Inputs!$C$21*1000000</x:f>
        <x:v>2688.1573918714125</x:v>
      </x:c>
      <x:c r="Q19" t="n">
        <x:f>Scenario_Data!U19</x:f>
        <x:v>-343.2</x:v>
      </x:c>
      <x:c r="R19" t="n">
        <x:f>2*(Scenario_Data!C19*1000)/Inputs!$C$21*1000000</x:f>
        <x:v>2026.067380254109</x:v>
      </x:c>
      <x:c r="S19" t="n">
        <x:f>Scenario_Data!V19</x:f>
        <x:v>-686.4</x:v>
      </x:c>
      <x:c r="T19" t="n">
        <x:f>2*(Scenario_Data!D19*1000)/Inputs!$C$21*1000000</x:f>
        <x:v>4972.761923183538</x:v>
      </x:c>
      <x:c r="U19" t="n">
        <x:f>Scenario_Data!W19</x:f>
        <x:v>-686.4</x:v>
      </x:c>
      <x:c r="V19" t="n">
        <x:f>2*(Scenario_Data!E19*1000)/Inputs!$C$21*1000000</x:f>
        <x:v>4955.1606798593975</x:v>
      </x:c>
      <x:c r="X19" t="n">
        <x:f>Scenario_Data!T19</x:f>
        <x:v>-51.48</x:v>
      </x:c>
      <x:c r="Y19" t="n">
        <x: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x:f>
        <x:v>2687.8899442216875</x:v>
      </x:c>
      <x:c r="Z19" t="n">
        <x:f>Scenario_Data!U19</x:f>
        <x:v>-343.2</x:v>
      </x:c>
      <x:c r="AA19" t="n">
        <x: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x:f>
        <x:v>2025.8824537713756</x:v>
      </x:c>
      <x:c r="AB19" t="n">
        <x:f>Scenario_Data!V19</x:f>
        <x:v>-686.4</x:v>
      </x:c>
      <x:c r="AC19" t="n">
        <x: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x:f>
        <x:v>4972.64948397899</x:v>
      </x:c>
      <x:c r="AD19" t="n">
        <x:f>Scenario_Data!W19</x:f>
        <x:v>-686.4</x:v>
      </x:c>
      <x:c r="AE19" t="n">
        <x: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x:f>
        <x:v>4955.048240654851</x:v>
      </x:c>
      <x:c r="AG19" t="n">
        <x:f>Scenario_Data!T19</x:f>
        <x:v>-51.48</x:v>
      </x:c>
      <x:c r="AH19" t="n">
        <x:f>2*(SQRT((Inputs!$C$52+(Scenario_Data!B19))^2+Inputs!$C$52^2-2*(Inputs!$C$52+(Scenario_Data!B19))*Inputs!$C$52*COS(SQRT((Scenario_Data!T19)^2+Inputs!$C$6^2)/Inputs!$C$52))*1000)/Inputs!$C$21*1000000</x:f>
        <x:v>2722.0519650158485</x:v>
      </x:c>
      <x:c r="AI19" t="n">
        <x:f>Scenario_Data!U19</x:f>
        <x:v>-343.2</x:v>
      </x:c>
      <x:c r="AJ19" t="n">
        <x:f>2*(SQRT((Inputs!$C$52+(Scenario_Data!C19))^2+Inputs!$C$52^2-2*(Inputs!$C$52+(Scenario_Data!C19))*Inputs!$C$52*COS(SQRT((Scenario_Data!U19)^2+Inputs!$C$6^2)/Inputs!$C$52))*1000)/Inputs!$C$21*1000000</x:f>
        <x:v>3221.015010080671</x:v>
      </x:c>
      <x:c r="AK19" t="n">
        <x:f>Scenario_Data!V19</x:f>
        <x:v>-686.4</x:v>
      </x:c>
      <x:c r="AL19" t="n">
        <x:f>2*(SQRT((Inputs!$C$52+(Scenario_Data!D19))^2+Inputs!$C$52^2-2*(Inputs!$C$52+(Scenario_Data!D19))*Inputs!$C$52*COS(SQRT((Scenario_Data!V19)^2+Inputs!$C$6^2)/Inputs!$C$52))*1000)/Inputs!$C$21*1000000</x:f>
        <x:v>7433.366902852947</x:v>
      </x:c>
      <x:c r="AM19" t="n">
        <x:f>Scenario_Data!W19</x:f>
        <x:v>-686.4</x:v>
      </x:c>
      <x:c r="AN19" t="n">
        <x:f>2*(SQRT((Inputs!$C$52+(Scenario_Data!E19))^2+Inputs!$C$52^2-2*(Inputs!$C$52+(Scenario_Data!E19))*Inputs!$C$52*COS(SQRT((Scenario_Data!W19)^2+Inputs!$C$6^2)/Inputs!$C$52))*1000)/Inputs!$C$21*1000000</x:f>
        <x:v>7419.25039373271</x:v>
      </x:c>
      <x:c r="AP19" t="n">
        <x:f>Scenario_Data!T19</x:f>
        <x:v>-51.48</x:v>
      </x:c>
      <x:c r="AQ19" t="n">
        <x: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x:f>
        <x:v>2720.3789439041557</x:v>
      </x:c>
      <x:c r="AR19" t="n">
        <x:f>Scenario_Data!U19</x:f>
        <x:v>-343.2</x:v>
      </x:c>
      <x:c r="AS19" t="n">
        <x: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x:f>
        <x:v>3220.525348840778</x:v>
      </x:c>
      <x:c r="AT19" t="n">
        <x:f>Scenario_Data!V19</x:f>
        <x:v>-686.4</x:v>
      </x:c>
      <x:c r="AU19" t="n">
        <x: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x:f>
        <x:v>7433.099881007341</x:v>
      </x:c>
      <x:c r="AV19" t="n">
        <x:f>Scenario_Data!W19</x:f>
        <x:v>-686.4</x:v>
      </x:c>
      <x:c r="AW19" t="n">
        <x: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x:f>
        <x:v>7418.984078737651</x:v>
      </x:c>
    </x:row>
    <x:row r="20">
      <x:c r="A20" t="n">
        <x:f>Chart_Data!K20</x:f>
        <x:v>-51</x:v>
      </x:c>
      <x:c r="B20" t="n">
        <x:f>Chart_Data!N20-Chart_Data!L20</x:f>
        <x:v>-43.00623256223966</x:v>
      </x:c>
      <x:c r="D20" t="n">
        <x:f>Chart_Data!G20</x:f>
        <x:v>-51</x:v>
      </x:c>
      <x:c r="E20" t="n">
        <x:f>Chart_Data!H20</x:f>
        <x:v>251.96732827517536</x:v>
      </x:c>
      <x:c r="F20" t="n">
        <x:f>Chart_Data!I20</x:f>
        <x:v>251.96732827517536</x:v>
      </x:c>
      <x:c r="G20" t="n">
        <x:f>Chart_Data!J20</x:f>
        <x:v>39.10881658677256</x:v>
      </x:c>
      <x:c r="I20" t="n">
        <x:f>Scenario_Data!A20</x:f>
        <x:v>-0.85</x:v>
      </x:c>
      <x:c r="J20" t="n">
        <x:f>Scenario_Data!H20-(((SQRT((Inputs!$C$52+(Inputs!$H$6))^2+Inputs!$C$52^2-2*(Inputs!$C$52+(Inputs!$H$6))*Inputs!$C$52*COS(SQRT((Scenario_Data!T20)^2+Inputs!$C$6^2)/Inputs!$C$52)))-(Inputs!$H$6))*1000/Inputs!$C$12)</x:f>
        <x:v>-15.922654129073635</x:v>
      </x:c>
      <x:c r="K20" t="n">
        <x:f>Scenario_Data!I20-(((SQRT((Inputs!$C$52+(Inputs!$H$7))^2+Inputs!$C$52^2-2*(Inputs!$C$52+(Inputs!$H$7))*Inputs!$C$52*COS(SQRT((Scenario_Data!U20)^2+Inputs!$C$6^2)/Inputs!$C$52)))-(Inputs!$H$7))*1000/Inputs!$C$12)</x:f>
        <x:v>-74675.23669418608</x:v>
      </x:c>
      <x:c r="L20" t="n">
        <x:f>Scenario_Data!J20-(((SQRT((Inputs!$C$52+(Inputs!$H$8))^2+Inputs!$C$52^2-2*(Inputs!$C$52+(Inputs!$H$8))*Inputs!$C$52*COS(SQRT((Scenario_Data!V20)^2+Inputs!$C$6^2)/Inputs!$C$52)))-(Inputs!$H$8))*1000/Inputs!$C$12)</x:f>
        <x:v>-158814.13192459266</x:v>
      </x:c>
      <x:c r="M20" t="n">
        <x:f>Scenario_Data!K20-(((SQRT((Inputs!$C$52+(Inputs!$H$9))^2+Inputs!$C$52^2-2*(Inputs!$C$52+(Inputs!$H$9))*Inputs!$C$52*COS(SQRT((Scenario_Data!W20)^2+Inputs!$C$6^2)/Inputs!$C$52)))-(Inputs!$H$9))*1000/Inputs!$C$12)</x:f>
        <x:v>-162669.9960054315</x:v>
      </x:c>
      <x:c r="O20" t="n">
        <x:f>Scenario_Data!T20</x:f>
        <x:v>-51</x:v>
      </x:c>
      <x:c r="P20" t="n">
        <x:f>2*(Scenario_Data!B20*1000)/Inputs!$C$21*1000000</x:f>
        <x:v>2687.7927662876696</x:v>
      </x:c>
      <x:c r="Q20" t="n">
        <x:f>Scenario_Data!U20</x:f>
        <x:v>-340</x:v>
      </x:c>
      <x:c r="R20" t="n">
        <x:f>2*(Scenario_Data!C20*1000)/Inputs!$C$21*1000000</x:f>
        <x:v>1992.7952957375599</x:v>
      </x:c>
      <x:c r="S20" t="n">
        <x:f>Scenario_Data!V20</x:f>
        <x:v>-680</x:v>
      </x:c>
      <x:c r="T20" t="n">
        <x:f>2*(Scenario_Data!D20*1000)/Inputs!$C$21*1000000</x:f>
        <x:v>4884.7960011055375</x:v>
      </x:c>
      <x:c r="U20" t="n">
        <x:f>Scenario_Data!W20</x:f>
        <x:v>-680</x:v>
      </x:c>
      <x:c r="V20" t="n">
        <x:f>2*(Scenario_Data!E20*1000)/Inputs!$C$21*1000000</x:f>
        <x:v>4866.28319382204</x:v>
      </x:c>
      <x:c r="X20" t="n">
        <x:f>Scenario_Data!T20</x:f>
        <x:v>-51</x:v>
      </x:c>
      <x:c r="Y20" t="n">
        <x: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x:f>
        <x:v>2687.531860347289</x:v>
      </x:c>
      <x:c r="Z20" t="n">
        <x:f>Scenario_Data!U20</x:f>
        <x:v>-340</x:v>
      </x:c>
      <x:c r="AA20" t="n">
        <x: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x:f>
        <x:v>1992.3821270692197</x:v>
      </x:c>
      <x:c r="AB20" t="n">
        <x:f>Scenario_Data!V20</x:f>
        <x:v>-680</x:v>
      </x:c>
      <x:c r="AC20" t="n">
        <x: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x:f>
        <x:v>4884.268557637219</x:v>
      </x:c>
      <x:c r="AD20" t="n">
        <x:f>Scenario_Data!W20</x:f>
        <x:v>-680</x:v>
      </x:c>
      <x:c r="AE20" t="n">
        <x: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x:f>
        <x:v>4865.75575035372</x:v>
      </x:c>
      <x:c r="AG20" t="n">
        <x:f>Scenario_Data!T20</x:f>
        <x:v>-51</x:v>
      </x:c>
      <x:c r="AH20" t="n">
        <x:f>2*(SQRT((Inputs!$C$52+(Scenario_Data!B20))^2+Inputs!$C$52^2-2*(Inputs!$C$52+(Scenario_Data!B20))*Inputs!$C$52*COS(SQRT((Scenario_Data!T20)^2+Inputs!$C$6^2)/Inputs!$C$52))*1000)/Inputs!$C$21*1000000</x:f>
        <x:v>2721.1850020092143</x:v>
      </x:c>
      <x:c r="AI20" t="n">
        <x:f>Scenario_Data!U20</x:f>
        <x:v>-340</x:v>
      </x:c>
      <x:c r="AJ20" t="n">
        <x:f>2*(SQRT((Inputs!$C$52+(Scenario_Data!C20))^2+Inputs!$C$52^2-2*(Inputs!$C$52+(Scenario_Data!C20))*Inputs!$C$52*COS(SQRT((Scenario_Data!U20)^2+Inputs!$C$6^2)/Inputs!$C$52))*1000)/Inputs!$C$21*1000000</x:f>
        <x:v>3179.537024764877</x:v>
      </x:c>
      <x:c r="AK20" t="n">
        <x:f>Scenario_Data!V20</x:f>
        <x:v>-680</x:v>
      </x:c>
      <x:c r="AL20" t="n">
        <x:f>2*(SQRT((Inputs!$C$52+(Scenario_Data!D20))^2+Inputs!$C$52^2-2*(Inputs!$C$52+(Scenario_Data!D20))*Inputs!$C$52*COS(SQRT((Scenario_Data!V20)^2+Inputs!$C$6^2)/Inputs!$C$52))*1000)/Inputs!$C$21*1000000</x:f>
        <x:v>7325.2712267935</x:v>
      </x:c>
      <x:c r="AM20" t="n">
        <x:f>Scenario_Data!W20</x:f>
        <x:v>-680</x:v>
      </x:c>
      <x:c r="AN20" t="n">
        <x:f>2*(SQRT((Inputs!$C$52+(Scenario_Data!E20))^2+Inputs!$C$52^2-2*(Inputs!$C$52+(Scenario_Data!E20))*Inputs!$C$52*COS(SQRT((Scenario_Data!W20)^2+Inputs!$C$6^2)/Inputs!$C$52))*1000)/Inputs!$C$21*1000000</x:f>
        <x:v>7310.473087383565</x:v>
      </x:c>
      <x:c r="AP20" t="n">
        <x:f>Scenario_Data!T20</x:f>
        <x:v>-51</x:v>
      </x:c>
      <x:c r="AQ20" t="n">
        <x: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x:f>
        <x:v>2719.530057692372</x:v>
      </x:c>
      <x:c r="AR20" t="n">
        <x:f>Scenario_Data!U20</x:f>
        <x:v>-340</x:v>
      </x:c>
      <x:c r="AS20" t="n">
        <x: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x:f>
        <x:v>3178.9032534055073</x:v>
      </x:c>
      <x:c r="AT20" t="n">
        <x:f>Scenario_Data!V20</x:f>
        <x:v>-680</x:v>
      </x:c>
      <x:c r="AU20" t="n">
        <x: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x:f>
        <x:v>7324.546168355662</x:v>
      </x:c>
      <x:c r="AV20" t="n">
        <x:f>Scenario_Data!W20</x:f>
        <x:v>-680</x:v>
      </x:c>
      <x:c r="AW20" t="n">
        <x: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x:f>
        <x:v>7309.750091969138</x:v>
      </x:c>
    </x:row>
    <x:row r="21">
      <x:c r="A21" t="n">
        <x:f>Chart_Data!K21</x:f>
        <x:v>-50.5</x:v>
      </x:c>
      <x:c r="B21" t="n">
        <x:f>Chart_Data!N21-Chart_Data!L21</x:f>
        <x:v>-51.799677958216336</x:v>
      </x:c>
      <x:c r="D21" t="n">
        <x:f>Chart_Data!G21</x:f>
        <x:v>-50.5</x:v>
      </x:c>
      <x:c r="E21" t="n">
        <x:f>Chart_Data!H21</x:f>
        <x:v>249.7278681272967</x:v>
      </x:c>
      <x:c r="F21" t="n">
        <x:f>Chart_Data!I21</x:f>
        <x:v>249.7278681272967</x:v>
      </x:c>
      <x:c r="G21" t="n">
        <x:f>Chart_Data!J21</x:f>
        <x:v>47.99583170220943</x:v>
      </x:c>
      <x:c r="I21" t="n">
        <x:f>Scenario_Data!A21</x:f>
        <x:v>-0.842</x:v>
      </x:c>
      <x:c r="J21" t="n">
        <x:f>Scenario_Data!H21-(((SQRT((Inputs!$C$52+(Inputs!$H$6))^2+Inputs!$C$52^2-2*(Inputs!$C$52+(Inputs!$H$6))*Inputs!$C$52*COS(SQRT((Scenario_Data!T21)^2+Inputs!$C$6^2)/Inputs!$C$52)))-(Inputs!$H$6))*1000/Inputs!$C$12)</x:f>
        <x:v>-15.39505495210642</x:v>
      </x:c>
      <x:c r="K21" t="n">
        <x:f>Scenario_Data!I21-(((SQRT((Inputs!$C$52+(Inputs!$H$7))^2+Inputs!$C$52^2-2*(Inputs!$C$52+(Inputs!$H$7))*Inputs!$C$52*COS(SQRT((Scenario_Data!U21)^2+Inputs!$C$6^2)/Inputs!$C$52)))-(Inputs!$H$7))*1000/Inputs!$C$12)</x:f>
        <x:v>-73575.27277737434</x:v>
      </x:c>
      <x:c r="L21" t="n">
        <x:f>Scenario_Data!J21-(((SQRT((Inputs!$C$52+(Inputs!$H$8))^2+Inputs!$C$52^2-2*(Inputs!$C$52+(Inputs!$H$8))*Inputs!$C$52*COS(SQRT((Scenario_Data!V21)^2+Inputs!$C$6^2)/Inputs!$C$52)))-(Inputs!$H$8))*1000/Inputs!$C$12)</x:f>
        <x:v>-156960.85443111646</x:v>
      </x:c>
      <x:c r="M21" t="n">
        <x:f>Scenario_Data!K21-(((SQRT((Inputs!$C$52+(Inputs!$H$9))^2+Inputs!$C$52^2-2*(Inputs!$C$52+(Inputs!$H$9))*Inputs!$C$52*COS(SQRT((Scenario_Data!W21)^2+Inputs!$C$6^2)/Inputs!$C$52)))-(Inputs!$H$9))*1000/Inputs!$C$12)</x:f>
        <x:v>-160805.86562780707</x:v>
      </x:c>
      <x:c r="O21" t="n">
        <x:f>Scenario_Data!T21</x:f>
        <x:v>-50.519999999999996</x:v>
      </x:c>
      <x:c r="P21" t="n">
        <x:f>2*(Scenario_Data!B21*1000)/Inputs!$C$21*1000000</x:f>
        <x:v>2687.431556400261</x:v>
      </x:c>
      <x:c r="Q21" t="n">
        <x:f>Scenario_Data!U21</x:f>
        <x:v>-336.8</x:v>
      </x:c>
      <x:c r="R21" t="n">
        <x:f>2*(Scenario_Data!C21*1000)/Inputs!$C$21*1000000</x:f>
        <x:v>1959.8348935115644</x:v>
      </x:c>
      <x:c r="S21" t="n">
        <x:f>Scenario_Data!V21</x:f>
        <x:v>-673.6</x:v>
      </x:c>
      <x:c r="T21" t="n">
        <x:f>2*(Scenario_Data!D21*1000)/Inputs!$C$21*1000000</x:f>
        <x:v>4797.654115768317</x:v>
      </x:c>
      <x:c r="U21" t="n">
        <x:f>Scenario_Data!W21</x:f>
        <x:v>-673.6</x:v>
      </x:c>
      <x:c r="V21" t="n">
        <x:f>2*(Scenario_Data!E21*1000)/Inputs!$C$21*1000000</x:f>
        <x:v>4778.238283766299</x:v>
      </x:c>
      <x:c r="X21" t="n">
        <x:f>Scenario_Data!T21</x:f>
        <x:v>-50.519999999999996</x:v>
      </x:c>
      <x:c r="Y21" t="n">
        <x: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x:f>
        <x:v>2687.2430684507012</x:v>
      </x:c>
      <x:c r="Z21" t="n">
        <x:f>Scenario_Data!U21</x:f>
        <x:v>-336.8</x:v>
      </x:c>
      <x:c r="AA21" t="n">
        <x: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x:f>
        <x:v>1959.478663052429</x:v>
      </x:c>
      <x:c r="AB21" t="n">
        <x:f>Scenario_Data!V21</x:f>
        <x:v>-673.6</x:v>
      </x:c>
      <x:c r="AC21" t="n">
        <x: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x:f>
        <x:v>4797.520252737128</x:v>
      </x:c>
      <x:c r="AD21" t="n">
        <x:f>Scenario_Data!W21</x:f>
        <x:v>-673.6</x:v>
      </x:c>
      <x:c r="AE21" t="n">
        <x: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x:f>
        <x:v>4778.104420735111</x:v>
      </x:c>
      <x:c r="AG21" t="n">
        <x:f>Scenario_Data!T21</x:f>
        <x:v>-50.519999999999996</x:v>
      </x:c>
      <x:c r="AH21" t="n">
        <x:f>2*(SQRT((Inputs!$C$52+(Scenario_Data!B21))^2+Inputs!$C$52^2-2*(Inputs!$C$52+(Scenario_Data!B21))*Inputs!$C$52*COS(SQRT((Scenario_Data!T21)^2+Inputs!$C$6^2)/Inputs!$C$52))*1000)/Inputs!$C$21*1000000</x:f>
        <x:v>2720.3259622967576</x:v>
      </x:c>
      <x:c r="AI21" t="n">
        <x:f>Scenario_Data!U21</x:f>
        <x:v>-336.8</x:v>
      </x:c>
      <x:c r="AJ21" t="n">
        <x:f>2*(SQRT((Inputs!$C$52+(Scenario_Data!C21))^2+Inputs!$C$52^2-2*(Inputs!$C$52+(Scenario_Data!C21))*Inputs!$C$52*COS(SQRT((Scenario_Data!U21)^2+Inputs!$C$6^2)/Inputs!$C$52))*1000)/Inputs!$C$21*1000000</x:f>
        <x:v>3138.34907670858</x:v>
      </x:c>
      <x:c r="AK21" t="n">
        <x:f>Scenario_Data!V21</x:f>
        <x:v>-673.6</x:v>
      </x:c>
      <x:c r="AL21" t="n">
        <x:f>2*(SQRT((Inputs!$C$52+(Scenario_Data!D21))^2+Inputs!$C$52^2-2*(Inputs!$C$52+(Scenario_Data!D21))*Inputs!$C$52*COS(SQRT((Scenario_Data!V21)^2+Inputs!$C$6^2)/Inputs!$C$52))*1000)/Inputs!$C$21*1000000</x:f>
        <x:v>7218.061166458944</x:v>
      </x:c>
      <x:c r="AM21" t="n">
        <x:f>Scenario_Data!W21</x:f>
        <x:v>-673.6</x:v>
      </x:c>
      <x:c r="AN21" t="n">
        <x:f>2*(SQRT((Inputs!$C$52+(Scenario_Data!E21))^2+Inputs!$C$52^2-2*(Inputs!$C$52+(Scenario_Data!E21))*Inputs!$C$52*COS(SQRT((Scenario_Data!W21)^2+Inputs!$C$6^2)/Inputs!$C$52))*1000)/Inputs!$C$21*1000000</x:f>
        <x:v>7202.593886244597</x:v>
      </x:c>
      <x:c r="AP21" t="n">
        <x:f>Scenario_Data!T21</x:f>
        <x:v>-50.519999999999996</x:v>
      </x:c>
      <x:c r="AQ21" t="n">
        <x: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x:f>
        <x:v>2718.6801987581757</x:v>
      </x:c>
      <x:c r="AR21" t="n">
        <x:f>Scenario_Data!U21</x:f>
        <x:v>-336.8</x:v>
      </x:c>
      <x:c r="AS21" t="n">
        <x: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x:f>
        <x:v>3137.627690080583</x:v>
      </x:c>
      <x:c r="AT21" t="n">
        <x:f>Scenario_Data!V21</x:f>
        <x:v>-673.6</x:v>
      </x:c>
      <x:c r="AU21" t="n">
        <x: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x:f>
        <x:v>7217.711125746066</x:v>
      </x:c>
      <x:c r="AV21" t="n">
        <x:f>Scenario_Data!W21</x:f>
        <x:v>-673.6</x:v>
      </x:c>
      <x:c r="AW21" t="n">
        <x: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x:f>
        <x:v>7202.2449127278005</x:v>
      </x:c>
    </x:row>
    <x:row r="22">
      <x:c r="A22" t="n">
        <x:f>Chart_Data!K22</x:f>
        <x:v>-50</x:v>
      </x:c>
      <x:c r="B22" t="n">
        <x:f>Chart_Data!N22-Chart_Data!L22</x:f>
        <x:v>-33.13988446377812</x:v>
      </x:c>
      <x:c r="D22" t="n">
        <x:f>Chart_Data!G22</x:f>
        <x:v>-50</x:v>
      </x:c>
      <x:c r="E22" t="n">
        <x:f>Chart_Data!H22</x:f>
        <x:v>273.71504099052385</x:v>
      </x:c>
      <x:c r="F22" t="n">
        <x:f>Chart_Data!I22</x:f>
        <x:v>273.71504099052385</x:v>
      </x:c>
      <x:c r="G22" t="n">
        <x:f>Chart_Data!J22</x:f>
        <x:v>29.034419664389077</x:v>
      </x:c>
      <x:c r="I22" t="n">
        <x:f>Scenario_Data!A22</x:f>
        <x:v>-0.833</x:v>
      </x:c>
      <x:c r="J22" t="n">
        <x:f>Scenario_Data!H22-(((SQRT((Inputs!$C$52+(Inputs!$H$6))^2+Inputs!$C$52^2-2*(Inputs!$C$52+(Inputs!$H$6))*Inputs!$C$52*COS(SQRT((Scenario_Data!T22)^2+Inputs!$C$6^2)/Inputs!$C$52)))-(Inputs!$H$6))*1000/Inputs!$C$12)</x:f>
        <x:v>-14.817543761564139</x:v>
      </x:c>
      <x:c r="K22" t="n">
        <x:f>Scenario_Data!I22-(((SQRT((Inputs!$C$52+(Inputs!$H$7))^2+Inputs!$C$52^2-2*(Inputs!$C$52+(Inputs!$H$7))*Inputs!$C$52*COS(SQRT((Scenario_Data!U22)^2+Inputs!$C$6^2)/Inputs!$C$52)))-(Inputs!$H$7))*1000/Inputs!$C$12)</x:f>
        <x:v>-72340.18724720042</x:v>
      </x:c>
      <x:c r="L22" t="n">
        <x:f>Scenario_Data!J22-(((SQRT((Inputs!$C$52+(Inputs!$H$8))^2+Inputs!$C$52^2-2*(Inputs!$C$52+(Inputs!$H$8))*Inputs!$C$52*COS(SQRT((Scenario_Data!V22)^2+Inputs!$C$6^2)/Inputs!$C$52)))-(Inputs!$H$8))*1000/Inputs!$C$12)</x:f>
        <x:v>-154868.15200145353</x:v>
      </x:c>
      <x:c r="M22" t="n">
        <x:f>Scenario_Data!K22-(((SQRT((Inputs!$C$52+(Inputs!$H$9))^2+Inputs!$C$52^2-2*(Inputs!$C$52+(Inputs!$H$9))*Inputs!$C$52*COS(SQRT((Scenario_Data!W22)^2+Inputs!$C$6^2)/Inputs!$C$52)))-(Inputs!$H$9))*1000/Inputs!$C$12)</x:f>
        <x:v>-158700.50306586787</x:v>
      </x:c>
      <x:c r="O22" t="n">
        <x:f>Scenario_Data!T22</x:f>
        <x:v>-49.98</x:v>
      </x:c>
      <x:c r="P22" t="n">
        <x:f>2*(Scenario_Data!B22*1000)/Inputs!$C$21*1000000</x:f>
        <x:v>2687.0292781014527</x:v>
      </x:c>
      <x:c r="Q22" t="n">
        <x:f>Scenario_Data!U22</x:f>
        <x:v>-333.2</x:v>
      </x:c>
      <x:c r="R22" t="n">
        <x:f>2*(Scenario_Data!C22*1000)/Inputs!$C$21*1000000</x:f>
        <x:v>1923.1269987452456</x:v>
      </x:c>
      <x:c r="S22" t="n">
        <x:f>Scenario_Data!V22</x:f>
        <x:v>-666.4</x:v>
      </x:c>
      <x:c r="T22" t="n">
        <x:f>2*(Scenario_Data!D22*1000)/Inputs!$C$21*1000000</x:f>
        <x:v>4700.604476180652</x:v>
      </x:c>
      <x:c r="U22" t="n">
        <x:f>Scenario_Data!W22</x:f>
        <x:v>-666.4</x:v>
      </x:c>
      <x:c r="V22" t="n">
        <x:f>2*(Scenario_Data!E22*1000)/Inputs!$C$21*1000000</x:f>
        <x:v>4680.182948431611</x:v>
      </x:c>
      <x:c r="X22" t="n">
        <x:f>Scenario_Data!T22</x:f>
        <x:v>-49.98</x:v>
      </x:c>
      <x:c r="Y22" t="n">
        <x: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x:f>
        <x:v>2686.8370816958704</x:v>
      </x:c>
      <x:c r="Z22" t="n">
        <x:f>Scenario_Data!U22</x:f>
        <x:v>-333.2</x:v>
      </x:c>
      <x:c r="AA22" t="n">
        <x: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x:f>
        <x:v>1922.8302463603984</x:v>
      </x:c>
      <x:c r="AB22" t="n">
        <x:f>Scenario_Data!V22</x:f>
        <x:v>-666.4</x:v>
      </x:c>
      <x:c r="AC22" t="n">
        <x: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x:f>
        <x:v>4700.389166127263</x:v>
      </x:c>
      <x:c r="AD22" t="n">
        <x:f>Scenario_Data!W22</x:f>
        <x:v>-666.4</x:v>
      </x:c>
      <x:c r="AE22" t="n">
        <x: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x:f>
        <x:v>4679.967638378223</x:v>
      </x:c>
      <x:c r="AG22" t="n">
        <x:f>Scenario_Data!T22</x:f>
        <x:v>-49.98</x:v>
      </x:c>
      <x:c r="AH22" t="n">
        <x:f>2*(SQRT((Inputs!$C$52+(Scenario_Data!B22))^2+Inputs!$C$52^2-2*(Inputs!$C$52+(Scenario_Data!B22))*Inputs!$C$52*COS(SQRT((Scenario_Data!T22)^2+Inputs!$C$6^2)/Inputs!$C$52))*1000)/Inputs!$C$21*1000000</x:f>
        <x:v>2719.3690201677696</x:v>
      </x:c>
      <x:c r="AI22" t="n">
        <x:f>Scenario_Data!U22</x:f>
        <x:v>-333.2</x:v>
      </x:c>
      <x:c r="AJ22" t="n">
        <x:f>2*(SQRT((Inputs!$C$52+(Scenario_Data!C22))^2+Inputs!$C$52^2-2*(Inputs!$C$52+(Scenario_Data!C22))*Inputs!$C$52*COS(SQRT((Scenario_Data!U22)^2+Inputs!$C$6^2)/Inputs!$C$52))*1000)/Inputs!$C$21*1000000</x:f>
        <x:v>3092.3580081209293</x:v>
      </x:c>
      <x:c r="AK22" t="n">
        <x:f>Scenario_Data!V22</x:f>
        <x:v>-666.4</x:v>
      </x:c>
      <x:c r="AL22" t="n">
        <x:f>2*(SQRT((Inputs!$C$52+(Scenario_Data!D22))^2+Inputs!$C$52^2-2*(Inputs!$C$52+(Scenario_Data!D22))*Inputs!$C$52*COS(SQRT((Scenario_Data!V22)^2+Inputs!$C$6^2)/Inputs!$C$52))*1000)/Inputs!$C$21*1000000</x:f>
        <x:v>7098.506357692575</x:v>
      </x:c>
      <x:c r="AM22" t="n">
        <x:f>Scenario_Data!W22</x:f>
        <x:v>-666.4</x:v>
      </x:c>
      <x:c r="AN22" t="n">
        <x:f>2*(SQRT((Inputs!$C$52+(Scenario_Data!E22))^2+Inputs!$C$52^2-2*(Inputs!$C$52+(Scenario_Data!E22))*Inputs!$C$52*COS(SQRT((Scenario_Data!W22)^2+Inputs!$C$6^2)/Inputs!$C$52))*1000)/Inputs!$C$21*1000000</x:f>
        <x:v>7082.301294774013</x:v>
      </x:c>
      <x:c r="AP22" t="n">
        <x:f>Scenario_Data!T22</x:f>
        <x:v>-49.98</x:v>
      </x:c>
      <x:c r="AQ22" t="n">
        <x: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x:f>
        <x:v>2717.6974345549215</x:v>
      </x:c>
      <x:c r="AR22" t="n">
        <x:f>Scenario_Data!U22</x:f>
        <x:v>-333.2</x:v>
      </x:c>
      <x:c r="AS22" t="n">
        <x: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x:f>
        <x:v>3091.684937172292</x:v>
      </x:c>
      <x:c r="AT22" t="n">
        <x:f>Scenario_Data!V22</x:f>
        <x:v>-666.4</x:v>
      </x:c>
      <x:c r="AU22" t="n">
        <x: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x:f>
        <x:v>7098.019488341909</x:v>
      </x:c>
      <x:c r="AV22" t="n">
        <x:f>Scenario_Data!W22</x:f>
        <x:v>-666.4</x:v>
      </x:c>
      <x:c r="AW22" t="n">
        <x: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x:f>
        <x:v>7081.816025654208</x:v>
      </x:c>
    </x:row>
    <x:row r="23">
      <x:c r="A23" t="n">
        <x:f>Chart_Data!K23</x:f>
        <x:v>-49.5</x:v>
      </x:c>
      <x:c r="B23" t="n">
        <x:f>Chart_Data!N23-Chart_Data!L23</x:f>
        <x:v>-55.72800260958991</x:v>
      </x:c>
      <x:c r="D23" t="n">
        <x:f>Chart_Data!G23</x:f>
        <x:v>-49.5</x:v>
      </x:c>
      <x:c r="E23" t="n">
        <x:f>Chart_Data!H23</x:f>
        <x:v>258.91748425644914</x:v>
      </x:c>
      <x:c r="F23" t="n">
        <x:f>Chart_Data!I23</x:f>
        <x:v>258.91748425644914</x:v>
      </x:c>
      <x:c r="G23" t="n">
        <x:f>Chart_Data!J23</x:f>
        <x:v>51.90461728837901</x:v>
      </x:c>
      <x:c r="I23" t="n">
        <x:f>Scenario_Data!A23</x:f>
        <x:v>-0.825</x:v>
      </x:c>
      <x:c r="J23" t="n">
        <x:f>Scenario_Data!H23-(((SQRT((Inputs!$C$52+(Inputs!$H$6))^2+Inputs!$C$52^2-2*(Inputs!$C$52+(Inputs!$H$6))*Inputs!$C$52*COS(SQRT((Scenario_Data!T23)^2+Inputs!$C$6^2)/Inputs!$C$52)))-(Inputs!$H$6))*1000/Inputs!$C$12)</x:f>
        <x:v>-14.318202220481453</x:v>
      </x:c>
      <x:c r="K23" t="n">
        <x:f>Scenario_Data!I23-(((SQRT((Inputs!$C$52+(Inputs!$H$7))^2+Inputs!$C$52^2-2*(Inputs!$C$52+(Inputs!$H$7))*Inputs!$C$52*COS(SQRT((Scenario_Data!U23)^2+Inputs!$C$6^2)/Inputs!$C$52)))-(Inputs!$H$7))*1000/Inputs!$C$12)</x:f>
        <x:v>-71244.55426280205</x:v>
      </x:c>
      <x:c r="L23" t="n">
        <x:f>Scenario_Data!J23-(((SQRT((Inputs!$C$52+(Inputs!$H$8))^2+Inputs!$C$52^2-2*(Inputs!$C$52+(Inputs!$H$8))*Inputs!$C$52*COS(SQRT((Scenario_Data!V23)^2+Inputs!$C$6^2)/Inputs!$C$52)))-(Inputs!$H$8))*1000/Inputs!$C$12)</x:f>
        <x:v>-153001.25134490427</x:v>
      </x:c>
      <x:c r="M23" t="n">
        <x:f>Scenario_Data!K23-(((SQRT((Inputs!$C$52+(Inputs!$H$9))^2+Inputs!$C$52^2-2*(Inputs!$C$52+(Inputs!$H$9))*Inputs!$C$52*COS(SQRT((Scenario_Data!W23)^2+Inputs!$C$6^2)/Inputs!$C$52)))-(Inputs!$H$9))*1000/Inputs!$C$12)</x:f>
        <x:v>-156821.9415170548</x:v>
      </x:c>
      <x:c r="O23" t="n">
        <x:f>Scenario_Data!T23</x:f>
        <x:v>-49.5</x:v>
      </x:c>
      <x:c r="P23" t="n">
        <x:f>2*(Scenario_Data!B23*1000)/Inputs!$C$21*1000000</x:f>
        <x:v>2686.6753265687557</x:v>
      </x:c>
      <x:c r="Q23" t="n">
        <x:f>Scenario_Data!U23</x:f>
        <x:v>-330</x:v>
      </x:c>
      <x:c r="R23" t="n">
        <x:f>2*(Scenario_Data!C23*1000)/Inputs!$C$21*1000000</x:f>
        <x:v>1890.8289213866744</x:v>
      </x:c>
      <x:c r="S23" t="n">
        <x:f>Scenario_Data!V23</x:f>
        <x:v>-660</x:v>
      </x:c>
      <x:c r="T23" t="n">
        <x:f>2*(Scenario_Data!D23*1000)/Inputs!$C$21*1000000</x:f>
        <x:v>4615.213668917581</x:v>
      </x:c>
      <x:c r="U23" t="n">
        <x:f>Scenario_Data!W23</x:f>
        <x:v>-660</x:v>
      </x:c>
      <x:c r="V23" t="n">
        <x:f>2*(Scenario_Data!E23*1000)/Inputs!$C$21*1000000</x:f>
        <x:v>4593.907262336798</x:v>
      </x:c>
      <x:c r="X23" t="n">
        <x:f>Scenario_Data!T23</x:f>
        <x:v>-49.5</x:v>
      </x:c>
      <x:c r="Y23" t="n">
        <x: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x:f>
        <x:v>2686.329056234708</x:v>
      </x:c>
      <x:c r="Z23" t="n">
        <x:f>Scenario_Data!U23</x:f>
        <x:v>-330</x:v>
      </x:c>
      <x:c r="AA23" t="n">
        <x: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x:f>
        <x:v>1890.6642418919669</x:v>
      </x:c>
      <x:c r="AB23" t="n">
        <x:f>Scenario_Data!V23</x:f>
        <x:v>-660</x:v>
      </x:c>
      <x:c r="AC23" t="n">
        <x: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x:f>
        <x:v>4614.846299685641</x:v>
      </x:c>
      <x:c r="AD23" t="n">
        <x:f>Scenario_Data!W23</x:f>
        <x:v>-660</x:v>
      </x:c>
      <x:c r="AE23" t="n">
        <x: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x:f>
        <x:v>4593.5398931048585</x:v>
      </x:c>
      <x:c r="AG23" t="n">
        <x:f>Scenario_Data!T23</x:f>
        <x:v>-49.5</x:v>
      </x:c>
      <x:c r="AH23" t="n">
        <x:f>2*(SQRT((Inputs!$C$52+(Scenario_Data!B23))^2+Inputs!$C$52^2-2*(Inputs!$C$52+(Scenario_Data!B23))*Inputs!$C$52*COS(SQRT((Scenario_Data!T23)^2+Inputs!$C$6^2)/Inputs!$C$52))*1000)/Inputs!$C$21*1000000</x:f>
        <x:v>2718.5268353664997</x:v>
      </x:c>
      <x:c r="AI23" t="n">
        <x:f>Scenario_Data!U23</x:f>
        <x:v>-330</x:v>
      </x:c>
      <x:c r="AJ23" t="n">
        <x:f>2*(SQRT((Inputs!$C$52+(Scenario_Data!C23))^2+Inputs!$C$52^2-2*(Inputs!$C$52+(Scenario_Data!C23))*Inputs!$C$52*COS(SQRT((Scenario_Data!U23)^2+Inputs!$C$6^2)/Inputs!$C$52))*1000)/Inputs!$C$21*1000000</x:f>
        <x:v>3051.7828688525797</x:v>
      </x:c>
      <x:c r="AK23" t="n">
        <x:f>Scenario_Data!V23</x:f>
        <x:v>-660</x:v>
      </x:c>
      <x:c r="AL23" t="n">
        <x:f>2*(SQRT((Inputs!$C$52+(Scenario_Data!D23))^2+Inputs!$C$52^2-2*(Inputs!$C$52+(Scenario_Data!D23))*Inputs!$C$52*COS(SQRT((Scenario_Data!V23)^2+Inputs!$C$6^2)/Inputs!$C$52))*1000)/Inputs!$C$21*1000000</x:f>
        <x:v>6993.172626647848</x:v>
      </x:c>
      <x:c r="AM23" t="n">
        <x:f>Scenario_Data!W23</x:f>
        <x:v>-660</x:v>
      </x:c>
      <x:c r="AN23" t="n">
        <x:f>2*(SQRT((Inputs!$C$52+(Scenario_Data!E23))^2+Inputs!$C$52^2-2*(Inputs!$C$52+(Scenario_Data!E23))*Inputs!$C$52*COS(SQRT((Scenario_Data!W23)^2+Inputs!$C$6^2)/Inputs!$C$52))*1000)/Inputs!$C$21*1000000</x:f>
        <x:v>6976.325155041407</x:v>
      </x:c>
      <x:c r="AP23" t="n">
        <x:f>Scenario_Data!T23</x:f>
        <x:v>-49.5</x:v>
      </x:c>
      <x:c r="AQ23" t="n">
        <x: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x:f>
        <x:v>2716.8250307204657</x:v>
      </x:c>
      <x:c r="AR23" t="n">
        <x:f>Scenario_Data!U23</x:f>
        <x:v>-330</x:v>
      </x:c>
      <x:c r="AS23" t="n">
        <x: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x:f>
        <x:v>3051.4674905866605</x:v>
      </x:c>
      <x:c r="AT23" t="n">
        <x:f>Scenario_Data!V23</x:f>
        <x:v>-660</x:v>
      </x:c>
      <x:c r="AU23" t="n">
        <x: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x:f>
        <x:v>6992.6479613045</x:v>
      </x:c>
      <x:c r="AV23" t="n">
        <x:f>Scenario_Data!W23</x:f>
        <x:v>-660</x:v>
      </x:c>
      <x:c r="AW23" t="n">
        <x: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x:f>
        <x:v>6975.80232907405</x:v>
      </x:c>
    </x:row>
    <x:row r="24">
      <x:c r="A24" t="n">
        <x:f>Chart_Data!K24</x:f>
        <x:v>-49</x:v>
      </x:c>
      <x:c r="B24" t="n">
        <x:f>Chart_Data!N24-Chart_Data!L24</x:f>
        <x:v>-43.55059818787615</x:v>
      </x:c>
      <x:c r="D24" t="n">
        <x:f>Chart_Data!G24</x:f>
        <x:v>-49</x:v>
      </x:c>
      <x:c r="E24" t="n">
        <x:f>Chart_Data!H24</x:f>
        <x:v>268.7927966209557</x:v>
      </x:c>
      <x:c r="F24" t="n">
        <x:f>Chart_Data!I24</x:f>
        <x:v>268.7927966209557</x:v>
      </x:c>
      <x:c r="G24" t="n">
        <x:f>Chart_Data!J24</x:f>
        <x:v>39.64300304421553</x:v>
      </x:c>
      <x:c r="I24" t="n">
        <x:f>Scenario_Data!A24</x:f>
        <x:v>-0.817</x:v>
      </x:c>
      <x:c r="J24" t="n">
        <x:f>Scenario_Data!H24-(((SQRT((Inputs!$C$52+(Inputs!$H$6))^2+Inputs!$C$52^2-2*(Inputs!$C$52+(Inputs!$H$6))*Inputs!$C$52*COS(SQRT((Scenario_Data!T24)^2+Inputs!$C$6^2)/Inputs!$C$52)))-(Inputs!$H$6))*1000/Inputs!$C$12)</x:f>
        <x:v>-13.831801402375277</x:v>
      </x:c>
      <x:c r="K24" t="n">
        <x:f>Scenario_Data!I24-(((SQRT((Inputs!$C$52+(Inputs!$H$7))^2+Inputs!$C$52^2-2*(Inputs!$C$52+(Inputs!$H$7))*Inputs!$C$52*COS(SQRT((Scenario_Data!U24)^2+Inputs!$C$6^2)/Inputs!$C$52)))-(Inputs!$H$7))*1000/Inputs!$C$12)</x:f>
        <x:v>-70151.11767949266</x:v>
      </x:c>
      <x:c r="L24" t="n">
        <x:f>Scenario_Data!J24-(((SQRT((Inputs!$C$52+(Inputs!$H$8))^2+Inputs!$C$52^2-2*(Inputs!$C$52+(Inputs!$H$8))*Inputs!$C$52*COS(SQRT((Scenario_Data!V24)^2+Inputs!$C$6^2)/Inputs!$C$52)))-(Inputs!$H$8))*1000/Inputs!$C$12)</x:f>
        <x:v>-151128.20153368788</x:v>
      </x:c>
      <x:c r="M24" t="n">
        <x:f>Scenario_Data!K24-(((SQRT((Inputs!$C$52+(Inputs!$H$9))^2+Inputs!$C$52^2-2*(Inputs!$C$52+(Inputs!$H$9))*Inputs!$C$52*COS(SQRT((Scenario_Data!W24)^2+Inputs!$C$6^2)/Inputs!$C$52)))-(Inputs!$H$9))*1000/Inputs!$C$12)</x:f>
        <x:v>-154936.84079418762</x:v>
      </x:c>
      <x:c r="O24" t="n">
        <x:f>Scenario_Data!T24</x:f>
        <x:v>-49.019999999999996</x:v>
      </x:c>
      <x:c r="P24" t="n">
        <x:f>2*(Scenario_Data!B24*1000)/Inputs!$C$21*1000000</x:f>
        <x:v>2686.324790732394</x:v>
      </x:c>
      <x:c r="Q24" t="n">
        <x:f>Scenario_Data!U24</x:f>
        <x:v>-326.79999999999995</x:v>
      </x:c>
      <x:c r="R24" t="n">
        <x:f>2*(Scenario_Data!C24*1000)/Inputs!$C$21*1000000</x:f>
        <x:v>1858.8425263186568</x:v>
      </x:c>
      <x:c r="S24" t="n">
        <x:f>Scenario_Data!V24</x:f>
        <x:v>-653.5999999999999</x:v>
      </x:c>
      <x:c r="T24" t="n">
        <x:f>2*(Scenario_Data!D24*1000)/Inputs!$C$21*1000000</x:f>
        <x:v>4530.646898395288</x:v>
      </x:c>
      <x:c r="U24" t="n">
        <x:f>Scenario_Data!W24</x:f>
        <x:v>-653.5999999999999</x:v>
      </x:c>
      <x:c r="V24" t="n">
        <x:f>2*(Scenario_Data!E24*1000)/Inputs!$C$21*1000000</x:f>
        <x:v>4508.464152223602</x:v>
      </x:c>
      <x:c r="X24" t="n">
        <x:f>Scenario_Data!T24</x:f>
        <x:v>-49.019999999999996</x:v>
      </x:c>
      <x:c r="Y24" t="n">
        <x: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x:f>
        <x:v>2685.975086049943</x:v>
      </x:c>
      <x:c r="Z24" t="n">
        <x:f>Scenario_Data!U24</x:f>
        <x:v>-326.79999999999995</x:v>
      </x:c>
      <x:c r="AA24" t="n">
        <x: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x:f>
        <x:v>1858.6153385407672</x:v>
      </x:c>
      <x:c r="AB24" t="n">
        <x:f>Scenario_Data!V24</x:f>
        <x:v>-653.5999999999999</x:v>
      </x:c>
      <x:c r="AC24" t="n">
        <x: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x:f>
        <x:v>4530.509339233609</x:v>
      </x:c>
      <x:c r="AD24" t="n">
        <x:f>Scenario_Data!W24</x:f>
        <x:v>-653.5999999999999</x:v>
      </x:c>
      <x:c r="AE24" t="n">
        <x: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x:f>
        <x:v>4508.326593061924</x:v>
      </x:c>
      <x:c r="AG24" t="n">
        <x:f>Scenario_Data!T24</x:f>
        <x:v>-49.019999999999996</x:v>
      </x:c>
      <x:c r="AH24" t="n">
        <x:f>2*(SQRT((Inputs!$C$52+(Scenario_Data!B24))^2+Inputs!$C$52^2-2*(Inputs!$C$52+(Scenario_Data!B24))*Inputs!$C$52*COS(SQRT((Scenario_Data!T24)^2+Inputs!$C$6^2)/Inputs!$C$52))*1000)/Inputs!$C$21*1000000</x:f>
        <x:v>2717.692590624826</x:v>
      </x:c>
      <x:c r="AI24" t="n">
        <x:f>Scenario_Data!U24</x:f>
        <x:v>-326.79999999999995</x:v>
      </x:c>
      <x:c r="AJ24" t="n">
        <x:f>2*(SQRT((Inputs!$C$52+(Scenario_Data!C24))^2+Inputs!$C$52^2-2*(Inputs!$C$52+(Scenario_Data!C24))*Inputs!$C$52*COS(SQRT((Scenario_Data!U24)^2+Inputs!$C$6^2)/Inputs!$C$52))*1000)/Inputs!$C$21*1000000</x:f>
        <x:v>3011.4944133564245</x:v>
      </x:c>
      <x:c r="AK24" t="n">
        <x:f>Scenario_Data!V24</x:f>
        <x:v>-653.5999999999999</x:v>
      </x:c>
      <x:c r="AL24" t="n">
        <x:f>2*(SQRT((Inputs!$C$52+(Scenario_Data!D24))^2+Inputs!$C$52^2-2*(Inputs!$C$52+(Scenario_Data!D24))*Inputs!$C$52*COS(SQRT((Scenario_Data!V24)^2+Inputs!$C$6^2)/Inputs!$C$52))*1000)/Inputs!$C$21*1000000</x:f>
        <x:v>6888.7191192634255</x:v>
      </x:c>
      <x:c r="AM24" t="n">
        <x:f>Scenario_Data!W24</x:f>
        <x:v>-653.5999999999999</x:v>
      </x:c>
      <x:c r="AN24" t="n">
        <x:f>2*(SQRT((Inputs!$C$52+(Scenario_Data!E24))^2+Inputs!$C$52^2-2*(Inputs!$C$52+(Scenario_Data!E24))*Inputs!$C$52*COS(SQRT((Scenario_Data!W24)^2+Inputs!$C$6^2)/Inputs!$C$52))*1000)/Inputs!$C$21*1000000</x:f>
        <x:v>6871.241909686075</x:v>
      </x:c>
      <x:c r="AP24" t="n">
        <x:f>Scenario_Data!T24</x:f>
        <x:v>-49.019999999999996</x:v>
      </x:c>
      <x:c r="AQ24" t="n">
        <x: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x:f>
        <x:v>2716.0170983071607</x:v>
      </x:c>
      <x:c r="AR24" t="n">
        <x:f>Scenario_Data!U24</x:f>
        <x:v>-326.79999999999995</x:v>
      </x:c>
      <x:c r="AS24" t="n">
        <x: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x:f>
        <x:v>3011.205038375484</x:v>
      </x:c>
      <x:c r="AT24" t="n">
        <x:f>Scenario_Data!V24</x:f>
        <x:v>-653.5999999999999</x:v>
      </x:c>
      <x:c r="AU24" t="n">
        <x: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x:f>
        <x:v>6888.445538379483</x:v>
      </x:c>
      <x:c r="AV24" t="n">
        <x:f>Scenario_Data!W24</x:f>
        <x:v>-653.5999999999999</x:v>
      </x:c>
      <x:c r="AW24" t="n">
        <x: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x:f>
        <x:v>6870.9693497228955</x:v>
      </x:c>
    </x:row>
    <x:row r="25">
      <x:c r="A25" t="n">
        <x:f>Chart_Data!K25</x:f>
        <x:v>-48.5</x:v>
      </x:c>
      <x:c r="B25" t="n">
        <x:f>Chart_Data!N25-Chart_Data!L25</x:f>
        <x:v>-44.1284096906098</x:v>
      </x:c>
      <x:c r="D25" t="n">
        <x:f>Chart_Data!G25</x:f>
        <x:v>-48.5</x:v>
      </x:c>
      <x:c r="E25" t="n">
        <x:f>Chart_Data!H25</x:f>
        <x:v>265.4824606971943</x:v>
      </x:c>
      <x:c r="F25" t="n">
        <x:f>Chart_Data!I25</x:f>
        <x:v>265.4824606971943</x:v>
      </x:c>
      <x:c r="G25" t="n">
        <x:f>Chart_Data!J25</x:f>
        <x:v>40.329360187280464</x:v>
      </x:c>
      <x:c r="I25" t="n">
        <x:f>Scenario_Data!A25</x:f>
        <x:v>-0.808</x:v>
      </x:c>
      <x:c r="J25" t="n">
        <x:f>Scenario_Data!H25-(((SQRT((Inputs!$C$52+(Inputs!$H$6))^2+Inputs!$C$52^2-2*(Inputs!$C$52+(Inputs!$H$6))*Inputs!$C$52*COS(SQRT((Scenario_Data!T25)^2+Inputs!$C$6^2)/Inputs!$C$52)))-(Inputs!$H$6))*1000/Inputs!$C$12)</x:f>
        <x:v>-13.299787208880844</x:v>
      </x:c>
      <x:c r="K25" t="n">
        <x:f>Scenario_Data!I25-(((SQRT((Inputs!$C$52+(Inputs!$H$7))^2+Inputs!$C$52^2-2*(Inputs!$C$52+(Inputs!$H$7))*Inputs!$C$52*COS(SQRT((Scenario_Data!U25)^2+Inputs!$C$6^2)/Inputs!$C$52)))-(Inputs!$H$7))*1000/Inputs!$C$12)</x:f>
        <x:v>-68923.75640485117</x:v>
      </x:c>
      <x:c r="L25" t="n">
        <x:f>Scenario_Data!J25-(((SQRT((Inputs!$C$52+(Inputs!$H$8))^2+Inputs!$C$52^2-2*(Inputs!$C$52+(Inputs!$H$8))*Inputs!$C$52*COS(SQRT((Scenario_Data!V25)^2+Inputs!$C$6^2)/Inputs!$C$52)))-(Inputs!$H$8))*1000/Inputs!$C$12)</x:f>
        <x:v>-149013.88756056636</x:v>
      </x:c>
      <x:c r="M25" t="n">
        <x:f>Scenario_Data!K25-(((SQRT((Inputs!$C$52+(Inputs!$H$9))^2+Inputs!$C$52^2-2*(Inputs!$C$52+(Inputs!$H$9))*Inputs!$C$52*COS(SQRT((Scenario_Data!W25)^2+Inputs!$C$6^2)/Inputs!$C$52)))-(Inputs!$H$9))*1000/Inputs!$C$12)</x:f>
        <x:v>-152808.49543699686</x:v>
      </x:c>
      <x:c r="O25" t="n">
        <x:f>Scenario_Data!T25</x:f>
        <x:v>-48.480000000000004</x:v>
      </x:c>
      <x:c r="P25" t="n">
        <x:f>2*(Scenario_Data!B25*1000)/Inputs!$C$21*1000000</x:f>
        <x:v>2685.9345207410115</x:v>
      </x:c>
      <x:c r="Q25" t="n">
        <x:f>Scenario_Data!U25</x:f>
        <x:v>-323.20000000000005</x:v>
      </x:c>
      <x:c r="R25" t="n">
        <x:f>2*(Scenario_Data!C25*1000)/Inputs!$C$21*1000000</x:f>
        <x:v>1823.2303896050653</x:v>
      </x:c>
      <x:c r="S25" t="n">
        <x:f>Scenario_Data!V25</x:f>
        <x:v>-646.4000000000001</x:v>
      </x:c>
      <x:c r="T25" t="n">
        <x:f>2*(Scenario_Data!D25*1000)/Inputs!$C$21*1000000</x:f>
        <x:v>4436.494262974422</x:v>
      </x:c>
      <x:c r="U25" t="n">
        <x:f>Scenario_Data!W25</x:f>
        <x:v>-646.4000000000001</x:v>
      </x:c>
      <x:c r="V25" t="n">
        <x:f>2*(Scenario_Data!E25*1000)/Inputs!$C$21*1000000</x:f>
        <x:v>4413.3358418242815</x:v>
      </x:c>
      <x:c r="X25" t="n">
        <x:f>Scenario_Data!T25</x:f>
        <x:v>-48.480000000000004</x:v>
      </x:c>
      <x:c r="Y25" t="n">
        <x: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x:f>
        <x:v>2685.6117027895602</x:v>
      </x:c>
      <x:c r="Z25" t="n">
        <x:f>Scenario_Data!U25</x:f>
        <x:v>-323.20000000000005</x:v>
      </x:c>
      <x:c r="AA25" t="n">
        <x: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x:f>
        <x:v>1822.724543620418</x:v>
      </x:c>
      <x:c r="AB25" t="n">
        <x:f>Scenario_Data!V25</x:f>
        <x:v>-646.4000000000001</x:v>
      </x:c>
      <x:c r="AC25" t="n">
        <x: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x:f>
        <x:v>4436.086416176702</x:v>
      </x:c>
      <x:c r="AD25" t="n">
        <x:f>Scenario_Data!W25</x:f>
        <x:v>-646.4000000000001</x:v>
      </x:c>
      <x:c r="AE25" t="n">
        <x: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x:f>
        <x:v>4412.927995026562</x:v>
      </x:c>
      <x:c r="AG25" t="n">
        <x:f>Scenario_Data!T25</x:f>
        <x:v>-48.480000000000004</x:v>
      </x:c>
      <x:c r="AH25" t="n">
        <x:f>2*(SQRT((Inputs!$C$52+(Scenario_Data!B25))^2+Inputs!$C$52^2-2*(Inputs!$C$52+(Scenario_Data!B25))*Inputs!$C$52*COS(SQRT((Scenario_Data!T25)^2+Inputs!$C$6^2)/Inputs!$C$52))*1000)/Inputs!$C$21*1000000</x:f>
        <x:v>2716.763562710639</x:v>
      </x:c>
      <x:c r="AI25" t="n">
        <x:f>Scenario_Data!U25</x:f>
        <x:v>-323.20000000000005</x:v>
      </x:c>
      <x:c r="AJ25" t="n">
        <x:f>2*(SQRT((Inputs!$C$52+(Scenario_Data!C25))^2+Inputs!$C$52^2-2*(Inputs!$C$52+(Scenario_Data!C25))*Inputs!$C$52*COS(SQRT((Scenario_Data!U25)^2+Inputs!$C$6^2)/Inputs!$C$52))*1000)/Inputs!$C$21*1000000</x:f>
        <x:v>2966.5111922476426</x:v>
      </x:c>
      <x:c r="AK25" t="n">
        <x:f>Scenario_Data!V25</x:f>
        <x:v>-646.4000000000001</x:v>
      </x:c>
      <x:c r="AL25" t="n">
        <x:f>2*(SQRT((Inputs!$C$52+(Scenario_Data!D25))^2+Inputs!$C$52^2-2*(Inputs!$C$52+(Scenario_Data!D25))*Inputs!$C$52*COS(SQRT((Scenario_Data!V25)^2+Inputs!$C$6^2)/Inputs!$C$52))*1000)/Inputs!$C$21*1000000</x:f>
        <x:v>6772.258771364358</x:v>
      </x:c>
      <x:c r="AM25" t="n">
        <x:f>Scenario_Data!W25</x:f>
        <x:v>-646.4000000000001</x:v>
      </x:c>
      <x:c r="AN25" t="n">
        <x:f>2*(SQRT((Inputs!$C$52+(Scenario_Data!E25))^2+Inputs!$C$52^2-2*(Inputs!$C$52+(Scenario_Data!E25))*Inputs!$C$52*COS(SQRT((Scenario_Data!W25)^2+Inputs!$C$6^2)/Inputs!$C$52))*1000)/Inputs!$C$21*1000000</x:f>
        <x:v>6754.08832481869</x:v>
      </x:c>
      <x:c r="AP25" t="n">
        <x:f>Scenario_Data!T25</x:f>
        <x:v>-48.480000000000004</x:v>
      </x:c>
      <x:c r="AQ25" t="n">
        <x: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x:f>
        <x:v>2715.0613483936577</x:v>
      </x:c>
      <x:c r="AR25" t="n">
        <x:f>Scenario_Data!U25</x:f>
        <x:v>-323.20000000000005</x:v>
      </x:c>
      <x:c r="AS25" t="n">
        <x: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x:f>
        <x:v>2965.891539195201</x:v>
      </x:c>
      <x:c r="AT25" t="n">
        <x:f>Scenario_Data!V25</x:f>
        <x:v>-646.4000000000001</x:v>
      </x:c>
      <x:c r="AU25" t="n">
        <x: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x:f>
        <x:v>6771.789850814738</x:v>
      </x:c>
      <x:c r="AV25" t="n">
        <x:f>Scenario_Data!W25</x:f>
        <x:v>-646.4000000000001</x:v>
      </x:c>
      <x:c r="AW25" t="n">
        <x: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x:f>
        <x:v>6753.621278144666</x:v>
      </x:c>
    </x:row>
    <x:row r="26">
      <x:c r="A26" t="n">
        <x:f>Chart_Data!K26</x:f>
        <x:v>-48</x:v>
      </x:c>
      <x:c r="B26" t="n">
        <x:f>Chart_Data!N26-Chart_Data!L26</x:f>
        <x:v>-59.24933487502835</x:v>
      </x:c>
      <x:c r="D26" t="n">
        <x:f>Chart_Data!G26</x:f>
        <x:v>-48</x:v>
      </x:c>
      <x:c r="E26" t="n">
        <x:f>Chart_Data!H26</x:f>
        <x:v>253.6370227527636</x:v>
      </x:c>
      <x:c r="F26" t="n">
        <x:f>Chart_Data!I26</x:f>
        <x:v>253.6370227527636</x:v>
      </x:c>
      <x:c r="G26" t="n">
        <x:f>Chart_Data!J26</x:f>
        <x:v>55.67705400563339</x:v>
      </x:c>
      <x:c r="I26" t="n">
        <x:f>Scenario_Data!A26</x:f>
        <x:v>-0.8</x:v>
      </x:c>
      <x:c r="J26" t="n">
        <x:f>Scenario_Data!H26-(((SQRT((Inputs!$C$52+(Inputs!$H$6))^2+Inputs!$C$52^2-2*(Inputs!$C$52+(Inputs!$H$6))*Inputs!$C$52*COS(SQRT((Scenario_Data!T26)^2+Inputs!$C$6^2)/Inputs!$C$52)))-(Inputs!$H$6))*1000/Inputs!$C$12)</x:f>
        <x:v>-12.84013677697476</x:v>
      </x:c>
      <x:c r="K26" t="n">
        <x:f>Scenario_Data!I26-(((SQRT((Inputs!$C$52+(Inputs!$H$7))^2+Inputs!$C$52^2-2*(Inputs!$C$52+(Inputs!$H$7))*Inputs!$C$52*COS(SQRT((Scenario_Data!U26)^2+Inputs!$C$6^2)/Inputs!$C$52)))-(Inputs!$H$7))*1000/Inputs!$C$12)</x:f>
        <x:v>-67835.33471918713</x:v>
      </x:c>
      <x:c r="L26" t="n">
        <x:f>Scenario_Data!J26-(((SQRT((Inputs!$C$52+(Inputs!$H$8))^2+Inputs!$C$52^2-2*(Inputs!$C$52+(Inputs!$H$8))*Inputs!$C$52*COS(SQRT((Scenario_Data!V26)^2+Inputs!$C$6^2)/Inputs!$C$52)))-(Inputs!$H$8))*1000/Inputs!$C$12)</x:f>
        <x:v>-147128.35590287362</x:v>
      </x:c>
      <x:c r="M26" t="n">
        <x:f>Scenario_Data!K26-(((SQRT((Inputs!$C$52+(Inputs!$H$9))^2+Inputs!$C$52^2-2*(Inputs!$C$52+(Inputs!$H$9))*Inputs!$C$52*COS(SQRT((Scenario_Data!W26)^2+Inputs!$C$6^2)/Inputs!$C$52)))-(Inputs!$H$9))*1000/Inputs!$C$12)</x:f>
        <x:v>-150910.062898851</x:v>
      </x:c>
      <x:c r="O26" t="n">
        <x:f>Scenario_Data!T26</x:f>
        <x:v>-48</x:v>
      </x:c>
      <x:c r="P26" t="n">
        <x:f>2*(Scenario_Data!B26*1000)/Inputs!$C$21*1000000</x:f>
        <x:v>2685.591243259362</x:v>
      </x:c>
      <x:c r="Q26" t="n">
        <x:f>Scenario_Data!U26</x:f>
        <x:v>-320</x:v>
      </x:c>
      <x:c r="R26" t="n">
        <x:f>2*(Scenario_Data!C26*1000)/Inputs!$C$21*1000000</x:f>
        <x:v>1791.9063194044727</x:v>
      </x:c>
      <x:c r="S26" t="n">
        <x:f>Scenario_Data!V26</x:f>
        <x:v>-640</x:v>
      </x:c>
      <x:c r="T26" t="n">
        <x:f>2*(Scenario_Data!D26*1000)/Inputs!$C$21*1000000</x:f>
        <x:v>4353.678570526281</x:v>
      </x:c>
      <x:c r="U26" t="n">
        <x:f>Scenario_Data!W26</x:f>
        <x:v>-640</x:v>
      </x:c>
      <x:c r="V26" t="n">
        <x:f>2*(Scenario_Data!E26*1000)/Inputs!$C$21*1000000</x:f>
        <x:v>4329.661955672014</x:v>
      </x:c>
      <x:c r="X26" t="n">
        <x:f>Scenario_Data!T26</x:f>
        <x:v>-48</x:v>
      </x:c>
      <x:c r="Y26" t="n">
        <x: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x:f>
        <x:v>2685.2198059365082</x:v>
      </x:c>
      <x:c r="Z26" t="n">
        <x:f>Scenario_Data!U26</x:f>
        <x:v>-320</x:v>
      </x:c>
      <x:c r="AA26" t="n">
        <x: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x:f>
        <x:v>1791.3103173149907</x:v>
      </x:c>
      <x:c r="AB26" t="n">
        <x:f>Scenario_Data!V26</x:f>
        <x:v>-640</x:v>
      </x:c>
      <x:c r="AC26" t="n">
        <x: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x:f>
        <x:v>4353.3618800404865</x:v>
      </x:c>
      <x:c r="AD26" t="n">
        <x:f>Scenario_Data!W26</x:f>
        <x:v>-640</x:v>
      </x:c>
      <x:c r="AE26" t="n">
        <x: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x:f>
        <x:v>4329.345265186219</x:v>
      </x:c>
      <x:c r="AG26" t="n">
        <x:f>Scenario_Data!T26</x:f>
        <x:v>-48</x:v>
      </x:c>
      <x:c r="AH26" t="n">
        <x:f>2*(SQRT((Inputs!$C$52+(Scenario_Data!B26))^2+Inputs!$C$52^2-2*(Inputs!$C$52+(Scenario_Data!B26))*Inputs!$C$52*COS(SQRT((Scenario_Data!T26)^2+Inputs!$C$6^2)/Inputs!$C$52))*1000)/Inputs!$C$21*1000000</x:f>
        <x:v>2715.9462080599938</x:v>
      </x:c>
      <x:c r="AI26" t="n">
        <x:f>Scenario_Data!U26</x:f>
        <x:v>-320</x:v>
      </x:c>
      <x:c r="AJ26" t="n">
        <x:f>2*(SQRT((Inputs!$C$52+(Scenario_Data!C26))^2+Inputs!$C$52^2-2*(Inputs!$C$52+(Scenario_Data!C26))*Inputs!$C$52*COS(SQRT((Scenario_Data!U26)^2+Inputs!$C$6^2)/Inputs!$C$52))*1000)/Inputs!$C$21*1000000</x:f>
        <x:v>2926.8282235073743</x:v>
      </x:c>
      <x:c r="AK26" t="n">
        <x:f>Scenario_Data!V26</x:f>
        <x:v>-640</x:v>
      </x:c>
      <x:c r="AL26" t="n">
        <x:f>2*(SQRT((Inputs!$C$52+(Scenario_Data!D26))^2+Inputs!$C$52^2-2*(Inputs!$C$52+(Scenario_Data!D26))*Inputs!$C$52*COS(SQRT((Scenario_Data!V26)^2+Inputs!$C$6^2)/Inputs!$C$52))*1000)/Inputs!$C$21*1000000</x:f>
        <x:v>6669.6695538641015</x:v>
      </x:c>
      <x:c r="AM26" t="n">
        <x:f>Scenario_Data!W26</x:f>
        <x:v>-640</x:v>
      </x:c>
      <x:c r="AN26" t="n">
        <x:f>2*(SQRT((Inputs!$C$52+(Scenario_Data!E26))^2+Inputs!$C$52^2-2*(Inputs!$C$52+(Scenario_Data!E26))*Inputs!$C$52*COS(SQRT((Scenario_Data!W26)^2+Inputs!$C$6^2)/Inputs!$C$52))*1000)/Inputs!$C$21*1000000</x:f>
        <x:v>6650.89648885563</x:v>
      </x:c>
      <x:c r="AP26" t="n">
        <x:f>Scenario_Data!T26</x:f>
        <x:v>-48</x:v>
      </x:c>
      <x:c r="AQ26" t="n">
        <x: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x:f>
        <x:v>2714.2779556726477</x:v>
      </x:c>
      <x:c r="AR26" t="n">
        <x:f>Scenario_Data!U26</x:f>
        <x:v>-320</x:v>
      </x:c>
      <x:c r="AS26" t="n">
        <x: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x:f>
        <x:v>2926.020997254117</x:v>
      </x:c>
      <x:c r="AT26" t="n">
        <x:f>Scenario_Data!V26</x:f>
        <x:v>-640</x:v>
      </x:c>
      <x:c r="AU26" t="n">
        <x: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x:f>
        <x:v>6669.242000062811</x:v>
      </x:c>
      <x:c r="AV26" t="n">
        <x:f>Scenario_Data!W26</x:f>
        <x:v>-640</x:v>
      </x:c>
      <x:c r="AW26" t="n">
        <x: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x:f>
        <x:v>6650.47074761406</x:v>
      </x:c>
    </x:row>
    <x:row r="27">
      <x:c r="A27" t="n">
        <x:f>Chart_Data!K27</x:f>
        <x:v>-47.5</x:v>
      </x:c>
      <x:c r="B27" t="n">
        <x:f>Chart_Data!N27-Chart_Data!L27</x:f>
        <x:v>-57.6170875201766</x:v>
      </x:c>
      <x:c r="D27" t="n">
        <x:f>Chart_Data!G27</x:f>
        <x:v>-47.5</x:v>
      </x:c>
      <x:c r="E27" t="n">
        <x:f>Chart_Data!H27</x:f>
        <x:v>262.7548434853875</x:v>
      </x:c>
      <x:c r="F27" t="n">
        <x:f>Chart_Data!I27</x:f>
        <x:v>262.7548434853875</x:v>
      </x:c>
      <x:c r="G27" t="n">
        <x:f>Chart_Data!J27</x:f>
        <x:v>53.974959185609514</x:v>
      </x:c>
      <x:c r="I27" t="n">
        <x:f>Scenario_Data!A27</x:f>
        <x:v>-0.792</x:v>
      </x:c>
      <x:c r="J27" t="n">
        <x:f>Scenario_Data!H27-(((SQRT((Inputs!$C$52+(Inputs!$H$6))^2+Inputs!$C$52^2-2*(Inputs!$C$52+(Inputs!$H$6))*Inputs!$C$52*COS(SQRT((Scenario_Data!T27)^2+Inputs!$C$6^2)/Inputs!$C$52)))-(Inputs!$H$6))*1000/Inputs!$C$12)</x:f>
        <x:v>-12.392726180069985</x:v>
      </x:c>
      <x:c r="K27" t="n">
        <x:f>Scenario_Data!I27-(((SQRT((Inputs!$C$52+(Inputs!$H$7))^2+Inputs!$C$52^2-2*(Inputs!$C$52+(Inputs!$H$7))*Inputs!$C$52*COS(SQRT((Scenario_Data!U27)^2+Inputs!$C$6^2)/Inputs!$C$52)))-(Inputs!$H$7))*1000/Inputs!$C$12)</x:f>
        <x:v>-66749.44075526144</x:v>
      </x:c>
      <x:c r="L27" t="n">
        <x:f>Scenario_Data!J27-(((SQRT((Inputs!$C$52+(Inputs!$H$8))^2+Inputs!$C$52^2-2*(Inputs!$C$52+(Inputs!$H$8))*Inputs!$C$52*COS(SQRT((Scenario_Data!V27)^2+Inputs!$C$6^2)/Inputs!$C$52)))-(Inputs!$H$8))*1000/Inputs!$C$12)</x:f>
        <x:v>-145237.23692226937</x:v>
      </x:c>
      <x:c r="M27" t="n">
        <x:f>Scenario_Data!K27-(((SQRT((Inputs!$C$52+(Inputs!$H$9))^2+Inputs!$C$52^2-2*(Inputs!$C$52+(Inputs!$H$9))*Inputs!$C$52*COS(SQRT((Scenario_Data!W27)^2+Inputs!$C$6^2)/Inputs!$C$52)))-(Inputs!$H$9))*1000/Inputs!$C$12)</x:f>
        <x:v>-149005.63294747777</x:v>
      </x:c>
      <x:c r="O27" t="n">
        <x:f>Scenario_Data!T27</x:f>
        <x:v>-47.52</x:v>
      </x:c>
      <x:c r="P27" t="n">
        <x:f>2*(Scenario_Data!B27*1000)/Inputs!$C$21*1000000</x:f>
        <x:v>2685.251381474046</x:v>
      </x:c>
      <x:c r="Q27" t="n">
        <x:f>Scenario_Data!U27</x:f>
        <x:v>-316.8</x:v>
      </x:c>
      <x:c r="R27" t="n">
        <x:f>2*(Scenario_Data!C27*1000)/Inputs!$C$21*1000000</x:f>
        <x:v>1760.8939314944344</x:v>
      </x:c>
      <x:c r="S27" t="n">
        <x:f>Scenario_Data!V27</x:f>
        <x:v>-633.6</x:v>
      </x:c>
      <x:c r="T27" t="n">
        <x:f>2*(Scenario_Data!D27*1000)/Inputs!$C$21*1000000</x:f>
        <x:v>4271.686914818919</x:v>
      </x:c>
      <x:c r="U27" t="n">
        <x:f>Scenario_Data!W27</x:f>
        <x:v>-633.6</x:v>
      </x:c>
      <x:c r="V27" t="n">
        <x:f>2*(Scenario_Data!E27*1000)/Inputs!$C$21*1000000</x:f>
        <x:v>4246.820645501362</x:v>
      </x:c>
      <x:c r="X27" t="n">
        <x:f>Scenario_Data!T27</x:f>
        <x:v>-47.52</x:v>
      </x:c>
      <x:c r="Y27" t="n">
        <x: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x:f>
        <x:v>2684.9493444150958</x:v>
      </x:c>
      <x:c r="Z27" t="n">
        <x:f>Scenario_Data!U27</x:f>
        <x:v>-316.8</x:v>
      </x:c>
      <x:c r="AA27" t="n">
        <x: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x:f>
        <x:v>1760.4310673656025</x:v>
      </x:c>
      <x:c r="AB27" t="n">
        <x:f>Scenario_Data!V27</x:f>
        <x:v>-633.6</x:v>
      </x:c>
      <x:c r="AC27" t="n">
        <x: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x:f>
        <x:v>4271.599231277331</x:v>
      </x:c>
      <x:c r="AD27" t="n">
        <x:f>Scenario_Data!W27</x:f>
        <x:v>-633.6</x:v>
      </x:c>
      <x:c r="AE27" t="n">
        <x: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x:f>
        <x:v>4246.732961959774</x:v>
      </x:c>
      <x:c r="AG27" t="n">
        <x:f>Scenario_Data!T27</x:f>
        <x:v>-47.52</x:v>
      </x:c>
      <x:c r="AH27" t="n">
        <x:f>2*(SQRT((Inputs!$C$52+(Scenario_Data!B27))^2+Inputs!$C$52^2-2*(Inputs!$C$52+(Scenario_Data!B27))*Inputs!$C$52*COS(SQRT((Scenario_Data!T27)^2+Inputs!$C$6^2)/Inputs!$C$52))*1000)/Inputs!$C$21*1000000</x:f>
        <x:v>2715.1368098124726</x:v>
      </x:c>
      <x:c r="AI27" t="n">
        <x:f>Scenario_Data!U27</x:f>
        <x:v>-316.8</x:v>
      </x:c>
      <x:c r="AJ27" t="n">
        <x:f>2*(SQRT((Inputs!$C$52+(Scenario_Data!C27))^2+Inputs!$C$52^2-2*(Inputs!$C$52+(Scenario_Data!C27))*Inputs!$C$52*COS(SQRT((Scenario_Data!U27)^2+Inputs!$C$6^2)/Inputs!$C$52))*1000)/Inputs!$C$21*1000000</x:f>
        <x:v>2887.428399392069</x:v>
      </x:c>
      <x:c r="AK27" t="n">
        <x:f>Scenario_Data!V27</x:f>
        <x:v>-633.6</x:v>
      </x:c>
      <x:c r="AL27" t="n">
        <x:f>2*(SQRT((Inputs!$C$52+(Scenario_Data!D27))^2+Inputs!$C$52^2-2*(Inputs!$C$52+(Scenario_Data!D27))*Inputs!$C$52*COS(SQRT((Scenario_Data!V27)^2+Inputs!$C$6^2)/Inputs!$C$52))*1000)/Inputs!$C$21*1000000</x:f>
        <x:v>6567.954610839783</x:v>
      </x:c>
      <x:c r="AM27" t="n">
        <x:f>Scenario_Data!W27</x:f>
        <x:v>-633.6</x:v>
      </x:c>
      <x:c r="AN27" t="n">
        <x:f>2*(SQRT((Inputs!$C$52+(Scenario_Data!E27))^2+Inputs!$C$52^2-2*(Inputs!$C$52+(Scenario_Data!E27))*Inputs!$C$52*COS(SQRT((Scenario_Data!W27)^2+Inputs!$C$6^2)/Inputs!$C$52))*1000)/Inputs!$C$21*1000000</x:f>
        <x:v>6548.591781107728</x:v>
      </x:c>
      <x:c r="AP27" t="n">
        <x:f>Scenario_Data!T27</x:f>
        <x:v>-47.52</x:v>
      </x:c>
      <x:c r="AQ27" t="n">
        <x: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x:f>
        <x:v>2713.5291977559514</x:v>
      </x:c>
      <x:c r="AR27" t="n">
        <x:f>Scenario_Data!U27</x:f>
        <x:v>-316.8</x:v>
      </x:c>
      <x:c r="AS27" t="n">
        <x: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x:f>
        <x:v>2886.8217574751084</x:v>
      </x:c>
      <x:c r="AT27" t="n">
        <x:f>Scenario_Data!V27</x:f>
        <x:v>-633.6</x:v>
      </x:c>
      <x:c r="AU27" t="n">
        <x: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x:f>
        <x:v>6567.617122187415</x:v>
      </x:c>
      <x:c r="AV27" t="n">
        <x:f>Scenario_Data!W27</x:f>
        <x:v>-633.6</x:v>
      </x:c>
      <x:c r="AW27" t="n">
        <x: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x:f>
        <x:v>6548.25580809364</x:v>
      </x:c>
    </x:row>
    <x:row r="28">
      <x:c r="A28" t="n">
        <x:f>Chart_Data!K28</x:f>
        <x:v>-47</x:v>
      </x:c>
      <x:c r="B28" t="n">
        <x:f>Chart_Data!N28-Chart_Data!L28</x:f>
        <x:v>-64.67682483300021</x:v>
      </x:c>
      <x:c r="D28" t="n">
        <x:f>Chart_Data!G28</x:f>
        <x:v>-47</x:v>
      </x:c>
      <x:c r="E28" t="n">
        <x:f>Chart_Data!H28</x:f>
        <x:v>253.91481019774176</x:v>
      </x:c>
      <x:c r="F28" t="n">
        <x:f>Chart_Data!I28</x:f>
        <x:v>253.91481019774176</x:v>
      </x:c>
      <x:c r="G28" t="n">
        <x:f>Chart_Data!J28</x:f>
        <x:v>61.213442747759345</x:v>
      </x:c>
      <x:c r="I28" t="n">
        <x:f>Scenario_Data!A28</x:f>
        <x:v>-0.783</x:v>
      </x:c>
      <x:c r="J28" t="n">
        <x:f>Scenario_Data!H28-(((SQRT((Inputs!$C$52+(Inputs!$H$6))^2+Inputs!$C$52^2-2*(Inputs!$C$52+(Inputs!$H$6))*Inputs!$C$52*COS(SQRT((Scenario_Data!T28)^2+Inputs!$C$6^2)/Inputs!$C$52)))-(Inputs!$H$6))*1000/Inputs!$C$12)</x:f>
        <x:v>-11.903744966717568</x:v>
      </x:c>
      <x:c r="K28" t="n">
        <x:f>Scenario_Data!I28-(((SQRT((Inputs!$C$52+(Inputs!$H$7))^2+Inputs!$C$52^2-2*(Inputs!$C$52+(Inputs!$H$7))*Inputs!$C$52*COS(SQRT((Scenario_Data!U28)^2+Inputs!$C$6^2)/Inputs!$C$52)))-(Inputs!$H$7))*1000/Inputs!$C$12)</x:f>
        <x:v>-65530.96866610383</x:v>
      </x:c>
      <x:c r="L28" t="n">
        <x:f>Scenario_Data!J28-(((SQRT((Inputs!$C$52+(Inputs!$H$8))^2+Inputs!$C$52^2-2*(Inputs!$C$52+(Inputs!$H$8))*Inputs!$C$52*COS(SQRT((Scenario_Data!V28)^2+Inputs!$C$6^2)/Inputs!$C$52)))-(Inputs!$H$8))*1000/Inputs!$C$12)</x:f>
        <x:v>-143103.2871715021</x:v>
      </x:c>
      <x:c r="M28" t="n">
        <x:f>Scenario_Data!K28-(((SQRT((Inputs!$C$52+(Inputs!$H$9))^2+Inputs!$C$52^2-2*(Inputs!$C$52+(Inputs!$H$9))*Inputs!$C$52*COS(SQRT((Scenario_Data!W28)^2+Inputs!$C$6^2)/Inputs!$C$52)))-(Inputs!$H$9))*1000/Inputs!$C$12)</x:f>
        <x:v>-146856.21000814714</x:v>
      </x:c>
      <x:c r="O28" t="n">
        <x:f>Scenario_Data!T28</x:f>
        <x:v>-46.980000000000004</x:v>
      </x:c>
      <x:c r="P28" t="n">
        <x:f>2*(Scenario_Data!B28*1000)/Inputs!$C$21*1000000</x:f>
        <x:v>2684.873119790092</x:v>
      </x:c>
      <x:c r="Q28" t="n">
        <x:f>Scenario_Data!U28</x:f>
        <x:v>-313.20000000000005</x:v>
      </x:c>
      <x:c r="R28" t="n">
        <x:f>2*(Scenario_Data!C28*1000)/Inputs!$C$21*1000000</x:f>
        <x:v>1726.3775528335677</x:v>
      </x:c>
      <x:c r="S28" t="n">
        <x:f>Scenario_Data!V28</x:f>
        <x:v>-626.4000000000001</x:v>
      </x:c>
      <x:c r="T28" t="n">
        <x:f>2*(Scenario_Data!D28*1000)/Inputs!$C$21*1000000</x:f>
        <x:v>4180.431283564847</x:v>
      </x:c>
      <x:c r="U28" t="n">
        <x:f>Scenario_Data!W28</x:f>
        <x:v>-626.4000000000001</x:v>
      </x:c>
      <x:c r="V28" t="n">
        <x:f>2*(Scenario_Data!E28*1000)/Inputs!$C$21*1000000</x:f>
        <x:v>4154.619360037404</x:v>
      </x:c>
      <x:c r="X28" t="n">
        <x:f>Scenario_Data!T28</x:f>
        <x:v>-46.980000000000004</x:v>
      </x:c>
      <x:c r="Y28" t="n">
        <x: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x:f>
        <x:v>2684.621726220223</x:v>
      </x:c>
      <x:c r="Z28" t="n">
        <x:f>Scenario_Data!U28</x:f>
        <x:v>-313.20000000000005</x:v>
      </x:c>
      <x:c r="AA28" t="n">
        <x: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x:f>
        <x:v>1726.234115716435</x:v>
      </x:c>
      <x:c r="AB28" t="n">
        <x:f>Scenario_Data!V28</x:f>
        <x:v>-626.4000000000001</x:v>
      </x:c>
      <x:c r="AC28" t="n">
        <x: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x:f>
        <x:v>4179.935267849889</x:v>
      </x:c>
      <x:c r="AD28" t="n">
        <x:f>Scenario_Data!W28</x:f>
        <x:v>-626.4000000000001</x:v>
      </x:c>
      <x:c r="AE28" t="n">
        <x: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x:f>
        <x:v>4154.1233443224455</x:v>
      </x:c>
      <x:c r="AG28" t="n">
        <x:f>Scenario_Data!T28</x:f>
        <x:v>-46.980000000000004</x:v>
      </x:c>
      <x:c r="AH28" t="n">
        <x:f>2*(SQRT((Inputs!$C$52+(Scenario_Data!B28))^2+Inputs!$C$52^2-2*(Inputs!$C$52+(Scenario_Data!B28))*Inputs!$C$52*COS(SQRT((Scenario_Data!T28)^2+Inputs!$C$6^2)/Inputs!$C$52))*1000)/Inputs!$C$21*1000000</x:f>
        <x:v>2714.235753570058</x:v>
      </x:c>
      <x:c r="AI28" t="n">
        <x:f>Scenario_Data!U28</x:f>
        <x:v>-313.20000000000005</x:v>
      </x:c>
      <x:c r="AJ28" t="n">
        <x:f>2*(SQRT((Inputs!$C$52+(Scenario_Data!C28))^2+Inputs!$C$52^2-2*(Inputs!$C$52+(Scenario_Data!C28))*Inputs!$C$52*COS(SQRT((Scenario_Data!U28)^2+Inputs!$C$6^2)/Inputs!$C$52))*1000)/Inputs!$C$21*1000000</x:f>
        <x:v>2843.440582690011</x:v>
      </x:c>
      <x:c r="AK28" t="n">
        <x:f>Scenario_Data!V28</x:f>
        <x:v>-626.4000000000001</x:v>
      </x:c>
      <x:c r="AL28" t="n">
        <x:f>2*(SQRT((Inputs!$C$52+(Scenario_Data!D28))^2+Inputs!$C$52^2-2*(Inputs!$C$52+(Scenario_Data!D28))*Inputs!$C$52*COS(SQRT((Scenario_Data!V28)^2+Inputs!$C$6^2)/Inputs!$C$52))*1000)/Inputs!$C$21*1000000</x:f>
        <x:v>6454.567802288767</x:v>
      </x:c>
      <x:c r="AM28" t="n">
        <x:f>Scenario_Data!W28</x:f>
        <x:v>-626.4000000000001</x:v>
      </x:c>
      <x:c r="AN28" t="n">
        <x:f>2*(SQRT((Inputs!$C$52+(Scenario_Data!E28))^2+Inputs!$C$52^2-2*(Inputs!$C$52+(Scenario_Data!E28))*Inputs!$C$52*COS(SQRT((Scenario_Data!W28)^2+Inputs!$C$6^2)/Inputs!$C$52))*1000)/Inputs!$C$21*1000000</x:f>
        <x:v>6434.556924518235</x:v>
      </x:c>
      <x:c r="AP28" t="n">
        <x:f>Scenario_Data!T28</x:f>
        <x:v>-46.980000000000004</x:v>
      </x:c>
      <x:c r="AQ28" t="n">
        <x: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x:f>
        <x:v>2712.5601656074723</x:v>
      </x:c>
      <x:c r="AR28" t="n">
        <x:f>Scenario_Data!U28</x:f>
        <x:v>-313.20000000000005</x:v>
      </x:c>
      <x:c r="AS28" t="n">
        <x: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x:f>
        <x:v>2843.1030562454516</x:v>
      </x:c>
      <x:c r="AT28" t="n">
        <x:f>Scenario_Data!V28</x:f>
        <x:v>-626.4000000000001</x:v>
      </x:c>
      <x:c r="AU28" t="n">
        <x: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x:f>
        <x:v>6453.946736401601</x:v>
      </x:c>
      <x:c r="AV28" t="n">
        <x:f>Scenario_Data!W28</x:f>
        <x:v>-626.4000000000001</x:v>
      </x:c>
      <x:c r="AW28" t="n">
        <x: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x:f>
        <x:v>6433.938830803955</x:v>
      </x:c>
    </x:row>
    <x:row r="29">
      <x:c r="A29" t="n">
        <x:f>Chart_Data!K29</x:f>
        <x:v>-46.5</x:v>
      </x:c>
      <x:c r="B29" t="n">
        <x:f>Chart_Data!N29-Chart_Data!L29</x:f>
        <x:v>-60.9353736942775</x:v>
      </x:c>
      <x:c r="D29" t="n">
        <x:f>Chart_Data!G29</x:f>
        <x:v>-46.5</x:v>
      </x:c>
      <x:c r="E29" t="n">
        <x:f>Chart_Data!H29</x:f>
        <x:v>253.748238320312</x:v>
      </x:c>
      <x:c r="F29" t="n">
        <x:f>Chart_Data!I29</x:f>
        <x:v>253.748238320312</x:v>
      </x:c>
      <x:c r="G29" t="n">
        <x:f>Chart_Data!J29</x:f>
        <x:v>57.529820703344</x:v>
      </x:c>
      <x:c r="I29" t="n">
        <x:f>Scenario_Data!A29</x:f>
        <x:v>-0.775</x:v>
      </x:c>
      <x:c r="J29" t="n">
        <x:f>Scenario_Data!H29-(((SQRT((Inputs!$C$52+(Inputs!$H$6))^2+Inputs!$C$52^2-2*(Inputs!$C$52+(Inputs!$H$6))*Inputs!$C$52*COS(SQRT((Scenario_Data!T29)^2+Inputs!$C$6^2)/Inputs!$C$52)))-(Inputs!$H$6))*1000/Inputs!$C$12)</x:f>
        <x:v>-11.481613456182458</x:v>
      </x:c>
      <x:c r="K29" t="n">
        <x:f>Scenario_Data!I29-(((SQRT((Inputs!$C$52+(Inputs!$H$7))^2+Inputs!$C$52^2-2*(Inputs!$C$52+(Inputs!$H$7))*Inputs!$C$52*COS(SQRT((Scenario_Data!U29)^2+Inputs!$C$6^2)/Inputs!$C$52)))-(Inputs!$H$7))*1000/Inputs!$C$12)</x:f>
        <x:v>-64450.81432177829</x:v>
      </x:c>
      <x:c r="L29" t="n">
        <x:f>Scenario_Data!J29-(((SQRT((Inputs!$C$52+(Inputs!$H$8))^2+Inputs!$C$52^2-2*(Inputs!$C$52+(Inputs!$H$8))*Inputs!$C$52*COS(SQRT((Scenario_Data!V29)^2+Inputs!$C$6^2)/Inputs!$C$52)))-(Inputs!$H$8))*1000/Inputs!$C$12)</x:f>
        <x:v>-141200.9353430962</x:v>
      </x:c>
      <x:c r="M29" t="n">
        <x:f>Scenario_Data!K29-(((SQRT((Inputs!$C$52+(Inputs!$H$9))^2+Inputs!$C$52^2-2*(Inputs!$C$52+(Inputs!$H$9))*Inputs!$C$52*COS(SQRT((Scenario_Data!W29)^2+Inputs!$C$6^2)/Inputs!$C$52)))-(Inputs!$H$9))*1000/Inputs!$C$12)</x:f>
        <x:v>-144939.65393967155</x:v>
      </x:c>
      <x:c r="O29" t="n">
        <x:f>Scenario_Data!T29</x:f>
        <x:v>-46.5</x:v>
      </x:c>
      <x:c r="P29" t="n">
        <x:f>2*(Scenario_Data!B29*1000)/Inputs!$C$21*1000000</x:f>
        <x:v>2684.540516359488</x:v>
      </x:c>
      <x:c r="Q29" t="n">
        <x:f>Scenario_Data!U29</x:f>
        <x:v>-310</x:v>
      </x:c>
      <x:c r="R29" t="n">
        <x:f>2*(Scenario_Data!C29*1000)/Inputs!$C$21*1000000</x:f>
        <x:v>1696.0274897909542</x:v>
      </x:c>
      <x:c r="S29" t="n">
        <x:f>Scenario_Data!V29</x:f>
        <x:v>-620</x:v>
      </x:c>
      <x:c r="T29" t="n">
        <x:f>2*(Scenario_Data!D29*1000)/Inputs!$C$21*1000000</x:f>
        <x:v>4100.190705931635</x:v>
      </x:c>
      <x:c r="U29" t="n">
        <x:f>Scenario_Data!W29</x:f>
        <x:v>-620</x:v>
      </x:c>
      <x:c r="V29" t="n">
        <x:f>2*(Scenario_Data!E29*1000)/Inputs!$C$21*1000000</x:f>
        <x:v>4073.547273827683</x:v>
      </x:c>
      <x:c r="X29" t="n">
        <x:f>Scenario_Data!T29</x:f>
        <x:v>-46.5</x:v>
      </x:c>
      <x:c r="Y29" t="n">
        <x: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x:f>
        <x:v>2684.1567187076917</x:v>
      </x:c>
      <x:c r="Z29" t="n">
        <x:f>Scenario_Data!U29</x:f>
        <x:v>-310</x:v>
      </x:c>
      <x:c r="AA29" t="n">
        <x: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x:f>
        <x:v>1695.8586735261722</x:v>
      </x:c>
      <x:c r="AB29" t="n">
        <x:f>Scenario_Data!V29</x:f>
        <x:v>-620</x:v>
      </x:c>
      <x:c r="AC29" t="n">
        <x: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x:f>
        <x:v>4099.965897790397</x:v>
      </x:c>
      <x:c r="AD29" t="n">
        <x:f>Scenario_Data!W29</x:f>
        <x:v>-620</x:v>
      </x:c>
      <x:c r="AE29" t="n">
        <x: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x:f>
        <x:v>4073.322465686445</x:v>
      </x:c>
      <x:c r="AG29" t="n">
        <x:f>Scenario_Data!T29</x:f>
        <x:v>-46.5</x:v>
      </x:c>
      <x:c r="AH29" t="n">
        <x:f>2*(SQRT((Inputs!$C$52+(Scenario_Data!B29))^2+Inputs!$C$52^2-2*(Inputs!$C$52+(Scenario_Data!B29))*Inputs!$C$52*COS(SQRT((Scenario_Data!T29)^2+Inputs!$C$6^2)/Inputs!$C$52))*1000)/Inputs!$C$21*1000000</x:f>
        <x:v>2713.4432796899005</x:v>
      </x:c>
      <x:c r="AI29" t="n">
        <x:f>Scenario_Data!U29</x:f>
        <x:v>-310</x:v>
      </x:c>
      <x:c r="AJ29" t="n">
        <x:f>2*(SQRT((Inputs!$C$52+(Scenario_Data!C29))^2+Inputs!$C$52^2-2*(Inputs!$C$52+(Scenario_Data!C29))*Inputs!$C$52*COS(SQRT((Scenario_Data!U29)^2+Inputs!$C$6^2)/Inputs!$C$52))*1000)/Inputs!$C$21*1000000</x:f>
        <x:v>2804.638522662561</x:v>
      </x:c>
      <x:c r="AK29" t="n">
        <x:f>Scenario_Data!V29</x:f>
        <x:v>-620</x:v>
      </x:c>
      <x:c r="AL29" t="n">
        <x:f>2*(SQRT((Inputs!$C$52+(Scenario_Data!D29))^2+Inputs!$C$52^2-2*(Inputs!$C$52+(Scenario_Data!D29))*Inputs!$C$52*COS(SQRT((Scenario_Data!V29)^2+Inputs!$C$6^2)/Inputs!$C$52))*1000)/Inputs!$C$21*1000000</x:f>
        <x:v>6354.703876330992</x:v>
      </x:c>
      <x:c r="AM29" t="n">
        <x:f>Scenario_Data!W29</x:f>
        <x:v>-620</x:v>
      </x:c>
      <x:c r="AN29" t="n">
        <x:f>2*(SQRT((Inputs!$C$52+(Scenario_Data!E29))^2+Inputs!$C$52^2-2*(Inputs!$C$52+(Scenario_Data!E29))*Inputs!$C$52*COS(SQRT((Scenario_Data!W29)^2+Inputs!$C$6^2)/Inputs!$C$52))*1000)/Inputs!$C$21*1000000</x:f>
        <x:v>6334.130742726853</x:v>
      </x:c>
      <x:c r="AP29" t="n">
        <x:f>Scenario_Data!T29</x:f>
        <x:v>-46.5</x:v>
      </x:c>
      <x:c r="AQ29" t="n">
        <x: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x:f>
        <x:v>2711.773173063473</x:v>
      </x:c>
      <x:c r="AR29" t="n">
        <x:f>Scenario_Data!U29</x:f>
        <x:v>-310</x:v>
      </x:c>
      <x:c r="AS29" t="n">
        <x: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x:f>
        <x:v>2804.324806344102</x:v>
      </x:c>
      <x:c r="AT29" t="n">
        <x:f>Scenario_Data!V29</x:f>
        <x:v>-620</x:v>
      </x:c>
      <x:c r="AU29" t="n">
        <x: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x:f>
        <x:v>6354.148628359924</x:v>
      </x:c>
      <x:c r="AV29" t="n">
        <x:f>Scenario_Data!W29</x:f>
        <x:v>-620</x:v>
      </x:c>
      <x:c r="AW29" t="n">
        <x: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x:f>
        <x:v>6333.578302346319</x:v>
      </x:c>
    </x:row>
    <x:row r="30">
      <x:c r="A30" t="n">
        <x:f>Chart_Data!K30</x:f>
        <x:v>-46</x:v>
      </x:c>
      <x:c r="B30" t="n">
        <x:f>Chart_Data!N30-Chart_Data!L30</x:f>
        <x:v>-52.674234164719905</x:v>
      </x:c>
      <x:c r="D30" t="n">
        <x:f>Chart_Data!G30</x:f>
        <x:v>-46</x:v>
      </x:c>
      <x:c r="E30" t="n">
        <x:f>Chart_Data!H30</x:f>
        <x:v>237.40469511010875</x:v>
      </x:c>
      <x:c r="F30" t="n">
        <x:f>Chart_Data!I30</x:f>
        <x:v>237.40469511010875</x:v>
      </x:c>
      <x:c r="G30" t="n">
        <x:f>Chart_Data!J30</x:f>
        <x:v>49.53962065283257</x:v>
      </x:c>
      <x:c r="I30" t="n">
        <x:f>Scenario_Data!A30</x:f>
        <x:v>-0.767</x:v>
      </x:c>
      <x:c r="J30" t="n">
        <x:f>Scenario_Data!H30-(((SQRT((Inputs!$C$52+(Inputs!$H$6))^2+Inputs!$C$52^2-2*(Inputs!$C$52+(Inputs!$H$6))*Inputs!$C$52*COS(SQRT((Scenario_Data!T30)^2+Inputs!$C$6^2)/Inputs!$C$52)))-(Inputs!$H$6))*1000/Inputs!$C$12)</x:f>
        <x:v>-11.071038001998204</x:v>
      </x:c>
      <x:c r="K30" t="n">
        <x:f>Scenario_Data!I30-(((SQRT((Inputs!$C$52+(Inputs!$H$7))^2+Inputs!$C$52^2-2*(Inputs!$C$52+(Inputs!$H$7))*Inputs!$C$52*COS(SQRT((Scenario_Data!U30)^2+Inputs!$C$6^2)/Inputs!$C$52)))-(Inputs!$H$7))*1000/Inputs!$C$12)</x:f>
        <x:v>-63373.53868446994</x:v>
      </x:c>
      <x:c r="L30" t="n">
        <x:f>Scenario_Data!J30-(((SQRT((Inputs!$C$52+(Inputs!$H$8))^2+Inputs!$C$52^2-2*(Inputs!$C$52+(Inputs!$H$8))*Inputs!$C$52*COS(SQRT((Scenario_Data!V30)^2+Inputs!$C$6^2)/Inputs!$C$52)))-(Inputs!$H$8))*1000/Inputs!$C$12)</x:f>
        <x:v>-139293.61086167698</x:v>
      </x:c>
      <x:c r="M30" t="n">
        <x:f>Scenario_Data!K30-(((SQRT((Inputs!$C$52+(Inputs!$H$9))^2+Inputs!$C$52^2-2*(Inputs!$C$52+(Inputs!$H$9))*Inputs!$C$52*COS(SQRT((Scenario_Data!W30)^2+Inputs!$C$6^2)/Inputs!$C$52)))-(Inputs!$H$9))*1000/Inputs!$C$12)</x:f>
        <x:v>-143017.69446274094</x:v>
      </x:c>
      <x:c r="O30" t="n">
        <x:f>Scenario_Data!T30</x:f>
        <x:v>-46.02</x:v>
      </x:c>
      <x:c r="P30" t="n">
        <x:f>2*(Scenario_Data!B30*1000)/Inputs!$C$21*1000000</x:f>
        <x:v>2684.211328625219</x:v>
      </x:c>
      <x:c r="Q30" t="n">
        <x:f>Scenario_Data!U30</x:f>
        <x:v>-306.8</x:v>
      </x:c>
      <x:c r="R30" t="n">
        <x:f>2*(Scenario_Data!C30*1000)/Inputs!$C$21*1000000</x:f>
        <x:v>1665.989109038894</x:v>
      </x:c>
      <x:c r="S30" t="n">
        <x:f>Scenario_Data!V30</x:f>
        <x:v>-613.6</x:v>
      </x:c>
      <x:c r="T30" t="n">
        <x:f>2*(Scenario_Data!D30*1000)/Inputs!$C$21*1000000</x:f>
        <x:v>4020.774165039202</x:v>
      </x:c>
      <x:c r="U30" t="n">
        <x:f>Scenario_Data!W30</x:f>
        <x:v>-613.6</x:v>
      </x:c>
      <x:c r="V30" t="n">
        <x:f>2*(Scenario_Data!E30*1000)/Inputs!$C$21*1000000</x:f>
        <x:v>3993.3077635995774</x:v>
      </x:c>
      <x:c r="X30" t="n">
        <x:f>Scenario_Data!T30</x:f>
        <x:v>-46.02</x:v>
      </x:c>
      <x:c r="Y30" t="n">
        <x: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x:f>
        <x:v>2683.845136650238</x:v>
      </x:c>
      <x:c r="Z30" t="n">
        <x:f>Scenario_Data!U30</x:f>
        <x:v>-306.8</x:v>
      </x:c>
      <x:c r="AA30" t="n">
        <x: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x:f>
        <x:v>1665.8212925006906</x:v>
      </x:c>
      <x:c r="AB30" t="n">
        <x:f>Scenario_Data!V30</x:f>
        <x:v>-613.6</x:v>
      </x:c>
      <x:c r="AC30" t="n">
        <x: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x:f>
        <x:v>4020.642850016848</x:v>
      </x:c>
      <x:c r="AD30" t="n">
        <x:f>Scenario_Data!W30</x:f>
        <x:v>-613.6</x:v>
      </x:c>
      <x:c r="AE30" t="n">
        <x: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x:f>
        <x:v>3993.1764485772233</x:v>
      </x:c>
      <x:c r="AG30" t="n">
        <x:f>Scenario_Data!T30</x:f>
        <x:v>-46.02</x:v>
      </x:c>
      <x:c r="AH30" t="n">
        <x:f>2*(SQRT((Inputs!$C$52+(Scenario_Data!B30))^2+Inputs!$C$52^2-2*(Inputs!$C$52+(Scenario_Data!B30))*Inputs!$C$52*COS(SQRT((Scenario_Data!T30)^2+Inputs!$C$6^2)/Inputs!$C$52))*1000)/Inputs!$C$21*1000000</x:f>
        <x:v>2712.658778127942</x:v>
      </x:c>
      <x:c r="AI30" t="n">
        <x:f>Scenario_Data!U30</x:f>
        <x:v>-306.8</x:v>
      </x:c>
      <x:c r="AJ30" t="n">
        <x:f>2*(SQRT((Inputs!$C$52+(Scenario_Data!C30))^2+Inputs!$C$52^2-2*(Inputs!$C$52+(Scenario_Data!C30))*Inputs!$C$52*COS(SQRT((Scenario_Data!U30)^2+Inputs!$C$6^2)/Inputs!$C$52))*1000)/Inputs!$C$21*1000000</x:f>
        <x:v>2766.1158768793084</x:v>
      </x:c>
      <x:c r="AK30" t="n">
        <x:f>Scenario_Data!V30</x:f>
        <x:v>-613.6</x:v>
      </x:c>
      <x:c r="AL30" t="n">
        <x:f>2*(SQRT((Inputs!$C$52+(Scenario_Data!D30))^2+Inputs!$C$52^2-2*(Inputs!$C$52+(Scenario_Data!D30))*Inputs!$C$52*COS(SQRT((Scenario_Data!V30)^2+Inputs!$C$6^2)/Inputs!$C$52))*1000)/Inputs!$C$21*1000000</x:f>
        <x:v>6255.7076711632635</x:v>
      </x:c>
      <x:c r="AM30" t="n">
        <x:f>Scenario_Data!W30</x:f>
        <x:v>-613.6</x:v>
      </x:c>
      <x:c r="AN30" t="n">
        <x:f>2*(SQRT((Inputs!$C$52+(Scenario_Data!E30))^2+Inputs!$C$52^2-2*(Inputs!$C$52+(Scenario_Data!E30))*Inputs!$C$52*COS(SQRT((Scenario_Data!W30)^2+Inputs!$C$6^2)/Inputs!$C$52))*1000)/Inputs!$C$21*1000000</x:f>
        <x:v>6234.585318473166</x:v>
      </x:c>
      <x:c r="AP30" t="n">
        <x:f>Scenario_Data!T30</x:f>
        <x:v>-46.02</x:v>
      </x:c>
      <x:c r="AQ30" t="n">
        <x: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x:f>
        <x:v>2711.160999256946</x:v>
      </x:c>
      <x:c r="AR30" t="n">
        <x:f>Scenario_Data!U30</x:f>
        <x:v>-306.8</x:v>
      </x:c>
      <x:c r="AS30" t="n">
        <x: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x:f>
        <x:v>2765.6399481746153</x:v>
      </x:c>
      <x:c r="AT30" t="n">
        <x:f>Scenario_Data!V30</x:f>
        <x:v>-613.6</x:v>
      </x:c>
      <x:c r="AU30" t="n">
        <x: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x:f>
        <x:v>6255.366172336804</x:v>
      </x:c>
      <x:c r="AV30" t="n">
        <x:f>Scenario_Data!W30</x:f>
        <x:v>-613.6</x:v>
      </x:c>
      <x:c r="AW30" t="n">
        <x: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x:f>
        <x:v>6234.24564203876</x:v>
      </x:c>
    </x:row>
    <x:row r="31">
      <x:c r="A31" t="n">
        <x:f>Chart_Data!K31</x:f>
        <x:v>-45.5</x:v>
      </x:c>
      <x:c r="B31" t="n">
        <x:f>Chart_Data!N31-Chart_Data!L31</x:f>
        <x:v>-39.8708027983958</x:v>
      </x:c>
      <x:c r="D31" t="n">
        <x:f>Chart_Data!G31</x:f>
        <x:v>-45.5</x:v>
      </x:c>
      <x:c r="E31" t="n">
        <x:f>Chart_Data!H31</x:f>
        <x:v>230.03534200748854</x:v>
      </x:c>
      <x:c r="F31" t="n">
        <x:f>Chart_Data!I31</x:f>
        <x:v>230.03534200748854</x:v>
      </x:c>
      <x:c r="G31" t="n">
        <x:f>Chart_Data!J31</x:f>
        <x:v>36.8829185081177</x:v>
      </x:c>
      <x:c r="I31" t="n">
        <x:f>Scenario_Data!A31</x:f>
        <x:v>-0.758</x:v>
      </x:c>
      <x:c r="J31" t="n">
        <x:f>Scenario_Data!H31-(((SQRT((Inputs!$C$52+(Inputs!$H$6))^2+Inputs!$C$52^2-2*(Inputs!$C$52+(Inputs!$H$6))*Inputs!$C$52*COS(SQRT((Scenario_Data!T31)^2+Inputs!$C$6^2)/Inputs!$C$52)))-(Inputs!$H$6))*1000/Inputs!$C$12)</x:f>
        <x:v>-10.622685923482095</x:v>
      </x:c>
      <x:c r="K31" t="n">
        <x:f>Scenario_Data!I31-(((SQRT((Inputs!$C$52+(Inputs!$H$7))^2+Inputs!$C$52^2-2*(Inputs!$C$52+(Inputs!$H$7))*Inputs!$C$52*COS(SQRT((Scenario_Data!U31)^2+Inputs!$C$6^2)/Inputs!$C$52)))-(Inputs!$H$7))*1000/Inputs!$C$12)</x:f>
        <x:v>-62165.189846866764</x:v>
      </x:c>
      <x:c r="L31" t="n">
        <x:f>Scenario_Data!J31-(((SQRT((Inputs!$C$52+(Inputs!$H$8))^2+Inputs!$C$52^2-2*(Inputs!$C$52+(Inputs!$H$8))*Inputs!$C$52*COS(SQRT((Scenario_Data!V31)^2+Inputs!$C$6^2)/Inputs!$C$52)))-(Inputs!$H$8))*1000/Inputs!$C$12)</x:f>
        <x:v>-137142.1869054523</x:v>
      </x:c>
      <x:c r="M31" t="n">
        <x:f>Scenario_Data!K31-(((SQRT((Inputs!$C$52+(Inputs!$H$9))^2+Inputs!$C$52^2-2*(Inputs!$C$52+(Inputs!$H$9))*Inputs!$C$52*COS(SQRT((Scenario_Data!W31)^2+Inputs!$C$6^2)/Inputs!$C$52)))-(Inputs!$H$9))*1000/Inputs!$C$12)</x:f>
        <x:v>-140849.2828749542</x:v>
      </x:c>
      <x:c r="O31" t="n">
        <x:f>Scenario_Data!T31</x:f>
        <x:v>-45.480000000000004</x:v>
      </x:c>
      <x:c r="P31" t="n">
        <x:f>2*(Scenario_Data!B31*1000)/Inputs!$C$21*1000000</x:f>
        <x:v>2683.8450752486906</x:v>
      </x:c>
      <x:c r="Q31" t="n">
        <x:f>Scenario_Data!U31</x:f>
        <x:v>-303.2</x:v>
      </x:c>
      <x:c r="R31" t="n">
        <x:f>2*(Scenario_Data!C31*1000)/Inputs!$C$21*1000000</x:f>
        <x:v>1632.568488430753</x:v>
      </x:c>
      <x:c r="S31" t="n">
        <x:f>Scenario_Data!V31</x:f>
        <x:v>-606.4</x:v>
      </x:c>
      <x:c r="T31" t="n">
        <x:f>2*(Scenario_Data!D31*1000)/Inputs!$C$21*1000000</x:f>
        <x:v>3932.415537951925</x:v>
      </x:c>
      <x:c r="U31" t="n">
        <x:f>Scenario_Data!W31</x:f>
        <x:v>-606.4</x:v>
      </x:c>
      <x:c r="V31" t="n">
        <x:f>2*(Scenario_Data!E31*1000)/Inputs!$C$21*1000000</x:f>
        <x:v>3904.0335030709807</x:v>
      </x:c>
      <x:c r="X31" t="n">
        <x:f>Scenario_Data!T31</x:f>
        <x:v>-45.480000000000004</x:v>
      </x:c>
      <x:c r="Y31" t="n">
        <x: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x:f>
        <x:v>2683.5136176627734</x:v>
      </x:c>
      <x:c r="Z31" t="n">
        <x:f>Scenario_Data!U31</x:f>
        <x:v>-303.2</x:v>
      </x:c>
      <x:c r="AA31" t="n">
        <x: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x:f>
        <x:v>1632.376799481638</x:v>
      </x:c>
      <x:c r="AB31" t="n">
        <x:f>Scenario_Data!V31</x:f>
        <x:v>-606.4</x:v>
      </x:c>
      <x:c r="AC31" t="n">
        <x: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x:f>
        <x:v>3932.122421247776</x:v>
      </x:c>
      <x:c r="AD31" t="n">
        <x:f>Scenario_Data!W31</x:f>
        <x:v>-606.4</x:v>
      </x:c>
      <x:c r="AE31" t="n">
        <x: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x:f>
        <x:v>3903.7403863668314</x:v>
      </x:c>
      <x:c r="AG31" t="n">
        <x:f>Scenario_Data!T31</x:f>
        <x:v>-45.480000000000004</x:v>
      </x:c>
      <x:c r="AH31" t="n">
        <x:f>2*(SQRT((Inputs!$C$52+(Scenario_Data!B31))^2+Inputs!$C$52^2-2*(Inputs!$C$52+(Scenario_Data!B31))*Inputs!$C$52*COS(SQRT((Scenario_Data!T31)^2+Inputs!$C$6^2)/Inputs!$C$52))*1000)/Inputs!$C$21*1000000</x:f>
        <x:v>2711.7857495077187</x:v>
      </x:c>
      <x:c r="AI31" t="n">
        <x:f>Scenario_Data!U31</x:f>
        <x:v>-303.2</x:v>
      </x:c>
      <x:c r="AJ31" t="n">
        <x:f>2*(SQRT((Inputs!$C$52+(Scenario_Data!C31))^2+Inputs!$C$52^2-2*(Inputs!$C$52+(Scenario_Data!C31))*Inputs!$C$52*COS(SQRT((Scenario_Data!U31)^2+Inputs!$C$6^2)/Inputs!$C$52))*1000)/Inputs!$C$21*1000000</x:f>
        <x:v>2723.110349333624</x:v>
      </x:c>
      <x:c r="AK31" t="n">
        <x:f>Scenario_Data!V31</x:f>
        <x:v>-606.4</x:v>
      </x:c>
      <x:c r="AL31" t="n">
        <x:f>2*(SQRT((Inputs!$C$52+(Scenario_Data!D31))^2+Inputs!$C$52^2-2*(Inputs!$C$52+(Scenario_Data!D31))*Inputs!$C$52*COS(SQRT((Scenario_Data!V31)^2+Inputs!$C$6^2)/Inputs!$C$52))*1000)/Inputs!$C$21*1000000</x:f>
        <x:v>6145.371354766009</x:v>
      </x:c>
      <x:c r="AM31" t="n">
        <x:f>Scenario_Data!W31</x:f>
        <x:v>-606.4</x:v>
      </x:c>
      <x:c r="AN31" t="n">
        <x:f>2*(SQRT((Inputs!$C$52+(Scenario_Data!E31))^2+Inputs!$C$52^2-2*(Inputs!$C$52+(Scenario_Data!E31))*Inputs!$C$52*COS(SQRT((Scenario_Data!W31)^2+Inputs!$C$6^2)/Inputs!$C$52))*1000)/Inputs!$C$21*1000000</x:f>
        <x:v>6123.646786047526</x:v>
      </x:c>
      <x:c r="AP31" t="n">
        <x:f>Scenario_Data!T31</x:f>
        <x:v>-45.480000000000004</x:v>
      </x:c>
      <x:c r="AQ31" t="n">
        <x: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x:f>
        <x:v>2710.338289310354</x:v>
      </x:c>
      <x:c r="AR31" t="n">
        <x:f>Scenario_Data!U31</x:f>
        <x:v>-303.2</x:v>
      </x:c>
      <x:c r="AS31" t="n">
        <x: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x:f>
        <x:v>2722.530866002271</x:v>
      </x:c>
      <x:c r="AT31" t="n">
        <x:f>Scenario_Data!V31</x:f>
        <x:v>-606.4</x:v>
      </x:c>
      <x:c r="AU31" t="n">
        <x: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x:f>
        <x:v>6144.635133313041</x:v>
      </x:c>
      <x:c r="AV31" t="n">
        <x:f>Scenario_Data!W31</x:f>
        <x:v>-606.4</x:v>
      </x:c>
      <x:c r="AW31" t="n">
        <x: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x:f>
        <x:v>6122.914735787475</x:v>
      </x:c>
    </x:row>
    <x:row r="32">
      <x:c r="A32" t="n">
        <x:f>Chart_Data!K32</x:f>
        <x:v>-45</x:v>
      </x:c>
      <x:c r="B32" t="n">
        <x:f>Chart_Data!N32-Chart_Data!L32</x:f>
        <x:v>-49.267020374654436</x:v>
      </x:c>
      <x:c r="D32" t="n">
        <x:f>Chart_Data!G32</x:f>
        <x:v>-45</x:v>
      </x:c>
      <x:c r="E32" t="n">
        <x:f>Chart_Data!H32</x:f>
        <x:v>208.8220272535724</x:v>
      </x:c>
      <x:c r="F32" t="n">
        <x:f>Chart_Data!I32</x:f>
        <x:v>208.8220272535724</x:v>
      </x:c>
      <x:c r="G32" t="n">
        <x:f>Chart_Data!J32</x:f>
        <x:v>46.59917835352822</x:v>
      </x:c>
      <x:c r="I32" t="n">
        <x:f>Scenario_Data!A32</x:f>
        <x:v>-0.75</x:v>
      </x:c>
      <x:c r="J32" t="n">
        <x:f>Scenario_Data!H32-(((SQRT((Inputs!$C$52+(Inputs!$H$6))^2+Inputs!$C$52^2-2*(Inputs!$C$52+(Inputs!$H$6))*Inputs!$C$52*COS(SQRT((Scenario_Data!T32)^2+Inputs!$C$6^2)/Inputs!$C$52)))-(Inputs!$H$6))*1000/Inputs!$C$12)</x:f>
        <x:v>-10.235955038383963</x:v>
      </x:c>
      <x:c r="K32" t="n">
        <x:f>Scenario_Data!I32-(((SQRT((Inputs!$C$52+(Inputs!$H$7))^2+Inputs!$C$52^2-2*(Inputs!$C$52+(Inputs!$H$7))*Inputs!$C$52*COS(SQRT((Scenario_Data!U32)^2+Inputs!$C$6^2)/Inputs!$C$52)))-(Inputs!$H$7))*1000/Inputs!$C$12)</x:f>
        <x:v>-61094.421380709784</x:v>
      </x:c>
      <x:c r="L32" t="n">
        <x:f>Scenario_Data!J32-(((SQRT((Inputs!$C$52+(Inputs!$H$8))^2+Inputs!$C$52^2-2*(Inputs!$C$52+(Inputs!$H$8))*Inputs!$C$52*COS(SQRT((Scenario_Data!V32)^2+Inputs!$C$6^2)/Inputs!$C$52)))-(Inputs!$H$8))*1000/Inputs!$C$12)</x:f>
        <x:v>-135224.99566257387</x:v>
      </x:c>
      <x:c r="M32" t="n">
        <x:f>Scenario_Data!K32-(((SQRT((Inputs!$C$52+(Inputs!$H$9))^2+Inputs!$C$52^2-2*(Inputs!$C$52+(Inputs!$H$9))*Inputs!$C$52*COS(SQRT((Scenario_Data!W32)^2+Inputs!$C$6^2)/Inputs!$C$52)))-(Inputs!$H$9))*1000/Inputs!$C$12)</x:f>
        <x:v>-138916.5188951826</x:v>
      </x:c>
      <x:c r="O32" t="n">
        <x:f>Scenario_Data!T32</x:f>
        <x:v>-45</x:v>
      </x:c>
      <x:c r="P32" t="n">
        <x:f>2*(Scenario_Data!B32*1000)/Inputs!$C$21*1000000</x:f>
        <x:v>2683.5231458691333</x:v>
      </x:c>
      <x:c r="Q32" t="n">
        <x:f>Scenario_Data!U32</x:f>
        <x:v>-300</x:v>
      </x:c>
      <x:c r="R32" t="n">
        <x:f>2*(Scenario_Data!C32*1000)/Inputs!$C$21*1000000</x:f>
        <x:v>1603.1924325461182</x:v>
      </x:c>
      <x:c r="S32" t="n">
        <x:f>Scenario_Data!V32</x:f>
        <x:v>-600</x:v>
      </x:c>
      <x:c r="T32" t="n">
        <x:f>2*(Scenario_Data!D32*1000)/Inputs!$C$21*1000000</x:f>
        <x:v>3854.7500751336447</x:v>
      </x:c>
      <x:c r="U32" t="n">
        <x:f>Scenario_Data!W32</x:f>
        <x:v>-600</x:v>
      </x:c>
      <x:c r="V32" t="n">
        <x:f>2*(Scenario_Data!E32*1000)/Inputs!$C$21*1000000</x:f>
        <x:v>3825.5632168038064</x:v>
      </x:c>
      <x:c r="X32" t="n">
        <x:f>Scenario_Data!T32</x:f>
        <x:v>-45</x:v>
      </x:c>
      <x:c r="Y32" t="n">
        <x: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x:f>
        <x:v>2683.212269613844</x:v>
      </x:c>
      <x:c r="Z32" t="n">
        <x:f>Scenario_Data!U32</x:f>
        <x:v>-300</x:v>
      </x:c>
      <x:c r="AA32" t="n">
        <x: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x:f>
        <x:v>1602.8094295360397</x:v>
      </x:c>
      <x:c r="AB32" t="n">
        <x:f>Scenario_Data!V32</x:f>
        <x:v>-600</x:v>
      </x:c>
      <x:c r="AC32" t="n">
        <x: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x:f>
        <x:v>3854.83280751004</x:v>
      </x:c>
      <x:c r="AD32" t="n">
        <x:f>Scenario_Data!W32</x:f>
        <x:v>-600</x:v>
      </x:c>
      <x:c r="AE32" t="n">
        <x: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x:f>
        <x:v>3825.645949180202</x:v>
      </x:c>
      <x:c r="AG32" t="n">
        <x:f>Scenario_Data!T32</x:f>
        <x:v>-45</x:v>
      </x:c>
      <x:c r="AH32" t="n">
        <x:f>2*(SQRT((Inputs!$C$52+(Scenario_Data!B32))^2+Inputs!$C$52^2-2*(Inputs!$C$52+(Scenario_Data!B32))*Inputs!$C$52*COS(SQRT((Scenario_Data!T32)^2+Inputs!$C$6^2)/Inputs!$C$52))*1000)/Inputs!$C$21*1000000</x:f>
        <x:v>2711.018205671868</x:v>
      </x:c>
      <x:c r="AI32" t="n">
        <x:f>Scenario_Data!U32</x:f>
        <x:v>-300</x:v>
      </x:c>
      <x:c r="AJ32" t="n">
        <x:f>2*(SQRT((Inputs!$C$52+(Scenario_Data!C32))^2+Inputs!$C$52^2-2*(Inputs!$C$52+(Scenario_Data!C32))*Inputs!$C$52*COS(SQRT((Scenario_Data!U32)^2+Inputs!$C$6^2)/Inputs!$C$52))*1000)/Inputs!$C$21*1000000</x:f>
        <x:v>2685.177333423242</x:v>
      </x:c>
      <x:c r="AK32" t="n">
        <x:f>Scenario_Data!V32</x:f>
        <x:v>-600</x:v>
      </x:c>
      <x:c r="AL32" t="n">
        <x:f>2*(SQRT((Inputs!$C$52+(Scenario_Data!D32))^2+Inputs!$C$52^2-2*(Inputs!$C$52+(Scenario_Data!D32))*Inputs!$C$52*COS(SQRT((Scenario_Data!V32)^2+Inputs!$C$6^2)/Inputs!$C$52))*1000)/Inputs!$C$21*1000000</x:f>
        <x:v>6048.211556044975</x:v>
      </x:c>
      <x:c r="AM32" t="n">
        <x:f>Scenario_Data!W32</x:f>
        <x:v>-600</x:v>
      </x:c>
      <x:c r="AN32" t="n">
        <x:f>2*(SQRT((Inputs!$C$52+(Scenario_Data!E32))^2+Inputs!$C$52^2-2*(Inputs!$C$52+(Scenario_Data!E32))*Inputs!$C$52*COS(SQRT((Scenario_Data!W32)^2+Inputs!$C$6^2)/Inputs!$C$52))*1000)/Inputs!$C$21*1000000</x:f>
        <x:v>6025.965664177064</x:v>
      </x:c>
      <x:c r="AP32" t="n">
        <x:f>Scenario_Data!T32</x:f>
        <x:v>-45</x:v>
      </x:c>
      <x:c r="AQ32" t="n">
        <x: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x:f>
        <x:v>2709.6428929865006</x:v>
      </x:c>
      <x:c r="AR32" t="n">
        <x:f>Scenario_Data!U32</x:f>
        <x:v>-300</x:v>
      </x:c>
      <x:c r="AS32" t="n">
        <x: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x:f>
        <x:v>2684.585268981876</x:v>
      </x:c>
      <x:c r="AT32" t="n">
        <x:f>Scenario_Data!V32</x:f>
        <x:v>-600</x:v>
      </x:c>
      <x:c r="AU32" t="n">
        <x: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x:f>
        <x:v>6047.970949157087</x:v>
      </x:c>
      <x:c r="AV32" t="n">
        <x:f>Scenario_Data!W32</x:f>
        <x:v>-600</x:v>
      </x:c>
      <x:c r="AW32" t="n">
        <x: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x:f>
        <x:v>6025.726492848604</x:v>
      </x:c>
    </x:row>
    <x:row r="33">
      <x:c r="A33" t="n">
        <x:f>Chart_Data!K33</x:f>
        <x:v>-44.5</x:v>
      </x:c>
      <x:c r="B33" t="n">
        <x:f>Chart_Data!N33-Chart_Data!L33</x:f>
        <x:v>-30.449261480925486</x:v>
      </x:c>
      <x:c r="D33" t="n">
        <x:f>Chart_Data!G33</x:f>
        <x:v>-44.5</x:v>
      </x:c>
      <x:c r="E33" t="n">
        <x:f>Chart_Data!H33</x:f>
        <x:v>201.66422960156285</x:v>
      </x:c>
      <x:c r="F33" t="n">
        <x:f>Chart_Data!I33</x:f>
        <x:v>201.66422960156285</x:v>
      </x:c>
      <x:c r="G33" t="n">
        <x:f>Chart_Data!J33</x:f>
        <x:v>27.91531821493412</x:v>
      </x:c>
      <x:c r="I33" t="n">
        <x:f>Scenario_Data!A33</x:f>
        <x:v>-0.742</x:v>
      </x:c>
      <x:c r="J33" t="n">
        <x:f>Scenario_Data!H33-(((SQRT((Inputs!$C$52+(Inputs!$H$6))^2+Inputs!$C$52^2-2*(Inputs!$C$52+(Inputs!$H$6))*Inputs!$C$52*COS(SQRT((Scenario_Data!T33)^2+Inputs!$C$6^2)/Inputs!$C$52)))-(Inputs!$H$6))*1000/Inputs!$C$12)</x:f>
        <x:v>-9.86011393674653</x:v>
      </x:c>
      <x:c r="K33" t="n">
        <x:f>Scenario_Data!I33-(((SQRT((Inputs!$C$52+(Inputs!$H$7))^2+Inputs!$C$52^2-2*(Inputs!$C$52+(Inputs!$H$7))*Inputs!$C$52*COS(SQRT((Scenario_Data!U33)^2+Inputs!$C$6^2)/Inputs!$C$52)))-(Inputs!$H$7))*1000/Inputs!$C$12)</x:f>
        <x:v>-60026.90325623649</x:v>
      </x:c>
      <x:c r="L33" t="n">
        <x:f>Scenario_Data!J33-(((SQRT((Inputs!$C$52+(Inputs!$H$8))^2+Inputs!$C$52^2-2*(Inputs!$C$52+(Inputs!$H$8))*Inputs!$C$52*COS(SQRT((Scenario_Data!V33)^2+Inputs!$C$6^2)/Inputs!$C$52)))-(Inputs!$H$8))*1000/Inputs!$C$12)</x:f>
        <x:v>-133303.50387707393</x:v>
      </x:c>
      <x:c r="M33" t="n">
        <x:f>Scenario_Data!K33-(((SQRT((Inputs!$C$52+(Inputs!$H$9))^2+Inputs!$C$52^2-2*(Inputs!$C$52+(Inputs!$H$9))*Inputs!$C$52*COS(SQRT((Scenario_Data!W33)^2+Inputs!$C$6^2)/Inputs!$C$52)))-(Inputs!$H$9))*1000/Inputs!$C$12)</x:f>
        <x:v>-136979.00244933416</x:v>
      </x:c>
      <x:c r="O33" t="n">
        <x:f>Scenario_Data!T33</x:f>
        <x:v>-44.519999999999996</x:v>
      </x:c>
      <x:c r="P33" t="n">
        <x:f>2*(Scenario_Data!B33*1000)/Inputs!$C$21*1000000</x:f>
        <x:v>2683.20463218591</x:v>
      </x:c>
      <x:c r="Q33" t="n">
        <x:f>Scenario_Data!U33</x:f>
        <x:v>-296.8</x:v>
      </x:c>
      <x:c r="R33" t="n">
        <x:f>2*(Scenario_Data!C33*1000)/Inputs!$C$21*1000000</x:f>
        <x:v>1574.1280589520366</x:v>
      </x:c>
      <x:c r="S33" t="n">
        <x:f>Scenario_Data!V33</x:f>
        <x:v>-593.6</x:v>
      </x:c>
      <x:c r="T33" t="n">
        <x:f>2*(Scenario_Data!D33*1000)/Inputs!$C$21*1000000</x:f>
        <x:v>3777.908649056141</x:v>
      </x:c>
      <x:c r="U33" t="n">
        <x:f>Scenario_Data!W33</x:f>
        <x:v>-593.6</x:v>
      </x:c>
      <x:c r="V33" t="n">
        <x:f>2*(Scenario_Data!E33*1000)/Inputs!$C$21*1000000</x:f>
        <x:v>3747.925506518246</x:v>
      </x:c>
      <x:c r="X33" t="n">
        <x:f>Scenario_Data!T33</x:f>
        <x:v>-44.519999999999996</x:v>
      </x:c>
      <x:c r="Y33" t="n">
        <x: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x:f>
        <x:v>2682.9899653906477</x:v>
      </x:c>
      <x:c r="Z33" t="n">
        <x:f>Scenario_Data!U33</x:f>
        <x:v>-296.8</x:v>
      </x:c>
      <x:c r="AA33" t="n">
        <x: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x:f>
        <x:v>1573.7599919685726</x:v>
      </x:c>
      <x:c r="AB33" t="n">
        <x:f>Scenario_Data!V33</x:f>
        <x:v>-593.6</x:v>
      </x:c>
      <x:c r="AC33" t="n">
        <x: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x:f>
        <x:v>3777.7390062611753</x:v>
      </x:c>
      <x:c r="AD33" t="n">
        <x:f>Scenario_Data!W33</x:f>
        <x:v>-593.6</x:v>
      </x:c>
      <x:c r="AE33" t="n">
        <x: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x:f>
        <x:v>3747.7558637232805</x:v>
      </x:c>
      <x:c r="AG33" t="n">
        <x:f>Scenario_Data!T33</x:f>
        <x:v>-44.519999999999996</x:v>
      </x:c>
      <x:c r="AH33" t="n">
        <x:f>2*(SQRT((Inputs!$C$52+(Scenario_Data!B33))^2+Inputs!$C$52^2-2*(Inputs!$C$52+(Scenario_Data!B33))*Inputs!$C$52*COS(SQRT((Scenario_Data!T33)^2+Inputs!$C$6^2)/Inputs!$C$52))*1000)/Inputs!$C$21*1000000</x:f>
        <x:v>2710.258649634195</x:v>
      </x:c>
      <x:c r="AI33" t="n">
        <x:f>Scenario_Data!U33</x:f>
        <x:v>-296.8</x:v>
      </x:c>
      <x:c r="AJ33" t="n">
        <x:f>2*(SQRT((Inputs!$C$52+(Scenario_Data!C33))^2+Inputs!$C$52^2-2*(Inputs!$C$52+(Scenario_Data!C33))*Inputs!$C$52*COS(SQRT((Scenario_Data!U33)^2+Inputs!$C$6^2)/Inputs!$C$52))*1000)/Inputs!$C$21*1000000</x:f>
        <x:v>2647.519805513155</x:v>
      </x:c>
      <x:c r="AK33" t="n">
        <x:f>Scenario_Data!V33</x:f>
        <x:v>-593.6</x:v>
      </x:c>
      <x:c r="AL33" t="n">
        <x:f>2*(SQRT((Inputs!$C$52+(Scenario_Data!D33))^2+Inputs!$C$52^2-2*(Inputs!$C$52+(Scenario_Data!D33))*Inputs!$C$52*COS(SQRT((Scenario_Data!V33)^2+Inputs!$C$6^2)/Inputs!$C$52))*1000)/Inputs!$C$21*1000000</x:f>
        <x:v>5951.912269047644</x:v>
      </x:c>
      <x:c r="AM33" t="n">
        <x:f>Scenario_Data!W33</x:f>
        <x:v>-593.6</x:v>
      </x:c>
      <x:c r="AN33" t="n">
        <x:f>2*(SQRT((Inputs!$C$52+(Scenario_Data!E33))^2+Inputs!$C$52^2-2*(Inputs!$C$52+(Scenario_Data!E33))*Inputs!$C$52*COS(SQRT((Scenario_Data!W33)^2+Inputs!$C$6^2)/Inputs!$C$52))*1000)/Inputs!$C$21*1000000</x:f>
        <x:v>5929.158271486265</x:v>
      </x:c>
      <x:c r="AP33" t="n">
        <x:f>Scenario_Data!T33</x:f>
        <x:v>-44.519999999999996</x:v>
      </x:c>
      <x:c r="AQ33" t="n">
        <x: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x:f>
        <x:v>2708.85476109416</x:v>
      </x:c>
      <x:c r="AR33" t="n">
        <x:f>Scenario_Data!U33</x:f>
        <x:v>-296.8</x:v>
      </x:c>
      <x:c r="AS33" t="n">
        <x: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x:f>
        <x:v>2647.0848704043838</x:v>
      </x:c>
      <x:c r="AT33" t="n">
        <x:f>Scenario_Data!V33</x:f>
        <x:v>-593.6</x:v>
      </x:c>
      <x:c r="AU33" t="n">
        <x: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x:f>
        <x:v>5951.39951323184</x:v>
      </x:c>
      <x:c r="AV33" t="n">
        <x:f>Scenario_Data!W33</x:f>
        <x:v>-593.6</x:v>
      </x:c>
      <x:c r="AW33" t="n">
        <x: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x:f>
        <x:v>5928.648736328782</x:v>
      </x:c>
    </x:row>
    <x:row r="34">
      <x:c r="A34" t="n">
        <x:f>Chart_Data!K34</x:f>
        <x:v>-44</x:v>
      </x:c>
      <x:c r="B34" t="n">
        <x:f>Chart_Data!N34-Chart_Data!L34</x:f>
        <x:v>-21.29823305713009</x:v>
      </x:c>
      <x:c r="D34" t="n">
        <x:f>Chart_Data!G34</x:f>
        <x:v>-44</x:v>
      </x:c>
      <x:c r="E34" t="n">
        <x:f>Chart_Data!H34</x:f>
        <x:v>200.11672258234324</x:v>
      </x:c>
      <x:c r="F34" t="n">
        <x:f>Chart_Data!I34</x:f>
        <x:v>200.11672258234324</x:v>
      </x:c>
      <x:c r="G34" t="n">
        <x:f>Chart_Data!J34</x:f>
        <x:v>18.82539201019003</x:v>
      </x:c>
      <x:c r="I34" t="n">
        <x:f>Scenario_Data!A34</x:f>
        <x:v>-0.733</x:v>
      </x:c>
      <x:c r="J34" t="n">
        <x:f>Scenario_Data!H34-(((SQRT((Inputs!$C$52+(Inputs!$H$6))^2+Inputs!$C$52^2-2*(Inputs!$C$52+(Inputs!$H$6))*Inputs!$C$52*COS(SQRT((Scenario_Data!T34)^2+Inputs!$C$6^2)/Inputs!$C$52)))-(Inputs!$H$6))*1000/Inputs!$C$12)</x:f>
        <x:v>-9.45004867322723</x:v>
      </x:c>
      <x:c r="K34" t="n">
        <x:f>Scenario_Data!I34-(((SQRT((Inputs!$C$52+(Inputs!$H$7))^2+Inputs!$C$52^2-2*(Inputs!$C$52+(Inputs!$H$7))*Inputs!$C$52*COS(SQRT((Scenario_Data!U34)^2+Inputs!$C$6^2)/Inputs!$C$52)))-(Inputs!$H$7))*1000/Inputs!$C$12)</x:f>
        <x:v>-58829.98433378036</x:v>
      </x:c>
      <x:c r="L34" t="n">
        <x:f>Scenario_Data!J34-(((SQRT((Inputs!$C$52+(Inputs!$H$8))^2+Inputs!$C$52^2-2*(Inputs!$C$52+(Inputs!$H$8))*Inputs!$C$52*COS(SQRT((Scenario_Data!V34)^2+Inputs!$C$6^2)/Inputs!$C$52)))-(Inputs!$H$8))*1000/Inputs!$C$12)</x:f>
        <x:v>-131136.96927609117</x:v>
      </x:c>
      <x:c r="M34" t="n">
        <x:f>Scenario_Data!K34-(((SQRT((Inputs!$C$52+(Inputs!$H$9))^2+Inputs!$C$52^2-2*(Inputs!$C$52+(Inputs!$H$9))*Inputs!$C$52*COS(SQRT((Scenario_Data!W34)^2+Inputs!$C$6^2)/Inputs!$C$52)))-(Inputs!$H$9))*1000/Inputs!$C$12)</x:f>
        <x:v>-134793.89137103801</x:v>
      </x:c>
      <x:c r="O34" t="n">
        <x:f>Scenario_Data!T34</x:f>
        <x:v>-43.980000000000004</x:v>
      </x:c>
      <x:c r="P34" t="n">
        <x:f>2*(Scenario_Data!B34*1000)/Inputs!$C$21*1000000</x:f>
        <x:v>2682.85038711681</x:v>
      </x:c>
      <x:c r="Q34" t="n">
        <x:f>Scenario_Data!U34</x:f>
        <x:v>-293.2</x:v>
      </x:c>
      <x:c r="R34" t="n">
        <x:f>2*(Scenario_Data!C34*1000)/Inputs!$C$21*1000000</x:f>
        <x:v>1541.8031963966218</x:v>
      </x:c>
      <x:c r="S34" t="n">
        <x:f>Scenario_Data!V34</x:f>
        <x:v>-586.4</x:v>
      </x:c>
      <x:c r="T34" t="n">
        <x:f>2*(Scenario_Data!D34*1000)/Inputs!$C$21*1000000</x:f>
        <x:v>3692.447026135661</x:v>
      </x:c>
      <x:c r="U34" t="n">
        <x:f>Scenario_Data!W34</x:f>
        <x:v>-586.4</x:v>
      </x:c>
      <x:c r="V34" t="n">
        <x:f>2*(Scenario_Data!E34*1000)/Inputs!$C$21*1000000</x:f>
        <x:v>3661.5782709250147</x:v>
      </x:c>
      <x:c r="X34" t="n">
        <x:f>Scenario_Data!T34</x:f>
        <x:v>-43.980000000000004</x:v>
      </x:c>
      <x:c r="Y34" t="n">
        <x: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x:f>
        <x:v>2682.6790087524896</x:v>
      </x:c>
      <x:c r="Z34" t="n">
        <x:f>Scenario_Data!U34</x:f>
        <x:v>-293.2</x:v>
      </x:c>
      <x:c r="AA34" t="n">
        <x: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x:f>
        <x:v>1541.9632012793968</x:v>
      </x:c>
      <x:c r="AB34" t="n">
        <x:f>Scenario_Data!V34</x:f>
        <x:v>-586.4</x:v>
      </x:c>
      <x:c r="AC34" t="n">
        <x: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x:f>
        <x:v>3692.4898473144344</x:v>
      </x:c>
      <x:c r="AD34" t="n">
        <x:f>Scenario_Data!W34</x:f>
        <x:v>-586.4</x:v>
      </x:c>
      <x:c r="AE34" t="n">
        <x: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x:f>
        <x:v>3661.621092103788</x:v>
      </x:c>
      <x:c r="AG34" t="n">
        <x:f>Scenario_Data!T34</x:f>
        <x:v>-43.980000000000004</x:v>
      </x:c>
      <x:c r="AH34" t="n">
        <x:f>2*(SQRT((Inputs!$C$52+(Scenario_Data!B34))^2+Inputs!$C$52^2-2*(Inputs!$C$52+(Scenario_Data!B34))*Inputs!$C$52*COS(SQRT((Scenario_Data!T34)^2+Inputs!$C$6^2)/Inputs!$C$52))*1000)/Inputs!$C$21*1000000</x:f>
        <x:v>2709.41370305717</x:v>
      </x:c>
      <x:c r="AI34" t="n">
        <x:f>Scenario_Data!U34</x:f>
        <x:v>-293.2</x:v>
      </x:c>
      <x:c r="AJ34" t="n">
        <x:f>2*(SQRT((Inputs!$C$52+(Scenario_Data!C34))^2+Inputs!$C$52^2-2*(Inputs!$C$52+(Scenario_Data!C34))*Inputs!$C$52*COS(SQRT((Scenario_Data!U34)^2+Inputs!$C$6^2)/Inputs!$C$52))*1000)/Inputs!$C$21*1000000</x:f>
        <x:v>2605.4827634648645</x:v>
      </x:c>
      <x:c r="AK34" t="n">
        <x:f>Scenario_Data!V34</x:f>
        <x:v>-586.4</x:v>
      </x:c>
      <x:c r="AL34" t="n">
        <x:f>2*(SQRT((Inputs!$C$52+(Scenario_Data!D34))^2+Inputs!$C$52^2-2*(Inputs!$C$52+(Scenario_Data!D34))*Inputs!$C$52*COS(SQRT((Scenario_Data!V34)^2+Inputs!$C$6^2)/Inputs!$C$52))*1000)/Inputs!$C$21*1000000</x:f>
        <x:v>5844.601093061466</x:v>
      </x:c>
      <x:c r="AM34" t="n">
        <x:f>Scenario_Data!W34</x:f>
        <x:v>-586.4</x:v>
      </x:c>
      <x:c r="AN34" t="n">
        <x:f>2*(SQRT((Inputs!$C$52+(Scenario_Data!E34))^2+Inputs!$C$52^2-2*(Inputs!$C$52+(Scenario_Data!E34))*Inputs!$C$52*COS(SQRT((Scenario_Data!W34)^2+Inputs!$C$6^2)/Inputs!$C$52))*1000)/Inputs!$C$21*1000000</x:f>
        <x:v>5821.291346397364</x:v>
      </x:c>
      <x:c r="AP34" t="n">
        <x:f>Scenario_Data!T34</x:f>
        <x:v>-43.980000000000004</x:v>
      </x:c>
      <x:c r="AQ34" t="n">
        <x: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x:f>
        <x:v>2708.046309396769</x:v>
      </x:c>
      <x:c r="AR34" t="n">
        <x:f>Scenario_Data!U34</x:f>
        <x:v>-293.2</x:v>
      </x:c>
      <x:c r="AS34" t="n">
        <x: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x:f>
        <x:v>2605.1463027637274</x:v>
      </x:c>
      <x:c r="AT34" t="n">
        <x:f>Scenario_Data!V34</x:f>
        <x:v>-586.4</x:v>
      </x:c>
      <x:c r="AU34" t="n">
        <x: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x:f>
        <x:v>5844.072163861854</x:v>
      </x:c>
      <x:c r="AV34" t="n">
        <x:f>Scenario_Data!W34</x:f>
        <x:v>-586.4</x:v>
      </x:c>
      <x:c r="AW34" t="n">
        <x: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x:f>
        <x:v>5820.765933364904</x:v>
      </x:c>
    </x:row>
    <x:row r="35">
      <x:c r="A35" t="n">
        <x:f>Chart_Data!K35</x:f>
        <x:v>-43.5</x:v>
      </x:c>
      <x:c r="B35" t="n">
        <x:f>Chart_Data!N35-Chart_Data!L35</x:f>
        <x:v>-25.11690437512837</x:v>
      </x:c>
      <x:c r="D35" t="n">
        <x:f>Chart_Data!G35</x:f>
        <x:v>-43.5</x:v>
      </x:c>
      <x:c r="E35" t="n">
        <x:f>Chart_Data!H35</x:f>
        <x:v>210.8483953416035</x:v>
      </x:c>
      <x:c r="F35" t="n">
        <x:f>Chart_Data!I35</x:f>
        <x:v>210.8483953416035</x:v>
      </x:c>
      <x:c r="G35" t="n">
        <x:f>Chart_Data!J35</x:f>
        <x:v>22.55480739682735</x:v>
      </x:c>
      <x:c r="I35" t="n">
        <x:f>Scenario_Data!A35</x:f>
        <x:v>-0.725</x:v>
      </x:c>
      <x:c r="J35" t="n">
        <x:f>Scenario_Data!H35-(((SQRT((Inputs!$C$52+(Inputs!$H$6))^2+Inputs!$C$52^2-2*(Inputs!$C$52+(Inputs!$H$6))*Inputs!$C$52*COS(SQRT((Scenario_Data!T35)^2+Inputs!$C$6^2)/Inputs!$C$52)))-(Inputs!$H$6))*1000/Inputs!$C$12)</x:f>
        <x:v>-9.096655219469085</x:v>
      </x:c>
      <x:c r="K35" t="n">
        <x:f>Scenario_Data!I35-(((SQRT((Inputs!$C$52+(Inputs!$H$7))^2+Inputs!$C$52^2-2*(Inputs!$C$52+(Inputs!$H$7))*Inputs!$C$52*COS(SQRT((Scenario_Data!U35)^2+Inputs!$C$6^2)/Inputs!$C$52)))-(Inputs!$H$7))*1000/Inputs!$C$12)</x:f>
        <x:v>-57769.785871170316</x:v>
      </x:c>
      <x:c r="L35" t="n">
        <x:f>Scenario_Data!J35-(((SQRT((Inputs!$C$52+(Inputs!$H$8))^2+Inputs!$C$52^2-2*(Inputs!$C$52+(Inputs!$H$8))*Inputs!$C$52*COS(SQRT((Scenario_Data!V35)^2+Inputs!$C$6^2)/Inputs!$C$52)))-(Inputs!$H$8))*1000/Inputs!$C$12)</x:f>
        <x:v>-129207.10406628711</x:v>
      </x:c>
      <x:c r="M35" t="n">
        <x:f>Scenario_Data!K35-(((SQRT((Inputs!$C$52+(Inputs!$H$9))^2+Inputs!$C$52^2-2*(Inputs!$C$52+(Inputs!$H$9))*Inputs!$C$52*COS(SQRT((Scenario_Data!W35)^2+Inputs!$C$6^2)/Inputs!$C$52)))-(Inputs!$H$9))*1000/Inputs!$C$12)</x:f>
        <x:v>-132847.0183380536</x:v>
      </x:c>
      <x:c r="O35" t="n">
        <x:f>Scenario_Data!T35</x:f>
        <x:v>-43.5</x:v>
      </x:c>
      <x:c r="P35" t="n">
        <x:f>2*(Scenario_Data!B35*1000)/Inputs!$C$21*1000000</x:f>
        <x:v>2682.539131788299</x:v>
      </x:c>
      <x:c r="Q35" t="n">
        <x:f>Scenario_Data!U35</x:f>
        <x:v>-290</x:v>
      </x:c>
      <x:c r="R35" t="n">
        <x:f>2*(Scenario_Data!C35*1000)/Inputs!$C$21*1000000</x:f>
        <x:v>1513.401147669966</x:v>
      </x:c>
      <x:c r="S35" t="n">
        <x:f>Scenario_Data!V35</x:f>
        <x:v>-580</x:v>
      </x:c>
      <x:c r="T35" t="n">
        <x:f>2*(Scenario_Data!D35*1000)/Inputs!$C$21*1000000</x:f>
        <x:v>3617.3566781323107</x:v>
      </x:c>
      <x:c r="U35" t="n">
        <x:f>Scenario_Data!W35</x:f>
        <x:v>-580</x:v>
      </x:c>
      <x:c r="V35" t="n">
        <x:f>2*(Scenario_Data!E35*1000)/Inputs!$C$21*1000000</x:f>
        <x:v>3585.709784600385</x:v>
      </x:c>
      <x:c r="X35" t="n">
        <x:f>Scenario_Data!T35</x:f>
        <x:v>-43.5</x:v>
      </x:c>
      <x:c r="Y35" t="n">
        <x: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x:f>
        <x:v>2682.3886623098647</x:v>
      </x:c>
      <x:c r="Z35" t="n">
        <x:f>Scenario_Data!U35</x:f>
        <x:v>-290</x:v>
      </x:c>
      <x:c r="AA35" t="n">
        <x: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x:f>
        <x:v>1513.653103462361</x:v>
      </x:c>
      <x:c r="AB35" t="n">
        <x:f>Scenario_Data!V35</x:f>
        <x:v>-580</x:v>
      </x:c>
      <x:c r="AC35" t="n">
        <x: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x:f>
        <x:v>3617.6794807622778</x:v>
      </x:c>
      <x:c r="AD35" t="n">
        <x:f>Scenario_Data!W35</x:f>
        <x:v>-580</x:v>
      </x:c>
      <x:c r="AE35" t="n">
        <x: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x:f>
        <x:v>3586.032587230352</x:v>
      </x:c>
      <x:c r="AG35" t="n">
        <x:f>Scenario_Data!T35</x:f>
        <x:v>-43.5</x:v>
      </x:c>
      <x:c r="AH35" t="n">
        <x:f>2*(SQRT((Inputs!$C$52+(Scenario_Data!B35))^2+Inputs!$C$52^2-2*(Inputs!$C$52+(Scenario_Data!B35))*Inputs!$C$52*COS(SQRT((Scenario_Data!T35)^2+Inputs!$C$6^2)/Inputs!$C$52))*1000)/Inputs!$C$21*1000000</x:f>
        <x:v>2708.6711371730257</x:v>
      </x:c>
      <x:c r="AI35" t="n">
        <x:f>Scenario_Data!U35</x:f>
        <x:v>-290</x:v>
      </x:c>
      <x:c r="AJ35" t="n">
        <x:f>2*(SQRT((Inputs!$C$52+(Scenario_Data!C35))^2+Inputs!$C$52^2-2*(Inputs!$C$52+(Scenario_Data!C35))*Inputs!$C$52*COS(SQRT((Scenario_Data!U35)^2+Inputs!$C$6^2)/Inputs!$C$52))*1000)/Inputs!$C$21*1000000</x:f>
        <x:v>2568.4063111009086</x:v>
      </x:c>
      <x:c r="AK35" t="n">
        <x:f>Scenario_Data!V35</x:f>
        <x:v>-580</x:v>
      </x:c>
      <x:c r="AL35" t="n">
        <x:f>2*(SQRT((Inputs!$C$52+(Scenario_Data!D35))^2+Inputs!$C$52^2-2*(Inputs!$C$52+(Scenario_Data!D35))*Inputs!$C$52*COS(SQRT((Scenario_Data!V35)^2+Inputs!$C$6^2)/Inputs!$C$52))*1000)/Inputs!$C$21*1000000</x:f>
        <x:v>5750.1221522344285</x:v>
      </x:c>
      <x:c r="AM35" t="n">
        <x:f>Scenario_Data!W35</x:f>
        <x:v>-580</x:v>
      </x:c>
      <x:c r="AN35" t="n">
        <x:f>2*(SQRT((Inputs!$C$52+(Scenario_Data!E35))^2+Inputs!$C$52^2-2*(Inputs!$C$52+(Scenario_Data!E35))*Inputs!$C$52*COS(SQRT((Scenario_Data!W35)^2+Inputs!$C$6^2)/Inputs!$C$52))*1000)/Inputs!$C$21*1000000</x:f>
        <x:v>5726.332575075653</x:v>
      </x:c>
      <x:c r="AP35" t="n">
        <x:f>Scenario_Data!T35</x:f>
        <x:v>-43.5</x:v>
      </x:c>
      <x:c r="AQ35" t="n">
        <x: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x:f>
        <x:v>2707.2816005599116</x:v>
      </x:c>
      <x:c r="AR35" t="n">
        <x:f>Scenario_Data!U35</x:f>
        <x:v>-290</x:v>
      </x:c>
      <x:c r="AS35" t="n">
        <x: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x:f>
        <x:v>2568.019958311417</x:v>
      </x:c>
      <x:c r="AT35" t="n">
        <x:f>Scenario_Data!V35</x:f>
        <x:v>-580</x:v>
      </x:c>
      <x:c r="AU35" t="n">
        <x: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x:f>
        <x:v>5749.953698963689</x:v>
      </x:c>
      <x:c r="AV35" t="n">
        <x:f>Scenario_Data!W35</x:f>
        <x:v>-580</x:v>
      </x:c>
      <x:c r="AW35" t="n">
        <x: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x:f>
        <x:v>5726.165298383326</x:v>
      </x:c>
    </x:row>
    <x:row r="36">
      <x:c r="A36" t="n">
        <x:f>Chart_Data!K36</x:f>
        <x:v>-43</x:v>
      </x:c>
      <x:c r="B36" t="n">
        <x:f>Chart_Data!N36-Chart_Data!L36</x:f>
        <x:v>-5.851868406506469</x:v>
      </x:c>
      <x:c r="D36" t="n">
        <x:f>Chart_Data!G36</x:f>
        <x:v>-43</x:v>
      </x:c>
      <x:c r="E36" t="n">
        <x:f>Chart_Data!H36</x:f>
        <x:v>180.5581841932563</x:v>
      </x:c>
      <x:c r="F36" t="n">
        <x:f>Chart_Data!I36</x:f>
        <x:v>180.5581841932563</x:v>
      </x:c>
      <x:c r="G36" t="n">
        <x:f>Chart_Data!J36</x:f>
        <x:v>3.69479063881065</x:v>
      </x:c>
      <x:c r="I36" t="n">
        <x:f>Scenario_Data!A36</x:f>
        <x:v>-0.717</x:v>
      </x:c>
      <x:c r="J36" t="n">
        <x:f>Scenario_Data!H36-(((SQRT((Inputs!$C$52+(Inputs!$H$6))^2+Inputs!$C$52^2-2*(Inputs!$C$52+(Inputs!$H$6))*Inputs!$C$52*COS(SQRT((Scenario_Data!T36)^2+Inputs!$C$6^2)/Inputs!$C$52)))-(Inputs!$H$6))*1000/Inputs!$C$12)</x:f>
        <x:v>-8.753503156986426</x:v>
      </x:c>
      <x:c r="K36" t="n">
        <x:f>Scenario_Data!I36-(((SQRT((Inputs!$C$52+(Inputs!$H$7))^2+Inputs!$C$52^2-2*(Inputs!$C$52+(Inputs!$H$7))*Inputs!$C$52*COS(SQRT((Scenario_Data!U36)^2+Inputs!$C$6^2)/Inputs!$C$52)))-(Inputs!$H$7))*1000/Inputs!$C$12)</x:f>
        <x:v>-56713.23103390145</x:v>
      </x:c>
      <x:c r="L36" t="n">
        <x:f>Scenario_Data!J36-(((SQRT((Inputs!$C$52+(Inputs!$H$8))^2+Inputs!$C$52^2-2*(Inputs!$C$52+(Inputs!$H$8))*Inputs!$C$52*COS(SQRT((Scenario_Data!V36)^2+Inputs!$C$6^2)/Inputs!$C$52)))-(Inputs!$H$8))*1000/Inputs!$C$12)</x:f>
        <x:v>-127273.6728305979</x:v>
      </x:c>
      <x:c r="M36" t="n">
        <x:f>Scenario_Data!K36-(((SQRT((Inputs!$C$52+(Inputs!$H$9))^2+Inputs!$C$52^2-2*(Inputs!$C$52+(Inputs!$H$9))*Inputs!$C$52*COS(SQRT((Scenario_Data!W36)^2+Inputs!$C$6^2)/Inputs!$C$52)))-(Inputs!$H$9))*1000/Inputs!$C$12)</x:f>
        <x:v>-130896.10580357295</x:v>
      </x:c>
      <x:c r="O36" t="n">
        <x:f>Scenario_Data!T36</x:f>
        <x:v>-43.019999999999996</x:v>
      </x:c>
      <x:c r="P36" t="n">
        <x:f>2*(Scenario_Data!B36*1000)/Inputs!$C$21*1000000</x:f>
        <x:v>2682.231292156122</x:v>
      </x:c>
      <x:c r="Q36" t="n">
        <x:f>Scenario_Data!U36</x:f>
        <x:v>-286.79999999999995</x:v>
      </x:c>
      <x:c r="R36" t="n">
        <x:f>2*(Scenario_Data!C36*1000)/Inputs!$C$21*1000000</x:f>
        <x:v>1485.3107812338621</x:v>
      </x:c>
      <x:c r="S36" t="n">
        <x:f>Scenario_Data!V36</x:f>
        <x:v>-573.5999999999999</x:v>
      </x:c>
      <x:c r="T36" t="n">
        <x:f>2*(Scenario_Data!D36*1000)/Inputs!$C$21*1000000</x:f>
        <x:v>3543.0903668697347</x:v>
      </x:c>
      <x:c r="U36" t="n">
        <x:f>Scenario_Data!W36</x:f>
        <x:v>-573.5999999999999</x:v>
      </x:c>
      <x:c r="V36" t="n">
        <x:f>2*(Scenario_Data!E36*1000)/Inputs!$C$21*1000000</x:f>
        <x:v>3510.67387425737</x:v>
      </x:c>
      <x:c r="X36" t="n">
        <x:f>Scenario_Data!T36</x:f>
        <x:v>-43.019999999999996</x:v>
      </x:c>
      <x:c r="Y36" t="n">
        <x: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x:f>
        <x:v>2682.203202076833</x:v>
      </x:c>
      <x:c r="Z36" t="n">
        <x:f>Scenario_Data!U36</x:f>
        <x:v>-286.79999999999995</x:v>
      </x:c>
      <x:c r="AA36" t="n">
        <x: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x:f>
        <x:v>1485.0967429511395</x:v>
      </x:c>
      <x:c r="AB36" t="n">
        <x:f>Scenario_Data!V36</x:f>
        <x:v>-573.5999999999999</x:v>
      </x:c>
      <x:c r="AC36" t="n">
        <x: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x:f>
        <x:v>3542.9615560105917</x:v>
      </x:c>
      <x:c r="AD36" t="n">
        <x:f>Scenario_Data!W36</x:f>
        <x:v>-573.5999999999999</x:v>
      </x:c>
      <x:c r="AE36" t="n">
        <x: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x:f>
        <x:v>3510.545063398227</x:v>
      </x:c>
      <x:c r="AG36" t="n">
        <x:f>Scenario_Data!T36</x:f>
        <x:v>-43.019999999999996</x:v>
      </x:c>
      <x:c r="AH36" t="n">
        <x:f>2*(SQRT((Inputs!$C$52+(Scenario_Data!B36))^2+Inputs!$C$52^2-2*(Inputs!$C$52+(Scenario_Data!B36))*Inputs!$C$52*COS(SQRT((Scenario_Data!T36)^2+Inputs!$C$6^2)/Inputs!$C$52))*1000)/Inputs!$C$21*1000000</x:f>
        <x:v>2707.9365741255974</x:v>
      </x:c>
      <x:c r="AI36" t="n">
        <x:f>Scenario_Data!U36</x:f>
        <x:v>-286.79999999999995</x:v>
      </x:c>
      <x:c r="AJ36" t="n">
        <x:f>2*(SQRT((Inputs!$C$52+(Scenario_Data!C36))^2+Inputs!$C$52^2-2*(Inputs!$C$52+(Scenario_Data!C36))*Inputs!$C$52*COS(SQRT((Scenario_Data!U36)^2+Inputs!$C$6^2)/Inputs!$C$52))*1000)/Inputs!$C$21*1000000</x:f>
        <x:v>2531.601221281773</x:v>
      </x:c>
      <x:c r="AK36" t="n">
        <x:f>Scenario_Data!V36</x:f>
        <x:v>-573.5999999999999</x:v>
      </x:c>
      <x:c r="AL36" t="n">
        <x:f>2*(SQRT((Inputs!$C$52+(Scenario_Data!D36))^2+Inputs!$C$52^2-2*(Inputs!$C$52+(Scenario_Data!D36))*Inputs!$C$52*COS(SQRT((Scenario_Data!V36)^2+Inputs!$C$6^2)/Inputs!$C$52))*1000)/Inputs!$C$21*1000000</x:f>
        <x:v>5656.495804293952</x:v>
      </x:c>
      <x:c r="AM36" t="n">
        <x:f>Scenario_Data!W36</x:f>
        <x:v>-573.5999999999999</x:v>
      </x:c>
      <x:c r="AN36" t="n">
        <x:f>2*(SQRT((Inputs!$C$52+(Scenario_Data!E36))^2+Inputs!$C$52^2-2*(Inputs!$C$52+(Scenario_Data!E36))*Inputs!$C$52*COS(SQRT((Scenario_Data!W36)^2+Inputs!$C$6^2)/Inputs!$C$52))*1000)/Inputs!$C$21*1000000</x:f>
        <x:v>5632.239789639228</x:v>
      </x:c>
      <x:c r="AP36" t="n">
        <x:f>Scenario_Data!T36</x:f>
        <x:v>-43.019999999999996</x:v>
      </x:c>
      <x:c r="AQ36" t="n">
        <x: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x:f>
        <x:v>2706.6595368359267</x:v>
      </x:c>
      <x:c r="AR36" t="n">
        <x:f>Scenario_Data!U36</x:f>
        <x:v>-286.79999999999995</x:v>
      </x:c>
      <x:c r="AS36" t="n">
        <x: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x:f>
        <x:v>2531.067100407615</x:v>
      </x:c>
      <x:c r="AT36" t="n">
        <x:f>Scenario_Data!V36</x:f>
        <x:v>-573.5999999999999</x:v>
      </x:c>
      <x:c r="AU36" t="n">
        <x: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x:f>
        <x:v>5655.904045000844</x:v>
      </x:c>
      <x:c r="AV36" t="n">
        <x:f>Scenario_Data!W36</x:f>
        <x:v>-573.5999999999999</x:v>
      </x:c>
      <x:c r="AW36" t="n">
        <x: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x:f>
        <x:v>5631.65237257585</x:v>
      </x:c>
    </x:row>
    <x:row r="37">
      <x:c r="A37" t="n">
        <x:f>Chart_Data!K37</x:f>
        <x:v>-42.5</x:v>
      </x:c>
      <x:c r="B37" t="n">
        <x:f>Chart_Data!N37-Chart_Data!L37</x:f>
        <x:v>-11.611992984345875</x:v>
      </x:c>
      <x:c r="D37" t="n">
        <x:f>Chart_Data!G37</x:f>
        <x:v>-42.5</x:v>
      </x:c>
      <x:c r="E37" t="n">
        <x:f>Chart_Data!H37</x:f>
        <x:v>181.7291755177202</x:v>
      </x:c>
      <x:c r="F37" t="n">
        <x:f>Chart_Data!I37</x:f>
        <x:v>181.7291755177202</x:v>
      </x:c>
      <x:c r="G37" t="n">
        <x:f>Chart_Data!J37</x:f>
        <x:v>9.477549494288523</x:v>
      </x:c>
      <x:c r="I37" t="n">
        <x:f>Scenario_Data!A37</x:f>
        <x:v>-0.708</x:v>
      </x:c>
      <x:c r="J37" t="n">
        <x:f>Scenario_Data!H37-(((SQRT((Inputs!$C$52+(Inputs!$H$6))^2+Inputs!$C$52^2-2*(Inputs!$C$52+(Inputs!$H$6))*Inputs!$C$52*COS(SQRT((Scenario_Data!T37)^2+Inputs!$C$6^2)/Inputs!$C$52)))-(Inputs!$H$6))*1000/Inputs!$C$12)</x:f>
        <x:v>-8.379445258978194</x:v>
      </x:c>
      <x:c r="K37" t="n">
        <x:f>Scenario_Data!I37-(((SQRT((Inputs!$C$52+(Inputs!$H$7))^2+Inputs!$C$52^2-2*(Inputs!$C$52+(Inputs!$H$7))*Inputs!$C$52*COS(SQRT((Scenario_Data!U37)^2+Inputs!$C$6^2)/Inputs!$C$52)))-(Inputs!$H$7))*1000/Inputs!$C$12)</x:f>
        <x:v>-55529.124801208105</x:v>
      </x:c>
      <x:c r="L37" t="n">
        <x:f>Scenario_Data!J37-(((SQRT((Inputs!$C$52+(Inputs!$H$8))^2+Inputs!$C$52^2-2*(Inputs!$C$52+(Inputs!$H$8))*Inputs!$C$52*COS(SQRT((Scenario_Data!V37)^2+Inputs!$C$6^2)/Inputs!$C$52)))-(Inputs!$H$8))*1000/Inputs!$C$12)</x:f>
        <x:v>-125094.61059367191</x:v>
      </x:c>
      <x:c r="M37" t="n">
        <x:f>Scenario_Data!K37-(((SQRT((Inputs!$C$52+(Inputs!$H$9))^2+Inputs!$C$52^2-2*(Inputs!$C$52+(Inputs!$H$9))*Inputs!$C$52*COS(SQRT((Scenario_Data!W37)^2+Inputs!$C$6^2)/Inputs!$C$52)))-(Inputs!$H$9))*1000/Inputs!$C$12)</x:f>
        <x:v>-128696.80249462565</x:v>
      </x:c>
      <x:c r="O37" t="n">
        <x:f>Scenario_Data!T37</x:f>
        <x:v>-42.48</x:v>
      </x:c>
      <x:c r="P37" t="n">
        <x:f>2*(Scenario_Data!B37*1000)/Inputs!$C$21*1000000</x:f>
        <x:v>2681.8890553944493</x:v>
      </x:c>
      <x:c r="Q37" t="n">
        <x:f>Scenario_Data!U37</x:f>
        <x:v>-283.2</x:v>
      </x:c>
      <x:c r="R37" t="n">
        <x:f>2*(Scenario_Data!C37*1000)/Inputs!$C$21*1000000</x:f>
        <x:v>1454.0816767311737</x:v>
      </x:c>
      <x:c r="S37" t="n">
        <x:f>Scenario_Data!V37</x:f>
        <x:v>-566.4</x:v>
      </x:c>
      <x:c r="T37" t="n">
        <x:f>2*(Scenario_Data!D37*1000)/Inputs!$C$21*1000000</x:f>
        <x:v>3460.525748116051</x:v>
      </x:c>
      <x:c r="U37" t="n">
        <x:f>Scenario_Data!W37</x:f>
        <x:v>-566.4</x:v>
      </x:c>
      <x:c r="V37" t="n">
        <x:f>2*(Scenario_Data!E37*1000)/Inputs!$C$21*1000000</x:f>
        <x:v>3427.2536635995016</x:v>
      </x:c>
      <x:c r="X37" t="n">
        <x:f>Scenario_Data!T37</x:f>
        <x:v>-42.48</x:v>
      </x:c>
      <x:c r="Y37" t="n">
        <x: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x:f>
        <x:v>2681.7900212837867</x:v>
      </x:c>
      <x:c r="Z37" t="n">
        <x:f>Scenario_Data!U37</x:f>
        <x:v>-283.2</x:v>
      </x:c>
      <x:c r="AA37" t="n">
        <x: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x:f>
        <x:v>1453.6204263071954</x:v>
      </x:c>
      <x:c r="AB37" t="n">
        <x:f>Scenario_Data!V37</x:f>
        <x:v>-566.4</x:v>
      </x:c>
      <x:c r="AC37" t="n">
        <x: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x:f>
        <x:v>3460.5582527761903</x:v>
      </x:c>
      <x:c r="AD37" t="n">
        <x:f>Scenario_Data!W37</x:f>
        <x:v>-566.4</x:v>
      </x:c>
      <x:c r="AE37" t="n">
        <x: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x:f>
        <x:v>3427.2861682596404</x:v>
      </x:c>
      <x:c r="AG37" t="n">
        <x:f>Scenario_Data!T37</x:f>
        <x:v>-42.48</x:v>
      </x:c>
      <x:c r="AH37" t="n">
        <x:f>2*(SQRT((Inputs!$C$52+(Scenario_Data!B37))^2+Inputs!$C$52^2-2*(Inputs!$C$52+(Scenario_Data!B37))*Inputs!$C$52*COS(SQRT((Scenario_Data!T37)^2+Inputs!$C$6^2)/Inputs!$C$52))*1000)/Inputs!$C$21*1000000</x:f>
        <x:v>2707.119762460756</x:v>
      </x:c>
      <x:c r="AI37" t="n">
        <x:f>Scenario_Data!U37</x:f>
        <x:v>-283.2</x:v>
      </x:c>
      <x:c r="AJ37" t="n">
        <x:f>2*(SQRT((Inputs!$C$52+(Scenario_Data!C37))^2+Inputs!$C$52^2-2*(Inputs!$C$52+(Scenario_Data!C37))*Inputs!$C$52*COS(SQRT((Scenario_Data!U37)^2+Inputs!$C$6^2)/Inputs!$C$52))*1000)/Inputs!$C$21*1000000</x:f>
        <x:v>2490.518160948682</x:v>
      </x:c>
      <x:c r="AK37" t="n">
        <x:f>Scenario_Data!V37</x:f>
        <x:v>-566.4</x:v>
      </x:c>
      <x:c r="AL37" t="n">
        <x:f>2*(SQRT((Inputs!$C$52+(Scenario_Data!D37))^2+Inputs!$C$52^2-2*(Inputs!$C$52+(Scenario_Data!D37))*Inputs!$C$52*COS(SQRT((Scenario_Data!V37)^2+Inputs!$C$6^2)/Inputs!$C$52))*1000)/Inputs!$C$21*1000000</x:f>
        <x:v>5552.181921221136</x:v>
      </x:c>
      <x:c r="AM37" t="n">
        <x:f>Scenario_Data!W37</x:f>
        <x:v>-566.4</x:v>
      </x:c>
      <x:c r="AN37" t="n">
        <x:f>2*(SQRT((Inputs!$C$52+(Scenario_Data!E37))^2+Inputs!$C$52^2-2*(Inputs!$C$52+(Scenario_Data!E37))*Inputs!$C$52*COS(SQRT((Scenario_Data!W37)^2+Inputs!$C$6^2)/Inputs!$C$52))*1000)/Inputs!$C$21*1000000</x:f>
        <x:v>5527.417241051008</x:v>
      </x:c>
      <x:c r="AP37" t="n">
        <x:f>Scenario_Data!T37</x:f>
        <x:v>-42.48</x:v>
      </x:c>
      <x:c r="AQ37" t="n">
        <x: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x:f>
        <x:v>2705.8693463886</x:v>
      </x:c>
      <x:c r="AR37" t="n">
        <x:f>Scenario_Data!U37</x:f>
        <x:v>-283.2</x:v>
      </x:c>
      <x:c r="AS37" t="n">
        <x: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x:f>
        <x:v>2489.887481598469</x:v>
      </x:c>
      <x:c r="AT37" t="n">
        <x:f>Scenario_Data!V37</x:f>
        <x:v>-566.4</x:v>
      </x:c>
      <x:c r="AU37" t="n">
        <x: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x:f>
        <x:v>5551.850758749343</x:v>
      </x:c>
      <x:c r="AV37" t="n">
        <x:f>Scenario_Data!W37</x:f>
        <x:v>-566.4</x:v>
      </x:c>
      <x:c r="AW37" t="n">
        <x: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x:f>
        <x:v>5527.088644171126</x:v>
      </x:c>
    </x:row>
    <x:row r="38">
      <x:c r="A38" t="n">
        <x:f>Chart_Data!K38</x:f>
        <x:v>-42</x:v>
      </x:c>
      <x:c r="B38" t="n">
        <x:f>Chart_Data!N38-Chart_Data!L38</x:f>
        <x:v>6.72131524330652</x:v>
      </x:c>
      <x:c r="D38" t="n">
        <x:f>Chart_Data!G38</x:f>
        <x:v>-42</x:v>
      </x:c>
      <x:c r="E38" t="n">
        <x:f>Chart_Data!H38</x:f>
        <x:v>170.62817299697477</x:v>
      </x:c>
      <x:c r="F38" t="n">
        <x:f>Chart_Data!I38</x:f>
        <x:v>170.62817299697477</x:v>
      </x:c>
      <x:c r="G38" t="n">
        <x:f>Chart_Data!J38</x:f>
        <x:v>-8.691303525994272</x:v>
      </x:c>
      <x:c r="I38" t="n">
        <x:f>Scenario_Data!A38</x:f>
        <x:v>-0.7</x:v>
      </x:c>
      <x:c r="J38" t="n">
        <x:f>Scenario_Data!H38-(((SQRT((Inputs!$C$52+(Inputs!$H$6))^2+Inputs!$C$52^2-2*(Inputs!$C$52+(Inputs!$H$6))*Inputs!$C$52*COS(SQRT((Scenario_Data!T38)^2+Inputs!$C$6^2)/Inputs!$C$52)))-(Inputs!$H$6))*1000/Inputs!$C$12)</x:f>
        <x:v>-8.057382321536807</x:v>
      </x:c>
      <x:c r="K38" t="n">
        <x:f>Scenario_Data!I38-(((SQRT((Inputs!$C$52+(Inputs!$H$7))^2+Inputs!$C$52^2-2*(Inputs!$C$52+(Inputs!$H$7))*Inputs!$C$52*COS(SQRT((Scenario_Data!U38)^2+Inputs!$C$6^2)/Inputs!$C$52)))-(Inputs!$H$7))*1000/Inputs!$C$12)</x:f>
        <x:v>-54480.74919119819</x:v>
      </x:c>
      <x:c r="L38" t="n">
        <x:f>Scenario_Data!J38-(((SQRT((Inputs!$C$52+(Inputs!$H$8))^2+Inputs!$C$52^2-2*(Inputs!$C$52+(Inputs!$H$8))*Inputs!$C$52*COS(SQRT((Scenario_Data!V38)^2+Inputs!$C$6^2)/Inputs!$C$52)))-(Inputs!$H$8))*1000/Inputs!$C$12)</x:f>
        <x:v>-123154.43747008915</x:v>
      </x:c>
      <x:c r="M38" t="n">
        <x:f>Scenario_Data!K38-(((SQRT((Inputs!$C$52+(Inputs!$H$9))^2+Inputs!$C$52^2-2*(Inputs!$C$52+(Inputs!$H$9))*Inputs!$C$52*COS(SQRT((Scenario_Data!W38)^2+Inputs!$C$6^2)/Inputs!$C$52)))-(Inputs!$H$9))*1000/Inputs!$C$12)</x:f>
        <x:v>-126738.11882360443</x:v>
      </x:c>
      <x:c r="O38" t="n">
        <x:f>Scenario_Data!T38</x:f>
        <x:v>-42</x:v>
      </x:c>
      <x:c r="P38" t="n">
        <x:f>2*(Scenario_Data!B38*1000)/Inputs!$C$21*1000000</x:f>
        <x:v>2681.588474116984</x:v>
      </x:c>
      <x:c r="Q38" t="n">
        <x:f>Scenario_Data!U38</x:f>
        <x:v>-280</x:v>
      </x:c>
      <x:c r="R38" t="n">
        <x:f>2*(Scenario_Data!C38*1000)/Inputs!$C$21*1000000</x:f>
        <x:v>1426.6536351624961</x:v>
      </x:c>
      <x:c r="S38" t="n">
        <x:f>Scenario_Data!V38</x:f>
        <x:v>-560</x:v>
      </x:c>
      <x:c r="T38" t="n">
        <x:f>2*(Scenario_Data!D38*1000)/Inputs!$C$21*1000000</x:f>
        <x:v>3388.01051492763</x:v>
      </x:c>
      <x:c r="U38" t="n">
        <x:f>Scenario_Data!W38</x:f>
        <x:v>-560</x:v>
      </x:c>
      <x:c r="V38" t="n">
        <x:f>2*(Scenario_Data!E38*1000)/Inputs!$C$21*1000000</x:f>
        <x:v>3353.9869772174184</x:v>
      </x:c>
      <x:c r="X38" t="n">
        <x:f>Scenario_Data!T38</x:f>
        <x:v>-42</x:v>
      </x:c>
      <x:c r="Y38" t="n">
        <x: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x:f>
        <x:v>2681.646456252919</x:v>
      </x:c>
      <x:c r="Z38" t="n">
        <x:f>Scenario_Data!U38</x:f>
        <x:v>-280</x:v>
      </x:c>
      <x:c r="AA38" t="n">
        <x: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x:f>
        <x:v>1426.4451757847892</x:v>
      </x:c>
      <x:c r="AB38" t="n">
        <x:f>Scenario_Data!V38</x:f>
        <x:v>-560</x:v>
      </x:c>
      <x:c r="AC38" t="n">
        <x: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x:f>
        <x:v>3387.9425003472197</x:v>
      </x:c>
      <x:c r="AD38" t="n">
        <x:f>Scenario_Data!W38</x:f>
        <x:v>-560</x:v>
      </x:c>
      <x:c r="AE38" t="n">
        <x: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x:f>
        <x:v>3353.9189626370085</x:v>
      </x:c>
      <x:c r="AG38" t="n">
        <x:f>Scenario_Data!T38</x:f>
        <x:v>-42</x:v>
      </x:c>
      <x:c r="AH38" t="n">
        <x:f>2*(SQRT((Inputs!$C$52+(Scenario_Data!B38))^2+Inputs!$C$52^2-2*(Inputs!$C$52+(Scenario_Data!B38))*Inputs!$C$52*COS(SQRT((Scenario_Data!T38)^2+Inputs!$C$6^2)/Inputs!$C$52))*1000)/Inputs!$C$21*1000000</x:f>
        <x:v>2706.402221049479</x:v>
      </x:c>
      <x:c r="AI38" t="n">
        <x:f>Scenario_Data!U38</x:f>
        <x:v>-280</x:v>
      </x:c>
      <x:c r="AJ38" t="n">
        <x:f>2*(SQRT((Inputs!$C$52+(Scenario_Data!C38))^2+Inputs!$C$52^2-2*(Inputs!$C$52+(Scenario_Data!C38))*Inputs!$C$52*COS(SQRT((Scenario_Data!U38)^2+Inputs!$C$6^2)/Inputs!$C$52))*1000)/Inputs!$C$21*1000000</x:f>
        <x:v>2454.285166823356</x:v>
      </x:c>
      <x:c r="AK38" t="n">
        <x:f>Scenario_Data!V38</x:f>
        <x:v>-560</x:v>
      </x:c>
      <x:c r="AL38" t="n">
        <x:f>2*(SQRT((Inputs!$C$52+(Scenario_Data!D38))^2+Inputs!$C$52^2-2*(Inputs!$C$52+(Scenario_Data!D38))*Inputs!$C$52*COS(SQRT((Scenario_Data!V38)^2+Inputs!$C$6^2)/Inputs!$C$52))*1000)/Inputs!$C$21*1000000</x:f>
        <x:v>5460.3582902555545</x:v>
      </x:c>
      <x:c r="AM38" t="n">
        <x:f>Scenario_Data!W38</x:f>
        <x:v>-560</x:v>
      </x:c>
      <x:c r="AN38" t="n">
        <x:f>2*(SQRT((Inputs!$C$52+(Scenario_Data!E38))^2+Inputs!$C$52^2-2*(Inputs!$C$52+(Scenario_Data!E38))*Inputs!$C$52*COS(SQRT((Scenario_Data!W38)^2+Inputs!$C$6^2)/Inputs!$C$52))*1000)/Inputs!$C$21*1000000</x:f>
        <x:v>5435.1558124688245</x:v>
      </x:c>
      <x:c r="AP38" t="n">
        <x:f>Scenario_Data!T38</x:f>
        <x:v>-42</x:v>
      </x:c>
      <x:c r="AQ38" t="n">
        <x: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x:f>
        <x:v>2705.27705475384</x:v>
      </x:c>
      <x:c r="AR38" t="n">
        <x:f>Scenario_Data!U38</x:f>
        <x:v>-280</x:v>
      </x:c>
      <x:c r="AS38" t="n">
        <x: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x:f>
        <x:v>2453.7296576050267</x:v>
      </x:c>
      <x:c r="AT38" t="n">
        <x:f>Scenario_Data!V38</x:f>
        <x:v>-560</x:v>
      </x:c>
      <x:c r="AU38" t="n">
        <x: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x:f>
        <x:v>5459.997895455708</x:v>
      </x:c>
      <x:c r="AV38" t="n">
        <x:f>Scenario_Data!W38</x:f>
        <x:v>-560</x:v>
      </x:c>
      <x:c r="AW38" t="n">
        <x: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x:f>
        <x:v>5434.79834663666</x:v>
      </x:c>
    </x:row>
    <x:row r="39">
      <x:c r="A39" t="n">
        <x:f>Chart_Data!K39</x:f>
        <x:v>-41.5</x:v>
      </x:c>
      <x:c r="B39" t="n">
        <x:f>Chart_Data!N39-Chart_Data!L39</x:f>
        <x:v>13.84761035039432</x:v>
      </x:c>
      <x:c r="D39" t="n">
        <x:f>Chart_Data!G39</x:f>
        <x:v>-41.5</x:v>
      </x:c>
      <x:c r="E39" t="n">
        <x:f>Chart_Data!H39</x:f>
        <x:v>171.38557913735212</x:v>
      </x:c>
      <x:c r="F39" t="n">
        <x:f>Chart_Data!I39</x:f>
        <x:v>171.38557913735212</x:v>
      </x:c>
      <x:c r="G39" t="n">
        <x:f>Chart_Data!J39</x:f>
        <x:v>-15.792555414769886</x:v>
      </x:c>
      <x:c r="I39" t="n">
        <x:f>Scenario_Data!A39</x:f>
        <x:v>-0.692</x:v>
      </x:c>
      <x:c r="J39" t="n">
        <x:f>Scenario_Data!H39-(((SQRT((Inputs!$C$52+(Inputs!$H$6))^2+Inputs!$C$52^2-2*(Inputs!$C$52+(Inputs!$H$6))*Inputs!$C$52*COS(SQRT((Scenario_Data!T39)^2+Inputs!$C$6^2)/Inputs!$C$52)))-(Inputs!$H$6))*1000/Inputs!$C$12)</x:f>
        <x:v>-7.744930637363723</x:v>
      </x:c>
      <x:c r="K39" t="n">
        <x:f>Scenario_Data!I39-(((SQRT((Inputs!$C$52+(Inputs!$H$7))^2+Inputs!$C$52^2-2*(Inputs!$C$52+(Inputs!$H$7))*Inputs!$C$52*COS(SQRT((Scenario_Data!U39)^2+Inputs!$C$6^2)/Inputs!$C$52)))-(Inputs!$H$7))*1000/Inputs!$C$12)</x:f>
        <x:v>-53436.43314820457</x:v>
      </x:c>
      <x:c r="L39" t="n">
        <x:f>Scenario_Data!J39-(((SQRT((Inputs!$C$52+(Inputs!$H$8))^2+Inputs!$C$52^2-2*(Inputs!$C$52+(Inputs!$H$8))*Inputs!$C$52*COS(SQRT((Scenario_Data!V39)^2+Inputs!$C$6^2)/Inputs!$C$52)))-(Inputs!$H$8))*1000/Inputs!$C$12)</x:f>
        <x:v>-121211.50058427514</x:v>
      </x:c>
      <x:c r="M39" t="n">
        <x:f>Scenario_Data!K39-(((SQRT((Inputs!$C$52+(Inputs!$H$9))^2+Inputs!$C$52^2-2*(Inputs!$C$52+(Inputs!$H$9))*Inputs!$C$52*COS(SQRT((Scenario_Data!W39)^2+Inputs!$C$6^2)/Inputs!$C$52)))-(Inputs!$H$9))*1000/Inputs!$C$12)</x:f>
        <x:v>-124776.17612891932</x:v>
      </x:c>
      <x:c r="O39" t="n">
        <x:f>Scenario_Data!T39</x:f>
        <x:v>-41.519999999999996</x:v>
      </x:c>
      <x:c r="P39" t="n">
        <x:f>2*(Scenario_Data!B39*1000)/Inputs!$C$21*1000000</x:f>
        <x:v>2681.2913085358537</x:v>
      </x:c>
      <x:c r="Q39" t="n">
        <x:f>Scenario_Data!U39</x:f>
        <x:v>-276.79999999999995</x:v>
      </x:c>
      <x:c r="R39" t="n">
        <x:f>2*(Scenario_Data!C39*1000)/Inputs!$C$21*1000000</x:f>
        <x:v>1399.5372758843714</x:v>
      </x:c>
      <x:c r="S39" t="n">
        <x:f>Scenario_Data!V39</x:f>
        <x:v>-553.5999999999999</x:v>
      </x:c>
      <x:c r="T39" t="n">
        <x:f>2*(Scenario_Data!D39*1000)/Inputs!$C$21*1000000</x:f>
        <x:v>3316.319318479985</x:v>
      </x:c>
      <x:c r="U39" t="n">
        <x:f>Scenario_Data!W39</x:f>
        <x:v>-553.5999999999999</x:v>
      </x:c>
      <x:c r="V39" t="n">
        <x:f>2*(Scenario_Data!E39*1000)/Inputs!$C$21*1000000</x:f>
        <x:v>3281.552866816948</x:v>
      </x:c>
      <x:c r="X39" t="n">
        <x:f>Scenario_Data!T39</x:f>
        <x:v>-41.519999999999996</x:v>
      </x:c>
      <x:c r="Y39" t="n">
        <x: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x:f>
        <x:v>2681.401843892318</x:v>
      </x:c>
      <x:c r="Z39" t="n">
        <x:f>Scenario_Data!U39</x:f>
        <x:v>-276.79999999999995</x:v>
      </x:c>
      <x:c r="AA39" t="n">
        <x: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x:f>
        <x:v>1399.6223178847788</x:v>
      </x:c>
      <x:c r="AB39" t="n">
        <x:f>Scenario_Data!V39</x:f>
        <x:v>-553.5999999999999</x:v>
      </x:c>
      <x:c r="AC39" t="n">
        <x: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x:f>
        <x:v>3315.7545835019173</x:v>
      </x:c>
      <x:c r="AD39" t="n">
        <x:f>Scenario_Data!W39</x:f>
        <x:v>-553.5999999999999</x:v>
      </x:c>
      <x:c r="AE39" t="n">
        <x: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x:f>
        <x:v>3280.9881318388802</x:v>
      </x:c>
      <x:c r="AG39" t="n">
        <x:f>Scenario_Data!T39</x:f>
        <x:v>-41.519999999999996</x:v>
      </x:c>
      <x:c r="AH39" t="n">
        <x:f>2*(SQRT((Inputs!$C$52+(Scenario_Data!B39))^2+Inputs!$C$52^2-2*(Inputs!$C$52+(Scenario_Data!B39))*Inputs!$C$52*COS(SQRT((Scenario_Data!T39)^2+Inputs!$C$6^2)/Inputs!$C$52))*1000)/Inputs!$C$21*1000000</x:f>
        <x:v>2705.692697065748</x:v>
      </x:c>
      <x:c r="AI39" t="n">
        <x:f>Scenario_Data!U39</x:f>
        <x:v>-276.79999999999995</x:v>
      </x:c>
      <x:c r="AJ39" t="n">
        <x:f>2*(SQRT((Inputs!$C$52+(Scenario_Data!C39))^2+Inputs!$C$52^2-2*(Inputs!$C$52+(Scenario_Data!C39))*Inputs!$C$52*COS(SQRT((Scenario_Data!U39)^2+Inputs!$C$6^2)/Inputs!$C$52))*1000)/Inputs!$C$21*1000000</x:f>
        <x:v>2418.3192089337513</x:v>
      </x:c>
      <x:c r="AK39" t="n">
        <x:f>Scenario_Data!V39</x:f>
        <x:v>-553.5999999999999</x:v>
      </x:c>
      <x:c r="AL39" t="n">
        <x:f>2*(SQRT((Inputs!$C$52+(Scenario_Data!D39))^2+Inputs!$C$52^2-2*(Inputs!$C$52+(Scenario_Data!D39))*Inputs!$C$52*COS(SQRT((Scenario_Data!V39)^2+Inputs!$C$6^2)/Inputs!$C$52))*1000)/Inputs!$C$21*1000000</x:f>
        <x:v>5369.3785657395565</x:v>
      </x:c>
      <x:c r="AM39" t="n">
        <x:f>Scenario_Data!W39</x:f>
        <x:v>-553.5999999999999</x:v>
      </x:c>
      <x:c r="AN39" t="n">
        <x:f>2*(SQRT((Inputs!$C$52+(Scenario_Data!E39))^2+Inputs!$C$52^2-2*(Inputs!$C$52+(Scenario_Data!E39))*Inputs!$C$52*COS(SQRT((Scenario_Data!W39)^2+Inputs!$C$6^2)/Inputs!$C$52))*1000)/Inputs!$C$21*1000000</x:f>
        <x:v>5343.751850152343</x:v>
      </x:c>
      <x:c r="AP39" t="n">
        <x:f>Scenario_Data!T39</x:f>
        <x:v>-41.519999999999996</x:v>
      </x:c>
      <x:c r="AQ39" t="n">
        <x: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x:f>
        <x:v>2704.569325361173</x:v>
      </x:c>
      <x:c r="AR39" t="n">
        <x:f>Scenario_Data!U39</x:f>
        <x:v>-276.79999999999995</x:v>
      </x:c>
      <x:c r="AS39" t="n">
        <x: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x:f>
        <x:v>2417.9520871285163</x:v>
      </x:c>
      <x:c r="AT39" t="n">
        <x:f>Scenario_Data!V39</x:f>
        <x:v>-553.5999999999999</x:v>
      </x:c>
      <x:c r="AU39" t="n">
        <x: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x:f>
        <x:v>5368.7858670736305</x:v>
      </x:c>
      <x:c r="AV39" t="n">
        <x:f>Scenario_Data!W39</x:f>
        <x:v>-553.5999999999999</x:v>
      </x:c>
      <x:c r="AW39" t="n">
        <x: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x:f>
        <x:v>5343.164202862709</x:v>
      </x:c>
    </x:row>
    <x:row r="40">
      <x:c r="A40" t="n">
        <x:f>Chart_Data!K40</x:f>
        <x:v>-41</x:v>
      </x:c>
      <x:c r="B40" t="n">
        <x:f>Chart_Data!N40-Chart_Data!L40</x:f>
        <x:v>15.915812814890273</x:v>
      </x:c>
      <x:c r="D40" t="n">
        <x:f>Chart_Data!G40</x:f>
        <x:v>-41</x:v>
      </x:c>
      <x:c r="E40" t="n">
        <x:f>Chart_Data!H40</x:f>
        <x:v>176.66624192778235</x:v>
      </x:c>
      <x:c r="F40" t="n">
        <x:f>Chart_Data!I40</x:f>
        <x:v>176.66624192778235</x:v>
      </x:c>
      <x:c r="G40" t="n">
        <x:f>Chart_Data!J40</x:f>
        <x:v>-17.886266996681616</x:v>
      </x:c>
      <x:c r="I40" t="n">
        <x:f>Scenario_Data!A40</x:f>
        <x:v>-0.683</x:v>
      </x:c>
      <x:c r="J40" t="n">
        <x:f>Scenario_Data!H40-(((SQRT((Inputs!$C$52+(Inputs!$H$6))^2+Inputs!$C$52^2-2*(Inputs!$C$52+(Inputs!$H$6))*Inputs!$C$52*COS(SQRT((Scenario_Data!T40)^2+Inputs!$C$6^2)/Inputs!$C$52)))-(Inputs!$H$6))*1000/Inputs!$C$12)</x:f>
        <x:v>-7.404664824446172</x:v>
      </x:c>
      <x:c r="K40" t="n">
        <x:f>Scenario_Data!I40-(((SQRT((Inputs!$C$52+(Inputs!$H$7))^2+Inputs!$C$52^2-2*(Inputs!$C$52+(Inputs!$H$7))*Inputs!$C$52*COS(SQRT((Scenario_Data!U40)^2+Inputs!$C$6^2)/Inputs!$C$52)))-(Inputs!$H$7))*1000/Inputs!$C$12)</x:f>
        <x:v>-52266.60203742246</x:v>
      </x:c>
      <x:c r="L40" t="n">
        <x:f>Scenario_Data!J40-(((SQRT((Inputs!$C$52+(Inputs!$H$8))^2+Inputs!$C$52^2-2*(Inputs!$C$52+(Inputs!$H$8))*Inputs!$C$52*COS(SQRT((Scenario_Data!V40)^2+Inputs!$C$6^2)/Inputs!$C$52)))-(Inputs!$H$8))*1000/Inputs!$C$12)</x:f>
        <x:v>-119022.73194468833</x:v>
      </x:c>
      <x:c r="M40" t="n">
        <x:f>Scenario_Data!K40-(((SQRT((Inputs!$C$52+(Inputs!$H$9))^2+Inputs!$C$52^2-2*(Inputs!$C$52+(Inputs!$H$9))*Inputs!$C$52*COS(SQRT((Scenario_Data!W40)^2+Inputs!$C$6^2)/Inputs!$C$52)))-(Inputs!$H$9))*1000/Inputs!$C$12)</x:f>
        <x:v>-122565.42525707473</x:v>
      </x:c>
      <x:c r="O40" t="n">
        <x:f>Scenario_Data!T40</x:f>
        <x:v>-40.980000000000004</x:v>
      </x:c>
      <x:c r="P40" t="n">
        <x:f>2*(Scenario_Data!B40*1000)/Inputs!$C$21*1000000</x:f>
        <x:v>2680.9610800816076</x:v>
      </x:c>
      <x:c r="Q40" t="n">
        <x:f>Scenario_Data!U40</x:f>
        <x:v>-273.20000000000005</x:v>
      </x:c>
      <x:c r="R40" t="n">
        <x:f>2*(Scenario_Data!C40*1000)/Inputs!$C$21*1000000</x:f>
        <x:v>1369.4039294344093</x:v>
      </x:c>
      <x:c r="S40" t="n">
        <x:f>Scenario_Data!V40</x:f>
        <x:v>-546.4000000000001</x:v>
      </x:c>
      <x:c r="T40" t="n">
        <x:f>2*(Scenario_Data!D40*1000)/Inputs!$C$21*1000000</x:f>
        <x:v>3236.6517038930992</x:v>
      </x:c>
      <x:c r="U40" t="n">
        <x:f>Scenario_Data!W40</x:f>
        <x:v>-546.4000000000001</x:v>
      </x:c>
      <x:c r="V40" t="n">
        <x:f>2*(Scenario_Data!E40*1000)/Inputs!$C$21*1000000</x:f>
        <x:v>3201.059681094447</x:v>
      </x:c>
      <x:c r="X40" t="n">
        <x:f>Scenario_Data!T40</x:f>
        <x:v>-40.980000000000004</x:v>
      </x:c>
      <x:c r="Y40" t="n">
        <x: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x:f>
        <x:v>2681.004627160038</x:v>
      </x:c>
      <x:c r="Z40" t="n">
        <x:f>Scenario_Data!U40</x:f>
        <x:v>-273.20000000000005</x:v>
      </x:c>
      <x:c r="AA40" t="n">
        <x: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x:f>
        <x:v>1369.53463092272</x:v>
      </x:c>
      <x:c r="AB40" t="n">
        <x:f>Scenario_Data!V40</x:f>
        <x:v>-546.4000000000001</x:v>
      </x:c>
      <x:c r="AC40" t="n">
        <x: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x:f>
        <x:v>3236.461382160853</x:v>
      </x:c>
      <x:c r="AD40" t="n">
        <x:f>Scenario_Data!W40</x:f>
        <x:v>-546.4000000000001</x:v>
      </x:c>
      <x:c r="AE40" t="n">
        <x: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x:f>
        <x:v>3200.8693593622015</x:v>
      </x:c>
      <x:c r="AG40" t="n">
        <x:f>Scenario_Data!T40</x:f>
        <x:v>-40.980000000000004</x:v>
      </x:c>
      <x:c r="AH40" t="n">
        <x:f>2*(SQRT((Inputs!$C$52+(Scenario_Data!B40))^2+Inputs!$C$52^2-2*(Inputs!$C$52+(Scenario_Data!B40))*Inputs!$C$52*COS(SQRT((Scenario_Data!T40)^2+Inputs!$C$6^2)/Inputs!$C$52))*1000)/Inputs!$C$21*1000000</x:f>
        <x:v>2704.9040716081277</x:v>
      </x:c>
      <x:c r="AI40" t="n">
        <x:f>Scenario_Data!U40</x:f>
        <x:v>-273.20000000000005</x:v>
      </x:c>
      <x:c r="AJ40" t="n">
        <x:f>2*(SQRT((Inputs!$C$52+(Scenario_Data!C40))^2+Inputs!$C$52^2-2*(Inputs!$C$52+(Scenario_Data!C40))*Inputs!$C$52*COS(SQRT((Scenario_Data!U40)^2+Inputs!$C$6^2)/Inputs!$C$52))*1000)/Inputs!$C$21*1000000</x:f>
        <x:v>2378.1749207105045</x:v>
      </x:c>
      <x:c r="AK40" t="n">
        <x:f>Scenario_Data!V40</x:f>
        <x:v>-546.4000000000001</x:v>
      </x:c>
      <x:c r="AL40" t="n">
        <x:f>2*(SQRT((Inputs!$C$52+(Scenario_Data!D40))^2+Inputs!$C$52^2-2*(Inputs!$C$52+(Scenario_Data!D40))*Inputs!$C$52*COS(SQRT((Scenario_Data!V40)^2+Inputs!$C$6^2)/Inputs!$C$52))*1000)/Inputs!$C$21*1000000</x:f>
        <x:v>5268.031429047745</x:v>
      </x:c>
      <x:c r="AM40" t="n">
        <x:f>Scenario_Data!W40</x:f>
        <x:v>-546.4000000000001</x:v>
      </x:c>
      <x:c r="AN40" t="n">
        <x:f>2*(SQRT((Inputs!$C$52+(Scenario_Data!E40))^2+Inputs!$C$52^2-2*(Inputs!$C$52+(Scenario_Data!E40))*Inputs!$C$52*COS(SQRT((Scenario_Data!W40)^2+Inputs!$C$6^2)/Inputs!$C$52))*1000)/Inputs!$C$21*1000000</x:f>
        <x:v>5241.943717406506</x:v>
      </x:c>
      <x:c r="AP40" t="n">
        <x:f>Scenario_Data!T40</x:f>
        <x:v>-40.980000000000004</x:v>
      </x:c>
      <x:c r="AQ40" t="n">
        <x: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x:f>
        <x:v>2703.6905678073786</x:v>
      </x:c>
      <x:c r="AR40" t="n">
        <x:f>Scenario_Data!U40</x:f>
        <x:v>-273.20000000000005</x:v>
      </x:c>
      <x:c r="AS40" t="n">
        <x: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x:f>
        <x:v>2377.718715826389</x:v>
      </x:c>
      <x:c r="AT40" t="n">
        <x:f>Scenario_Data!V40</x:f>
        <x:v>-546.4000000000001</x:v>
      </x:c>
      <x:c r="AU40" t="n">
        <x: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x:f>
        <x:v>5267.622993940169</x:v>
      </x:c>
      <x:c r="AV40" t="n">
        <x:f>Scenario_Data!W40</x:f>
        <x:v>-546.4000000000001</x:v>
      </x:c>
      <x:c r="AW40" t="n">
        <x: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x:f>
        <x:v>5241.538951238175</x:v>
      </x:c>
    </x:row>
    <x:row r="41">
      <x:c r="A41" t="n">
        <x:f>Chart_Data!K41</x:f>
        <x:v>-40.5</x:v>
      </x:c>
      <x:c r="B41" t="n">
        <x:f>Chart_Data!N41-Chart_Data!L41</x:f>
        <x:v>12.94669028445523</x:v>
      </x:c>
      <x:c r="D41" t="n">
        <x:f>Chart_Data!G41</x:f>
        <x:v>-40.5</x:v>
      </x:c>
      <x:c r="E41" t="n">
        <x:f>Chart_Data!H41</x:f>
        <x:v>191.24651788731785</x:v>
      </x:c>
      <x:c r="F41" t="n">
        <x:f>Chart_Data!I41</x:f>
        <x:v>191.24651788731785</x:v>
      </x:c>
      <x:c r="G41" t="n">
        <x:f>Chart_Data!J41</x:f>
        <x:v>-15.042977474303433</x:v>
      </x:c>
      <x:c r="I41" t="n">
        <x:f>Scenario_Data!A41</x:f>
        <x:v>-0.675</x:v>
      </x:c>
      <x:c r="J41" t="n">
        <x:f>Scenario_Data!H41-(((SQRT((Inputs!$C$52+(Inputs!$H$6))^2+Inputs!$C$52^2-2*(Inputs!$C$52+(Inputs!$H$6))*Inputs!$C$52*COS(SQRT((Scenario_Data!T41)^2+Inputs!$C$6^2)/Inputs!$C$52)))-(Inputs!$H$6))*1000/Inputs!$C$12)</x:f>
        <x:v>-7.111982920109767</x:v>
      </x:c>
      <x:c r="K41" t="n">
        <x:f>Scenario_Data!I41-(((SQRT((Inputs!$C$52+(Inputs!$H$7))^2+Inputs!$C$52^2-2*(Inputs!$C$52+(Inputs!$H$7))*Inputs!$C$52*COS(SQRT((Scenario_Data!U41)^2+Inputs!$C$6^2)/Inputs!$C$52)))-(Inputs!$H$7))*1000/Inputs!$C$12)</x:f>
        <x:v>-51231.374010913656</x:v>
      </x:c>
      <x:c r="L41" t="n">
        <x:f>Scenario_Data!J41-(((SQRT((Inputs!$C$52+(Inputs!$H$8))^2+Inputs!$C$52^2-2*(Inputs!$C$52+(Inputs!$H$8))*Inputs!$C$52*COS(SQRT((Scenario_Data!V41)^2+Inputs!$C$6^2)/Inputs!$C$52)))-(Inputs!$H$8))*1000/Inputs!$C$12)</x:f>
        <x:v>-117074.83465957025</x:v>
      </x:c>
      <x:c r="M41" t="n">
        <x:f>Scenario_Data!K41-(((SQRT((Inputs!$C$52+(Inputs!$H$9))^2+Inputs!$C$52^2-2*(Inputs!$C$52+(Inputs!$H$9))*Inputs!$C$52*COS(SQRT((Scenario_Data!W41)^2+Inputs!$C$6^2)/Inputs!$C$52)))-(Inputs!$H$9))*1000/Inputs!$C$12)</x:f>
        <x:v>-120597.44652148281</x:v>
      </x:c>
      <x:c r="O41" t="n">
        <x:f>Scenario_Data!T41</x:f>
        <x:v>-40.5</x:v>
      </x:c>
      <x:c r="P41" t="n">
        <x:f>2*(Scenario_Data!B41*1000)/Inputs!$C$21*1000000</x:f>
        <x:v>2680.671172855189</x:v>
      </x:c>
      <x:c r="Q41" t="n">
        <x:f>Scenario_Data!U41</x:f>
        <x:v>-270</x:v>
      </x:c>
      <x:c r="R41" t="n">
        <x:f>2*(Scenario_Data!C41*1000)/Inputs!$C$21*1000000</x:f>
        <x:v>1342.9498950237103</x:v>
      </x:c>
      <x:c r="S41" t="n">
        <x:f>Scenario_Data!V41</x:f>
        <x:v>-540</x:v>
      </x:c>
      <x:c r="T41" t="n">
        <x:f>2*(Scenario_Data!D41*1000)/Inputs!$C$21*1000000</x:f>
        <x:v>3166.7115855196066</x:v>
      </x:c>
      <x:c r="U41" t="n">
        <x:f>Scenario_Data!W41</x:f>
        <x:v>-540</x:v>
      </x:c>
      <x:c r="V41" t="n">
        <x:f>2*(Scenario_Data!E41*1000)/Inputs!$C$21*1000000</x:f>
        <x:v>3130.3947946549083</x:v>
      </x:c>
      <x:c r="X41" t="n">
        <x:f>Scenario_Data!T41</x:f>
        <x:v>-40.5</x:v>
      </x:c>
      <x:c r="Y41" t="n">
        <x: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x:f>
        <x:v>2680.7715287985948</x:v>
      </x:c>
      <x:c r="Z41" t="n">
        <x:f>Scenario_Data!U41</x:f>
        <x:v>-270</x:v>
      </x:c>
      <x:c r="AA41" t="n">
        <x: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x:f>
        <x:v>1342.8567868048142</x:v>
      </x:c>
      <x:c r="AB41" t="n">
        <x:f>Scenario_Data!V41</x:f>
        <x:v>-540</x:v>
      </x:c>
      <x:c r="AC41" t="n">
        <x: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x:f>
        <x:v>3166.259400612072</x:v>
      </x:c>
      <x:c r="AD41" t="n">
        <x:f>Scenario_Data!W41</x:f>
        <x:v>-540</x:v>
      </x:c>
      <x:c r="AE41" t="n">
        <x: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x:f>
        <x:v>3129.9426097473734</x:v>
      </x:c>
      <x:c r="AG41" t="n">
        <x:f>Scenario_Data!T41</x:f>
        <x:v>-40.5</x:v>
      </x:c>
      <x:c r="AH41" t="n">
        <x:f>2*(SQRT((Inputs!$C$52+(Scenario_Data!B41))^2+Inputs!$C$52^2-2*(Inputs!$C$52+(Scenario_Data!B41))*Inputs!$C$52*COS(SQRT((Scenario_Data!T41)^2+Inputs!$C$6^2)/Inputs!$C$52))*1000)/Inputs!$C$21*1000000</x:f>
        <x:v>2704.2115997852675</x:v>
      </x:c>
      <x:c r="AI41" t="n">
        <x:f>Scenario_Data!U41</x:f>
        <x:v>-270</x:v>
      </x:c>
      <x:c r="AJ41" t="n">
        <x:f>2*(SQRT((Inputs!$C$52+(Scenario_Data!C41))^2+Inputs!$C$52^2-2*(Inputs!$C$52+(Scenario_Data!C41))*Inputs!$C$52*COS(SQRT((Scenario_Data!U41)^2+Inputs!$C$6^2)/Inputs!$C$52))*1000)/Inputs!$C$21*1000000</x:f>
        <x:v>2342.7716518918514</x:v>
      </x:c>
      <x:c r="AK41" t="n">
        <x:f>Scenario_Data!V41</x:f>
        <x:v>-540</x:v>
      </x:c>
      <x:c r="AL41" t="n">
        <x:f>2*(SQRT((Inputs!$C$52+(Scenario_Data!D41))^2+Inputs!$C$52^2-2*(Inputs!$C$52+(Scenario_Data!D41))*Inputs!$C$52*COS(SQRT((Scenario_Data!V41)^2+Inputs!$C$6^2)/Inputs!$C$52))*1000)/Inputs!$C$21*1000000</x:f>
        <x:v>5178.835096993912</x:v>
      </x:c>
      <x:c r="AM41" t="n">
        <x:f>Scenario_Data!W41</x:f>
        <x:v>-540</x:v>
      </x:c>
      <x:c r="AN41" t="n">
        <x:f>2*(SQRT((Inputs!$C$52+(Scenario_Data!E41))^2+Inputs!$C$52^2-2*(Inputs!$C$52+(Scenario_Data!E41))*Inputs!$C$52*COS(SQRT((Scenario_Data!W41)^2+Inputs!$C$6^2)/Inputs!$C$52))*1000)/Inputs!$C$21*1000000</x:f>
        <x:v>5152.352129116699</x:v>
      </x:c>
      <x:c r="AP41" t="n">
        <x:f>Scenario_Data!T41</x:f>
        <x:v>-40.5</x:v>
      </x:c>
      <x:c r="AQ41" t="n">
        <x: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x:f>
        <x:v>2702.9497252740853</x:v>
      </x:c>
      <x:c r="AR41" t="n">
        <x:f>Scenario_Data!U41</x:f>
        <x:v>-270</x:v>
      </x:c>
      <x:c r="AS41" t="n">
        <x: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x:f>
        <x:v>2342.268846897384</x:v>
      </x:c>
      <x:c r="AT41" t="n">
        <x:f>Scenario_Data!V41</x:f>
        <x:v>-540</x:v>
      </x:c>
      <x:c r="AU41" t="n">
        <x: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x:f>
        <x:v>5178.40985077925</x:v>
      </x:c>
      <x:c r="AV41" t="n">
        <x:f>Scenario_Data!W41</x:f>
        <x:v>-540</x:v>
      </x:c>
      <x:c r="AW41" t="n">
        <x: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x:f>
        <x:v>5151.930884437782</x:v>
      </x:c>
    </x:row>
    <x:row r="42">
      <x:c r="A42" t="n">
        <x:f>Chart_Data!K42</x:f>
        <x:v>-40</x:v>
      </x:c>
      <x:c r="B42" t="n">
        <x:f>Chart_Data!N42-Chart_Data!L42</x:f>
        <x:v>29.102694376098867</x:v>
      </x:c>
      <x:c r="D42" t="n">
        <x:f>Chart_Data!G42</x:f>
        <x:v>-40</x:v>
      </x:c>
      <x:c r="E42" t="n">
        <x:f>Chart_Data!H42</x:f>
        <x:v>197.66557297497732</x:v>
      </x:c>
      <x:c r="F42" t="n">
        <x:f>Chart_Data!I42</x:f>
        <x:v>197.66557297497732</x:v>
      </x:c>
      <x:c r="G42" t="n">
        <x:f>Chart_Data!J42</x:f>
        <x:v>-31.231711064274894</x:v>
      </x:c>
      <x:c r="I42" t="n">
        <x:f>Scenario_Data!A42</x:f>
        <x:v>-0.667</x:v>
      </x:c>
      <x:c r="J42" t="n">
        <x:f>Scenario_Data!H42-(((SQRT((Inputs!$C$52+(Inputs!$H$6))^2+Inputs!$C$52^2-2*(Inputs!$C$52+(Inputs!$H$6))*Inputs!$C$52*COS(SQRT((Scenario_Data!T42)^2+Inputs!$C$6^2)/Inputs!$C$52)))-(Inputs!$H$6))*1000/Inputs!$C$12)</x:f>
        <x:v>-6.828300748499714</x:v>
      </x:c>
      <x:c r="K42" t="n">
        <x:f>Scenario_Data!I42-(((SQRT((Inputs!$C$52+(Inputs!$H$7))^2+Inputs!$C$52^2-2*(Inputs!$C$52+(Inputs!$H$7))*Inputs!$C$52*COS(SQRT((Scenario_Data!U42)^2+Inputs!$C$6^2)/Inputs!$C$52)))-(Inputs!$H$7))*1000/Inputs!$C$12)</x:f>
        <x:v>-50200.64516336976</x:v>
      </x:c>
      <x:c r="L42" t="n">
        <x:f>Scenario_Data!J42-(((SQRT((Inputs!$C$52+(Inputs!$H$8))^2+Inputs!$C$52^2-2*(Inputs!$C$52+(Inputs!$H$8))*Inputs!$C$52*COS(SQRT((Scenario_Data!V42)^2+Inputs!$C$6^2)/Inputs!$C$52)))-(Inputs!$H$8))*1000/Inputs!$C$12)</x:f>
        <x:v>-115125.04934461683</x:v>
      </x:c>
      <x:c r="M42" t="n">
        <x:f>Scenario_Data!K42-(((SQRT((Inputs!$C$52+(Inputs!$H$9))^2+Inputs!$C$52^2-2*(Inputs!$C$52+(Inputs!$H$9))*Inputs!$C$52*COS(SQRT((Scenario_Data!W42)^2+Inputs!$C$6^2)/Inputs!$C$52)))-(Inputs!$H$9))*1000/Inputs!$C$12)</x:f>
        <x:v>-118627.06266188383</x:v>
      </x:c>
      <x:c r="O42" t="n">
        <x:f>Scenario_Data!T42</x:f>
        <x:v>-40.02</x:v>
      </x:c>
      <x:c r="P42" t="n">
        <x:f>2*(Scenario_Data!B42*1000)/Inputs!$C$21*1000000</x:f>
        <x:v>2680.3846813251052</x:v>
      </x:c>
      <x:c r="Q42" t="n">
        <x:f>Scenario_Data!U42</x:f>
        <x:v>-266.8</x:v>
      </x:c>
      <x:c r="R42" t="n">
        <x:f>2*(Scenario_Data!C42*1000)/Inputs!$C$21*1000000</x:f>
        <x:v>1316.8075429035646</x:v>
      </x:c>
      <x:c r="S42" t="n">
        <x:f>Scenario_Data!V42</x:f>
        <x:v>-533.6</x:v>
      </x:c>
      <x:c r="T42" t="n">
        <x:f>2*(Scenario_Data!D42*1000)/Inputs!$C$21*1000000</x:f>
        <x:v>3097.5955038868924</x:v>
      </x:c>
      <x:c r="U42" t="n">
        <x:f>Scenario_Data!W42</x:f>
        <x:v>-533.6</x:v>
      </x:c>
      <x:c r="V42" t="n">
        <x:f>2*(Scenario_Data!E42*1000)/Inputs!$C$21*1000000</x:f>
        <x:v>3060.5624841969843</x:v>
      </x:c>
      <x:c r="X42" t="n">
        <x:f>Scenario_Data!T42</x:f>
        <x:v>-40.02</x:v>
      </x:c>
      <x:c r="Y42" t="n">
        <x: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x:f>
        <x:v>2680.6232576705215</x:v>
      </x:c>
      <x:c r="Z42" t="n">
        <x:f>Scenario_Data!U42</x:f>
        <x:v>-266.8</x:v>
      </x:c>
      <x:c r="AA42" t="n">
        <x: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x:f>
        <x:v>1316.381263410234</x:v>
      </x:c>
      <x:c r="AB42" t="n">
        <x:f>Scenario_Data!V42</x:f>
        <x:v>-533.6</x:v>
      </x:c>
      <x:c r="AC42" t="n">
        <x: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x:f>
        <x:v>3096.909291927256</x:v>
      </x:c>
      <x:c r="AD42" t="n">
        <x:f>Scenario_Data!W42</x:f>
        <x:v>-533.6</x:v>
      </x:c>
      <x:c r="AE42" t="n">
        <x: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x:f>
        <x:v>3059.8762722373476</x:v>
      </x:c>
      <x:c r="AG42" t="n">
        <x:f>Scenario_Data!T42</x:f>
        <x:v>-40.02</x:v>
      </x:c>
      <x:c r="AH42" t="n">
        <x:f>2*(SQRT((Inputs!$C$52+(Scenario_Data!B42))^2+Inputs!$C$52^2-2*(Inputs!$C$52+(Scenario_Data!B42))*Inputs!$C$52*COS(SQRT((Scenario_Data!T42)^2+Inputs!$C$6^2)/Inputs!$C$52))*1000)/Inputs!$C$21*1000000</x:f>
        <x:v>2703.527159526966</x:v>
      </x:c>
      <x:c r="AI42" t="n">
        <x:f>Scenario_Data!U42</x:f>
        <x:v>-266.8</x:v>
      </x:c>
      <x:c r="AJ42" t="n">
        <x:f>2*(SQRT((Inputs!$C$52+(Scenario_Data!C42))^2+Inputs!$C$52^2-2*(Inputs!$C$52+(Scenario_Data!C42))*Inputs!$C$52*COS(SQRT((Scenario_Data!U42)^2+Inputs!$C$6^2)/Inputs!$C$52))*1000)/Inputs!$C$21*1000000</x:f>
        <x:v>2307.6308927499517</x:v>
      </x:c>
      <x:c r="AK42" t="n">
        <x:f>Scenario_Data!V42</x:f>
        <x:v>-533.6</x:v>
      </x:c>
      <x:c r="AL42" t="n">
        <x:f>2*(SQRT((Inputs!$C$52+(Scenario_Data!D42))^2+Inputs!$C$52^2-2*(Inputs!$C$52+(Scenario_Data!D42))*Inputs!$C$52*COS(SQRT((Scenario_Data!V42)^2+Inputs!$C$6^2)/Inputs!$C$52))*1000)/Inputs!$C$21*1000000</x:f>
        <x:v>5090.473156276304</x:v>
      </x:c>
      <x:c r="AM42" t="n">
        <x:f>Scenario_Data!W42</x:f>
        <x:v>-533.6</x:v>
      </x:c>
      <x:c r="AN42" t="n">
        <x:f>2*(SQRT((Inputs!$C$52+(Scenario_Data!E42))^2+Inputs!$C$52^2-2*(Inputs!$C$52+(Scenario_Data!E42))*Inputs!$C$52*COS(SQRT((Scenario_Data!W42)^2+Inputs!$C$6^2)/Inputs!$C$52))*1000)/Inputs!$C$21*1000000</x:f>
        <x:v>5063.608645679319</x:v>
      </x:c>
      <x:c r="AP42" t="n">
        <x:f>Scenario_Data!T42</x:f>
        <x:v>-40.02</x:v>
      </x:c>
      <x:c r="AQ42" t="n">
        <x: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x:f>
        <x:v>2702.342639134389</x:v>
      </x:c>
      <x:c r="AR42" t="n">
        <x:f>Scenario_Data!U42</x:f>
        <x:v>-266.8</x:v>
      </x:c>
      <x:c r="AS42" t="n">
        <x: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x:f>
        <x:v>2306.9945829969192</x:v>
      </x:c>
      <x:c r="AT42" t="n">
        <x:f>Scenario_Data!V42</x:f>
        <x:v>-533.6</x:v>
      </x:c>
      <x:c r="AU42" t="n">
        <x: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x:f>
        <x:v>5089.837376029708</x:v>
      </x:c>
      <x:c r="AV42" t="n">
        <x:f>Scenario_Data!W42</x:f>
        <x:v>-533.6</x:v>
      </x:c>
      <x:c r="AW42" t="n">
        <x: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x:f>
        <x:v>5062.979131012552</x:v>
      </x:c>
    </x:row>
    <x:row r="43">
      <x:c r="A43" t="n">
        <x:f>Chart_Data!K43</x:f>
        <x:v>-39.5</x:v>
      </x:c>
      <x:c r="B43" t="n">
        <x:f>Chart_Data!N43-Chart_Data!L43</x:f>
        <x:v>31.11424964805272</x:v>
      </x:c>
      <x:c r="D43" t="n">
        <x:f>Chart_Data!G43</x:f>
        <x:v>-39.5</x:v>
      </x:c>
      <x:c r="E43" t="n">
        <x:f>Chart_Data!H43</x:f>
        <x:v>200.98178735327417</x:v>
      </x:c>
      <x:c r="F43" t="n">
        <x:f>Chart_Data!I43</x:f>
        <x:v>200.98178735327417</x:v>
      </x:c>
      <x:c r="G43" t="n">
        <x:f>Chart_Data!J43</x:f>
        <x:v>-33.241151326098546</x:v>
      </x:c>
      <x:c r="I43" t="n">
        <x:f>Scenario_Data!A43</x:f>
        <x:v>-0.658</x:v>
      </x:c>
      <x:c r="J43" t="n">
        <x:f>Scenario_Data!H43-(((SQRT((Inputs!$C$52+(Inputs!$H$6))^2+Inputs!$C$52^2-2*(Inputs!$C$52+(Inputs!$H$6))*Inputs!$C$52*COS(SQRT((Scenario_Data!T43)^2+Inputs!$C$6^2)/Inputs!$C$52)))-(Inputs!$H$6))*1000/Inputs!$C$12)</x:f>
        <x:v>-6.51967719021377</x:v>
      </x:c>
      <x:c r="K43" t="n">
        <x:f>Scenario_Data!I43-(((SQRT((Inputs!$C$52+(Inputs!$H$7))^2+Inputs!$C$52^2-2*(Inputs!$C$52+(Inputs!$H$7))*Inputs!$C$52*COS(SQRT((Scenario_Data!U43)^2+Inputs!$C$6^2)/Inputs!$C$52)))-(Inputs!$H$7))*1000/Inputs!$C$12)</x:f>
        <x:v>-49046.63482196539</x:v>
      </x:c>
      <x:c r="L43" t="n">
        <x:f>Scenario_Data!J43-(((SQRT((Inputs!$C$52+(Inputs!$H$8))^2+Inputs!$C$52^2-2*(Inputs!$C$52+(Inputs!$H$8))*Inputs!$C$52*COS(SQRT((Scenario_Data!V43)^2+Inputs!$C$6^2)/Inputs!$C$52)))-(Inputs!$H$8))*1000/Inputs!$C$12)</x:f>
        <x:v>-112929.65387596696</x:v>
      </x:c>
      <x:c r="M43" t="n">
        <x:f>Scenario_Data!K43-(((SQRT((Inputs!$C$52+(Inputs!$H$9))^2+Inputs!$C$52^2-2*(Inputs!$C$52+(Inputs!$H$9))*Inputs!$C$52*COS(SQRT((Scenario_Data!W43)^2+Inputs!$C$6^2)/Inputs!$C$52)))-(Inputs!$H$9))*1000/Inputs!$C$12)</x:f>
        <x:v>-116407.86707581821</x:v>
      </x:c>
      <x:c r="O43" t="n">
        <x:f>Scenario_Data!T43</x:f>
        <x:v>-39.480000000000004</x:v>
      </x:c>
      <x:c r="P43" t="n">
        <x:f>2*(Scenario_Data!B43*1000)/Inputs!$C$21*1000000</x:f>
        <x:v>2680.0664611782863</x:v>
      </x:c>
      <x:c r="Q43" t="n">
        <x:f>Scenario_Data!U43</x:f>
        <x:v>-263.20000000000005</x:v>
      </x:c>
      <x:c r="R43" t="n">
        <x:f>2*(Scenario_Data!C43*1000)/Inputs!$C$21*1000000</x:f>
        <x:v>1287.7699545063276</x:v>
      </x:c>
      <x:c r="S43" t="n">
        <x:f>Scenario_Data!V43</x:f>
        <x:v>-526.4000000000001</x:v>
      </x:c>
      <x:c r="T43" t="n">
        <x:f>2*(Scenario_Data!D43*1000)/Inputs!$C$21*1000000</x:f>
        <x:v>3020.824893466801</x:v>
      </x:c>
      <x:c r="U43" t="n">
        <x:f>Scenario_Data!W43</x:f>
        <x:v>-526.4000000000001</x:v>
      </x:c>
      <x:c r="V43" t="n">
        <x:f>2*(Scenario_Data!E43*1000)/Inputs!$C$21*1000000</x:f>
        <x:v>2982.9963234098454</x:v>
      </x:c>
      <x:c r="X43" t="n">
        <x:f>Scenario_Data!T43</x:f>
        <x:v>-39.480000000000004</x:v>
      </x:c>
      <x:c r="Y43" t="n">
        <x: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x:f>
        <x:v>2680.3194831047786</x:v>
      </x:c>
      <x:c r="Z43" t="n">
        <x:f>Scenario_Data!U43</x:f>
        <x:v>-263.20000000000005</x:v>
      </x:c>
      <x:c r="AA43" t="n">
        <x: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x:f>
        <x:v>1287.3992463636328</x:v>
      </x:c>
      <x:c r="AB43" t="n">
        <x:f>Scenario_Data!V43</x:f>
        <x:v>-526.4000000000001</x:v>
      </x:c>
      <x:c r="AC43" t="n">
        <x: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x:f>
        <x:v>3020.7723219878835</x:v>
      </x:c>
      <x:c r="AD43" t="n">
        <x:f>Scenario_Data!W43</x:f>
        <x:v>-526.4000000000001</x:v>
      </x:c>
      <x:c r="AE43" t="n">
        <x: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x:f>
        <x:v>2982.9437519309276</x:v>
      </x:c>
      <x:c r="AG43" t="n">
        <x:f>Scenario_Data!T43</x:f>
        <x:v>-39.480000000000004</x:v>
      </x:c>
      <x:c r="AH43" t="n">
        <x:f>2*(SQRT((Inputs!$C$52+(Scenario_Data!B43))^2+Inputs!$C$52^2-2*(Inputs!$C$52+(Scenario_Data!B43))*Inputs!$C$52*COS(SQRT((Scenario_Data!T43)^2+Inputs!$C$6^2)/Inputs!$C$52))*1000)/Inputs!$C$21*1000000</x:f>
        <x:v>2702.766769976195</x:v>
      </x:c>
      <x:c r="AI43" t="n">
        <x:f>Scenario_Data!U43</x:f>
        <x:v>-263.20000000000005</x:v>
      </x:c>
      <x:c r="AJ43" t="n">
        <x:f>2*(SQRT((Inputs!$C$52+(Scenario_Data!C43))^2+Inputs!$C$52^2-2*(Inputs!$C$52+(Scenario_Data!C43))*Inputs!$C$52*COS(SQRT((Scenario_Data!U43)^2+Inputs!$C$6^2)/Inputs!$C$52))*1000)/Inputs!$C$21*1000000</x:f>
        <x:v>2268.409463423141</x:v>
      </x:c>
      <x:c r="AK43" t="n">
        <x:f>Scenario_Data!V43</x:f>
        <x:v>-526.4000000000001</x:v>
      </x:c>
      <x:c r="AL43" t="n">
        <x:f>2*(SQRT((Inputs!$C$52+(Scenario_Data!D43))^2+Inputs!$C$52^2-2*(Inputs!$C$52+(Scenario_Data!D43))*Inputs!$C$52*COS(SQRT((Scenario_Data!V43)^2+Inputs!$C$6^2)/Inputs!$C$52))*1000)/Inputs!$C$21*1000000</x:f>
        <x:v>4992.059305723048</x:v>
      </x:c>
      <x:c r="AM43" t="n">
        <x:f>Scenario_Data!W43</x:f>
        <x:v>-526.4000000000001</x:v>
      </x:c>
      <x:c r="AN43" t="n">
        <x:f>2*(SQRT((Inputs!$C$52+(Scenario_Data!E43))^2+Inputs!$C$52^2-2*(Inputs!$C$52+(Scenario_Data!E43))*Inputs!$C$52*COS(SQRT((Scenario_Data!W43)^2+Inputs!$C$6^2)/Inputs!$C$52))*1000)/Inputs!$C$21*1000000</x:f>
        <x:v>4964.782008157169</x:v>
      </x:c>
      <x:c r="AP43" t="n">
        <x:f>Scenario_Data!T43</x:f>
        <x:v>-39.480000000000004</x:v>
      </x:c>
      <x:c r="AQ43" t="n">
        <x: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x:f>
        <x:v>2701.587502760221</x:v>
      </x:c>
      <x:c r="AR43" t="n">
        <x:f>Scenario_Data!U43</x:f>
        <x:v>-263.20000000000005</x:v>
      </x:c>
      <x:c r="AS43" t="n">
        <x: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x:f>
        <x:v>2267.7158327632287</x:v>
      </x:c>
      <x:c r="AT43" t="n">
        <x:f>Scenario_Data!V43</x:f>
        <x:v>-526.4000000000001</x:v>
      </x:c>
      <x:c r="AU43" t="n">
        <x: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x:f>
        <x:v>4991.755684834359</x:v>
      </x:c>
      <x:c r="AV43" t="n">
        <x:f>Scenario_Data!W43</x:f>
        <x:v>-526.4000000000001</x:v>
      </x:c>
      <x:c r="AW43" t="n">
        <x: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x:f>
        <x:v>4964.4815363744</x:v>
      </x:c>
    </x:row>
    <x:row r="44">
      <x:c r="A44" t="n">
        <x:f>Chart_Data!K44</x:f>
        <x:v>-39</x:v>
      </x:c>
      <x:c r="B44" t="n">
        <x:f>Chart_Data!N44-Chart_Data!L44</x:f>
        <x:v>30.101673250917116</x:v>
      </x:c>
      <x:c r="D44" t="n">
        <x:f>Chart_Data!G44</x:f>
        <x:v>-39</x:v>
      </x:c>
      <x:c r="E44" t="n">
        <x:f>Chart_Data!H44</x:f>
        <x:v>184.54420924136062</x:v>
      </x:c>
      <x:c r="F44" t="n">
        <x:f>Chart_Data!I44</x:f>
        <x:v>184.54420924136062</x:v>
      </x:c>
      <x:c r="G44" t="n">
        <x:f>Chart_Data!J44</x:f>
        <x:v>-32.02020136507765</x:v>
      </x:c>
      <x:c r="I44" t="n">
        <x:f>Scenario_Data!A44</x:f>
        <x:v>-0.65</x:v>
      </x:c>
      <x:c r="J44" t="n">
        <x:f>Scenario_Data!H44-(((SQRT((Inputs!$C$52+(Inputs!$H$6))^2+Inputs!$C$52^2-2*(Inputs!$C$52+(Inputs!$H$6))*Inputs!$C$52*COS(SQRT((Scenario_Data!T44)^2+Inputs!$C$6^2)/Inputs!$C$52)))-(Inputs!$H$6))*1000/Inputs!$C$12)</x:f>
        <x:v>-6.254485391421895</x:v>
      </x:c>
      <x:c r="K44" t="n">
        <x:f>Scenario_Data!I44-(((SQRT((Inputs!$C$52+(Inputs!$H$7))^2+Inputs!$C$52^2-2*(Inputs!$C$52+(Inputs!$H$7))*Inputs!$C$52*COS(SQRT((Scenario_Data!U44)^2+Inputs!$C$6^2)/Inputs!$C$52)))-(Inputs!$H$7))*1000/Inputs!$C$12)</x:f>
        <x:v>-48025.954152811115</x:v>
      </x:c>
      <x:c r="L44" t="n">
        <x:f>Scenario_Data!J44-(((SQRT((Inputs!$C$52+(Inputs!$H$8))^2+Inputs!$C$52^2-2*(Inputs!$C$52+(Inputs!$H$8))*Inputs!$C$52*COS(SQRT((Scenario_Data!V44)^2+Inputs!$C$6^2)/Inputs!$C$52)))-(Inputs!$H$8))*1000/Inputs!$C$12)</x:f>
        <x:v>-110976.85216755129</x:v>
      </x:c>
      <x:c r="M44" t="n">
        <x:f>Scenario_Data!K44-(((SQRT((Inputs!$C$52+(Inputs!$H$9))^2+Inputs!$C$52^2-2*(Inputs!$C$52+(Inputs!$H$9))*Inputs!$C$52*COS(SQRT((Scenario_Data!W44)^2+Inputs!$C$6^2)/Inputs!$C$52)))-(Inputs!$H$9))*1000/Inputs!$C$12)</x:f>
        <x:v>-114433.34492030981</x:v>
      </x:c>
      <x:c r="O44" t="n">
        <x:f>Scenario_Data!T44</x:f>
        <x:v>-39</x:v>
      </x:c>
      <x:c r="P44" t="n">
        <x:f>2*(Scenario_Data!B44*1000)/Inputs!$C$21*1000000</x:f>
        <x:v>2679.7872280029137</x:v>
      </x:c>
      <x:c r="Q44" t="n">
        <x:f>Scenario_Data!U44</x:f>
        <x:v>-260</x:v>
      </x:c>
      <x:c r="R44" t="n">
        <x:f>2*(Scenario_Data!C44*1000)/Inputs!$C$21*1000000</x:f>
        <x:v>1262.2899272536067</x:v>
      </x:c>
      <x:c r="S44" t="n">
        <x:f>Scenario_Data!V44</x:f>
        <x:v>-520</x:v>
      </x:c>
      <x:c r="T44" t="n">
        <x:f>2*(Scenario_Data!D44*1000)/Inputs!$C$21*1000000</x:f>
        <x:v>2953.459889908238</x:v>
      </x:c>
      <x:c r="U44" t="n">
        <x:f>Scenario_Data!W44</x:f>
        <x:v>-520</x:v>
      </x:c>
      <x:c r="V44" t="n">
        <x:f>2*(Scenario_Data!E44*1000)/Inputs!$C$21*1000000</x:f>
        <x:v>2914.9332369128515</x:v>
      </x:c>
      <x:c r="X44" t="n">
        <x:f>Scenario_Data!T44</x:f>
        <x:v>-39</x:v>
      </x:c>
      <x:c r="Y44" t="n">
        <x: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x:f>
        <x:v>2680.000843792842</x:v>
      </x:c>
      <x:c r="Z44" t="n">
        <x:f>Scenario_Data!U44</x:f>
        <x:v>-260</x:v>
      </x:c>
      <x:c r="AA44" t="n">
        <x: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x:f>
        <x:v>1262.192249150471</x:v>
      </x:c>
      <x:c r="AB44" t="n">
        <x:f>Scenario_Data!V44</x:f>
        <x:v>-520</x:v>
      </x:c>
      <x:c r="AC44" t="n">
        <x: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x:f>
        <x:v>2953.0454000908217</x:v>
      </x:c>
      <x:c r="AD44" t="n">
        <x:f>Scenario_Data!W44</x:f>
        <x:v>-520</x:v>
      </x:c>
      <x:c r="AE44" t="n">
        <x: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x:f>
        <x:v>2914.518747095435</x:v>
      </x:c>
      <x:c r="AG44" t="n">
        <x:f>Scenario_Data!T44</x:f>
        <x:v>-39</x:v>
      </x:c>
      <x:c r="AH44" t="n">
        <x:f>2*(SQRT((Inputs!$C$52+(Scenario_Data!B44))^2+Inputs!$C$52^2-2*(Inputs!$C$52+(Scenario_Data!B44))*Inputs!$C$52*COS(SQRT((Scenario_Data!T44)^2+Inputs!$C$6^2)/Inputs!$C$52))*1000)/Inputs!$C$21*1000000</x:f>
        <x:v>2702.0994114328023</x:v>
      </x:c>
      <x:c r="AI44" t="n">
        <x:f>Scenario_Data!U44</x:f>
        <x:v>-260</x:v>
      </x:c>
      <x:c r="AJ44" t="n">
        <x:f>2*(SQRT((Inputs!$C$52+(Scenario_Data!C44))^2+Inputs!$C$52^2-2*(Inputs!$C$52+(Scenario_Data!C44))*Inputs!$C$52*COS(SQRT((Scenario_Data!U44)^2+Inputs!$C$6^2)/Inputs!$C$52))*1000)/Inputs!$C$21*1000000</x:f>
        <x:v>2233.821564177517</x:v>
      </x:c>
      <x:c r="AK44" t="n">
        <x:f>Scenario_Data!V44</x:f>
        <x:v>-520</x:v>
      </x:c>
      <x:c r="AL44" t="n">
        <x:f>2*(SQRT((Inputs!$C$52+(Scenario_Data!D44))^2+Inputs!$C$52^2-2*(Inputs!$C$52+(Scenario_Data!D44))*Inputs!$C$52*COS(SQRT((Scenario_Data!V44)^2+Inputs!$C$6^2)/Inputs!$C$52))*1000)/Inputs!$C$21*1000000</x:f>
        <x:v>4905.459604666784</x:v>
      </x:c>
      <x:c r="AM44" t="n">
        <x:f>Scenario_Data!W44</x:f>
        <x:v>-520</x:v>
      </x:c>
      <x:c r="AN44" t="n">
        <x:f>2*(SQRT((Inputs!$C$52+(Scenario_Data!E44))^2+Inputs!$C$52^2-2*(Inputs!$C$52+(Scenario_Data!E44))*Inputs!$C$52*COS(SQRT((Scenario_Data!W44)^2+Inputs!$C$6^2)/Inputs!$C$52))*1000)/Inputs!$C$21*1000000</x:f>
        <x:v>4877.830054285296</x:v>
      </x:c>
      <x:c r="AP44" t="n">
        <x:f>Scenario_Data!T44</x:f>
        <x:v>-39</x:v>
      </x:c>
      <x:c r="AQ44" t="n">
        <x: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x:f>
        <x:v>2700.8810640310994</x:v>
      </x:c>
      <x:c r="AR44" t="n">
        <x:f>Scenario_Data!U44</x:f>
        <x:v>-260</x:v>
      </x:c>
      <x:c r="AS44" t="n">
        <x: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x:f>
        <x:v>2233.2466648870986</x:v>
      </x:c>
      <x:c r="AT44" t="n">
        <x:f>Scenario_Data!V44</x:f>
        <x:v>-520</x:v>
      </x:c>
      <x:c r="AU44" t="n">
        <x: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x:f>
        <x:v>4904.952222315528</x:v>
      </x:c>
      <x:c r="AV44" t="n">
        <x:f>Scenario_Data!W44</x:f>
        <x:v>-520</x:v>
      </x:c>
      <x:c r="AW44" t="n">
        <x: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x:f>
        <x:v>4877.328179359549</x:v>
      </x:c>
    </x:row>
    <x:row r="45">
      <x:c r="A45" t="n">
        <x:f>Chart_Data!K45</x:f>
        <x:v>-38.5</x:v>
      </x:c>
      <x:c r="B45" t="n">
        <x:f>Chart_Data!N45-Chart_Data!L45</x:f>
        <x:v>32.133994706628584</x:v>
      </x:c>
      <x:c r="D45" t="n">
        <x:f>Chart_Data!G45</x:f>
        <x:v>-38.5</x:v>
      </x:c>
      <x:c r="E45" t="n">
        <x:f>Chart_Data!H45</x:f>
        <x:v>211.63430992610967</x:v>
      </x:c>
      <x:c r="F45" t="n">
        <x:f>Chart_Data!I45</x:f>
        <x:v>211.63430992610967</x:v>
      </x:c>
      <x:c r="G45" t="n">
        <x:f>Chart_Data!J45</x:f>
        <x:v>-34.295384147954024</x:v>
      </x:c>
      <x:c r="I45" t="n">
        <x:f>Scenario_Data!A45</x:f>
        <x:v>-0.642</x:v>
      </x:c>
      <x:c r="J45" t="n">
        <x:f>Scenario_Data!H45-(((SQRT((Inputs!$C$52+(Inputs!$H$6))^2+Inputs!$C$52^2-2*(Inputs!$C$52+(Inputs!$H$6))*Inputs!$C$52*COS(SQRT((Scenario_Data!T45)^2+Inputs!$C$6^2)/Inputs!$C$52)))-(Inputs!$H$6))*1000/Inputs!$C$12)</x:f>
        <x:v>-5.997700776976217</x:v>
      </x:c>
      <x:c r="K45" t="n">
        <x:f>Scenario_Data!I45-(((SQRT((Inputs!$C$52+(Inputs!$H$7))^2+Inputs!$C$52^2-2*(Inputs!$C$52+(Inputs!$H$7))*Inputs!$C$52*COS(SQRT((Scenario_Data!U45)^2+Inputs!$C$6^2)/Inputs!$C$52)))-(Inputs!$H$7))*1000/Inputs!$C$12)</x:f>
        <x:v>-47010.236953450076</x:v>
      </x:c>
      <x:c r="L45" t="n">
        <x:f>Scenario_Data!J45-(((SQRT((Inputs!$C$52+(Inputs!$H$8))^2+Inputs!$C$52^2-2*(Inputs!$C$52+(Inputs!$H$8))*Inputs!$C$52*COS(SQRT((Scenario_Data!V45)^2+Inputs!$C$6^2)/Inputs!$C$52)))-(Inputs!$H$8))*1000/Inputs!$C$12)</x:f>
        <x:v>-109023.11773384287</x:v>
      </x:c>
      <x:c r="M45" t="n">
        <x:f>Scenario_Data!K45-(((SQRT((Inputs!$C$52+(Inputs!$H$9))^2+Inputs!$C$52^2-2*(Inputs!$C$52+(Inputs!$H$9))*Inputs!$C$52*COS(SQRT((Scenario_Data!W45)^2+Inputs!$C$6^2)/Inputs!$C$52)))-(Inputs!$H$9))*1000/Inputs!$C$12)</x:f>
        <x:v>-112457.35129337231</x:v>
      </x:c>
      <x:c r="O45" t="n">
        <x:f>Scenario_Data!T45</x:f>
        <x:v>-38.519999999999996</x:v>
      </x:c>
      <x:c r="P45" t="n">
        <x:f>2*(Scenario_Data!B45*1000)/Inputs!$C$21*1000000</x:f>
        <x:v>2679.5114105238763</x:v>
      </x:c>
      <x:c r="Q45" t="n">
        <x:f>Scenario_Data!U45</x:f>
        <x:v>-256.8</x:v>
      </x:c>
      <x:c r="R45" t="n">
        <x:f>2*(Scenario_Data!C45*1000)/Inputs!$C$21*1000000</x:f>
        <x:v>1237.1215822914398</x:v>
      </x:c>
      <x:c r="S45" t="n">
        <x:f>Scenario_Data!V45</x:f>
        <x:v>-513.6</x:v>
      </x:c>
      <x:c r="T45" t="n">
        <x:f>2*(Scenario_Data!D45*1000)/Inputs!$C$21*1000000</x:f>
        <x:v>2886.9189230904535</x:v>
      </x:c>
      <x:c r="U45" t="n">
        <x:f>Scenario_Data!W45</x:f>
        <x:v>-513.6</x:v>
      </x:c>
      <x:c r="V45" t="n">
        <x:f>2*(Scenario_Data!E45*1000)/Inputs!$C$21*1000000</x:f>
        <x:v>2847.7027263974737</x:v>
      </x:c>
      <x:c r="X45" t="n">
        <x:f>Scenario_Data!T45</x:f>
        <x:v>-38.519999999999996</x:v>
      </x:c>
      <x:c r="Y45" t="n">
        <x: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x:f>
        <x:v>2679.7722655199436</x:v>
      </x:c>
      <x:c r="Z45" t="n">
        <x:f>Scenario_Data!U45</x:f>
        <x:v>-256.8</x:v>
      </x:c>
      <x:c r="AA45" t="n">
        <x: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x:f>
        <x:v>1237.2988669437996</x:v>
      </x:c>
      <x:c r="AB45" t="n">
        <x:f>Scenario_Data!V45</x:f>
        <x:v>-513.6</x:v>
      </x:c>
      <x:c r="AC45" t="n">
        <x: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x:f>
        <x:v>2886.8093182607818</x:v>
      </x:c>
      <x:c r="AD45" t="n">
        <x:f>Scenario_Data!W45</x:f>
        <x:v>-513.6</x:v>
      </x:c>
      <x:c r="AE45" t="n">
        <x: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x:f>
        <x:v>2847.5931215678015</x:v>
      </x:c>
      <x:c r="AG45" t="n">
        <x:f>Scenario_Data!T45</x:f>
        <x:v>-38.519999999999996</x:v>
      </x:c>
      <x:c r="AH45" t="n">
        <x:f>2*(SQRT((Inputs!$C$52+(Scenario_Data!B45))^2+Inputs!$C$52^2-2*(Inputs!$C$52+(Scenario_Data!B45))*Inputs!$C$52*COS(SQRT((Scenario_Data!T45)^2+Inputs!$C$6^2)/Inputs!$C$52))*1000)/Inputs!$C$21*1000000</x:f>
        <x:v>2701.440098131209</x:v>
      </x:c>
      <x:c r="AI45" t="n">
        <x:f>Scenario_Data!U45</x:f>
        <x:v>-256.8</x:v>
      </x:c>
      <x:c r="AJ45" t="n">
        <x:f>2*(SQRT((Inputs!$C$52+(Scenario_Data!C45))^2+Inputs!$C$52^2-2*(Inputs!$C$52+(Scenario_Data!C45))*Inputs!$C$52*COS(SQRT((Scenario_Data!U45)^2+Inputs!$C$6^2)/Inputs!$C$52))*1000)/Inputs!$C$21*1000000</x:f>
        <x:v>2199.4914513372773</x:v>
      </x:c>
      <x:c r="AK45" t="n">
        <x:f>Scenario_Data!V45</x:f>
        <x:v>-513.6</x:v>
      </x:c>
      <x:c r="AL45" t="n">
        <x:f>2*(SQRT((Inputs!$C$52+(Scenario_Data!D45))^2+Inputs!$C$52^2-2*(Inputs!$C$52+(Scenario_Data!D45))*Inputs!$C$52*COS(SQRT((Scenario_Data!V45)^2+Inputs!$C$6^2)/Inputs!$C$52))*1000)/Inputs!$C$21*1000000</x:f>
        <x:v>4819.683887182145</x:v>
      </x:c>
      <x:c r="AM45" t="n">
        <x:f>Scenario_Data!W45</x:f>
        <x:v>-513.6</x:v>
      </x:c>
      <x:c r="AN45" t="n">
        <x:f>2*(SQRT((Inputs!$C$52+(Scenario_Data!E45))^2+Inputs!$C$52^2-2*(Inputs!$C$52+(Scenario_Data!E45))*Inputs!$C$52*COS(SQRT((Scenario_Data!W45)^2+Inputs!$C$6^2)/Inputs!$C$52))*1000)/Inputs!$C$21*1000000</x:f>
        <x:v>4791.715932694854</x:v>
      </x:c>
      <x:c r="AP45" t="n">
        <x:f>Scenario_Data!T45</x:f>
        <x:v>-38.519999999999996</x:v>
      </x:c>
      <x:c r="AQ45" t="n">
        <x: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x:f>
        <x:v>2700.0703913209777</x:v>
      </x:c>
      <x:c r="AR45" t="n">
        <x:f>Scenario_Data!U45</x:f>
        <x:v>-256.8</x:v>
      </x:c>
      <x:c r="AS45" t="n">
        <x: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x:f>
        <x:v>2199.1466378667237</x:v>
      </x:c>
      <x:c r="AT45" t="n">
        <x:f>Scenario_Data!V45</x:f>
        <x:v>-513.6</x:v>
      </x:c>
      <x:c r="AU45" t="n">
        <x: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x:f>
        <x:v>4819.191173047067</x:v>
      </x:c>
      <x:c r="AV45" t="n">
        <x:f>Scenario_Data!W45</x:f>
        <x:v>-513.6</x:v>
      </x:c>
      <x:c r="AW45" t="n">
        <x: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x:f>
        <x:v>4791.228813085901</x:v>
      </x:c>
    </x:row>
    <x:row r="46">
      <x:c r="A46" t="n">
        <x:f>Chart_Data!K46</x:f>
        <x:v>-38</x:v>
      </x:c>
      <x:c r="B46" t="n">
        <x:f>Chart_Data!N46-Chart_Data!L46</x:f>
        <x:v>19.12172334847037</x:v>
      </x:c>
      <x:c r="D46" t="n">
        <x:f>Chart_Data!G46</x:f>
        <x:v>-38</x:v>
      </x:c>
      <x:c r="E46" t="n">
        <x:f>Chart_Data!H46</x:f>
        <x:v>202.93658014849487</x:v>
      </x:c>
      <x:c r="F46" t="n">
        <x:f>Chart_Data!I46</x:f>
        <x:v>202.93658014849487</x:v>
      </x:c>
      <x:c r="G46" t="n">
        <x:f>Chart_Data!J46</x:f>
        <x:v>-21.15737906152213</x:v>
      </x:c>
      <x:c r="I46" t="n">
        <x:f>Scenario_Data!A46</x:f>
        <x:v>-0.633</x:v>
      </x:c>
      <x:c r="J46" t="n">
        <x:f>Scenario_Data!H46-(((SQRT((Inputs!$C$52+(Inputs!$H$6))^2+Inputs!$C$52^2-2*(Inputs!$C$52+(Inputs!$H$6))*Inputs!$C$52*COS(SQRT((Scenario_Data!T46)^2+Inputs!$C$6^2)/Inputs!$C$52)))-(Inputs!$H$6))*1000/Inputs!$C$12)</x:f>
        <x:v>-5.718636339065142</x:v>
      </x:c>
      <x:c r="K46" t="n">
        <x:f>Scenario_Data!I46-(((SQRT((Inputs!$C$52+(Inputs!$H$7))^2+Inputs!$C$52^2-2*(Inputs!$C$52+(Inputs!$H$7))*Inputs!$C$52*COS(SQRT((Scenario_Data!U46)^2+Inputs!$C$6^2)/Inputs!$C$52)))-(Inputs!$H$7))*1000/Inputs!$C$12)</x:f>
        <x:v>-45873.67978905515</x:v>
      </x:c>
      <x:c r="L46" t="n">
        <x:f>Scenario_Data!J46-(((SQRT((Inputs!$C$52+(Inputs!$H$8))^2+Inputs!$C$52^2-2*(Inputs!$C$52+(Inputs!$H$8))*Inputs!$C$52*COS(SQRT((Scenario_Data!V46)^2+Inputs!$C$6^2)/Inputs!$C$52)))-(Inputs!$H$8))*1000/Inputs!$C$12)</x:f>
        <x:v>-106824.4548063117</x:v>
      </x:c>
      <x:c r="M46" t="n">
        <x:f>Scenario_Data!K46-(((SQRT((Inputs!$C$52+(Inputs!$H$9))^2+Inputs!$C$52^2-2*(Inputs!$C$52+(Inputs!$H$9))*Inputs!$C$52*COS(SQRT((Scenario_Data!W46)^2+Inputs!$C$6^2)/Inputs!$C$52)))-(Inputs!$H$9))*1000/Inputs!$C$12)</x:f>
        <x:v>-110232.99428005796</x:v>
      </x:c>
      <x:c r="O46" t="n">
        <x:f>Scenario_Data!T46</x:f>
        <x:v>-37.980000000000004</x:v>
      </x:c>
      <x:c r="P46" t="n">
        <x:f>2*(Scenario_Data!B46*1000)/Inputs!$C$21*1000000</x:f>
        <x:v>2679.205198684485</x:v>
      </x:c>
      <x:c r="Q46" t="n">
        <x:f>Scenario_Data!U46</x:f>
        <x:v>-253.2</x:v>
      </x:c>
      <x:c r="R46" t="n">
        <x:f>2*(Scenario_Data!C46*1000)/Inputs!$C$21*1000000</x:f>
        <x:v>1209.1797519469287</x:v>
      </x:c>
      <x:c r="S46" t="n">
        <x:f>Scenario_Data!V46</x:f>
        <x:v>-506.4</x:v>
      </x:c>
      <x:c r="T46" t="n">
        <x:f>2*(Scenario_Data!D46*1000)/Inputs!$C$21*1000000</x:f>
        <x:v>2813.045316837157</x:v>
      </x:c>
      <x:c r="U46" t="n">
        <x:f>Scenario_Data!W46</x:f>
        <x:v>-506.4</x:v>
      </x:c>
      <x:c r="V46" t="n">
        <x:f>2*(Scenario_Data!E46*1000)/Inputs!$C$21*1000000</x:f>
        <x:v>2773.063590545697</x:v>
      </x:c>
      <x:c r="X46" t="n">
        <x:f>Scenario_Data!T46</x:f>
        <x:v>-37.980000000000004</x:v>
      </x:c>
      <x:c r="Y46" t="n">
        <x: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x:f>
        <x:v>2679.480044723954</x:v>
      </x:c>
      <x:c r="Z46" t="n">
        <x:f>Scenario_Data!U46</x:f>
        <x:v>-253.2</x:v>
      </x:c>
      <x:c r="AA46" t="n">
        <x: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x:f>
        <x:v>1209.275771725714</x:v>
      </x:c>
      <x:c r="AB46" t="n">
        <x:f>Scenario_Data!V46</x:f>
        <x:v>-506.4</x:v>
      </x:c>
      <x:c r="AC46" t="n">
        <x: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x:f>
        <x:v>2813.212575155435</x:v>
      </x:c>
      <x:c r="AD46" t="n">
        <x:f>Scenario_Data!W46</x:f>
        <x:v>-506.4</x:v>
      </x:c>
      <x:c r="AE46" t="n">
        <x: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x:f>
        <x:v>2773.230848863975</x:v>
      </x:c>
      <x:c r="AG46" t="n">
        <x:f>Scenario_Data!T46</x:f>
        <x:v>-37.980000000000004</x:v>
      </x:c>
      <x:c r="AH46" t="n">
        <x:f>2*(SQRT((Inputs!$C$52+(Scenario_Data!B46))^2+Inputs!$C$52^2-2*(Inputs!$C$52+(Scenario_Data!B46))*Inputs!$C$52*COS(SQRT((Scenario_Data!T46)^2+Inputs!$C$6^2)/Inputs!$C$52))*1000)/Inputs!$C$21*1000000</x:f>
        <x:v>2700.7079925706203</x:v>
      </x:c>
      <x:c r="AI46" t="n">
        <x:f>Scenario_Data!U46</x:f>
        <x:v>-253.2</x:v>
      </x:c>
      <x:c r="AJ46" t="n">
        <x:f>2*(SQRT((Inputs!$C$52+(Scenario_Data!C46))^2+Inputs!$C$52^2-2*(Inputs!$C$52+(Scenario_Data!C46))*Inputs!$C$52*COS(SQRT((Scenario_Data!U46)^2+Inputs!$C$6^2)/Inputs!$C$52))*1000)/Inputs!$C$21*1000000</x:f>
        <x:v>2161.1762766414804</x:v>
      </x:c>
      <x:c r="AK46" t="n">
        <x:f>Scenario_Data!V46</x:f>
        <x:v>-506.4</x:v>
      </x:c>
      <x:c r="AL46" t="n">
        <x:f>2*(SQRT((Inputs!$C$52+(Scenario_Data!D46))^2+Inputs!$C$52^2-2*(Inputs!$C$52+(Scenario_Data!D46))*Inputs!$C$52*COS(SQRT((Scenario_Data!V46)^2+Inputs!$C$6^2)/Inputs!$C$52))*1000)/Inputs!$C$21*1000000</x:f>
        <x:v>4724.166723978402</x:v>
      </x:c>
      <x:c r="AM46" t="n">
        <x:f>Scenario_Data!W46</x:f>
        <x:v>-506.4</x:v>
      </x:c>
      <x:c r="AN46" t="n">
        <x:f>2*(SQRT((Inputs!$C$52+(Scenario_Data!E46))^2+Inputs!$C$52^2-2*(Inputs!$C$52+(Scenario_Data!E46))*Inputs!$C$52*COS(SQRT((Scenario_Data!W46)^2+Inputs!$C$6^2)/Inputs!$C$52))*1000)/Inputs!$C$21*1000000</x:f>
        <x:v>4695.834666007484</x:v>
      </x:c>
      <x:c r="AP46" t="n">
        <x:f>Scenario_Data!T46</x:f>
        <x:v>-37.980000000000004</x:v>
      </x:c>
      <x:c r="AQ46" t="n">
        <x: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x:f>
        <x:v>2699.2430908261645</x:v>
      </x:c>
      <x:c r="AR46" t="n">
        <x:f>Scenario_Data!U46</x:f>
        <x:v>-253.2</x:v>
      </x:c>
      <x:c r="AS46" t="n">
        <x: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x:f>
        <x:v>2160.851579664378</x:v>
      </x:c>
      <x:c r="AT46" t="n">
        <x:f>Scenario_Data!V46</x:f>
        <x:v>-506.4</x:v>
      </x:c>
      <x:c r="AU46" t="n">
        <x: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x:f>
        <x:v>4723.98050134968</x:v>
      </x:c>
      <x:c r="AV46" t="n">
        <x:f>Scenario_Data!W46</x:f>
        <x:v>-506.4</x:v>
      </x:c>
      <x:c r="AW46" t="n">
        <x: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x:f>
        <x:v>4695.650666460148</x:v>
      </x:c>
    </x:row>
    <x:row r="47">
      <x:c r="A47" t="n">
        <x:f>Chart_Data!K47</x:f>
        <x:v>-37.5</x:v>
      </x:c>
      <x:c r="B47" t="n">
        <x:f>Chart_Data!N47-Chart_Data!L47</x:f>
        <x:v>16.33682565185896</x:v>
      </x:c>
      <x:c r="D47" t="n">
        <x:f>Chart_Data!G47</x:f>
        <x:v>-37.5</x:v>
      </x:c>
      <x:c r="E47" t="n">
        <x:f>Chart_Data!H47</x:f>
        <x:v>239.1871485288169</x:v>
      </x:c>
      <x:c r="F47" t="n">
        <x:f>Chart_Data!I47</x:f>
        <x:v>239.1871485288169</x:v>
      </x:c>
      <x:c r="G47" t="n">
        <x:f>Chart_Data!J47</x:f>
        <x:v>-18.69341167436205</x:v>
      </x:c>
      <x:c r="I47" t="n">
        <x:f>Scenario_Data!A47</x:f>
        <x:v>-0.625</x:v>
      </x:c>
      <x:c r="J47" t="n">
        <x:f>Scenario_Data!H47-(((SQRT((Inputs!$C$52+(Inputs!$H$6))^2+Inputs!$C$52^2-2*(Inputs!$C$52+(Inputs!$H$6))*Inputs!$C$52*COS(SQRT((Scenario_Data!T47)^2+Inputs!$C$6^2)/Inputs!$C$52)))-(Inputs!$H$6))*1000/Inputs!$C$12)</x:f>
        <x:v>-5.479103372775171</x:v>
      </x:c>
      <x:c r="K47" t="n">
        <x:f>Scenario_Data!I47-(((SQRT((Inputs!$C$52+(Inputs!$H$7))^2+Inputs!$C$52^2-2*(Inputs!$C$52+(Inputs!$H$7))*Inputs!$C$52*COS(SQRT((Scenario_Data!U47)^2+Inputs!$C$6^2)/Inputs!$C$52)))-(Inputs!$H$7))*1000/Inputs!$C$12)</x:f>
        <x:v>-44869.024435891464</x:v>
      </x:c>
      <x:c r="L47" t="n">
        <x:f>Scenario_Data!J47-(((SQRT((Inputs!$C$52+(Inputs!$H$8))^2+Inputs!$C$52^2-2*(Inputs!$C$52+(Inputs!$H$8))*Inputs!$C$52*COS(SQRT((Scenario_Data!V47)^2+Inputs!$C$6^2)/Inputs!$C$52)))-(Inputs!$H$8))*1000/Inputs!$C$12)</x:f>
        <x:v>-104869.82387216578</x:v>
      </x:c>
      <x:c r="M47" t="n">
        <x:f>Scenario_Data!K47-(((SQRT((Inputs!$C$52+(Inputs!$H$9))^2+Inputs!$C$52^2-2*(Inputs!$C$52+(Inputs!$H$9))*Inputs!$C$52*COS(SQRT((Scenario_Data!W47)^2+Inputs!$C$6^2)/Inputs!$C$52)))-(Inputs!$H$9))*1000/Inputs!$C$12)</x:f>
        <x:v>-108254.93665267841</x:v>
      </x:c>
      <x:c r="O47" t="n">
        <x:f>Scenario_Data!T47</x:f>
        <x:v>-37.5</x:v>
      </x:c>
      <x:c r="P47" t="n">
        <x:f>2*(Scenario_Data!B47*1000)/Inputs!$C$21*1000000</x:f>
        <x:v>2678.9366395601587</x:v>
      </x:c>
      <x:c r="Q47" t="n">
        <x:f>Scenario_Data!U47</x:f>
        <x:v>-250</x:v>
      </x:c>
      <x:c r="R47" t="n">
        <x:f>2*(Scenario_Data!C47*1000)/Inputs!$C$21*1000000</x:f>
        <x:v>1184.6737318521868</x:v>
      </x:c>
      <x:c r="S47" t="n">
        <x:f>Scenario_Data!V47</x:f>
        <x:v>-500</x:v>
      </x:c>
      <x:c r="T47" t="n">
        <x:f>2*(Scenario_Data!D47*1000)/Inputs!$C$21*1000000</x:f>
        <x:v>2748.2554280935246</x:v>
      </x:c>
      <x:c r="U47" t="n">
        <x:f>Scenario_Data!W47</x:f>
        <x:v>-500</x:v>
      </x:c>
      <x:c r="V47" t="n">
        <x:f>2*(Scenario_Data!E47*1000)/Inputs!$C$21*1000000</x:f>
        <x:v>2707.6023039912498</x:v>
      </x:c>
      <x:c r="X47" t="n">
        <x:f>Scenario_Data!T47</x:f>
        <x:v>-37.5</x:v>
      </x:c>
      <x:c r="Y47" t="n">
        <x: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x:f>
        <x:v>2679.061348579185</x:v>
      </x:c>
      <x:c r="Z47" t="n">
        <x:f>Scenario_Data!U47</x:f>
        <x:v>-250</x:v>
      </x:c>
      <x:c r="AA47" t="n">
        <x: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x:f>
        <x:v>1184.3076782731637</x:v>
      </x:c>
      <x:c r="AB47" t="n">
        <x:f>Scenario_Data!V47</x:f>
        <x:v>-500</x:v>
      </x:c>
      <x:c r="AC47" t="n">
        <x: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x:f>
        <x:v>2747.97840059239</x:v>
      </x:c>
      <x:c r="AD47" t="n">
        <x:f>Scenario_Data!W47</x:f>
        <x:v>-500</x:v>
      </x:c>
      <x:c r="AE47" t="n">
        <x: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x:f>
        <x:v>2707.325276490115</x:v>
      </x:c>
      <x:c r="AG47" t="n">
        <x:f>Scenario_Data!T47</x:f>
        <x:v>-37.5</x:v>
      </x:c>
      <x:c r="AH47" t="n">
        <x:f>2*(SQRT((Inputs!$C$52+(Scenario_Data!B47))^2+Inputs!$C$52^2-2*(Inputs!$C$52+(Scenario_Data!B47))*Inputs!$C$52*COS(SQRT((Scenario_Data!T47)^2+Inputs!$C$6^2)/Inputs!$C$52))*1000)/Inputs!$C$21*1000000</x:f>
        <x:v>2700.065789554835</x:v>
      </x:c>
      <x:c r="AI47" t="n">
        <x:f>Scenario_Data!U47</x:f>
        <x:v>-250</x:v>
      </x:c>
      <x:c r="AJ47" t="n">
        <x:f>2*(SQRT((Inputs!$C$52+(Scenario_Data!C47))^2+Inputs!$C$52^2-2*(Inputs!$C$52+(Scenario_Data!C47))*Inputs!$C$52*COS(SQRT((Scenario_Data!U47)^2+Inputs!$C$6^2)/Inputs!$C$52))*1000)/Inputs!$C$21*1000000</x:f>
        <x:v>2127.3887833117165</x:v>
      </x:c>
      <x:c r="AK47" t="n">
        <x:f>Scenario_Data!V47</x:f>
        <x:v>-500</x:v>
      </x:c>
      <x:c r="AL47" t="n">
        <x:f>2*(SQRT((Inputs!$C$52+(Scenario_Data!D47))^2+Inputs!$C$52^2-2*(Inputs!$C$52+(Scenario_Data!D47))*Inputs!$C$52*COS(SQRT((Scenario_Data!V47)^2+Inputs!$C$6^2)/Inputs!$C$52))*1000)/Inputs!$C$21*1000000</x:f>
        <x:v>4640.130126474501</x:v>
      </x:c>
      <x:c r="AM47" t="n">
        <x:f>Scenario_Data!W47</x:f>
        <x:v>-500</x:v>
      </x:c>
      <x:c r="AN47" t="n">
        <x:f>2*(SQRT((Inputs!$C$52+(Scenario_Data!E47))^2+Inputs!$C$52^2-2*(Inputs!$C$52+(Scenario_Data!E47))*Inputs!$C$52*COS(SQRT((Scenario_Data!W47)^2+Inputs!$C$6^2)/Inputs!$C$52))*1000)/Inputs!$C$21*1000000</x:f>
        <x:v>4611.489216623593</x:v>
      </x:c>
      <x:c r="AP47" t="n">
        <x:f>Scenario_Data!T47</x:f>
        <x:v>-37.5</x:v>
      </x:c>
      <x:c r="AQ47" t="n">
        <x: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x:f>
        <x:v>2698.4858261088816</x:v>
      </x:c>
      <x:c r="AR47" t="n">
        <x:f>Scenario_Data!U47</x:f>
        <x:v>-250</x:v>
      </x:c>
      <x:c r="AS47" t="n">
        <x: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x:f>
        <x:v>2126.7530364399495</x:v>
      </x:c>
      <x:c r="AT47" t="n">
        <x:f>Scenario_Data!V47</x:f>
        <x:v>-500</x:v>
      </x:c>
      <x:c r="AU47" t="n">
        <x: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x:f>
        <x:v>4639.4759832506</x:v>
      </x:c>
      <x:c r="AV47" t="n">
        <x:f>Scenario_Data!W47</x:f>
        <x:v>-500</x:v>
      </x:c>
      <x:c r="AW47" t="n">
        <x: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x:f>
        <x:v>4610.84324098783</x:v>
      </x:c>
    </x:row>
    <x:row r="48">
      <x:c r="A48" t="n">
        <x:f>Chart_Data!K48</x:f>
        <x:v>-37</x:v>
      </x:c>
      <x:c r="B48" t="n">
        <x:f>Chart_Data!N48-Chart_Data!L48</x:f>
        <x:v>23.552479750778133</x:v>
      </x:c>
      <x:c r="D48" t="n">
        <x:f>Chart_Data!G48</x:f>
        <x:v>-37</x:v>
      </x:c>
      <x:c r="E48" t="n">
        <x:f>Chart_Data!H48</x:f>
        <x:v>236.18872035541293</x:v>
      </x:c>
      <x:c r="F48" t="n">
        <x:f>Chart_Data!I48</x:f>
        <x:v>236.18872035541293</x:v>
      </x:c>
      <x:c r="G48" t="n">
        <x:f>Chart_Data!J48</x:f>
        <x:v>-25.83766278531854</x:v>
      </x:c>
      <x:c r="I48" t="n">
        <x:f>Scenario_Data!A48</x:f>
        <x:v>-0.617</x:v>
      </x:c>
      <x:c r="J48" t="n">
        <x:f>Scenario_Data!H48-(((SQRT((Inputs!$C$52+(Inputs!$H$6))^2+Inputs!$C$52^2-2*(Inputs!$C$52+(Inputs!$H$6))*Inputs!$C$52*COS(SQRT((Scenario_Data!T48)^2+Inputs!$C$6^2)/Inputs!$C$52)))-(Inputs!$H$6))*1000/Inputs!$C$12)</x:f>
        <x:v>-5.247404357237883</x:v>
      </x:c>
      <x:c r="K48" t="n">
        <x:f>Scenario_Data!I48-(((SQRT((Inputs!$C$52+(Inputs!$H$7))^2+Inputs!$C$52^2-2*(Inputs!$C$52+(Inputs!$H$7))*Inputs!$C$52*COS(SQRT((Scenario_Data!U48)^2+Inputs!$C$6^2)/Inputs!$C$52)))-(Inputs!$H$7))*1000/Inputs!$C$12)</x:f>
        <x:v>-43869.822519638255</x:v>
      </x:c>
      <x:c r="L48" t="n">
        <x:f>Scenario_Data!J48-(((SQRT((Inputs!$C$52+(Inputs!$H$8))^2+Inputs!$C$52^2-2*(Inputs!$C$52+(Inputs!$H$8))*Inputs!$C$52*COS(SQRT((Scenario_Data!V48)^2+Inputs!$C$6^2)/Inputs!$C$52)))-(Inputs!$H$8))*1000/Inputs!$C$12)</x:f>
        <x:v>-102915.30156679498</x:v>
      </x:c>
      <x:c r="M48" t="n">
        <x:f>Scenario_Data!K48-(((SQRT((Inputs!$C$52+(Inputs!$H$9))^2+Inputs!$C$52^2-2*(Inputs!$C$52+(Inputs!$H$9))*Inputs!$C$52*COS(SQRT((Scenario_Data!W48)^2+Inputs!$C$6^2)/Inputs!$C$52)))-(Inputs!$H$9))*1000/Inputs!$C$12)</x:f>
        <x:v>-106276.4277099809</x:v>
      </x:c>
      <x:c r="O48" t="n">
        <x:f>Scenario_Data!T48</x:f>
        <x:v>-37.019999999999996</x:v>
      </x:c>
      <x:c r="P48" t="n">
        <x:f>2*(Scenario_Data!B48*1000)/Inputs!$C$21*1000000</x:f>
        <x:v>2678.6714961321677</x:v>
      </x:c>
      <x:c r="Q48" t="n">
        <x:f>Scenario_Data!U48</x:f>
        <x:v>-246.8</x:v>
      </x:c>
      <x:c r="R48" t="n">
        <x:f>2*(Scenario_Data!C48*1000)/Inputs!$C$21*1000000</x:f>
        <x:v>1160.4793940479983</x:v>
      </x:c>
      <x:c r="S48" t="n">
        <x:f>Scenario_Data!V48</x:f>
        <x:v>-493.6</x:v>
      </x:c>
      <x:c r="T48" t="n">
        <x:f>2*(Scenario_Data!D48*1000)/Inputs!$C$21*1000000</x:f>
        <x:v>2684.2895760906704</x:v>
      </x:c>
      <x:c r="U48" t="n">
        <x:f>Scenario_Data!W48</x:f>
        <x:v>-493.6</x:v>
      </x:c>
      <x:c r="V48" t="n">
        <x:f>2*(Scenario_Data!E48*1000)/Inputs!$C$21*1000000</x:f>
        <x:v>2642.9735934184177</x:v>
      </x:c>
      <x:c r="X48" t="n">
        <x:f>Scenario_Data!T48</x:f>
        <x:v>-37.019999999999996</x:v>
      </x:c>
      <x:c r="Y48" t="n">
        <x: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x:f>
        <x:v>2678.852471688513</x:v>
      </x:c>
      <x:c r="Z48" t="n">
        <x:f>Scenario_Data!U48</x:f>
        <x:v>-246.8</x:v>
      </x:c>
      <x:c r="AA48" t="n">
        <x: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x:f>
        <x:v>1160.1745172754654</x:v>
      </x:c>
      <x:c r="AB48" t="n">
        <x:f>Scenario_Data!V48</x:f>
        <x:v>-493.6</x:v>
      </x:c>
      <x:c r="AC48" t="n">
        <x: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x:f>
        <x:v>2684.529948367152</x:v>
      </x:c>
      <x:c r="AD48" t="n">
        <x:f>Scenario_Data!W48</x:f>
        <x:v>-493.6</x:v>
      </x:c>
      <x:c r="AE48" t="n">
        <x: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x:f>
        <x:v>2643.2139656948993</x:v>
      </x:c>
      <x:c r="AG48" t="n">
        <x:f>Scenario_Data!T48</x:f>
        <x:v>-37.019999999999996</x:v>
      </x:c>
      <x:c r="AH48" t="n">
        <x:f>2*(SQRT((Inputs!$C$52+(Scenario_Data!B48))^2+Inputs!$C$52^2-2*(Inputs!$C$52+(Scenario_Data!B48))*Inputs!$C$52*COS(SQRT((Scenario_Data!T48)^2+Inputs!$C$6^2)/Inputs!$C$52))*1000)/Inputs!$C$21*1000000</x:f>
        <x:v>2699.43164499259</x:v>
      </x:c>
      <x:c r="AI48" t="n">
        <x:f>Scenario_Data!U48</x:f>
        <x:v>-246.8</x:v>
      </x:c>
      <x:c r="AJ48" t="n">
        <x:f>2*(SQRT((Inputs!$C$52+(Scenario_Data!C48))^2+Inputs!$C$52^2-2*(Inputs!$C$52+(Scenario_Data!C48))*Inputs!$C$52*COS(SQRT((Scenario_Data!U48)^2+Inputs!$C$6^2)/Inputs!$C$52))*1000)/Inputs!$C$21*1000000</x:f>
        <x:v>2093.8541637603007</x:v>
      </x:c>
      <x:c r="AK48" t="n">
        <x:f>Scenario_Data!V48</x:f>
        <x:v>-493.6</x:v>
      </x:c>
      <x:c r="AL48" t="n">
        <x:f>2*(SQRT((Inputs!$C$52+(Scenario_Data!D48))^2+Inputs!$C$52^2-2*(Inputs!$C$52+(Scenario_Data!D48))*Inputs!$C$52*COS(SQRT((Scenario_Data!V48)^2+Inputs!$C$6^2)/Inputs!$C$52))*1000)/Inputs!$C$21*1000000</x:f>
        <x:v>4556.9061458124115</x:v>
      </x:c>
      <x:c r="AM48" t="n">
        <x:f>Scenario_Data!W48</x:f>
        <x:v>-493.6</x:v>
      </x:c>
      <x:c r="AN48" t="n">
        <x:f>2*(SQRT((Inputs!$C$52+(Scenario_Data!E48))^2+Inputs!$C$52^2-2*(Inputs!$C$52+(Scenario_Data!E48))*Inputs!$C$52*COS(SQRT((Scenario_Data!W48)^2+Inputs!$C$6^2)/Inputs!$C$52))*1000)/Inputs!$C$21*1000000</x:f>
        <x:v>4527.970342892097</x:v>
      </x:c>
      <x:c r="AP48" t="n">
        <x:f>Scenario_Data!T48</x:f>
        <x:v>-37.019999999999996</x:v>
      </x:c>
      <x:c r="AQ48" t="n">
        <x: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x:f>
        <x:v>2697.912683127855</x:v>
      </x:c>
      <x:c r="AR48" t="n">
        <x:f>Scenario_Data!U48</x:f>
        <x:v>-246.8</x:v>
      </x:c>
      <x:c r="AS48" t="n">
        <x: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x:f>
        <x:v>2093.169629426536</x:v>
      </x:c>
      <x:c r="AT48" t="n">
        <x:f>Scenario_Data!V48</x:f>
        <x:v>-493.6</x:v>
      </x:c>
      <x:c r="AU48" t="n">
        <x: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x:f>
        <x:v>4556.60858333567</x:v>
      </x:c>
      <x:c r="AV48" t="n">
        <x:f>Scenario_Data!W48</x:f>
        <x:v>-493.6</x:v>
      </x:c>
      <x:c r="AW48" t="n">
        <x: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x:f>
        <x:v>4527.676662769074</x:v>
      </x:c>
    </x:row>
    <x:row r="49">
      <x:c r="A49" t="n">
        <x:f>Chart_Data!K49</x:f>
        <x:v>-36.5</x:v>
      </x:c>
      <x:c r="B49" t="n">
        <x:f>Chart_Data!N49-Chart_Data!L49</x:f>
        <x:v>19.03166123894414</x:v>
      </x:c>
      <x:c r="D49" t="n">
        <x:f>Chart_Data!G49</x:f>
        <x:v>-36.5</x:v>
      </x:c>
      <x:c r="E49" t="n">
        <x:f>Chart_Data!H49</x:f>
        <x:v>264.8535608975177</x:v>
      </x:c>
      <x:c r="F49" t="n">
        <x:f>Chart_Data!I49</x:f>
        <x:v>264.8535608975177</x:v>
      </x:c>
      <x:c r="G49" t="n">
        <x:f>Chart_Data!J49</x:f>
        <x:v>-21.548035323184823</x:v>
      </x:c>
      <x:c r="I49" t="n">
        <x:f>Scenario_Data!A49</x:f>
        <x:v>-0.608</x:v>
      </x:c>
      <x:c r="J49" t="n">
        <x:f>Scenario_Data!H49-(((SQRT((Inputs!$C$52+(Inputs!$H$6))^2+Inputs!$C$52^2-2*(Inputs!$C$52+(Inputs!$H$6))*Inputs!$C$52*COS(SQRT((Scenario_Data!T49)^2+Inputs!$C$6^2)/Inputs!$C$52)))-(Inputs!$H$6))*1000/Inputs!$C$12)</x:f>
        <x:v>-4.995883813084447</x:v>
      </x:c>
      <x:c r="K49" t="n">
        <x:f>Scenario_Data!I49-(((SQRT((Inputs!$C$52+(Inputs!$H$7))^2+Inputs!$C$52^2-2*(Inputs!$C$52+(Inputs!$H$7))*Inputs!$C$52*COS(SQRT((Scenario_Data!U49)^2+Inputs!$C$6^2)/Inputs!$C$52)))-(Inputs!$H$7))*1000/Inputs!$C$12)</x:f>
        <x:v>-42752.44120550476</x:v>
      </x:c>
      <x:c r="L49" t="n">
        <x:f>Scenario_Data!J49-(((SQRT((Inputs!$C$52+(Inputs!$H$8))^2+Inputs!$C$52^2-2*(Inputs!$C$52+(Inputs!$H$8))*Inputs!$C$52*COS(SQRT((Scenario_Data!V49)^2+Inputs!$C$6^2)/Inputs!$C$52)))-(Inputs!$H$8))*1000/Inputs!$C$12)</x:f>
        <x:v>-100717.03311684405</x:v>
      </x:c>
      <x:c r="M49" t="n">
        <x:f>Scenario_Data!K49-(((SQRT((Inputs!$C$52+(Inputs!$H$9))^2+Inputs!$C$52^2-2*(Inputs!$C$52+(Inputs!$H$9))*Inputs!$C$52*COS(SQRT((Scenario_Data!W49)^2+Inputs!$C$6^2)/Inputs!$C$52)))-(Inputs!$H$9))*1000/Inputs!$C$12)</x:f>
        <x:v>-104050.49672552577</x:v>
      </x:c>
      <x:c r="O49" t="n">
        <x:f>Scenario_Data!T49</x:f>
        <x:v>-36.480000000000004</x:v>
      </x:c>
      <x:c r="P49" t="n">
        <x:f>2*(Scenario_Data!B49*1000)/Inputs!$C$21*1000000</x:f>
        <x:v>2678.377292600203</x:v>
      </x:c>
      <x:c r="Q49" t="n">
        <x:f>Scenario_Data!U49</x:f>
        <x:v>-243.2</x:v>
      </x:c>
      <x:c r="R49" t="n">
        <x:f>2*(Scenario_Data!C49*1000)/Inputs!$C$21*1000000</x:f>
        <x:v>1133.633321756213</x:v>
      </x:c>
      <x:c r="S49" t="n">
        <x:f>Scenario_Data!V49</x:f>
        <x:v>-486.4</x:v>
      </x:c>
      <x:c r="T49" t="n">
        <x:f>2*(Scenario_Data!D49*1000)/Inputs!$C$21*1000000</x:f>
        <x:v>2613.312974004169</x:v>
      </x:c>
      <x:c r="U49" t="n">
        <x:f>Scenario_Data!W49</x:f>
        <x:v>-486.4</x:v>
      </x:c>
      <x:c r="V49" t="n">
        <x:f>2*(Scenario_Data!E49*1000)/Inputs!$C$21*1000000</x:f>
        <x:v>2571.2614825020046</x:v>
      </x:c>
      <x:c r="X49" t="n">
        <x:f>Scenario_Data!T49</x:f>
        <x:v>-36.480000000000004</x:v>
      </x:c>
      <x:c r="Y49" t="n">
        <x: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x:f>
        <x:v>2678.5467573407996</x:v>
      </x:c>
      <x:c r="Z49" t="n">
        <x:f>Scenario_Data!U49</x:f>
        <x:v>-243.2</x:v>
      </x:c>
      <x:c r="AA49" t="n">
        <x: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x:f>
        <x:v>1133.8318204369273</x:v>
      </x:c>
      <x:c r="AB49" t="n">
        <x:f>Scenario_Data!V49</x:f>
        <x:v>-486.4</x:v>
      </x:c>
      <x:c r="AC49" t="n">
        <x: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x:f>
        <x:v>2613.1887828674326</x:v>
      </x:c>
      <x:c r="AD49" t="n">
        <x:f>Scenario_Data!W49</x:f>
        <x:v>-486.4</x:v>
      </x:c>
      <x:c r="AE49" t="n">
        <x: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x:f>
        <x:v>2571.137291365268</x:v>
      </x:c>
      <x:c r="AG49" t="n">
        <x:f>Scenario_Data!T49</x:f>
        <x:v>-36.480000000000004</x:v>
      </x:c>
      <x:c r="AH49" t="n">
        <x:f>2*(SQRT((Inputs!$C$52+(Scenario_Data!B49))^2+Inputs!$C$52^2-2*(Inputs!$C$52+(Scenario_Data!B49))*Inputs!$C$52*COS(SQRT((Scenario_Data!T49)^2+Inputs!$C$6^2)/Inputs!$C$52))*1000)/Inputs!$C$21*1000000</x:f>
        <x:v>2698.7278698689106</x:v>
      </x:c>
      <x:c r="AI49" t="n">
        <x:f>Scenario_Data!U49</x:f>
        <x:v>-243.2</x:v>
      </x:c>
      <x:c r="AJ49" t="n">
        <x:f>2*(SQRT((Inputs!$C$52+(Scenario_Data!C49))^2+Inputs!$C$52^2-2*(Inputs!$C$52+(Scenario_Data!C49))*Inputs!$C$52*COS(SQRT((Scenario_Data!U49)^2+Inputs!$C$6^2)/Inputs!$C$52))*1000)/Inputs!$C$21*1000000</x:f>
        <x:v>2056.427974395935</x:v>
      </x:c>
      <x:c r="AK49" t="n">
        <x:f>Scenario_Data!V49</x:f>
        <x:v>-486.4</x:v>
      </x:c>
      <x:c r="AL49" t="n">
        <x:f>2*(SQRT((Inputs!$C$52+(Scenario_Data!D49))^2+Inputs!$C$52^2-2*(Inputs!$C$52+(Scenario_Data!D49))*Inputs!$C$52*COS(SQRT((Scenario_Data!V49)^2+Inputs!$C$6^2)/Inputs!$C$52))*1000)/Inputs!$C$21*1000000</x:f>
        <x:v>4464.245699599919</x:v>
      </x:c>
      <x:c r="AM49" t="n">
        <x:f>Scenario_Data!W49</x:f>
        <x:v>-486.4</x:v>
      </x:c>
      <x:c r="AN49" t="n">
        <x:f>2*(SQRT((Inputs!$C$52+(Scenario_Data!E49))^2+Inputs!$C$52^2-2*(Inputs!$C$52+(Scenario_Data!E49))*Inputs!$C$52*COS(SQRT((Scenario_Data!W49)^2+Inputs!$C$6^2)/Inputs!$C$52))*1000)/Inputs!$C$21*1000000</x:f>
        <x:v>4434.994862669753</x:v>
      </x:c>
      <x:c r="AP49" t="n">
        <x:f>Scenario_Data!T49</x:f>
        <x:v>-36.480000000000004</x:v>
      </x:c>
      <x:c r="AQ49" t="n">
        <x: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x:f>
        <x:v>2697.0681163678028</x:v>
      </x:c>
      <x:c r="AR49" t="n">
        <x:f>Scenario_Data!U49</x:f>
        <x:v>-243.2</x:v>
      </x:c>
      <x:c r="AS49" t="n">
        <x: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x:f>
        <x:v>2056.0497159682136</x:v>
      </x:c>
      <x:c r="AT49" t="n">
        <x:f>Scenario_Data!V49</x:f>
        <x:v>-486.4</x:v>
      </x:c>
      <x:c r="AU49" t="n">
        <x: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x:f>
        <x:v>4463.78426007426</x:v>
      </x:c>
      <x:c r="AV49" t="n">
        <x:f>Scenario_Data!W49</x:f>
        <x:v>-486.4</x:v>
      </x:c>
      <x:c r="AW49" t="n">
        <x: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x:f>
        <x:v>4434.539750557736</x:v>
      </x:c>
    </x:row>
    <x:row r="50">
      <x:c r="A50" t="n">
        <x:f>Chart_Data!K50</x:f>
        <x:v>-36</x:v>
      </x:c>
      <x:c r="B50" t="n">
        <x:f>Chart_Data!N50-Chart_Data!L50</x:f>
        <x:v>-0.2623218193104435</x:v>
      </x:c>
      <x:c r="D50" t="n">
        <x:f>Chart_Data!G50</x:f>
        <x:v>-36</x:v>
      </x:c>
      <x:c r="E50" t="n">
        <x:f>Chart_Data!H50</x:f>
        <x:v>273.24610443212225</x:v>
      </x:c>
      <x:c r="F50" t="n">
        <x:f>Chart_Data!I50</x:f>
        <x:v>273.24610443212225</x:v>
      </x:c>
      <x:c r="G50" t="n">
        <x:f>Chart_Data!J50</x:f>
        <x:v>-2.286662206392558</x:v>
      </x:c>
      <x:c r="I50" t="n">
        <x:f>Scenario_Data!A50</x:f>
        <x:v>-0.6</x:v>
      </x:c>
      <x:c r="J50" t="n">
        <x:f>Scenario_Data!H50-(((SQRT((Inputs!$C$52+(Inputs!$H$6))^2+Inputs!$C$52^2-2*(Inputs!$C$52+(Inputs!$H$6))*Inputs!$C$52*COS(SQRT((Scenario_Data!T50)^2+Inputs!$C$6^2)/Inputs!$C$52)))-(Inputs!$H$6))*1000/Inputs!$C$12)</x:f>
        <x:v>-4.780239127223922</x:v>
      </x:c>
      <x:c r="K50" t="n">
        <x:f>Scenario_Data!I50-(((SQRT((Inputs!$C$52+(Inputs!$H$7))^2+Inputs!$C$52^2-2*(Inputs!$C$52+(Inputs!$H$7))*Inputs!$C$52*COS(SQRT((Scenario_Data!U50)^2+Inputs!$C$6^2)/Inputs!$C$52)))-(Inputs!$H$7))*1000/Inputs!$C$12)</x:f>
        <x:v>-41765.370410184376</x:v>
      </x:c>
      <x:c r="L50" t="n">
        <x:f>Scenario_Data!J50-(((SQRT((Inputs!$C$52+(Inputs!$H$8))^2+Inputs!$C$52^2-2*(Inputs!$C$52+(Inputs!$H$8))*Inputs!$C$52*COS(SQRT((Scenario_Data!V50)^2+Inputs!$C$6^2)/Inputs!$C$52)))-(Inputs!$H$8))*1000/Inputs!$C$12)</x:f>
        <x:v>-98763.92423983713</x:v>
      </x:c>
      <x:c r="M50" t="n">
        <x:f>Scenario_Data!K50-(((SQRT((Inputs!$C$52+(Inputs!$H$9))^2+Inputs!$C$52^2-2*(Inputs!$C$52+(Inputs!$H$9))*Inputs!$C$52*COS(SQRT((Scenario_Data!W50)^2+Inputs!$C$6^2)/Inputs!$C$52)))-(Inputs!$H$9))*1000/Inputs!$C$12)</x:f>
        <x:v>-102072.18940950758</x:v>
      </x:c>
      <x:c r="O50" t="n">
        <x:f>Scenario_Data!T50</x:f>
        <x:v>-36</x:v>
      </x:c>
      <x:c r="P50" t="n">
        <x:f>2*(Scenario_Data!B50*1000)/Inputs!$C$21*1000000</x:f>
        <x:v>2678.119407526923</x:v>
      </x:c>
      <x:c r="Q50" t="n">
        <x:f>Scenario_Data!U50</x:f>
        <x:v>-240</x:v>
      </x:c>
      <x:c r="R50" t="n">
        <x:f>2*(Scenario_Data!C50*1000)/Inputs!$C$21*1000000</x:f>
        <x:v>1110.1013088194502</x:v>
      </x:c>
      <x:c r="S50" t="n">
        <x:f>Scenario_Data!V50</x:f>
        <x:v>-480</x:v>
      </x:c>
      <x:c r="T50" t="n">
        <x:f>2*(Scenario_Data!D50*1000)/Inputs!$C$21*1000000</x:f>
        <x:v>2551.098200075467</x:v>
      </x:c>
      <x:c r="U50" t="n">
        <x:f>Scenario_Data!W50</x:f>
        <x:v>-480</x:v>
      </x:c>
      <x:c r="V50" t="n">
        <x:f>2*(Scenario_Data!E50*1000)/Inputs!$C$21*1000000</x:f>
        <x:v>2508.4019958901035</x:v>
      </x:c>
      <x:c r="X50" t="n">
        <x:f>Scenario_Data!T50</x:f>
        <x:v>-36</x:v>
      </x:c>
      <x:c r="Y50" t="n">
        <x: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x:f>
        <x:v>2678.134662495121</x:v>
      </x:c>
      <x:c r="Z50" t="n">
        <x:f>Scenario_Data!U50</x:f>
        <x:v>-240</x:v>
      </x:c>
      <x:c r="AA50" t="n">
        <x: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x:f>
        <x:v>1110.4114575267997</x:v>
      </x:c>
      <x:c r="AB50" t="n">
        <x:f>Scenario_Data!V50</x:f>
        <x:v>-480</x:v>
      </x:c>
      <x:c r="AC50" t="n">
        <x: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x:f>
        <x:v>2550.8882906400845</x:v>
      </x:c>
      <x:c r="AD50" t="n">
        <x:f>Scenario_Data!W50</x:f>
        <x:v>-480</x:v>
      </x:c>
      <x:c r="AE50" t="n">
        <x: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x:f>
        <x:v>2508.192086454721</x:v>
      </x:c>
      <x:c r="AG50" t="n">
        <x:f>Scenario_Data!T50</x:f>
        <x:v>-36</x:v>
      </x:c>
      <x:c r="AH50" t="n">
        <x:f>2*(SQRT((Inputs!$C$52+(Scenario_Data!B50))^2+Inputs!$C$52^2-2*(Inputs!$C$52+(Scenario_Data!B50))*Inputs!$C$52*COS(SQRT((Scenario_Data!T50)^2+Inputs!$C$6^2)/Inputs!$C$52))*1000)/Inputs!$C$21*1000000</x:f>
        <x:v>2698.110863168117</x:v>
      </x:c>
      <x:c r="AI50" t="n">
        <x:f>Scenario_Data!U50</x:f>
        <x:v>-240</x:v>
      </x:c>
      <x:c r="AJ50" t="n">
        <x:f>2*(SQRT((Inputs!$C$52+(Scenario_Data!C50))^2+Inputs!$C$52^2-2*(Inputs!$C$52+(Scenario_Data!C50))*Inputs!$C$52*COS(SQRT((Scenario_Data!U50)^2+Inputs!$C$6^2)/Inputs!$C$52))*1000)/Inputs!$C$21*1000000</x:f>
        <x:v>2023.4253433638573</x:v>
      </x:c>
      <x:c r="AK50" t="n">
        <x:f>Scenario_Data!V50</x:f>
        <x:v>-480</x:v>
      </x:c>
      <x:c r="AL50" t="n">
        <x:f>2*(SQRT((Inputs!$C$52+(Scenario_Data!D50))^2+Inputs!$C$52^2-2*(Inputs!$C$52+(Scenario_Data!D50))*Inputs!$C$52*COS(SQRT((Scenario_Data!V50)^2+Inputs!$C$6^2)/Inputs!$C$52))*1000)/Inputs!$C$21*1000000</x:f>
        <x:v>4382.735609610576</x:v>
      </x:c>
      <x:c r="AM50" t="n">
        <x:f>Scenario_Data!W50</x:f>
        <x:v>-480</x:v>
      </x:c>
      <x:c r="AN50" t="n">
        <x:f>2*(SQRT((Inputs!$C$52+(Scenario_Data!E50))^2+Inputs!$C$52^2-2*(Inputs!$C$52+(Scenario_Data!E50))*Inputs!$C$52*COS(SQRT((Scenario_Data!W50)^2+Inputs!$C$6^2)/Inputs!$C$52))*1000)/Inputs!$C$21*1000000</x:f>
        <x:v>4353.219632675859</x:v>
      </x:c>
      <x:c r="AP50" t="n">
        <x:f>Scenario_Data!T50</x:f>
        <x:v>-36</x:v>
      </x:c>
      <x:c r="AQ50" t="n">
        <x: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x:f>
        <x:v>2696.3049663672955</x:v>
      </x:c>
      <x:c r="AR50" t="n">
        <x:f>Scenario_Data!U50</x:f>
        <x:v>-240</x:v>
      </x:c>
      <x:c r="AS50" t="n">
        <x: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x:f>
        <x:v>2023.202170567554</x:v>
      </x:c>
      <x:c r="AT50" t="n">
        <x:f>Scenario_Data!V50</x:f>
        <x:v>-480</x:v>
      </x:c>
      <x:c r="AU50" t="n">
        <x: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x:f>
        <x:v>4382.161216077137</x:v>
      </x:c>
      <x:c r="AV50" t="n">
        <x:f>Scenario_Data!W50</x:f>
        <x:v>-480</x:v>
      </x:c>
      <x:c r="AW50" t="n">
        <x: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x:f>
        <x:v>4352.65346960581</x:v>
      </x:c>
    </x:row>
    <x:row r="51">
      <x:c r="A51" t="n">
        <x:f>Chart_Data!K51</x:f>
        <x:v>-35.5</x:v>
      </x:c>
      <x:c r="B51" t="n">
        <x:f>Chart_Data!N51-Chart_Data!L51</x:f>
        <x:v>-1.9757328740745947</x:v>
      </x:c>
      <x:c r="D51" t="n">
        <x:f>Chart_Data!G51</x:f>
        <x:v>-35.5</x:v>
      </x:c>
      <x:c r="E51" t="n">
        <x:f>Chart_Data!H51</x:f>
        <x:v>284.9525044867838</x:v>
      </x:c>
      <x:c r="F51" t="n">
        <x:f>Chart_Data!I51</x:f>
        <x:v>284.9525044867838</x:v>
      </x:c>
      <x:c r="G51" t="n">
        <x:f>Chart_Data!J51</x:f>
        <x:v>-0.6339718611461809</x:v>
      </x:c>
      <x:c r="I51" t="n">
        <x:f>Scenario_Data!A51</x:f>
        <x:v>-0.592</x:v>
      </x:c>
      <x:c r="J51" t="n">
        <x:f>Scenario_Data!H51-(((SQRT((Inputs!$C$52+(Inputs!$H$6))^2+Inputs!$C$52^2-2*(Inputs!$C$52+(Inputs!$H$6))*Inputs!$C$52*COS(SQRT((Scenario_Data!T51)^2+Inputs!$C$6^2)/Inputs!$C$52)))-(Inputs!$H$6))*1000/Inputs!$C$12)</x:f>
        <x:v>-4.571874809995052</x:v>
      </x:c>
      <x:c r="K51" t="n">
        <x:f>Scenario_Data!I51-(((SQRT((Inputs!$C$52+(Inputs!$H$7))^2+Inputs!$C$52^2-2*(Inputs!$C$52+(Inputs!$H$7))*Inputs!$C$52*COS(SQRT((Scenario_Data!U51)^2+Inputs!$C$6^2)/Inputs!$C$52)))-(Inputs!$H$7))*1000/Inputs!$C$12)</x:f>
        <x:v>-40784.26967339727</x:v>
      </x:c>
      <x:c r="L51" t="n">
        <x:f>Scenario_Data!J51-(((SQRT((Inputs!$C$52+(Inputs!$H$8))^2+Inputs!$C$52^2-2*(Inputs!$C$52+(Inputs!$H$8))*Inputs!$C$52*COS(SQRT((Scenario_Data!V51)^2+Inputs!$C$6^2)/Inputs!$C$52)))-(Inputs!$H$8))*1000/Inputs!$C$12)</x:f>
        <x:v>-96812.05822906003</x:v>
      </x:c>
      <x:c r="M51" t="n">
        <x:f>Scenario_Data!K51-(((SQRT((Inputs!$C$52+(Inputs!$H$9))^2+Inputs!$C$52^2-2*(Inputs!$C$52+(Inputs!$H$9))*Inputs!$C$52*COS(SQRT((Scenario_Data!W51)^2+Inputs!$C$6^2)/Inputs!$C$52)))-(Inputs!$H$9))*1000/Inputs!$C$12)</x:f>
        <x:v>-100094.54459469678</x:v>
      </x:c>
      <x:c r="O51" t="n">
        <x:f>Scenario_Data!T51</x:f>
        <x:v>-35.519999999999996</x:v>
      </x:c>
      <x:c r="P51" t="n">
        <x:f>2*(Scenario_Data!B51*1000)/Inputs!$C$21*1000000</x:f>
        <x:v>2677.8649381499786</x:v>
      </x:c>
      <x:c r="Q51" t="n">
        <x:f>Scenario_Data!U51</x:f>
        <x:v>-236.79999999999998</x:v>
      </x:c>
      <x:c r="R51" t="n">
        <x:f>2*(Scenario_Data!C51*1000)/Inputs!$C$21*1000000</x:f>
        <x:v>1086.88097817324</x:v>
      </x:c>
      <x:c r="S51" t="n">
        <x:f>Scenario_Data!V51</x:f>
        <x:v>-473.59999999999997</x:v>
      </x:c>
      <x:c r="T51" t="n">
        <x:f>2*(Scenario_Data!D51*1000)/Inputs!$C$21*1000000</x:f>
        <x:v>2489.7074628875416</x:v>
      </x:c>
      <x:c r="U51" t="n">
        <x:f>Scenario_Data!W51</x:f>
        <x:v>-473.59999999999997</x:v>
      </x:c>
      <x:c r="V51" t="n">
        <x:f>2*(Scenario_Data!E51*1000)/Inputs!$C$21*1000000</x:f>
        <x:v>2446.3750852598164</x:v>
      </x:c>
      <x:c r="X51" t="n">
        <x:f>Scenario_Data!T51</x:f>
        <x:v>-35.519999999999996</x:v>
      </x:c>
      <x:c r="Y51" t="n">
        <x: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x:f>
        <x:v>2677.8312038609492</x:v>
      </x:c>
      <x:c r="Z51" t="n">
        <x:f>Scenario_Data!U51</x:f>
        <x:v>-236.79999999999998</x:v>
      </x:c>
      <x:c r="AA51" t="n">
        <x: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x:f>
        <x:v>1086.8427303999088</x:v>
      </x:c>
      <x:c r="AB51" t="n">
        <x:f>Scenario_Data!V51</x:f>
        <x:v>-473.59999999999997</x:v>
      </x:c>
      <x:c r="AC51" t="n">
        <x: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x:f>
        <x:v>2489.739262947348</x:v>
      </x:c>
      <x:c r="AD51" t="n">
        <x:f>Scenario_Data!W51</x:f>
        <x:v>-473.59999999999997</x:v>
      </x:c>
      <x:c r="AE51" t="n">
        <x: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x:f>
        <x:v>2446.4068853196227</x:v>
      </x:c>
      <x:c r="AG51" t="n">
        <x:f>Scenario_Data!T51</x:f>
        <x:v>-35.519999999999996</x:v>
      </x:c>
      <x:c r="AH51" t="n">
        <x:f>2*(SQRT((Inputs!$C$52+(Scenario_Data!B51))^2+Inputs!$C$52^2-2*(Inputs!$C$52+(Scenario_Data!B51))*Inputs!$C$52*COS(SQRT((Scenario_Data!T51)^2+Inputs!$C$6^2)/Inputs!$C$52))*1000)/Inputs!$C$21*1000000</x:f>
        <x:v>2697.5019276614603</x:v>
      </x:c>
      <x:c r="AI51" t="n">
        <x:f>Scenario_Data!U51</x:f>
        <x:v>-236.79999999999998</x:v>
      </x:c>
      <x:c r="AJ51" t="n">
        <x:f>2*(SQRT((Inputs!$C$52+(Scenario_Data!C51))^2+Inputs!$C$52^2-2*(Inputs!$C$52+(Scenario_Data!C51))*Inputs!$C$52*COS(SQRT((Scenario_Data!U51)^2+Inputs!$C$6^2)/Inputs!$C$52))*1000)/Inputs!$C$21*1000000</x:f>
        <x:v>1990.6704964522148</x:v>
      </x:c>
      <x:c r="AK51" t="n">
        <x:f>Scenario_Data!V51</x:f>
        <x:v>-473.59999999999997</x:v>
      </x:c>
      <x:c r="AL51" t="n">
        <x:f>2*(SQRT((Inputs!$C$52+(Scenario_Data!D51))^2+Inputs!$C$52^2-2*(Inputs!$C$52+(Scenario_Data!D51))*Inputs!$C$52*COS(SQRT((Scenario_Data!V51)^2+Inputs!$C$6^2)/Inputs!$C$52))*1000)/Inputs!$C$21*1000000</x:f>
        <x:v>4302.025742951585</x:v>
      </x:c>
      <x:c r="AM51" t="n">
        <x:f>Scenario_Data!W51</x:f>
        <x:v>-473.59999999999997</x:v>
      </x:c>
      <x:c r="AN51" t="n">
        <x:f>2*(SQRT((Inputs!$C$52+(Scenario_Data!E51))^2+Inputs!$C$52^2-2*(Inputs!$C$52+(Scenario_Data!E51))*Inputs!$C$52*COS(SQRT((Scenario_Data!W51)^2+Inputs!$C$6^2)/Inputs!$C$52))*1000)/Inputs!$C$21*1000000</x:f>
        <x:v>4272.2586618025425</x:v>
      </x:c>
      <x:c r="AP51" t="n">
        <x:f>Scenario_Data!T51</x:f>
        <x:v>-35.519999999999996</x:v>
      </x:c>
      <x:c r="AQ51" t="n">
        <x: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x:f>
        <x:v>2695.6592976495863</x:v>
      </x:c>
      <x:c r="AR51" t="n">
        <x:f>Scenario_Data!U51</x:f>
        <x:v>-236.79999999999998</x:v>
      </x:c>
      <x:c r="AS51" t="n">
        <x: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x:f>
        <x:v>1990.4033581092428</x:v>
      </x:c>
      <x:c r="AT51" t="n">
        <x:f>Scenario_Data!V51</x:f>
        <x:v>-473.59999999999997</x:v>
      </x:c>
      <x:c r="AU51" t="n">
        <x: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x:f>
        <x:v>4301.685868120516</x:v>
      </x:c>
      <x:c r="AV51" t="n">
        <x:f>Scenario_Data!W51</x:f>
        <x:v>-473.59999999999997</x:v>
      </x:c>
      <x:c r="AW51" t="n">
        <x: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x:f>
        <x:v>4271.923873594473</x:v>
      </x:c>
    </x:row>
    <x:row r="52">
      <x:c r="A52" t="n">
        <x:f>Chart_Data!K52</x:f>
        <x:v>-35</x:v>
      </x:c>
      <x:c r="B52" t="n">
        <x:f>Chart_Data!N52-Chart_Data!L52</x:f>
        <x:v>7.184875005217862</x:v>
      </x:c>
      <x:c r="D52" t="n">
        <x:f>Chart_Data!G52</x:f>
        <x:v>-35</x:v>
      </x:c>
      <x:c r="E52" t="n">
        <x:f>Chart_Data!H52</x:f>
        <x:v>280.71344003946786</x:v>
      </x:c>
      <x:c r="F52" t="n">
        <x:f>Chart_Data!I52</x:f>
        <x:v>280.71344003946786</x:v>
      </x:c>
      <x:c r="G52" t="n">
        <x:f>Chart_Data!J52</x:f>
        <x:v>-9.708529731781153</x:v>
      </x:c>
      <x:c r="I52" t="n">
        <x:f>Scenario_Data!A52</x:f>
        <x:v>-0.583</x:v>
      </x:c>
      <x:c r="J52" t="n">
        <x:f>Scenario_Data!H52-(((SQRT((Inputs!$C$52+(Inputs!$H$6))^2+Inputs!$C$52^2-2*(Inputs!$C$52+(Inputs!$H$6))*Inputs!$C$52*COS(SQRT((Scenario_Data!T52)^2+Inputs!$C$6^2)/Inputs!$C$52)))-(Inputs!$H$6))*1000/Inputs!$C$12)</x:f>
        <x:v>-4.3459520128728855</x:v>
      </x:c>
      <x:c r="K52" t="n">
        <x:f>Scenario_Data!I52-(((SQRT((Inputs!$C$52+(Inputs!$H$7))^2+Inputs!$C$52^2-2*(Inputs!$C$52+(Inputs!$H$7))*Inputs!$C$52*COS(SQRT((Scenario_Data!U52)^2+Inputs!$C$6^2)/Inputs!$C$52)))-(Inputs!$H$7))*1000/Inputs!$C$12)</x:f>
        <x:v>-39687.88058628065</x:v>
      </x:c>
      <x:c r="L52" t="n">
        <x:f>Scenario_Data!J52-(((SQRT((Inputs!$C$52+(Inputs!$H$8))^2+Inputs!$C$52^2-2*(Inputs!$C$52+(Inputs!$H$8))*Inputs!$C$52*COS(SQRT((Scenario_Data!V52)^2+Inputs!$C$6^2)/Inputs!$C$52)))-(Inputs!$H$8))*1000/Inputs!$C$12)</x:f>
        <x:v>-94618.1727807392</x:v>
      </x:c>
      <x:c r="M52" t="n">
        <x:f>Scenario_Data!K52-(((SQRT((Inputs!$C$52+(Inputs!$H$9))^2+Inputs!$C$52^2-2*(Inputs!$C$52+(Inputs!$H$9))*Inputs!$C$52*COS(SQRT((Scenario_Data!W52)^2+Inputs!$C$6^2)/Inputs!$C$52)))-(Inputs!$H$9))*1000/Inputs!$C$12)</x:f>
        <x:v>-97870.95642178808</x:v>
      </x:c>
      <x:c r="O52" t="n">
        <x:f>Scenario_Data!T52</x:f>
        <x:v>-34.98</x:v>
      </x:c>
      <x:c r="P52" t="n">
        <x:f>2*(Scenario_Data!B52*1000)/Inputs!$C$21*1000000</x:f>
        <x:v>2677.582742925441</x:v>
      </x:c>
      <x:c r="Q52" t="n">
        <x:f>Scenario_Data!U52</x:f>
        <x:v>-233.2</x:v>
      </x:c>
      <x:c r="R52" t="n">
        <x:f>2*(Scenario_Data!C52*1000)/Inputs!$C$21*1000000</x:f>
        <x:v>1061.1306639341806</x:v>
      </x:c>
      <x:c r="S52" t="n">
        <x:f>Scenario_Data!V52</x:f>
        <x:v>-466.4</x:v>
      </x:c>
      <x:c r="T52" t="n">
        <x:f>2*(Scenario_Data!D52*1000)/Inputs!$C$21*1000000</x:f>
        <x:v>2421.627864967837</x:v>
      </x:c>
      <x:c r="U52" t="n">
        <x:f>Scenario_Data!W52</x:f>
        <x:v>-466.4</x:v>
      </x:c>
      <x:c r="V52" t="n">
        <x:f>2*(Scenario_Data!E52*1000)/Inputs!$C$21*1000000</x:f>
        <x:v>2377.5899992787677</x:v>
      </x:c>
      <x:c r="X52" t="n">
        <x:f>Scenario_Data!T52</x:f>
        <x:v>-34.98</x:v>
      </x:c>
      <x:c r="Y52" t="n">
        <x: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x:f>
        <x:v>2677.591373027257</x:v>
      </x:c>
      <x:c r="Z52" t="n">
        <x:f>Scenario_Data!U52</x:f>
        <x:v>-233.2</x:v>
      </x:c>
      <x:c r="AA52" t="n">
        <x: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x:f>
        <x:v>1061.12543171678</x:v>
      </x:c>
      <x:c r="AB52" t="n">
        <x:f>Scenario_Data!V52</x:f>
        <x:v>-466.4</x:v>
      </x:c>
      <x:c r="AC52" t="n">
        <x: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x:f>
        <x:v>2421.203933680219</x:v>
      </x:c>
      <x:c r="AD52" t="n">
        <x:f>Scenario_Data!W52</x:f>
        <x:v>-466.4</x:v>
      </x:c>
      <x:c r="AE52" t="n">
        <x: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x:f>
        <x:v>2377.1660679911497</x:v>
      </x:c>
      <x:c r="AG52" t="n">
        <x:f>Scenario_Data!T52</x:f>
        <x:v>-34.98</x:v>
      </x:c>
      <x:c r="AH52" t="n">
        <x:f>2*(SQRT((Inputs!$C$52+(Scenario_Data!B52))^2+Inputs!$C$52^2-2*(Inputs!$C$52+(Scenario_Data!B52))*Inputs!$C$52*COS(SQRT((Scenario_Data!T52)^2+Inputs!$C$6^2)/Inputs!$C$52))*1000)/Inputs!$C$21*1000000</x:f>
        <x:v>2696.8265277651735</x:v>
      </x:c>
      <x:c r="AI52" t="n">
        <x:f>Scenario_Data!U52</x:f>
        <x:v>-233.2</x:v>
      </x:c>
      <x:c r="AJ52" t="n">
        <x:f>2*(SQRT((Inputs!$C$52+(Scenario_Data!C52))^2+Inputs!$C$52^2-2*(Inputs!$C$52+(Scenario_Data!C52))*Inputs!$C$52*COS(SQRT((Scenario_Data!U52)^2+Inputs!$C$6^2)/Inputs!$C$52))*1000)/Inputs!$C$21*1000000</x:f>
        <x:v>1954.1154016181265</x:v>
      </x:c>
      <x:c r="AK52" t="n">
        <x:f>Scenario_Data!V52</x:f>
        <x:v>-466.4</x:v>
      </x:c>
      <x:c r="AL52" t="n">
        <x:f>2*(SQRT((Inputs!$C$52+(Scenario_Data!D52))^2+Inputs!$C$52^2-2*(Inputs!$C$52+(Scenario_Data!D52))*Inputs!$C$52*COS(SQRT((Scenario_Data!V52)^2+Inputs!$C$6^2)/Inputs!$C$52))*1000)/Inputs!$C$21*1000000</x:f>
        <x:v>4212.178433547609</x:v>
      </x:c>
      <x:c r="AM52" t="n">
        <x:f>Scenario_Data!W52</x:f>
        <x:v>-466.4</x:v>
      </x:c>
      <x:c r="AN52" t="n">
        <x:f>2*(SQRT((Inputs!$C$52+(Scenario_Data!E52))^2+Inputs!$C$52^2-2*(Inputs!$C$52+(Scenario_Data!E52))*Inputs!$C$52*COS(SQRT((Scenario_Data!W52)^2+Inputs!$C$6^2)/Inputs!$C$52))*1000)/Inputs!$C$21*1000000</x:f>
        <x:v>4182.145657173544</x:v>
      </x:c>
      <x:c r="AP52" t="n">
        <x:f>Scenario_Data!T52</x:f>
        <x:v>-34.98</x:v>
      </x:c>
      <x:c r="AQ52" t="n">
        <x: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x:f>
        <x:v>2694.899956964054</x:v>
      </x:c>
      <x:c r="AR52" t="n">
        <x:f>Scenario_Data!U52</x:f>
        <x:v>-233.2</x:v>
      </x:c>
      <x:c r="AS52" t="n">
        <x: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x:f>
        <x:v>1953.6477907064188</x:v>
      </x:c>
      <x:c r="AT52" t="n">
        <x:f>Scenario_Data!V52</x:f>
        <x:v>-466.4</x:v>
      </x:c>
      <x:c r="AU52" t="n">
        <x: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x:f>
        <x:v>4211.604469769382</x:v>
      </x:c>
      <x:c r="AV52" t="n">
        <x:f>Scenario_Data!W52</x:f>
        <x:v>-466.4</x:v>
      </x:c>
      <x:c r="AW52" t="n">
        <x: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x:f>
        <x:v>4181.580717076413</x:v>
      </x:c>
    </x:row>
    <x:row r="53">
      <x:c r="A53" t="n">
        <x:f>Chart_Data!K53</x:f>
        <x:v>-34.5</x:v>
      </x:c>
      <x:c r="B53" t="n">
        <x:f>Chart_Data!N53-Chart_Data!L53</x:f>
        <x:v>7.068156756665303</x:v>
      </x:c>
      <x:c r="D53" t="n">
        <x:f>Chart_Data!G53</x:f>
        <x:v>-34.5</x:v>
      </x:c>
      <x:c r="E53" t="n">
        <x:f>Chart_Data!H53</x:f>
        <x:v>316.314878049505</x:v>
      </x:c>
      <x:c r="F53" t="n">
        <x:f>Chart_Data!I53</x:f>
        <x:v>316.314878049505</x:v>
      </x:c>
      <x:c r="G53" t="n">
        <x:f>Chart_Data!J53</x:f>
        <x:v>-9.85965082687293</x:v>
      </x:c>
      <x:c r="I53" t="n">
        <x:f>Scenario_Data!A53</x:f>
        <x:v>-0.575</x:v>
      </x:c>
      <x:c r="J53" t="n">
        <x:f>Scenario_Data!H53-(((SQRT((Inputs!$C$52+(Inputs!$H$6))^2+Inputs!$C$52^2-2*(Inputs!$C$52+(Inputs!$H$6))*Inputs!$C$52*COS(SQRT((Scenario_Data!T53)^2+Inputs!$C$6^2)/Inputs!$C$52)))-(Inputs!$H$6))*1000/Inputs!$C$12)</x:f>
        <x:v>-4.152486814658005</x:v>
      </x:c>
      <x:c r="K53" t="n">
        <x:f>Scenario_Data!I53-(((SQRT((Inputs!$C$52+(Inputs!$H$7))^2+Inputs!$C$52^2-2*(Inputs!$C$52+(Inputs!$H$7))*Inputs!$C$52*COS(SQRT((Scenario_Data!U53)^2+Inputs!$C$6^2)/Inputs!$C$52)))-(Inputs!$H$7))*1000/Inputs!$C$12)</x:f>
        <x:v>-38720.03790348412</x:v>
      </x:c>
      <x:c r="L53" t="n">
        <x:f>Scenario_Data!J53-(((SQRT((Inputs!$C$52+(Inputs!$H$8))^2+Inputs!$C$52^2-2*(Inputs!$C$52+(Inputs!$H$8))*Inputs!$C$52*COS(SQRT((Scenario_Data!V53)^2+Inputs!$C$6^2)/Inputs!$C$52)))-(Inputs!$H$8))*1000/Inputs!$C$12)</x:f>
        <x:v>-92670.23504071141</x:v>
      </x:c>
      <x:c r="M53" t="n">
        <x:f>Scenario_Data!K53-(((SQRT((Inputs!$C$52+(Inputs!$H$9))^2+Inputs!$C$52^2-2*(Inputs!$C$52+(Inputs!$H$9))*Inputs!$C$52*COS(SQRT((Scenario_Data!W53)^2+Inputs!$C$6^2)/Inputs!$C$52)))-(Inputs!$H$9))*1000/Inputs!$C$12)</x:f>
        <x:v>-95895.98581265062</x:v>
      </x:c>
      <x:c r="O53" t="n">
        <x:f>Scenario_Data!T53</x:f>
        <x:v>-34.5</x:v>
      </x:c>
      <x:c r="P53" t="n">
        <x:f>2*(Scenario_Data!B53*1000)/Inputs!$C$21*1000000</x:f>
        <x:v>2677.3355319032075</x:v>
      </x:c>
      <x:c r="Q53" t="n">
        <x:f>Scenario_Data!U53</x:f>
        <x:v>-229.99999999999997</x:v>
      </x:c>
      <x:c r="R53" t="n">
        <x:f>2*(Scenario_Data!C53*1000)/Inputs!$C$21*1000000</x:f>
        <x:v>1038.572658155396</x:v>
      </x:c>
      <x:c r="S53" t="n">
        <x:f>Scenario_Data!V53</x:f>
        <x:v>-459.99999999999994</x:v>
      </x:c>
      <x:c r="T53" t="n">
        <x:f>2*(Scenario_Data!D53*1000)/Inputs!$C$21*1000000</x:f>
        <x:v>2361.988205854064</x:v>
      </x:c>
      <x:c r="U53" t="n">
        <x:f>Scenario_Data!W53</x:f>
        <x:v>-459.99999999999994</x:v>
      </x:c>
      <x:c r="V53" t="n">
        <x:f>2*(Scenario_Data!E53*1000)/Inputs!$C$21*1000000</x:f>
        <x:v>2317.3323126094115</x:v>
      </x:c>
      <x:c r="X53" t="n">
        <x:f>Scenario_Data!T53</x:f>
        <x:v>-34.5</x:v>
      </x:c>
      <x:c r="Y53" t="n">
        <x: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x:f>
        <x:v>2677.4013084133485</x:v>
      </x:c>
      <x:c r="Z53" t="n">
        <x:f>Scenario_Data!U53</x:f>
        <x:v>-229.99999999999997</x:v>
      </x:c>
      <x:c r="AA53" t="n">
        <x: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x:f>
        <x:v>1038.5909879836213</x:v>
      </x:c>
      <x:c r="AB53" t="n">
        <x:f>Scenario_Data!V53</x:f>
        <x:v>-459.99999999999994</x:v>
      </x:c>
      <x:c r="AC53" t="n">
        <x: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x:f>
        <x:v>2361.7787973155064</x:v>
      </x:c>
      <x:c r="AD53" t="n">
        <x:f>Scenario_Data!W53</x:f>
        <x:v>-459.99999999999994</x:v>
      </x:c>
      <x:c r="AE53" t="n">
        <x: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x:f>
        <x:v>2317.1229040708536</x:v>
      </x:c>
      <x:c r="AG53" t="n">
        <x:f>Scenario_Data!T53</x:f>
        <x:v>-34.5</x:v>
      </x:c>
      <x:c r="AH53" t="n">
        <x:f>2*(SQRT((Inputs!$C$52+(Scenario_Data!B53))^2+Inputs!$C$52^2-2*(Inputs!$C$52+(Scenario_Data!B53))*Inputs!$C$52*COS(SQRT((Scenario_Data!T53)^2+Inputs!$C$6^2)/Inputs!$C$52))*1000)/Inputs!$C$21*1000000</x:f>
        <x:v>2696.234756688648</x:v>
      </x:c>
      <x:c r="AI53" t="n">
        <x:f>Scenario_Data!U53</x:f>
        <x:v>-229.99999999999997</x:v>
      </x:c>
      <x:c r="AJ53" t="n">
        <x:f>2*(SQRT((Inputs!$C$52+(Scenario_Data!C53))^2+Inputs!$C$52^2-2*(Inputs!$C$52+(Scenario_Data!C53))*Inputs!$C$52*COS(SQRT((Scenario_Data!U53)^2+Inputs!$C$6^2)/Inputs!$C$52))*1000)/Inputs!$C$21*1000000</x:f>
        <x:v>1921.8815542974562</x:v>
      </x:c>
      <x:c r="AK53" t="n">
        <x:f>Scenario_Data!V53</x:f>
        <x:v>-459.99999999999994</x:v>
      </x:c>
      <x:c r="AL53" t="n">
        <x:f>2*(SQRT((Inputs!$C$52+(Scenario_Data!D53))^2+Inputs!$C$52^2-2*(Inputs!$C$52+(Scenario_Data!D53))*Inputs!$C$52*COS(SQRT((Scenario_Data!V53)^2+Inputs!$C$6^2)/Inputs!$C$52))*1000)/Inputs!$C$21*1000000</x:f>
        <x:v>4133.154973866361</x:v>
      </x:c>
      <x:c r="AM53" t="n">
        <x:f>Scenario_Data!W53</x:f>
        <x:v>-459.99999999999994</x:v>
      </x:c>
      <x:c r="AN53" t="n">
        <x:f>2*(SQRT((Inputs!$C$52+(Scenario_Data!E53))^2+Inputs!$C$52^2-2*(Inputs!$C$52+(Scenario_Data!E53))*Inputs!$C$52*COS(SQRT((Scenario_Data!W53)^2+Inputs!$C$6^2)/Inputs!$C$52))*1000)/Inputs!$C$21*1000000</x:f>
        <x:v>4102.900966862511</x:v>
      </x:c>
      <x:c r="AP53" t="n">
        <x:f>Scenario_Data!T53</x:f>
        <x:v>-34.5</x:v>
      </x:c>
      <x:c r="AQ53" t="n">
        <x: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x:f>
        <x:v>2694.143153810637</x:v>
      </x:c>
      <x:c r="AR53" t="n">
        <x:f>Scenario_Data!U53</x:f>
        <x:v>-229.99999999999997</x:v>
      </x:c>
      <x:c r="AS53" t="n">
        <x: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x:f>
        <x:v>1921.2754887707686</x:v>
      </x:c>
      <x:c r="AT53" t="n">
        <x:f>Scenario_Data!V53</x:f>
        <x:v>-459.99999999999994</x:v>
      </x:c>
      <x:c r="AU53" t="n">
        <x: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x:f>
        <x:v>4132.672970012625</x:v>
      </x:c>
      <x:c r="AV53" t="n">
        <x:f>Scenario_Data!W53</x:f>
        <x:v>-459.99999999999994</x:v>
      </x:c>
      <x:c r="AW53" t="n">
        <x: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x:f>
        <x:v>4102.426876759548</x:v>
      </x:c>
    </x:row>
    <x:row r="54">
      <x:c r="A54" t="n">
        <x:f>Chart_Data!K54</x:f>
        <x:v>-34</x:v>
      </x:c>
      <x:c r="B54" t="n">
        <x:f>Chart_Data!N54-Chart_Data!L54</x:f>
        <x:v>-2.9998358134979526</x:v>
      </x:c>
      <x:c r="D54" t="n">
        <x:f>Chart_Data!G54</x:f>
        <x:v>-34</x:v>
      </x:c>
      <x:c r="E54" t="n">
        <x:f>Chart_Data!H54</x:f>
        <x:v>319.4152549266823</x:v>
      </x:c>
      <x:c r="F54" t="n">
        <x:f>Chart_Data!I54</x:f>
        <x:v>319.4152549266823</x:v>
      </x:c>
      <x:c r="G54" t="n">
        <x:f>Chart_Data!J54</x:f>
        <x:v>0.233219012771956</x:v>
      </x:c>
      <x:c r="I54" t="n">
        <x:f>Scenario_Data!A54</x:f>
        <x:v>-0.567</x:v>
      </x:c>
      <x:c r="J54" t="n">
        <x:f>Scenario_Data!H54-(((SQRT((Inputs!$C$52+(Inputs!$H$6))^2+Inputs!$C$52^2-2*(Inputs!$C$52+(Inputs!$H$6))*Inputs!$C$52*COS(SQRT((Scenario_Data!T54)^2+Inputs!$C$6^2)/Inputs!$C$52)))-(Inputs!$H$6))*1000/Inputs!$C$12)</x:f>
        <x:v>-3.965768378529674</x:v>
      </x:c>
      <x:c r="K54" t="n">
        <x:f>Scenario_Data!I54-(((SQRT((Inputs!$C$52+(Inputs!$H$7))^2+Inputs!$C$52^2-2*(Inputs!$C$52+(Inputs!$H$7))*Inputs!$C$52*COS(SQRT((Scenario_Data!U54)^2+Inputs!$C$6^2)/Inputs!$C$52)))-(Inputs!$H$7))*1000/Inputs!$C$12)</x:f>
        <x:v>-37758.709506009036</x:v>
      </x:c>
      <x:c r="L54" t="n">
        <x:f>Scenario_Data!J54-(((SQRT((Inputs!$C$52+(Inputs!$H$8))^2+Inputs!$C$52^2-2*(Inputs!$C$52+(Inputs!$H$8))*Inputs!$C$52*COS(SQRT((Scenario_Data!V54)^2+Inputs!$C$6^2)/Inputs!$C$52)))-(Inputs!$H$8))*1000/Inputs!$C$12)</x:f>
        <x:v>-90724.77444856224</x:v>
      </x:c>
      <x:c r="M54" t="n">
        <x:f>Scenario_Data!K54-(((SQRT((Inputs!$C$52+(Inputs!$H$9))^2+Inputs!$C$52^2-2*(Inputs!$C$52+(Inputs!$H$9))*Inputs!$C$52*COS(SQRT((Scenario_Data!W54)^2+Inputs!$C$6^2)/Inputs!$C$52)))-(Inputs!$H$9))*1000/Inputs!$C$12)</x:f>
        <x:v>-93922.89271885809</x:v>
      </x:c>
      <x:c r="O54" t="n">
        <x:f>Scenario_Data!T54</x:f>
        <x:v>-34.019999999999996</x:v>
      </x:c>
      <x:c r="P54" t="n">
        <x:f>2*(Scenario_Data!B54*1000)/Inputs!$C$21*1000000</x:f>
        <x:v>2677.091736577309</x:v>
      </x:c>
      <x:c r="Q54" t="n">
        <x:f>Scenario_Data!U54</x:f>
        <x:v>-226.79999999999998</x:v>
      </x:c>
      <x:c r="R54" t="n">
        <x:f>2*(Scenario_Data!C54*1000)/Inputs!$C$21*1000000</x:f>
        <x:v>1016.3263346671649</x:v>
      </x:c>
      <x:c r="S54" t="n">
        <x:f>Scenario_Data!V54</x:f>
        <x:v>-453.59999999999997</x:v>
      </x:c>
      <x:c r="T54" t="n">
        <x:f>2*(Scenario_Data!D54*1000)/Inputs!$C$21*1000000</x:f>
        <x:v>2303.172583481069</x:v>
      </x:c>
      <x:c r="U54" t="n">
        <x:f>Scenario_Data!W54</x:f>
        <x:v>-453.59999999999997</x:v>
      </x:c>
      <x:c r="V54" t="n">
        <x:f>2*(Scenario_Data!E54*1000)/Inputs!$C$21*1000000</x:f>
        <x:v>2257.9072019216705</x:v>
      </x:c>
      <x:c r="X54" t="n">
        <x:f>Scenario_Data!T54</x:f>
        <x:v>-34.019999999999996</x:v>
      </x:c>
      <x:c r="Y54" t="n">
        <x: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x:f>
        <x:v>2677.108815515032</x:v>
      </x:c>
      <x:c r="Z54" t="n">
        <x:f>Scenario_Data!U54</x:f>
        <x:v>-226.79999999999998</x:v>
      </x:c>
      <x:c r="AA54" t="n">
        <x: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x:f>
        <x:v>1016.1344402669544</x:v>
      </x:c>
      <x:c r="AB54" t="n">
        <x:f>Scenario_Data!V54</x:f>
        <x:v>-453.59999999999997</x:v>
      </x:c>
      <x:c r="AC54" t="n">
        <x: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x:f>
        <x:v>2303.344286876124</x:v>
      </x:c>
      <x:c r="AD54" t="n">
        <x:f>Scenario_Data!W54</x:f>
        <x:v>-453.59999999999997</x:v>
      </x:c>
      <x:c r="AE54" t="n">
        <x: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x:f>
        <x:v>2258.078905316726</x:v>
      </x:c>
      <x:c r="AG54" t="n">
        <x:f>Scenario_Data!T54</x:f>
        <x:v>-34.019999999999996</x:v>
      </x:c>
      <x:c r="AH54" t="n">
        <x:f>2*(SQRT((Inputs!$C$52+(Scenario_Data!B54))^2+Inputs!$C$52^2-2*(Inputs!$C$52+(Scenario_Data!B54))*Inputs!$C$52*COS(SQRT((Scenario_Data!T54)^2+Inputs!$C$6^2)/Inputs!$C$52))*1000)/Inputs!$C$21*1000000</x:f>
        <x:v>2695.6510690703108</x:v>
      </x:c>
      <x:c r="AI54" t="n">
        <x:f>Scenario_Data!U54</x:f>
        <x:v>-226.79999999999998</x:v>
      </x:c>
      <x:c r="AJ54" t="n">
        <x:f>2*(SQRT((Inputs!$C$52+(Scenario_Data!C54))^2+Inputs!$C$52^2-2*(Inputs!$C$52+(Scenario_Data!C54))*Inputs!$C$52*COS(SQRT((Scenario_Data!U54)^2+Inputs!$C$6^2)/Inputs!$C$52))*1000)/Inputs!$C$21*1000000</x:f>
        <x:v>1889.8902432096763</x:v>
      </x:c>
      <x:c r="AK54" t="n">
        <x:f>Scenario_Data!V54</x:f>
        <x:v>-453.59999999999997</x:v>
      </x:c>
      <x:c r="AL54" t="n">
        <x:f>2*(SQRT((Inputs!$C$52+(Scenario_Data!D54))^2+Inputs!$C$52^2-2*(Inputs!$C$52+(Scenario_Data!D54))*Inputs!$C$52*COS(SQRT((Scenario_Data!V54)^2+Inputs!$C$6^2)/Inputs!$C$52))*1000)/Inputs!$C$21*1000000</x:f>
        <x:v>4054.9182491071806</x:v>
      </x:c>
      <x:c r="AM54" t="n">
        <x:f>Scenario_Data!W54</x:f>
        <x:v>-453.59999999999997</x:v>
      </x:c>
      <x:c r="AN54" t="n">
        <x:f>2*(SQRT((Inputs!$C$52+(Scenario_Data!E54))^2+Inputs!$C$52^2-2*(Inputs!$C$52+(Scenario_Data!E54))*Inputs!$C$52*COS(SQRT((Scenario_Data!W54)^2+Inputs!$C$6^2)/Inputs!$C$52))*1000)/Inputs!$C$21*1000000</x:f>
        <x:v>4024.457081346861</x:v>
      </x:c>
      <x:c r="AP54" t="n">
        <x:f>Scenario_Data!T54</x:f>
        <x:v>-34.019999999999996</x:v>
      </x:c>
      <x:c r="AQ54" t="n">
        <x: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x:f>
        <x:v>2693.5887701095885</x:v>
      </x:c>
      <x:c r="AR54" t="n">
        <x:f>Scenario_Data!U54</x:f>
        <x:v>-226.79999999999998</x:v>
      </x:c>
      <x:c r="AS54" t="n">
        <x: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x:f>
        <x:v>1889.3707989649024</x:v>
      </x:c>
      <x:c r="AT54" t="n">
        <x:f>Scenario_Data!V54</x:f>
        <x:v>-453.59999999999997</x:v>
      </x:c>
      <x:c r="AU54" t="n">
        <x: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x:f>
        <x:v>4054.616149263494</x:v>
      </x:c>
      <x:c r="AV54" t="n">
        <x:f>Scenario_Data!W54</x:f>
        <x:v>-453.59999999999997</x:v>
      </x:c>
      <x:c r="AW54" t="n">
        <x: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x:f>
        <x:v>4024.1601603091813</x:v>
      </x:c>
    </x:row>
    <x:row r="55">
      <x:c r="A55" t="n">
        <x:f>Chart_Data!K55</x:f>
        <x:v>-33.5</x:v>
      </x:c>
      <x:c r="B55" t="n">
        <x:f>Chart_Data!N55-Chart_Data!L55</x:f>
        <x:v>-11.29209622370604</x:v>
      </x:c>
      <x:c r="D55" t="n">
        <x:f>Chart_Data!G55</x:f>
        <x:v>-33.5</x:v>
      </x:c>
      <x:c r="E55" t="n">
        <x:f>Chart_Data!H55</x:f>
        <x:v>328.4448057508986</x:v>
      </x:c>
      <x:c r="F55" t="n">
        <x:f>Chart_Data!I55</x:f>
        <x:v>328.4448057508986</x:v>
      </x:c>
      <x:c r="G55" t="n">
        <x:f>Chart_Data!J55</x:f>
        <x:v>8.500195567439437</x:v>
      </x:c>
      <x:c r="I55" t="n">
        <x:f>Scenario_Data!A55</x:f>
        <x:v>-0.558</x:v>
      </x:c>
      <x:c r="J55" t="n">
        <x:f>Scenario_Data!H55-(((SQRT((Inputs!$C$52+(Inputs!$H$6))^2+Inputs!$C$52^2-2*(Inputs!$C$52+(Inputs!$H$6))*Inputs!$C$52*COS(SQRT((Scenario_Data!T55)^2+Inputs!$C$6^2)/Inputs!$C$52)))-(Inputs!$H$6))*1000/Inputs!$C$12)</x:f>
        <x:v>-3.763567414630188</x:v>
      </x:c>
      <x:c r="K55" t="n">
        <x:f>Scenario_Data!I55-(((SQRT((Inputs!$C$52+(Inputs!$H$7))^2+Inputs!$C$52^2-2*(Inputs!$C$52+(Inputs!$H$7))*Inputs!$C$52*COS(SQRT((Scenario_Data!U55)^2+Inputs!$C$6^2)/Inputs!$C$52)))-(Inputs!$H$7))*1000/Inputs!$C$12)</x:f>
        <x:v>-36685.22606722001</x:v>
      </x:c>
      <x:c r="L55" t="n">
        <x:f>Scenario_Data!J55-(((SQRT((Inputs!$C$52+(Inputs!$H$8))^2+Inputs!$C$52^2-2*(Inputs!$C$52+(Inputs!$H$8))*Inputs!$C$52*COS(SQRT((Scenario_Data!V55)^2+Inputs!$C$6^2)/Inputs!$C$52)))-(Inputs!$H$8))*1000/Inputs!$C$12)</x:f>
        <x:v>-88539.61228230709</x:v>
      </x:c>
      <x:c r="M55" t="n">
        <x:f>Scenario_Data!K55-(((SQRT((Inputs!$C$52+(Inputs!$H$9))^2+Inputs!$C$52^2-2*(Inputs!$C$52+(Inputs!$H$9))*Inputs!$C$52*COS(SQRT((Scenario_Data!W55)^2+Inputs!$C$6^2)/Inputs!$C$52)))-(Inputs!$H$9))*1000/Inputs!$C$12)</x:f>
        <x:v>-91705.91995911699</x:v>
      </x:c>
      <x:c r="O55" t="n">
        <x:f>Scenario_Data!T55</x:f>
        <x:v>-33.480000000000004</x:v>
      </x:c>
      <x:c r="P55" t="n">
        <x:f>2*(Scenario_Data!B55*1000)/Inputs!$C$21*1000000</x:f>
        <x:v>2676.821549660199</x:v>
      </x:c>
      <x:c r="Q55" t="n">
        <x:f>Scenario_Data!U55</x:f>
        <x:v>-223.20000000000002</x:v>
      </x:c>
      <x:c r="R55" t="n">
        <x:f>2*(Scenario_Data!C55*1000)/Inputs!$C$21*1000000</x:f>
        <x:v>991.6717784808318</x:v>
      </x:c>
      <x:c r="S55" t="n">
        <x:f>Scenario_Data!V55</x:f>
        <x:v>-446.40000000000003</x:v>
      </x:c>
      <x:c r="T55" t="n">
        <x:f>2*(Scenario_Data!D55*1000)/Inputs!$C$21*1000000</x:f>
        <x:v>2237.989989728161</x:v>
      </x:c>
      <x:c r="U55" t="n">
        <x:f>Scenario_Data!W55</x:f>
        <x:v>-446.40000000000003</x:v>
      </x:c>
      <x:c r="V55" t="n">
        <x:f>2*(Scenario_Data!E55*1000)/Inputs!$C$21*1000000</x:f>
        <x:v>2192.049140875986</x:v>
      </x:c>
      <x:c r="X55" t="n">
        <x:f>Scenario_Data!T55</x:f>
        <x:v>-33.480000000000004</x:v>
      </x:c>
      <x:c r="Y55" t="n">
        <x: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x:f>
        <x:v>2676.694759763543</x:v>
      </x:c>
      <x:c r="Z55" t="n">
        <x:f>Scenario_Data!U55</x:f>
        <x:v>-223.20000000000002</x:v>
      </x:c>
      <x:c r="AA55" t="n">
        <x: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x:f>
        <x:v>991.5333258162572</x:v>
      </x:c>
      <x:c r="AB55" t="n">
        <x:f>Scenario_Data!V55</x:f>
        <x:v>-446.40000000000003</x:v>
      </x:c>
      <x:c r="AC55" t="n">
        <x: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x:f>
        <x:v>2237.6242728070965</x:v>
      </x:c>
      <x:c r="AD55" t="n">
        <x:f>Scenario_Data!W55</x:f>
        <x:v>-446.40000000000003</x:v>
      </x:c>
      <x:c r="AE55" t="n">
        <x: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x:f>
        <x:v>2191.683423954921</x:v>
      </x:c>
      <x:c r="AG55" t="n">
        <x:f>Scenario_Data!T55</x:f>
        <x:v>-33.480000000000004</x:v>
      </x:c>
      <x:c r="AH55" t="n">
        <x:f>2*(SQRT((Inputs!$C$52+(Scenario_Data!B55))^2+Inputs!$C$52^2-2*(Inputs!$C$52+(Scenario_Data!B55))*Inputs!$C$52*COS(SQRT((Scenario_Data!T55)^2+Inputs!$C$6^2)/Inputs!$C$52))*1000)/Inputs!$C$21*1000000</x:f>
        <x:v>2695.0040875164605</x:v>
      </x:c>
      <x:c r="AI55" t="n">
        <x:f>Scenario_Data!U55</x:f>
        <x:v>-223.20000000000002</x:v>
      </x:c>
      <x:c r="AJ55" t="n">
        <x:f>2*(SQRT((Inputs!$C$52+(Scenario_Data!C55))^2+Inputs!$C$52^2-2*(Inputs!$C$52+(Scenario_Data!C55))*Inputs!$C$52*COS(SQRT((Scenario_Data!U55)^2+Inputs!$C$6^2)/Inputs!$C$52))*1000)/Inputs!$C$21*1000000</x:f>
        <x:v>1854.1877969704217</x:v>
      </x:c>
      <x:c r="AK55" t="n">
        <x:f>Scenario_Data!V55</x:f>
        <x:v>-446.40000000000003</x:v>
      </x:c>
      <x:c r="AL55" t="n">
        <x:f>2*(SQRT((Inputs!$C$52+(Scenario_Data!D55))^2+Inputs!$C$52^2-2*(Inputs!$C$52+(Scenario_Data!D55))*Inputs!$C$52*COS(SQRT((Scenario_Data!V55)^2+Inputs!$C$6^2)/Inputs!$C$52))*1000)/Inputs!$C$21*1000000</x:f>
        <x:v>3967.8366472645534</x:v>
      </x:c>
      <x:c r="AM55" t="n">
        <x:f>Scenario_Data!W55</x:f>
        <x:v>-446.40000000000003</x:v>
      </x:c>
      <x:c r="AN55" t="n">
        <x:f>2*(SQRT((Inputs!$C$52+(Scenario_Data!E55))^2+Inputs!$C$52^2-2*(Inputs!$C$52+(Scenario_Data!E55))*Inputs!$C$52*COS(SQRT((Scenario_Data!W55)^2+Inputs!$C$6^2)/Inputs!$C$52))*1000)/Inputs!$C$21*1000000</x:f>
        <x:v>3937.1592412789855</x:v>
      </x:c>
      <x:c r="AP55" t="n">
        <x:f>Scenario_Data!T55</x:f>
        <x:v>-33.480000000000004</x:v>
      </x:c>
      <x:c r="AQ55" t="n">
        <x: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x:f>
        <x:v>2692.757963165586</x:v>
      </x:c>
      <x:c r="AR55" t="n">
        <x:f>Scenario_Data!U55</x:f>
        <x:v>-223.20000000000002</x:v>
      </x:c>
      <x:c r="AS55" t="n">
        <x: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x:f>
        <x:v>1853.9523697485693</x:v>
      </x:c>
      <x:c r="AT55" t="n">
        <x:f>Scenario_Data!V55</x:f>
        <x:v>-446.40000000000003</x:v>
      </x:c>
      <x:c r="AU55" t="n">
        <x: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x:f>
        <x:v>3967.3646091084047</x:v>
      </x:c>
      <x:c r="AV55" t="n">
        <x:f>Scenario_Data!W55</x:f>
        <x:v>-446.40000000000003</x:v>
      </x:c>
      <x:c r="AW55" t="n">
        <x: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x:f>
        <x:v>3936.6957000760913</x:v>
      </x:c>
    </x:row>
    <x:row r="56">
      <x:c r="A56" t="n">
        <x:f>Chart_Data!K56</x:f>
        <x:v>-33</x:v>
      </x:c>
      <x:c r="B56" t="n">
        <x:f>Chart_Data!N56-Chart_Data!L56</x:f>
        <x:v>-15.738275591660624</x:v>
      </x:c>
      <x:c r="D56" t="n">
        <x:f>Chart_Data!G56</x:f>
        <x:v>-33</x:v>
      </x:c>
      <x:c r="E56" t="n">
        <x:f>Chart_Data!H56</x:f>
        <x:v>342.0571204684842</x:v>
      </x:c>
      <x:c r="F56" t="n">
        <x:f>Chart_Data!I56</x:f>
        <x:v>342.0571204684842</x:v>
      </x:c>
      <x:c r="G56" t="n">
        <x:f>Chart_Data!J56</x:f>
        <x:v>12.884972617306985</x:v>
      </x:c>
      <x:c r="I56" t="n">
        <x:f>Scenario_Data!A56</x:f>
        <x:v>-0.55</x:v>
      </x:c>
      <x:c r="J56" t="n">
        <x:f>Scenario_Data!H56-(((SQRT((Inputs!$C$52+(Inputs!$H$6))^2+Inputs!$C$52^2-2*(Inputs!$C$52+(Inputs!$H$6))*Inputs!$C$52*COS(SQRT((Scenario_Data!T56)^2+Inputs!$C$6^2)/Inputs!$C$52)))-(Inputs!$H$6))*1000/Inputs!$C$12)</x:f>
        <x:v>-3.590635671074324</x:v>
      </x:c>
      <x:c r="K56" t="n">
        <x:f>Scenario_Data!I56-(((SQRT((Inputs!$C$52+(Inputs!$H$7))^2+Inputs!$C$52^2-2*(Inputs!$C$52+(Inputs!$H$7))*Inputs!$C$52*COS(SQRT((Scenario_Data!U56)^2+Inputs!$C$6^2)/Inputs!$C$52)))-(Inputs!$H$7))*1000/Inputs!$C$12)</x:f>
        <x:v>-35738.342299056225</x:v>
      </x:c>
      <x:c r="L56" t="n">
        <x:f>Scenario_Data!J56-(((SQRT((Inputs!$C$52+(Inputs!$H$8))^2+Inputs!$C$52^2-2*(Inputs!$C$52+(Inputs!$H$8))*Inputs!$C$52*COS(SQRT((Scenario_Data!V56)^2+Inputs!$C$6^2)/Inputs!$C$52)))-(Inputs!$H$8))*1000/Inputs!$C$12)</x:f>
        <x:v>-86600.81524649766</x:v>
      </x:c>
      <x:c r="M56" t="n">
        <x:f>Scenario_Data!K56-(((SQRT((Inputs!$C$52+(Inputs!$H$9))^2+Inputs!$C$52^2-2*(Inputs!$C$52+(Inputs!$H$9))*Inputs!$C$52*COS(SQRT((Scenario_Data!W56)^2+Inputs!$C$6^2)/Inputs!$C$52)))-(Inputs!$H$9))*1000/Inputs!$C$12)</x:f>
        <x:v>-89738.19699014083</x:v>
      </x:c>
      <x:c r="O56" t="n">
        <x:f>Scenario_Data!T56</x:f>
        <x:v>-33</x:v>
      </x:c>
      <x:c r="P56" t="n">
        <x:f>2*(Scenario_Data!B56*1000)/Inputs!$C$21*1000000</x:f>
        <x:v>2676.585012689012</x:v>
      </x:c>
      <x:c r="Q56" t="n">
        <x:f>Scenario_Data!U56</x:f>
        <x:v>-220.00000000000003</x:v>
      </x:c>
      <x:c r="R56" t="n">
        <x:f>2*(Scenario_Data!C56*1000)/Inputs!$C$21*1000000</x:f>
        <x:v>970.0877798600259</x:v>
      </x:c>
      <x:c r="S56" t="n">
        <x:f>Scenario_Data!V56</x:f>
        <x:v>-440.00000000000006</x:v>
      </x:c>
      <x:c r="T56" t="n">
        <x:f>2*(Scenario_Data!D56*1000)/Inputs!$C$21*1000000</x:f>
        <x:v>2180.9254454293177</x:v>
      </x:c>
      <x:c r="U56" t="n">
        <x:f>Scenario_Data!W56</x:f>
        <x:v>-440.00000000000006</x:v>
      </x:c>
      <x:c r="V56" t="n">
        <x:f>2*(Scenario_Data!E56*1000)/Inputs!$C$21*1000000</x:f>
        <x:v>2134.393254149176</x:v>
      </x:c>
      <x:c r="X56" t="n">
        <x:f>Scenario_Data!T56</x:f>
        <x:v>-33</x:v>
      </x:c>
      <x:c r="Y56" t="n">
        <x: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x:f>
        <x:v>2676.499053404357</x:v>
      </x:c>
      <x:c r="Z56" t="n">
        <x:f>Scenario_Data!U56</x:f>
        <x:v>-220.00000000000003</x:v>
      </x:c>
      <x:c r="AA56" t="n">
        <x: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x:f>
        <x:v>970.1685104366036</x:v>
      </x:c>
      <x:c r="AB56" t="n">
        <x:f>Scenario_Data!V56</x:f>
        <x:v>-440.00000000000006</x:v>
      </x:c>
      <x:c r="AC56" t="n">
        <x: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x:f>
        <x:v>2180.866229244237</x:v>
      </x:c>
      <x:c r="AD56" t="n">
        <x:f>Scenario_Data!W56</x:f>
        <x:v>-440.00000000000006</x:v>
      </x:c>
      <x:c r="AE56" t="n">
        <x: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x:f>
        <x:v>2134.334037964095</x:v>
      </x:c>
      <x:c r="AG56" t="n">
        <x:f>Scenario_Data!T56</x:f>
        <x:v>-33</x:v>
      </x:c>
      <x:c r="AH56" t="n">
        <x:f>2*(SQRT((Inputs!$C$52+(Scenario_Data!B56))^2+Inputs!$C$52^2-2*(Inputs!$C$52+(Scenario_Data!B56))*Inputs!$C$52*COS(SQRT((Scenario_Data!T56)^2+Inputs!$C$6^2)/Inputs!$C$52))*1000)/Inputs!$C$21*1000000</x:f>
        <x:v>2694.4375898786375</x:v>
      </x:c>
      <x:c r="AI56" t="n">
        <x:f>Scenario_Data!U56</x:f>
        <x:v>-220.00000000000003</x:v>
      </x:c>
      <x:c r="AJ56" t="n">
        <x:f>2*(SQRT((Inputs!$C$52+(Scenario_Data!C56))^2+Inputs!$C$52^2-2*(Inputs!$C$52+(Scenario_Data!C56))*Inputs!$C$52*COS(SQRT((Scenario_Data!U56)^2+Inputs!$C$6^2)/Inputs!$C$52))*1000)/Inputs!$C$21*1000000</x:f>
        <x:v>1822.7061870307282</x:v>
      </x:c>
      <x:c r="AK56" t="n">
        <x:f>Scenario_Data!V56</x:f>
        <x:v>-440.00000000000006</x:v>
      </x:c>
      <x:c r="AL56" t="n">
        <x:f>2*(SQRT((Inputs!$C$52+(Scenario_Data!D56))^2+Inputs!$C$52^2-2*(Inputs!$C$52+(Scenario_Data!D56))*Inputs!$C$52*COS(SQRT((Scenario_Data!V56)^2+Inputs!$C$6^2)/Inputs!$C$52))*1000)/Inputs!$C$21*1000000</x:f>
        <x:v>3891.256447672386</x:v>
      </x:c>
      <x:c r="AM56" t="n">
        <x:f>Scenario_Data!W56</x:f>
        <x:v>-440.00000000000006</x:v>
      </x:c>
      <x:c r="AN56" t="n">
        <x:f>2*(SQRT((Inputs!$C$52+(Scenario_Data!E56))^2+Inputs!$C$52^2-2*(Inputs!$C$52+(Scenario_Data!E56))*Inputs!$C$52*COS(SQRT((Scenario_Data!W56)^2+Inputs!$C$6^2)/Inputs!$C$52))*1000)/Inputs!$C$21*1000000</x:f>
        <x:v>3860.401771777322</x:v>
      </x:c>
      <x:c r="AP56" t="n">
        <x:f>Scenario_Data!T56</x:f>
        <x:v>-33</x:v>
      </x:c>
      <x:c r="AQ56" t="n">
        <x: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x:f>
        <x:v>2692.1746655892334</x:v>
      </x:c>
      <x:c r="AR56" t="n">
        <x:f>Scenario_Data!U56</x:f>
        <x:v>-220.00000000000003</x:v>
      </x:c>
      <x:c r="AS56" t="n">
        <x: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x:f>
        <x:v>1822.521136552667</x:v>
      </x:c>
      <x:c r="AT56" t="n">
        <x:f>Scenario_Data!V56</x:f>
        <x:v>-440.00000000000006</x:v>
      </x:c>
      <x:c r="AU56" t="n">
        <x: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x:f>
        <x:v>3890.8212117810226</x:v>
      </x:c>
      <x:c r="AV56" t="n">
        <x:f>Scenario_Data!W56</x:f>
        <x:v>-440.00000000000006</x:v>
      </x:c>
      <x:c r="AW56" t="n">
        <x: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x:f>
        <x:v>3859.9747157263696</x:v>
      </x:c>
    </x:row>
    <x:row r="57">
      <x:c r="A57" t="n">
        <x:f>Chart_Data!K57</x:f>
        <x:v>-32.5</x:v>
      </x:c>
      <x:c r="B57" t="n">
        <x:f>Chart_Data!N57-Chart_Data!L57</x:f>
        <x:v>-17.06917876670684</x:v>
      </x:c>
      <x:c r="D57" t="n">
        <x:f>Chart_Data!G57</x:f>
        <x:v>-32.5</x:v>
      </x:c>
      <x:c r="E57" t="n">
        <x:f>Chart_Data!H57</x:f>
        <x:v>350.9183412247295</x:v>
      </x:c>
      <x:c r="F57" t="n">
        <x:f>Chart_Data!I57</x:f>
        <x:v>350.9183412247295</x:v>
      </x:c>
      <x:c r="G57" t="n">
        <x:f>Chart_Data!J57</x:f>
        <x:v>14.196906765365963</x:v>
      </x:c>
      <x:c r="I57" t="n">
        <x:f>Scenario_Data!A57</x:f>
        <x:v>-0.542</x:v>
      </x:c>
      <x:c r="J57" t="n">
        <x:f>Scenario_Data!H57-(((SQRT((Inputs!$C$52+(Inputs!$H$6))^2+Inputs!$C$52^2-2*(Inputs!$C$52+(Inputs!$H$6))*Inputs!$C$52*COS(SQRT((Scenario_Data!T57)^2+Inputs!$C$6^2)/Inputs!$C$52)))-(Inputs!$H$6))*1000/Inputs!$C$12)</x:f>
        <x:v>-3.423937371721422</x:v>
      </x:c>
      <x:c r="K57" t="n">
        <x:f>Scenario_Data!I57-(((SQRT((Inputs!$C$52+(Inputs!$H$7))^2+Inputs!$C$52^2-2*(Inputs!$C$52+(Inputs!$H$7))*Inputs!$C$52*COS(SQRT((Scenario_Data!U57)^2+Inputs!$C$6^2)/Inputs!$C$52)))-(Inputs!$H$7))*1000/Inputs!$C$12)</x:f>
        <x:v>-34798.54556291022</x:v>
      </x:c>
      <x:c r="L57" t="n">
        <x:f>Scenario_Data!J57-(((SQRT((Inputs!$C$52+(Inputs!$H$8))^2+Inputs!$C$52^2-2*(Inputs!$C$52+(Inputs!$H$8))*Inputs!$C$52*COS(SQRT((Scenario_Data!V57)^2+Inputs!$C$6^2)/Inputs!$C$52)))-(Inputs!$H$8))*1000/Inputs!$C$12)</x:f>
        <x:v>-84665.83712834844</x:v>
      </x:c>
      <x:c r="M57" t="n">
        <x:f>Scenario_Data!K57-(((SQRT((Inputs!$C$52+(Inputs!$H$9))^2+Inputs!$C$52^2-2*(Inputs!$C$52+(Inputs!$H$9))*Inputs!$C$52*COS(SQRT((Scenario_Data!W57)^2+Inputs!$C$6^2)/Inputs!$C$52)))-(Inputs!$H$9))*1000/Inputs!$C$12)</x:f>
        <x:v>-87773.67562430885</x:v>
      </x:c>
      <x:c r="O57" t="n">
        <x:f>Scenario_Data!T57</x:f>
        <x:v>-32.52</x:v>
      </x:c>
      <x:c r="P57" t="n">
        <x:f>2*(Scenario_Data!B57*1000)/Inputs!$C$21*1000000</x:f>
        <x:v>2676.3518914141596</x:v>
      </x:c>
      <x:c r="Q57" t="n">
        <x:f>Scenario_Data!U57</x:f>
        <x:v>-216.8</x:v>
      </x:c>
      <x:c r="R57" t="n">
        <x:f>2*(Scenario_Data!C57*1000)/Inputs!$C$21*1000000</x:f>
        <x:v>948.8154635297731</x:v>
      </x:c>
      <x:c r="S57" t="n">
        <x:f>Scenario_Data!V57</x:f>
        <x:v>-433.6</x:v>
      </x:c>
      <x:c r="T57" t="n">
        <x:f>2*(Scenario_Data!D57*1000)/Inputs!$C$21*1000000</x:f>
        <x:v>2124.6849378712523</x:v>
      </x:c>
      <x:c r="U57" t="n">
        <x:f>Scenario_Data!W57</x:f>
        <x:v>-433.6</x:v>
      </x:c>
      <x:c r="V57" t="n">
        <x:f>2*(Scenario_Data!E57*1000)/Inputs!$C$21*1000000</x:f>
        <x:v>2077.56994340398</x:v>
      </x:c>
      <x:c r="X57" t="n">
        <x:f>Scenario_Data!T57</x:f>
        <x:v>-32.52</x:v>
      </x:c>
      <x:c r="Y57" t="n">
        <x: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x:f>
        <x:v>2676.2200621956567</x:v>
      </x:c>
      <x:c r="Z57" t="n">
        <x:f>Scenario_Data!U57</x:f>
        <x:v>-216.8</x:v>
      </x:c>
      <x:c r="AA57" t="n">
        <x: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x:f>
        <x:v>948.7608368090656</x:v>
      </x:c>
      <x:c r="AB57" t="n">
        <x:f>Scenario_Data!V57</x:f>
        <x:v>-433.6</x:v>
      </x:c>
      <x:c r="AC57" t="n">
        <x: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x:f>
        <x:v>2124.696136137851</x:v>
      </x:c>
      <x:c r="AD57" t="n">
        <x:f>Scenario_Data!W57</x:f>
        <x:v>-433.6</x:v>
      </x:c>
      <x:c r="AE57" t="n">
        <x: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x:f>
        <x:v>2077.5811416705787</x:v>
      </x:c>
      <x:c r="AG57" t="n">
        <x:f>Scenario_Data!T57</x:f>
        <x:v>-32.52</x:v>
      </x:c>
      <x:c r="AH57" t="n">
        <x:f>2*(SQRT((Inputs!$C$52+(Scenario_Data!B57))^2+Inputs!$C$52^2-2*(Inputs!$C$52+(Scenario_Data!B57))*Inputs!$C$52*COS(SQRT((Scenario_Data!T57)^2+Inputs!$C$6^2)/Inputs!$C$52))*1000)/Inputs!$C$21*1000000</x:f>
        <x:v>2693.8791874812646</x:v>
      </x:c>
      <x:c r="AI57" t="n">
        <x:f>Scenario_Data!U57</x:f>
        <x:v>-216.8</x:v>
      </x:c>
      <x:c r="AJ57" t="n">
        <x:f>2*(SQRT((Inputs!$C$52+(Scenario_Data!C57))^2+Inputs!$C$52^2-2*(Inputs!$C$52+(Scenario_Data!C57))*Inputs!$C$52*COS(SQRT((Scenario_Data!U57)^2+Inputs!$C$6^2)/Inputs!$C$52))*1000)/Inputs!$C$21*1000000</x:f>
        <x:v>1791.4617344869769</x:v>
      </x:c>
      <x:c r="AK57" t="n">
        <x:f>Scenario_Data!V57</x:f>
        <x:v>-433.6</x:v>
      </x:c>
      <x:c r="AL57" t="n">
        <x:f>2*(SQRT((Inputs!$C$52+(Scenario_Data!D57))^2+Inputs!$C$52^2-2*(Inputs!$C$52+(Scenario_Data!D57))*Inputs!$C$52*COS(SQRT((Scenario_Data!V57)^2+Inputs!$C$6^2)/Inputs!$C$52))*1000)/Inputs!$C$21*1000000</x:f>
        <x:v>3815.4483329742607</x:v>
      </x:c>
      <x:c r="AM57" t="n">
        <x:f>Scenario_Data!W57</x:f>
        <x:v>-433.6</x:v>
      </x:c>
      <x:c r="AN57" t="n">
        <x:f>2*(SQRT((Inputs!$C$52+(Scenario_Data!E57))^2+Inputs!$C$52^2-2*(Inputs!$C$52+(Scenario_Data!E57))*Inputs!$C$52*COS(SQRT((Scenario_Data!W57)^2+Inputs!$C$6^2)/Inputs!$C$52))*1000)/Inputs!$C$21*1000000</x:f>
        <x:v>3784.430436320021</x:v>
      </x:c>
      <x:c r="AP57" t="n">
        <x:f>Scenario_Data!T57</x:f>
        <x:v>-32.52</x:v>
      </x:c>
      <x:c r="AQ57" t="n">
        <x: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x:f>
        <x:v>2691.668504525569</x:v>
      </x:c>
      <x:c r="AR57" t="n">
        <x:f>Scenario_Data!U57</x:f>
        <x:v>-216.8</x:v>
      </x:c>
      <x:c r="AS57" t="n">
        <x: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x:f>
        <x:v>1791.0443942278735</x:v>
      </x:c>
      <x:c r="AT57" t="n">
        <x:f>Scenario_Data!V57</x:f>
        <x:v>-433.6</x:v>
      </x:c>
      <x:c r="AU57" t="n">
        <x: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x:f>
        <x:v>3815.2605376380343</x:v>
      </x:c>
      <x:c r="AV57" t="n">
        <x:f>Scenario_Data!W57</x:f>
        <x:v>-433.6</x:v>
      </x:c>
      <x:c r="AW57" t="n">
        <x: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x:f>
        <x:v>3784.2463249330663</x:v>
      </x:c>
    </x:row>
    <x:row r="58">
      <x:c r="A58" t="n">
        <x:f>Chart_Data!K58</x:f>
        <x:v>-32</x:v>
      </x:c>
      <x:c r="B58" t="n">
        <x:f>Chart_Data!N58-Chart_Data!L58</x:f>
        <x:v>-8.468507015690818</x:v>
      </x:c>
      <x:c r="D58" t="n">
        <x:f>Chart_Data!G58</x:f>
        <x:v>-32</x:v>
      </x:c>
      <x:c r="E58" t="n">
        <x:f>Chart_Data!H58</x:f>
        <x:v>340.91681406553505</x:v>
      </x:c>
      <x:c r="F58" t="n">
        <x:f>Chart_Data!I58</x:f>
        <x:v>340.91681406553505</x:v>
      </x:c>
      <x:c r="G58" t="n">
        <x:f>Chart_Data!J58</x:f>
        <x:v>5.730826646134426</x:v>
      </x:c>
      <x:c r="I58" t="n">
        <x:f>Scenario_Data!A58</x:f>
        <x:v>-0.533</x:v>
      </x:c>
      <x:c r="J58" t="n">
        <x:f>Scenario_Data!H58-(((SQRT((Inputs!$C$52+(Inputs!$H$6))^2+Inputs!$C$52^2-2*(Inputs!$C$52+(Inputs!$H$6))*Inputs!$C$52*COS(SQRT((Scenario_Data!T58)^2+Inputs!$C$6^2)/Inputs!$C$52)))-(Inputs!$H$6))*1000/Inputs!$C$12)</x:f>
        <x:v>-3.243653659340225</x:v>
      </x:c>
      <x:c r="K58" t="n">
        <x:f>Scenario_Data!I58-(((SQRT((Inputs!$C$52+(Inputs!$H$7))^2+Inputs!$C$52^2-2*(Inputs!$C$52+(Inputs!$H$7))*Inputs!$C$52*COS(SQRT((Scenario_Data!U58)^2+Inputs!$C$6^2)/Inputs!$C$52)))-(Inputs!$H$7))*1000/Inputs!$C$12)</x:f>
        <x:v>-33749.98145308542</x:v>
      </x:c>
      <x:c r="L58" t="n">
        <x:f>Scenario_Data!J58-(((SQRT((Inputs!$C$52+(Inputs!$H$8))^2+Inputs!$C$52^2-2*(Inputs!$C$52+(Inputs!$H$8))*Inputs!$C$52*COS(SQRT((Scenario_Data!V58)^2+Inputs!$C$6^2)/Inputs!$C$52)))-(Inputs!$H$8))*1000/Inputs!$C$12)</x:f>
        <x:v>-82494.11644292489</x:v>
      </x:c>
      <x:c r="M58" t="n">
        <x:f>Scenario_Data!K58-(((SQRT((Inputs!$C$52+(Inputs!$H$9))^2+Inputs!$C$52^2-2*(Inputs!$C$52+(Inputs!$H$9))*Inputs!$C$52*COS(SQRT((Scenario_Data!W58)^2+Inputs!$C$6^2)/Inputs!$C$52)))-(Inputs!$H$9))*1000/Inputs!$C$12)</x:f>
        <x:v>-85567.97437946271</x:v>
      </x:c>
      <x:c r="O58" t="n">
        <x:f>Scenario_Data!T58</x:f>
        <x:v>-31.98</x:v>
      </x:c>
      <x:c r="P58" t="n">
        <x:f>2*(Scenario_Data!B58*1000)/Inputs!$C$21*1000000</x:f>
        <x:v>2676.093712804476</x:v>
      </x:c>
      <x:c r="Q58" t="n">
        <x:f>Scenario_Data!U58</x:f>
        <x:v>-213.20000000000002</x:v>
      </x:c>
      <x:c r="R58" t="n">
        <x:f>2*(Scenario_Data!C58*1000)/Inputs!$C$21*1000000</x:f>
        <x:v>925.2566653961659</x:v>
      </x:c>
      <x:c r="S58" t="n">
        <x:f>Scenario_Data!V58</x:f>
        <x:v>-426.40000000000003</x:v>
      </x:c>
      <x:c r="T58" t="n">
        <x:f>2*(Scenario_Data!D58*1000)/Inputs!$C$21*1000000</x:f>
        <x:v>2062.3993482851392</x:v>
      </x:c>
      <x:c r="U58" t="n">
        <x:f>Scenario_Data!W58</x:f>
        <x:v>-426.40000000000003</x:v>
      </x:c>
      <x:c r="V58" t="n">
        <x:f>2*(Scenario_Data!E58*1000)/Inputs!$C$21*1000000</x:f>
        <x:v>2014.6389072936586</x:v>
      </x:c>
      <x:c r="X58" t="n">
        <x:f>Scenario_Data!T58</x:f>
        <x:v>-31.98</x:v>
      </x:c>
      <x:c r="Y58" t="n">
        <x: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x:f>
        <x:v>2676.1391391812404</x:v>
      </x:c>
      <x:c r="Z58" t="n">
        <x:f>Scenario_Data!U58</x:f>
        <x:v>-213.20000000000002</x:v>
      </x:c>
      <x:c r="AA58" t="n">
        <x: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x:f>
        <x:v>924.7601899779155</x:v>
      </x:c>
      <x:c r="AB58" t="n">
        <x:f>Scenario_Data!V58</x:f>
        <x:v>-426.40000000000003</x:v>
      </x:c>
      <x:c r="AC58" t="n">
        <x: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x:f>
        <x:v>2061.9306805806204</x:v>
      </x:c>
      <x:c r="AD58" t="n">
        <x:f>Scenario_Data!W58</x:f>
        <x:v>-426.40000000000003</x:v>
      </x:c>
      <x:c r="AE58" t="n">
        <x: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x:f>
        <x:v>2014.1702395891398</x:v>
      </x:c>
      <x:c r="AG58" t="n">
        <x:f>Scenario_Data!T58</x:f>
        <x:v>-31.98</x:v>
      </x:c>
      <x:c r="AH58" t="n">
        <x:f>2*(SQRT((Inputs!$C$52+(Scenario_Data!B58))^2+Inputs!$C$52^2-2*(Inputs!$C$52+(Scenario_Data!B58))*Inputs!$C$52*COS(SQRT((Scenario_Data!T58)^2+Inputs!$C$6^2)/Inputs!$C$52))*1000)/Inputs!$C$21*1000000</x:f>
        <x:v>2693.260665691084</x:v>
      </x:c>
      <x:c r="AI58" t="n">
        <x:f>Scenario_Data!U58</x:f>
        <x:v>-213.20000000000002</x:v>
      </x:c>
      <x:c r="AJ58" t="n">
        <x:f>2*(SQRT((Inputs!$C$52+(Scenario_Data!C58))^2+Inputs!$C$52^2-2*(Inputs!$C$52+(Scenario_Data!C58))*Inputs!$C$52*COS(SQRT((Scenario_Data!U58)^2+Inputs!$C$6^2)/Inputs!$C$52))*1000)/Inputs!$C$21*1000000</x:f>
        <x:v>1756.5930320423254</x:v>
      </x:c>
      <x:c r="AK58" t="n">
        <x:f>Scenario_Data!V58</x:f>
        <x:v>-426.40000000000003</x:v>
      </x:c>
      <x:c r="AL58" t="n">
        <x:f>2*(SQRT((Inputs!$C$52+(Scenario_Data!D58))^2+Inputs!$C$52^2-2*(Inputs!$C$52+(Scenario_Data!D58))*Inputs!$C$52*COS(SQRT((Scenario_Data!V58)^2+Inputs!$C$6^2)/Inputs!$C$52))*1000)/Inputs!$C$21*1000000</x:f>
        <x:v>3731.0809261239974</x:v>
      </x:c>
      <x:c r="AM58" t="n">
        <x:f>Scenario_Data!W58</x:f>
        <x:v>-426.40000000000003</x:v>
      </x:c>
      <x:c r="AN58" t="n">
        <x:f>2*(SQRT((Inputs!$C$52+(Scenario_Data!E58))^2+Inputs!$C$52^2-2*(Inputs!$C$52+(Scenario_Data!E58))*Inputs!$C$52*COS(SQRT((Scenario_Data!W58)^2+Inputs!$C$6^2)/Inputs!$C$52))*1000)/Inputs!$C$21*1000000</x:f>
        <x:v>3699.896173425855</x:v>
      </x:c>
      <x:c r="AP58" t="n">
        <x:f>Scenario_Data!T58</x:f>
        <x:v>-31.98</x:v>
      </x:c>
      <x:c r="AQ58" t="n">
        <x: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x:f>
        <x:v>2690.9024159206665</x:v>
      </x:c>
      <x:c r="AR58" t="n">
        <x:f>Scenario_Data!U58</x:f>
        <x:v>-213.20000000000002</x:v>
      </x:c>
      <x:c r="AS58" t="n">
        <x: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x:f>
        <x:v>1756.0232098844801</x:v>
      </x:c>
      <x:c r="AT58" t="n">
        <x:f>Scenario_Data!V58</x:f>
        <x:v>-426.40000000000003</x:v>
      </x:c>
      <x:c r="AU58" t="n">
        <x: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x:f>
        <x:v>3730.4741694394993</x:v>
      </x:c>
      <x:c r="AV58" t="n">
        <x:f>Scenario_Data!W58</x:f>
        <x:v>-426.40000000000003</x:v>
      </x:c>
      <x:c r="AW58" t="n">
        <x: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x:f>
        <x:v>3699.30191597568</x:v>
      </x:c>
    </x:row>
    <x:row r="59">
      <x:c r="A59" t="n">
        <x:f>Chart_Data!K59</x:f>
        <x:v>-31.5</x:v>
      </x:c>
      <x:c r="B59" t="n">
        <x:f>Chart_Data!N59-Chart_Data!L59</x:f>
        <x:v>-12.093868668153164</x:v>
      </x:c>
      <x:c r="D59" t="n">
        <x:f>Chart_Data!G59</x:f>
        <x:v>-31.5</x:v>
      </x:c>
      <x:c r="E59" t="n">
        <x:f>Chart_Data!H59</x:f>
        <x:v>355.15219987006986</x:v>
      </x:c>
      <x:c r="F59" t="n">
        <x:f>Chart_Data!I59</x:f>
        <x:v>355.15219987006986</x:v>
      </x:c>
      <x:c r="G59" t="n">
        <x:f>Chart_Data!J59</x:f>
        <x:v>9.295817115602365</x:v>
      </x:c>
      <x:c r="I59" t="n">
        <x:f>Scenario_Data!A59</x:f>
        <x:v>-0.525</x:v>
      </x:c>
      <x:c r="J59" t="n">
        <x:f>Scenario_Data!H59-(((SQRT((Inputs!$C$52+(Inputs!$H$6))^2+Inputs!$C$52^2-2*(Inputs!$C$52+(Inputs!$H$6))*Inputs!$C$52*COS(SQRT((Scenario_Data!T59)^2+Inputs!$C$6^2)/Inputs!$C$52)))-(Inputs!$H$6))*1000/Inputs!$C$12)</x:f>
        <x:v>-3.089673071670859</x:v>
      </x:c>
      <x:c r="K59" t="n">
        <x:f>Scenario_Data!I59-(((SQRT((Inputs!$C$52+(Inputs!$H$7))^2+Inputs!$C$52^2-2*(Inputs!$C$52+(Inputs!$H$7))*Inputs!$C$52*COS(SQRT((Scenario_Data!U59)^2+Inputs!$C$6^2)/Inputs!$C$52)))-(Inputs!$H$7))*1000/Inputs!$C$12)</x:f>
        <x:v>-32825.87746268808</x:v>
      </x:c>
      <x:c r="L59" t="n">
        <x:f>Scenario_Data!J59-(((SQRT((Inputs!$C$52+(Inputs!$H$8))^2+Inputs!$C$52^2-2*(Inputs!$C$52+(Inputs!$H$8))*Inputs!$C$52*COS(SQRT((Scenario_Data!V59)^2+Inputs!$C$6^2)/Inputs!$C$52)))-(Inputs!$H$8))*1000/Inputs!$C$12)</x:f>
        <x:v>-80568.7736811837</x:v>
      </x:c>
      <x:c r="M59" t="n">
        <x:f>Scenario_Data!K59-(((SQRT((Inputs!$C$52+(Inputs!$H$9))^2+Inputs!$C$52^2-2*(Inputs!$C$52+(Inputs!$H$9))*Inputs!$C$52*COS(SQRT((Scenario_Data!W59)^2+Inputs!$C$6^2)/Inputs!$C$52)))-(Inputs!$H$9))*1000/Inputs!$C$12)</x:f>
        <x:v>-83611.75944718669</x:v>
      </x:c>
      <x:c r="O59" t="n">
        <x:f>Scenario_Data!T59</x:f>
        <x:v>-31.5</x:v>
      </x:c>
      <x:c r="P59" t="n">
        <x:f>2*(Scenario_Data!B59*1000)/Inputs!$C$21*1000000</x:f>
        <x:v>2675.867849884336</x:v>
      </x:c>
      <x:c r="Q59" t="n">
        <x:f>Scenario_Data!U59</x:f>
        <x:v>-210</x:v>
      </x:c>
      <x:c r="R59" t="n">
        <x:f>2*(Scenario_Data!C59*1000)/Inputs!$C$21*1000000</x:f>
        <x:v>904.6466739333382</x:v>
      </x:c>
      <x:c r="S59" t="n">
        <x:f>Scenario_Data!V59</x:f>
        <x:v>-420</x:v>
      </x:c>
      <x:c r="T59" t="n">
        <x:f>2*(Scenario_Data!D59*1000)/Inputs!$C$21*1000000</x:f>
        <x:v>2007.9099188012265</x:v>
      </x:c>
      <x:c r="U59" t="n">
        <x:f>Scenario_Data!W59</x:f>
        <x:v>-420</x:v>
      </x:c>
      <x:c r="V59" t="n">
        <x:f>2*(Scenario_Data!E59*1000)/Inputs!$C$21*1000000</x:f>
        <x:v>1959.584820509394</x:v>
      </x:c>
      <x:c r="X59" t="n">
        <x:f>Scenario_Data!T59</x:f>
        <x:v>-31.5</x:v>
      </x:c>
      <x:c r="Y59" t="n">
        <x: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x:f>
        <x:v>2675.80583486783</x:v>
      </x:c>
      <x:c r="Z59" t="n">
        <x:f>Scenario_Data!U59</x:f>
        <x:v>-210</x:v>
      </x:c>
      <x:c r="AA59" t="n">
        <x: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x:f>
        <x:v>904.2533098821133</x:v>
      </x:c>
      <x:c r="AB59" t="n">
        <x:f>Scenario_Data!V59</x:f>
        <x:v>-420</x:v>
      </x:c>
      <x:c r="AC59" t="n">
        <x: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x:f>
        <x:v>2007.8337102011103</x:v>
      </x:c>
      <x:c r="AD59" t="n">
        <x:f>Scenario_Data!W59</x:f>
        <x:v>-420</x:v>
      </x:c>
      <x:c r="AE59" t="n">
        <x: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x:f>
        <x:v>1959.5086119092775</x:v>
      </x:c>
      <x:c r="AG59" t="n">
        <x:f>Scenario_Data!T59</x:f>
        <x:v>-31.5</x:v>
      </x:c>
      <x:c r="AH59" t="n">
        <x:f>2*(SQRT((Inputs!$C$52+(Scenario_Data!B59))^2+Inputs!$C$52^2-2*(Inputs!$C$52+(Scenario_Data!B59))*Inputs!$C$52*COS(SQRT((Scenario_Data!T59)^2+Inputs!$C$6^2)/Inputs!$C$52))*1000)/Inputs!$C$21*1000000</x:f>
        <x:v>2692.7194777953123</x:v>
      </x:c>
      <x:c r="AI59" t="n">
        <x:f>Scenario_Data!U59</x:f>
        <x:v>-210</x:v>
      </x:c>
      <x:c r="AJ59" t="n">
        <x:f>2*(SQRT((Inputs!$C$52+(Scenario_Data!C59))^2+Inputs!$C$52^2-2*(Inputs!$C$52+(Scenario_Data!C59))*Inputs!$C$52*COS(SQRT((Scenario_Data!U59)^2+Inputs!$C$6^2)/Inputs!$C$52))*1000)/Inputs!$C$21*1000000</x:f>
        <x:v>1725.8467418024873</x:v>
      </x:c>
      <x:c r="AK59" t="n">
        <x:f>Scenario_Data!V59</x:f>
        <x:v>-420</x:v>
      </x:c>
      <x:c r="AL59" t="n">
        <x:f>2*(SQRT((Inputs!$C$52+(Scenario_Data!D59))^2+Inputs!$C$52^2-2*(Inputs!$C$52+(Scenario_Data!D59))*Inputs!$C$52*COS(SQRT((Scenario_Data!V59)^2+Inputs!$C$6^2)/Inputs!$C$52))*1000)/Inputs!$C$21*1000000</x:f>
        <x:v>3656.896918210815</x:v>
      </x:c>
      <x:c r="AM59" t="n">
        <x:f>Scenario_Data!W59</x:f>
        <x:v>-420</x:v>
      </x:c>
      <x:c r="AN59" t="n">
        <x:f>2*(SQRT((Inputs!$C$52+(Scenario_Data!E59))^2+Inputs!$C$52^2-2*(Inputs!$C$52+(Scenario_Data!E59))*Inputs!$C$52*COS(SQRT((Scenario_Data!W59)^2+Inputs!$C$6^2)/Inputs!$C$52))*1000)/Inputs!$C$21*1000000</x:f>
        <x:v>3625.578721629772</x:v>
      </x:c>
      <x:c r="AP59" t="n">
        <x:f>Scenario_Data!T59</x:f>
        <x:v>-31.5</x:v>
      </x:c>
      <x:c r="AQ59" t="n">
        <x: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x:f>
        <x:v>2690.368823941855</x:v>
      </x:c>
      <x:c r="AR59" t="n">
        <x:f>Scenario_Data!U59</x:f>
        <x:v>-210</x:v>
      </x:c>
      <x:c r="AS59" t="n">
        <x: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x:f>
        <x:v>1725.305616464916</x:v>
      </x:c>
      <x:c r="AT59" t="n">
        <x:f>Scenario_Data!V59</x:f>
        <x:v>-420</x:v>
      </x:c>
      <x:c r="AU59" t="n">
        <x: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x:f>
        <x:v>3656.657350395744</x:v>
      </x:c>
      <x:c r="AV59" t="n">
        <x:f>Scenario_Data!W59</x:f>
        <x:v>-420</x:v>
      </x:c>
      <x:c r="AW59" t="n">
        <x: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x:f>
        <x:v>3625.3443038047226</x:v>
      </x:c>
    </x:row>
    <x:row r="60">
      <x:c r="A60" t="n">
        <x:f>Chart_Data!K60</x:f>
        <x:v>-31</x:v>
      </x:c>
      <x:c r="B60" t="n">
        <x:f>Chart_Data!N60-Chart_Data!L60</x:f>
        <x:v>10.459386000540121</x:v>
      </x:c>
      <x:c r="D60" t="n">
        <x:f>Chart_Data!G60</x:f>
        <x:v>-31</x:v>
      </x:c>
      <x:c r="E60" t="n">
        <x:f>Chart_Data!H60</x:f>
        <x:v>353.2610093246909</x:v>
      </x:c>
      <x:c r="F60" t="n">
        <x:f>Chart_Data!I60</x:f>
        <x:v>353.2610093246909</x:v>
      </x:c>
      <x:c r="G60" t="n">
        <x:f>Chart_Data!J60</x:f>
        <x:v>-13.189582675327635</x:v>
      </x:c>
      <x:c r="I60" t="n">
        <x:f>Scenario_Data!A60</x:f>
        <x:v>-0.517</x:v>
      </x:c>
      <x:c r="J60" t="n">
        <x:f>Scenario_Data!H60-(((SQRT((Inputs!$C$52+(Inputs!$H$6))^2+Inputs!$C$52^2-2*(Inputs!$C$52+(Inputs!$H$6))*Inputs!$C$52*COS(SQRT((Scenario_Data!T60)^2+Inputs!$C$6^2)/Inputs!$C$52)))-(Inputs!$H$6))*1000/Inputs!$C$12)</x:f>
        <x:v>-2.941433207470027</x:v>
      </x:c>
      <x:c r="K60" t="n">
        <x:f>Scenario_Data!I60-(((SQRT((Inputs!$C$52+(Inputs!$H$7))^2+Inputs!$C$52^2-2*(Inputs!$C$52+(Inputs!$H$7))*Inputs!$C$52*COS(SQRT((Scenario_Data!U60)^2+Inputs!$C$6^2)/Inputs!$C$52)))-(Inputs!$H$7))*1000/Inputs!$C$12)</x:f>
        <x:v>-31909.46264160071</x:v>
      </x:c>
      <x:c r="L60" t="n">
        <x:f>Scenario_Data!J60-(((SQRT((Inputs!$C$52+(Inputs!$H$8))^2+Inputs!$C$52^2-2*(Inputs!$C$52+(Inputs!$H$8))*Inputs!$C$52*COS(SQRT((Scenario_Data!V60)^2+Inputs!$C$6^2)/Inputs!$C$52)))-(Inputs!$H$8))*1000/Inputs!$C$12)</x:f>
        <x:v>-78648.70676173814</x:v>
      </x:c>
      <x:c r="M60" t="n">
        <x:f>Scenario_Data!K60-(((SQRT((Inputs!$C$52+(Inputs!$H$9))^2+Inputs!$C$52^2-2*(Inputs!$C$52+(Inputs!$H$9))*Inputs!$C$52*COS(SQRT((Scenario_Data!W60)^2+Inputs!$C$6^2)/Inputs!$C$52)))-(Inputs!$H$9))*1000/Inputs!$C$12)</x:f>
        <x:v>-81660.18743462116</x:v>
      </x:c>
      <x:c r="O60" t="n">
        <x:f>Scenario_Data!T60</x:f>
        <x:v>-31.02</x:v>
      </x:c>
      <x:c r="P60" t="n">
        <x:f>2*(Scenario_Data!B60*1000)/Inputs!$C$21*1000000</x:f>
        <x:v>2675.6454026605297</x:v>
      </x:c>
      <x:c r="Q60" t="n">
        <x:f>Scenario_Data!U60</x:f>
        <x:v>-206.8</x:v>
      </x:c>
      <x:c r="R60" t="n">
        <x:f>2*(Scenario_Data!C60*1000)/Inputs!$C$21*1000000</x:f>
        <x:v>884.3483647610641</x:v>
      </x:c>
      <x:c r="S60" t="n">
        <x:f>Scenario_Data!V60</x:f>
        <x:v>-413.6</x:v>
      </x:c>
      <x:c r="T60" t="n">
        <x:f>2*(Scenario_Data!D60*1000)/Inputs!$C$21*1000000</x:f>
        <x:v>1954.2445260580903</x:v>
      </x:c>
      <x:c r="U60" t="n">
        <x:f>Scenario_Data!W60</x:f>
        <x:v>-413.6</x:v>
      </x:c>
      <x:c r="V60" t="n">
        <x:f>2*(Scenario_Data!E60*1000)/Inputs!$C$21*1000000</x:f>
        <x:v>1905.3633097067436</x:v>
      </x:c>
      <x:c r="X60" t="n">
        <x:f>Scenario_Data!T60</x:f>
        <x:v>-31.02</x:v>
      </x:c>
      <x:c r="Y60" t="n">
        <x: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x:f>
        <x:v>2675.70219462797</x:v>
      </x:c>
      <x:c r="Z60" t="n">
        <x:f>Scenario_Data!U60</x:f>
        <x:v>-206.8</x:v>
      </x:c>
      <x:c r="AA60" t="n">
        <x: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x:f>
        <x:v>884.1203916379084</x:v>
      </x:c>
      <x:c r="AB60" t="n">
        <x:f>Scenario_Data!V60</x:f>
        <x:v>-413.6</x:v>
      </x:c>
      <x:c r="AC60" t="n">
        <x: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x:f>
        <x:v>1953.830454243079</x:v>
      </x:c>
      <x:c r="AD60" t="n">
        <x:f>Scenario_Data!W60</x:f>
        <x:v>-413.6</x:v>
      </x:c>
      <x:c r="AE60" t="n">
        <x: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x:f>
        <x:v>1904.9492378917325</x:v>
      </x:c>
      <x:c r="AG60" t="n">
        <x:f>Scenario_Data!T60</x:f>
        <x:v>-31.02</x:v>
      </x:c>
      <x:c r="AH60" t="n">
        <x:f>2*(SQRT((Inputs!$C$52+(Scenario_Data!B60))^2+Inputs!$C$52^2-2*(Inputs!$C$52+(Scenario_Data!B60))*Inputs!$C$52*COS(SQRT((Scenario_Data!T60)^2+Inputs!$C$6^2)/Inputs!$C$52))*1000)/Inputs!$C$21*1000000</x:f>
        <x:v>2692.1863964353583</x:v>
      </x:c>
      <x:c r="AI60" t="n">
        <x:f>Scenario_Data!U60</x:f>
        <x:v>-206.8</x:v>
      </x:c>
      <x:c r="AJ60" t="n">
        <x:f>2*(SQRT((Inputs!$C$52+(Scenario_Data!C60))^2+Inputs!$C$52^2-2*(Inputs!$C$52+(Scenario_Data!C60))*Inputs!$C$52*COS(SQRT((Scenario_Data!U60)^2+Inputs!$C$6^2)/Inputs!$C$52))*1000)/Inputs!$C$21*1000000</x:f>
        <x:v>1695.3321376263839</x:v>
      </x:c>
      <x:c r="AK60" t="n">
        <x:f>Scenario_Data!V60</x:f>
        <x:v>-413.6</x:v>
      </x:c>
      <x:c r="AL60" t="n">
        <x:f>2*(SQRT((Inputs!$C$52+(Scenario_Data!D60))^2+Inputs!$C$52^2-2*(Inputs!$C$52+(Scenario_Data!D60))*Inputs!$C$52*COS(SQRT((Scenario_Data!V60)^2+Inputs!$C$6^2)/Inputs!$C$52))*1000)/Inputs!$C$21*1000000</x:f>
        <x:v>3583.4691205577215</x:v>
      </x:c>
      <x:c r="AM60" t="n">
        <x:f>Scenario_Data!W60</x:f>
        <x:v>-413.6</x:v>
      </x:c>
      <x:c r="AN60" t="n">
        <x:f>2*(SQRT((Inputs!$C$52+(Scenario_Data!E60))^2+Inputs!$C$52^2-2*(Inputs!$C$52+(Scenario_Data!E60))*Inputs!$C$52*COS(SQRT((Scenario_Data!W60)^2+Inputs!$C$6^2)/Inputs!$C$52))*1000)/Inputs!$C$21*1000000</x:f>
        <x:v>3552.0314391676843</x:v>
      </x:c>
      <x:c r="AP60" t="n">
        <x:f>Scenario_Data!T60</x:f>
        <x:v>-31.02</x:v>
      </x:c>
      <x:c r="AQ60" t="n">
        <x: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x:f>
        <x:v>2689.879981187311</x:v>
      </x:c>
      <x:c r="AR60" t="n">
        <x:f>Scenario_Data!U60</x:f>
        <x:v>-206.8</x:v>
      </x:c>
      <x:c r="AS60" t="n">
        <x: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x:f>
        <x:v>1694.9715481778403</x:v>
      </x:c>
      <x:c r="AT60" t="n">
        <x:f>Scenario_Data!V60</x:f>
        <x:v>-413.6</x:v>
      </x:c>
      <x:c r="AU60" t="n">
        <x: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x:f>
        <x:v>3583.025074116563</x:v>
      </x:c>
      <x:c r="AV60" t="n">
        <x:f>Scenario_Data!W60</x:f>
        <x:v>-413.6</x:v>
      </x:c>
      <x:c r="AW60" t="n">
        <x: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x:f>
        <x:v>3551.5973602312506</x:v>
      </x:c>
    </x:row>
    <x:row r="61">
      <x:c r="A61" t="n">
        <x:f>Chart_Data!K61</x:f>
        <x:v>-30.5</x:v>
      </x:c>
      <x:c r="B61" t="n">
        <x:f>Chart_Data!N61-Chart_Data!L61</x:f>
        <x:v>4.900052542946412</x:v>
      </x:c>
      <x:c r="D61" t="n">
        <x:f>Chart_Data!G61</x:f>
        <x:v>-30.5</x:v>
      </x:c>
      <x:c r="E61" t="n">
        <x:f>Chart_Data!H61</x:f>
        <x:v>338.6571544092517</x:v>
      </x:c>
      <x:c r="F61" t="n">
        <x:f>Chart_Data!I61</x:f>
        <x:v>338.6571544092517</x:v>
      </x:c>
      <x:c r="G61" t="n">
        <x:f>Chart_Data!J61</x:f>
        <x:v>-7.467318037700602</x:v>
      </x:c>
      <x:c r="I61" t="n">
        <x:f>Scenario_Data!A61</x:f>
        <x:v>-0.508</x:v>
      </x:c>
      <x:c r="J61" t="n">
        <x:f>Scenario_Data!H61-(((SQRT((Inputs!$C$52+(Inputs!$H$6))^2+Inputs!$C$52^2-2*(Inputs!$C$52+(Inputs!$H$6))*Inputs!$C$52*COS(SQRT((Scenario_Data!T61)^2+Inputs!$C$6^2)/Inputs!$C$52)))-(Inputs!$H$6))*1000/Inputs!$C$12)</x:f>
        <x:v>-2.7813345652473345</x:v>
      </x:c>
      <x:c r="K61" t="n">
        <x:f>Scenario_Data!I61-(((SQRT((Inputs!$C$52+(Inputs!$H$7))^2+Inputs!$C$52^2-2*(Inputs!$C$52+(Inputs!$H$7))*Inputs!$C$52*COS(SQRT((Scenario_Data!U61)^2+Inputs!$C$6^2)/Inputs!$C$52)))-(Inputs!$H$7))*1000/Inputs!$C$12)</x:f>
        <x:v>-30887.93486067957</x:v>
      </x:c>
      <x:c r="L61" t="n">
        <x:f>Scenario_Data!J61-(((SQRT((Inputs!$C$52+(Inputs!$H$8))^2+Inputs!$C$52^2-2*(Inputs!$C$52+(Inputs!$H$8))*Inputs!$C$52*COS(SQRT((Scenario_Data!V61)^2+Inputs!$C$6^2)/Inputs!$C$52)))-(Inputs!$H$8))*1000/Inputs!$C$12)</x:f>
        <x:v>-76495.55061689255</x:v>
      </x:c>
      <x:c r="M61" t="n">
        <x:f>Scenario_Data!K61-(((SQRT((Inputs!$C$52+(Inputs!$H$9))^2+Inputs!$C$52^2-2*(Inputs!$C$52+(Inputs!$H$9))*Inputs!$C$52*COS(SQRT((Scenario_Data!W61)^2+Inputs!$C$6^2)/Inputs!$C$52)))-(Inputs!$H$9))*1000/Inputs!$C$12)</x:f>
        <x:v>-79470.82596585053</x:v>
      </x:c>
      <x:c r="O61" t="n">
        <x:f>Scenario_Data!T61</x:f>
        <x:v>-30.48</x:v>
      </x:c>
      <x:c r="P61" t="n">
        <x:f>2*(Scenario_Data!B61*1000)/Inputs!$C$21*1000000</x:f>
        <x:v>2675.3992323582734</x:v>
      </x:c>
      <x:c r="Q61" t="n">
        <x:f>Scenario_Data!U61</x:f>
        <x:v>-203.2</x:v>
      </x:c>
      <x:c r="R61" t="n">
        <x:f>2*(Scenario_Data!C61*1000)/Inputs!$C$21*1000000</x:f>
        <x:v>861.8853246801826</x:v>
      </x:c>
      <x:c r="S61" t="n">
        <x:f>Scenario_Data!V61</x:f>
        <x:v>-406.4</x:v>
      </x:c>
      <x:c r="T61" t="n">
        <x:f>2*(Scenario_Data!D61*1000)/Inputs!$C$21*1000000</x:f>
        <x:v>1894.8559406387737</x:v>
      </x:c>
      <x:c r="U61" t="n">
        <x:f>Scenario_Data!W61</x:f>
        <x:v>-406.4</x:v>
      </x:c>
      <x:c r="V61" t="n">
        <x:f>2*(Scenario_Data!E61*1000)/Inputs!$C$21*1000000</x:f>
        <x:v>1845.3592985317862</x:v>
      </x:c>
      <x:c r="X61" t="n">
        <x:f>Scenario_Data!T61</x:f>
        <x:v>-30.48</x:v>
      </x:c>
      <x:c r="Y61" t="n">
        <x: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x:f>
        <x:v>2675.4695261018783</x:v>
      </x:c>
      <x:c r="Z61" t="n">
        <x:f>Scenario_Data!U61</x:f>
        <x:v>-203.2</x:v>
      </x:c>
      <x:c r="AA61" t="n">
        <x: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x:f>
        <x:v>861.7139405611684</x:v>
      </x:c>
      <x:c r="AB61" t="n">
        <x:f>Scenario_Data!V61</x:f>
        <x:v>-406.4</x:v>
      </x:c>
      <x:c r="AC61" t="n">
        <x: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x:f>
        <x:v>1894.3114493737276</x:v>
      </x:c>
      <x:c r="AD61" t="n">
        <x:f>Scenario_Data!W61</x:f>
        <x:v>-406.4</x:v>
      </x:c>
      <x:c r="AE61" t="n">
        <x: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x:f>
        <x:v>1844.81480726674</x:v>
      </x:c>
      <x:c r="AG61" t="n">
        <x:f>Scenario_Data!T61</x:f>
        <x:v>-30.48</x:v>
      </x:c>
      <x:c r="AH61" t="n">
        <x:f>2*(SQRT((Inputs!$C$52+(Scenario_Data!B61))^2+Inputs!$C$52^2-2*(Inputs!$C$52+(Scenario_Data!B61))*Inputs!$C$52*COS(SQRT((Scenario_Data!T61)^2+Inputs!$C$6^2)/Inputs!$C$52))*1000)/Inputs!$C$21*1000000</x:f>
        <x:v>2691.596374118459</x:v>
      </x:c>
      <x:c r="AI61" t="n">
        <x:f>Scenario_Data!U61</x:f>
        <x:v>-203.2</x:v>
      </x:c>
      <x:c r="AJ61" t="n">
        <x:f>2*(SQRT((Inputs!$C$52+(Scenario_Data!C61))^2+Inputs!$C$52^2-2*(Inputs!$C$52+(Scenario_Data!C61))*Inputs!$C$52*COS(SQRT((Scenario_Data!U61)^2+Inputs!$C$6^2)/Inputs!$C$52))*1000)/Inputs!$C$21*1000000</x:f>
        <x:v>1661.27795099574</x:v>
      </x:c>
      <x:c r="AK61" t="n">
        <x:f>Scenario_Data!V61</x:f>
        <x:v>-406.4</x:v>
      </x:c>
      <x:c r="AL61" t="n">
        <x:f>2*(SQRT((Inputs!$C$52+(Scenario_Data!D61))^2+Inputs!$C$52^2-2*(Inputs!$C$52+(Scenario_Data!D61))*Inputs!$C$52*COS(SQRT((Scenario_Data!V61)^2+Inputs!$C$6^2)/Inputs!$C$52))*1000)/Inputs!$C$21*1000000</x:f>
        <x:v>3501.760091807711</x:v>
      </x:c>
      <x:c r="AM61" t="n">
        <x:f>Scenario_Data!W61</x:f>
        <x:v>-406.4</x:v>
      </x:c>
      <x:c r="AN61" t="n">
        <x:f>2*(SQRT((Inputs!$C$52+(Scenario_Data!E61))^2+Inputs!$C$52^2-2*(Inputs!$C$52+(Scenario_Data!E61))*Inputs!$C$52*COS(SQRT((Scenario_Data!W61)^2+Inputs!$C$6^2)/Inputs!$C$52))*1000)/Inputs!$C$21*1000000</x:f>
        <x:v>3470.2046174700768</x:v>
      </x:c>
      <x:c r="AP61" t="n">
        <x:f>Scenario_Data!T61</x:f>
        <x:v>-30.48</x:v>
      </x:c>
      <x:c r="AQ61" t="n">
        <x: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x:f>
        <x:v>2689.3682686667476</x:v>
      </x:c>
      <x:c r="AR61" t="n">
        <x:f>Scenario_Data!U61</x:f>
        <x:v>-203.2</x:v>
      </x:c>
      <x:c r="AS61" t="n">
        <x: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x:f>
        <x:v>1660.9821859294339</x:v>
      </x:c>
      <x:c r="AT61" t="n">
        <x:f>Scenario_Data!V61</x:f>
        <x:v>-406.4</x:v>
      </x:c>
      <x:c r="AU61" t="n">
        <x: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x:f>
        <x:v>3501.228989140432</x:v>
      </x:c>
      <x:c r="AV61" t="n">
        <x:f>Scenario_Data!W61</x:f>
        <x:v>-406.4</x:v>
      </x:c>
      <x:c r="AW61" t="n">
        <x: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x:f>
        <x:v>3469.686028659542</x:v>
      </x:c>
    </x:row>
    <x:row r="62">
      <x:c r="A62" t="n">
        <x:f>Chart_Data!K62</x:f>
        <x:v>-30</x:v>
      </x:c>
      <x:c r="B62" t="n">
        <x:f>Chart_Data!N62-Chart_Data!L62</x:f>
        <x:v>15.012442539728227</x:v>
      </x:c>
      <x:c r="D62" t="n">
        <x:f>Chart_Data!G62</x:f>
        <x:v>-30</x:v>
      </x:c>
      <x:c r="E62" t="n">
        <x:f>Chart_Data!H62</x:f>
        <x:v>336.97644838088075</x:v>
      </x:c>
      <x:c r="F62" t="n">
        <x:f>Chart_Data!I62</x:f>
        <x:v>336.97644838088075</x:v>
      </x:c>
      <x:c r="G62" t="n">
        <x:f>Chart_Data!J62</x:f>
        <x:v>-17.51801383367469</x:v>
      </x:c>
      <x:c r="I62" t="n">
        <x:f>Scenario_Data!A62</x:f>
        <x:v>-0.5</x:v>
      </x:c>
      <x:c r="J62" t="n">
        <x:f>Scenario_Data!H62-(((SQRT((Inputs!$C$52+(Inputs!$H$6))^2+Inputs!$C$52^2-2*(Inputs!$C$52+(Inputs!$H$6))*Inputs!$C$52*COS(SQRT((Scenario_Data!T62)^2+Inputs!$C$6^2)/Inputs!$C$52)))-(Inputs!$H$6))*1000/Inputs!$C$12)</x:f>
        <x:v>-2.6447875068229223</x:v>
      </x:c>
      <x:c r="K62" t="n">
        <x:f>Scenario_Data!I62-(((SQRT((Inputs!$C$52+(Inputs!$H$7))^2+Inputs!$C$52^2-2*(Inputs!$C$52+(Inputs!$H$7))*Inputs!$C$52*COS(SQRT((Scenario_Data!U62)^2+Inputs!$C$6^2)/Inputs!$C$52)))-(Inputs!$H$7))*1000/Inputs!$C$12)</x:f>
        <x:v>-29988.524239953986</x:v>
      </x:c>
      <x:c r="L62" t="n">
        <x:f>Scenario_Data!J62-(((SQRT((Inputs!$C$52+(Inputs!$H$8))^2+Inputs!$C$52^2-2*(Inputs!$C$52+(Inputs!$H$8))*Inputs!$C$52*COS(SQRT((Scenario_Data!V62)^2+Inputs!$C$6^2)/Inputs!$C$52)))-(Inputs!$H$8))*1000/Inputs!$C$12)</x:f>
        <x:v>-74588.34383380503</x:v>
      </x:c>
      <x:c r="M62" t="n">
        <x:f>Scenario_Data!K62-(((SQRT((Inputs!$C$52+(Inputs!$H$9))^2+Inputs!$C$52^2-2*(Inputs!$C$52+(Inputs!$H$9))*Inputs!$C$52*COS(SQRT((Scenario_Data!W62)^2+Inputs!$C$6^2)/Inputs!$C$52)))-(Inputs!$H$9))*1000/Inputs!$C$12)</x:f>
        <x:v>-77530.75464681152</x:v>
      </x:c>
      <x:c r="O62" t="n">
        <x:f>Scenario_Data!T62</x:f>
        <x:v>-30</x:v>
      </x:c>
      <x:c r="P62" t="n">
        <x:f>2*(Scenario_Data!B62*1000)/Inputs!$C$21*1000000</x:f>
        <x:v>2675.184043489179</x:v>
      </x:c>
      <x:c r="Q62" t="n">
        <x:f>Scenario_Data!U62</x:f>
        <x:v>-200</x:v>
      </x:c>
      <x:c r="R62" t="n">
        <x:f>2*(Scenario_Data!C62*1000)/Inputs!$C$21*1000000</x:f>
        <x:v>842.2493403753339</x:v>
      </x:c>
      <x:c r="S62" t="n">
        <x:f>Scenario_Data!V62</x:f>
        <x:v>-400</x:v>
      </x:c>
      <x:c r="T62" t="n">
        <x:f>2*(Scenario_Data!D62*1000)/Inputs!$C$21*1000000</x:f>
        <x:v>1842.9416259697903</x:v>
      </x:c>
      <x:c r="U62" t="n">
        <x:f>Scenario_Data!W62</x:f>
        <x:v>-400</x:v>
      </x:c>
      <x:c r="V62" t="n">
        <x:f>2*(Scenario_Data!E62*1000)/Inputs!$C$21*1000000</x:f>
        <x:v>1792.9070116900673</x:v>
      </x:c>
      <x:c r="X62" t="n">
        <x:f>Scenario_Data!T62</x:f>
        <x:v>-30</x:v>
      </x:c>
      <x:c r="Y62" t="n">
        <x: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x:f>
        <x:v>2675.3009110978614</x:v>
      </x:c>
      <x:c r="Z62" t="n">
        <x:f>Scenario_Data!U62</x:f>
        <x:v>-200</x:v>
      </x:c>
      <x:c r="AA62" t="n">
        <x: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x:f>
        <x:v>842.0910391477134</x:v>
      </x:c>
      <x:c r="AB62" t="n">
        <x:f>Scenario_Data!V62</x:f>
        <x:v>-400</x:v>
      </x:c>
      <x:c r="AC62" t="n">
        <x: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x:f>
        <x:v>1842.8570097666186</x:v>
      </x:c>
      <x:c r="AD62" t="n">
        <x:f>Scenario_Data!W62</x:f>
        <x:v>-400</x:v>
      </x:c>
      <x:c r="AE62" t="n">
        <x: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x:f>
        <x:v>1792.8223954868956</x:v>
      </x:c>
      <x:c r="AG62" t="n">
        <x:f>Scenario_Data!T62</x:f>
        <x:v>-30</x:v>
      </x:c>
      <x:c r="AH62" t="n">
        <x:f>2*(SQRT((Inputs!$C$52+(Scenario_Data!B62))^2+Inputs!$C$52^2-2*(Inputs!$C$52+(Scenario_Data!B62))*Inputs!$C$52*COS(SQRT((Scenario_Data!T62)^2+Inputs!$C$6^2)/Inputs!$C$52))*1000)/Inputs!$C$21*1000000</x:f>
        <x:v>2691.0805307414003</x:v>
      </x:c>
      <x:c r="AI62" t="n">
        <x:f>Scenario_Data!U62</x:f>
        <x:v>-200</x:v>
      </x:c>
      <x:c r="AJ62" t="n">
        <x:f>2*(SQRT((Inputs!$C$52+(Scenario_Data!C62))^2+Inputs!$C$52^2-2*(Inputs!$C$52+(Scenario_Data!C62))*Inputs!$C$52*COS(SQRT((Scenario_Data!U62)^2+Inputs!$C$6^2)/Inputs!$C$52))*1000)/Inputs!$C$21*1000000</x:f>
        <x:v>1631.2498263703887</x:v>
      </x:c>
      <x:c r="AK62" t="n">
        <x:f>Scenario_Data!V62</x:f>
        <x:v>-400</x:v>
      </x:c>
      <x:c r="AL62" t="n">
        <x:f>2*(SQRT((Inputs!$C$52+(Scenario_Data!D62))^2+Inputs!$C$52^2-2*(Inputs!$C$52+(Scenario_Data!D62))*Inputs!$C$52*COS(SQRT((Scenario_Data!V62)^2+Inputs!$C$6^2)/Inputs!$C$52))*1000)/Inputs!$C$21*1000000</x:f>
        <x:v>3429.9213186632924</x:v>
      </x:c>
      <x:c r="AM62" t="n">
        <x:f>Scenario_Data!W62</x:f>
        <x:v>-400</x:v>
      </x:c>
      <x:c r="AN62" t="n">
        <x:f>2*(SQRT((Inputs!$C$52+(Scenario_Data!E62))^2+Inputs!$C$52^2-2*(Inputs!$C$52+(Scenario_Data!E62))*Inputs!$C$52*COS(SQRT((Scenario_Data!W62)^2+Inputs!$C$6^2)/Inputs!$C$52))*1000)/Inputs!$C$21*1000000</x:f>
        <x:v>3398.275856941299</x:v>
      </x:c>
      <x:c r="AP62" t="n">
        <x:f>Scenario_Data!T62</x:f>
        <x:v>-30</x:v>
      </x:c>
      <x:c r="AQ62" t="n">
        <x: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x:f>
        <x:v>2688.849181231688</x:v>
      </x:c>
      <x:c r="AR62" t="n">
        <x:f>Scenario_Data!U62</x:f>
        <x:v>-200</x:v>
      </x:c>
      <x:c r="AS62" t="n">
        <x: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x:f>
        <x:v>1630.7962996352992</x:v>
      </x:c>
      <x:c r="AT62" t="n">
        <x:f>Scenario_Data!V62</x:f>
        <x:v>-400</x:v>
      </x:c>
      <x:c r="AU62" t="n">
        <x: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x:f>
        <x:v>3429.6338635999455</x:v>
      </x:c>
      <x:c r="AV62" t="n">
        <x:f>Scenario_Data!W62</x:f>
        <x:v>-400</x:v>
      </x:c>
      <x:c r="AW62" t="n">
        <x: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x:f>
        <x:v>3397.995470414696</x:v>
      </x:c>
    </x:row>
    <x:row r="63">
      <x:c r="A63" t="n">
        <x:f>Chart_Data!K63</x:f>
        <x:v>-29.5</x:v>
      </x:c>
      <x:c r="B63" t="n">
        <x:f>Chart_Data!N63-Chart_Data!L63</x:f>
        <x:v>33.78877449254139</x:v>
      </x:c>
      <x:c r="D63" t="n">
        <x:f>Chart_Data!G63</x:f>
        <x:v>-29.5</x:v>
      </x:c>
      <x:c r="E63" t="n">
        <x:f>Chart_Data!H63</x:f>
        <x:v>326.24732503276135</x:v>
      </x:c>
      <x:c r="F63" t="n">
        <x:f>Chart_Data!I63</x:f>
        <x:v>326.24732503276135</x:v>
      </x:c>
      <x:c r="G63" t="n">
        <x:f>Chart_Data!J63</x:f>
        <x:v>-36.167878297776255</x:v>
      </x:c>
      <x:c r="I63" t="n">
        <x:f>Scenario_Data!A63</x:f>
        <x:v>-0.492</x:v>
      </x:c>
      <x:c r="J63" t="n">
        <x:f>Scenario_Data!H63-(((SQRT((Inputs!$C$52+(Inputs!$H$6))^2+Inputs!$C$52^2-2*(Inputs!$C$52+(Inputs!$H$6))*Inputs!$C$52*COS(SQRT((Scenario_Data!T63)^2+Inputs!$C$6^2)/Inputs!$C$52)))-(Inputs!$H$6))*1000/Inputs!$C$12)</x:f>
        <x:v>-2.513509340354176</x:v>
      </x:c>
      <x:c r="K63" t="n">
        <x:f>Scenario_Data!I63-(((SQRT((Inputs!$C$52+(Inputs!$H$7))^2+Inputs!$C$52^2-2*(Inputs!$C$52+(Inputs!$H$7))*Inputs!$C$52*COS(SQRT((Scenario_Data!U63)^2+Inputs!$C$6^2)/Inputs!$C$52)))-(Inputs!$H$7))*1000/Inputs!$C$12)</x:f>
        <x:v>-29097.435135520733</x:v>
      </x:c>
      <x:c r="L63" t="n">
        <x:f>Scenario_Data!J63-(((SQRT((Inputs!$C$52+(Inputs!$H$8))^2+Inputs!$C$52^2-2*(Inputs!$C$52+(Inputs!$H$8))*Inputs!$C$52*COS(SQRT((Scenario_Data!V63)^2+Inputs!$C$6^2)/Inputs!$C$52)))-(Inputs!$H$8))*1000/Inputs!$C$12)</x:f>
        <x:v>-72687.99278310628</x:v>
      </x:c>
      <x:c r="M63" t="n">
        <x:f>Scenario_Data!K63-(((SQRT((Inputs!$C$52+(Inputs!$H$9))^2+Inputs!$C$52^2-2*(Inputs!$C$52+(Inputs!$H$9))*Inputs!$C$52*COS(SQRT((Scenario_Data!W63)^2+Inputs!$C$6^2)/Inputs!$C$52)))-(Inputs!$H$9))*1000/Inputs!$C$12)</x:f>
        <x:v>-75596.89314596457</x:v>
      </x:c>
      <x:c r="O63" t="n">
        <x:f>Scenario_Data!T63</x:f>
        <x:v>-29.52</x:v>
      </x:c>
      <x:c r="P63" t="n">
        <x:f>2*(Scenario_Data!B63*1000)/Inputs!$C$21*1000000</x:f>
        <x:v>2674.9722703164202</x:v>
      </x:c>
      <x:c r="Q63" t="n">
        <x:f>Scenario_Data!U63</x:f>
        <x:v>-196.8</x:v>
      </x:c>
      <x:c r="R63" t="n">
        <x:f>2*(Scenario_Data!C63*1000)/Inputs!$C$21*1000000</x:f>
        <x:v>822.9250383610386</x:v>
      </x:c>
      <x:c r="S63" t="n">
        <x:f>Scenario_Data!V63</x:f>
        <x:v>-393.6</x:v>
      </x:c>
      <x:c r="T63" t="n">
        <x:f>2*(Scenario_Data!D63*1000)/Inputs!$C$21*1000000</x:f>
        <x:v>1791.851348041584</x:v>
      </x:c>
      <x:c r="U63" t="n">
        <x:f>Scenario_Data!W63</x:f>
        <x:v>-393.6</x:v>
      </x:c>
      <x:c r="V63" t="n">
        <x:f>2*(Scenario_Data!E63*1000)/Inputs!$C$21*1000000</x:f>
        <x:v>1741.2873008299634</x:v>
      </x:c>
      <x:c r="X63" t="n">
        <x:f>Scenario_Data!T63</x:f>
        <x:v>-29.52</x:v>
      </x:c>
      <x:c r="Y63" t="n">
        <x: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x:f>
        <x:v>2675.1900720308854</x:v>
      </x:c>
      <x:c r="Z63" t="n">
        <x:f>Scenario_Data!U63</x:f>
        <x:v>-196.8</x:v>
      </x:c>
      <x:c r="AA63" t="n">
        <x: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x:f>
        <x:v>822.5520747808995</x:v>
      </x:c>
      <x:c r="AB63" t="n">
        <x:f>Scenario_Data!V63</x:f>
        <x:v>-393.6</x:v>
      </x:c>
      <x:c r="AC63" t="n">
        <x: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x:f>
        <x:v>1791.3583570829956</x:v>
      </x:c>
      <x:c r="AD63" t="n">
        <x:f>Scenario_Data!W63</x:f>
        <x:v>-393.6</x:v>
      </x:c>
      <x:c r="AE63" t="n">
        <x: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x:f>
        <x:v>1740.7943098713745</x:v>
      </x:c>
      <x:c r="AG63" t="n">
        <x:f>Scenario_Data!T63</x:f>
        <x:v>-29.52</x:v>
      </x:c>
      <x:c r="AH63" t="n">
        <x:f>2*(SQRT((Inputs!$C$52+(Scenario_Data!B63))^2+Inputs!$C$52^2-2*(Inputs!$C$52+(Scenario_Data!B63))*Inputs!$C$52*COS(SQRT((Scenario_Data!T63)^2+Inputs!$C$6^2)/Inputs!$C$52))*1000)/Inputs!$C$21*1000000</x:f>
        <x:v>2690.572804703775</x:v>
      </x:c>
      <x:c r="AI63" t="n">
        <x:f>Scenario_Data!U63</x:f>
        <x:v>-196.8</x:v>
      </x:c>
      <x:c r="AJ63" t="n">
        <x:f>2*(SQRT((Inputs!$C$52+(Scenario_Data!C63))^2+Inputs!$C$52^2-2*(Inputs!$C$52+(Scenario_Data!C63))*Inputs!$C$52*COS(SQRT((Scenario_Data!U63)^2+Inputs!$C$6^2)/Inputs!$C$52))*1000)/Inputs!$C$21*1000000</x:f>
        <x:v>1601.4478772869256</x:v>
      </x:c>
      <x:c r="AK63" t="n">
        <x:f>Scenario_Data!V63</x:f>
        <x:v>-393.6</x:v>
      </x:c>
      <x:c r="AL63" t="n">
        <x:f>2*(SQRT((Inputs!$C$52+(Scenario_Data!D63))^2+Inputs!$C$52^2-2*(Inputs!$C$52+(Scenario_Data!D63))*Inputs!$C$52*COS(SQRT((Scenario_Data!V63)^2+Inputs!$C$6^2)/Inputs!$C$52))*1000)/Inputs!$C$21*1000000</x:f>
        <x:v>3358.8216005216295</x:v>
      </x:c>
      <x:c r="AM63" t="n">
        <x:f>Scenario_Data!W63</x:f>
        <x:v>-393.6</x:v>
      </x:c>
      <x:c r="AN63" t="n">
        <x:f>2*(SQRT((Inputs!$C$52+(Scenario_Data!E63))^2+Inputs!$C$52^2-2*(Inputs!$C$52+(Scenario_Data!E63))*Inputs!$C$52*COS(SQRT((Scenario_Data!W63)^2+Inputs!$C$6^2)/Inputs!$C$52))*1000)/Inputs!$C$21*1000000</x:f>
        <x:v>3327.0999332019856</x:v>
      </x:c>
      <x:c r="AP63" t="n">
        <x:f>Scenario_Data!T63</x:f>
        <x:v>-29.52</x:v>
      </x:c>
      <x:c r="AQ63" t="n">
        <x: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x:f>
        <x:v>2688.418530040225</x:v>
      </x:c>
      <x:c r="AR63" t="n">
        <x:f>Scenario_Data!U63</x:f>
        <x:v>-196.8</x:v>
      </x:c>
      <x:c r="AS63" t="n">
        <x: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x:f>
        <x:v>1600.8913289068564</x:v>
      </x:c>
      <x:c r="AT63" t="n">
        <x:f>Scenario_Data!V63</x:f>
        <x:v>-393.6</x:v>
      </x:c>
      <x:c r="AU63" t="n">
        <x: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x:f>
        <x:v>3358.2164161547216</x:v>
      </x:c>
      <x:c r="AV63" t="n">
        <x:f>Scenario_Data!W63</x:f>
        <x:v>-393.6</x:v>
      </x:c>
      <x:c r="AW63" t="n">
        <x: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x:f>
        <x:v>3326.510290593986</x:v>
      </x:c>
    </x:row>
    <x:row r="64">
      <x:c r="A64" t="n">
        <x:f>Chart_Data!K64</x:f>
        <x:v>-29</x:v>
      </x:c>
      <x:c r="B64" t="n">
        <x:f>Chart_Data!N64-Chart_Data!L64</x:f>
        <x:v>20.49029057069845</x:v>
      </x:c>
      <x:c r="D64" t="n">
        <x:f>Chart_Data!G64</x:f>
        <x:v>-29</x:v>
      </x:c>
      <x:c r="E64" t="n">
        <x:f>Chart_Data!H64</x:f>
        <x:v>331.8773601232655</x:v>
      </x:c>
      <x:c r="F64" t="n">
        <x:f>Chart_Data!I64</x:f>
        <x:v>331.8773601232655</x:v>
      </x:c>
      <x:c r="G64" t="n">
        <x:f>Chart_Data!J64</x:f>
        <x:v>-22.86382175599607</x:v>
      </x:c>
      <x:c r="I64" t="n">
        <x:f>Scenario_Data!A64</x:f>
        <x:v>-0.483</x:v>
      </x:c>
      <x:c r="J64" t="n">
        <x:f>Scenario_Data!H64-(((SQRT((Inputs!$C$52+(Inputs!$H$6))^2+Inputs!$C$52^2-2*(Inputs!$C$52+(Inputs!$H$6))*Inputs!$C$52*COS(SQRT((Scenario_Data!T64)^2+Inputs!$C$6^2)/Inputs!$C$52)))-(Inputs!$H$6))*1000/Inputs!$C$12)</x:f>
        <x:v>-2.371937016364882</x:v>
      </x:c>
      <x:c r="K64" t="n">
        <x:f>Scenario_Data!I64-(((SQRT((Inputs!$C$52+(Inputs!$H$7))^2+Inputs!$C$52^2-2*(Inputs!$C$52+(Inputs!$H$7))*Inputs!$C$52*COS(SQRT((Scenario_Data!U64)^2+Inputs!$C$6^2)/Inputs!$C$52)))-(Inputs!$H$7))*1000/Inputs!$C$12)</x:f>
        <x:v>-28105.166881478122</x:v>
      </x:c>
      <x:c r="L64" t="n">
        <x:f>Scenario_Data!J64-(((SQRT((Inputs!$C$52+(Inputs!$H$8))^2+Inputs!$C$52^2-2*(Inputs!$C$52+(Inputs!$H$8))*Inputs!$C$52*COS(SQRT((Scenario_Data!V64)^2+Inputs!$C$6^2)/Inputs!$C$52)))-(Inputs!$H$8))*1000/Inputs!$C$12)</x:f>
        <x:v>-70558.9565452948</x:v>
      </x:c>
      <x:c r="M64" t="n">
        <x:f>Scenario_Data!K64-(((SQRT((Inputs!$C$52+(Inputs!$H$9))^2+Inputs!$C$52^2-2*(Inputs!$C$52+(Inputs!$H$9))*Inputs!$C$52*COS(SQRT((Scenario_Data!W64)^2+Inputs!$C$6^2)/Inputs!$C$52)))-(Inputs!$H$9))*1000/Inputs!$C$12)</x:f>
        <x:v>-73429.38122625276</x:v>
      </x:c>
      <x:c r="O64" t="n">
        <x:f>Scenario_Data!T64</x:f>
        <x:v>-28.98</x:v>
      </x:c>
      <x:c r="P64" t="n">
        <x:f>2*(Scenario_Data!B64*1000)/Inputs!$C$21*1000000</x:f>
        <x:v>2674.738108321591</x:v>
      </x:c>
      <x:c r="Q64" t="n">
        <x:f>Scenario_Data!U64</x:f>
        <x:v>-193.2</x:v>
      </x:c>
      <x:c r="R64" t="n">
        <x:f>2*(Scenario_Data!C64*1000)/Inputs!$C$21*1000000</x:f>
        <x:v>801.5577563328827</x:v>
      </x:c>
      <x:c r="S64" t="n">
        <x:f>Scenario_Data!V64</x:f>
        <x:v>-386.4</x:v>
      </x:c>
      <x:c r="T64" t="n">
        <x:f>2*(Scenario_Data!D64*1000)/Inputs!$C$21*1000000</x:f>
        <x:v>1735.3597667890629</x:v>
      </x:c>
      <x:c r="U64" t="n">
        <x:f>Scenario_Data!W64</x:f>
        <x:v>-386.4</x:v>
      </x:c>
      <x:c r="V64" t="n">
        <x:f>2*(Scenario_Data!E64*1000)/Inputs!$C$21*1000000</x:f>
        <x:v>1684.2103145903689</x:v>
      </x:c>
      <x:c r="X64" t="n">
        <x:f>Scenario_Data!T64</x:f>
        <x:v>-28.98</x:v>
      </x:c>
      <x:c r="Y64" t="n">
        <x: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x:f>
        <x:v>2674.966604122772</x:v>
      </x:c>
      <x:c r="Z64" t="n">
        <x:f>Scenario_Data!U64</x:f>
        <x:v>-193.2</x:v>
      </x:c>
      <x:c r="AA64" t="n">
        <x: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x:f>
        <x:v>800.788445167925</x:v>
      </x:c>
      <x:c r="AB64" t="n">
        <x:f>Scenario_Data!V64</x:f>
        <x:v>-386.4</x:v>
      </x:c>
      <x:c r="AC64" t="n">
        <x: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x:f>
        <x:v>1735.3520404808078</x:v>
      </x:c>
      <x:c r="AD64" t="n">
        <x:f>Scenario_Data!W64</x:f>
        <x:v>-386.4</x:v>
      </x:c>
      <x:c r="AE64" t="n">
        <x: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x:f>
        <x:v>1684.2025882821138</x:v>
      </x:c>
      <x:c r="AG64" t="n">
        <x:f>Scenario_Data!T64</x:f>
        <x:v>-28.98</x:v>
      </x:c>
      <x:c r="AH64" t="n">
        <x:f>2*(SQRT((Inputs!$C$52+(Scenario_Data!B64))^2+Inputs!$C$52^2-2*(Inputs!$C$52+(Scenario_Data!B64))*Inputs!$C$52*COS(SQRT((Scenario_Data!T64)^2+Inputs!$C$6^2)/Inputs!$C$52))*1000)/Inputs!$C$21*1000000</x:f>
        <x:v>2690.0113198410036</x:v>
      </x:c>
      <x:c r="AI64" t="n">
        <x:f>Scenario_Data!U64</x:f>
        <x:v>-193.2</x:v>
      </x:c>
      <x:c r="AJ64" t="n">
        <x:f>2*(SQRT((Inputs!$C$52+(Scenario_Data!C64))^2+Inputs!$C$52^2-2*(Inputs!$C$52+(Scenario_Data!C64))*Inputs!$C$52*COS(SQRT((Scenario_Data!U64)^2+Inputs!$C$6^2)/Inputs!$C$52))*1000)/Inputs!$C$21*1000000</x:f>
        <x:v>1568.18884339574</x:v>
      </x:c>
      <x:c r="AK64" t="n">
        <x:f>Scenario_Data!V64</x:f>
        <x:v>-386.4</x:v>
      </x:c>
      <x:c r="AL64" t="n">
        <x:f>2*(SQRT((Inputs!$C$52+(Scenario_Data!D64))^2+Inputs!$C$52^2-2*(Inputs!$C$52+(Scenario_Data!D64))*Inputs!$C$52*COS(SQRT((Scenario_Data!V64)^2+Inputs!$C$6^2)/Inputs!$C$52))*1000)/Inputs!$C$21*1000000</x:f>
        <x:v>3279.710632319749</x:v>
      </x:c>
      <x:c r="AM64" t="n">
        <x:f>Scenario_Data!W64</x:f>
        <x:v>-386.4</x:v>
      </x:c>
      <x:c r="AN64" t="n">
        <x:f>2*(SQRT((Inputs!$C$52+(Scenario_Data!E64))^2+Inputs!$C$52^2-2*(Inputs!$C$52+(Scenario_Data!E64))*Inputs!$C$52*COS(SQRT((Scenario_Data!W64)^2+Inputs!$C$6^2)/Inputs!$C$52))*1000)/Inputs!$C$21*1000000</x:f>
        <x:v>3247.9196088934864</x:v>
      </x:c>
      <x:c r="AP64" t="n">
        <x:f>Scenario_Data!T64</x:f>
        <x:v>-28.98</x:v>
      </x:c>
      <x:c r="AQ64" t="n">
        <x: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x:f>
        <x:v>2687.9354849524943</x:v>
      </x:c>
      <x:c r="AR64" t="n">
        <x:f>Scenario_Data!U64</x:f>
        <x:v>-193.2</x:v>
      </x:c>
      <x:c r="AS64" t="n">
        <x: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x:f>
        <x:v>1567.6371166506372</x:v>
      </x:c>
      <x:c r="AT64" t="n">
        <x:f>Scenario_Data!V64</x:f>
        <x:v>-386.4</x:v>
      </x:c>
      <x:c r="AU64" t="n">
        <x: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x:f>
        <x:v>3279.379574445211</x:v>
      </x:c>
      <x:c r="AV64" t="n">
        <x:f>Scenario_Data!W64</x:f>
        <x:v>-386.4</x:v>
      </x:c>
      <x:c r="AW64" t="n">
        <x: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x:f>
        <x:v>3247.597471574157</x:v>
      </x:c>
    </x:row>
    <x:row r="65">
      <x:c r="A65" t="n">
        <x:f>Chart_Data!K65</x:f>
        <x:v>-28.5</x:v>
      </x:c>
      <x:c r="B65" t="n">
        <x:f>Chart_Data!N65-Chart_Data!L65</x:f>
        <x:v>27.55558811212802</x:v>
      </x:c>
      <x:c r="D65" t="n">
        <x:f>Chart_Data!G65</x:f>
        <x:v>-28.5</x:v>
      </x:c>
      <x:c r="E65" t="n">
        <x:f>Chart_Data!H65</x:f>
        <x:v>310.24247262167495</x:v>
      </x:c>
      <x:c r="F65" t="n">
        <x:f>Chart_Data!I65</x:f>
        <x:v>310.24247262167495</x:v>
      </x:c>
      <x:c r="G65" t="n">
        <x:f>Chart_Data!J65</x:f>
        <x:v>-29.731374520275047</x:v>
      </x:c>
      <x:c r="I65" t="n">
        <x:f>Scenario_Data!A65</x:f>
        <x:v>-0.475</x:v>
      </x:c>
      <x:c r="J65" t="n">
        <x:f>Scenario_Data!H65-(((SQRT((Inputs!$C$52+(Inputs!$H$6))^2+Inputs!$C$52^2-2*(Inputs!$C$52+(Inputs!$H$6))*Inputs!$C$52*COS(SQRT((Scenario_Data!T65)^2+Inputs!$C$6^2)/Inputs!$C$52)))-(Inputs!$H$6))*1000/Inputs!$C$12)</x:f>
        <x:v>-2.251371436165755</x:v>
      </x:c>
      <x:c r="K65" t="n">
        <x:f>Scenario_Data!I65-(((SQRT((Inputs!$C$52+(Inputs!$H$7))^2+Inputs!$C$52^2-2*(Inputs!$C$52+(Inputs!$H$7))*Inputs!$C$52*COS(SQRT((Scenario_Data!U65)^2+Inputs!$C$6^2)/Inputs!$C$52)))-(Inputs!$H$7))*1000/Inputs!$C$12)</x:f>
        <x:v>-27232.458450313294</x:v>
      </x:c>
      <x:c r="L65" t="n">
        <x:f>Scenario_Data!J65-(((SQRT((Inputs!$C$52+(Inputs!$H$8))^2+Inputs!$C$52^2-2*(Inputs!$C$52+(Inputs!$H$8))*Inputs!$C$52*COS(SQRT((Scenario_Data!V65)^2+Inputs!$C$6^2)/Inputs!$C$52)))-(Inputs!$H$8))*1000/Inputs!$C$12)</x:f>
        <x:v>-68674.96006151366</x:v>
      </x:c>
      <x:c r="M65" t="n">
        <x:f>Scenario_Data!K65-(((SQRT((Inputs!$C$52+(Inputs!$H$9))^2+Inputs!$C$52^2-2*(Inputs!$C$52+(Inputs!$H$9))*Inputs!$C$52*COS(SQRT((Scenario_Data!W65)^2+Inputs!$C$6^2)/Inputs!$C$52)))-(Inputs!$H$9))*1000/Inputs!$C$12)</x:f>
        <x:v>-71510.49050705163</x:v>
      </x:c>
      <x:c r="O65" t="n">
        <x:f>Scenario_Data!T65</x:f>
        <x:v>-28.5</x:v>
      </x:c>
      <x:c r="P65" t="n">
        <x:f>2*(Scenario_Data!B65*1000)/Inputs!$C$21*1000000</x:f>
        <x:v>2674.5335935035428</x:v>
      </x:c>
      <x:c r="Q65" t="n">
        <x:f>Scenario_Data!U65</x:f>
        <x:v>-190</x:v>
      </x:c>
      <x:c r="R65" t="n">
        <x:f>2*(Scenario_Data!C65*1000)/Inputs!$C$21*1000000</x:f>
        <x:v>782.8957791860126</x:v>
      </x:c>
      <x:c r="S65" t="n">
        <x:f>Scenario_Data!V65</x:f>
        <x:v>-380</x:v>
      </x:c>
      <x:c r="T65" t="n">
        <x:f>2*(Scenario_Data!D65*1000)/Inputs!$C$21*1000000</x:f>
        <x:v>1686.0205669350094</x:v>
      </x:c>
      <x:c r="U65" t="n">
        <x:f>Scenario_Data!W65</x:f>
        <x:v>-380</x:v>
      </x:c>
      <x:c r="V65" t="n">
        <x:f>2*(Scenario_Data!E65*1000)/Inputs!$C$21*1000000</x:f>
        <x:v>1634.3598276911957</x:v>
      </x:c>
      <x:c r="X65" t="n">
        <x:f>Scenario_Data!T65</x:f>
        <x:v>-28.5</x:v>
      </x:c>
      <x:c r="Y65" t="n">
        <x: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x:f>
        <x:v>2674.73193988436</x:v>
      </x:c>
      <x:c r="Z65" t="n">
        <x:f>Scenario_Data!U65</x:f>
        <x:v>-190</x:v>
      </x:c>
      <x:c r="AA65" t="n">
        <x: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x:f>
        <x:v>782.182758595004</x:v>
      </x:c>
      <x:c r="AB65" t="n">
        <x:f>Scenario_Data!V65</x:f>
        <x:v>-380</x:v>
      </x:c>
      <x:c r="AC65" t="n">
        <x: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x:f>
        <x:v>1686.2442602676774</x:v>
      </x:c>
      <x:c r="AD65" t="n">
        <x:f>Scenario_Data!W65</x:f>
        <x:v>-380</x:v>
      </x:c>
      <x:c r="AE65" t="n">
        <x: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x:f>
        <x:v>1634.5835210238636</x:v>
      </x:c>
      <x:c r="AG65" t="n">
        <x:f>Scenario_Data!T65</x:f>
        <x:v>-28.5</x:v>
      </x:c>
      <x:c r="AH65" t="n">
        <x:f>2*(SQRT((Inputs!$C$52+(Scenario_Data!B65))^2+Inputs!$C$52^2-2*(Inputs!$C$52+(Scenario_Data!B65))*Inputs!$C$52*COS(SQRT((Scenario_Data!T65)^2+Inputs!$C$6^2)/Inputs!$C$52))*1000)/Inputs!$C$21*1000000</x:f>
        <x:v>2689.520854217586</x:v>
      </x:c>
      <x:c r="AI65" t="n">
        <x:f>Scenario_Data!U65</x:f>
        <x:v>-190</x:v>
      </x:c>
      <x:c r="AJ65" t="n">
        <x:f>2*(SQRT((Inputs!$C$52+(Scenario_Data!C65))^2+Inputs!$C$52^2-2*(Inputs!$C$52+(Scenario_Data!C65))*Inputs!$C$52*COS(SQRT((Scenario_Data!U65)^2+Inputs!$C$6^2)/Inputs!$C$52))*1000)/Inputs!$C$21*1000000</x:f>
        <x:v>1538.8616802693725</x:v>
      </x:c>
      <x:c r="AK65" t="n">
        <x:f>Scenario_Data!V65</x:f>
        <x:v>-380</x:v>
      </x:c>
      <x:c r="AL65" t="n">
        <x:f>2*(SQRT((Inputs!$C$52+(Scenario_Data!D65))^2+Inputs!$C$52^2-2*(Inputs!$C$52+(Scenario_Data!D65))*Inputs!$C$52*COS(SQRT((Scenario_Data!V65)^2+Inputs!$C$6^2)/Inputs!$C$52))*1000)/Inputs!$C$21*1000000</x:f>
        <x:v>3210.1620844044405</x:v>
      </x:c>
      <x:c r="AM65" t="n">
        <x:f>Scenario_Data!W65</x:f>
        <x:v>-380</x:v>
      </x:c>
      <x:c r="AN65" t="n">
        <x:f>2*(SQRT((Inputs!$C$52+(Scenario_Data!E65))^2+Inputs!$C$52^2-2*(Inputs!$C$52+(Scenario_Data!E65))*Inputs!$C$52*COS(SQRT((Scenario_Data!W65)^2+Inputs!$C$6^2)/Inputs!$C$52))*1000)/Inputs!$C$21*1000000</x:f>
        <x:v>3178.323865680885</x:v>
      </x:c>
      <x:c r="AP65" t="n">
        <x:f>Scenario_Data!T65</x:f>
        <x:v>-28.5</x:v>
      </x:c>
      <x:c r="AQ65" t="n">
        <x: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x:f>
        <x:v>2687.4656545086355</x:v>
      </x:c>
      <x:c r="AR65" t="n">
        <x:f>Scenario_Data!U65</x:f>
        <x:v>-190</x:v>
      </x:c>
      <x:c r="AS65" t="n">
        <x: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x:f>
        <x:v>1538.2795008459386</x:v>
      </x:c>
      <x:c r="AT65" t="n">
        <x:f>Scenario_Data!V65</x:f>
        <x:v>-380</x:v>
      </x:c>
      <x:c r="AU65" t="n">
        <x: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x:f>
        <x:v>3209.819190900689</x:v>
      </x:c>
      <x:c r="AV65" t="n">
        <x:f>Scenario_Data!W65</x:f>
        <x:v>-380</x:v>
      </x:c>
      <x:c r="AW65" t="n">
        <x: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x:f>
        <x:v>3177.990618415184</x:v>
      </x:c>
    </x:row>
    <x:row r="66">
      <x:c r="A66" t="n">
        <x:f>Chart_Data!K66</x:f>
        <x:v>-28</x:v>
      </x:c>
      <x:c r="B66" t="n">
        <x:f>Chart_Data!N66-Chart_Data!L66</x:f>
        <x:v>50.86297851600432</x:v>
      </x:c>
      <x:c r="D66" t="n">
        <x:f>Chart_Data!G66</x:f>
        <x:v>-28</x:v>
      </x:c>
      <x:c r="E66" t="n">
        <x:f>Chart_Data!H66</x:f>
        <x:v>313.2831784265769</x:v>
      </x:c>
      <x:c r="F66" t="n">
        <x:f>Chart_Data!I66</x:f>
        <x:v>313.2831784265769</x:v>
      </x:c>
      <x:c r="G66" t="n">
        <x:f>Chart_Data!J66</x:f>
        <x:v>-53.01751827704016</x:v>
      </x:c>
      <x:c r="I66" t="n">
        <x:f>Scenario_Data!A66</x:f>
        <x:v>-0.467</x:v>
      </x:c>
      <x:c r="J66" t="n">
        <x:f>Scenario_Data!H66-(((SQRT((Inputs!$C$52+(Inputs!$H$6))^2+Inputs!$C$52^2-2*(Inputs!$C$52+(Inputs!$H$6))*Inputs!$C$52*COS(SQRT((Scenario_Data!T66)^2+Inputs!$C$6^2)/Inputs!$C$52)))-(Inputs!$H$6))*1000/Inputs!$C$12)</x:f>
        <x:v>-2.13562408544135</x:v>
      </x:c>
      <x:c r="K66" t="n">
        <x:f>Scenario_Data!I66-(((SQRT((Inputs!$C$52+(Inputs!$H$7))^2+Inputs!$C$52^2-2*(Inputs!$C$52+(Inputs!$H$7))*Inputs!$C$52*COS(SQRT((Scenario_Data!U66)^2+Inputs!$C$6^2)/Inputs!$C$52)))-(Inputs!$H$7))*1000/Inputs!$C$12)</x:f>
        <x:v>-26368.73485292532</x:v>
      </x:c>
      <x:c r="L66" t="n">
        <x:f>Scenario_Data!J66-(((SQRT((Inputs!$C$52+(Inputs!$H$8))^2+Inputs!$C$52^2-2*(Inputs!$C$52+(Inputs!$H$8))*Inputs!$C$52*COS(SQRT((Scenario_Data!V66)^2+Inputs!$C$6^2)/Inputs!$C$52)))-(Inputs!$H$8))*1000/Inputs!$C$12)</x:f>
        <x:v>-66799.53002109205</x:v>
      </x:c>
      <x:c r="M66" t="n">
        <x:f>Scenario_Data!K66-(((SQRT((Inputs!$C$52+(Inputs!$H$9))^2+Inputs!$C$52^2-2*(Inputs!$C$52+(Inputs!$H$9))*Inputs!$C$52*COS(SQRT((Scenario_Data!W66)^2+Inputs!$C$6^2)/Inputs!$C$52)))-(Inputs!$H$9))*1000/Inputs!$C$12)</x:f>
        <x:v>-69599.51053278937</x:v>
      </x:c>
      <x:c r="O66" t="n">
        <x:f>Scenario_Data!T66</x:f>
        <x:v>-28.020000000000003</x:v>
      </x:c>
      <x:c r="P66" t="n">
        <x:f>2*(Scenario_Data!B66*1000)/Inputs!$C$21*1000000</x:f>
        <x:v>2674.33249438183</x:v>
      </x:c>
      <x:c r="Q66" t="n">
        <x:f>Scenario_Data!U66</x:f>
        <x:v>-186.80000000000004</x:v>
      </x:c>
      <x:c r="R66" t="n">
        <x:f>2*(Scenario_Data!C66*1000)/Inputs!$C$21*1000000</x:f>
        <x:v>764.545484329696</x:v>
      </x:c>
      <x:c r="S66" t="n">
        <x:f>Scenario_Data!V66</x:f>
        <x:v>-373.6000000000001</x:v>
      </x:c>
      <x:c r="T66" t="n">
        <x:f>2*(Scenario_Data!D66*1000)/Inputs!$C$21*1000000</x:f>
        <x:v>1637.5054038217336</x:v>
      </x:c>
      <x:c r="U66" t="n">
        <x:f>Scenario_Data!W66</x:f>
        <x:v>-373.6000000000001</x:v>
      </x:c>
      <x:c r="V66" t="n">
        <x:f>2*(Scenario_Data!E66*1000)/Inputs!$C$21*1000000</x:f>
        <x:v>1585.3419167736374</x:v>
      </x:c>
      <x:c r="X66" t="n">
        <x:f>Scenario_Data!T66</x:f>
        <x:v>-28.020000000000003</x:v>
      </x:c>
      <x:c r="Y66" t="n">
        <x: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x:f>
        <x:v>2674.723922285471</x:v>
      </x:c>
      <x:c r="Z66" t="n">
        <x:f>Scenario_Data!U66</x:f>
        <x:v>-186.80000000000004</x:v>
      </x:c>
      <x:c r="AA66" t="n">
        <x: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x:f>
        <x:v>764.2997508213764</x:v>
      </x:c>
      <x:c r="AB66" t="n">
        <x:f>Scenario_Data!V66</x:f>
        <x:v>-373.6000000000001</x:v>
      </x:c>
      <x:c r="AC66" t="n">
        <x: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x:f>
        <x:v>1637.3177434988154</x:v>
      </x:c>
      <x:c r="AD66" t="n">
        <x:f>Scenario_Data!W66</x:f>
        <x:v>-373.6000000000001</x:v>
      </x:c>
      <x:c r="AE66" t="n">
        <x: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x:f>
        <x:v>1585.154256450719</x:v>
      </x:c>
      <x:c r="AG66" t="n">
        <x:f>Scenario_Data!T66</x:f>
        <x:v>-28.020000000000003</x:v>
      </x:c>
      <x:c r="AH66" t="n">
        <x:f>2*(SQRT((Inputs!$C$52+(Scenario_Data!B66))^2+Inputs!$C$52^2-2*(Inputs!$C$52+(Scenario_Data!B66))*Inputs!$C$52*COS(SQRT((Scenario_Data!T66)^2+Inputs!$C$6^2)/Inputs!$C$52))*1000)/Inputs!$C$21*1000000</x:f>
        <x:v>2689.038516240782</x:v>
      </x:c>
      <x:c r="AI66" t="n">
        <x:f>Scenario_Data!U66</x:f>
        <x:v>-186.80000000000004</x:v>
      </x:c>
      <x:c r="AJ66" t="n">
        <x:f>2*(SQRT((Inputs!$C$52+(Scenario_Data!C66))^2+Inputs!$C$52^2-2*(Inputs!$C$52+(Scenario_Data!C66))*Inputs!$C$52*COS(SQRT((Scenario_Data!U66)^2+Inputs!$C$6^2)/Inputs!$C$52))*1000)/Inputs!$C$21*1000000</x:f>
        <x:v>1509.7552162254726</x:v>
      </x:c>
      <x:c r="AK66" t="n">
        <x:f>Scenario_Data!V66</x:f>
        <x:v>-373.6000000000001</x:v>
      </x:c>
      <x:c r="AL66" t="n">
        <x:f>2*(SQRT((Inputs!$C$52+(Scenario_Data!D66))^2+Inputs!$C$52^2-2*(Inputs!$C$52+(Scenario_Data!D66))*Inputs!$C$52*COS(SQRT((Scenario_Data!V66)^2+Inputs!$C$6^2)/Inputs!$C$52))*1000)/Inputs!$C$21*1000000</x:f>
        <x:v>3141.3341110240226</x:v>
      </x:c>
      <x:c r="AM66" t="n">
        <x:f>Scenario_Data!W66</x:f>
        <x:v>-373.6000000000001</x:v>
      </x:c>
      <x:c r="AN66" t="n">
        <x:f>2*(SQRT((Inputs!$C$52+(Scenario_Data!E66))^2+Inputs!$C$52^2-2*(Inputs!$C$52+(Scenario_Data!E66))*Inputs!$C$52*COS(SQRT((Scenario_Data!W66)^2+Inputs!$C$6^2)/Inputs!$C$52))*1000)/Inputs!$C$21*1000000</x:f>
        <x:v>3109.462192200807</x:v>
      </x:c>
      <x:c r="AP66" t="n">
        <x:f>Scenario_Data!T66</x:f>
        <x:v>-28.020000000000003</x:v>
      </x:c>
      <x:c r="AQ66" t="n">
        <x: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x:f>
        <x:v>2686.9865062165222</x:v>
      </x:c>
      <x:c r="AR66" t="n">
        <x:f>Scenario_Data!U66</x:f>
        <x:v>-186.80000000000004</x:v>
      </x:c>
      <x:c r="AS66" t="n">
        <x: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x:f>
        <x:v>1509.2748460225423</x:v>
      </x:c>
      <x:c r="AT66" t="n">
        <x:f>Scenario_Data!V66</x:f>
        <x:v>-373.6000000000001</x:v>
      </x:c>
      <x:c r="AU66" t="n">
        <x: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x:f>
        <x:v>3140.868117715043</x:v>
      </x:c>
      <x:c r="AV66" t="n">
        <x:f>Scenario_Data!W66</x:f>
        <x:v>-373.6000000000001</x:v>
      </x:c>
      <x:c r="AW66" t="n">
        <x: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x:f>
        <x:v>3109.009887937512</x:v>
      </x:c>
    </x:row>
    <x:row r="67">
      <x:c r="A67" t="n">
        <x:f>Chart_Data!K67</x:f>
        <x:v>-27.5</x:v>
      </x:c>
      <x:c r="B67" t="n">
        <x:f>Chart_Data!N67-Chart_Data!L67</x:f>
        <x:v>61.019347257300694</x:v>
      </x:c>
      <x:c r="D67" t="n">
        <x:f>Chart_Data!G67</x:f>
        <x:v>-27.5</x:v>
      </x:c>
      <x:c r="E67" t="n">
        <x:f>Chart_Data!H67</x:f>
        <x:v>296.8437612590685</x:v>
      </x:c>
      <x:c r="F67" t="n">
        <x:f>Chart_Data!I67</x:f>
        <x:v>296.8437612590685</x:v>
      </x:c>
      <x:c r="G67" t="n">
        <x:f>Chart_Data!J67</x:f>
        <x:v>-63.02108594889231</x:v>
      </x:c>
      <x:c r="I67" t="n">
        <x:f>Scenario_Data!A67</x:f>
        <x:v>-0.458</x:v>
      </x:c>
      <x:c r="J67" t="n">
        <x:f>Scenario_Data!H67-(((SQRT((Inputs!$C$52+(Inputs!$H$6))^2+Inputs!$C$52^2-2*(Inputs!$C$52+(Inputs!$H$6))*Inputs!$C$52*COS(SQRT((Scenario_Data!T67)^2+Inputs!$C$6^2)/Inputs!$C$52)))-(Inputs!$H$6))*1000/Inputs!$C$12)</x:f>
        <x:v>-2.0109937508048006</x:v>
      </x:c>
      <x:c r="K67" t="n">
        <x:f>Scenario_Data!I67-(((SQRT((Inputs!$C$52+(Inputs!$H$7))^2+Inputs!$C$52^2-2*(Inputs!$C$52+(Inputs!$H$7))*Inputs!$C$52*COS(SQRT((Scenario_Data!U67)^2+Inputs!$C$6^2)/Inputs!$C$52)))-(Inputs!$H$7))*1000/Inputs!$C$12)</x:f>
        <x:v>-25408.05819572629</x:v>
      </x:c>
      <x:c r="L67" t="n">
        <x:f>Scenario_Data!J67-(((SQRT((Inputs!$C$52+(Inputs!$H$8))^2+Inputs!$C$52^2-2*(Inputs!$C$52+(Inputs!$H$8))*Inputs!$C$52*COS(SQRT((Scenario_Data!V67)^2+Inputs!$C$6^2)/Inputs!$C$52)))-(Inputs!$H$8))*1000/Inputs!$C$12)</x:f>
        <x:v>-64700.62896395361</x:v>
      </x:c>
      <x:c r="M67" t="n">
        <x:f>Scenario_Data!K67-(((SQRT((Inputs!$C$52+(Inputs!$H$9))^2+Inputs!$C$52^2-2*(Inputs!$C$52+(Inputs!$H$9))*Inputs!$C$52*COS(SQRT((Scenario_Data!W67)^2+Inputs!$C$6^2)/Inputs!$C$52)))-(Inputs!$H$9))*1000/Inputs!$C$12)</x:f>
        <x:v>-67459.82912343887</x:v>
      </x:c>
      <x:c r="O67" t="n">
        <x:f>Scenario_Data!T67</x:f>
        <x:v>-27.479999999999997</x:v>
      </x:c>
      <x:c r="P67" t="n">
        <x:f>2*(Scenario_Data!B67*1000)/Inputs!$C$21*1000000</x:f>
        <x:v>2674.1103406944285</x:v>
      </x:c>
      <x:c r="Q67" t="n">
        <x:f>Scenario_Data!U67</x:f>
        <x:v>-183.2</x:v>
      </x:c>
      <x:c r="R67" t="n">
        <x:f>2*(Scenario_Data!C67*1000)/Inputs!$C$21*1000000</x:f>
        <x:v>744.2739603542661</x:v>
      </x:c>
      <x:c r="S67" t="n">
        <x:f>Scenario_Data!V67</x:f>
        <x:v>-366.4</x:v>
      </x:c>
      <x:c r="T67" t="n">
        <x:f>2*(Scenario_Data!D67*1000)/Inputs!$C$21*1000000</x:f>
        <x:v>1583.910826736008</x:v>
      </x:c>
      <x:c r="U67" t="n">
        <x:f>Scenario_Data!W67</x:f>
        <x:v>-366.4</x:v>
      </x:c>
      <x:c r="V67" t="n">
        <x:f>2*(Scenario_Data!E67*1000)/Inputs!$C$21*1000000</x:f>
        <x:v>1531.1919554694066</x:v>
      </x:c>
      <x:c r="X67" t="n">
        <x:f>Scenario_Data!T67</x:f>
        <x:v>-27.479999999999997</x:v>
      </x:c>
      <x:c r="Y67" t="n">
        <x: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x:f>
        <x:v>2674.5566383706246</x:v>
      </x:c>
      <x:c r="Z67" t="n">
        <x:f>Scenario_Data!U67</x:f>
        <x:v>-183.2</x:v>
      </x:c>
      <x:c r="AA67" t="n">
        <x: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x:f>
        <x:v>744.2996706468294</x:v>
      </x:c>
      <x:c r="AB67" t="n">
        <x:f>Scenario_Data!V67</x:f>
        <x:v>-366.4</x:v>
      </x:c>
      <x:c r="AC67" t="n">
        <x: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x:f>
        <x:v>1584.1474784934792</x:v>
      </x:c>
      <x:c r="AD67" t="n">
        <x:f>Scenario_Data!W67</x:f>
        <x:v>-366.4</x:v>
      </x:c>
      <x:c r="AE67" t="n">
        <x: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x:f>
        <x:v>1531.4286072268776</x:v>
      </x:c>
      <x:c r="AG67" t="n">
        <x:f>Scenario_Data!T67</x:f>
        <x:v>-27.479999999999997</x:v>
      </x:c>
      <x:c r="AH67" t="n">
        <x:f>2*(SQRT((Inputs!$C$52+(Scenario_Data!B67))^2+Inputs!$C$52^2-2*(Inputs!$C$52+(Scenario_Data!B67))*Inputs!$C$52*COS(SQRT((Scenario_Data!T67)^2+Inputs!$C$6^2)/Inputs!$C$52))*1000)/Inputs!$C$21*1000000</x:f>
        <x:v>2688.505605067754</x:v>
      </x:c>
      <x:c r="AI67" t="n">
        <x:f>Scenario_Data!U67</x:f>
        <x:v>-183.2</x:v>
      </x:c>
      <x:c r="AJ67" t="n">
        <x:f>2*(SQRT((Inputs!$C$52+(Scenario_Data!C67))^2+Inputs!$C$52^2-2*(Inputs!$C$52+(Scenario_Data!C67))*Inputs!$C$52*COS(SQRT((Scenario_Data!U67)^2+Inputs!$C$6^2)/Inputs!$C$52))*1000)/Inputs!$C$21*1000000</x:f>
        <x:v>1477.272095393459</x:v>
      </x:c>
      <x:c r="AK67" t="n">
        <x:f>Scenario_Data!V67</x:f>
        <x:v>-366.4</x:v>
      </x:c>
      <x:c r="AL67" t="n">
        <x:f>2*(SQRT((Inputs!$C$52+(Scenario_Data!D67))^2+Inputs!$C$52^2-2*(Inputs!$C$52+(Scenario_Data!D67))*Inputs!$C$52*COS(SQRT((Scenario_Data!V67)^2+Inputs!$C$6^2)/Inputs!$C$52))*1000)/Inputs!$C$21*1000000</x:f>
        <x:v>3064.7562292393345</x:v>
      </x:c>
      <x:c r="AM67" t="n">
        <x:f>Scenario_Data!W67</x:f>
        <x:v>-366.4</x:v>
      </x:c>
      <x:c r="AN67" t="n">
        <x:f>2*(SQRT((Inputs!$C$52+(Scenario_Data!E67))^2+Inputs!$C$52^2-2*(Inputs!$C$52+(Scenario_Data!E67))*Inputs!$C$52*COS(SQRT((Scenario_Data!W67)^2+Inputs!$C$6^2)/Inputs!$C$52))*1000)/Inputs!$C$21*1000000</x:f>
        <x:v>3032.8623798858607</x:v>
      </x:c>
      <x:c r="AP67" t="n">
        <x:f>Scenario_Data!T67</x:f>
        <x:v>-27.479999999999997</x:v>
      </x:c>
      <x:c r="AQ67" t="n">
        <x: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x:f>
        <x:v>2686.576366733176</x:v>
      </x:c>
      <x:c r="AR67" t="n">
        <x:f>Scenario_Data!U67</x:f>
        <x:v>-183.2</x:v>
      </x:c>
      <x:c r="AS67" t="n">
        <x: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x:f>
        <x:v>1477.0077782495264</x:v>
      </x:c>
      <x:c r="AT67" t="n">
        <x:f>Scenario_Data!V67</x:f>
        <x:v>-366.4</x:v>
      </x:c>
      <x:c r="AU67" t="n">
        <x: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x:f>
        <x:v>3064.463120167224</x:v>
      </x:c>
      <x:c r="AV67" t="n">
        <x:f>Scenario_Data!W67</x:f>
        <x:v>-366.4</x:v>
      </x:c>
      <x:c r="AW67" t="n">
        <x: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x:f>
        <x:v>3032.5783074211417</x:v>
      </x:c>
    </x:row>
    <x:row r="68">
      <x:c r="A68" t="n">
        <x:f>Chart_Data!K68</x:f>
        <x:v>-27</x:v>
      </x:c>
      <x:c r="B68" t="n">
        <x:f>Chart_Data!N68-Chart_Data!L68</x:f>
        <x:v>67.75840286432714</x:v>
      </x:c>
      <x:c r="D68" t="n">
        <x:f>Chart_Data!G68</x:f>
        <x:v>-27</x:v>
      </x:c>
      <x:c r="E68" t="n">
        <x:f>Chart_Data!H68</x:f>
        <x:v>289.34226854097847</x:v>
      </x:c>
      <x:c r="F68" t="n">
        <x:f>Chart_Data!I68</x:f>
        <x:v>289.34226854097847</x:v>
      </x:c>
      <x:c r="G68" t="n">
        <x:f>Chart_Data!J68</x:f>
        <x:v>-69.67153928411518</x:v>
      </x:c>
      <x:c r="I68" t="n">
        <x:f>Scenario_Data!A68</x:f>
        <x:v>-0.45</x:v>
      </x:c>
      <x:c r="J68" t="n">
        <x:f>Scenario_Data!H68-(((SQRT((Inputs!$C$52+(Inputs!$H$6))^2+Inputs!$C$52^2-2*(Inputs!$C$52+(Inputs!$H$6))*Inputs!$C$52*COS(SQRT((Scenario_Data!T68)^2+Inputs!$C$6^2)/Inputs!$C$52)))-(Inputs!$H$6))*1000/Inputs!$C$12)</x:f>
        <x:v>-1.9050240415085682</x:v>
      </x:c>
      <x:c r="K68" t="n">
        <x:f>Scenario_Data!I68-(((SQRT((Inputs!$C$52+(Inputs!$H$7))^2+Inputs!$C$52^2-2*(Inputs!$C$52+(Inputs!$H$7))*Inputs!$C$52*COS(SQRT((Scenario_Data!U68)^2+Inputs!$C$6^2)/Inputs!$C$52)))-(Inputs!$H$7))*1000/Inputs!$C$12)</x:f>
        <x:v>-24564.158312691114</x:v>
      </x:c>
      <x:c r="L68" t="n">
        <x:f>Scenario_Data!J68-(((SQRT((Inputs!$C$52+(Inputs!$H$8))^2+Inputs!$C$52^2-2*(Inputs!$C$52+(Inputs!$H$8))*Inputs!$C$52*COS(SQRT((Scenario_Data!V68)^2+Inputs!$C$6^2)/Inputs!$C$52)))-(Inputs!$H$8))*1000/Inputs!$C$12)</x:f>
        <x:v>-62845.33421508742</x:v>
      </x:c>
      <x:c r="M68" t="n">
        <x:f>Scenario_Data!K68-(((SQRT((Inputs!$C$52+(Inputs!$H$9))^2+Inputs!$C$52^2-2*(Inputs!$C$52+(Inputs!$H$9))*Inputs!$C$52*COS(SQRT((Scenario_Data!W68)^2+Inputs!$C$6^2)/Inputs!$C$52)))-(Inputs!$H$9))*1000/Inputs!$C$12)</x:f>
        <x:v>-65567.5837894667</x:v>
      </x:c>
      <x:c r="O68" t="n">
        <x:f>Scenario_Data!T68</x:f>
        <x:v>-27</x:v>
      </x:c>
      <x:c r="P68" t="n">
        <x:f>2*(Scenario_Data!B68*1000)/Inputs!$C$21*1000000</x:f>
        <x:v>2673.9164999274262</x:v>
      </x:c>
      <x:c r="Q68" t="n">
        <x:f>Scenario_Data!U68</x:f>
        <x:v>-179.99999999999997</x:v>
      </x:c>
      <x:c r="R68" t="n">
        <x:f>2*(Scenario_Data!C68*1000)/Inputs!$C$21*1000000</x:f>
        <x:v>726.5859903653746</x:v>
      </x:c>
      <x:c r="S68" t="n">
        <x:f>Scenario_Data!V68</x:f>
        <x:v>-359.99999999999994</x:v>
      </x:c>
      <x:c r="T68" t="n">
        <x:f>2*(Scenario_Data!D68*1000)/Inputs!$C$21*1000000</x:f>
        <x:v>1537.146741696884</x:v>
      </x:c>
      <x:c r="U68" t="n">
        <x:f>Scenario_Data!W68</x:f>
        <x:v>-359.99999999999994</x:v>
      </x:c>
      <x:c r="V68" t="n">
        <x:f>2*(Scenario_Data!E68*1000)/Inputs!$C$21*1000000</x:f>
        <x:v>1483.9432685127788</x:v>
      </x:c>
      <x:c r="X68" t="n">
        <x:f>Scenario_Data!T68</x:f>
        <x:v>-27</x:v>
      </x:c>
      <x:c r="Y68" t="n">
        <x: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x:f>
        <x:v>2674.381298406674</x:v>
      </x:c>
      <x:c r="Z68" t="n">
        <x:f>Scenario_Data!U68</x:f>
        <x:v>-179.99999999999997</x:v>
      </x:c>
      <x:c r="AA68" t="n">
        <x: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x:f>
        <x:v>726.3902763702735</x:v>
      </x:c>
      <x:c r="AB68" t="n">
        <x:f>Scenario_Data!V68</x:f>
        <x:v>-359.99999999999994</x:v>
      </x:c>
      <x:c r="AC68" t="n">
        <x: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x:f>
        <x:v>1537.2156175815205</x:v>
      </x:c>
      <x:c r="AD68" t="n">
        <x:f>Scenario_Data!W68</x:f>
        <x:v>-359.99999999999994</x:v>
      </x:c>
      <x:c r="AE68" t="n">
        <x: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x:f>
        <x:v>1484.0121443974156</x:v>
      </x:c>
      <x:c r="AG68" t="n">
        <x:f>Scenario_Data!T68</x:f>
        <x:v>-27</x:v>
      </x:c>
      <x:c r="AH68" t="n">
        <x:f>2*(SQRT((Inputs!$C$52+(Scenario_Data!B68))^2+Inputs!$C$52^2-2*(Inputs!$C$52+(Scenario_Data!B68))*Inputs!$C$52*COS(SQRT((Scenario_Data!T68)^2+Inputs!$C$6^2)/Inputs!$C$52))*1000)/Inputs!$C$21*1000000</x:f>
        <x:v>2688.0405488767533</x:v>
      </x:c>
      <x:c r="AI68" t="n">
        <x:f>Scenario_Data!U68</x:f>
        <x:v>-179.99999999999997</x:v>
      </x:c>
      <x:c r="AJ68" t="n">
        <x:f>2*(SQRT((Inputs!$C$52+(Scenario_Data!C68))^2+Inputs!$C$52^2-2*(Inputs!$C$52+(Scenario_Data!C68))*Inputs!$C$52*COS(SQRT((Scenario_Data!U68)^2+Inputs!$C$6^2)/Inputs!$C$52))*1000)/Inputs!$C$21*1000000</x:f>
        <x:v>1448.628895361848</x:v>
      </x:c>
      <x:c r="AK68" t="n">
        <x:f>Scenario_Data!V68</x:f>
        <x:v>-359.99999999999994</x:v>
      </x:c>
      <x:c r="AL68" t="n">
        <x:f>2*(SQRT((Inputs!$C$52+(Scenario_Data!D68))^2+Inputs!$C$52^2-2*(Inputs!$C$52+(Scenario_Data!D68))*Inputs!$C$52*COS(SQRT((Scenario_Data!V68)^2+Inputs!$C$6^2)/Inputs!$C$52))*1000)/Inputs!$C$21*1000000</x:f>
        <x:v>2997.4387220817075</x:v>
      </x:c>
      <x:c r="AM68" t="n">
        <x:f>Scenario_Data!W68</x:f>
        <x:v>-359.99999999999994</x:v>
      </x:c>
      <x:c r="AN68" t="n">
        <x:f>2*(SQRT((Inputs!$C$52+(Scenario_Data!E68))^2+Inputs!$C$52^2-2*(Inputs!$C$52+(Scenario_Data!E68))*Inputs!$C$52*COS(SQRT((Scenario_Data!W68)^2+Inputs!$C$6^2)/Inputs!$C$52))*1000)/Inputs!$C$21*1000000</x:f>
        <x:v>2965.539435665303</x:v>
      </x:c>
      <x:c r="AP68" t="n">
        <x:f>Scenario_Data!T68</x:f>
        <x:v>-27</x:v>
      </x:c>
      <x:c r="AQ68" t="n">
        <x: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x:f>
        <x:v>2686.1230281089606</x:v>
      </x:c>
      <x:c r="AR68" t="n">
        <x:f>Scenario_Data!U68</x:f>
        <x:v>-179.99999999999997</x:v>
      </x:c>
      <x:c r="AS68" t="n">
        <x: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x:f>
        <x:v>1448.2038804819972</x:v>
      </x:c>
      <x:c r="AT68" t="n">
        <x:f>Scenario_Data!V68</x:f>
        <x:v>-359.99999999999994</x:v>
      </x:c>
      <x:c r="AU68" t="n">
        <x: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x:f>
        <x:v>2997.1693225152612</x:v>
      </x:c>
      <x:c r="AV68" t="n">
        <x:f>Scenario_Data!W68</x:f>
        <x:v>-359.99999999999994</x:v>
      </x:c>
      <x:c r="AW68" t="n">
        <x: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x:f>
        <x:v>2965.278708244999</x:v>
      </x:c>
    </x:row>
    <x:row r="69">
      <x:c r="A69" t="n">
        <x:f>Chart_Data!K69</x:f>
        <x:v>-26.5</x:v>
      </x:c>
      <x:c r="B69" t="n">
        <x:f>Chart_Data!N69-Chart_Data!L69</x:f>
        <x:v>76.23568800363364</x:v>
      </x:c>
      <x:c r="D69" t="n">
        <x:f>Chart_Data!G69</x:f>
        <x:v>-26.5</x:v>
      </x:c>
      <x:c r="E69" t="n">
        <x:f>Chart_Data!H69</x:f>
        <x:v>290.55977847508683</x:v>
      </x:c>
      <x:c r="F69" t="n">
        <x:f>Chart_Data!I69</x:f>
        <x:v>290.55977847508683</x:v>
      </x:c>
      <x:c r="G69" t="n">
        <x:f>Chart_Data!J69</x:f>
        <x:v>-78.11942002863731</x:v>
      </x:c>
      <x:c r="I69" t="n">
        <x:f>Scenario_Data!A69</x:f>
        <x:v>-0.442</x:v>
      </x:c>
      <x:c r="J69" t="n">
        <x:f>Scenario_Data!H69-(((SQRT((Inputs!$C$52+(Inputs!$H$6))^2+Inputs!$C$52^2-2*(Inputs!$C$52+(Inputs!$H$6))*Inputs!$C$52*COS(SQRT((Scenario_Data!T69)^2+Inputs!$C$6^2)/Inputs!$C$52)))-(Inputs!$H$6))*1000/Inputs!$C$12)</x:f>
        <x:v>-1.8034433360094226</x:v>
      </x:c>
      <x:c r="K69" t="n">
        <x:f>Scenario_Data!I69-(((SQRT((Inputs!$C$52+(Inputs!$H$7))^2+Inputs!$C$52^2-2*(Inputs!$C$52+(Inputs!$H$7))*Inputs!$C$52*COS(SQRT((Scenario_Data!U69)^2+Inputs!$C$6^2)/Inputs!$C$52)))-(Inputs!$H$7))*1000/Inputs!$C$12)</x:f>
        <x:v>-23729.938248077422</x:v>
      </x:c>
      <x:c r="L69" t="n">
        <x:f>Scenario_Data!J69-(((SQRT((Inputs!$C$52+(Inputs!$H$8))^2+Inputs!$C$52^2-2*(Inputs!$C$52+(Inputs!$H$8))*Inputs!$C$52*COS(SQRT((Scenario_Data!V69)^2+Inputs!$C$6^2)/Inputs!$C$52)))-(Inputs!$H$8))*1000/Inputs!$C$12)</x:f>
        <x:v>-61000.45522179082</x:v>
      </x:c>
      <x:c r="M69" t="n">
        <x:f>Scenario_Data!K69-(((SQRT((Inputs!$C$52+(Inputs!$H$9))^2+Inputs!$C$52^2-2*(Inputs!$C$52+(Inputs!$H$9))*Inputs!$C$52*COS(SQRT((Scenario_Data!W69)^2+Inputs!$C$6^2)/Inputs!$C$52)))-(Inputs!$H$9))*1000/Inputs!$C$12)</x:f>
        <x:v>-63685.092564364764</x:v>
      </x:c>
      <x:c r="O69" t="n">
        <x:f>Scenario_Data!T69</x:f>
        <x:v>-26.519999999999996</x:v>
      </x:c>
      <x:c r="P69" t="n">
        <x:f>2*(Scenario_Data!B69*1000)/Inputs!$C$21*1000000</x:f>
        <x:v>2673.7260748567596</x:v>
      </x:c>
      <x:c r="Q69" t="n">
        <x:f>Scenario_Data!U69</x:f>
        <x:v>-176.79999999999998</x:v>
      </x:c>
      <x:c r="R69" t="n">
        <x:f>2*(Scenario_Data!C69*1000)/Inputs!$C$21*1000000</x:f>
        <x:v>709.2097026670363</x:v>
      </x:c>
      <x:c r="S69" t="n">
        <x:f>Scenario_Data!V69</x:f>
        <x:v>-353.59999999999997</x:v>
      </x:c>
      <x:c r="T69" t="n">
        <x:f>2*(Scenario_Data!D69*1000)/Inputs!$C$21*1000000</x:f>
        <x:v>1491.2066933985375</x:v>
      </x:c>
      <x:c r="U69" t="n">
        <x:f>Scenario_Data!W69</x:f>
        <x:v>-353.59999999999997</x:v>
      </x:c>
      <x:c r="V69" t="n">
        <x:f>2*(Scenario_Data!E69*1000)/Inputs!$C$21*1000000</x:f>
        <x:v>1437.5271575377656</x:v>
      </x:c>
      <x:c r="X69" t="n">
        <x:f>Scenario_Data!T69</x:f>
        <x:v>-26.519999999999996</x:v>
      </x:c>
      <x:c r="Y69" t="n">
        <x: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x:f>
        <x:v>2674.3335334564645</x:v>
      </x:c>
      <x:c r="Z69" t="n">
        <x:f>Scenario_Data!U69</x:f>
        <x:v>-176.79999999999998</x:v>
      </x:c>
      <x:c r="AA69" t="n">
        <x: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x:f>
        <x:v>708.5965223973278</x:v>
      </x:c>
      <x:c r="AB69" t="n">
        <x:f>Scenario_Data!V69</x:f>
        <x:v>-353.59999999999997</x:v>
      </x:c>
      <x:c r="AC69" t="n">
        <x: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x:f>
        <x:v>1491.014051093174</x:v>
      </x:c>
      <x:c r="AD69" t="n">
        <x:f>Scenario_Data!W69</x:f>
        <x:v>-353.59999999999997</x:v>
      </x:c>
      <x:c r="AE69" t="n">
        <x: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x:f>
        <x:v>1437.3345152324018</x:v>
      </x:c>
      <x:c r="AG69" t="n">
        <x:f>Scenario_Data!T69</x:f>
        <x:v>-26.519999999999996</x:v>
      </x:c>
      <x:c r="AH69" t="n">
        <x:f>2*(SQRT((Inputs!$C$52+(Scenario_Data!B69))^2+Inputs!$C$52^2-2*(Inputs!$C$52+(Scenario_Data!B69))*Inputs!$C$52*COS(SQRT((Scenario_Data!T69)^2+Inputs!$C$6^2)/Inputs!$C$52))*1000)/Inputs!$C$21*1000000</x:f>
        <x:v>2687.5836301386457</x:v>
      </x:c>
      <x:c r="AI69" t="n">
        <x:f>Scenario_Data!U69</x:f>
        <x:v>-176.79999999999998</x:v>
      </x:c>
      <x:c r="AJ69" t="n">
        <x:f>2*(SQRT((Inputs!$C$52+(Scenario_Data!C69))^2+Inputs!$C$52^2-2*(Inputs!$C$52+(Scenario_Data!C69))*Inputs!$C$52*COS(SQRT((Scenario_Data!U69)^2+Inputs!$C$6^2)/Inputs!$C$52))*1000)/Inputs!$C$21*1000000</x:f>
        <x:v>1420.2010523856848</x:v>
      </x:c>
      <x:c r="AK69" t="n">
        <x:f>Scenario_Data!V69</x:f>
        <x:v>-353.59999999999997</x:v>
      </x:c>
      <x:c r="AL69" t="n">
        <x:f>2*(SQRT((Inputs!$C$52+(Scenario_Data!D69))^2+Inputs!$C$52^2-2*(Inputs!$C$52+(Scenario_Data!D69))*Inputs!$C$52*COS(SQRT((Scenario_Data!V69)^2+Inputs!$C$6^2)/Inputs!$C$52))*1000)/Inputs!$C$21*1000000</x:f>
        <x:v>2930.821956828647</x:v>
      </x:c>
      <x:c r="AM69" t="n">
        <x:f>Scenario_Data!W69</x:f>
        <x:v>-353.59999999999997</x:v>
      </x:c>
      <x:c r="AN69" t="n">
        <x:f>2*(SQRT((Inputs!$C$52+(Scenario_Data!E69))^2+Inputs!$C$52^2-2*(Inputs!$C$52+(Scenario_Data!E69))*Inputs!$C$52*COS(SQRT((Scenario_Data!W69)^2+Inputs!$C$6^2)/Inputs!$C$52))*1000)/Inputs!$C$21*1000000</x:f>
        <x:v>2898.930305024403</x:v>
      </x:c>
      <x:c r="AP69" t="n">
        <x:f>Scenario_Data!T69</x:f>
        <x:v>-26.519999999999996</x:v>
      </x:c>
      <x:c r="AQ69" t="n">
        <x: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x:f>
        <x:v>2685.7641048695896</x:v>
      </x:c>
      <x:c r="AR69" t="n">
        <x:f>Scenario_Data!U69</x:f>
        <x:v>-176.79999999999998</x:v>
      </x:c>
      <x:c r="AS69" t="n">
        <x: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x:f>
        <x:v>1419.563933171673</x:v>
      </x:c>
      <x:c r="AT69" t="n">
        <x:f>Scenario_Data!V69</x:f>
        <x:v>-353.59999999999997</x:v>
      </x:c>
      <x:c r="AU69" t="n">
        <x: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x:f>
        <x:v>2930.290863262151</x:v>
      </x:c>
      <x:c r="AV69" t="n">
        <x:f>Scenario_Data!W69</x:f>
        <x:v>-353.59999999999997</x:v>
      </x:c>
      <x:c r="AW69" t="n">
        <x: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x:f>
        <x:v>2898.417070837936</x:v>
      </x:c>
    </x:row>
    <x:row r="70">
      <x:c r="A70" t="n">
        <x:f>Chart_Data!K70</x:f>
        <x:v>-26</x:v>
      </x:c>
      <x:c r="B70" t="n">
        <x:f>Chart_Data!N70-Chart_Data!L70</x:f>
        <x:v>80.44622831250399</x:v>
      </x:c>
      <x:c r="D70" t="n">
        <x:f>Chart_Data!G70</x:f>
        <x:v>-26</x:v>
      </x:c>
      <x:c r="E70" t="n">
        <x:f>Chart_Data!H70</x:f>
        <x:v>271.74352983421755</x:v>
      </x:c>
      <x:c r="F70" t="n">
        <x:f>Chart_Data!I70</x:f>
        <x:v>271.74352983421755</x:v>
      </x:c>
      <x:c r="G70" t="n">
        <x:f>Chart_Data!J70</x:f>
        <x:v>-82.17349441978894</x:v>
      </x:c>
      <x:c r="I70" t="n">
        <x:f>Scenario_Data!A70</x:f>
        <x:v>-0.433</x:v>
      </x:c>
      <x:c r="J70" t="n">
        <x:f>Scenario_Data!H70-(((SQRT((Inputs!$C$52+(Inputs!$H$6))^2+Inputs!$C$52^2-2*(Inputs!$C$52+(Inputs!$H$6))*Inputs!$C$52*COS(SQRT((Scenario_Data!T70)^2+Inputs!$C$6^2)/Inputs!$C$52)))-(Inputs!$H$6))*1000/Inputs!$C$12)</x:f>
        <x:v>-1.6942460296072568</x:v>
      </x:c>
      <x:c r="K70" t="n">
        <x:f>Scenario_Data!I70-(((SQRT((Inputs!$C$52+(Inputs!$H$7))^2+Inputs!$C$52^2-2*(Inputs!$C$52+(Inputs!$H$7))*Inputs!$C$52*COS(SQRT((Scenario_Data!U70)^2+Inputs!$C$6^2)/Inputs!$C$52)))-(Inputs!$H$7))*1000/Inputs!$C$12)</x:f>
        <x:v>-22803.296578072208</x:v>
      </x:c>
      <x:c r="L70" t="n">
        <x:f>Scenario_Data!J70-(((SQRT((Inputs!$C$52+(Inputs!$H$8))^2+Inputs!$C$52^2-2*(Inputs!$C$52+(Inputs!$H$8))*Inputs!$C$52*COS(SQRT((Scenario_Data!V70)^2+Inputs!$C$6^2)/Inputs!$C$52)))-(Inputs!$H$8))*1000/Inputs!$C$12)</x:f>
        <x:v>-58938.19185999589</x:v>
      </x:c>
      <x:c r="M70" t="n">
        <x:f>Scenario_Data!K70-(((SQRT((Inputs!$C$52+(Inputs!$H$9))^2+Inputs!$C$52^2-2*(Inputs!$C$52+(Inputs!$H$9))*Inputs!$C$52*COS(SQRT((Scenario_Data!W70)^2+Inputs!$C$6^2)/Inputs!$C$52)))-(Inputs!$H$9))*1000/Inputs!$C$12)</x:f>
        <x:v>-61579.723356260394</x:v>
      </x:c>
      <x:c r="O70" t="n">
        <x:f>Scenario_Data!T70</x:f>
        <x:v>-25.980000000000004</x:v>
      </x:c>
      <x:c r="P70" t="n">
        <x:f>2*(Scenario_Data!B70*1000)/Inputs!$C$21*1000000</x:f>
        <x:v>2673.515929476785</x:v>
      </x:c>
      <x:c r="Q70" t="n">
        <x:f>Scenario_Data!U70</x:f>
        <x:v>-173.20000000000002</x:v>
      </x:c>
      <x:c r="R70" t="n">
        <x:f>2*(Scenario_Data!C70*1000)/Inputs!$C$21*1000000</x:f>
        <x:v>690.0339367443328</x:v>
      </x:c>
      <x:c r="S70" t="n">
        <x:f>Scenario_Data!V70</x:f>
        <x:v>-346.40000000000003</x:v>
      </x:c>
      <x:c r="T70" t="n">
        <x:f>2*(Scenario_Data!D70*1000)/Inputs!$C$21*1000000</x:f>
        <x:v>1440.509120479609</x:v>
      </x:c>
      <x:c r="U70" t="n">
        <x:f>Scenario_Data!W70</x:f>
        <x:v>-346.40000000000003</x:v>
      </x:c>
      <x:c r="V70" t="n">
        <x:f>2*(Scenario_Data!E70*1000)/Inputs!$C$21*1000000</x:f>
        <x:v>1386.3042211688996</x:v>
      </x:c>
      <x:c r="X70" t="n">
        <x:f>Scenario_Data!T70</x:f>
        <x:v>-25.980000000000004</x:v>
      </x:c>
      <x:c r="Y70" t="n">
        <x: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x:f>
        <x:v>2674.121602551275</x:v>
      </x:c>
      <x:c r="Z70" t="n">
        <x:f>Scenario_Data!U70</x:f>
        <x:v>-173.20000000000002</x:v>
      </x:c>
      <x:c r="AA70" t="n">
        <x: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x:f>
        <x:v>689.6044707976647</x:v>
      </x:c>
      <x:c r="AB70" t="n">
        <x:f>Scenario_Data!V70</x:f>
        <x:v>-346.40000000000003</x:v>
      </x:c>
      <x:c r="AC70" t="n">
        <x: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x:f>
        <x:v>1440.7064420089464</x:v>
      </x:c>
      <x:c r="AD70" t="n">
        <x:f>Scenario_Data!W70</x:f>
        <x:v>-346.40000000000003</x:v>
      </x:c>
      <x:c r="AE70" t="n">
        <x: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x:f>
        <x:v>1386.501542698237</x:v>
      </x:c>
      <x:c r="AG70" t="n">
        <x:f>Scenario_Data!T70</x:f>
        <x:v>-25.980000000000004</x:v>
      </x:c>
      <x:c r="AH70" t="n">
        <x:f>2*(SQRT((Inputs!$C$52+(Scenario_Data!B70))^2+Inputs!$C$52^2-2*(Inputs!$C$52+(Scenario_Data!B70))*Inputs!$C$52*COS(SQRT((Scenario_Data!T70)^2+Inputs!$C$6^2)/Inputs!$C$52))*1000)/Inputs!$C$21*1000000</x:f>
        <x:v>2687.0793271300054</x:v>
      </x:c>
      <x:c r="AI70" t="n">
        <x:f>Scenario_Data!U70</x:f>
        <x:v>-173.20000000000002</x:v>
      </x:c>
      <x:c r="AJ70" t="n">
        <x:f>2*(SQRT((Inputs!$C$52+(Scenario_Data!C70))^2+Inputs!$C$52^2-2*(Inputs!$C$52+(Scenario_Data!C70))*Inputs!$C$52*COS(SQRT((Scenario_Data!U70)^2+Inputs!$C$6^2)/Inputs!$C$52))*1000)/Inputs!$C$21*1000000</x:f>
        <x:v>1388.4750825653464</x:v>
      </x:c>
      <x:c r="AK70" t="n">
        <x:f>Scenario_Data!V70</x:f>
        <x:v>-346.40000000000003</x:v>
      </x:c>
      <x:c r="AL70" t="n">
        <x:f>2*(SQRT((Inputs!$C$52+(Scenario_Data!D70))^2+Inputs!$C$52^2-2*(Inputs!$C$52+(Scenario_Data!D70))*Inputs!$C$52*COS(SQRT((Scenario_Data!V70)^2+Inputs!$C$6^2)/Inputs!$C$52))*1000)/Inputs!$C$21*1000000</x:f>
        <x:v>2856.707437171217</x:v>
      </x:c>
      <x:c r="AM70" t="n">
        <x:f>Scenario_Data!W70</x:f>
        <x:v>-346.40000000000003</x:v>
      </x:c>
      <x:c r="AN70" t="n">
        <x:f>2*(SQRT((Inputs!$C$52+(Scenario_Data!E70))^2+Inputs!$C$52^2-2*(Inputs!$C$52+(Scenario_Data!E70))*Inputs!$C$52*COS(SQRT((Scenario_Data!W70)^2+Inputs!$C$6^2)/Inputs!$C$52))*1000)/Inputs!$C$21*1000000</x:f>
        <x:v>2824.8397867428093</x:v>
      </x:c>
      <x:c r="AP70" t="n">
        <x:f>Scenario_Data!T70</x:f>
        <x:v>-25.980000000000004</x:v>
      </x:c>
      <x:c r="AQ70" t="n">
        <x: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x:f>
        <x:v>2685.2667592520247</x:v>
      </x:c>
      <x:c r="AR70" t="n">
        <x:f>Scenario_Data!U70</x:f>
        <x:v>-173.20000000000002</x:v>
      </x:c>
      <x:c r="AS70" t="n">
        <x: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x:f>
        <x:v>1387.956266731438</x:v>
      </x:c>
      <x:c r="AT70" t="n">
        <x:f>Scenario_Data!V70</x:f>
        <x:v>-346.40000000000003</x:v>
      </x:c>
      <x:c r="AU70" t="n">
        <x: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x:f>
        <x:v>2856.458663651637</x:v>
      </x:c>
      <x:c r="AV70" t="n">
        <x:f>Scenario_Data!W70</x:f>
        <x:v>-346.40000000000003</x:v>
      </x:c>
      <x:c r="AW70" t="n">
        <x: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x:f>
        <x:v>2824.5997932549617</x:v>
      </x:c>
    </x:row>
    <x:row r="71">
      <x:c r="A71" t="n">
        <x:f>Chart_Data!K71</x:f>
        <x:v>-25.5</x:v>
      </x:c>
      <x:c r="B71" t="n">
        <x:f>Chart_Data!N71-Chart_Data!L71</x:f>
        <x:v>102.62475841952005</x:v>
      </x:c>
      <x:c r="D71" t="n">
        <x:f>Chart_Data!G71</x:f>
        <x:v>-25.5</x:v>
      </x:c>
      <x:c r="E71" t="n">
        <x:f>Chart_Data!H71</x:f>
        <x:v>271.72277085410076</x:v>
      </x:c>
      <x:c r="F71" t="n">
        <x:f>Chart_Data!I71</x:f>
        <x:v>271.72277085410076</x:v>
      </x:c>
      <x:c r="G71" t="n">
        <x:f>Chart_Data!J71</x:f>
        <x:v>-104.31813701930129</x:v>
      </x:c>
      <x:c r="I71" t="n">
        <x:f>Scenario_Data!A71</x:f>
        <x:v>-0.425</x:v>
      </x:c>
      <x:c r="J71" t="n">
        <x:f>Scenario_Data!H71-(((SQRT((Inputs!$C$52+(Inputs!$H$6))^2+Inputs!$C$52^2-2*(Inputs!$C$52+(Inputs!$H$6))*Inputs!$C$52*COS(SQRT((Scenario_Data!T71)^2+Inputs!$C$6^2)/Inputs!$C$52)))-(Inputs!$H$6))*1000/Inputs!$C$12)</x:f>
        <x:v>-1.601553853415453</x:v>
      </x:c>
      <x:c r="K71" t="n">
        <x:f>Scenario_Data!I71-(((SQRT((Inputs!$C$52+(Inputs!$H$7))^2+Inputs!$C$52^2-2*(Inputs!$C$52+(Inputs!$H$7))*Inputs!$C$52*COS(SQRT((Scenario_Data!U71)^2+Inputs!$C$6^2)/Inputs!$C$52)))-(Inputs!$H$7))*1000/Inputs!$C$12)</x:f>
        <x:v>-21990.41124452041</x:v>
      </x:c>
      <x:c r="L71" t="n">
        <x:f>Scenario_Data!J71-(((SQRT((Inputs!$C$52+(Inputs!$H$8))^2+Inputs!$C$52^2-2*(Inputs!$C$52+(Inputs!$H$8))*Inputs!$C$52*COS(SQRT((Scenario_Data!V71)^2+Inputs!$C$6^2)/Inputs!$C$52)))-(Inputs!$H$8))*1000/Inputs!$C$12)</x:f>
        <x:v>-57117.53151668291</x:v>
      </x:c>
      <x:c r="M71" t="n">
        <x:f>Scenario_Data!K71-(((SQRT((Inputs!$C$52+(Inputs!$H$9))^2+Inputs!$C$52^2-2*(Inputs!$C$52+(Inputs!$H$9))*Inputs!$C$52*COS(SQRT((Scenario_Data!W71)^2+Inputs!$C$6^2)/Inputs!$C$52)))-(Inputs!$H$9))*1000/Inputs!$C$12)</x:f>
        <x:v>-59720.04210248677</x:v>
      </x:c>
      <x:c r="O71" t="n">
        <x:f>Scenario_Data!T71</x:f>
        <x:v>-25.5</x:v>
      </x:c>
      <x:c r="P71" t="n">
        <x:f>2*(Scenario_Data!B71*1000)/Inputs!$C$21*1000000</x:f>
        <x:v>2673.3327627608296</x:v>
      </x:c>
      <x:c r="Q71" t="n">
        <x:f>Scenario_Data!U71</x:f>
        <x:v>-170.00000000000003</x:v>
      </x:c>
      <x:c r="R71" t="n">
        <x:f>2*(Scenario_Data!C71*1000)/Inputs!$C$21*1000000</x:f>
        <x:v>673.3199739134199</x:v>
      </x:c>
      <x:c r="S71" t="n">
        <x:f>Scenario_Data!V71</x:f>
        <x:v>-340.00000000000006</x:v>
      </x:c>
      <x:c r="T71" t="n">
        <x:f>2*(Scenario_Data!D71*1000)/Inputs!$C$21*1000000</x:f>
        <x:v>1396.3201502554145</x:v>
      </x:c>
      <x:c r="U71" t="n">
        <x:f>Scenario_Data!W71</x:f>
        <x:v>-340.00000000000006</x:v>
      </x:c>
      <x:c r="V71" t="n">
        <x:f>2*(Scenario_Data!E71*1000)/Inputs!$C$21*1000000</x:f>
        <x:v>1341.6573341548174</x:v>
      </x:c>
      <x:c r="X71" t="n">
        <x:f>Scenario_Data!T71</x:f>
        <x:v>-25.5</x:v>
      </x:c>
      <x:c r="Y71" t="n">
        <x: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x:f>
        <x:v>2674.028698460582</x:v>
      </x:c>
      <x:c r="Z71" t="n">
        <x:f>Scenario_Data!U71</x:f>
        <x:v>-170.00000000000003</x:v>
      </x:c>
      <x:c r="AA71" t="n">
        <x: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x:f>
        <x:v>673.529430210656</x:v>
      </x:c>
      <x:c r="AB71" t="n">
        <x:f>Scenario_Data!V71</x:f>
        <x:v>-340.00000000000006</x:v>
      </x:c>
      <x:c r="AC71" t="n">
        <x: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x:f>
        <x:v>1395.9069815926184</x:v>
      </x:c>
      <x:c r="AD71" t="n">
        <x:f>Scenario_Data!W71</x:f>
        <x:v>-340.00000000000006</x:v>
      </x:c>
      <x:c r="AE71" t="n">
        <x: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x:f>
        <x:v>1341.2441654920215</x:v>
      </x:c>
      <x:c r="AG71" t="n">
        <x:f>Scenario_Data!T71</x:f>
        <x:v>-25.5</x:v>
      </x:c>
      <x:c r="AH71" t="n">
        <x:f>2*(SQRT((Inputs!$C$52+(Scenario_Data!B71))^2+Inputs!$C$52^2-2*(Inputs!$C$52+(Scenario_Data!B71))*Inputs!$C$52*COS(SQRT((Scenario_Data!T71)^2+Inputs!$C$6^2)/Inputs!$C$52))*1000)/Inputs!$C$21*1000000</x:f>
        <x:v>2686.6397104802963</x:v>
      </x:c>
      <x:c r="AI71" t="n">
        <x:f>Scenario_Data!U71</x:f>
        <x:v>-170.00000000000003</x:v>
      </x:c>
      <x:c r="AJ71" t="n">
        <x:f>2*(SQRT((Inputs!$C$52+(Scenario_Data!C71))^2+Inputs!$C$52^2-2*(Inputs!$C$52+(Scenario_Data!C71))*Inputs!$C$52*COS(SQRT((Scenario_Data!U71)^2+Inputs!$C$6^2)/Inputs!$C$52))*1000)/Inputs!$C$21*1000000</x:f>
        <x:v>1360.4994034490926</x:v>
      </x:c>
      <x:c r="AK71" t="n">
        <x:f>Scenario_Data!V71</x:f>
        <x:v>-340.00000000000006</x:v>
      </x:c>
      <x:c r="AL71" t="n">
        <x:f>2*(SQRT((Inputs!$C$52+(Scenario_Data!D71))^2+Inputs!$C$52^2-2*(Inputs!$C$52+(Scenario_Data!D71))*Inputs!$C$52*COS(SQRT((Scenario_Data!V71)^2+Inputs!$C$6^2)/Inputs!$C$52))*1000)/Inputs!$C$21*1000000</x:f>
        <x:v>2791.557552752647</x:v>
      </x:c>
      <x:c r="AM71" t="n">
        <x:f>Scenario_Data!W71</x:f>
        <x:v>-340.00000000000006</x:v>
      </x:c>
      <x:c r="AN71" t="n">
        <x:f>2*(SQRT((Inputs!$C$52+(Scenario_Data!E71))^2+Inputs!$C$52^2-2*(Inputs!$C$52+(Scenario_Data!E71))*Inputs!$C$52*COS(SQRT((Scenario_Data!W71)^2+Inputs!$C$6^2)/Inputs!$C$52))*1000)/Inputs!$C$21*1000000</x:f>
        <x:v>2759.724726481357</x:v>
      </x:c>
      <x:c r="AP71" t="n">
        <x:f>Scenario_Data!T71</x:f>
        <x:v>-25.5</x:v>
      </x:c>
      <x:c r="AQ71" t="n">
        <x: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x:f>
        <x:v>2684.8382682822116</x:v>
      </x:c>
      <x:c r="AR71" t="n">
        <x:f>Scenario_Data!U71</x:f>
        <x:v>-170.00000000000003</x:v>
      </x:c>
      <x:c r="AS71" t="n">
        <x: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x:f>
        <x:v>1360.1592081481224</x:v>
      </x:c>
      <x:c r="AT71" t="n">
        <x:f>Scenario_Data!V71</x:f>
        <x:v>-340.00000000000006</x:v>
      </x:c>
      <x:c r="AU71" t="n">
        <x: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x:f>
        <x:v>2791.0833339882856</x:v>
      </x:c>
      <x:c r="AV71" t="n">
        <x:f>Scenario_Data!W71</x:f>
        <x:v>-340.00000000000006</x:v>
      </x:c>
      <x:c r="AW71" t="n">
        <x: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x:f>
        <x:v>2759.2679936296245</x:v>
      </x:c>
    </x:row>
    <x:row r="72">
      <x:c r="A72" t="n">
        <x:f>Chart_Data!K72</x:f>
        <x:v>-25</x:v>
      </x:c>
      <x:c r="B72" t="n">
        <x:f>Chart_Data!N72-Chart_Data!L72</x:f>
        <x:v>95.9627285030823</x:v>
      </x:c>
      <x:c r="D72" t="n">
        <x:f>Chart_Data!G72</x:f>
        <x:v>-25</x:v>
      </x:c>
      <x:c r="E72" t="n">
        <x:f>Chart_Data!H72</x:f>
        <x:v>260.2713841318971</x:v>
      </x:c>
      <x:c r="F72" t="n">
        <x:f>Chart_Data!I72</x:f>
        <x:v>260.2713841318971</x:v>
      </x:c>
      <x:c r="G72" t="n">
        <x:f>Chart_Data!J72</x:f>
        <x:v>-97.55297588358108</x:v>
      </x:c>
      <x:c r="I72" t="n">
        <x:f>Scenario_Data!A72</x:f>
        <x:v>-0.417</x:v>
      </x:c>
      <x:c r="J72" t="n">
        <x:f>Scenario_Data!H72-(((SQRT((Inputs!$C$52+(Inputs!$H$6))^2+Inputs!$C$52^2-2*(Inputs!$C$52+(Inputs!$H$6))*Inputs!$C$52*COS(SQRT((Scenario_Data!T72)^2+Inputs!$C$6^2)/Inputs!$C$52)))-(Inputs!$H$6))*1000/Inputs!$C$12)</x:f>
        <x:v>-1.512843152252799</x:v>
      </x:c>
      <x:c r="K72" t="n">
        <x:f>Scenario_Data!I72-(((SQRT((Inputs!$C$52+(Inputs!$H$7))^2+Inputs!$C$52^2-2*(Inputs!$C$52+(Inputs!$H$7))*Inputs!$C$52*COS(SQRT((Scenario_Data!U72)^2+Inputs!$C$6^2)/Inputs!$C$52)))-(Inputs!$H$7))*1000/Inputs!$C$12)</x:f>
        <x:v>-21187.933007764404</x:v>
      </x:c>
      <x:c r="L72" t="n">
        <x:f>Scenario_Data!J72-(((SQRT((Inputs!$C$52+(Inputs!$H$8))^2+Inputs!$C$52^2-2*(Inputs!$C$52+(Inputs!$H$8))*Inputs!$C$52*COS(SQRT((Scenario_Data!V72)^2+Inputs!$C$6^2)/Inputs!$C$52)))-(Inputs!$H$8))*1000/Inputs!$C$12)</x:f>
        <x:v>-55309.28240772686</x:v>
      </x:c>
      <x:c r="M72" t="n">
        <x:f>Scenario_Data!K72-(((SQRT((Inputs!$C$52+(Inputs!$H$9))^2+Inputs!$C$52^2-2*(Inputs!$C$52+(Inputs!$H$9))*Inputs!$C$52*COS(SQRT((Scenario_Data!W72)^2+Inputs!$C$6^2)/Inputs!$C$52)))-(Inputs!$H$9))*1000/Inputs!$C$12)</x:f>
        <x:v>-57872.108972824644</x:v>
      </x:c>
      <x:c r="O72" t="n">
        <x:f>Scenario_Data!T72</x:f>
        <x:v>-25.020000000000003</x:v>
      </x:c>
      <x:c r="P72" t="n">
        <x:f>2*(Scenario_Data!B72*1000)/Inputs!$C$21*1000000</x:f>
        <x:v>2673.1530117412094</x:v>
      </x:c>
      <x:c r="Q72" t="n">
        <x:f>Scenario_Data!U72</x:f>
        <x:v>-166.8</x:v>
      </x:c>
      <x:c r="R72" t="n">
        <x:f>2*(Scenario_Data!C72*1000)/Inputs!$C$21*1000000</x:f>
        <x:v>656.9176933730602</x:v>
      </x:c>
      <x:c r="S72" t="n">
        <x:f>Scenario_Data!V72</x:f>
        <x:v>-333.6</x:v>
      </x:c>
      <x:c r="T72" t="n">
        <x:f>2*(Scenario_Data!D72*1000)/Inputs!$C$21*1000000</x:f>
        <x:v>1352.955216771998</x:v>
      </x:c>
      <x:c r="U72" t="n">
        <x:f>Scenario_Data!W72</x:f>
        <x:v>-333.6</x:v>
      </x:c>
      <x:c r="V72" t="n">
        <x:f>2*(Scenario_Data!E72*1000)/Inputs!$C$21*1000000</x:f>
        <x:v>1297.8430231223497</x:v>
      </x:c>
      <x:c r="X72" t="n">
        <x:f>Scenario_Data!T72</x:f>
        <x:v>-25.020000000000003</x:v>
      </x:c>
      <x:c r="Y72" t="n">
        <x: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x:f>
        <x:v>2673.836415166981</x:v>
      </x:c>
      <x:c r="Z72" t="n">
        <x:f>Scenario_Data!U72</x:f>
        <x:v>-166.8</x:v>
      </x:c>
      <x:c r="AA72" t="n">
        <x: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x:f>
        <x:v>657.1579289089054</x:v>
      </x:c>
      <x:c r="AB72" t="n">
        <x:f>Scenario_Data!V72</x:f>
        <x:v>-333.6</x:v>
      </x:c>
      <x:c r="AC72" t="n">
        <x: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x:f>
        <x:v>1352.5285718842533</x:v>
      </x:c>
      <x:c r="AD72" t="n">
        <x:f>Scenario_Data!W72</x:f>
        <x:v>-333.6</x:v>
      </x:c>
      <x:c r="AE72" t="n">
        <x: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x:f>
        <x:v>1297.4163782346052</x:v>
      </x:c>
      <x:c r="AG72" t="n">
        <x:f>Scenario_Data!T72</x:f>
        <x:v>-25.020000000000003</x:v>
      </x:c>
      <x:c r="AH72" t="n">
        <x:f>2*(SQRT((Inputs!$C$52+(Scenario_Data!B72))^2+Inputs!$C$52^2-2*(Inputs!$C$52+(Scenario_Data!B72))*Inputs!$C$52*COS(SQRT((Scenario_Data!T72)^2+Inputs!$C$6^2)/Inputs!$C$52))*1000)/Inputs!$C$21*1000000</x:f>
        <x:v>2686.2082405845767</x:v>
      </x:c>
      <x:c r="AI72" t="n">
        <x:f>Scenario_Data!U72</x:f>
        <x:v>-166.8</x:v>
      </x:c>
      <x:c r="AJ72" t="n">
        <x:f>2*(SQRT((Inputs!$C$52+(Scenario_Data!C72))^2+Inputs!$C$52^2-2*(Inputs!$C$52+(Scenario_Data!C72))*Inputs!$C$52*COS(SQRT((Scenario_Data!U72)^2+Inputs!$C$6^2)/Inputs!$C$52))*1000)/Inputs!$C$21*1000000</x:f>
        <x:v>1332.7340115462373</x:v>
      </x:c>
      <x:c r="AK72" t="n">
        <x:f>Scenario_Data!V72</x:f>
        <x:v>-333.6</x:v>
      </x:c>
      <x:c r="AL72" t="n">
        <x:f>2*(SQRT((Inputs!$C$52+(Scenario_Data!D72))^2+Inputs!$C$52^2-2*(Inputs!$C$52+(Scenario_Data!D72))*Inputs!$C$52*COS(SQRT((Scenario_Data!V72)^2+Inputs!$C$6^2)/Inputs!$C$52))*1000)/Inputs!$C$21*1000000</x:f>
        <x:v>2727.0872248769224</x:v>
      </x:c>
      <x:c r="AM72" t="n">
        <x:f>Scenario_Data!W72</x:f>
        <x:v>-333.6</x:v>
      </x:c>
      <x:c r="AN72" t="n">
        <x:f>2*(SQRT((Inputs!$C$52+(Scenario_Data!E72))^2+Inputs!$C$52^2-2*(Inputs!$C$52+(Scenario_Data!E72))*Inputs!$C$52*COS(SQRT((Scenario_Data!W72)^2+Inputs!$C$6^2)/Inputs!$C$52))*1000)/Inputs!$C$21*1000000</x:f>
        <x:v>2695.3016989076077</x:v>
      </x:c>
      <x:c r="AP72" t="n">
        <x:f>Scenario_Data!T72</x:f>
        <x:v>-25.020000000000003</x:v>
      </x:c>
      <x:c r="AQ72" t="n">
        <x: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x:f>
        <x:v>2684.344258811687</x:v>
      </x:c>
      <x:c r="AR72" t="n">
        <x:f>Scenario_Data!U72</x:f>
        <x:v>-166.8</x:v>
      </x:c>
      <x:c r="AS72" t="n">
        <x: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x:f>
        <x:v>1332.4930771425575</x:v>
      </x:c>
      <x:c r="AT72" t="n">
        <x:f>Scenario_Data!V72</x:f>
        <x:v>-333.6</x:v>
      </x:c>
      <x:c r="AU72" t="n">
        <x: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x:f>
        <x:v>2726.5981963853515</x:v>
      </x:c>
      <x:c r="AV72" t="n">
        <x:f>Scenario_Data!W72</x:f>
        <x:v>-333.6</x:v>
      </x:c>
      <x:c r="AW72" t="n">
        <x: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x:f>
        <x:v>2694.8315049743364</x:v>
      </x:c>
    </x:row>
    <x:row r="73">
      <x:c r="A73" t="n">
        <x:f>Chart_Data!K73</x:f>
        <x:v>-24.5</x:v>
      </x:c>
      <x:c r="B73" t="n">
        <x:f>Chart_Data!N73-Chart_Data!L73</x:f>
        <x:v>111.95944336516442</x:v>
      </x:c>
      <x:c r="D73" t="n">
        <x:f>Chart_Data!G73</x:f>
        <x:v>-24.5</x:v>
      </x:c>
      <x:c r="E73" t="n">
        <x:f>Chart_Data!H73</x:f>
        <x:v>276.49363528949897</x:v>
      </x:c>
      <x:c r="F73" t="n">
        <x:f>Chart_Data!I73</x:f>
        <x:v>276.49363528949897</x:v>
      </x:c>
      <x:c r="G73" t="n">
        <x:f>Chart_Data!J73</x:f>
        <x:v>-113.61582851930044</x:v>
      </x:c>
      <x:c r="I73" t="n">
        <x:f>Scenario_Data!A73</x:f>
        <x:v>-0.408</x:v>
      </x:c>
      <x:c r="J73" t="n">
        <x:f>Scenario_Data!H73-(((SQRT((Inputs!$C$52+(Inputs!$H$6))^2+Inputs!$C$52^2-2*(Inputs!$C$52+(Inputs!$H$6))*Inputs!$C$52*COS(SQRT((Scenario_Data!T73)^2+Inputs!$C$6^2)/Inputs!$C$52)))-(Inputs!$H$6))*1000/Inputs!$C$12)</x:f>
        <x:v>-1.4176461878619193</x:v>
      </x:c>
      <x:c r="K73" t="n">
        <x:f>Scenario_Data!I73-(((SQRT((Inputs!$C$52+(Inputs!$H$7))^2+Inputs!$C$52^2-2*(Inputs!$C$52+(Inputs!$H$7))*Inputs!$C$52*COS(SQRT((Scenario_Data!U73)^2+Inputs!$C$6^2)/Inputs!$C$52)))-(Inputs!$H$7))*1000/Inputs!$C$12)</x:f>
        <x:v>-20297.883237372946</x:v>
      </x:c>
      <x:c r="L73" t="n">
        <x:f>Scenario_Data!J73-(((SQRT((Inputs!$C$52+(Inputs!$H$8))^2+Inputs!$C$52^2-2*(Inputs!$C$52+(Inputs!$H$8))*Inputs!$C$52*COS(SQRT((Scenario_Data!V73)^2+Inputs!$C$6^2)/Inputs!$C$52)))-(Inputs!$H$8))*1000/Inputs!$C$12)</x:f>
        <x:v>-53290.67307252447</x:v>
      </x:c>
      <x:c r="M73" t="n">
        <x:f>Scenario_Data!K73-(((SQRT((Inputs!$C$52+(Inputs!$H$9))^2+Inputs!$C$52^2-2*(Inputs!$C$52+(Inputs!$H$9))*Inputs!$C$52*COS(SQRT((Scenario_Data!W73)^2+Inputs!$C$6^2)/Inputs!$C$52)))-(Inputs!$H$9))*1000/Inputs!$C$12)</x:f>
        <x:v>-55808.06323941442</x:v>
      </x:c>
      <x:c r="O73" t="n">
        <x:f>Scenario_Data!T73</x:f>
        <x:v>-24.479999999999997</x:v>
      </x:c>
      <x:c r="P73" t="n">
        <x:f>2*(Scenario_Data!B73*1000)/Inputs!$C$21*1000000</x:f>
        <x:v>2672.954874668662</x:v>
      </x:c>
      <x:c r="Q73" t="n">
        <x:f>Scenario_Data!U73</x:f>
        <x:v>-163.19999999999996</x:v>
      </x:c>
      <x:c r="R73" t="n">
        <x:f>2*(Scenario_Data!C73*1000)/Inputs!$C$21*1000000</x:f>
        <x:v>638.8376855030822</x:v>
      </x:c>
      <x:c r="S73" t="n">
        <x:f>Scenario_Data!V73</x:f>
        <x:v>-326.3999999999999</x:v>
      </x:c>
      <x:c r="T73" t="n">
        <x:f>2*(Scenario_Data!D73*1000)/Inputs!$C$21*1000000</x:f>
        <x:v>1305.154648019864</x:v>
      </x:c>
      <x:c r="U73" t="n">
        <x:f>Scenario_Data!W73</x:f>
        <x:v>-326.3999999999999</x:v>
      </x:c>
      <x:c r="V73" t="n">
        <x:f>2*(Scenario_Data!E73*1000)/Inputs!$C$21*1000000</x:f>
        <x:v>1249.5471116888466</x:v>
      </x:c>
      <x:c r="X73" t="n">
        <x:f>Scenario_Data!T73</x:f>
        <x:v>-24.479999999999997</x:v>
      </x:c>
      <x:c r="Y73" t="n">
        <x: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x:f>
        <x:v>2673.7029376385944</x:v>
      </x:c>
      <x:c r="Z73" t="n">
        <x:f>Scenario_Data!U73</x:f>
        <x:v>-163.19999999999996</x:v>
      </x:c>
      <x:c r="AA73" t="n">
        <x: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x:f>
        <x:v>638.7033528513318</x:v>
      </x:c>
      <x:c r="AB73" t="n">
        <x:f>Scenario_Data!V73</x:f>
        <x:v>-326.3999999999999</x:v>
      </x:c>
      <x:c r="AC73" t="n">
        <x: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x:f>
        <x:v>1304.9764199784206</x:v>
      </x:c>
      <x:c r="AD73" t="n">
        <x:f>Scenario_Data!W73</x:f>
        <x:v>-326.3999999999999</x:v>
      </x:c>
      <x:c r="AE73" t="n">
        <x: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x:f>
        <x:v>1249.3688836474032</x:v>
      </x:c>
      <x:c r="AG73" t="n">
        <x:f>Scenario_Data!T73</x:f>
        <x:v>-24.479999999999997</x:v>
      </x:c>
      <x:c r="AH73" t="n">
        <x:f>2*(SQRT((Inputs!$C$52+(Scenario_Data!B73))^2+Inputs!$C$52^2-2*(Inputs!$C$52+(Scenario_Data!B73))*Inputs!$C$52*COS(SQRT((Scenario_Data!T73)^2+Inputs!$C$6^2)/Inputs!$C$52))*1000)/Inputs!$C$21*1000000</x:f>
        <x:v>2685.7325784389564</x:v>
      </x:c>
      <x:c r="AI73" t="n">
        <x:f>Scenario_Data!U73</x:f>
        <x:v>-163.19999999999996</x:v>
      </x:c>
      <x:c r="AJ73" t="n">
        <x:f>2*(SQRT((Inputs!$C$52+(Scenario_Data!C73))^2+Inputs!$C$52^2-2*(Inputs!$C$52+(Scenario_Data!C73))*Inputs!$C$52*COS(SQRT((Scenario_Data!U73)^2+Inputs!$C$6^2)/Inputs!$C$52))*1000)/Inputs!$C$21*1000000</x:f>
        <x:v>1301.7473946103885</x:v>
      </x:c>
      <x:c r="AK73" t="n">
        <x:f>Scenario_Data!V73</x:f>
        <x:v>-326.3999999999999</x:v>
      </x:c>
      <x:c r="AL73" t="n">
        <x:f>2*(SQRT((Inputs!$C$52+(Scenario_Data!D73))^2+Inputs!$C$52^2-2*(Inputs!$C$52+(Scenario_Data!D73))*Inputs!$C$52*COS(SQRT((Scenario_Data!V73)^2+Inputs!$C$6^2)/Inputs!$C$52))*1000)/Inputs!$C$21*1000000</x:f>
        <x:v>2655.3615925812765</x:v>
      </x:c>
      <x:c r="AM73" t="n">
        <x:f>Scenario_Data!W73</x:f>
        <x:v>-326.3999999999999</x:v>
      </x:c>
      <x:c r="AN73" t="n">
        <x:f>2*(SQRT((Inputs!$C$52+(Scenario_Data!E73))^2+Inputs!$C$52^2-2*(Inputs!$C$52+(Scenario_Data!E73))*Inputs!$C$52*COS(SQRT((Scenario_Data!W73)^2+Inputs!$C$6^2)/Inputs!$C$52))*1000)/Inputs!$C$21*1000000</x:f>
        <x:v>2623.643900129246</x:v>
      </x:c>
      <x:c r="AP73" t="n">
        <x:f>Scenario_Data!T73</x:f>
        <x:v>-24.479999999999997</x:v>
      </x:c>
      <x:c r="AQ73" t="n">
        <x: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x:f>
        <x:v>2684.0091118985915</x:v>
      </x:c>
      <x:c r="AR73" t="n">
        <x:f>Scenario_Data!U73</x:f>
        <x:v>-163.19999999999996</x:v>
      </x:c>
      <x:c r="AS73" t="n">
        <x: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x:f>
        <x:v>1301.4430776136699</x:v>
      </x:c>
      <x:c r="AT73" t="n">
        <x:f>Scenario_Data!V73</x:f>
        <x:v>-326.3999999999999</x:v>
      </x:c>
      <x:c r="AU73" t="n">
        <x: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x:f>
        <x:v>2655.133708523069</x:v>
      </x:c>
      <x:c r="AV73" t="n">
        <x:f>Scenario_Data!W73</x:f>
        <x:v>-326.3999999999999</x:v>
      </x:c>
      <x:c r="AW73" t="n">
        <x: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x:f>
        <x:v>2623.425230126642</x:v>
      </x:c>
    </x:row>
    <x:row r="74">
      <x:c r="A74" t="n">
        <x:f>Chart_Data!K74</x:f>
        <x:v>-24</x:v>
      </x:c>
      <x:c r="B74" t="n">
        <x:f>Chart_Data!N74-Chart_Data!L74</x:f>
        <x:v>109.9110637934084</x:v>
      </x:c>
      <x:c r="D74" t="n">
        <x:f>Chart_Data!G74</x:f>
        <x:v>-24</x:v>
      </x:c>
      <x:c r="E74" t="n">
        <x:f>Chart_Data!H74</x:f>
        <x:v>268.5791759815676</x:v>
      </x:c>
      <x:c r="F74" t="n">
        <x:f>Chart_Data!I74</x:f>
        <x:v>268.5791759815676</x:v>
      </x:c>
      <x:c r="G74" t="n">
        <x:f>Chart_Data!J74</x:f>
        <x:v>-111.48853690711687</x:v>
      </x:c>
      <x:c r="I74" t="n">
        <x:f>Scenario_Data!A74</x:f>
        <x:v>-0.4</x:v>
      </x:c>
      <x:c r="J74" t="n">
        <x:f>Scenario_Data!H74-(((SQRT((Inputs!$C$52+(Inputs!$H$6))^2+Inputs!$C$52^2-2*(Inputs!$C$52+(Inputs!$H$6))*Inputs!$C$52*COS(SQRT((Scenario_Data!T74)^2+Inputs!$C$6^2)/Inputs!$C$52)))-(Inputs!$H$6))*1000/Inputs!$C$12)</x:f>
        <x:v>-1.3369812749583616</x:v>
      </x:c>
      <x:c r="K74" t="n">
        <x:f>Scenario_Data!I74-(((SQRT((Inputs!$C$52+(Inputs!$H$7))^2+Inputs!$C$52^2-2*(Inputs!$C$52+(Inputs!$H$7))*Inputs!$C$52*COS(SQRT((Scenario_Data!U74)^2+Inputs!$C$6^2)/Inputs!$C$52)))-(Inputs!$H$7))*1000/Inputs!$C$12)</x:f>
        <x:v>-19518.31997454776</x:v>
      </x:c>
      <x:c r="L74" t="n">
        <x:f>Scenario_Data!J74-(((SQRT((Inputs!$C$52+(Inputs!$H$8))^2+Inputs!$C$52^2-2*(Inputs!$C$52+(Inputs!$H$8))*Inputs!$C$52*COS(SQRT((Scenario_Data!V74)^2+Inputs!$C$6^2)/Inputs!$C$52)))-(Inputs!$H$8))*1000/Inputs!$C$12)</x:f>
        <x:v>-51511.04432508859</x:v>
      </x:c>
      <x:c r="M74" t="n">
        <x:f>Scenario_Data!K74-(((SQRT((Inputs!$C$52+(Inputs!$H$9))^2+Inputs!$C$52^2-2*(Inputs!$C$52+(Inputs!$H$9))*Inputs!$C$52*COS(SQRT((Scenario_Data!W74)^2+Inputs!$C$6^2)/Inputs!$C$52)))-(Inputs!$H$9))*1000/Inputs!$C$12)</x:f>
        <x:v>-53987.34398363595</x:v>
      </x:c>
      <x:c r="O74" t="n">
        <x:f>Scenario_Data!T74</x:f>
        <x:v>-24</x:v>
      </x:c>
      <x:c r="P74" t="n">
        <x:f>2*(Scenario_Data!B74*1000)/Inputs!$C$21*1000000</x:f>
        <x:v>2672.782382003753</x:v>
      </x:c>
      <x:c r="Q74" t="n">
        <x:f>Scenario_Data!U74</x:f>
        <x:v>-160</x:v>
      </x:c>
      <x:c r="R74" t="n">
        <x:f>2*(Scenario_Data!C74*1000)/Inputs!$C$21*1000000</x:f>
        <x:v>623.097729830148</x:v>
      </x:c>
      <x:c r="S74" t="n">
        <x:f>Scenario_Data!V74</x:f>
        <x:v>-320</x:v>
      </x:c>
      <x:c r="T74" t="n">
        <x:f>2*(Scenario_Data!D74*1000)/Inputs!$C$21*1000000</x:f>
        <x:v>1263.5407926106002</x:v>
      </x:c>
      <x:c r="U74" t="n">
        <x:f>Scenario_Data!W74</x:f>
        <x:v>-320</x:v>
      </x:c>
      <x:c r="V74" t="n">
        <x:f>2*(Scenario_Data!E74*1000)/Inputs!$C$21*1000000</x:f>
        <x:v>1207.5020246173106</x:v>
      </x:c>
      <x:c r="X74" t="n">
        <x:f>Scenario_Data!T74</x:f>
        <x:v>-24</x:v>
      </x:c>
      <x:c r="Y74" t="n">
        <x: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x:f>
        <x:v>2673.5261534625206</x:v>
      </x:c>
      <x:c r="Z74" t="n">
        <x:f>Scenario_Data!U74</x:f>
        <x:v>-160</x:v>
      </x:c>
      <x:c r="AA74" t="n">
        <x: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x:f>
        <x:v>622.9558192945855</x:v>
      </x:c>
      <x:c r="AB74" t="n">
        <x:f>Scenario_Data!V74</x:f>
        <x:v>-320</x:v>
      </x:c>
      <x:c r="AC74" t="n">
        <x: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x:f>
        <x:v>1262.944790521118</x:v>
      </x:c>
      <x:c r="AD74" t="n">
        <x:f>Scenario_Data!W74</x:f>
        <x:v>-320</x:v>
      </x:c>
      <x:c r="AE74" t="n">
        <x: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x:f>
        <x:v>1206.9060225278283</x:v>
      </x:c>
      <x:c r="AG74" t="n">
        <x:f>Scenario_Data!T74</x:f>
        <x:v>-24</x:v>
      </x:c>
      <x:c r="AH74" t="n">
        <x:f>2*(SQRT((Inputs!$C$52+(Scenario_Data!B74))^2+Inputs!$C$52^2-2*(Inputs!$C$52+(Scenario_Data!B74))*Inputs!$C$52*COS(SQRT((Scenario_Data!T74)^2+Inputs!$C$6^2)/Inputs!$C$52))*1000)/Inputs!$C$21*1000000</x:f>
        <x:v>2685.318429856306</x:v>
      </x:c>
      <x:c r="AI74" t="n">
        <x:f>Scenario_Data!U74</x:f>
        <x:v>-160</x:v>
      </x:c>
      <x:c r="AJ74" t="n">
        <x:f>2*(SQRT((Inputs!$C$52+(Scenario_Data!C74))^2+Inputs!$C$52^2-2*(Inputs!$C$52+(Scenario_Data!C74))*Inputs!$C$52*COS(SQRT((Scenario_Data!U74)^2+Inputs!$C$6^2)/Inputs!$C$52))*1000)/Inputs!$C$21*1000000</x:f>
        <x:v>1274.4238323326915</x:v>
      </x:c>
      <x:c r="AK74" t="n">
        <x:f>Scenario_Data!V74</x:f>
        <x:v>-320</x:v>
      </x:c>
      <x:c r="AL74" t="n">
        <x:f>2*(SQRT((Inputs!$C$52+(Scenario_Data!D74))^2+Inputs!$C$52^2-2*(Inputs!$C$52+(Scenario_Data!D74))*Inputs!$C$52*COS(SQRT((Scenario_Data!V74)^2+Inputs!$C$6^2)/Inputs!$C$52))*1000)/Inputs!$C$21*1000000</x:f>
        <x:v>2592.311715433615</x:v>
      </x:c>
      <x:c r="AM74" t="n">
        <x:f>Scenario_Data!W74</x:f>
        <x:v>-320</x:v>
      </x:c>
      <x:c r="AN74" t="n">
        <x:f>2*(SQRT((Inputs!$C$52+(Scenario_Data!E74))^2+Inputs!$C$52^2-2*(Inputs!$C$52+(Scenario_Data!E74))*Inputs!$C$52*COS(SQRT((Scenario_Data!W74)^2+Inputs!$C$6^2)/Inputs!$C$52))*1000)/Inputs!$C$21*1000000</x:f>
        <x:v>2560.6670284536167</x:v>
      </x:c>
      <x:c r="AP74" t="n">
        <x:f>Scenario_Data!T74</x:f>
        <x:v>-24</x:v>
      </x:c>
      <x:c r="AQ74" t="n">
        <x: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x:f>
        <x:v>2683.537186227637</x:v>
      </x:c>
      <x:c r="AR74" t="n">
        <x:f>Scenario_Data!U74</x:f>
        <x:v>-160</x:v>
      </x:c>
      <x:c r="AS74" t="n">
        <x: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x:f>
        <x:v>1274.0147754263153</x:v>
      </x:c>
      <x:c r="AT74" t="n">
        <x:f>Scenario_Data!V74</x:f>
        <x:v>-320</x:v>
      </x:c>
      <x:c r="AU74" t="n">
        <x: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x:f>
        <x:v>2591.70764324169</x:v>
      </x:c>
      <x:c r="AV74" t="n">
        <x:f>Scenario_Data!W74</x:f>
        <x:v>-320</x:v>
      </x:c>
      <x:c r="AW74" t="n">
        <x: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x:f>
        <x:v>2560.088488449522</x:v>
      </x:c>
    </x:row>
    <x:row r="75">
      <x:c r="A75" t="n">
        <x:f>Chart_Data!K75</x:f>
        <x:v>-23.5</x:v>
      </x:c>
      <x:c r="B75" t="n">
        <x:f>Chart_Data!N75-Chart_Data!L75</x:f>
        <x:v>124.07412737469122</x:v>
      </x:c>
      <x:c r="D75" t="n">
        <x:f>Chart_Data!G75</x:f>
        <x:v>-23.5</x:v>
      </x:c>
      <x:c r="E75" t="n">
        <x:f>Chart_Data!H75</x:f>
        <x:v>273.93459884711217</x:v>
      </x:c>
      <x:c r="F75" t="n">
        <x:f>Chart_Data!I75</x:f>
        <x:v>273.93459884711217</x:v>
      </x:c>
      <x:c r="G75" t="n">
        <x:f>Chart_Data!J75</x:f>
        <x:v>-125.65162794647964</x:v>
      </x:c>
      <x:c r="I75" t="n">
        <x:f>Scenario_Data!A75</x:f>
        <x:v>-0.392</x:v>
      </x:c>
      <x:c r="J75" t="n">
        <x:f>Scenario_Data!H75-(((SQRT((Inputs!$C$52+(Inputs!$H$6))^2+Inputs!$C$52^2-2*(Inputs!$C$52+(Inputs!$H$6))*Inputs!$C$52*COS(SQRT((Scenario_Data!T75)^2+Inputs!$C$6^2)/Inputs!$C$52)))-(Inputs!$H$6))*1000/Inputs!$C$12)</x:f>
        <x:v>-1.2599122492363222</x:v>
      </x:c>
      <x:c r="K75" t="n">
        <x:f>Scenario_Data!I75-(((SQRT((Inputs!$C$52+(Inputs!$H$7))^2+Inputs!$C$52^2-2*(Inputs!$C$52+(Inputs!$H$7))*Inputs!$C$52*COS(SQRT((Scenario_Data!U75)^2+Inputs!$C$6^2)/Inputs!$C$52)))-(Inputs!$H$7))*1000/Inputs!$C$12)</x:f>
        <x:v>-18749.923928481905</x:v>
      </x:c>
      <x:c r="L75" t="n">
        <x:f>Scenario_Data!J75-(((SQRT((Inputs!$C$52+(Inputs!$H$8))^2+Inputs!$C$52^2-2*(Inputs!$C$52+(Inputs!$H$8))*Inputs!$C$52*COS(SQRT((Scenario_Data!V75)^2+Inputs!$C$6^2)/Inputs!$C$52)))-(Inputs!$H$8))*1000/Inputs!$C$12)</x:f>
        <x:v>-49745.97565061512</x:v>
      </x:c>
      <x:c r="M75" t="n">
        <x:f>Scenario_Data!K75-(((SQRT((Inputs!$C$52+(Inputs!$H$9))^2+Inputs!$C$52^2-2*(Inputs!$C$52+(Inputs!$H$9))*Inputs!$C$52*COS(SQRT((Scenario_Data!W75)^2+Inputs!$C$6^2)/Inputs!$C$52)))-(Inputs!$H$9))*1000/Inputs!$C$12)</x:f>
        <x:v>-52180.525354744386</x:v>
      </x:c>
      <x:c r="O75" t="n">
        <x:f>Scenario_Data!T75</x:f>
        <x:v>-23.520000000000003</x:v>
      </x:c>
      <x:c r="P75" t="n">
        <x:f>2*(Scenario_Data!B75*1000)/Inputs!$C$21*1000000</x:f>
        <x:v>2672.6133050351787</x:v>
      </x:c>
      <x:c r="Q75" t="n">
        <x:f>Scenario_Data!U75</x:f>
        <x:v>-156.8</x:v>
      </x:c>
      <x:c r="R75" t="n">
        <x:f>2*(Scenario_Data!C75*1000)/Inputs!$C$21*1000000</x:f>
        <x:v>607.6694564477671</x:v>
      </x:c>
      <x:c r="S75" t="n">
        <x:f>Scenario_Data!V75</x:f>
        <x:v>-313.6</x:v>
      </x:c>
      <x:c r="T75" t="n">
        <x:f>2*(Scenario_Data!D75*1000)/Inputs!$C$21*1000000</x:f>
        <x:v>1222.750973942113</x:v>
      </x:c>
      <x:c r="U75" t="n">
        <x:f>Scenario_Data!W75</x:f>
        <x:v>-313.6</x:v>
      </x:c>
      <x:c r="V75" t="n">
        <x:f>2*(Scenario_Data!E75*1000)/Inputs!$C$21*1000000</x:f>
        <x:v>1166.2895135273884</x:v>
      </x:c>
      <x:c r="X75" t="n">
        <x:f>Scenario_Data!T75</x:f>
        <x:v>-23.520000000000003</x:v>
      </x:c>
      <x:c r="Y75" t="n">
        <x: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x:f>
        <x:v>2673.5228751299887</x:v>
      </x:c>
      <x:c r="Z75" t="n">
        <x:f>Scenario_Data!U75</x:f>
        <x:v>-156.8</x:v>
      </x:c>
      <x:c r="AA75" t="n">
        <x: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x:f>
        <x:v>607.6984165072893</x:v>
      </x:c>
      <x:c r="AB75" t="n">
        <x:f>Scenario_Data!V75</x:f>
        <x:v>-313.6</x:v>
      </x:c>
      <x:c r="AC75" t="n">
        <x: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x:f>
        <x:v>1222.5976275941218</x:v>
      </x:c>
      <x:c r="AD75" t="n">
        <x:f>Scenario_Data!W75</x:f>
        <x:v>-313.6</x:v>
      </x:c>
      <x:c r="AE75" t="n">
        <x: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x:f>
        <x:v>1166.1361671793973</x:v>
      </x:c>
      <x:c r="AG75" t="n">
        <x:f>Scenario_Data!T75</x:f>
        <x:v>-23.520000000000003</x:v>
      </x:c>
      <x:c r="AH75" t="n">
        <x:f>2*(SQRT((Inputs!$C$52+(Scenario_Data!B75))^2+Inputs!$C$52^2-2*(Inputs!$C$52+(Scenario_Data!B75))*Inputs!$C$52*COS(SQRT((Scenario_Data!T75)^2+Inputs!$C$6^2)/Inputs!$C$52))*1000)/Inputs!$C$21*1000000</x:f>
        <x:v>2684.9124368195003</x:v>
      </x:c>
      <x:c r="AI75" t="n">
        <x:f>Scenario_Data!U75</x:f>
        <x:v>-156.8</x:v>
      </x:c>
      <x:c r="AJ75" t="n">
        <x:f>2*(SQRT((Inputs!$C$52+(Scenario_Data!C75))^2+Inputs!$C$52^2-2*(Inputs!$C$52+(Scenario_Data!C75))*Inputs!$C$52*COS(SQRT((Scenario_Data!U75)^2+Inputs!$C$6^2)/Inputs!$C$52))*1000)/Inputs!$C$21*1000000</x:f>
        <x:v>1247.305949695761</x:v>
      </x:c>
      <x:c r="AK75" t="n">
        <x:f>Scenario_Data!V75</x:f>
        <x:v>-313.6</x:v>
      </x:c>
      <x:c r="AL75" t="n">
        <x:f>2*(SQRT((Inputs!$C$52+(Scenario_Data!D75))^2+Inputs!$C$52^2-2*(Inputs!$C$52+(Scenario_Data!D75))*Inputs!$C$52*COS(SQRT((Scenario_Data!V75)^2+Inputs!$C$6^2)/Inputs!$C$52))*1000)/Inputs!$C$21*1000000</x:f>
        <x:v>2529.918895127145</x:v>
      </x:c>
      <x:c r="AM75" t="n">
        <x:f>Scenario_Data!W75</x:f>
        <x:v>-313.6</x:v>
      </x:c>
      <x:c r="AN75" t="n">
        <x:f>2*(SQRT((Inputs!$C$52+(Scenario_Data!E75))^2+Inputs!$C$52^2-2*(Inputs!$C$52+(Scenario_Data!E75))*Inputs!$C$52*COS(SQRT((Scenario_Data!W75)^2+Inputs!$C$6^2)/Inputs!$C$52))*1000)/Inputs!$C$21*1000000</x:f>
        <x:v>2498.3588768603126</x:v>
      </x:c>
      <x:c r="AP75" t="n">
        <x:f>Scenario_Data!T75</x:f>
        <x:v>-23.520000000000003</x:v>
      </x:c>
      <x:c r="AQ75" t="n">
        <x: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x:f>
        <x:v>2682.959399881261</x:v>
      </x:c>
      <x:c r="AR75" t="n">
        <x:f>Scenario_Data!U75</x:f>
        <x:v>-156.8</x:v>
      </x:c>
      <x:c r="AS75" t="n">
        <x: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x:f>
        <x:v>1246.7289435174778</x:v>
      </x:c>
      <x:c r="AT75" t="n">
        <x:f>Scenario_Data!V75</x:f>
        <x:v>-313.6</x:v>
      </x:c>
      <x:c r="AU75" t="n">
        <x: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x:f>
        <x:v>2529.6567125397137</x:v>
      </x:c>
      <x:c r="AV75" t="n">
        <x:f>Scenario_Data!W75</x:f>
        <x:v>-313.6</x:v>
      </x:c>
      <x:c r="AW75" t="n">
        <x: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x:f>
        <x:v>2498.1082649566547</x:v>
      </x:c>
    </x:row>
    <x:row r="76">
      <x:c r="A76" t="n">
        <x:f>Chart_Data!K76</x:f>
        <x:v>-23</x:v>
      </x:c>
      <x:c r="B76" t="n">
        <x:f>Chart_Data!N76-Chart_Data!L76</x:f>
        <x:v>130.9673287407926</x:v>
      </x:c>
      <x:c r="D76" t="n">
        <x:f>Chart_Data!G76</x:f>
        <x:v>-23</x:v>
      </x:c>
      <x:c r="E76" t="n">
        <x:f>Chart_Data!H76</x:f>
        <x:v>279.55588840773</x:v>
      </x:c>
      <x:c r="F76" t="n">
        <x:f>Chart_Data!I76</x:f>
        <x:v>279.55588840773</x:v>
      </x:c>
      <x:c r="G76" t="n">
        <x:f>Chart_Data!J76</x:f>
        <x:v>-132.5457898426781</x:v>
      </x:c>
      <x:c r="I76" t="n">
        <x:f>Scenario_Data!A76</x:f>
        <x:v>-0.383</x:v>
      </x:c>
      <x:c r="J76" t="n">
        <x:f>Scenario_Data!H76-(((SQRT((Inputs!$C$52+(Inputs!$H$6))^2+Inputs!$C$52^2-2*(Inputs!$C$52+(Inputs!$H$6))*Inputs!$C$52*COS(SQRT((Scenario_Data!T76)^2+Inputs!$C$6^2)/Inputs!$C$52)))-(Inputs!$H$6))*1000/Inputs!$C$12)</x:f>
        <x:v>-1.1773600760669751</x:v>
      </x:c>
      <x:c r="K76" t="n">
        <x:f>Scenario_Data!I76-(((SQRT((Inputs!$C$52+(Inputs!$H$7))^2+Inputs!$C$52^2-2*(Inputs!$C$52+(Inputs!$H$7))*Inputs!$C$52*COS(SQRT((Scenario_Data!U76)^2+Inputs!$C$6^2)/Inputs!$C$52)))-(Inputs!$H$7))*1000/Inputs!$C$12)</x:f>
        <x:v>-17899.13841594477</x:v>
      </x:c>
      <x:c r="L76" t="n">
        <x:f>Scenario_Data!J76-(((SQRT((Inputs!$C$52+(Inputs!$H$8))^2+Inputs!$C$52^2-2*(Inputs!$C$52+(Inputs!$H$8))*Inputs!$C$52*COS(SQRT((Scenario_Data!V76)^2+Inputs!$C$6^2)/Inputs!$C$52)))-(Inputs!$H$8))*1000/Inputs!$C$12)</x:f>
        <x:v>-47778.57575572333</x:v>
      </x:c>
      <x:c r="M76" t="n">
        <x:f>Scenario_Data!K76-(((SQRT((Inputs!$C$52+(Inputs!$H$9))^2+Inputs!$C$52^2-2*(Inputs!$C$52+(Inputs!$H$9))*Inputs!$C$52*COS(SQRT((Scenario_Data!W76)^2+Inputs!$C$6^2)/Inputs!$C$52)))-(Inputs!$H$9))*1000/Inputs!$C$12)</x:f>
        <x:v>-50165.37147333971</x:v>
      </x:c>
      <x:c r="O76" t="n">
        <x:f>Scenario_Data!T76</x:f>
        <x:v>-22.980000000000004</x:v>
      </x:c>
      <x:c r="P76" t="n">
        <x:f>2*(Scenario_Data!B76*1000)/Inputs!$C$21*1000000</x:f>
        <x:v>2672.427176270058</x:v>
      </x:c>
      <x:c r="Q76" t="n">
        <x:f>Scenario_Data!U76</x:f>
        <x:v>-153.2</x:v>
      </x:c>
      <x:c r="R76" t="n">
        <x:f>2*(Scenario_Data!C76*1000)/Inputs!$C$21*1000000</x:f>
        <x:v>590.685206630515</x:v>
      </x:c>
      <x:c r="S76" t="n">
        <x:f>Scenario_Data!V76</x:f>
        <x:v>-306.4</x:v>
      </x:c>
      <x:c r="T76" t="n">
        <x:f>2*(Scenario_Data!D76*1000)/Inputs!$C$21*1000000</x:f>
        <x:v>1177.8474093567754</x:v>
      </x:c>
      <x:c r="U76" t="n">
        <x:f>Scenario_Data!W76</x:f>
        <x:v>-306.4</x:v>
      </x:c>
      <x:c r="V76" t="n">
        <x:f>2*(Scenario_Data!E76*1000)/Inputs!$C$21*1000000</x:f>
        <x:v>1120.9206270292493</x:v>
      </x:c>
      <x:c r="X76" t="n">
        <x:f>Scenario_Data!T76</x:f>
        <x:v>-22.980000000000004</x:v>
      </x:c>
      <x:c r="Y76" t="n">
        <x: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x:f>
        <x:v>2673.292108029348</x:v>
      </x:c>
      <x:c r="Z76" t="n">
        <x:f>Scenario_Data!U76</x:f>
        <x:v>-153.2</x:v>
      </x:c>
      <x:c r="AA76" t="n">
        <x: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x:f>
        <x:v>590.6619711076781</x:v>
      </x:c>
      <x:c r="AB76" t="n">
        <x:f>Scenario_Data!V76</x:f>
        <x:v>-306.4</x:v>
      </x:c>
      <x:c r="AC76" t="n">
        <x: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x:f>
        <x:v>1177.579756144795</x:v>
      </x:c>
      <x:c r="AD76" t="n">
        <x:f>Scenario_Data!W76</x:f>
        <x:v>-306.4</x:v>
      </x:c>
      <x:c r="AE76" t="n">
        <x: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x:f>
        <x:v>1120.6529738172692</x:v>
      </x:c>
      <x:c r="AG76" t="n">
        <x:f>Scenario_Data!T76</x:f>
        <x:v>-22.980000000000004</x:v>
      </x:c>
      <x:c r="AH76" t="n">
        <x:f>2*(SQRT((Inputs!$C$52+(Scenario_Data!B76))^2+Inputs!$C$52^2-2*(Inputs!$C$52+(Scenario_Data!B76))*Inputs!$C$52*COS(SQRT((Scenario_Data!T76)^2+Inputs!$C$6^2)/Inputs!$C$52))*1000)/Inputs!$C$21*1000000</x:f>
        <x:v>2684.465446445234</x:v>
      </x:c>
      <x:c r="AI76" t="n">
        <x:f>Scenario_Data!U76</x:f>
        <x:v>-153.2</x:v>
      </x:c>
      <x:c r="AJ76" t="n">
        <x:f>2*(SQRT((Inputs!$C$52+(Scenario_Data!C76))^2+Inputs!$C$52^2-2*(Inputs!$C$52+(Scenario_Data!C76))*Inputs!$C$52*COS(SQRT((Scenario_Data!U76)^2+Inputs!$C$6^2)/Inputs!$C$52))*1000)/Inputs!$C$21*1000000</x:f>
        <x:v>1217.0425226665805</x:v>
      </x:c>
      <x:c r="AK76" t="n">
        <x:f>Scenario_Data!V76</x:f>
        <x:v>-306.4</x:v>
      </x:c>
      <x:c r="AL76" t="n">
        <x:f>2*(SQRT((Inputs!$C$52+(Scenario_Data!D76))^2+Inputs!$C$52^2-2*(Inputs!$C$52+(Scenario_Data!D76))*Inputs!$C$52*COS(SQRT((Scenario_Data!V76)^2+Inputs!$C$6^2)/Inputs!$C$52))*1000)/Inputs!$C$21*1000000</x:f>
        <x:v>2460.503062399682</x:v>
      </x:c>
      <x:c r="AM76" t="n">
        <x:f>Scenario_Data!W76</x:f>
        <x:v>-306.4</x:v>
      </x:c>
      <x:c r="AN76" t="n">
        <x:f>2*(SQRT((Inputs!$C$52+(Scenario_Data!E76))^2+Inputs!$C$52^2-2*(Inputs!$C$52+(Scenario_Data!E76))*Inputs!$C$52*COS(SQRT((Scenario_Data!W76)^2+Inputs!$C$6^2)/Inputs!$C$52))*1000)/Inputs!$C$21*1000000</x:f>
        <x:v>2429.0518438601966</x:v>
      </x:c>
      <x:c r="AP76" t="n">
        <x:f>Scenario_Data!T76</x:f>
        <x:v>-22.980000000000004</x:v>
      </x:c>
      <x:c r="AQ76" t="n">
        <x: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x:f>
        <x:v>2682.5936759748174</x:v>
      </x:c>
      <x:c r="AR76" t="n">
        <x:f>Scenario_Data!U76</x:f>
        <x:v>-153.2</x:v>
      </x:c>
      <x:c r="AS76" t="n">
        <x: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x:f>
        <x:v>1216.5900679551614</x:v>
      </x:c>
      <x:c r="AT76" t="n">
        <x:f>Scenario_Data!V76</x:f>
        <x:v>-306.4</x:v>
      </x:c>
      <x:c r="AU76" t="n">
        <x: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x:f>
        <x:v>2460.1080312741733</x:v>
      </x:c>
      <x:c r="AV76" t="n">
        <x:f>Scenario_Data!W76</x:f>
        <x:v>-306.4</x:v>
      </x:c>
      <x:c r="AW76" t="n">
        <x: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x:f>
        <x:v>2428.67513320416</x:v>
      </x:c>
    </x:row>
    <x:row r="77">
      <x:c r="A77" t="n">
        <x:f>Chart_Data!K77</x:f>
        <x:v>-22.5</x:v>
      </x:c>
      <x:c r="B77" t="n">
        <x:f>Chart_Data!N77-Chart_Data!L77</x:f>
        <x:v>136.70768045990502</x:v>
      </x:c>
      <x:c r="D77" t="n">
        <x:f>Chart_Data!G77</x:f>
        <x:v>-22.5</x:v>
      </x:c>
      <x:c r="E77" t="n">
        <x:f>Chart_Data!H77</x:f>
        <x:v>286.69936407981004</x:v>
      </x:c>
      <x:c r="F77" t="n">
        <x:f>Chart_Data!I77</x:f>
        <x:v>286.69936407981004</x:v>
      </x:c>
      <x:c r="G77" t="n">
        <x:f>Chart_Data!J77</x:f>
        <x:v>-138.29494668428998</x:v>
      </x:c>
      <x:c r="I77" t="n">
        <x:f>Scenario_Data!A77</x:f>
        <x:v>-0.375</x:v>
      </x:c>
      <x:c r="J77" t="n">
        <x:f>Scenario_Data!H77-(((SQRT((Inputs!$C$52+(Inputs!$H$6))^2+Inputs!$C$52^2-2*(Inputs!$C$52+(Inputs!$H$6))*Inputs!$C$52*COS(SQRT((Scenario_Data!T77)^2+Inputs!$C$6^2)/Inputs!$C$52)))-(Inputs!$H$6))*1000/Inputs!$C$12)</x:f>
        <x:v>-1.1075409744717035</x:v>
      </x:c>
      <x:c r="K77" t="n">
        <x:f>Scenario_Data!I77-(((SQRT((Inputs!$C$52+(Inputs!$H$7))^2+Inputs!$C$52^2-2*(Inputs!$C$52+(Inputs!$H$7))*Inputs!$C$52*COS(SQRT((Scenario_Data!U77)^2+Inputs!$C$6^2)/Inputs!$C$52)))-(Inputs!$H$7))*1000/Inputs!$C$12)</x:f>
        <x:v>-17155.30788033462</x:v>
      </x:c>
      <x:c r="L77" t="n">
        <x:f>Scenario_Data!J77-(((SQRT((Inputs!$C$52+(Inputs!$H$8))^2+Inputs!$C$52^2-2*(Inputs!$C$52+(Inputs!$H$8))*Inputs!$C$52*COS(SQRT((Scenario_Data!V77)^2+Inputs!$C$6^2)/Inputs!$C$52)))-(Inputs!$H$8))*1000/Inputs!$C$12)</x:f>
        <x:v>-46046.86225919663</x:v>
      </x:c>
      <x:c r="M77" t="n">
        <x:f>Scenario_Data!K77-(((SQRT((Inputs!$C$52+(Inputs!$H$9))^2+Inputs!$C$52^2-2*(Inputs!$C$52+(Inputs!$H$9))*Inputs!$C$52*COS(SQRT((Scenario_Data!W77)^2+Inputs!$C$6^2)/Inputs!$C$52)))-(Inputs!$H$9))*1000/Inputs!$C$12)</x:f>
        <x:v>-48390.51527485564</x:v>
      </x:c>
      <x:c r="O77" t="n">
        <x:f>Scenario_Data!T77</x:f>
        <x:v>-22.5</x:v>
      </x:c>
      <x:c r="P77" t="n">
        <x:f>2*(Scenario_Data!B77*1000)/Inputs!$C$21*1000000</x:f>
        <x:v>2672.2653576561956</x:v>
      </x:c>
      <x:c r="Q77" t="n">
        <x:f>Scenario_Data!U77</x:f>
        <x:v>-150</x:v>
      </x:c>
      <x:c r="R77" t="n">
        <x:f>2*(Scenario_Data!C77*1000)/Inputs!$C$21*1000000</x:f>
        <x:v>575.9192581155594</x:v>
      </x:c>
      <x:c r="S77" t="n">
        <x:f>Scenario_Data!V77</x:f>
        <x:v>-300</x:v>
      </x:c>
      <x:c r="T77" t="n">
        <x:f>2*(Scenario_Data!D77*1000)/Inputs!$C$21*1000000</x:f>
        <x:v>1138.808668762441</x:v>
      </x:c>
      <x:c r="U77" t="n">
        <x:f>Scenario_Data!W77</x:f>
        <x:v>-300</x:v>
      </x:c>
      <x:c r="V77" t="n">
        <x:f>2*(Scenario_Data!E77*1000)/Inputs!$C$21*1000000</x:f>
        <x:v>1081.4773399002586</x:v>
      </x:c>
      <x:c r="X77" t="n">
        <x:f>Scenario_Data!T77</x:f>
        <x:v>-22.5</x:v>
      </x:c>
      <x:c r="Y77" t="n">
        <x: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x:f>
        <x:v>2673.18796223142</x:v>
      </x:c>
      <x:c r="Z77" t="n">
        <x:f>Scenario_Data!U77</x:f>
        <x:v>-150</x:v>
      </x:c>
      <x:c r="AA77" t="n">
        <x: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x:f>
        <x:v>576.2225881312249</x:v>
      </x:c>
      <x:c r="AB77" t="n">
        <x:f>Scenario_Data!V77</x:f>
        <x:v>-300</x:v>
      </x:c>
      <x:c r="AC77" t="n">
        <x: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x:f>
        <x:v>1138.4256657523622</x:v>
      </x:c>
      <x:c r="AD77" t="n">
        <x:f>Scenario_Data!W77</x:f>
        <x:v>-300</x:v>
      </x:c>
      <x:c r="AE77" t="n">
        <x: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x:f>
        <x:v>1081.0943368901799</x:v>
      </x:c>
      <x:c r="AG77" t="n">
        <x:f>Scenario_Data!T77</x:f>
        <x:v>-22.5</x:v>
      </x:c>
      <x:c r="AH77" t="n">
        <x:f>2*(SQRT((Inputs!$C$52+(Scenario_Data!B77))^2+Inputs!$C$52^2-2*(Inputs!$C$52+(Scenario_Data!B77))*Inputs!$C$52*COS(SQRT((Scenario_Data!T77)^2+Inputs!$C$6^2)/Inputs!$C$52))*1000)/Inputs!$C$21*1000000</x:f>
        <x:v>2684.0767928598584</x:v>
      </x:c>
      <x:c r="AI77" t="n">
        <x:f>Scenario_Data!U77</x:f>
        <x:v>-150</x:v>
      </x:c>
      <x:c r="AJ77" t="n">
        <x:f>2*(SQRT((Inputs!$C$52+(Scenario_Data!C77))^2+Inputs!$C$52^2-2*(Inputs!$C$52+(Scenario_Data!C77))*Inputs!$C$52*COS(SQRT((Scenario_Data!U77)^2+Inputs!$C$6^2)/Inputs!$C$52))*1000)/Inputs!$C$21*1000000</x:f>
        <x:v>1190.3573781400514</x:v>
      </x:c>
      <x:c r="AK77" t="n">
        <x:f>Scenario_Data!V77</x:f>
        <x:v>-300</x:v>
      </x:c>
      <x:c r="AL77" t="n">
        <x:f>2*(SQRT((Inputs!$C$52+(Scenario_Data!D77))^2+Inputs!$C$52^2-2*(Inputs!$C$52+(Scenario_Data!D77))*Inputs!$C$52*COS(SQRT((Scenario_Data!V77)^2+Inputs!$C$6^2)/Inputs!$C$52))*1000)/Inputs!$C$21*1000000</x:f>
        <x:v>2399.4815554213374</x:v>
      </x:c>
      <x:c r="AM77" t="n">
        <x:f>Scenario_Data!W77</x:f>
        <x:v>-300</x:v>
      </x:c>
      <x:c r="AN77" t="n">
        <x:f>2*(SQRT((Inputs!$C$52+(Scenario_Data!E77))^2+Inputs!$C$52^2-2*(Inputs!$C$52+(Scenario_Data!E77))*Inputs!$C$52*COS(SQRT((Scenario_Data!W77)^2+Inputs!$C$6^2)/Inputs!$C$52))*1000)/Inputs!$C$21*1000000</x:f>
        <x:v>2368.1387047809635</x:v>
      </x:c>
      <x:c r="AP77" t="n">
        <x:f>Scenario_Data!T77</x:f>
        <x:v>-22.5</x:v>
      </x:c>
      <x:c r="AQ77" t="n">
        <x: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x:f>
        <x:v>2682.174729680835</x:v>
      </x:c>
      <x:c r="AR77" t="n">
        <x:f>Scenario_Data!U77</x:f>
        <x:v>-150</x:v>
      </x:c>
      <x:c r="AS77" t="n">
        <x: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x:f>
        <x:v>1190.1745889310876</x:v>
      </x:c>
      <x:c r="AT77" t="n">
        <x:f>Scenario_Data!V77</x:f>
        <x:v>-300</x:v>
      </x:c>
      <x:c r="AU77" t="n">
        <x: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x:f>
        <x:v>2399.037857844189</x:v>
      </x:c>
      <x:c r="AV77" t="n">
        <x:f>Scenario_Data!W77</x:f>
        <x:v>-300</x:v>
      </x:c>
      <x:c r="AW77" t="n">
        <x: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x:f>
        <x:v>2367.7165122313922</x:v>
      </x:c>
    </x:row>
    <x:row r="78">
      <x:c r="A78" t="n">
        <x:f>Chart_Data!K78</x:f>
        <x:v>-22</x:v>
      </x:c>
      <x:c r="B78" t="n">
        <x:f>Chart_Data!N78-Chart_Data!L78</x:f>
        <x:v>142.38034814799494</x:v>
      </x:c>
      <x:c r="D78" t="n">
        <x:f>Chart_Data!G78</x:f>
        <x:v>-22</x:v>
      </x:c>
      <x:c r="E78" t="n">
        <x:f>Chart_Data!H78</x:f>
        <x:v>316.60820817766927</x:v>
      </x:c>
      <x:c r="F78" t="n">
        <x:f>Chart_Data!I78</x:f>
        <x:v>316.60820817766927</x:v>
      </x:c>
      <x:c r="G78" t="n">
        <x:f>Chart_Data!J78</x:f>
        <x:v>-144.0992283446906</x:v>
      </x:c>
      <x:c r="I78" t="n">
        <x:f>Scenario_Data!A78</x:f>
        <x:v>-0.367</x:v>
      </x:c>
      <x:c r="J78" t="n">
        <x:f>Scenario_Data!H78-(((SQRT((Inputs!$C$52+(Inputs!$H$6))^2+Inputs!$C$52^2-2*(Inputs!$C$52+(Inputs!$H$6))*Inputs!$C$52*COS(SQRT((Scenario_Data!T78)^2+Inputs!$C$6^2)/Inputs!$C$52)))-(Inputs!$H$6))*1000/Inputs!$C$12)</x:f>
        <x:v>-1.0409543459660426</x:v>
      </x:c>
      <x:c r="K78" t="n">
        <x:f>Scenario_Data!I78-(((SQRT((Inputs!$C$52+(Inputs!$H$7))^2+Inputs!$C$52^2-2*(Inputs!$C$52+(Inputs!$H$7))*Inputs!$C$52*COS(SQRT((Scenario_Data!U78)^2+Inputs!$C$6^2)/Inputs!$C$52)))-(Inputs!$H$7))*1000/Inputs!$C$12)</x:f>
        <x:v>-16423.437974026107</x:v>
      </x:c>
      <x:c r="L78" t="n">
        <x:f>Scenario_Data!J78-(((SQRT((Inputs!$C$52+(Inputs!$H$8))^2+Inputs!$C$52^2-2*(Inputs!$C$52+(Inputs!$H$8))*Inputs!$C$52*COS(SQRT((Scenario_Data!V78)^2+Inputs!$C$6^2)/Inputs!$C$52)))-(Inputs!$H$8))*1000/Inputs!$C$12)</x:f>
        <x:v>-44332.01768741841</x:v>
      </x:c>
      <x:c r="M78" t="n">
        <x:f>Scenario_Data!K78-(((SQRT((Inputs!$C$52+(Inputs!$H$9))^2+Inputs!$C$52^2-2*(Inputs!$C$52+(Inputs!$H$9))*Inputs!$C$52*COS(SQRT((Scenario_Data!W78)^2+Inputs!$C$6^2)/Inputs!$C$52)))-(Inputs!$H$9))*1000/Inputs!$C$12)</x:f>
        <x:v>-46631.87794663328</x:v>
      </x:c>
      <x:c r="O78" t="n">
        <x:f>Scenario_Data!T78</x:f>
        <x:v>-22.019999999999996</x:v>
      </x:c>
      <x:c r="P78" t="n">
        <x:f>2*(Scenario_Data!B78*1000)/Inputs!$C$21*1000000</x:f>
        <x:v>2672.106954738668</x:v>
      </x:c>
      <x:c r="Q78" t="n">
        <x:f>Scenario_Data!U78</x:f>
        <x:v>-146.8</x:v>
      </x:c>
      <x:c r="R78" t="n">
        <x:f>2*(Scenario_Data!C78*1000)/Inputs!$C$21*1000000</x:f>
        <x:v>561.464991891157</x:v>
      </x:c>
      <x:c r="S78" t="n">
        <x:f>Scenario_Data!V78</x:f>
        <x:v>-293.6</x:v>
      </x:c>
      <x:c r="T78" t="n">
        <x:f>2*(Scenario_Data!D78*1000)/Inputs!$C$21*1000000</x:f>
        <x:v>1100.593964908884</x:v>
      </x:c>
      <x:c r="U78" t="n">
        <x:f>Scenario_Data!W78</x:f>
        <x:v>-293.6</x:v>
      </x:c>
      <x:c r="V78" t="n">
        <x:f>2*(Scenario_Data!E78*1000)/Inputs!$C$21*1000000</x:f>
        <x:v>1042.8666287528822</x:v>
      </x:c>
      <x:c r="X78" t="n">
        <x:f>Scenario_Data!T78</x:f>
        <x:v>-22.019999999999996</x:v>
      </x:c>
      <x:c r="Y78" t="n">
        <x: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x:f>
        <x:v>2673.1305400369843</x:v>
      </x:c>
      <x:c r="Z78" t="n">
        <x:f>Scenario_Data!U78</x:f>
        <x:v>-146.8</x:v>
      </x:c>
      <x:c r="AA78" t="n">
        <x: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x:f>
        <x:v>561.8222462323213</x:v>
      </x:c>
      <x:c r="AB78" t="n">
        <x:f>Scenario_Data!V78</x:f>
        <x:v>-293.6</x:v>
      </x:c>
      <x:c r="AC78" t="n">
        <x: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x:f>
        <x:v>1100.5896963997259</x:v>
      </x:c>
      <x:c r="AD78" t="n">
        <x:f>Scenario_Data!W78</x:f>
        <x:v>-293.6</x:v>
      </x:c>
      <x:c r="AE78" t="n">
        <x: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x:f>
        <x:v>1042.862360243724</x:v>
      </x:c>
      <x:c r="AG78" t="n">
        <x:f>Scenario_Data!T78</x:f>
        <x:v>-22.019999999999996</x:v>
      </x:c>
      <x:c r="AH78" t="n">
        <x:f>2*(SQRT((Inputs!$C$52+(Scenario_Data!B78))^2+Inputs!$C$52^2-2*(Inputs!$C$52+(Scenario_Data!B78))*Inputs!$C$52*COS(SQRT((Scenario_Data!T78)^2+Inputs!$C$6^2)/Inputs!$C$52))*1000)/Inputs!$C$21*1000000</x:f>
        <x:v>2683.69630309907</x:v>
      </x:c>
      <x:c r="AI78" t="n">
        <x:f>Scenario_Data!U78</x:f>
        <x:v>-146.8</x:v>
      </x:c>
      <x:c r="AJ78" t="n">
        <x:f>2*(SQRT((Inputs!$C$52+(Scenario_Data!C78))^2+Inputs!$C$52^2-2*(Inputs!$C$52+(Scenario_Data!C78))*Inputs!$C$52*COS(SQRT((Scenario_Data!U78)^2+Inputs!$C$6^2)/Inputs!$C$52))*1000)/Inputs!$C$21*1000000</x:f>
        <x:v>1163.8740325347778</x:v>
      </x:c>
      <x:c r="AK78" t="n">
        <x:f>Scenario_Data!V78</x:f>
        <x:v>-293.6</x:v>
      </x:c>
      <x:c r="AL78" t="n">
        <x:f>2*(SQRT((Inputs!$C$52+(Scenario_Data!D78))^2+Inputs!$C$52^2-2*(Inputs!$C$52+(Scenario_Data!D78))*Inputs!$C$52*COS(SQRT((Scenario_Data!V78)^2+Inputs!$C$6^2)/Inputs!$C$52))*1000)/Inputs!$C$21*1000000</x:f>
        <x:v>2339.0933871403463</x:v>
      </x:c>
      <x:c r="AM78" t="n">
        <x:f>Scenario_Data!W78</x:f>
        <x:v>-293.6</x:v>
      </x:c>
      <x:c r="AN78" t="n">
        <x:f>2*(SQRT((Inputs!$C$52+(Scenario_Data!E78))^2+Inputs!$C$52^2-2*(Inputs!$C$52+(Scenario_Data!E78))*Inputs!$C$52*COS(SQRT((Scenario_Data!W78)^2+Inputs!$C$6^2)/Inputs!$C$52))*1000)/Inputs!$C$21*1000000</x:f>
        <x:v>2307.869477325939</x:v>
      </x:c>
      <x:c r="AP78" t="n">
        <x:f>Scenario_Data!T78</x:f>
        <x:v>-22.019999999999996</x:v>
      </x:c>
      <x:c r="AQ78" t="n">
        <x: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x:f>
        <x:v>2681.633377970777</x:v>
      </x:c>
      <x:c r="AR78" t="n">
        <x:f>Scenario_Data!U78</x:f>
        <x:v>-146.8</x:v>
      </x:c>
      <x:c r="AS78" t="n">
        <x: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x:f>
        <x:v>1163.6467818706817</x:v>
      </x:c>
      <x:c r="AT78" t="n">
        <x:f>Scenario_Data!V78</x:f>
        <x:v>-293.6</x:v>
      </x:c>
      <x:c r="AU78" t="n">
        <x: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x:f>
        <x:v>2338.848545673518</x:v>
      </x:c>
      <x:c r="AV78" t="n">
        <x:f>Scenario_Data!W78</x:f>
        <x:v>-293.6</x:v>
      </x:c>
      <x:c r="AW78" t="n">
        <x: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x:f>
        <x:v>2307.637032802526</x:v>
      </x:c>
    </x:row>
    <x:row r="79">
      <x:c r="A79" t="n">
        <x:f>Chart_Data!K79</x:f>
        <x:v>-21.5</x:v>
      </x:c>
      <x:c r="B79" t="n">
        <x:f>Chart_Data!N79-Chart_Data!L79</x:f>
        <x:v>155.16461387832436</x:v>
      </x:c>
      <x:c r="D79" t="n">
        <x:f>Chart_Data!G79</x:f>
        <x:v>-21.5</x:v>
      </x:c>
      <x:c r="E79" t="n">
        <x:f>Chart_Data!H79</x:f>
        <x:v>332.44947759769417</x:v>
      </x:c>
      <x:c r="F79" t="n">
        <x:f>Chart_Data!I79</x:f>
        <x:v>332.44947759769417</x:v>
      </x:c>
      <x:c r="G79" t="n">
        <x:f>Chart_Data!J79</x:f>
        <x:v>-156.9345481530768</x:v>
      </x:c>
      <x:c r="I79" t="n">
        <x:f>Scenario_Data!A79</x:f>
        <x:v>-0.358</x:v>
      </x:c>
      <x:c r="J79" t="n">
        <x:f>Scenario_Data!H79-(((SQRT((Inputs!$C$52+(Inputs!$H$6))^2+Inputs!$C$52^2-2*(Inputs!$C$52+(Inputs!$H$6))*Inputs!$C$52*COS(SQRT((Scenario_Data!T79)^2+Inputs!$C$6^2)/Inputs!$C$52)))-(Inputs!$H$6))*1000/Inputs!$C$12)</x:f>
        <x:v>-0.9697693759256936</x:v>
      </x:c>
      <x:c r="K79" t="n">
        <x:f>Scenario_Data!I79-(((SQRT((Inputs!$C$52+(Inputs!$H$7))^2+Inputs!$C$52^2-2*(Inputs!$C$52+(Inputs!$H$7))*Inputs!$C$52*COS(SQRT((Scenario_Data!U79)^2+Inputs!$C$6^2)/Inputs!$C$52)))-(Inputs!$H$7))*1000/Inputs!$C$12)</x:f>
        <x:v>-15614.70610330964</x:v>
      </x:c>
      <x:c r="L79" t="n">
        <x:f>Scenario_Data!J79-(((SQRT((Inputs!$C$52+(Inputs!$H$8))^2+Inputs!$C$52^2-2*(Inputs!$C$52+(Inputs!$H$8))*Inputs!$C$52*COS(SQRT((Scenario_Data!V79)^2+Inputs!$C$6^2)/Inputs!$C$52)))-(Inputs!$H$8))*1000/Inputs!$C$12)</x:f>
        <x:v>-42423.945096951415</x:v>
      </x:c>
      <x:c r="M79" t="n">
        <x:f>Scenario_Data!K79-(((SQRT((Inputs!$C$52+(Inputs!$H$9))^2+Inputs!$C$52^2-2*(Inputs!$C$52+(Inputs!$H$9))*Inputs!$C$52*COS(SQRT((Scenario_Data!W79)^2+Inputs!$C$6^2)/Inputs!$C$52)))-(Inputs!$H$9))*1000/Inputs!$C$12)</x:f>
        <x:v>-44673.766867657614</x:v>
      </x:c>
      <x:c r="O79" t="n">
        <x:f>Scenario_Data!T79</x:f>
        <x:v>-21.479999999999997</x:v>
      </x:c>
      <x:c r="P79" t="n">
        <x:f>2*(Scenario_Data!B79*1000)/Inputs!$C$21*1000000</x:f>
        <x:v>2671.932834280975</x:v>
      </x:c>
      <x:c r="Q79" t="n">
        <x:f>Scenario_Data!U79</x:f>
        <x:v>-143.2</x:v>
      </x:c>
      <x:c r="R79" t="n">
        <x:f>2*(Scenario_Data!C79*1000)/Inputs!$C$21*1000000</x:f>
        <x:v>545.576500126631</x:v>
      </x:c>
      <x:c r="S79" t="n">
        <x:f>Scenario_Data!V79</x:f>
        <x:v>-286.4</x:v>
      </x:c>
      <x:c r="T79" t="n">
        <x:f>2*(Scenario_Data!D79*1000)/Inputs!$C$21*1000000</x:f>
        <x:v>1058.5874044903424</x:v>
      </x:c>
      <x:c r="U79" t="n">
        <x:f>Scenario_Data!W79</x:f>
        <x:v>-286.4</x:v>
      </x:c>
      <x:c r="V79" t="n">
        <x:f>2*(Scenario_Data!E79*1000)/Inputs!$C$21*1000000</x:f>
        <x:v>1000.4247671901072</x:v>
      </x:c>
      <x:c r="X79" t="n">
        <x:f>Scenario_Data!T79</x:f>
        <x:v>-21.479999999999997</x:v>
      </x:c>
      <x:c r="Y79" t="n">
        <x: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x:f>
        <x:v>2672.9477639052798</x:v>
      </x:c>
      <x:c r="Z79" t="n">
        <x:f>Scenario_Data!U79</x:f>
        <x:v>-143.2</x:v>
      </x:c>
      <x:c r="AA79" t="n">
        <x: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x:f>
        <x:v>545.4683845610028</x:v>
      </x:c>
      <x:c r="AB79" t="n">
        <x:f>Scenario_Data!V79</x:f>
        <x:v>-286.4</x:v>
      </x:c>
      <x:c r="AC79" t="n">
        <x: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x:f>
        <x:v>1058.3002345586074</x:v>
      </x:c>
      <x:c r="AD79" t="n">
        <x:f>Scenario_Data!W79</x:f>
        <x:v>-286.4</x:v>
      </x:c>
      <x:c r="AE79" t="n">
        <x: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x:f>
        <x:v>1000.1375972583725</x:v>
      </x:c>
      <x:c r="AG79" t="n">
        <x:f>Scenario_Data!T79</x:f>
        <x:v>-21.479999999999997</x:v>
      </x:c>
      <x:c r="AH79" t="n">
        <x:f>2*(SQRT((Inputs!$C$52+(Scenario_Data!B79))^2+Inputs!$C$52^2-2*(Inputs!$C$52+(Scenario_Data!B79))*Inputs!$C$52*COS(SQRT((Scenario_Data!T79)^2+Inputs!$C$6^2)/Inputs!$C$52))*1000)/Inputs!$C$21*1000000</x:f>
        <x:v>2683.2780136005345</x:v>
      </x:c>
      <x:c r="AI79" t="n">
        <x:f>Scenario_Data!U79</x:f>
        <x:v>-143.2</x:v>
      </x:c>
      <x:c r="AJ79" t="n">
        <x:f>2*(SQRT((Inputs!$C$52+(Scenario_Data!C79))^2+Inputs!$C$52^2-2*(Inputs!$C$52+(Scenario_Data!C79))*Inputs!$C$52*COS(SQRT((Scenario_Data!U79)^2+Inputs!$C$6^2)/Inputs!$C$52))*1000)/Inputs!$C$21*1000000</x:f>
        <x:v>1134.320202233334</x:v>
      </x:c>
      <x:c r="AK79" t="n">
        <x:f>Scenario_Data!V79</x:f>
        <x:v>-286.4</x:v>
      </x:c>
      <x:c r="AL79" t="n">
        <x:f>2*(SQRT((Inputs!$C$52+(Scenario_Data!D79))^2+Inputs!$C$52^2-2*(Inputs!$C$52+(Scenario_Data!D79))*Inputs!$C$52*COS(SQRT((Scenario_Data!V79)^2+Inputs!$C$6^2)/Inputs!$C$52))*1000)/Inputs!$C$21*1000000</x:f>
        <x:v>2271.9039940577863</x:v>
      </x:c>
      <x:c r="AM79" t="n">
        <x:f>Scenario_Data!W79</x:f>
        <x:v>-286.4</x:v>
      </x:c>
      <x:c r="AN79" t="n">
        <x:f>2*(SQRT((Inputs!$C$52+(Scenario_Data!E79))^2+Inputs!$C$52^2-2*(Inputs!$C$52+(Scenario_Data!E79))*Inputs!$C$52*COS(SQRT((Scenario_Data!W79)^2+Inputs!$C$6^2)/Inputs!$C$52))*1000)/Inputs!$C$21*1000000</x:f>
        <x:v>2240.826006094351</x:v>
      </x:c>
      <x:c r="AP79" t="n">
        <x:f>Scenario_Data!T79</x:f>
        <x:v>-21.479999999999997</x:v>
      </x:c>
      <x:c r="AQ79" t="n">
        <x: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x:f>
        <x:v>2681.074277895876</x:v>
      </x:c>
      <x:c r="AR79" t="n">
        <x:f>Scenario_Data!U79</x:f>
        <x:v>-143.2</x:v>
      </x:c>
      <x:c r="AS79" t="n">
        <x: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x:f>
        <x:v>1133.8107705131229</x:v>
      </x:c>
      <x:c r="AT79" t="n">
        <x:f>Scenario_Data!V79</x:f>
        <x:v>-286.4</x:v>
      </x:c>
      <x:c r="AU79" t="n">
        <x: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x:f>
        <x:v>2271.4757396841865</x:v>
      </x:c>
      <x:c r="AV79" t="n">
        <x:f>Scenario_Data!W79</x:f>
        <x:v>-286.4</x:v>
      </x:c>
      <x:c r="AW79" t="n">
        <x: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x:f>
        <x:v>2240.4205489602696</x:v>
      </x:c>
    </x:row>
    <x:row r="80">
      <x:c r="A80" t="n">
        <x:f>Chart_Data!K80</x:f>
        <x:v>-21</x:v>
      </x:c>
      <x:c r="B80" t="n">
        <x:f>Chart_Data!N80-Chart_Data!L80</x:f>
        <x:v>140.71817235691083</x:v>
      </x:c>
      <x:c r="D80" t="n">
        <x:f>Chart_Data!G80</x:f>
        <x:v>-21</x:v>
      </x:c>
      <x:c r="E80" t="n">
        <x:f>Chart_Data!H80</x:f>
        <x:v>317.91812880175183</x:v>
      </x:c>
      <x:c r="F80" t="n">
        <x:f>Chart_Data!I80</x:f>
        <x:v>317.91812880175183</x:v>
      </x:c>
      <x:c r="G80" t="n">
        <x:f>Chart_Data!J80</x:f>
        <x:v>-142.37794992196604</x:v>
      </x:c>
      <x:c r="I80" t="n">
        <x:f>Scenario_Data!A80</x:f>
        <x:v>-0.35</x:v>
      </x:c>
      <x:c r="J80" t="n">
        <x:f>Scenario_Data!H80-(((SQRT((Inputs!$C$52+(Inputs!$H$6))^2+Inputs!$C$52^2-2*(Inputs!$C$52+(Inputs!$H$6))*Inputs!$C$52*COS(SQRT((Scenario_Data!T80)^2+Inputs!$C$6^2)/Inputs!$C$52)))-(Inputs!$H$6))*1000/Inputs!$C$12)</x:f>
        <x:v>-0.9096841644008009</x:v>
      </x:c>
      <x:c r="K80" t="n">
        <x:f>Scenario_Data!I80-(((SQRT((Inputs!$C$52+(Inputs!$H$7))^2+Inputs!$C$52^2-2*(Inputs!$C$52+(Inputs!$H$7))*Inputs!$C$52*COS(SQRT((Scenario_Data!U80)^2+Inputs!$C$6^2)/Inputs!$C$52)))-(Inputs!$H$7))*1000/Inputs!$C$12)</x:f>
        <x:v>-14909.123361914171</x:v>
      </x:c>
      <x:c r="L80" t="n">
        <x:f>Scenario_Data!J80-(((SQRT((Inputs!$C$52+(Inputs!$H$8))^2+Inputs!$C$52^2-2*(Inputs!$C$52+(Inputs!$H$8))*Inputs!$C$52*COS(SQRT((Scenario_Data!V80)^2+Inputs!$C$6^2)/Inputs!$C$52)))-(Inputs!$H$8))*1000/Inputs!$C$12)</x:f>
        <x:v>-40747.537049505336</x:v>
      </x:c>
      <x:c r="M80" t="n">
        <x:f>Scenario_Data!K80-(((SQRT((Inputs!$C$52+(Inputs!$H$9))^2+Inputs!$C$52^2-2*(Inputs!$C$52+(Inputs!$H$9))*Inputs!$C$52*COS(SQRT((Scenario_Data!W80)^2+Inputs!$C$6^2)/Inputs!$C$52)))-(Inputs!$H$9))*1000/Inputs!$C$12)</x:f>
        <x:v>-42952.19979250127</x:v>
      </x:c>
      <x:c r="O80" t="n">
        <x:f>Scenario_Data!T80</x:f>
        <x:v>-21</x:v>
      </x:c>
      <x:c r="P80" t="n">
        <x:f>2*(Scenario_Data!B80*1000)/Inputs!$C$21*1000000</x:f>
        <x:v>2671.7816897181583</x:v>
      </x:c>
      <x:c r="Q80" t="n">
        <x:f>Scenario_Data!U80</x:f>
        <x:v>-140</x:v>
      </x:c>
      <x:c r="R80" t="n">
        <x:f>2*(Scenario_Data!C80*1000)/Inputs!$C$21*1000000</x:f>
        <x:v>531.7845587696538</x:v>
      </x:c>
      <x:c r="S80" t="n">
        <x:f>Scenario_Data!V80</x:f>
        <x:v>-280</x:v>
      </x:c>
      <x:c r="T80" t="n">
        <x:f>2*(Scenario_Data!D80*1000)/Inputs!$C$21*1000000</x:f>
        <x:v>1022.1237787109374</x:v>
      </x:c>
      <x:c r="U80" t="n">
        <x:f>Scenario_Data!W80</x:f>
        <x:v>-280</x:v>
      </x:c>
      <x:c r="V80" t="n">
        <x:f>2*(Scenario_Data!E80*1000)/Inputs!$C$21*1000000</x:f>
        <x:v>963.5832800036617</x:v>
      </x:c>
      <x:c r="X80" t="n">
        <x:f>Scenario_Data!T80</x:f>
        <x:v>-21</x:v>
      </x:c>
      <x:c r="Y80" t="n">
        <x: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x:f>
        <x:v>2672.7315331589957</x:v>
      </x:c>
      <x:c r="Z80" t="n">
        <x:f>Scenario_Data!U80</x:f>
        <x:v>-140</x:v>
      </x:c>
      <x:c r="AA80" t="n">
        <x: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x:f>
        <x:v>531.4420597563163</x:v>
      </x:c>
      <x:c r="AB80" t="n">
        <x:f>Scenario_Data!V80</x:f>
        <x:v>-280</x:v>
      </x:c>
      <x:c r="AC80" t="n">
        <x: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x:f>
        <x:v>1021.9153193332302</x:v>
      </x:c>
      <x:c r="AD80" t="n">
        <x:f>Scenario_Data!W80</x:f>
        <x:v>-280</x:v>
      </x:c>
      <x:c r="AE80" t="n">
        <x: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x:f>
        <x:v>963.3748206259548</x:v>
      </x:c>
      <x:c r="AG80" t="n">
        <x:f>Scenario_Data!T80</x:f>
        <x:v>-21</x:v>
      </x:c>
      <x:c r="AH80" t="n">
        <x:f>2*(SQRT((Inputs!$C$52+(Scenario_Data!B80))^2+Inputs!$C$52^2-2*(Inputs!$C$52+(Scenario_Data!B80))*Inputs!$C$52*COS(SQRT((Scenario_Data!T80)^2+Inputs!$C$6^2)/Inputs!$C$52))*1000)/Inputs!$C$21*1000000</x:f>
        <x:v>2682.914880335254</x:v>
      </x:c>
      <x:c r="AI80" t="n">
        <x:f>Scenario_Data!U80</x:f>
        <x:v>-140</x:v>
      </x:c>
      <x:c r="AJ80" t="n">
        <x:f>2*(SQRT((Inputs!$C$52+(Scenario_Data!C80))^2+Inputs!$C$52^2-2*(Inputs!$C$52+(Scenario_Data!C80))*Inputs!$C$52*COS(SQRT((Scenario_Data!U80)^2+Inputs!$C$6^2)/Inputs!$C$52))*1000)/Inputs!$C$21*1000000</x:f>
        <x:v>1108.2624133501783</x:v>
      </x:c>
      <x:c r="AK80" t="n">
        <x:f>Scenario_Data!V80</x:f>
        <x:v>-280</x:v>
      </x:c>
      <x:c r="AL80" t="n">
        <x:f>2*(SQRT((Inputs!$C$52+(Scenario_Data!D80))^2+Inputs!$C$52^2-2*(Inputs!$C$52+(Scenario_Data!D80))*Inputs!$C$52*COS(SQRT((Scenario_Data!V80)^2+Inputs!$C$6^2)/Inputs!$C$52))*1000)/Inputs!$C$21*1000000</x:f>
        <x:v>2212.8355811384035</x:v>
      </x:c>
      <x:c r="AM80" t="n">
        <x:f>Scenario_Data!W80</x:f>
        <x:v>-280</x:v>
      </x:c>
      <x:c r="AN80" t="n">
        <x:f>2*(SQRT((Inputs!$C$52+(Scenario_Data!E80))^2+Inputs!$C$52^2-2*(Inputs!$C$52+(Scenario_Data!E80))*Inputs!$C$52*COS(SQRT((Scenario_Data!W80)^2+Inputs!$C$6^2)/Inputs!$C$52))*1000)/Inputs!$C$21*1000000</x:f>
        <x:v>2181.897557099264</x:v>
      </x:c>
      <x:c r="AP80" t="n">
        <x:f>Scenario_Data!T80</x:f>
        <x:v>-21</x:v>
      </x:c>
      <x:c r="AQ80" t="n">
        <x: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x:f>
        <x:v>2680.805031719671</x:v>
      </x:c>
      <x:c r="AR80" t="n">
        <x:f>Scenario_Data!U80</x:f>
        <x:v>-140</x:v>
      </x:c>
      <x:c r="AS80" t="n">
        <x: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x:f>
        <x:v>1107.663476732817</x:v>
      </x:c>
      <x:c r="AT80" t="n">
        <x:f>Scenario_Data!V80</x:f>
        <x:v>-280</x:v>
      </x:c>
      <x:c r="AU80" t="n">
        <x: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x:f>
        <x:v>2212.418081073065</x:v>
      </x:c>
      <x:c r="AV80" t="n">
        <x:f>Scenario_Data!W80</x:f>
        <x:v>-280</x:v>
      </x:c>
      <x:c r="AW80" t="n">
        <x: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x:f>
        <x:v>2181.5032877091103</x:v>
      </x:c>
    </x:row>
    <x:row r="81">
      <x:c r="A81" t="n">
        <x:f>Chart_Data!K81</x:f>
        <x:v>-20.5</x:v>
      </x:c>
      <x:c r="B81" t="n">
        <x:f>Chart_Data!N81-Chart_Data!L81</x:f>
        <x:v>138.79258237955816</x:v>
      </x:c>
      <x:c r="D81" t="n">
        <x:f>Chart_Data!G81</x:f>
        <x:v>-20.5</x:v>
      </x:c>
      <x:c r="E81" t="n">
        <x:f>Chart_Data!H81</x:f>
        <x:v>343.37986587370784</x:v>
      </x:c>
      <x:c r="F81" t="n">
        <x:f>Chart_Data!I81</x:f>
        <x:v>343.37986587370784</x:v>
      </x:c>
      <x:c r="G81" t="n">
        <x:f>Chart_Data!J81</x:f>
        <x:v>-140.5508651158499</x:v>
      </x:c>
      <x:c r="I81" t="n">
        <x:f>Scenario_Data!A81</x:f>
        <x:v>-0.342</x:v>
      </x:c>
      <x:c r="J81" t="n">
        <x:f>Scenario_Data!H81-(((SQRT((Inputs!$C$52+(Inputs!$H$6))^2+Inputs!$C$52^2-2*(Inputs!$C$52+(Inputs!$H$6))*Inputs!$C$52*COS(SQRT((Scenario_Data!T81)^2+Inputs!$C$6^2)/Inputs!$C$52)))-(Inputs!$H$6))*1000/Inputs!$C$12)</x:f>
        <x:v>-0.8524904108952569</x:v>
      </x:c>
      <x:c r="K81" t="n">
        <x:f>Scenario_Data!I81-(((SQRT((Inputs!$C$52+(Inputs!$H$7))^2+Inputs!$C$52^2-2*(Inputs!$C$52+(Inputs!$H$7))*Inputs!$C$52*COS(SQRT((Scenario_Data!U81)^2+Inputs!$C$6^2)/Inputs!$C$52)))-(Inputs!$H$7))*1000/Inputs!$C$12)</x:f>
        <x:v>-14216.32826550211</x:v>
      </x:c>
      <x:c r="L81" t="n">
        <x:f>Scenario_Data!J81-(((SQRT((Inputs!$C$52+(Inputs!$H$8))^2+Inputs!$C$52^2-2*(Inputs!$C$52+(Inputs!$H$8))*Inputs!$C$52*COS(SQRT((Scenario_Data!V81)^2+Inputs!$C$6^2)/Inputs!$C$52)))-(Inputs!$H$8))*1000/Inputs!$C$12)</x:f>
        <x:v>-39090.472738230674</x:v>
      </x:c>
      <x:c r="M81" t="n">
        <x:f>Scenario_Data!K81-(((SQRT((Inputs!$C$52+(Inputs!$H$9))^2+Inputs!$C$52^2-2*(Inputs!$C$52+(Inputs!$H$9))*Inputs!$C$52*COS(SQRT((Scenario_Data!W81)^2+Inputs!$C$6^2)/Inputs!$C$52)))-(Inputs!$H$9))*1000/Inputs!$C$12)</x:f>
        <x:v>-41249.342022155164</x:v>
      </x:c>
      <x:c r="O81" t="n">
        <x:f>Scenario_Data!T81</x:f>
        <x:v>-20.520000000000003</x:v>
      </x:c>
      <x:c r="P81" t="n">
        <x:f>2*(Scenario_Data!B81*1000)/Inputs!$C$21*1000000</x:f>
        <x:v>2671.633960851677</x:v>
      </x:c>
      <x:c r="Q81" t="n">
        <x:f>Scenario_Data!U81</x:f>
        <x:v>-136.8</x:v>
      </x:c>
      <x:c r="R81" t="n">
        <x:f>2*(Scenario_Data!C81*1000)/Inputs!$C$21*1000000</x:f>
        <x:v>518.3042997032301</x:v>
      </x:c>
      <x:c r="S81" t="n">
        <x:f>Scenario_Data!V81</x:f>
        <x:v>-273.6</x:v>
      </x:c>
      <x:c r="T81" t="n">
        <x:f>2*(Scenario_Data!D81*1000)/Inputs!$C$21*1000000</x:f>
        <x:v>986.4841896723101</x:v>
      </x:c>
      <x:c r="U81" t="n">
        <x:f>Scenario_Data!W81</x:f>
        <x:v>-273.6</x:v>
      </x:c>
      <x:c r="V81" t="n">
        <x:f>2*(Scenario_Data!E81*1000)/Inputs!$C$21*1000000</x:f>
        <x:v>927.574368798831</x:v>
      </x:c>
      <x:c r="X81" t="n">
        <x:f>Scenario_Data!T81</x:f>
        <x:v>-20.520000000000003</x:v>
      </x:c>
      <x:c r="Y81" t="n">
        <x: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x:f>
        <x:v>2672.6976301058958</x:v>
      </x:c>
      <x:c r="Z81" t="n">
        <x:f>Scenario_Data!U81</x:f>
        <x:v>-136.8</x:v>
      </x:c>
      <x:c r="AA81" t="n">
        <x: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x:f>
        <x:v>518.30702957058</x:v>
      </x:c>
      <x:c r="AB81" t="n">
        <x:f>Scenario_Data!V81</x:f>
        <x:v>-273.6</x:v>
      </x:c>
      <x:c r="AC81" t="n">
        <x: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x:f>
        <x:v>986.6455688287625</x:v>
      </x:c>
      <x:c r="AD81" t="n">
        <x:f>Scenario_Data!W81</x:f>
        <x:v>-273.6</x:v>
      </x:c>
      <x:c r="AE81" t="n">
        <x: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x:f>
        <x:v>927.7357479552833</x:v>
      </x:c>
      <x:c r="AG81" t="n">
        <x:f>Scenario_Data!T81</x:f>
        <x:v>-20.520000000000003</x:v>
      </x:c>
      <x:c r="AH81" t="n">
        <x:f>2*(SQRT((Inputs!$C$52+(Scenario_Data!B81))^2+Inputs!$C$52^2-2*(Inputs!$C$52+(Scenario_Data!B81))*Inputs!$C$52*COS(SQRT((Scenario_Data!T81)^2+Inputs!$C$6^2)/Inputs!$C$52))*1000)/Inputs!$C$21*1000000</x:f>
        <x:v>2682.559918656496</x:v>
      </x:c>
      <x:c r="AI81" t="n">
        <x:f>Scenario_Data!U81</x:f>
        <x:v>-136.8</x:v>
      </x:c>
      <x:c r="AJ81" t="n">
        <x:f>2*(SQRT((Inputs!$C$52+(Scenario_Data!C81))^2+Inputs!$C$52^2-2*(Inputs!$C$52+(Scenario_Data!C81))*Inputs!$C$52*COS(SQRT((Scenario_Data!U81)^2+Inputs!$C$6^2)/Inputs!$C$52))*1000)/Inputs!$C$21*1000000</x:f>
        <x:v>1082.4036420950645</x:v>
      </x:c>
      <x:c r="AK81" t="n">
        <x:f>Scenario_Data!V81</x:f>
        <x:v>-273.6</x:v>
      </x:c>
      <x:c r="AL81" t="n">
        <x:f>2*(SQRT((Inputs!$C$52+(Scenario_Data!D81))^2+Inputs!$C$52^2-2*(Inputs!$C$52+(Scenario_Data!D81))*Inputs!$C$52*COS(SQRT((Scenario_Data!V81)^2+Inputs!$C$6^2)/Inputs!$C$52))*1000)/Inputs!$C$21*1000000</x:f>
        <x:v>2154.375751929062</x:v>
      </x:c>
      <x:c r="AM81" t="n">
        <x:f>Scenario_Data!W81</x:f>
        <x:v>-273.6</x:v>
      </x:c>
      <x:c r="AN81" t="n">
        <x:f>2*(SQRT((Inputs!$C$52+(Scenario_Data!E81))^2+Inputs!$C$52^2-2*(Inputs!$C$52+(Scenario_Data!E81))*Inputs!$C$52*COS(SQRT((Scenario_Data!W81)^2+Inputs!$C$6^2)/Inputs!$C$52))*1000)/Inputs!$C$21*1000000</x:f>
        <x:v>2123.586815394276</x:v>
      </x:c>
      <x:c r="AP81" t="n">
        <x:f>Scenario_Data!T81</x:f>
        <x:v>-20.520000000000003</x:v>
      </x:c>
      <x:c r="AQ81" t="n">
        <x: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x:f>
        <x:v>2680.307213361289</x:v>
      </x:c>
      <x:c r="AR81" t="n">
        <x:f>Scenario_Data!U81</x:f>
        <x:v>-136.8</x:v>
      </x:c>
      <x:c r="AS81" t="n">
        <x: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x:f>
        <x:v>1081.9289025291496</x:v>
      </x:c>
      <x:c r="AT81" t="n">
        <x:f>Scenario_Data!V81</x:f>
        <x:v>-273.6</x:v>
      </x:c>
      <x:c r="AU81" t="n">
        <x: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x:f>
        <x:v>2154.069064539017</x:v>
      </x:c>
      <x:c r="AV81" t="n">
        <x:f>Scenario_Data!W81</x:f>
        <x:v>-273.6</x:v>
      </x:c>
      <x:c r="AW81" t="n">
        <x: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x:f>
        <x:v>2123.297962760579</x:v>
      </x:c>
    </x:row>
    <x:row r="82">
      <x:c r="A82" t="n">
        <x:f>Chart_Data!K82</x:f>
        <x:v>-20</x:v>
      </x:c>
      <x:c r="B82" t="n">
        <x:f>Chart_Data!N82-Chart_Data!L82</x:f>
        <x:v>144.6299048877989</x:v>
      </x:c>
      <x:c r="D82" t="n">
        <x:f>Chart_Data!G82</x:f>
        <x:v>-20</x:v>
      </x:c>
      <x:c r="E82" t="n">
        <x:f>Chart_Data!H82</x:f>
        <x:v>338.15830709992554</x:v>
      </x:c>
      <x:c r="F82" t="n">
        <x:f>Chart_Data!I82</x:f>
        <x:v>338.15830709992554</x:v>
      </x:c>
      <x:c r="G82" t="n">
        <x:f>Chart_Data!J82</x:f>
        <x:v>-146.32822187126578</x:v>
      </x:c>
      <x:c r="I82" t="n">
        <x:f>Scenario_Data!A82</x:f>
        <x:v>-0.333</x:v>
      </x:c>
      <x:c r="J82" t="n">
        <x:f>Scenario_Data!H82-(((SQRT((Inputs!$C$52+(Inputs!$H$6))^2+Inputs!$C$52^2-2*(Inputs!$C$52+(Inputs!$H$6))*Inputs!$C$52*COS(SQRT((Scenario_Data!T82)^2+Inputs!$C$6^2)/Inputs!$C$52)))-(Inputs!$H$6))*1000/Inputs!$C$12)</x:f>
        <x:v>-0.791473780832689</x:v>
      </x:c>
      <x:c r="K82" t="n">
        <x:f>Scenario_Data!I82-(((SQRT((Inputs!$C$52+(Inputs!$H$7))^2+Inputs!$C$52^2-2*(Inputs!$C$52+(Inputs!$H$7))*Inputs!$C$52*COS(SQRT((Scenario_Data!U82)^2+Inputs!$C$6^2)/Inputs!$C$52)))-(Inputs!$H$7))*1000/Inputs!$C$12)</x:f>
        <x:v>-13452.55752473721</x:v>
      </x:c>
      <x:c r="L82" t="n">
        <x:f>Scenario_Data!J82-(((SQRT((Inputs!$C$52+(Inputs!$H$8))^2+Inputs!$C$52^2-2*(Inputs!$C$52+(Inputs!$H$8))*Inputs!$C$52*COS(SQRT((Scenario_Data!V82)^2+Inputs!$C$6^2)/Inputs!$C$52)))-(Inputs!$H$8))*1000/Inputs!$C$12)</x:f>
        <x:v>-37250.42865196269</x:v>
      </x:c>
      <x:c r="M82" t="n">
        <x:f>Scenario_Data!K82-(((SQRT((Inputs!$C$52+(Inputs!$H$9))^2+Inputs!$C$52^2-2*(Inputs!$C$52+(Inputs!$H$9))*Inputs!$C$52*COS(SQRT((Scenario_Data!W82)^2+Inputs!$C$6^2)/Inputs!$C$52)))-(Inputs!$H$9))*1000/Inputs!$C$12)</x:f>
        <x:v>-39357.02991700129</x:v>
      </x:c>
      <x:c r="O82" t="n">
        <x:f>Scenario_Data!T82</x:f>
        <x:v>-19.979999999999997</x:v>
      </x:c>
      <x:c r="P82" t="n">
        <x:f>2*(Scenario_Data!B82*1000)/Inputs!$C$21*1000000</x:f>
        <x:v>2671.4718487014106</x:v>
      </x:c>
      <x:c r="Q82" t="n">
        <x:f>Scenario_Data!U82</x:f>
        <x:v>-133.2</x:v>
      </x:c>
      <x:c r="R82" t="n">
        <x:f>2*(Scenario_Data!C82*1000)/Inputs!$C$21*1000000</x:f>
        <x:v>503.51156599142996</x:v>
      </x:c>
      <x:c r="S82" t="n">
        <x:f>Scenario_Data!V82</x:f>
        <x:v>-266.4</x:v>
      </x:c>
      <x:c r="T82" t="n">
        <x:f>2*(Scenario_Data!D82*1000)/Inputs!$C$21*1000000</x:f>
        <x:v>947.3746334205645</x:v>
      </x:c>
      <x:c r="U82" t="n">
        <x:f>Scenario_Data!W82</x:f>
        <x:v>-266.4</x:v>
      </x:c>
      <x:c r="V82" t="n">
        <x:f>2*(Scenario_Data!E82*1000)/Inputs!$C$21*1000000</x:f>
        <x:v>888.0595321714195</x:v>
      </x:c>
      <x:c r="X82" t="n">
        <x:f>Scenario_Data!T82</x:f>
        <x:v>-19.979999999999997</x:v>
      </x:c>
      <x:c r="Y82" t="n">
        <x: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x:f>
        <x:v>2672.4754623052013</x:v>
      </x:c>
      <x:c r="Z82" t="n">
        <x:f>Scenario_Data!U82</x:f>
        <x:v>-133.2</x:v>
      </x:c>
      <x:c r="AA82" t="n">
        <x: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x:f>
        <x:v>503.5300716509127</x:v>
      </x:c>
      <x:c r="AB82" t="n">
        <x:f>Scenario_Data!V82</x:f>
        <x:v>-266.4</x:v>
      </x:c>
      <x:c r="AC82" t="n">
        <x: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x:f>
        <x:v>946.9302890193869</x:v>
      </x:c>
      <x:c r="AD82" t="n">
        <x:f>Scenario_Data!W82</x:f>
        <x:v>-266.4</x:v>
      </x:c>
      <x:c r="AE82" t="n">
        <x: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x:f>
        <x:v>887.615187770242</x:v>
      </x:c>
      <x:c r="AG82" t="n">
        <x:f>Scenario_Data!T82</x:f>
        <x:v>-19.979999999999997</x:v>
      </x:c>
      <x:c r="AH82" t="n">
        <x:f>2*(SQRT((Inputs!$C$52+(Scenario_Data!B82))^2+Inputs!$C$52^2-2*(Inputs!$C$52+(Scenario_Data!B82))*Inputs!$C$52*COS(SQRT((Scenario_Data!T82)^2+Inputs!$C$6^2)/Inputs!$C$52))*1000)/Inputs!$C$21*1000000</x:f>
        <x:v>2682.170357321432</x:v>
      </x:c>
      <x:c r="AI82" t="n">
        <x:f>Scenario_Data!U82</x:f>
        <x:v>-133.2</x:v>
      </x:c>
      <x:c r="AJ82" t="n">
        <x:f>2*(SQRT((Inputs!$C$52+(Scenario_Data!C82))^2+Inputs!$C$52^2-2*(Inputs!$C$52+(Scenario_Data!C82))*Inputs!$C$52*COS(SQRT((Scenario_Data!U82)^2+Inputs!$C$6^2)/Inputs!$C$52))*1000)/Inputs!$C$21*1000000</x:f>
        <x:v>1053.5497018470367</x:v>
      </x:c>
      <x:c r="AK82" t="n">
        <x:f>Scenario_Data!V82</x:f>
        <x:v>-266.4</x:v>
      </x:c>
      <x:c r="AL82" t="n">
        <x:f>2*(SQRT((Inputs!$C$52+(Scenario_Data!D82))^2+Inputs!$C$52^2-2*(Inputs!$C$52+(Scenario_Data!D82))*Inputs!$C$52*COS(SQRT((Scenario_Data!V82)^2+Inputs!$C$6^2)/Inputs!$C$52))*1000)/Inputs!$C$21*1000000</x:f>
        <x:v>2089.3258107719435</x:v>
      </x:c>
      <x:c r="AM82" t="n">
        <x:f>Scenario_Data!W82</x:f>
        <x:v>-266.4</x:v>
      </x:c>
      <x:c r="AN82" t="n">
        <x:f>2*(SQRT((Inputs!$C$52+(Scenario_Data!E82))^2+Inputs!$C$52^2-2*(Inputs!$C$52+(Scenario_Data!E82))*Inputs!$C$52*COS(SQRT((Scenario_Data!W82)^2+Inputs!$C$6^2)/Inputs!$C$52))*1000)/Inputs!$C$21*1000000</x:f>
        <x:v>2058.7148075309083</x:v>
      </x:c>
      <x:c r="AP82" t="n">
        <x:f>Scenario_Data!T82</x:f>
        <x:v>-19.979999999999997</x:v>
      </x:c>
      <x:c r="AQ82" t="n">
        <x: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x:f>
        <x:v>2679.910435734186</x:v>
      </x:c>
      <x:c r="AR82" t="n">
        <x:f>Scenario_Data!U82</x:f>
        <x:v>-133.2</x:v>
      </x:c>
      <x:c r="AS82" t="n">
        <x: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x:f>
        <x:v>1053.2379157384207</x:v>
      </x:c>
      <x:c r="AT82" t="n">
        <x:f>Scenario_Data!V82</x:f>
        <x:v>-266.4</x:v>
      </x:c>
      <x:c r="AU82" t="n">
        <x: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x:f>
        <x:v>2088.853489351747</x:v>
      </x:c>
      <x:c r="AV82" t="n">
        <x:f>Scenario_Data!W82</x:f>
        <x:v>-266.4</x:v>
      </x:c>
      <x:c r="AW82" t="n">
        <x: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x:f>
        <x:v>2058.271372657876</x:v>
      </x:c>
    </x:row>
    <x:row r="83">
      <x:c r="A83" t="n">
        <x:f>Chart_Data!K83</x:f>
        <x:v>-19.5</x:v>
      </x:c>
      <x:c r="B83" t="n">
        <x:f>Chart_Data!N83-Chart_Data!L83</x:f>
        <x:v>138.25591202159382</x:v>
      </x:c>
      <x:c r="D83" t="n">
        <x:f>Chart_Data!G83</x:f>
        <x:v>-19.5</x:v>
      </x:c>
      <x:c r="E83" t="n">
        <x:f>Chart_Data!H83</x:f>
        <x:v>363.81454233496186</x:v>
      </x:c>
      <x:c r="F83" t="n">
        <x:f>Chart_Data!I83</x:f>
        <x:v>363.81454233496186</x:v>
      </x:c>
      <x:c r="G83" t="n">
        <x:f>Chart_Data!J83</x:f>
        <x:v>-140.0483381286437</x:v>
      </x:c>
      <x:c r="I83" t="n">
        <x:f>Scenario_Data!A83</x:f>
        <x:v>-0.325</x:v>
      </x:c>
      <x:c r="J83" t="n">
        <x:f>Scenario_Data!H83-(((SQRT((Inputs!$C$52+(Inputs!$H$6))^2+Inputs!$C$52^2-2*(Inputs!$C$52+(Inputs!$H$6))*Inputs!$C$52*COS(SQRT((Scenario_Data!T83)^2+Inputs!$C$6^2)/Inputs!$C$52)))-(Inputs!$H$6))*1000/Inputs!$C$12)</x:f>
        <x:v>-0.7400807499819848</x:v>
      </x:c>
      <x:c r="K83" t="n">
        <x:f>Scenario_Data!I83-(((SQRT((Inputs!$C$52+(Inputs!$H$7))^2+Inputs!$C$52^2-2*(Inputs!$C$52+(Inputs!$H$7))*Inputs!$C$52*COS(SQRT((Scenario_Data!U83)^2+Inputs!$C$6^2)/Inputs!$C$52)))-(Inputs!$H$7))*1000/Inputs!$C$12)</x:f>
        <x:v>-12787.842801368242</x:v>
      </x:c>
      <x:c r="L83" t="n">
        <x:f>Scenario_Data!J83-(((SQRT((Inputs!$C$52+(Inputs!$H$8))^2+Inputs!$C$52^2-2*(Inputs!$C$52+(Inputs!$H$8))*Inputs!$C$52*COS(SQRT((Scenario_Data!V83)^2+Inputs!$C$6^2)/Inputs!$C$52)))-(Inputs!$H$8))*1000/Inputs!$C$12)</x:f>
        <x:v>-35637.24050020533</x:v>
      </x:c>
      <x:c r="M83" t="n">
        <x:f>Scenario_Data!K83-(((SQRT((Inputs!$C$52+(Inputs!$H$9))^2+Inputs!$C$52^2-2*(Inputs!$C$52+(Inputs!$H$9))*Inputs!$C$52*COS(SQRT((Scenario_Data!W83)^2+Inputs!$C$6^2)/Inputs!$C$52)))-(Inputs!$H$9))*1000/Inputs!$C$12)</x:f>
        <x:v>-37696.722160192</x:v>
      </x:c>
      <x:c r="O83" t="n">
        <x:f>Scenario_Data!T83</x:f>
        <x:v>-19.5</x:v>
      </x:c>
      <x:c r="P83" t="n">
        <x:f>2*(Scenario_Data!B83*1000)/Inputs!$C$21*1000000</x:f>
        <x:v>2671.331378189641</x:v>
      </x:c>
      <x:c r="Q83" t="n">
        <x:f>Scenario_Data!U83</x:f>
        <x:v>-130</x:v>
      </x:c>
      <x:c r="R83" t="n">
        <x:f>2*(Scenario_Data!C83*1000)/Inputs!$C$21*1000000</x:f>
        <x:v>490.6936317924316</x:v>
      </x:c>
      <x:c r="S83" t="n">
        <x:f>Scenario_Data!V83</x:f>
        <x:v>-260</x:v>
      </x:c>
      <x:c r="T83" t="n">
        <x:f>2*(Scenario_Data!D83*1000)/Inputs!$C$21*1000000</x:f>
        <x:v>913.4861224560894</x:v>
      </x:c>
      <x:c r="U83" t="n">
        <x:f>Scenario_Data!W83</x:f>
        <x:v>-260</x:v>
      </x:c>
      <x:c r="V83" t="n">
        <x:f>2*(Scenario_Data!E83*1000)/Inputs!$C$21*1000000</x:f>
        <x:v>853.8198449275199</x:v>
      </x:c>
      <x:c r="X83" t="n">
        <x:f>Scenario_Data!T83</x:f>
        <x:v>-19.5</x:v>
      </x:c>
      <x:c r="Y83" t="n">
        <x: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x:f>
        <x:v>2672.265680133479</x:v>
      </x:c>
      <x:c r="Z83" t="n">
        <x:f>Scenario_Data!U83</x:f>
        <x:v>-130</x:v>
      </x:c>
      <x:c r="AA83" t="n">
        <x: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x:f>
        <x:v>490.6119523498117</x:v>
      </x:c>
      <x:c r="AB83" t="n">
        <x:f>Scenario_Data!V83</x:f>
        <x:v>-260</x:v>
      </x:c>
      <x:c r="AC83" t="n">
        <x: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x:f>
        <x:v>913.3884443529537</x:v>
      </x:c>
      <x:c r="AD83" t="n">
        <x:f>Scenario_Data!W83</x:f>
        <x:v>-260</x:v>
      </x:c>
      <x:c r="AE83" t="n">
        <x: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x:f>
        <x:v>853.7221668243841</x:v>
      </x:c>
      <x:c r="AG83" t="n">
        <x:f>Scenario_Data!T83</x:f>
        <x:v>-19.5</x:v>
      </x:c>
      <x:c r="AH83" t="n">
        <x:f>2*(SQRT((Inputs!$C$52+(Scenario_Data!B83))^2+Inputs!$C$52^2-2*(Inputs!$C$52+(Scenario_Data!B83))*Inputs!$C$52*COS(SQRT((Scenario_Data!T83)^2+Inputs!$C$6^2)/Inputs!$C$52))*1000)/Inputs!$C$21*1000000</x:f>
        <x:v>2681.8327680804646</x:v>
      </x:c>
      <x:c r="AI83" t="n">
        <x:f>Scenario_Data!U83</x:f>
        <x:v>-130</x:v>
      </x:c>
      <x:c r="AJ83" t="n">
        <x:f>2*(SQRT((Inputs!$C$52+(Scenario_Data!C83))^2+Inputs!$C$52^2-2*(Inputs!$C$52+(Scenario_Data!C83))*Inputs!$C$52*COS(SQRT((Scenario_Data!U83)^2+Inputs!$C$6^2)/Inputs!$C$52))*1000)/Inputs!$C$21*1000000</x:f>
        <x:v>1028.1121624339564</x:v>
      </x:c>
      <x:c r="AK83" t="n">
        <x:f>Scenario_Data!V83</x:f>
        <x:v>-260</x:v>
      </x:c>
      <x:c r="AL83" t="n">
        <x:f>2*(SQRT((Inputs!$C$52+(Scenario_Data!D83))^2+Inputs!$C$52^2-2*(Inputs!$C$52+(Scenario_Data!D83))*Inputs!$C$52*COS(SQRT((Scenario_Data!V83)^2+Inputs!$C$6^2)/Inputs!$C$52))*1000)/Inputs!$C$21*1000000</x:f>
        <x:v>2032.132269523135</x:v>
      </x:c>
      <x:c r="AM83" t="n">
        <x:f>Scenario_Data!W83</x:f>
        <x:v>-260</x:v>
      </x:c>
      <x:c r="AN83" t="n">
        <x:f>2*(SQRT((Inputs!$C$52+(Scenario_Data!E83))^2+Inputs!$C$52^2-2*(Inputs!$C$52+(Scenario_Data!E83))*Inputs!$C$52*COS(SQRT((Scenario_Data!W83)^2+Inputs!$C$6^2)/Inputs!$C$52))*1000)/Inputs!$C$21*1000000</x:f>
        <x:v>2001.6878257232431</x:v>
      </x:c>
      <x:c r="AP83" t="n">
        <x:f>Scenario_Data!T83</x:f>
        <x:v>-19.5</x:v>
      </x:c>
      <x:c r="AQ83" t="n">
        <x: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x:f>
        <x:v>2679.4176164876385</x:v>
      </x:c>
      <x:c r="AR83" t="n">
        <x:f>Scenario_Data!U83</x:f>
        <x:v>-130</x:v>
      </x:c>
      <x:c r="AS83" t="n">
        <x: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x:f>
        <x:v>1027.767895171937</x:v>
      </x:c>
      <x:c r="AT83" t="n">
        <x:f>Scenario_Data!V83</x:f>
        <x:v>-260</x:v>
      </x:c>
      <x:c r="AU83" t="n">
        <x: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x:f>
        <x:v>2031.6981626888248</x:v>
      </x:c>
      <x:c r="AV83" t="n">
        <x:f>Scenario_Data!W83</x:f>
        <x:v>-260</x:v>
      </x:c>
      <x:c r="AW83" t="n">
        <x: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x:f>
        <x:v>2001.281475278257</x:v>
      </x:c>
    </x:row>
    <x:row r="84">
      <x:c r="A84" t="n">
        <x:f>Chart_Data!K84</x:f>
        <x:v>-19</x:v>
      </x:c>
      <x:c r="B84" t="n">
        <x:f>Chart_Data!N84-Chart_Data!L84</x:f>
        <x:v>143.0894233856555</x:v>
      </x:c>
      <x:c r="D84" t="n">
        <x:f>Chart_Data!G84</x:f>
        <x:v>-19</x:v>
      </x:c>
      <x:c r="E84" t="n">
        <x:f>Chart_Data!H84</x:f>
        <x:v>371.18641988344854</x:v>
      </x:c>
      <x:c r="F84" t="n">
        <x:f>Chart_Data!I84</x:f>
        <x:v>371.18641988344854</x:v>
      </x:c>
      <x:c r="G84" t="n">
        <x:f>Chart_Data!J84</x:f>
        <x:v>-144.88352309984418</x:v>
      </x:c>
      <x:c r="I84" t="n">
        <x:f>Scenario_Data!A84</x:f>
        <x:v>-0.317</x:v>
      </x:c>
      <x:c r="J84" t="n">
        <x:f>Scenario_Data!H84-(((SQRT((Inputs!$C$52+(Inputs!$H$6))^2+Inputs!$C$52^2-2*(Inputs!$C$52+(Inputs!$H$6))*Inputs!$C$52*COS(SQRT((Scenario_Data!T84)^2+Inputs!$C$6^2)/Inputs!$C$52)))-(Inputs!$H$6))*1000/Inputs!$C$12)</x:f>
        <x:v>-0.6912607618419315</x:v>
      </x:c>
      <x:c r="K84" t="n">
        <x:f>Scenario_Data!I84-(((SQRT((Inputs!$C$52+(Inputs!$H$7))^2+Inputs!$C$52^2-2*(Inputs!$C$52+(Inputs!$H$7))*Inputs!$C$52*COS(SQRT((Scenario_Data!U84)^2+Inputs!$C$6^2)/Inputs!$C$52)))-(Inputs!$H$7))*1000/Inputs!$C$12)</x:f>
        <x:v>-12136.776407525518</x:v>
      </x:c>
      <x:c r="L84" t="n">
        <x:f>Scenario_Data!J84-(((SQRT((Inputs!$C$52+(Inputs!$H$8))^2+Inputs!$C$52^2-2*(Inputs!$C$52+(Inputs!$H$8))*Inputs!$C$52*COS(SQRT((Scenario_Data!V84)^2+Inputs!$C$6^2)/Inputs!$C$52)))-(Inputs!$H$8))*1000/Inputs!$C$12)</x:f>
        <x:v>-34046.04194794646</x:v>
      </x:c>
      <x:c r="M84" t="n">
        <x:f>Scenario_Data!K84-(((SQRT((Inputs!$C$52+(Inputs!$H$9))^2+Inputs!$C$52^2-2*(Inputs!$C$52+(Inputs!$H$9))*Inputs!$C$52*COS(SQRT((Scenario_Data!W84)^2+Inputs!$C$6^2)/Inputs!$C$52)))-(Inputs!$H$9))*1000/Inputs!$C$12)</x:f>
        <x:v>-36057.79176290192</x:v>
      </x:c>
      <x:c r="O84" t="n">
        <x:f>Scenario_Data!T84</x:f>
        <x:v>-19.019999999999996</x:v>
      </x:c>
      <x:c r="P84" t="n">
        <x:f>2*(Scenario_Data!B84*1000)/Inputs!$C$21*1000000</x:f>
        <x:v>2671.194323374206</x:v>
      </x:c>
      <x:c r="Q84" t="n">
        <x:f>Scenario_Data!U84</x:f>
        <x:v>-126.79999999999995</x:v>
      </x:c>
      <x:c r="R84" t="n">
        <x:f>2*(Scenario_Data!C84*1000)/Inputs!$C$21*1000000</x:f>
        <x:v>478.18737988398607</x:v>
      </x:c>
      <x:c r="S84" t="n">
        <x:f>Scenario_Data!V84</x:f>
        <x:v>-253.5999999999999</x:v>
      </x:c>
      <x:c r="T84" t="n">
        <x:f>2*(Scenario_Data!D84*1000)/Inputs!$C$21*1000000</x:f>
        <x:v>880.421648232391</x:v>
      </x:c>
      <x:c r="U84" t="n">
        <x:f>Scenario_Data!W84</x:f>
        <x:v>-253.5999999999999</x:v>
      </x:c>
      <x:c r="V84" t="n">
        <x:f>2*(Scenario_Data!E84*1000)/Inputs!$C$21*1000000</x:f>
        <x:v>820.4127336652341</x:v>
      </x:c>
      <x:c r="X84" t="n">
        <x:f>Scenario_Data!T84</x:f>
        <x:v>-19.019999999999996</x:v>
      </x:c>
      <x:c r="Y84" t="n">
        <x: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x:f>
        <x:v>2672.115565841893</x:v>
      </x:c>
      <x:c r="Z84" t="n">
        <x:f>Scenario_Data!U84</x:f>
        <x:v>-126.79999999999995</x:v>
      </x:c>
      <x:c r="AA84" t="n">
        <x: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x:f>
        <x:v>478.15408387641</x:v>
      </x:c>
      <x:c r="AB84" t="n">
        <x:f>Scenario_Data!V84</x:f>
        <x:v>-253.5999999999999</x:v>
      </x:c>
      <x:c r="AC84" t="n">
        <x: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x:f>
        <x:v>880.5229562915246</x:v>
      </x:c>
      <x:c r="AD84" t="n">
        <x:f>Scenario_Data!W84</x:f>
        <x:v>-253.5999999999999</x:v>
      </x:c>
      <x:c r="AE84" t="n">
        <x: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x:f>
        <x:v>820.5140417243678</x:v>
      </x:c>
      <x:c r="AG84" t="n">
        <x:f>Scenario_Data!T84</x:f>
        <x:v>-19.019999999999996</x:v>
      </x:c>
      <x:c r="AH84" t="n">
        <x:f>2*(SQRT((Inputs!$C$52+(Scenario_Data!B84))^2+Inputs!$C$52^2-2*(Inputs!$C$52+(Scenario_Data!B84))*Inputs!$C$52*COS(SQRT((Scenario_Data!T84)^2+Inputs!$C$6^2)/Inputs!$C$52))*1000)/Inputs!$C$21*1000000</x:f>
        <x:v>2681.5033576678143</x:v>
      </x:c>
      <x:c r="AI84" t="n">
        <x:f>Scenario_Data!U84</x:f>
        <x:v>-126.79999999999995</x:v>
      </x:c>
      <x:c r="AJ84" t="n">
        <x:f>2*(SQRT((Inputs!$C$52+(Scenario_Data!C84))^2+Inputs!$C$52^2-2*(Inputs!$C$52+(Scenario_Data!C84))*Inputs!$C$52*COS(SQRT((Scenario_Data!U84)^2+Inputs!$C$6^2)/Inputs!$C$52))*1000)/Inputs!$C$21*1000000</x:f>
        <x:v>1002.8724909144175</x:v>
      </x:c>
      <x:c r="AK84" t="n">
        <x:f>Scenario_Data!V84</x:f>
        <x:v>-253.5999999999999</x:v>
      </x:c>
      <x:c r="AL84" t="n">
        <x:f>2*(SQRT((Inputs!$C$52+(Scenario_Data!D84))^2+Inputs!$C$52^2-2*(Inputs!$C$52+(Scenario_Data!D84))*Inputs!$C$52*COS(SQRT((Scenario_Data!V84)^2+Inputs!$C$6^2)/Inputs!$C$52))*1000)/Inputs!$C$21*1000000</x:f>
        <x:v>1975.5218318440923</x:v>
      </x:c>
      <x:c r="AM84" t="n">
        <x:f>Scenario_Data!W84</x:f>
        <x:v>-253.5999999999999</x:v>
      </x:c>
      <x:c r="AN84" t="n">
        <x:f>2*(SQRT((Inputs!$C$52+(Scenario_Data!E84))^2+Inputs!$C$52^2-2*(Inputs!$C$52+(Scenario_Data!E84))*Inputs!$C$52*COS(SQRT((Scenario_Data!W84)^2+Inputs!$C$6^2)/Inputs!$C$52))*1000)/Inputs!$C$21*1000000</x:f>
        <x:v>1945.2511482815198</x:v>
      </x:c>
      <x:c r="AP84" t="n">
        <x:f>Scenario_Data!T84</x:f>
        <x:v>-19.019999999999996</x:v>
      </x:c>
      <x:c r="AQ84" t="n">
        <x: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x:f>
        <x:v>2679.101138360728</x:v>
      </x:c>
      <x:c r="AR84" t="n">
        <x:f>Scenario_Data!U84</x:f>
        <x:v>-126.79999999999995</x:v>
      </x:c>
      <x:c r="AS84" t="n">
        <x: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x:f>
        <x:v>1002.3635175983735</x:v>
      </x:c>
      <x:c r="AT84" t="n">
        <x:f>Scenario_Data!V84</x:f>
        <x:v>-253.5999999999999</x:v>
      </x:c>
      <x:c r="AU84" t="n">
        <x: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x:f>
        <x:v>1975.2592929672044</x:v>
      </x:c>
      <x:c r="AV84" t="n">
        <x:f>Scenario_Data!W84</x:f>
        <x:v>-253.5999999999999</x:v>
      </x:c>
      <x:c r="AW84" t="n">
        <x: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x:f>
        <x:v>1945.0061543286497</x:v>
      </x:c>
    </x:row>
    <x:row r="85">
      <x:c r="A85" t="n">
        <x:f>Chart_Data!K85</x:f>
        <x:v>-18.5</x:v>
      </x:c>
      <x:c r="B85" t="n">
        <x:f>Chart_Data!N85-Chart_Data!L85</x:f>
        <x:v>134.9294543629348</x:v>
      </x:c>
      <x:c r="D85" t="n">
        <x:f>Chart_Data!G85</x:f>
        <x:v>-18.5</x:v>
      </x:c>
      <x:c r="E85" t="n">
        <x:f>Chart_Data!H85</x:f>
        <x:v>365.6884368087795</x:v>
      </x:c>
      <x:c r="F85" t="n">
        <x:f>Chart_Data!I85</x:f>
        <x:v>365.6884368087795</x:v>
      </x:c>
      <x:c r="G85" t="n">
        <x:f>Chart_Data!J85</x:f>
        <x:v>-136.66366560462208</x:v>
      </x:c>
      <x:c r="I85" t="n">
        <x:f>Scenario_Data!A85</x:f>
        <x:v>-0.308</x:v>
      </x:c>
      <x:c r="J85" t="n">
        <x:f>Scenario_Data!H85-(((SQRT((Inputs!$C$52+(Inputs!$H$6))^2+Inputs!$C$52^2-2*(Inputs!$C$52+(Inputs!$H$6))*Inputs!$C$52*COS(SQRT((Scenario_Data!T85)^2+Inputs!$C$6^2)/Inputs!$C$52)))-(Inputs!$H$6))*1000/Inputs!$C$12)</x:f>
        <x:v>-0.6392930692547907</x:v>
      </x:c>
      <x:c r="K85" t="n">
        <x:f>Scenario_Data!I85-(((SQRT((Inputs!$C$52+(Inputs!$H$7))^2+Inputs!$C$52^2-2*(Inputs!$C$52+(Inputs!$H$7))*Inputs!$C$52*COS(SQRT((Scenario_Data!U85)^2+Inputs!$C$6^2)/Inputs!$C$52)))-(Inputs!$H$7))*1000/Inputs!$C$12)</x:f>
        <x:v>-11420.992588521869</x:v>
      </x:c>
      <x:c r="L85" t="n">
        <x:f>Scenario_Data!J85-(((SQRT((Inputs!$C$52+(Inputs!$H$8))^2+Inputs!$C$52^2-2*(Inputs!$C$52+(Inputs!$H$8))*Inputs!$C$52*COS(SQRT((Scenario_Data!V85)^2+Inputs!$C$6^2)/Inputs!$C$52)))-(Inputs!$H$8))*1000/Inputs!$C$12)</x:f>
        <x:v>-32283.3287901734</x:v>
      </x:c>
      <x:c r="M85" t="n">
        <x:f>Scenario_Data!K85-(((SQRT((Inputs!$C$52+(Inputs!$H$9))^2+Inputs!$C$52^2-2*(Inputs!$C$52+(Inputs!$H$9))*Inputs!$C$52*COS(SQRT((Scenario_Data!W85)^2+Inputs!$C$6^2)/Inputs!$C$52)))-(Inputs!$H$9))*1000/Inputs!$C$12)</x:f>
        <x:v>-34240.659083493854</x:v>
      </x:c>
      <x:c r="O85" t="n">
        <x:f>Scenario_Data!T85</x:f>
        <x:v>-18.480000000000004</x:v>
      </x:c>
      <x:c r="P85" t="n">
        <x:f>2*(Scenario_Data!B85*1000)/Inputs!$C$21*1000000</x:f>
        <x:v>2671.0442195313667</x:v>
      </x:c>
      <x:c r="Q85" t="n">
        <x:f>Scenario_Data!U85</x:f>
        <x:v>-123.20000000000005</x:v>
      </x:c>
      <x:c r="R85" t="n">
        <x:f>2*(Scenario_Data!C85*1000)/Inputs!$C$21*1000000</x:f>
        <x:v>464.49040422491237</x:v>
      </x:c>
      <x:c r="S85" t="n">
        <x:f>Scenario_Data!V85</x:f>
        <x:v>-246.4000000000001</x:v>
      </x:c>
      <x:c r="T85" t="n">
        <x:f>2*(Scenario_Data!D85*1000)/Inputs!$C$21*1000000</x:f>
        <x:v>844.2090961474427</x:v>
      </x:c>
      <x:c r="U85" t="n">
        <x:f>Scenario_Data!W85</x:f>
        <x:v>-246.4000000000001</x:v>
      </x:c>
      <x:c r="V85" t="n">
        <x:f>2*(Scenario_Data!E85*1000)/Inputs!$C$21*1000000</x:f>
        <x:v>783.8249219731875</x:v>
      </x:c>
      <x:c r="X85" t="n">
        <x:f>Scenario_Data!T85</x:f>
        <x:v>-18.480000000000004</x:v>
      </x:c>
      <x:c r="Y85" t="n">
        <x: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x:f>
        <x:v>2671.975172884264</x:v>
      </x:c>
      <x:c r="Z85" t="n">
        <x:f>Scenario_Data!U85</x:f>
        <x:v>-123.20000000000005</x:v>
      </x:c>
      <x:c r="AA85" t="n">
        <x: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x:f>
        <x:v>464.2648822613425</x:v>
      </x:c>
      <x:c r="AB85" t="n">
        <x:f>Scenario_Data!V85</x:f>
        <x:v>-246.4000000000001</x:v>
      </x:c>
      <x:c r="AC85" t="n">
        <x: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x:f>
        <x:v>843.8524115089195</x:v>
      </x:c>
      <x:c r="AD85" t="n">
        <x:f>Scenario_Data!W85</x:f>
        <x:v>-246.4000000000001</x:v>
      </x:c>
      <x:c r="AE85" t="n">
        <x: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x:f>
        <x:v>783.4682373346647</x:v>
      </x:c>
      <x:c r="AG85" t="n">
        <x:f>Scenario_Data!T85</x:f>
        <x:v>-18.480000000000004</x:v>
      </x:c>
      <x:c r="AH85" t="n">
        <x:f>2*(SQRT((Inputs!$C$52+(Scenario_Data!B85))^2+Inputs!$C$52^2-2*(Inputs!$C$52+(Scenario_Data!B85))*Inputs!$C$52*COS(SQRT((Scenario_Data!T85)^2+Inputs!$C$6^2)/Inputs!$C$52))*1000)/Inputs!$C$21*1000000</x:f>
        <x:v>2681.1425499551765</x:v>
      </x:c>
      <x:c r="AI85" t="n">
        <x:f>Scenario_Data!U85</x:f>
        <x:v>-123.20000000000005</x:v>
      </x:c>
      <x:c r="AJ85" t="n">
        <x:f>2*(SQRT((Inputs!$C$52+(Scenario_Data!C85))^2+Inputs!$C$52^2-2*(Inputs!$C$52+(Scenario_Data!C85))*Inputs!$C$52*COS(SQRT((Scenario_Data!U85)^2+Inputs!$C$6^2)/Inputs!$C$52))*1000)/Inputs!$C$21*1000000</x:f>
        <x:v>974.7145021127182</x:v>
      </x:c>
      <x:c r="AK85" t="n">
        <x:f>Scenario_Data!V85</x:f>
        <x:v>-246.4000000000001</x:v>
      </x:c>
      <x:c r="AL85" t="n">
        <x:f>2*(SQRT((Inputs!$C$52+(Scenario_Data!D85))^2+Inputs!$C$52^2-2*(Inputs!$C$52+(Scenario_Data!D85))*Inputs!$C$52*COS(SQRT((Scenario_Data!V85)^2+Inputs!$C$6^2)/Inputs!$C$52))*1000)/Inputs!$C$21*1000000</x:f>
        <x:v>1912.5218325119242</x:v>
      </x:c>
      <x:c r="AM85" t="n">
        <x:f>Scenario_Data!W85</x:f>
        <x:v>-246.4000000000001</x:v>
      </x:c>
      <x:c r="AN85" t="n">
        <x:f>2*(SQRT((Inputs!$C$52+(Scenario_Data!E85))^2+Inputs!$C$52^2-2*(Inputs!$C$52+(Scenario_Data!E85))*Inputs!$C$52*COS(SQRT((Scenario_Data!W85)^2+Inputs!$C$6^2)/Inputs!$C$52))*1000)/Inputs!$C$21*1000000</x:f>
        <x:v>1882.4543117385992</x:v>
      </x:c>
      <x:c r="AP85" t="n">
        <x:f>Scenario_Data!T85</x:f>
        <x:v>-18.480000000000004</x:v>
      </x:c>
      <x:c r="AQ85" t="n">
        <x: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x:f>
        <x:v>2678.620330554761</x:v>
      </x:c>
      <x:c r="AR85" t="n">
        <x:f>Scenario_Data!U85</x:f>
        <x:v>-123.20000000000005</x:v>
      </x:c>
      <x:c r="AS85" t="n">
        <x: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x:f>
        <x:v>974.1534456502709</x:v>
      </x:c>
      <x:c r="AT85" t="n">
        <x:f>Scenario_Data!V85</x:f>
        <x:v>-246.4000000000001</x:v>
      </x:c>
      <x:c r="AU85" t="n">
        <x: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x:f>
        <x:v>1911.982365755576</x:v>
      </x:c>
      <x:c r="AV85" t="n">
        <x:f>Scenario_Data!W85</x:f>
        <x:v>-246.4000000000001</x:v>
      </x:c>
      <x:c r="AW85" t="n">
        <x: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x:f>
        <x:v>1881.9527809601716</x:v>
      </x:c>
    </x:row>
    <x:row r="86">
      <x:c r="A86" t="n">
        <x:f>Chart_Data!K86</x:f>
        <x:v>-18</x:v>
      </x:c>
      <x:c r="B86" t="n">
        <x:f>Chart_Data!N86-Chart_Data!L86</x:f>
        <x:v>147.29813428303765</x:v>
      </x:c>
      <x:c r="D86" t="n">
        <x:f>Chart_Data!G86</x:f>
        <x:v>-18</x:v>
      </x:c>
      <x:c r="E86" t="n">
        <x:f>Chart_Data!H86</x:f>
        <x:v>392.0220541536099</x:v>
      </x:c>
      <x:c r="F86" t="n">
        <x:f>Chart_Data!I86</x:f>
        <x:v>392.0220541536099</x:v>
      </x:c>
      <x:c r="G86" t="n">
        <x:f>Chart_Data!J86</x:f>
        <x:v>-149.12259877495586</x:v>
      </x:c>
      <x:c r="I86" t="n">
        <x:f>Scenario_Data!A86</x:f>
        <x:v>-0.3</x:v>
      </x:c>
      <x:c r="J86" t="n">
        <x:f>Scenario_Data!H86-(((SQRT((Inputs!$C$52+(Inputs!$H$6))^2+Inputs!$C$52^2-2*(Inputs!$C$52+(Inputs!$H$6))*Inputs!$C$52*COS(SQRT((Scenario_Data!T86)^2+Inputs!$C$6^2)/Inputs!$C$52)))-(Inputs!$H$6))*1000/Inputs!$C$12)</x:f>
        <x:v>-0.5956213488765343</x:v>
      </x:c>
      <x:c r="K86" t="n">
        <x:f>Scenario_Data!I86-(((SQRT((Inputs!$C$52+(Inputs!$H$7))^2+Inputs!$C$52^2-2*(Inputs!$C$52+(Inputs!$H$7))*Inputs!$C$52*COS(SQRT((Scenario_Data!U86)^2+Inputs!$C$6^2)/Inputs!$C$52)))-(Inputs!$H$7))*1000/Inputs!$C$12)</x:f>
        <x:v>-10799.871032643307</x:v>
      </x:c>
      <x:c r="L86" t="n">
        <x:f>Scenario_Data!J86-(((SQRT((Inputs!$C$52+(Inputs!$H$8))^2+Inputs!$C$52^2-2*(Inputs!$C$52+(Inputs!$H$8))*Inputs!$C$52*COS(SQRT((Scenario_Data!V86)^2+Inputs!$C$6^2)/Inputs!$C$52)))-(Inputs!$H$8))*1000/Inputs!$C$12)</x:f>
        <x:v>-30741.8141453946</x:v>
      </x:c>
      <x:c r="M86" t="n">
        <x:f>Scenario_Data!K86-(((SQRT((Inputs!$C$52+(Inputs!$H$9))^2+Inputs!$C$52^2-2*(Inputs!$C$52+(Inputs!$H$9))*Inputs!$C$52*COS(SQRT((Scenario_Data!W86)^2+Inputs!$C$6^2)/Inputs!$C$52)))-(Inputs!$H$9))*1000/Inputs!$C$12)</x:f>
        <x:v>-32650.140682705838</x:v>
      </x:c>
      <x:c r="O86" t="n">
        <x:f>Scenario_Data!T86</x:f>
        <x:v>-18</x:v>
      </x:c>
      <x:c r="P86" t="n">
        <x:f>2*(Scenario_Data!B86*1000)/Inputs!$C$21*1000000</x:f>
        <x:v>2670.914423070643</x:v>
      </x:c>
      <x:c r="Q86" t="n">
        <x:f>Scenario_Data!U86</x:f>
        <x:v>-120</x:v>
      </x:c>
      <x:c r="R86" t="n">
        <x:f>2*(Scenario_Data!C86*1000)/Inputs!$C$21*1000000</x:f>
        <x:v>452.64647718389233</x:v>
      </x:c>
      <x:c r="S86" t="n">
        <x:f>Scenario_Data!V86</x:f>
        <x:v>-240</x:v>
      </x:c>
      <x:c r="T86" t="n">
        <x:f>2*(Scenario_Data!D86*1000)/Inputs!$C$21*1000000</x:f>
        <x:v>812.8956999978966</x:v>
      </x:c>
      <x:c r="U86" t="n">
        <x:f>Scenario_Data!W86</x:f>
        <x:v>-240</x:v>
      </x:c>
      <x:c r="V86" t="n">
        <x:f>2*(Scenario_Data!E86*1000)/Inputs!$C$21*1000000</x:f>
        <x:v>752.1870346718329</x:v>
      </x:c>
      <x:c r="X86" t="n">
        <x:f>Scenario_Data!T86</x:f>
        <x:v>-18</x:v>
      </x:c>
      <x:c r="Y86" t="n">
        <x: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x:f>
        <x:v>2671.9092619653225</x:v>
      </x:c>
      <x:c r="Z86" t="n">
        <x:f>Scenario_Data!U86</x:f>
        <x:v>-120</x:v>
      </x:c>
      <x:c r="AA86" t="n">
        <x: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x:f>
        <x:v>452.12513673633794</x:v>
      </x:c>
      <x:c r="AB86" t="n">
        <x:f>Scenario_Data!V86</x:f>
        <x:v>-240</x:v>
      </x:c>
      <x:c r="AC86" t="n">
        <x: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x:f>
        <x:v>813.2058487052462</x:v>
      </x:c>
      <x:c r="AD86" t="n">
        <x:f>Scenario_Data!W86</x:f>
        <x:v>-240</x:v>
      </x:c>
      <x:c r="AE86" t="n">
        <x: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x:f>
        <x:v>752.4971833791826</x:v>
      </x:c>
      <x:c r="AG86" t="n">
        <x:f>Scenario_Data!T86</x:f>
        <x:v>-18</x:v>
      </x:c>
      <x:c r="AH86" t="n">
        <x:f>2*(SQRT((Inputs!$C$52+(Scenario_Data!B86))^2+Inputs!$C$52^2-2*(Inputs!$C$52+(Scenario_Data!B86))*Inputs!$C$52*COS(SQRT((Scenario_Data!T86)^2+Inputs!$C$6^2)/Inputs!$C$52))*1000)/Inputs!$C$21*1000000</x:f>
        <x:v>2680.8305268137187</x:v>
      </x:c>
      <x:c r="AI86" t="n">
        <x:f>Scenario_Data!U86</x:f>
        <x:v>-120</x:v>
      </x:c>
      <x:c r="AJ86" t="n">
        <x:f>2*(SQRT((Inputs!$C$52+(Scenario_Data!C86))^2+Inputs!$C$52^2-2*(Inputs!$C$52+(Scenario_Data!C86))*Inputs!$C$52*COS(SQRT((Scenario_Data!U86)^2+Inputs!$C$6^2)/Inputs!$C$52))*1000)/Inputs!$C$21*1000000</x:f>
        <x:v>949.8959568514337</x:v>
      </x:c>
      <x:c r="AK86" t="n">
        <x:f>Scenario_Data!V86</x:f>
        <x:v>-240</x:v>
      </x:c>
      <x:c r="AL86" t="n">
        <x:f>2*(SQRT((Inputs!$C$52+(Scenario_Data!D86))^2+Inputs!$C$52^2-2*(Inputs!$C$52+(Scenario_Data!D86))*Inputs!$C$52*COS(SQRT((Scenario_Data!V86)^2+Inputs!$C$6^2)/Inputs!$C$52))*1000)/Inputs!$C$21*1000000</x:f>
        <x:v>1857.1231620816707</x:v>
      </x:c>
      <x:c r="AM86" t="n">
        <x:f>Scenario_Data!W86</x:f>
        <x:v>-240</x:v>
      </x:c>
      <x:c r="AN86" t="n">
        <x:f>2*(SQRT((Inputs!$C$52+(Scenario_Data!E86))^2+Inputs!$C$52^2-2*(Inputs!$C$52+(Scenario_Data!E86))*Inputs!$C$52*COS(SQRT((Scenario_Data!W86)^2+Inputs!$C$6^2)/Inputs!$C$52))*1000)/Inputs!$C$21*1000000</x:f>
        <x:v>1827.2421550832848</x:v>
      </x:c>
      <x:c r="AP86" t="n">
        <x:f>Scenario_Data!T86</x:f>
        <x:v>-18</x:v>
      </x:c>
      <x:c r="AQ86" t="n">
        <x: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x:f>
        <x:v>2678.2274086948387</x:v>
      </x:c>
      <x:c r="AR86" t="n">
        <x:f>Scenario_Data!U86</x:f>
        <x:v>-120</x:v>
      </x:c>
      <x:c r="AS86" t="n">
        <x: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x:f>
        <x:v>949.3439263517315</x:v>
      </x:c>
      <x:c r="AT86" t="n">
        <x:f>Scenario_Data!V86</x:f>
        <x:v>-240</x:v>
      </x:c>
      <x:c r="AU86" t="n">
        <x: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x:f>
        <x:v>1856.953435568455</x:v>
      </x:c>
      <x:c r="AV86" t="n">
        <x:f>Scenario_Data!W86</x:f>
        <x:v>-240</x:v>
      </x:c>
      <x:c r="AW86" t="n">
        <x: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x:f>
        <x:v>1827.0848976277111</x:v>
      </x:c>
    </x:row>
    <x:row r="87">
      <x:c r="A87" t="n">
        <x:f>Chart_Data!K87</x:f>
        <x:v>-17.5</x:v>
      </x:c>
      <x:c r="B87" t="n">
        <x:f>Chart_Data!N87-Chart_Data!L87</x:f>
        <x:v>137.25939183843724</x:v>
      </x:c>
      <x:c r="D87" t="n">
        <x:f>Chart_Data!G87</x:f>
        <x:v>-17.5</x:v>
      </x:c>
      <x:c r="E87" t="n">
        <x:f>Chart_Data!H87</x:f>
        <x:v>397.07097057156574</x:v>
      </x:c>
      <x:c r="F87" t="n">
        <x:f>Chart_Data!I87</x:f>
        <x:v>397.07097057156574</x:v>
      </x:c>
      <x:c r="G87" t="n">
        <x:f>Chart_Data!J87</x:f>
        <x:v>-139.0731304771746</x:v>
      </x:c>
      <x:c r="I87" t="n">
        <x:f>Scenario_Data!A87</x:f>
        <x:v>-0.292</x:v>
      </x:c>
      <x:c r="J87" t="n">
        <x:f>Scenario_Data!H87-(((SQRT((Inputs!$C$52+(Inputs!$H$6))^2+Inputs!$C$52^2-2*(Inputs!$C$52+(Inputs!$H$6))*Inputs!$C$52*COS(SQRT((Scenario_Data!T87)^2+Inputs!$C$6^2)/Inputs!$C$52)))-(Inputs!$H$6))*1000/Inputs!$C$12)</x:f>
        <x:v>-0.554227051803764</x:v>
      </x:c>
      <x:c r="K87" t="n">
        <x:f>Scenario_Data!I87-(((SQRT((Inputs!$C$52+(Inputs!$H$7))^2+Inputs!$C$52^2-2*(Inputs!$C$52+(Inputs!$H$7))*Inputs!$C$52*COS(SQRT((Scenario_Data!U87)^2+Inputs!$C$6^2)/Inputs!$C$52)))-(Inputs!$H$7))*1000/Inputs!$C$12)</x:f>
        <x:v>-10193.291736298073</x:v>
      </x:c>
      <x:c r="L87" t="n">
        <x:f>Scenario_Data!J87-(((SQRT((Inputs!$C$52+(Inputs!$H$8))^2+Inputs!$C$52^2-2*(Inputs!$C$52+(Inputs!$H$8))*Inputs!$C$52*COS(SQRT((Scenario_Data!V87)^2+Inputs!$C$6^2)/Inputs!$C$52)))-(Inputs!$H$8))*1000/Inputs!$C$12)</x:f>
        <x:v>-29225.110156037</x:v>
      </x:c>
      <x:c r="M87" t="n">
        <x:f>Scenario_Data!K87-(((SQRT((Inputs!$C$52+(Inputs!$H$9))^2+Inputs!$C$52^2-2*(Inputs!$C$52+(Inputs!$H$9))*Inputs!$C$52*COS(SQRT((Scenario_Data!W87)^2+Inputs!$C$6^2)/Inputs!$C$52)))-(Inputs!$H$9))*1000/Inputs!$C$12)</x:f>
        <x:v>-31083.849529375264</x:v>
      </x:c>
      <x:c r="O87" t="n">
        <x:f>Scenario_Data!T87</x:f>
        <x:v>-17.520000000000003</x:v>
      </x:c>
      <x:c r="P87" t="n">
        <x:f>2*(Scenario_Data!B87*1000)/Inputs!$C$21*1000000</x:f>
        <x:v>2670.7880423062543</x:v>
      </x:c>
      <x:c r="Q87" t="n">
        <x:f>Scenario_Data!U87</x:f>
        <x:v>-116.80000000000001</x:v>
      </x:c>
      <x:c r="R87" t="n">
        <x:f>2*(Scenario_Data!C87*1000)/Inputs!$C$21*1000000</x:f>
        <x:v>441.11423243342574</x:v>
      </x:c>
      <x:c r="S87" t="n">
        <x:f>Scenario_Data!V87</x:f>
        <x:v>-233.60000000000002</x:v>
      </x:c>
      <x:c r="T87" t="n">
        <x:f>2*(Scenario_Data!D87*1000)/Inputs!$C$21*1000000</x:f>
        <x:v>782.4063405891286</x:v>
      </x:c>
      <x:c r="U87" t="n">
        <x:f>Scenario_Data!W87</x:f>
        <x:v>-233.60000000000002</x:v>
      </x:c>
      <x:c r="V87" t="n">
        <x:f>2*(Scenario_Data!E87*1000)/Inputs!$C$21*1000000</x:f>
        <x:v>721.3817233520933</x:v>
      </x:c>
      <x:c r="X87" t="n">
        <x:f>Scenario_Data!T87</x:f>
        <x:v>-17.520000000000003</x:v>
      </x:c>
      <x:c r="Y87" t="n">
        <x: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x:f>
        <x:v>2671.617255107805</x:v>
      </x:c>
      <x:c r="Z87" t="n">
        <x:f>Scenario_Data!U87</x:f>
        <x:v>-116.80000000000001</x:v>
      </x:c>
      <x:c r="AA87" t="n">
        <x: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x:f>
        <x:v>440.789520058493</x:v>
      </x:c>
      <x:c r="AB87" t="n">
        <x:f>Scenario_Data!V87</x:f>
        <x:v>-233.60000000000002</x:v>
      </x:c>
      <x:c r="AC87" t="n">
        <x: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x:f>
        <x:v>782.2383189807096</x:v>
      </x:c>
      <x:c r="AD87" t="n">
        <x:f>Scenario_Data!W87</x:f>
        <x:v>-233.60000000000002</x:v>
      </x:c>
      <x:c r="AE87" t="n">
        <x: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x:f>
        <x:v>721.2137017436742</x:v>
      </x:c>
      <x:c r="AG87" t="n">
        <x:f>Scenario_Data!T87</x:f>
        <x:v>-17.520000000000003</x:v>
      </x:c>
      <x:c r="AH87" t="n">
        <x:f>2*(SQRT((Inputs!$C$52+(Scenario_Data!B87))^2+Inputs!$C$52^2-2*(Inputs!$C$52+(Scenario_Data!B87))*Inputs!$C$52*COS(SQRT((Scenario_Data!T87)^2+Inputs!$C$6^2)/Inputs!$C$52))*1000)/Inputs!$C$21*1000000</x:f>
        <x:v>2680.526689218967</x:v>
      </x:c>
      <x:c r="AI87" t="n">
        <x:f>Scenario_Data!U87</x:f>
        <x:v>-116.80000000000001</x:v>
      </x:c>
      <x:c r="AJ87" t="n">
        <x:f>2*(SQRT((Inputs!$C$52+(Scenario_Data!C87))^2+Inputs!$C$52^2-2*(Inputs!$C$52+(Scenario_Data!C87))*Inputs!$C$52*COS(SQRT((Scenario_Data!U87)^2+Inputs!$C$6^2)/Inputs!$C$52))*1000)/Inputs!$C$21*1000000</x:f>
        <x:v>925.2765339546444</x:v>
      </x:c>
      <x:c r="AK87" t="n">
        <x:f>Scenario_Data!V87</x:f>
        <x:v>-233.60000000000002</x:v>
      </x:c>
      <x:c r="AL87" t="n">
        <x:f>2*(SQRT((Inputs!$C$52+(Scenario_Data!D87))^2+Inputs!$C$52^2-2*(Inputs!$C$52+(Scenario_Data!D87))*Inputs!$C$52*COS(SQRT((Scenario_Data!V87)^2+Inputs!$C$6^2)/Inputs!$C$52))*1000)/Inputs!$C$21*1000000</x:f>
        <x:v>1802.2819043727304</x:v>
      </x:c>
      <x:c r="AM87" t="n">
        <x:f>Scenario_Data!W87</x:f>
        <x:v>-233.60000000000002</x:v>
      </x:c>
      <x:c r="AN87" t="n">
        <x:f>2*(SQRT((Inputs!$C$52+(Scenario_Data!E87))^2+Inputs!$C$52^2-2*(Inputs!$C$52+(Scenario_Data!E87))*Inputs!$C$52*COS(SQRT((Scenario_Data!W87)^2+Inputs!$C$6^2)/Inputs!$C$52))*1000)/Inputs!$C$21*1000000</x:f>
        <x:v>1772.5920499108024</x:v>
      </x:c>
      <x:c r="AP87" t="n">
        <x:f>Scenario_Data!T87</x:f>
        <x:v>-17.520000000000003</x:v>
      </x:c>
      <x:c r="AQ87" t="n">
        <x: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x:f>
        <x:v>2677.901102367137</x:v>
      </x:c>
      <x:c r="AR87" t="n">
        <x:f>Scenario_Data!U87</x:f>
        <x:v>-116.80000000000001</x:v>
      </x:c>
      <x:c r="AS87" t="n">
        <x: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x:f>
        <x:v>924.7866303079909</x:v>
      </x:c>
      <x:c r="AT87" t="n">
        <x:f>Scenario_Data!V87</x:f>
        <x:v>-233.60000000000002</x:v>
      </x:c>
      <x:c r="AU87" t="n">
        <x: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x:f>
        <x:v>1801.9356748527755</x:v>
      </x:c>
      <x:c r="AV87" t="n">
        <x:f>Scenario_Data!W87</x:f>
        <x:v>-233.60000000000002</x:v>
      </x:c>
      <x:c r="AW87" t="n">
        <x: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x:f>
        <x:v>1772.2724325966283</x:v>
      </x:c>
    </x:row>
    <x:row r="88">
      <x:c r="A88" t="n">
        <x:f>Chart_Data!K88</x:f>
        <x:v>-17</x:v>
      </x:c>
      <x:c r="B88" t="n">
        <x:f>Chart_Data!N88-Chart_Data!L88</x:f>
        <x:v>123.99875892548812</x:v>
      </x:c>
      <x:c r="D88" t="n">
        <x:f>Chart_Data!G88</x:f>
        <x:v>-17</x:v>
      </x:c>
      <x:c r="E88" t="n">
        <x:f>Chart_Data!H88</x:f>
        <x:v>381.37310246850825</x:v>
      </x:c>
      <x:c r="F88" t="n">
        <x:f>Chart_Data!I88</x:f>
        <x:v>381.37310246850825</x:v>
      </x:c>
      <x:c r="G88" t="n">
        <x:f>Chart_Data!J88</x:f>
        <x:v>-125.70874899839603</x:v>
      </x:c>
      <x:c r="I88" t="n">
        <x:f>Scenario_Data!A88</x:f>
        <x:v>-0.283</x:v>
      </x:c>
      <x:c r="J88" t="n">
        <x:f>Scenario_Data!H88-(((SQRT((Inputs!$C$52+(Inputs!$H$6))^2+Inputs!$C$52^2-2*(Inputs!$C$52+(Inputs!$H$6))*Inputs!$C$52*COS(SQRT((Scenario_Data!T88)^2+Inputs!$C$6^2)/Inputs!$C$52)))-(Inputs!$H$6))*1000/Inputs!$C$12)</x:f>
        <x:v>-0.5102690384285324</x:v>
      </x:c>
      <x:c r="K88" t="n">
        <x:f>Scenario_Data!I88-(((SQRT((Inputs!$C$52+(Inputs!$H$7))^2+Inputs!$C$52^2-2*(Inputs!$C$52+(Inputs!$H$7))*Inputs!$C$52*COS(SQRT((Scenario_Data!U88)^2+Inputs!$C$6^2)/Inputs!$C$52)))-(Inputs!$H$7))*1000/Inputs!$C$12)</x:f>
        <x:v>-9528.637373909565</x:v>
      </x:c>
      <x:c r="L88" t="n">
        <x:f>Scenario_Data!J88-(((SQRT((Inputs!$C$52+(Inputs!$H$8))^2+Inputs!$C$52^2-2*(Inputs!$C$52+(Inputs!$H$8))*Inputs!$C$52*COS(SQRT((Scenario_Data!V88)^2+Inputs!$C$6^2)/Inputs!$C$52)))-(Inputs!$H$8))*1000/Inputs!$C$12)</x:f>
        <x:v>-27549.64613181504</x:v>
      </x:c>
      <x:c r="M88" t="n">
        <x:f>Scenario_Data!K88-(((SQRT((Inputs!$C$52+(Inputs!$H$9))^2+Inputs!$C$52^2-2*(Inputs!$C$52+(Inputs!$H$9))*Inputs!$C$52*COS(SQRT((Scenario_Data!W88)^2+Inputs!$C$6^2)/Inputs!$C$52)))-(Inputs!$H$9))*1000/Inputs!$C$12)</x:f>
        <x:v>-29351.91580166448</x:v>
      </x:c>
      <x:c r="O88" t="n">
        <x:f>Scenario_Data!T88</x:f>
        <x:v>-16.979999999999997</x:v>
      </x:c>
      <x:c r="P88" t="n">
        <x:f>2*(Scenario_Data!B88*1000)/Inputs!$C$21*1000000</x:f>
        <x:v>2670.6499467708427</x:v>
      </x:c>
      <x:c r="Q88" t="n">
        <x:f>Scenario_Data!U88</x:f>
        <x:v>-113.19999999999999</x:v>
      </x:c>
      <x:c r="R88" t="n">
        <x:f>2*(Scenario_Data!C88*1000)/Inputs!$C$21*1000000</x:f>
        <x:v>428.5130148270775</x:v>
      </x:c>
      <x:c r="S88" t="n">
        <x:f>Scenario_Data!V88</x:f>
        <x:v>-226.39999999999998</x:v>
      </x:c>
      <x:c r="T88" t="n">
        <x:f>2*(Scenario_Data!D88*1000)/Inputs!$C$21*1000000</x:f>
        <x:v>749.090792670975</x:v>
      </x:c>
      <x:c r="U88" t="n">
        <x:f>Scenario_Data!W88</x:f>
        <x:v>-226.39999999999998</x:v>
      </x:c>
      <x:c r="V88" t="n">
        <x:f>2*(Scenario_Data!E88*1000)/Inputs!$C$21*1000000</x:f>
        <x:v>687.7209365954095</x:v>
      </x:c>
      <x:c r="X88" t="n">
        <x:f>Scenario_Data!T88</x:f>
        <x:v>-16.979999999999997</x:v>
      </x:c>
      <x:c r="Y88" t="n">
        <x: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x:f>
        <x:v>2671.4755777744185</x:v>
      </x:c>
      <x:c r="Z88" t="n">
        <x:f>Scenario_Data!U88</x:f>
        <x:v>-113.19999999999999</x:v>
      </x:c>
      <x:c r="AA88" t="n">
        <x: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x:f>
        <x:v>428.42468286207804</x:v>
      </x:c>
      <x:c r="AB88" t="n">
        <x:f>Scenario_Data!V88</x:f>
        <x:v>-226.39999999999998</x:v>
      </x:c>
      <x:c r="AC88" t="n">
        <x: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x:f>
        <x:v>748.9308676883384</x:v>
      </x:c>
      <x:c r="AD88" t="n">
        <x:f>Scenario_Data!W88</x:f>
        <x:v>-226.39999999999998</x:v>
      </x:c>
      <x:c r="AE88" t="n">
        <x: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x:f>
        <x:v>687.5610116127729</x:v>
      </x:c>
      <x:c r="AG88" t="n">
        <x:f>Scenario_Data!T88</x:f>
        <x:v>-16.979999999999997</x:v>
      </x:c>
      <x:c r="AH88" t="n">
        <x:f>2*(SQRT((Inputs!$C$52+(Scenario_Data!B88))^2+Inputs!$C$52^2-2*(Inputs!$C$52+(Scenario_Data!B88))*Inputs!$C$52*COS(SQRT((Scenario_Data!T88)^2+Inputs!$C$6^2)/Inputs!$C$52))*1000)/Inputs!$C$21*1000000</x:f>
        <x:v>2680.1946587476814</x:v>
      </x:c>
      <x:c r="AI88" t="n">
        <x:f>Scenario_Data!U88</x:f>
        <x:v>-113.19999999999999</x:v>
      </x:c>
      <x:c r="AJ88" t="n">
        <x:f>2*(SQRT((Inputs!$C$52+(Scenario_Data!C88))^2+Inputs!$C$52^2-2*(Inputs!$C$52+(Scenario_Data!C88))*Inputs!$C$52*COS(SQRT((Scenario_Data!U88)^2+Inputs!$C$6^2)/Inputs!$C$52))*1000)/Inputs!$C$21*1000000</x:f>
        <x:v>897.8190596262613</x:v>
      </x:c>
      <x:c r="AK88" t="n">
        <x:f>Scenario_Data!V88</x:f>
        <x:v>-226.39999999999998</x:v>
      </x:c>
      <x:c r="AL88" t="n">
        <x:f>2*(SQRT((Inputs!$C$52+(Scenario_Data!D88))^2+Inputs!$C$52^2-2*(Inputs!$C$52+(Scenario_Data!D88))*Inputs!$C$52*COS(SQRT((Scenario_Data!V88)^2+Inputs!$C$6^2)/Inputs!$C$52))*1000)/Inputs!$C$21*1000000</x:f>
        <x:v>1741.2416393615815</x:v>
      </x:c>
      <x:c r="AM88" t="n">
        <x:f>Scenario_Data!W88</x:f>
        <x:v>-226.39999999999998</x:v>
      </x:c>
      <x:c r="AN88" t="n">
        <x:f>2*(SQRT((Inputs!$C$52+(Scenario_Data!E88))^2+Inputs!$C$52^2-2*(Inputs!$C$52+(Scenario_Data!E88))*Inputs!$C$52*COS(SQRT((Scenario_Data!W88)^2+Inputs!$C$6^2)/Inputs!$C$52))*1000)/Inputs!$C$21*1000000</x:f>
        <x:v>1711.7711368171172</x:v>
      </x:c>
      <x:c r="AP88" t="n">
        <x:f>Scenario_Data!T88</x:f>
        <x:v>-16.979999999999997</x:v>
      </x:c>
      <x:c r="AQ88" t="n">
        <x: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x:f>
        <x:v>2677.5923280337583</x:v>
      </x:c>
      <x:c r="AR88" t="n">
        <x:f>Scenario_Data!U88</x:f>
        <x:v>-113.19999999999999</x:v>
      </x:c>
      <x:c r="AS88" t="n">
        <x: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x:f>
        <x:v>897.5024239250529</x:v>
      </x:c>
      <x:c r="AT88" t="n">
        <x:f>Scenario_Data!V88</x:f>
        <x:v>-226.39999999999998</x:v>
      </x:c>
      <x:c r="AU88" t="n">
        <x: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x:f>
        <x:v>1740.8922865861819</x:v>
      </x:c>
      <x:c r="AV88" t="n">
        <x:f>Scenario_Data!W88</x:f>
        <x:v>-226.39999999999998</x:v>
      </x:c>
      <x:c r="AW88" t="n">
        <x: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x:f>
        <x:v>1711.4500227839458</x:v>
      </x:c>
    </x:row>
    <x:row r="89">
      <x:c r="A89" t="n">
        <x:f>Chart_Data!K89</x:f>
        <x:v>-16.5</x:v>
      </x:c>
      <x:c r="B89" t="n">
        <x:f>Chart_Data!N89-Chart_Data!L89</x:f>
        <x:v>122.1642571318593</x:v>
      </x:c>
      <x:c r="D89" t="n">
        <x:f>Chart_Data!G89</x:f>
        <x:v>-16.5</x:v>
      </x:c>
      <x:c r="E89" t="n">
        <x:f>Chart_Data!H89</x:f>
        <x:v>387.1431058674635</x:v>
      </x:c>
      <x:c r="F89" t="n">
        <x:f>Chart_Data!I89</x:f>
        <x:v>387.1431058674635</x:v>
      </x:c>
      <x:c r="G89" t="n">
        <x:f>Chart_Data!J89</x:f>
        <x:v>-123.86861357235706</x:v>
      </x:c>
      <x:c r="I89" t="n">
        <x:f>Scenario_Data!A89</x:f>
        <x:v>-0.275</x:v>
      </x:c>
      <x:c r="J89" t="n">
        <x:f>Scenario_Data!H89-(((SQRT((Inputs!$C$52+(Inputs!$H$6))^2+Inputs!$C$52^2-2*(Inputs!$C$52+(Inputs!$H$6))*Inputs!$C$52*COS(SQRT((Scenario_Data!T89)^2+Inputs!$C$6^2)/Inputs!$C$52)))-(Inputs!$H$6))*1000/Inputs!$C$12)</x:f>
        <x:v>-0.4734191912100414</x:v>
      </x:c>
      <x:c r="K89" t="n">
        <x:f>Scenario_Data!I89-(((SQRT((Inputs!$C$52+(Inputs!$H$7))^2+Inputs!$C$52^2-2*(Inputs!$C$52+(Inputs!$H$7))*Inputs!$C$52*COS(SQRT((Scenario_Data!U89)^2+Inputs!$C$6^2)/Inputs!$C$52)))-(Inputs!$H$7))*1000/Inputs!$C$12)</x:f>
        <x:v>-8953.936813090862</x:v>
      </x:c>
      <x:c r="L89" t="n">
        <x:f>Scenario_Data!J89-(((SQRT((Inputs!$C$52+(Inputs!$H$8))^2+Inputs!$C$52^2-2*(Inputs!$C$52+(Inputs!$H$8))*Inputs!$C$52*COS(SQRT((Scenario_Data!V89)^2+Inputs!$C$6^2)/Inputs!$C$52)))-(Inputs!$H$8))*1000/Inputs!$C$12)</x:f>
        <x:v>-26088.809681649203</x:v>
      </x:c>
      <x:c r="M89" t="n">
        <x:f>Scenario_Data!K89-(((SQRT((Inputs!$C$52+(Inputs!$H$9))^2+Inputs!$C$52^2-2*(Inputs!$C$52+(Inputs!$H$9))*Inputs!$C$52*COS(SQRT((Scenario_Data!W89)^2+Inputs!$C$6^2)/Inputs!$C$52)))-(Inputs!$H$9))*1000/Inputs!$C$12)</x:f>
        <x:v>-27840.288392506118</x:v>
      </x:c>
      <x:c r="O89" t="n">
        <x:f>Scenario_Data!T89</x:f>
        <x:v>-16.5</x:v>
      </x:c>
      <x:c r="P89" t="n">
        <x:f>2*(Scenario_Data!B89*1000)/Inputs!$C$21*1000000</x:f>
        <x:v>2670.5308243611653</x:v>
      </x:c>
      <x:c r="Q89" t="n">
        <x:f>Scenario_Data!U89</x:f>
        <x:v>-110</x:v>
      </x:c>
      <x:c r="R89" t="n">
        <x:f>2*(Scenario_Data!C89*1000)/Inputs!$C$21*1000000</x:f>
        <x:v>417.6430949440363</x:v>
      </x:c>
      <x:c r="S89" t="n">
        <x:f>Scenario_Data!V89</x:f>
        <x:v>-220</x:v>
      </x:c>
      <x:c r="T89" t="n">
        <x:f>2*(Scenario_Data!D89*1000)/Inputs!$C$21*1000000</x:f>
        <x:v>720.3525113363593</x:v>
      </x:c>
      <x:c r="U89" t="n">
        <x:f>Scenario_Data!W89</x:f>
        <x:v>-220</x:v>
      </x:c>
      <x:c r="V89" t="n">
        <x:f>2*(Scenario_Data!E89*1000)/Inputs!$C$21*1000000</x:f>
        <x:v>658.6848492366009</x:v>
      </x:c>
      <x:c r="X89" t="n">
        <x:f>Scenario_Data!T89</x:f>
        <x:v>-16.5</x:v>
      </x:c>
      <x:c r="Y89" t="n">
        <x: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x:f>
        <x:v>2671.3571868013596</x:v>
      </x:c>
      <x:c r="Z89" t="n">
        <x:f>Scenario_Data!U89</x:f>
        <x:v>-110</x:v>
      </x:c>
      <x:c r="AA89" t="n">
        <x: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x:f>
        <x:v>417.67037608062077</x:v>
      </x:c>
      <x:c r="AB89" t="n">
        <x:f>Scenario_Data!V89</x:f>
        <x:v>-220</x:v>
      </x:c>
      <x:c r="AC89" t="n">
        <x: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x:f>
        <x:v>720.4332419129369</x:v>
      </x:c>
      <x:c r="AD89" t="n">
        <x:f>Scenario_Data!W89</x:f>
        <x:v>-220</x:v>
      </x:c>
      <x:c r="AE89" t="n">
        <x: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x:f>
        <x:v>658.7655798131786</x:v>
      </x:c>
      <x:c r="AG89" t="n">
        <x:f>Scenario_Data!T89</x:f>
        <x:v>-16.5</x:v>
      </x:c>
      <x:c r="AH89" t="n">
        <x:f>2*(SQRT((Inputs!$C$52+(Scenario_Data!B89))^2+Inputs!$C$52^2-2*(Inputs!$C$52+(Scenario_Data!B89))*Inputs!$C$52*COS(SQRT((Scenario_Data!T89)^2+Inputs!$C$6^2)/Inputs!$C$52))*1000)/Inputs!$C$21*1000000</x:f>
        <x:v>2679.9082221420913</x:v>
      </x:c>
      <x:c r="AI89" t="n">
        <x:f>Scenario_Data!U89</x:f>
        <x:v>-110</x:v>
      </x:c>
      <x:c r="AJ89" t="n">
        <x:f>2*(SQRT((Inputs!$C$52+(Scenario_Data!C89))^2+Inputs!$C$52^2-2*(Inputs!$C$52+(Scenario_Data!C89))*Inputs!$C$52*COS(SQRT((Scenario_Data!U89)^2+Inputs!$C$6^2)/Inputs!$C$52))*1000)/Inputs!$C$21*1000000</x:f>
        <x:v>873.6268737519111</x:v>
      </x:c>
      <x:c r="AK89" t="n">
        <x:f>Scenario_Data!V89</x:f>
        <x:v>-220</x:v>
      </x:c>
      <x:c r="AL89" t="n">
        <x:f>2*(SQRT((Inputs!$C$52+(Scenario_Data!D89))^2+Inputs!$C$52^2-2*(Inputs!$C$52+(Scenario_Data!D89))*Inputs!$C$52*COS(SQRT((Scenario_Data!V89)^2+Inputs!$C$6^2)/Inputs!$C$52))*1000)/Inputs!$C$21*1000000</x:f>
        <x:v>1687.557977658393</x:v>
      </x:c>
      <x:c r="AM89" t="n">
        <x:f>Scenario_Data!W89</x:f>
        <x:v>-220</x:v>
      </x:c>
      <x:c r="AN89" t="n">
        <x:f>2*(SQRT((Inputs!$C$52+(Scenario_Data!E89))^2+Inputs!$C$52^2-2*(Inputs!$C$52+(Scenario_Data!E89))*Inputs!$C$52*COS(SQRT((Scenario_Data!W89)^2+Inputs!$C$6^2)/Inputs!$C$52))*1000)/Inputs!$C$21*1000000</x:f>
        <x:v>1658.2850643618456</x:v>
      </x:c>
      <x:c r="AP89" t="n">
        <x:f>Scenario_Data!T89</x:f>
        <x:v>-16.5</x:v>
      </x:c>
      <x:c r="AQ89" t="n">
        <x: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x:f>
        <x:v>2677.336851587953</x:v>
      </x:c>
      <x:c r="AR89" t="n">
        <x:f>Scenario_Data!U89</x:f>
        <x:v>-110</x:v>
      </x:c>
      <x:c r="AS89" t="n">
        <x: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x:f>
        <x:v>873.2708000463136</x:v>
      </x:c>
      <x:c r="AT89" t="n">
        <x:f>Scenario_Data!V89</x:f>
        <x:v>-220</x:v>
      </x:c>
      <x:c r="AU89" t="n">
        <x: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x:f>
        <x:v>1687.4158648553757</x:v>
      </x:c>
      <x:c r="AV89" t="n">
        <x:f>Scenario_Data!W89</x:f>
        <x:v>-220</x:v>
      </x:c>
      <x:c r="AW89" t="n">
        <x: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x:f>
        <x:v>1658.1549567841441</x:v>
      </x:c>
    </x:row>
    <x:row r="90">
      <x:c r="A90" t="n">
        <x:f>Chart_Data!K90</x:f>
        <x:v>-16</x:v>
      </x:c>
      <x:c r="B90" t="n">
        <x:f>Chart_Data!N90-Chart_Data!L90</x:f>
        <x:v>95.69343337780924</x:v>
      </x:c>
      <x:c r="D90" t="n">
        <x:f>Chart_Data!G90</x:f>
        <x:v>-16</x:v>
      </x:c>
      <x:c r="E90" t="n">
        <x:f>Chart_Data!H90</x:f>
        <x:v>413.2956148642764</x:v>
      </x:c>
      <x:c r="F90" t="n">
        <x:f>Chart_Data!I90</x:f>
        <x:v>413.2956148642764</x:v>
      </x:c>
      <x:c r="G90" t="n">
        <x:f>Chart_Data!J90</x:f>
        <x:v>-97.48037396441562</x:v>
      </x:c>
      <x:c r="I90" t="n">
        <x:f>Scenario_Data!A90</x:f>
        <x:v>-0.267</x:v>
      </x:c>
      <x:c r="J90" t="n">
        <x:f>Scenario_Data!H90-(((SQRT((Inputs!$C$52+(Inputs!$H$6))^2+Inputs!$C$52^2-2*(Inputs!$C$52+(Inputs!$H$6))*Inputs!$C$52*COS(SQRT((Scenario_Data!T90)^2+Inputs!$C$6^2)/Inputs!$C$52)))-(Inputs!$H$6))*1000/Inputs!$C$12)</x:f>
        <x:v>-0.43857412502381976</x:v>
      </x:c>
      <x:c r="K90" t="n">
        <x:f>Scenario_Data!I90-(((SQRT((Inputs!$C$52+(Inputs!$H$7))^2+Inputs!$C$52^2-2*(Inputs!$C$52+(Inputs!$H$7))*Inputs!$C$52*COS(SQRT((Scenario_Data!U90)^2+Inputs!$C$6^2)/Inputs!$C$52)))-(Inputs!$H$7))*1000/Inputs!$C$12)</x:f>
        <x:v>-8394.704215810816</x:v>
      </x:c>
      <x:c r="L90" t="n">
        <x:f>Scenario_Data!J90-(((SQRT((Inputs!$C$52+(Inputs!$H$8))^2+Inputs!$C$52^2-2*(Inputs!$C$52+(Inputs!$H$8))*Inputs!$C$52*COS(SQRT((Scenario_Data!V90)^2+Inputs!$C$6^2)/Inputs!$C$52)))-(Inputs!$H$8))*1000/Inputs!$C$12)</x:f>
        <x:v>-24655.783322873118</x:v>
      </x:c>
      <x:c r="M90" t="n">
        <x:f>Scenario_Data!K90-(((SQRT((Inputs!$C$52+(Inputs!$H$9))^2+Inputs!$C$52^2-2*(Inputs!$C$52+(Inputs!$H$9))*Inputs!$C$52*COS(SQRT((Scenario_Data!W90)^2+Inputs!$C$6^2)/Inputs!$C$52)))-(Inputs!$H$9))*1000/Inputs!$C$12)</x:f>
        <x:v>-26355.92282022885</x:v>
      </x:c>
      <x:c r="O90" t="n">
        <x:f>Scenario_Data!T90</x:f>
        <x:v>-16.020000000000003</x:v>
      </x:c>
      <x:c r="P90" t="n">
        <x:f>2*(Scenario_Data!B90*1000)/Inputs!$C$21*1000000</x:f>
        <x:v>2670.4151176478226</x:v>
      </x:c>
      <x:c r="Q90" t="n">
        <x:f>Scenario_Data!U90</x:f>
        <x:v>-106.80000000000001</x:v>
      </x:c>
      <x:c r="R90" t="n">
        <x:f>2*(Scenario_Data!C90*1000)/Inputs!$C$21*1000000</x:f>
        <x:v>407.0848573515482</x:v>
      </x:c>
      <x:c r="S90" t="n">
        <x:f>Scenario_Data!V90</x:f>
        <x:v>-213.60000000000002</x:v>
      </x:c>
      <x:c r="T90" t="n">
        <x:f>2*(Scenario_Data!D90*1000)/Inputs!$C$21*1000000</x:f>
        <x:v>692.4382667425209</x:v>
      </x:c>
      <x:c r="U90" t="n">
        <x:f>Scenario_Data!W90</x:f>
        <x:v>-213.60000000000002</x:v>
      </x:c>
      <x:c r="V90" t="n">
        <x:f>2*(Scenario_Data!E90*1000)/Inputs!$C$21*1000000</x:f>
        <x:v>630.4813378594068</x:v>
      </x:c>
      <x:c r="X90" t="n">
        <x:f>Scenario_Data!T90</x:f>
        <x:v>-16.020000000000003</x:v>
      </x:c>
      <x:c r="Y90" t="n">
        <x: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x:f>
        <x:v>2671.224880020979</x:v>
      </x:c>
      <x:c r="Z90" t="n">
        <x:f>Scenario_Data!U90</x:f>
        <x:v>-106.80000000000001</x:v>
      </x:c>
      <x:c r="AA90" t="n">
        <x: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x:f>
        <x:v>406.7470273897068</x:v>
      </x:c>
      <x:c r="AB90" t="n">
        <x:f>Scenario_Data!V90</x:f>
        <x:v>-213.60000000000002</x:v>
      </x:c>
      <x:c r="AC90" t="n">
        <x: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x:f>
        <x:v>691.9670551954491</x:v>
      </x:c>
      <x:c r="AD90" t="n">
        <x:f>Scenario_Data!W90</x:f>
        <x:v>-213.60000000000002</x:v>
      </x:c>
      <x:c r="AE90" t="n">
        <x: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x:f>
        <x:v>630.010126312335</x:v>
      </x:c>
      <x:c r="AG90" t="n">
        <x:f>Scenario_Data!T90</x:f>
        <x:v>-16.020000000000003</x:v>
      </x:c>
      <x:c r="AH90" t="n">
        <x:f>2*(SQRT((Inputs!$C$52+(Scenario_Data!B90))^2+Inputs!$C$52^2-2*(Inputs!$C$52+(Scenario_Data!B90))*Inputs!$C$52*COS(SQRT((Scenario_Data!T90)^2+Inputs!$C$6^2)/Inputs!$C$52))*1000)/Inputs!$C$21*1000000</x:f>
        <x:v>2679.6299772752322</x:v>
      </x:c>
      <x:c r="AI90" t="n">
        <x:f>Scenario_Data!U90</x:f>
        <x:v>-106.80000000000001</x:v>
      </x:c>
      <x:c r="AJ90" t="n">
        <x:f>2*(SQRT((Inputs!$C$52+(Scenario_Data!C90))^2+Inputs!$C$52^2-2*(Inputs!$C$52+(Scenario_Data!C90))*Inputs!$C$52*COS(SQRT((Scenario_Data!U90)^2+Inputs!$C$6^2)/Inputs!$C$52))*1000)/Inputs!$C$21*1000000</x:f>
        <x:v>849.6386115770032</x:v>
      </x:c>
      <x:c r="AK90" t="n">
        <x:f>Scenario_Data!V90</x:f>
        <x:v>-213.60000000000002</x:v>
      </x:c>
      <x:c r="AL90" t="n">
        <x:f>2*(SQRT((Inputs!$C$52+(Scenario_Data!D90))^2+Inputs!$C$52^2-2*(Inputs!$C$52+(Scenario_Data!D90))*Inputs!$C$52*COS(SQRT((Scenario_Data!V90)^2+Inputs!$C$6^2)/Inputs!$C$52))*1000)/Inputs!$C$21*1000000</x:f>
        <x:v>1634.406668398929</x:v>
      </x:c>
      <x:c r="AM90" t="n">
        <x:f>Scenario_Data!W90</x:f>
        <x:v>-213.60000000000002</x:v>
      </x:c>
      <x:c r="AN90" t="n">
        <x:f>2*(SQRT((Inputs!$C$52+(Scenario_Data!E90))^2+Inputs!$C$52^2-2*(Inputs!$C$52+(Scenario_Data!E90))*Inputs!$C$52*COS(SQRT((Scenario_Data!W90)^2+Inputs!$C$6^2)/Inputs!$C$52))*1000)/Inputs!$C$21*1000000</x:f>
        <x:v>1605.3325327342354</x:v>
      </x:c>
      <x:c r="AP90" t="n">
        <x:f>Scenario_Data!T90</x:f>
        <x:v>-16.020000000000003</x:v>
      </x:c>
      <x:c r="AQ90" t="n">
        <x: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x:f>
        <x:v>2676.8935781249206</x:v>
      </x:c>
      <x:c r="AR90" t="n">
        <x:f>Scenario_Data!U90</x:f>
        <x:v>-106.80000000000001</x:v>
      </x:c>
      <x:c r="AS90" t="n">
        <x: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x:f>
        <x:v>849.1298418746225</x:v>
      </x:c>
      <x:c r="AT90" t="n">
        <x:f>Scenario_Data!V90</x:f>
        <x:v>-213.60000000000002</x:v>
      </x:c>
      <x:c r="AU90" t="n">
        <x: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x:f>
        <x:v>1633.9682240085044</x:v>
      </x:c>
      <x:c r="AV90" t="n">
        <x:f>Scenario_Data!W90</x:f>
        <x:v>-213.60000000000002</x:v>
      </x:c>
      <x:c r="AW90" t="n">
        <x: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x:f>
        <x:v>1604.932853763352</x:v>
      </x:c>
    </x:row>
    <x:row r="91">
      <x:c r="A91" t="n">
        <x:f>Chart_Data!K91</x:f>
        <x:v>-15.5</x:v>
      </x:c>
      <x:c r="B91" t="n">
        <x:f>Chart_Data!N91-Chart_Data!L91</x:f>
        <x:v>107.59636634063799</x:v>
      </x:c>
      <x:c r="D91" t="n">
        <x:f>Chart_Data!G91</x:f>
        <x:v>-15.5</x:v>
      </x:c>
      <x:c r="E91" t="n">
        <x:f>Chart_Data!H91</x:f>
        <x:v>405.1793484681727</x:v>
      </x:c>
      <x:c r="F91" t="n">
        <x:f>Chart_Data!I91</x:f>
        <x:v>405.1793484681727</x:v>
      </x:c>
      <x:c r="G91" t="n">
        <x:f>Chart_Data!J91</x:f>
        <x:v>-109.31712972071381</x:v>
      </x:c>
      <x:c r="I91" t="n">
        <x:f>Scenario_Data!A91</x:f>
        <x:v>-0.258</x:v>
      </x:c>
      <x:c r="J91" t="n">
        <x:f>Scenario_Data!H91-(((SQRT((Inputs!$C$52+(Inputs!$H$6))^2+Inputs!$C$52^2-2*(Inputs!$C$52+(Inputs!$H$6))*Inputs!$C$52*COS(SQRT((Scenario_Data!T91)^2+Inputs!$C$6^2)/Inputs!$C$52)))-(Inputs!$H$6))*1000/Inputs!$C$12)</x:f>
        <x:v>-0.4016673031354685</x:v>
      </x:c>
      <x:c r="K91" t="n">
        <x:f>Scenario_Data!I91-(((SQRT((Inputs!$C$52+(Inputs!$H$7))^2+Inputs!$C$52^2-2*(Inputs!$C$52+(Inputs!$H$7))*Inputs!$C$52*COS(SQRT((Scenario_Data!U91)^2+Inputs!$C$6^2)/Inputs!$C$52)))-(Inputs!$H$7))*1000/Inputs!$C$12)</x:f>
        <x:v>-7784.433251420131</x:v>
      </x:c>
      <x:c r="L91" t="n">
        <x:f>Scenario_Data!J91-(((SQRT((Inputs!$C$52+(Inputs!$H$8))^2+Inputs!$C$52^2-2*(Inputs!$C$52+(Inputs!$H$8))*Inputs!$C$52*COS(SQRT((Scenario_Data!V91)^2+Inputs!$C$6^2)/Inputs!$C$52)))-(Inputs!$H$8))*1000/Inputs!$C$12)</x:f>
        <x:v>-23078.113644632846</x:v>
      </x:c>
      <x:c r="M91" t="n">
        <x:f>Scenario_Data!K91-(((SQRT((Inputs!$C$52+(Inputs!$H$9))^2+Inputs!$C$52^2-2*(Inputs!$C$52+(Inputs!$H$9))*Inputs!$C$52*COS(SQRT((Scenario_Data!W91)^2+Inputs!$C$6^2)/Inputs!$C$52)))-(Inputs!$H$9))*1000/Inputs!$C$12)</x:f>
        <x:v>-24719.85672730935</x:v>
      </x:c>
      <x:c r="O91" t="n">
        <x:f>Scenario_Data!T91</x:f>
        <x:v>-15.480000000000004</x:v>
      </x:c>
      <x:c r="P91" t="n">
        <x:f>2*(Scenario_Data!B91*1000)/Inputs!$C$21*1000000</x:f>
        <x:v>2670.2890304198377</x:v>
      </x:c>
      <x:c r="Q91" t="n">
        <x:f>Scenario_Data!U91</x:f>
        <x:v>-103.19999999999999</x:v>
      </x:c>
      <x:c r="R91" t="n">
        <x:f>2*(Scenario_Data!C91*1000)/Inputs!$C$21*1000000</x:f>
        <x:v>395.5793977979259</x:v>
      </x:c>
      <x:c r="S91" t="n">
        <x:f>Scenario_Data!V91</x:f>
        <x:v>-206.39999999999998</x:v>
      </x:c>
      <x:c r="T91" t="n">
        <x:f>2*(Scenario_Data!D91*1000)/Inputs!$C$21*1000000</x:f>
        <x:v>662.0197229911632</x:v>
      </x:c>
      <x:c r="U91" t="n">
        <x:f>Scenario_Data!W91</x:f>
        <x:v>-206.39999999999998</x:v>
      </x:c>
      <x:c r="V91" t="n">
        <x:f>2*(Scenario_Data!E91*1000)/Inputs!$C$21*1000000</x:f>
        <x:v>599.7475760380869</x:v>
      </x:c>
      <x:c r="X91" t="n">
        <x:f>Scenario_Data!T91</x:f>
        <x:v>-15.480000000000004</x:v>
      </x:c>
      <x:c r="Y91" t="n">
        <x: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x:f>
        <x:v>2670.893062133703</x:v>
      </x:c>
      <x:c r="Z91" t="n">
        <x:f>Scenario_Data!U91</x:f>
        <x:v>-103.19999999999999</x:v>
      </x:c>
      <x:c r="AA91" t="n">
        <x: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x:f>
        <x:v>395.0892701821094</x:v>
      </x:c>
      <x:c r="AB91" t="n">
        <x:f>Scenario_Data!V91</x:f>
        <x:v>-206.39999999999998</x:v>
      </x:c>
      <x:c r="AC91" t="n">
        <x: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x:f>
        <x:v>661.6899994846148</x:v>
      </x:c>
      <x:c r="AD91" t="n">
        <x:f>Scenario_Data!W91</x:f>
        <x:v>-206.39999999999998</x:v>
      </x:c>
      <x:c r="AE91" t="n">
        <x: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x:f>
        <x:v>599.4178525315383</x:v>
      </x:c>
      <x:c r="AG91" t="n">
        <x:f>Scenario_Data!T91</x:f>
        <x:v>-15.480000000000004</x:v>
      </x:c>
      <x:c r="AH91" t="n">
        <x:f>2*(SQRT((Inputs!$C$52+(Scenario_Data!B91))^2+Inputs!$C$52^2-2*(Inputs!$C$52+(Scenario_Data!B91))*Inputs!$C$52*COS(SQRT((Scenario_Data!T91)^2+Inputs!$C$6^2)/Inputs!$C$52))*1000)/Inputs!$C$21*1000000</x:f>
        <x:v>2679.3267458137466</x:v>
      </x:c>
      <x:c r="AI91" t="n">
        <x:f>Scenario_Data!U91</x:f>
        <x:v>-103.19999999999999</x:v>
      </x:c>
      <x:c r="AJ91" t="n">
        <x:f>2*(SQRT((Inputs!$C$52+(Scenario_Data!C91))^2+Inputs!$C$52^2-2*(Inputs!$C$52+(Scenario_Data!C91))*Inputs!$C$52*COS(SQRT((Scenario_Data!U91)^2+Inputs!$C$6^2)/Inputs!$C$52))*1000)/Inputs!$C$21*1000000</x:f>
        <x:v>822.8987615597109</x:v>
      </x:c>
      <x:c r="AK91" t="n">
        <x:f>Scenario_Data!V91</x:f>
        <x:v>-206.39999999999998</x:v>
      </x:c>
      <x:c r="AL91" t="n">
        <x:f>2*(SQRT((Inputs!$C$52+(Scenario_Data!D91))^2+Inputs!$C$52^2-2*(Inputs!$C$52+(Scenario_Data!D91))*Inputs!$C$52*COS(SQRT((Scenario_Data!V91)^2+Inputs!$C$6^2)/Inputs!$C$52))*1000)/Inputs!$C$21*1000000</x:f>
        <x:v>1575.2382195812656</x:v>
      </x:c>
      <x:c r="AM91" t="n">
        <x:f>Scenario_Data!W91</x:f>
        <x:v>-206.39999999999998</x:v>
      </x:c>
      <x:c r="AN91" t="n">
        <x:f>2*(SQRT((Inputs!$C$52+(Scenario_Data!E91))^2+Inputs!$C$52^2-2*(Inputs!$C$52+(Scenario_Data!E91))*Inputs!$C$52*COS(SQRT((Scenario_Data!W91)^2+Inputs!$C$6^2)/Inputs!$C$52))*1000)/Inputs!$C$21*1000000</x:f>
        <x:v>1546.3874430517</x:v>
      </x:c>
      <x:c r="AP91" t="n">
        <x:f>Scenario_Data!T91</x:f>
        <x:v>-15.480000000000004</x:v>
      </x:c>
      <x:c r="AQ91" t="n">
        <x: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x:f>
        <x:v>2676.6826725277347</x:v>
      </x:c>
      <x:c r="AR91" t="n">
        <x:f>Scenario_Data!U91</x:f>
        <x:v>-103.19999999999999</x:v>
      </x:c>
      <x:c r="AS91" t="n">
        <x: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x:f>
        <x:v>822.3450160213688</x:v>
      </x:c>
      <x:c r="AT91" t="n">
        <x:f>Scenario_Data!V91</x:f>
        <x:v>-206.39999999999998</x:v>
      </x:c>
      <x:c r="AU91" t="n">
        <x: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x:f>
        <x:v>1574.9472856715226</x:v>
      </x:c>
      <x:c r="AV91" t="n">
        <x:f>Scenario_Data!W91</x:f>
        <x:v>-206.39999999999998</x:v>
      </x:c>
      <x:c r="AW91" t="n">
        <x: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x:f>
        <x:v>1546.1235434612527</x:v>
      </x:c>
    </x:row>
    <x:row r="92">
      <x:c r="A92" t="n">
        <x:f>Chart_Data!K92</x:f>
        <x:v>-15</x:v>
      </x:c>
      <x:c r="B92" t="n">
        <x:f>Chart_Data!N92-Chart_Data!L92</x:f>
        <x:v>88.756788598213</x:v>
      </x:c>
      <x:c r="D92" t="n">
        <x:f>Chart_Data!G92</x:f>
        <x:v>-15</x:v>
      </x:c>
      <x:c r="E92" t="n">
        <x:f>Chart_Data!H92</x:f>
        <x:v>416.63024006091615</x:v>
      </x:c>
      <x:c r="F92" t="n">
        <x:f>Chart_Data!I92</x:f>
        <x:v>416.63024006091615</x:v>
      </x:c>
      <x:c r="G92" t="n">
        <x:f>Chart_Data!J92</x:f>
        <x:v>-90.49530902944495</x:v>
      </x:c>
      <x:c r="I92" t="n">
        <x:f>Scenario_Data!A92</x:f>
        <x:v>-0.25</x:v>
      </x:c>
      <x:c r="J92" t="n">
        <x:f>Scenario_Data!H92-(((SQRT((Inputs!$C$52+(Inputs!$H$6))^2+Inputs!$C$52^2-2*(Inputs!$C$52+(Inputs!$H$6))*Inputs!$C$52*COS(SQRT((Scenario_Data!T92)^2+Inputs!$C$6^2)/Inputs!$C$52)))-(Inputs!$H$6))*1000/Inputs!$C$12)</x:f>
        <x:v>-0.37081187517208036</x:v>
      </x:c>
      <x:c r="K92" t="n">
        <x:f>Scenario_Data!I92-(((SQRT((Inputs!$C$52+(Inputs!$H$7))^2+Inputs!$C$52^2-2*(Inputs!$C$52+(Inputs!$H$7))*Inputs!$C$52*COS(SQRT((Scenario_Data!U92)^2+Inputs!$C$6^2)/Inputs!$C$52)))-(Inputs!$H$7))*1000/Inputs!$C$12)</x:f>
        <x:v>-7259.077562381237</x:v>
      </x:c>
      <x:c r="L92" t="n">
        <x:f>Scenario_Data!J92-(((SQRT((Inputs!$C$52+(Inputs!$H$8))^2+Inputs!$C$52^2-2*(Inputs!$C$52+(Inputs!$H$8))*Inputs!$C$52*COS(SQRT((Scenario_Data!V92)^2+Inputs!$C$6^2)/Inputs!$C$52)))-(Inputs!$H$8))*1000/Inputs!$C$12)</x:f>
        <x:v>-21707.520208299306</x:v>
      </x:c>
      <x:c r="M92" t="n">
        <x:f>Scenario_Data!K92-(((SQRT((Inputs!$C$52+(Inputs!$H$9))^2+Inputs!$C$52^2-2*(Inputs!$C$52+(Inputs!$H$9))*Inputs!$C$52*COS(SQRT((Scenario_Data!W92)^2+Inputs!$C$6^2)/Inputs!$C$52)))-(Inputs!$H$9))*1000/Inputs!$C$12)</x:f>
        <x:v>-23296.801058357276</x:v>
      </x:c>
      <x:c r="O92" t="n">
        <x:f>Scenario_Data!T92</x:f>
        <x:v>-15</x:v>
      </x:c>
      <x:c r="P92" t="n">
        <x:f>2*(Scenario_Data!B92*1000)/Inputs!$C$21*1000000</x:f>
        <x:v>2670.180582061207</x:v>
      </x:c>
      <x:c r="Q92" t="n">
        <x:f>Scenario_Data!U92</x:f>
        <x:v>-100</x:v>
      </x:c>
      <x:c r="R92" t="n">
        <x:f>2*(Scenario_Data!C92*1000)/Inputs!$C$21*1000000</x:f>
        <x:v>385.68348507286333</x:v>
      </x:c>
      <x:c r="S92" t="n">
        <x:f>Scenario_Data!V92</x:f>
        <x:v>-200</x:v>
      </x:c>
      <x:c r="T92" t="n">
        <x:f>2*(Scenario_Data!D92*1000)/Inputs!$C$21*1000000</x:f>
        <x:v>635.8565564714773</x:v>
      </x:c>
      <x:c r="U92" t="n">
        <x:f>Scenario_Data!W92</x:f>
        <x:v>-200</x:v>
      </x:c>
      <x:c r="V92" t="n">
        <x:f>2*(Scenario_Data!E92*1000)/Inputs!$C$21*1000000</x:f>
        <x:v>573.3132886218239</x:v>
      </x:c>
      <x:c r="X92" t="n">
        <x:f>Scenario_Data!T92</x:f>
        <x:v>-15</x:v>
      </x:c>
      <x:c r="Y92" t="n">
        <x: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x:f>
        <x:v>2670.784301778729</x:v>
      </x:c>
      <x:c r="Z92" t="n">
        <x:f>Scenario_Data!U92</x:f>
        <x:v>-100</x:v>
      </x:c>
      <x:c r="AA92" t="n">
        <x: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x:f>
        <x:v>385.3661380377797</x:v>
      </x:c>
      <x:c r="AB92" t="n">
        <x:f>Scenario_Data!V92</x:f>
        <x:v>-200</x:v>
      </x:c>
      <x:c r="AC92" t="n">
        <x: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x:f>
        <x:v>635.6982552438569</x:v>
      </x:c>
      <x:c r="AD92" t="n">
        <x:f>Scenario_Data!W92</x:f>
        <x:v>-200</x:v>
      </x:c>
      <x:c r="AE92" t="n">
        <x: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x:f>
        <x:v>573.1549873942034</x:v>
      </x:c>
      <x:c r="AG92" t="n">
        <x:f>Scenario_Data!T92</x:f>
        <x:v>-15</x:v>
      </x:c>
      <x:c r="AH92" t="n">
        <x:f>2*(SQRT((Inputs!$C$52+(Scenario_Data!B92))^2+Inputs!$C$52^2-2*(Inputs!$C$52+(Scenario_Data!B92))*Inputs!$C$52*COS(SQRT((Scenario_Data!T92)^2+Inputs!$C$6^2)/Inputs!$C$52))*1000)/Inputs!$C$21*1000000</x:f>
        <x:v>2679.065914532494</x:v>
      </x:c>
      <x:c r="AI92" t="n">
        <x:f>Scenario_Data!U92</x:f>
        <x:v>-100</x:v>
      </x:c>
      <x:c r="AJ92" t="n">
        <x:f>2*(SQRT((Inputs!$C$52+(Scenario_Data!C92))^2+Inputs!$C$52^2-2*(Inputs!$C$52+(Scenario_Data!C92))*Inputs!$C$52*COS(SQRT((Scenario_Data!U92)^2+Inputs!$C$6^2)/Inputs!$C$52))*1000)/Inputs!$C$21*1000000</x:f>
        <x:v>799.3530465257882</x:v>
      </x:c>
      <x:c r="AK92" t="n">
        <x:f>Scenario_Data!V92</x:f>
        <x:v>-200</x:v>
      </x:c>
      <x:c r="AL92" t="n">
        <x:f>2*(SQRT((Inputs!$C$52+(Scenario_Data!D92))^2+Inputs!$C$52^2-2*(Inputs!$C$52+(Scenario_Data!D92))*Inputs!$C$52*COS(SQRT((Scenario_Data!V92)^2+Inputs!$C$6^2)/Inputs!$C$52))*1000)/Inputs!$C$21*1000000</x:f>
        <x:v>1523.1929864371127</x:v>
      </x:c>
      <x:c r="AM92" t="n">
        <x:f>Scenario_Data!W92</x:f>
        <x:v>-200</x:v>
      </x:c>
      <x:c r="AN92" t="n">
        <x:f>2*(SQRT((Inputs!$C$52+(Scenario_Data!E92))^2+Inputs!$C$52^2-2*(Inputs!$C$52+(Scenario_Data!E92))*Inputs!$C$52*COS(SQRT((Scenario_Data!W92)^2+Inputs!$C$6^2)/Inputs!$C$52))*1000)/Inputs!$C$21*1000000</x:f>
        <x:v>1494.538848738704</x:v>
      </x:c>
      <x:c r="AP92" t="n">
        <x:f>Scenario_Data!T92</x:f>
        <x:v>-15</x:v>
      </x:c>
      <x:c r="AQ92" t="n">
        <x: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x:f>
        <x:v>2676.298054911225</x:v>
      </x:c>
      <x:c r="AR92" t="n">
        <x:f>Scenario_Data!U92</x:f>
        <x:v>-100</x:v>
      </x:c>
      <x:c r="AS92" t="n">
        <x: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x:f>
        <x:v>798.9000950122506</x:v>
      </x:c>
      <x:c r="AT92" t="n">
        <x:f>Scenario_Data!V92</x:f>
        <x:v>-200</x:v>
      </x:c>
      <x:c r="AU92" t="n">
        <x: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x:f>
        <x:v>1522.8401884505734</x:v>
      </x:c>
      <x:c r="AV92" t="n">
        <x:f>Scenario_Data!W92</x:f>
        <x:v>-200</x:v>
      </x:c>
      <x:c r="AW92" t="n">
        <x: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x:f>
        <x:v>1494.2203317731464</x:v>
      </x:c>
    </x:row>
    <x:row r="93">
      <x:c r="A93" t="n">
        <x:f>Chart_Data!K93</x:f>
        <x:v>-14.5</x:v>
      </x:c>
      <x:c r="B93" t="n">
        <x:f>Chart_Data!N93-Chart_Data!L93</x:f>
        <x:v>84.90823497062411</x:v>
      </x:c>
      <x:c r="D93" t="n">
        <x:f>Chart_Data!G93</x:f>
        <x:v>-14.5</x:v>
      </x:c>
      <x:c r="E93" t="n">
        <x:f>Chart_Data!H93</x:f>
        <x:v>425.31373753688456</x:v>
      </x:c>
      <x:c r="F93" t="n">
        <x:f>Chart_Data!I93</x:f>
        <x:v>425.31373753688456</x:v>
      </x:c>
      <x:c r="G93" t="n">
        <x:f>Chart_Data!J93</x:f>
        <x:v>-86.65248482679937</x:v>
      </x:c>
      <x:c r="I93" t="n">
        <x:f>Scenario_Data!A93</x:f>
        <x:v>-0.242</x:v>
      </x:c>
      <x:c r="J93" t="n">
        <x:f>Scenario_Data!H93-(((SQRT((Inputs!$C$52+(Inputs!$H$6))^2+Inputs!$C$52^2-2*(Inputs!$C$52+(Inputs!$H$6))*Inputs!$C$52*COS(SQRT((Scenario_Data!T93)^2+Inputs!$C$6^2)/Inputs!$C$52)))-(Inputs!$H$6))*1000/Inputs!$C$12)</x:f>
        <x:v>-0.3417117286797975</x:v>
      </x:c>
      <x:c r="K93" t="n">
        <x:f>Scenario_Data!I93-(((SQRT((Inputs!$C$52+(Inputs!$H$7))^2+Inputs!$C$52^2-2*(Inputs!$C$52+(Inputs!$H$7))*Inputs!$C$52*COS(SQRT((Scenario_Data!U93)^2+Inputs!$C$6^2)/Inputs!$C$52)))-(Inputs!$H$7))*1000/Inputs!$C$12)</x:f>
        <x:v>-6750.1435304916085</x:v>
      </x:c>
      <x:c r="L93" t="n">
        <x:f>Scenario_Data!J93-(((SQRT((Inputs!$C$52+(Inputs!$H$8))^2+Inputs!$C$52^2-2*(Inputs!$C$52+(Inputs!$H$8))*Inputs!$C$52*COS(SQRT((Scenario_Data!V93)^2+Inputs!$C$6^2)/Inputs!$C$52)))-(Inputs!$H$8))*1000/Inputs!$C$12)</x:f>
        <x:v>-20367.91707237235</x:v>
      </x:c>
      <x:c r="M93" t="n">
        <x:f>Scenario_Data!K93-(((SQRT((Inputs!$C$52+(Inputs!$H$9))^2+Inputs!$C$52^2-2*(Inputs!$C$52+(Inputs!$H$9))*Inputs!$C$52*COS(SQRT((Scenario_Data!W93)^2+Inputs!$C$6^2)/Inputs!$C$52)))-(Inputs!$H$9))*1000/Inputs!$C$12)</x:f>
        <x:v>-21904.22804430117</x:v>
      </x:c>
      <x:c r="O93" t="n">
        <x:f>Scenario_Data!T93</x:f>
        <x:v>-14.519999999999996</x:v>
      </x:c>
      <x:c r="P93" t="n">
        <x:f>2*(Scenario_Data!B93*1000)/Inputs!$C$21*1000000</x:f>
        <x:v>2670.075549398911</x:v>
      </x:c>
      <x:c r="Q93" t="n">
        <x:f>Scenario_Data!U93</x:f>
        <x:v>-96.80000000000001</x:v>
      </x:c>
      <x:c r="R93" t="n">
        <x:f>2*(Scenario_Data!C93*1000)/Inputs!$C$21*1000000</x:f>
        <x:v>376.09925463835384</x:v>
      </x:c>
      <x:c r="S93" t="n">
        <x:f>Scenario_Data!V93</x:f>
        <x:v>-193.60000000000002</x:v>
      </x:c>
      <x:c r="T93" t="n">
        <x:f>2*(Scenario_Data!D93*1000)/Inputs!$C$21*1000000</x:f>
        <x:v>610.5174266925688</x:v>
      </x:c>
      <x:c r="U93" t="n">
        <x:f>Scenario_Data!W93</x:f>
        <x:v>-193.60000000000002</x:v>
      </x:c>
      <x:c r="V93" t="n">
        <x:f>2*(Scenario_Data!E93*1000)/Inputs!$C$21*1000000</x:f>
        <x:v>547.7115771871754</x:v>
      </x:c>
      <x:c r="X93" t="n">
        <x:f>Scenario_Data!T93</x:f>
        <x:v>-14.519999999999996</x:v>
      </x:c>
      <x:c r="Y93" t="n">
        <x: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x:f>
        <x:v>2670.71087513689</x:v>
      </x:c>
      <x:c r="Z93" t="n">
        <x:f>Scenario_Data!U93</x:f>
        <x:v>-96.80000000000001</x:v>
      </x:c>
      <x:c r="AA93" t="n">
        <x: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x:f>
        <x:v>376.13515915351996</x:v>
      </x:c>
      <x:c r="AB93" t="n">
        <x:f>Scenario_Data!V93</x:f>
        <x:v>-193.60000000000002</x:v>
      </x:c>
      <x:c r="AC93" t="n">
        <x: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x:f>
        <x:v>609.849884961899</x:v>
      </x:c>
      <x:c r="AD93" t="n">
        <x:f>Scenario_Data!W93</x:f>
        <x:v>-193.60000000000002</x:v>
      </x:c>
      <x:c r="AE93" t="n">
        <x: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x:f>
        <x:v>547.0440354565055</x:v>
      </x:c>
      <x:c r="AG93" t="n">
        <x:f>Scenario_Data!T93</x:f>
        <x:v>-14.519999999999996</x:v>
      </x:c>
      <x:c r="AH93" t="n">
        <x:f>2*(SQRT((Inputs!$C$52+(Scenario_Data!B93))^2+Inputs!$C$52^2-2*(Inputs!$C$52+(Scenario_Data!B93))*Inputs!$C$52*COS(SQRT((Scenario_Data!T93)^2+Inputs!$C$6^2)/Inputs!$C$52))*1000)/Inputs!$C$21*1000000</x:f>
        <x:v>2678.813280652873</x:v>
      </x:c>
      <x:c r="AI93" t="n">
        <x:f>Scenario_Data!U93</x:f>
        <x:v>-96.80000000000001</x:v>
      </x:c>
      <x:c r="AJ93" t="n">
        <x:f>2*(SQRT((Inputs!$C$52+(Scenario_Data!C93))^2+Inputs!$C$52^2-2*(Inputs!$C$52+(Scenario_Data!C93))*Inputs!$C$52*COS(SQRT((Scenario_Data!U93)^2+Inputs!$C$6^2)/Inputs!$C$52))*1000)/Inputs!$C$21*1000000</x:f>
        <x:v>776.021326811133</x:v>
      </x:c>
      <x:c r="AK93" t="n">
        <x:f>Scenario_Data!V93</x:f>
        <x:v>-193.60000000000002</x:v>
      </x:c>
      <x:c r="AL93" t="n">
        <x:f>2*(SQRT((Inputs!$C$52+(Scenario_Data!D93))^2+Inputs!$C$52^2-2*(Inputs!$C$52+(Scenario_Data!D93))*Inputs!$C$52*COS(SQRT((Scenario_Data!V93)^2+Inputs!$C$6^2)/Inputs!$C$52))*1000)/Inputs!$C$21*1000000</x:f>
        <x:v>1471.657065923119</x:v>
      </x:c>
      <x:c r="AM93" t="n">
        <x:f>Scenario_Data!W93</x:f>
        <x:v>-193.60000000000002</x:v>
      </x:c>
      <x:c r="AN93" t="n">
        <x:f>2*(SQRT((Inputs!$C$52+(Scenario_Data!E93))^2+Inputs!$C$52^2-2*(Inputs!$C$52+(Scenario_Data!E93))*Inputs!$C$52*COS(SQRT((Scenario_Data!W93)^2+Inputs!$C$6^2)/Inputs!$C$52))*1000)/Inputs!$C$21*1000000</x:f>
        <x:v>1443.1960281662846</x:v>
      </x:c>
      <x:c r="AP93" t="n">
        <x:f>Scenario_Data!T93</x:f>
        <x:v>-14.519999999999996</x:v>
      </x:c>
      <x:c r="AQ93" t="n">
        <x: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x:f>
        <x:v>2676.0772755395565</x:v>
      </x:c>
      <x:c r="AR93" t="n">
        <x:f>Scenario_Data!U93</x:f>
        <x:v>-96.80000000000001</x:v>
      </x:c>
      <x:c r="AS93" t="n">
        <x: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x:f>
        <x:v>775.775665786726</x:v>
      </x:c>
      <x:c r="AT93" t="n">
        <x:f>Scenario_Data!V93</x:f>
        <x:v>-193.60000000000002</x:v>
      </x:c>
      <x:c r="AU93" t="n">
        <x: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x:f>
        <x:v>1471.2359482529555</x:v>
      </x:c>
      <x:c r="AV93" t="n">
        <x:f>Scenario_Data!W93</x:f>
        <x:v>-193.60000000000002</x:v>
      </x:c>
      <x:c r="AW93" t="n">
        <x: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x:f>
        <x:v>1442.817695131121</x:v>
      </x:c>
    </x:row>
    <x:row r="94">
      <x:c r="A94" t="n">
        <x:f>Chart_Data!K94</x:f>
        <x:v>-14</x:v>
      </x:c>
      <x:c r="B94" t="n">
        <x:f>Chart_Data!N94-Chart_Data!L94</x:f>
        <x:v>82.66882036124099</x:v>
      </x:c>
      <x:c r="D94" t="n">
        <x:f>Chart_Data!G94</x:f>
        <x:v>-14</x:v>
      </x:c>
      <x:c r="E94" t="n">
        <x:f>Chart_Data!H94</x:f>
        <x:v>420.9575928892744</x:v>
      </x:c>
      <x:c r="F94" t="n">
        <x:f>Chart_Data!I94</x:f>
        <x:v>420.9575928892744</x:v>
      </x:c>
      <x:c r="G94" t="n">
        <x:f>Chart_Data!J94</x:f>
        <x:v>-84.36597258140502</x:v>
      </x:c>
      <x:c r="I94" t="n">
        <x:f>Scenario_Data!A94</x:f>
        <x:v>-0.233</x:v>
      </x:c>
      <x:c r="J94" t="n">
        <x:f>Scenario_Data!H94-(((SQRT((Inputs!$C$52+(Inputs!$H$6))^2+Inputs!$C$52^2-2*(Inputs!$C$52+(Inputs!$H$6))*Inputs!$C$52*COS(SQRT((Scenario_Data!T94)^2+Inputs!$C$6^2)/Inputs!$C$52)))-(Inputs!$H$6))*1000/Inputs!$C$12)</x:f>
        <x:v>-0.3109789747541072</x:v>
      </x:c>
      <x:c r="K94" t="n">
        <x:f>Scenario_Data!I94-(((SQRT((Inputs!$C$52+(Inputs!$H$7))^2+Inputs!$C$52^2-2*(Inputs!$C$52+(Inputs!$H$7))*Inputs!$C$52*COS(SQRT((Scenario_Data!U94)^2+Inputs!$C$6^2)/Inputs!$C$52)))-(Inputs!$H$7))*1000/Inputs!$C$12)</x:f>
        <x:v>-6197.6076393513285</x:v>
      </x:c>
      <x:c r="L94" t="n">
        <x:f>Scenario_Data!J94-(((SQRT((Inputs!$C$52+(Inputs!$H$8))^2+Inputs!$C$52^2-2*(Inputs!$C$52+(Inputs!$H$8))*Inputs!$C$52*COS(SQRT((Scenario_Data!V94)^2+Inputs!$C$6^2)/Inputs!$C$52)))-(Inputs!$H$8))*1000/Inputs!$C$12)</x:f>
        <x:v>-18899.22242547247</x:v>
      </x:c>
      <x:c r="M94" t="n">
        <x:f>Scenario_Data!K94-(((SQRT((Inputs!$C$52+(Inputs!$H$9))^2+Inputs!$C$52^2-2*(Inputs!$C$52+(Inputs!$H$9))*Inputs!$C$52*COS(SQRT((Scenario_Data!W94)^2+Inputs!$C$6^2)/Inputs!$C$52)))-(Inputs!$H$9))*1000/Inputs!$C$12)</x:f>
        <x:v>-20375.352826851115</x:v>
      </x:c>
      <x:c r="O94" t="n">
        <x:f>Scenario_Data!T94</x:f>
        <x:v>-13.979999999999997</x:v>
      </x:c>
      <x:c r="P94" t="n">
        <x:f>2*(Scenario_Data!B94*1000)/Inputs!$C$21*1000000</x:f>
        <x:v>2669.9614704783535</x:v>
      </x:c>
      <x:c r="Q94" t="n">
        <x:f>Scenario_Data!U94</x:f>
        <x:v>-93.19999999999999</x:v>
      </x:c>
      <x:c r="R94" t="n">
        <x:f>2*(Scenario_Data!C94*1000)/Inputs!$C$21*1000000</x:f>
        <x:v>365.6895531374575</x:v>
      </x:c>
      <x:c r="S94" t="n">
        <x:f>Scenario_Data!V94</x:f>
        <x:v>-186.39999999999998</x:v>
      </x:c>
      <x:c r="T94" t="n">
        <x:f>2*(Scenario_Data!D94*1000)/Inputs!$C$21*1000000</x:f>
        <x:v>582.9958871080072</x:v>
      </x:c>
      <x:c r="U94" t="n">
        <x:f>Scenario_Data!W94</x:f>
        <x:v>-186.39999999999998</x:v>
      </x:c>
      <x:c r="V94" t="n">
        <x:f>2*(Scenario_Data!E94*1000)/Inputs!$C$21*1000000</x:f>
        <x:v>519.9048403012193</x:v>
      </x:c>
      <x:c r="X94" t="n">
        <x:f>Scenario_Data!T94</x:f>
        <x:v>-13.979999999999997</x:v>
      </x:c>
      <x:c r="Y94" t="n">
        <x: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x:f>
        <x:v>2670.5085985921796</x:v>
      </x:c>
      <x:c r="Z94" t="n">
        <x:f>Scenario_Data!U94</x:f>
        <x:v>-93.19999999999999</x:v>
      </x:c>
      <x:c r="AA94" t="n">
        <x: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x:f>
        <x:v>365.6912781317871</x:v>
      </x:c>
      <x:c r="AB94" t="n">
        <x:f>Scenario_Data!V94</x:f>
        <x:v>-186.39999999999998</x:v>
      </x:c>
      <x:c r="AC94" t="n">
        <x: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x:f>
        <x:v>582.8251281434001</x:v>
      </x:c>
      <x:c r="AD94" t="n">
        <x:f>Scenario_Data!W94</x:f>
        <x:v>-186.39999999999998</x:v>
      </x:c>
      <x:c r="AE94" t="n">
        <x: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x:f>
        <x:v>519.7340813366122</x:v>
      </x:c>
      <x:c r="AG94" t="n">
        <x:f>Scenario_Data!T94</x:f>
        <x:v>-13.979999999999997</x:v>
      </x:c>
      <x:c r="AH94" t="n">
        <x:f>2*(SQRT((Inputs!$C$52+(Scenario_Data!B94))^2+Inputs!$C$52^2-2*(Inputs!$C$52+(Scenario_Data!B94))*Inputs!$C$52*COS(SQRT((Scenario_Data!T94)^2+Inputs!$C$6^2)/Inputs!$C$52))*1000)/Inputs!$C$21*1000000</x:f>
        <x:v>2678.53886810944</x:v>
      </x:c>
      <x:c r="AI94" t="n">
        <x:f>Scenario_Data!U94</x:f>
        <x:v>-93.19999999999999</x:v>
      </x:c>
      <x:c r="AJ94" t="n">
        <x:f>2*(SQRT((Inputs!$C$52+(Scenario_Data!C94))^2+Inputs!$C$52^2-2*(Inputs!$C$52+(Scenario_Data!C94))*Inputs!$C$52*COS(SQRT((Scenario_Data!U94)^2+Inputs!$C$6^2)/Inputs!$C$52))*1000)/Inputs!$C$21*1000000</x:f>
        <x:v>750.0348628533561</x:v>
      </x:c>
      <x:c r="AK94" t="n">
        <x:f>Scenario_Data!V94</x:f>
        <x:v>-186.39999999999998</x:v>
      </x:c>
      <x:c r="AL94" t="n">
        <x:f>2*(SQRT((Inputs!$C$52+(Scenario_Data!D94))^2+Inputs!$C$52^2-2*(Inputs!$C$52+(Scenario_Data!D94))*Inputs!$C$52*COS(SQRT((Scenario_Data!V94)^2+Inputs!$C$6^2)/Inputs!$C$52))*1000)/Inputs!$C$21*1000000</x:f>
        <x:v>1414.279745381553</x:v>
      </x:c>
      <x:c r="AM94" t="n">
        <x:f>Scenario_Data!W94</x:f>
        <x:v>-186.39999999999998</x:v>
      </x:c>
      <x:c r="AN94" t="n">
        <x:f>2*(SQRT((Inputs!$C$52+(Scenario_Data!E94))^2+Inputs!$C$52^2-2*(Inputs!$C$52+(Scenario_Data!E94))*Inputs!$C$52*COS(SQRT((Scenario_Data!W94)^2+Inputs!$C$6^2)/Inputs!$C$52))*1000)/Inputs!$C$21*1000000</x:f>
        <x:v>1386.0293710733336</x:v>
      </x:c>
      <x:c r="AP94" t="n">
        <x:f>Scenario_Data!T94</x:f>
        <x:v>-13.979999999999997</x:v>
      </x:c>
      <x:c r="AQ94" t="n">
        <x: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x:f>
        <x:v>2675.7482372623963</x:v>
      </x:c>
      <x:c r="AR94" t="n">
        <x:f>Scenario_Data!U94</x:f>
        <x:v>-93.19999999999999</x:v>
      </x:c>
      <x:c r="AS94" t="n">
        <x: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x:f>
        <x:v>749.72198990354</x:v>
      </x:c>
      <x:c r="AT94" t="n">
        <x:f>Scenario_Data!V94</x:f>
        <x:v>-186.39999999999998</x:v>
      </x:c>
      <x:c r="AU94" t="n">
        <x: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x:f>
        <x:v>1413.9478129220597</x:v>
      </x:c>
      <x:c r="AV94" t="n">
        <x:f>Scenario_Data!W94</x:f>
        <x:v>-186.39999999999998</x:v>
      </x:c>
      <x:c r="AW94" t="n">
        <x: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x:f>
        <x:v>1385.7328673887378</x:v>
      </x:c>
    </x:row>
    <x:row r="95">
      <x:c r="A95" t="n">
        <x:f>Chart_Data!K95</x:f>
        <x:v>-13.5</x:v>
      </x:c>
      <x:c r="B95" t="n">
        <x:f>Chart_Data!N95-Chart_Data!L95</x:f>
        <x:v>59.371781486156976</x:v>
      </x:c>
      <x:c r="D95" t="n">
        <x:f>Chart_Data!G95</x:f>
        <x:v>-13.5</x:v>
      </x:c>
      <x:c r="E95" t="n">
        <x:f>Chart_Data!H95</x:f>
        <x:v>418.7700178970381</x:v>
      </x:c>
      <x:c r="F95" t="n">
        <x:f>Chart_Data!I95</x:f>
        <x:v>418.7700178970381</x:v>
      </x:c>
      <x:c r="G95" t="n">
        <x:f>Chart_Data!J95</x:f>
        <x:v>-61.03205493353448</x:v>
      </x:c>
      <x:c r="I95" t="n">
        <x:f>Scenario_Data!A95</x:f>
        <x:v>-0.225</x:v>
      </x:c>
      <x:c r="J95" t="n">
        <x:f>Scenario_Data!H95-(((SQRT((Inputs!$C$52+(Inputs!$H$6))^2+Inputs!$C$52^2-2*(Inputs!$C$52+(Inputs!$H$6))*Inputs!$C$52*COS(SQRT((Scenario_Data!T95)^2+Inputs!$C$6^2)/Inputs!$C$52)))-(Inputs!$H$6))*1000/Inputs!$C$12)</x:f>
        <x:v>-0.28536299915617747</x:v>
      </x:c>
      <x:c r="K95" t="n">
        <x:f>Scenario_Data!I95-(((SQRT((Inputs!$C$52+(Inputs!$H$7))^2+Inputs!$C$52^2-2*(Inputs!$C$52+(Inputs!$H$7))*Inputs!$C$52*COS(SQRT((Scenario_Data!U95)^2+Inputs!$C$6^2)/Inputs!$C$52)))-(Inputs!$H$7))*1000/Inputs!$C$12)</x:f>
        <x:v>-5724.600396393598</x:v>
      </x:c>
      <x:c r="L95" t="n">
        <x:f>Scenario_Data!J95-(((SQRT((Inputs!$C$52+(Inputs!$H$8))^2+Inputs!$C$52^2-2*(Inputs!$C$52+(Inputs!$H$8))*Inputs!$C$52*COS(SQRT((Scenario_Data!V95)^2+Inputs!$C$6^2)/Inputs!$C$52)))-(Inputs!$H$8))*1000/Inputs!$C$12)</x:f>
        <x:v>-17629.00388090052</x:v>
      </x:c>
      <x:c r="M95" t="n">
        <x:f>Scenario_Data!K95-(((SQRT((Inputs!$C$52+(Inputs!$H$9))^2+Inputs!$C$52^2-2*(Inputs!$C$52+(Inputs!$H$9))*Inputs!$C$52*COS(SQRT((Scenario_Data!W95)^2+Inputs!$C$6^2)/Inputs!$C$52)))-(Inputs!$H$9))*1000/Inputs!$C$12)</x:f>
        <x:v>-19051.132271649607</x:v>
      </x:c>
      <x:c r="O95" t="n">
        <x:f>Scenario_Data!T95</x:f>
        <x:v>-13.5</x:v>
      </x:c>
      <x:c r="P95" t="n">
        <x:f>2*(Scenario_Data!B95*1000)/Inputs!$C$21*1000000</x:f>
        <x:v>2669.863696170769</x:v>
      </x:c>
      <x:c r="Q95" t="n">
        <x:f>Scenario_Data!U95</x:f>
        <x:v>-90</x:v>
      </x:c>
      <x:c r="R95" t="n">
        <x:f>2*(Scenario_Data!C95*1000)/Inputs!$C$21*1000000</x:f>
        <x:v>356.7676475703735</x:v>
      </x:c>
      <x:c r="S95" t="n">
        <x:f>Scenario_Data!V95</x:f>
        <x:v>-180</x:v>
      </x:c>
      <x:c r="T95" t="n">
        <x:f>2*(Scenario_Data!D95*1000)/Inputs!$C$21*1000000</x:f>
        <x:v>559.4078354032508</x:v>
      </x:c>
      <x:c r="U95" t="n">
        <x:f>Scenario_Data!W95</x:f>
        <x:v>-180</x:v>
      </x:c>
      <x:c r="V95" t="n">
        <x:f>2*(Scenario_Data!E95*1000)/Inputs!$C$21*1000000</x:f>
        <x:v>496.0723528275018</x:v>
      </x:c>
      <x:c r="X95" t="n">
        <x:f>Scenario_Data!T95</x:f>
        <x:v>-13.5</x:v>
      </x:c>
      <x:c r="Y95" t="n">
        <x: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x:f>
        <x:v>2670.2708582144087</x:v>
      </x:c>
      <x:c r="Z95" t="n">
        <x:f>Scenario_Data!U95</x:f>
        <x:v>-90</x:v>
      </x:c>
      <x:c r="AA95" t="n">
        <x: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x:f>
        <x:v>356.4473590251376</x:v>
      </x:c>
      <x:c r="AB95" t="n">
        <x:f>Scenario_Data!V95</x:f>
        <x:v>-180</x:v>
      </x:c>
      <x:c r="AC95" t="n">
        <x: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x:f>
        <x:v>559.2121214109366</x:v>
      </x:c>
      <x:c r="AD95" t="n">
        <x:f>Scenario_Data!W95</x:f>
        <x:v>-180</x:v>
      </x:c>
      <x:c r="AE95" t="n">
        <x: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x:f>
        <x:v>495.87663883518746</x:v>
      </x:c>
      <x:c r="AG95" t="n">
        <x:f>Scenario_Data!T95</x:f>
        <x:v>-13.5</x:v>
      </x:c>
      <x:c r="AH95" t="n">
        <x:f>2*(SQRT((Inputs!$C$52+(Scenario_Data!B95))^2+Inputs!$C$52^2-2*(Inputs!$C$52+(Scenario_Data!B95))*Inputs!$C$52*COS(SQRT((Scenario_Data!T95)^2+Inputs!$C$6^2)/Inputs!$C$52))*1000)/Inputs!$C$21*1000000</x:f>
        <x:v>2678.3036592847507</x:v>
      </x:c>
      <x:c r="AI95" t="n">
        <x:f>Scenario_Data!U95</x:f>
        <x:v>-90</x:v>
      </x:c>
      <x:c r="AJ95" t="n">
        <x:f>2*(SQRT((Inputs!$C$52+(Scenario_Data!C95))^2+Inputs!$C$52^2-2*(Inputs!$C$52+(Scenario_Data!C95))*Inputs!$C$52*COS(SQRT((Scenario_Data!U95)^2+Inputs!$C$6^2)/Inputs!$C$52))*1000)/Inputs!$C$21*1000000</x:f>
        <x:v>727.1747453672517</x:v>
      </x:c>
      <x:c r="AK95" t="n">
        <x:f>Scenario_Data!V95</x:f>
        <x:v>-180</x:v>
      </x:c>
      <x:c r="AL95" t="n">
        <x:f>2*(SQRT((Inputs!$C$52+(Scenario_Data!D95))^2+Inputs!$C$52^2-2*(Inputs!$C$52+(Scenario_Data!D95))*Inputs!$C$52*COS(SQRT((Scenario_Data!V95)^2+Inputs!$C$6^2)/Inputs!$C$52))*1000)/Inputs!$C$21*1000000</x:f>
        <x:v>1363.804879466073</x:v>
      </x:c>
      <x:c r="AM95" t="n">
        <x:f>Scenario_Data!W95</x:f>
        <x:v>-180</x:v>
      </x:c>
      <x:c r="AN95" t="n">
        <x:f>2*(SQRT((Inputs!$C$52+(Scenario_Data!E95))^2+Inputs!$C$52^2-2*(Inputs!$C$52+(Scenario_Data!E95))*Inputs!$C$52*COS(SQRT((Scenario_Data!W95)^2+Inputs!$C$6^2)/Inputs!$C$52))*1000)/Inputs!$C$21*1000000</x:f>
        <x:v>1335.7335814317448</x:v>
      </x:c>
      <x:c r="AP95" t="n">
        <x:f>Scenario_Data!T95</x:f>
        <x:v>-13.5</x:v>
      </x:c>
      <x:c r="AQ95" t="n">
        <x: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x:f>
        <x:v>2675.521002594637</x:v>
      </x:c>
      <x:c r="AR95" t="n">
        <x:f>Scenario_Data!U95</x:f>
        <x:v>-90</x:v>
      </x:c>
      <x:c r="AS95" t="n">
        <x: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x:f>
        <x:v>726.8407684316289</x:v>
      </x:c>
      <x:c r="AT95" t="n">
        <x:f>Scenario_Data!V95</x:f>
        <x:v>-180</x:v>
      </x:c>
      <x:c r="AU95" t="n">
        <x: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x:f>
        <x:v>1363.4686402752502</x:v>
      </x:c>
      <x:c r="AV95" t="n">
        <x:f>Scenario_Data!W95</x:f>
        <x:v>-180</x:v>
      </x:c>
      <x:c r="AW95" t="n">
        <x: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x:f>
        <x:v>1335.4348399633955</x:v>
      </x:c>
    </x:row>
    <x:row r="96">
      <x:c r="A96" t="n">
        <x:f>Chart_Data!K96</x:f>
        <x:v>-13</x:v>
      </x:c>
      <x:c r="B96" t="n">
        <x:f>Chart_Data!N96-Chart_Data!L96</x:f>
        <x:v>62.40409195281097</x:v>
      </x:c>
      <x:c r="D96" t="n">
        <x:f>Chart_Data!G96</x:f>
        <x:v>-13</x:v>
      </x:c>
      <x:c r="E96" t="n">
        <x:f>Chart_Data!H96</x:f>
        <x:v>432.8844458249992</x:v>
      </x:c>
      <x:c r="F96" t="n">
        <x:f>Chart_Data!I96</x:f>
        <x:v>432.8844458249992</x:v>
      </x:c>
      <x:c r="G96" t="n">
        <x:f>Chart_Data!J96</x:f>
        <x:v>-64.09243482429542</x:v>
      </x:c>
      <x:c r="I96" t="n">
        <x:f>Scenario_Data!A96</x:f>
        <x:v>-0.217</x:v>
      </x:c>
      <x:c r="J96" t="n">
        <x:f>Scenario_Data!H96-(((SQRT((Inputs!$C$52+(Inputs!$H$6))^2+Inputs!$C$52^2-2*(Inputs!$C$52+(Inputs!$H$6))*Inputs!$C$52*COS(SQRT((Scenario_Data!T96)^2+Inputs!$C$6^2)/Inputs!$C$52)))-(Inputs!$H$6))*1000/Inputs!$C$12)</x:f>
        <x:v>-0.26127610188143535</x:v>
      </x:c>
      <x:c r="K96" t="n">
        <x:f>Scenario_Data!I96-(((SQRT((Inputs!$C$52+(Inputs!$H$7))^2+Inputs!$C$52^2-2*(Inputs!$C$52+(Inputs!$H$7))*Inputs!$C$52*COS(SQRT((Scenario_Data!U96)^2+Inputs!$C$6^2)/Inputs!$C$52)))-(Inputs!$H$7))*1000/Inputs!$C$12)</x:f>
        <x:v>-5268.987544536823</x:v>
      </x:c>
      <x:c r="L96" t="n">
        <x:f>Scenario_Data!J96-(((SQRT((Inputs!$C$52+(Inputs!$H$8))^2+Inputs!$C$52^2-2*(Inputs!$C$52+(Inputs!$H$8))*Inputs!$C$52*COS(SQRT((Scenario_Data!V96)^2+Inputs!$C$6^2)/Inputs!$C$52)))-(Inputs!$H$8))*1000/Inputs!$C$12)</x:f>
        <x:v>-16393.138607990768</x:v>
      </x:c>
      <x:c r="M96" t="n">
        <x:f>Scenario_Data!K96-(((SQRT((Inputs!$C$52+(Inputs!$H$9))^2+Inputs!$C$52^2-2*(Inputs!$C$52+(Inputs!$H$9))*Inputs!$C$52*COS(SQRT((Scenario_Data!W96)^2+Inputs!$C$6^2)/Inputs!$C$52)))-(Inputs!$H$9))*1000/Inputs!$C$12)</x:f>
        <x:v>-17760.80185039583</x:v>
      </x:c>
      <x:c r="O96" t="n">
        <x:f>Scenario_Data!T96</x:f>
        <x:v>-13.019999999999996</x:v>
      </x:c>
      <x:c r="P96" t="n">
        <x:f>2*(Scenario_Data!B96*1000)/Inputs!$C$21*1000000</x:f>
        <x:v>2669.769337559519</x:v>
      </x:c>
      <x:c r="Q96" t="n">
        <x:f>Scenario_Data!U96</x:f>
        <x:v>-86.80000000000001</x:v>
      </x:c>
      <x:c r="R96" t="n">
        <x:f>2*(Scenario_Data!C96*1000)/Inputs!$C$21*1000000</x:f>
        <x:v>348.1574242938427</x:v>
      </x:c>
      <x:c r="S96" t="n">
        <x:f>Scenario_Data!V96</x:f>
        <x:v>-173.60000000000002</x:v>
      </x:c>
      <x:c r="T96" t="n">
        <x:f>2*(Scenario_Data!D96*1000)/Inputs!$C$21*1000000</x:f>
        <x:v>536.6438204392722</x:v>
      </x:c>
      <x:c r="U96" t="n">
        <x:f>Scenario_Data!W96</x:f>
        <x:v>-173.60000000000002</x:v>
      </x:c>
      <x:c r="V96" t="n">
        <x:f>2*(Scenario_Data!E96*1000)/Inputs!$C$21*1000000</x:f>
        <x:v>473.0724413353988</x:v>
      </x:c>
      <x:c r="X96" t="n">
        <x:f>Scenario_Data!T96</x:f>
        <x:v>-13.019999999999996</x:v>
      </x:c>
      <x:c r="Y96" t="n">
        <x: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x:f>
        <x:v>2670.1536854385186</x:v>
      </x:c>
      <x:c r="Z96" t="n">
        <x:f>Scenario_Data!U96</x:f>
        <x:v>-86.80000000000001</x:v>
      </x:c>
      <x:c r="AA96" t="n">
        <x: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x:f>
        <x:v>347.79823047108033</x:v>
      </x:c>
      <x:c r="AB96" t="n">
        <x:f>Scenario_Data!V96</x:f>
        <x:v>-173.60000000000002</x:v>
      </x:c>
      <x:c r="AC96" t="n">
        <x: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x:f>
        <x:v>536.2003689690118</x:v>
      </x:c>
      <x:c r="AD96" t="n">
        <x:f>Scenario_Data!W96</x:f>
        <x:v>-173.60000000000002</x:v>
      </x:c>
      <x:c r="AE96" t="n">
        <x: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x:f>
        <x:v>472.6289898651386</x:v>
      </x:c>
      <x:c r="AG96" t="n">
        <x:f>Scenario_Data!T96</x:f>
        <x:v>-13.019999999999996</x:v>
      </x:c>
      <x:c r="AH96" t="n">
        <x:f>2*(SQRT((Inputs!$C$52+(Scenario_Data!B96))^2+Inputs!$C$52^2-2*(Inputs!$C$52+(Scenario_Data!B96))*Inputs!$C$52*COS(SQRT((Scenario_Data!T96)^2+Inputs!$C$6^2)/Inputs!$C$52))*1000)/Inputs!$C$21*1000000</x:f>
        <x:v>2678.0766529929315</x:v>
      </x:c>
      <x:c r="AI96" t="n">
        <x:f>Scenario_Data!U96</x:f>
        <x:v>-86.80000000000001</x:v>
      </x:c>
      <x:c r="AJ96" t="n">
        <x:f>2*(SQRT((Inputs!$C$52+(Scenario_Data!C96))^2+Inputs!$C$52^2-2*(Inputs!$C$52+(Scenario_Data!C96))*Inputs!$C$52*COS(SQRT((Scenario_Data!U96)^2+Inputs!$C$6^2)/Inputs!$C$52))*1000)/Inputs!$C$21*1000000</x:f>
        <x:v>704.5466168692386</x:v>
      </x:c>
      <x:c r="AK96" t="n">
        <x:f>Scenario_Data!V96</x:f>
        <x:v>-173.60000000000002</x:v>
      </x:c>
      <x:c r="AL96" t="n">
        <x:f>2*(SQRT((Inputs!$C$52+(Scenario_Data!D96))^2+Inputs!$C$52^2-2*(Inputs!$C$52+(Scenario_Data!D96))*Inputs!$C$52*COS(SQRT((Scenario_Data!V96)^2+Inputs!$C$6^2)/Inputs!$C$52))*1000)/Inputs!$C$21*1000000</x:f>
        <x:v>1313.820661862484</x:v>
      </x:c>
      <x:c r="AM96" t="n">
        <x:f>Scenario_Data!W96</x:f>
        <x:v>-173.60000000000002</x:v>
      </x:c>
      <x:c r="AN96" t="n">
        <x:f>2*(SQRT((Inputs!$C$52+(Scenario_Data!E96))^2+Inputs!$C$52^2-2*(Inputs!$C$52+(Scenario_Data!E96))*Inputs!$C$52*COS(SQRT((Scenario_Data!W96)^2+Inputs!$C$6^2)/Inputs!$C$52))*1000)/Inputs!$C$21*1000000</x:f>
        <x:v>1285.9182668026356</x:v>
      </x:c>
      <x:c r="AP96" t="n">
        <x:f>Scenario_Data!T96</x:f>
        <x:v>-13.019999999999996</x:v>
      </x:c>
      <x:c r="AQ96" t="n">
        <x: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x:f>
        <x:v>2675.243509673234</x:v>
      </x:c>
      <x:c r="AR96" t="n">
        <x:f>Scenario_Data!U96</x:f>
        <x:v>-86.80000000000001</x:v>
      </x:c>
      <x:c r="AS96" t="n">
        <x: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x:f>
        <x:v>704.1134347722967</x:v>
      </x:c>
      <x:c r="AT96" t="n">
        <x:f>Scenario_Data!V96</x:f>
        <x:v>-173.60000000000002</x:v>
      </x:c>
      <x:c r="AU96" t="n">
        <x: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x:f>
        <x:v>1313.3523256405263</x:v>
      </x:c>
      <x:c r="AV96" t="n">
        <x:f>Scenario_Data!W96</x:f>
        <x:v>-173.60000000000002</x:v>
      </x:c>
      <x:c r="AW96" t="n">
        <x: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x:f>
        <x:v>1285.5045115158039</x:v>
      </x:c>
    </x:row>
    <x:row r="97">
      <x:c r="A97" t="n">
        <x:f>Chart_Data!K97</x:f>
        <x:v>-12.5</x:v>
      </x:c>
      <x:c r="B97" t="n">
        <x:f>Chart_Data!N97-Chart_Data!L97</x:f>
        <x:v>68.46106537271447</x:v>
      </x:c>
      <x:c r="D97" t="n">
        <x:f>Chart_Data!G97</x:f>
        <x:v>-12.5</x:v>
      </x:c>
      <x:c r="E97" t="n">
        <x:f>Chart_Data!H97</x:f>
        <x:v>448.8683161255995</x:v>
      </x:c>
      <x:c r="F97" t="n">
        <x:f>Chart_Data!I97</x:f>
        <x:v>448.8683161255995</x:v>
      </x:c>
      <x:c r="G97" t="n">
        <x:f>Chart_Data!J97</x:f>
        <x:v>-70.18392228131138</x:v>
      </x:c>
      <x:c r="I97" t="n">
        <x:f>Scenario_Data!A97</x:f>
        <x:v>-0.208</x:v>
      </x:c>
      <x:c r="J97" t="n">
        <x:f>Scenario_Data!H97-(((SQRT((Inputs!$C$52+(Inputs!$H$6))^2+Inputs!$C$52^2-2*(Inputs!$C$52+(Inputs!$H$6))*Inputs!$C$52*COS(SQRT((Scenario_Data!T97)^2+Inputs!$C$6^2)/Inputs!$C$52)))-(Inputs!$H$6))*1000/Inputs!$C$12)</x:f>
        <x:v>-0.23592219111435497</x:v>
      </x:c>
      <x:c r="K97" t="n">
        <x:f>Scenario_Data!I97-(((SQRT((Inputs!$C$52+(Inputs!$H$7))^2+Inputs!$C$52^2-2*(Inputs!$C$52+(Inputs!$H$7))*Inputs!$C$52*COS(SQRT((Scenario_Data!U97)^2+Inputs!$C$6^2)/Inputs!$C$52)))-(Inputs!$H$7))*1000/Inputs!$C$12)</x:f>
        <x:v>-4777.603842826582</x:v>
      </x:c>
      <x:c r="L97" t="n">
        <x:f>Scenario_Data!J97-(((SQRT((Inputs!$C$52+(Inputs!$H$8))^2+Inputs!$C$52^2-2*(Inputs!$C$52+(Inputs!$H$8))*Inputs!$C$52*COS(SQRT((Scenario_Data!V97)^2+Inputs!$C$6^2)/Inputs!$C$52)))-(Inputs!$H$8))*1000/Inputs!$C$12)</x:f>
        <x:v>-15045.242230124342</x:v>
      </x:c>
      <x:c r="M97" t="n">
        <x:f>Scenario_Data!K97-(((SQRT((Inputs!$C$52+(Inputs!$H$9))^2+Inputs!$C$52^2-2*(Inputs!$C$52+(Inputs!$H$9))*Inputs!$C$52*COS(SQRT((Scenario_Data!W97)^2+Inputs!$C$6^2)/Inputs!$C$52)))-(Inputs!$H$9))*1000/Inputs!$C$12)</x:f>
        <x:v>-16351.096914099966</x:v>
      </x:c>
      <x:c r="O97" t="n">
        <x:f>Scenario_Data!T97</x:f>
        <x:v>-12.479999999999997</x:v>
      </x:c>
      <x:c r="P97" t="n">
        <x:f>2*(Scenario_Data!B97*1000)/Inputs!$C$21*1000000</x:f>
        <x:v>2669.6672669463883</x:v>
      </x:c>
      <x:c r="Q97" t="n">
        <x:f>Scenario_Data!U97</x:f>
        <x:v>-83.19999999999999</x:v>
      </x:c>
      <x:c r="R97" t="n">
        <x:f>2*(Scenario_Data!C97*1000)/Inputs!$C$21*1000000</x:f>
        <x:v>338.8434808456722</x:v>
      </x:c>
      <x:c r="S97" t="n">
        <x:f>Scenario_Data!V97</x:f>
        <x:v>-166.39999999999998</x:v>
      </x:c>
      <x:c r="T97" t="n">
        <x:f>2*(Scenario_Data!D97*1000)/Inputs!$C$21*1000000</x:f>
        <x:v>512.0192850215063</x:v>
      </x:c>
      <x:c r="U97" t="n">
        <x:f>Scenario_Data!W97</x:f>
        <x:v>-166.39999999999998</x:v>
      </x:c>
      <x:c r="V97" t="n">
        <x:f>2*(Scenario_Data!E97*1000)/Inputs!$C$21*1000000</x:f>
        <x:v>448.1927293848065</x:v>
      </x:c>
      <x:c r="X97" t="n">
        <x:f>Scenario_Data!T97</x:f>
        <x:v>-12.479999999999997</x:v>
      </x:c>
      <x:c r="Y97" t="n">
        <x: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x:f>
        <x:v>2670.140214189564</x:v>
      </x:c>
      <x:c r="Z97" t="n">
        <x:f>Scenario_Data!U97</x:f>
        <x:v>-83.19999999999999</x:v>
      </x:c>
      <x:c r="AA97" t="n">
        <x: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x:f>
        <x:v>338.4523662185665</x:v>
      </x:c>
      <x:c r="AB97" t="n">
        <x:f>Scenario_Data!V97</x:f>
        <x:v>-166.39999999999998</x:v>
      </x:c>
      <x:c r="AC97" t="n">
        <x: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x:f>
        <x:v>512.3169245672518</x:v>
      </x:c>
      <x:c r="AD97" t="n">
        <x:f>Scenario_Data!W97</x:f>
        <x:v>-166.39999999999998</x:v>
      </x:c>
      <x:c r="AE97" t="n">
        <x: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x:f>
        <x:v>448.49036893055205</x:v>
      </x:c>
      <x:c r="AG97" t="n">
        <x:f>Scenario_Data!T97</x:f>
        <x:v>-12.479999999999997</x:v>
      </x:c>
      <x:c r="AH97" t="n">
        <x:f>2*(SQRT((Inputs!$C$52+(Scenario_Data!B97))^2+Inputs!$C$52^2-2*(Inputs!$C$52+(Scenario_Data!B97))*Inputs!$C$52*COS(SQRT((Scenario_Data!T97)^2+Inputs!$C$6^2)/Inputs!$C$52))*1000)/Inputs!$C$21*1000000</x:f>
        <x:v>2677.8310774067595</x:v>
      </x:c>
      <x:c r="AI97" t="n">
        <x:f>Scenario_Data!U97</x:f>
        <x:v>-83.19999999999999</x:v>
      </x:c>
      <x:c r="AJ97" t="n">
        <x:f>2*(SQRT((Inputs!$C$52+(Scenario_Data!C97))^2+Inputs!$C$52^2-2*(Inputs!$C$52+(Scenario_Data!C97))*Inputs!$C$52*COS(SQRT((Scenario_Data!U97)^2+Inputs!$C$6^2)/Inputs!$C$52))*1000)/Inputs!$C$21*1000000</x:f>
        <x:v>679.3773518856626</x:v>
      </x:c>
      <x:c r="AK97" t="n">
        <x:f>Scenario_Data!V97</x:f>
        <x:v>-166.39999999999998</x:v>
      </x:c>
      <x:c r="AL97" t="n">
        <x:f>2*(SQRT((Inputs!$C$52+(Scenario_Data!D97))^2+Inputs!$C$52^2-2*(Inputs!$C$52+(Scenario_Data!D97))*Inputs!$C$52*COS(SQRT((Scenario_Data!V97)^2+Inputs!$C$6^2)/Inputs!$C$52))*1000)/Inputs!$C$21*1000000</x:f>
        <x:v>1258.1693986938863</x:v>
      </x:c>
      <x:c r="AM97" t="n">
        <x:f>Scenario_Data!W97</x:f>
        <x:v>-166.39999999999998</x:v>
      </x:c>
      <x:c r="AN97" t="n">
        <x:f>2*(SQRT((Inputs!$C$52+(Scenario_Data!E97))^2+Inputs!$C$52^2-2*(Inputs!$C$52+(Scenario_Data!E97))*Inputs!$C$52*COS(SQRT((Scenario_Data!W97)^2+Inputs!$C$6^2)/Inputs!$C$52))*1000)/Inputs!$C$21*1000000</x:f>
        <x:v>1230.4415066288307</x:v>
      </x:c>
      <x:c r="AP97" t="n">
        <x:f>Scenario_Data!T97</x:f>
        <x:v>-12.479999999999997</x:v>
      </x:c>
      <x:c r="AQ97" t="n">
        <x: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x:f>
        <x:v>2674.8308245474545</x:v>
      </x:c>
      <x:c r="AR97" t="n">
        <x:f>Scenario_Data!U97</x:f>
        <x:v>-83.19999999999999</x:v>
      </x:c>
      <x:c r="AS97" t="n">
        <x: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x:f>
        <x:v>678.7707236721552</x:v>
      </x:c>
      <x:c r="AT97" t="n">
        <x:f>Scenario_Data!V97</x:f>
        <x:v>-166.39999999999998</x:v>
      </x:c>
      <x:c r="AU97" t="n">
        <x: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x:f>
        <x:v>1257.9527051449093</x:v>
      </x:c>
      <x:c r="AV97" t="n">
        <x:f>Scenario_Data!W97</x:f>
        <x:v>-166.39999999999998</x:v>
      </x:c>
      <x:c r="AW97" t="n">
        <x: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x:f>
        <x:v>1230.251296014278</x:v>
      </x:c>
    </x:row>
    <x:row r="98">
      <x:c r="A98" t="n">
        <x:f>Chart_Data!K98</x:f>
        <x:v>-12</x:v>
      </x:c>
      <x:c r="B98" t="n">
        <x:f>Chart_Data!N98-Chart_Data!L98</x:f>
        <x:v>45.90303877391159</x:v>
      </x:c>
      <x:c r="D98" t="n">
        <x:f>Chart_Data!G98</x:f>
        <x:v>-12</x:v>
      </x:c>
      <x:c r="E98" t="n">
        <x:f>Chart_Data!H98</x:f>
        <x:v>437.9918993099811</x:v>
      </x:c>
      <x:c r="F98" t="n">
        <x:f>Chart_Data!I98</x:f>
        <x:v>437.9918993099811</x:v>
      </x:c>
      <x:c r="G98" t="n">
        <x:f>Chart_Data!J98</x:f>
        <x:v>-47.55794552962975</x:v>
      </x:c>
      <x:c r="I98" t="n">
        <x:f>Scenario_Data!A98</x:f>
        <x:v>-0.2</x:v>
      </x:c>
      <x:c r="J98" t="n">
        <x:f>Scenario_Data!H98-(((SQRT((Inputs!$C$52+(Inputs!$H$6))^2+Inputs!$C$52^2-2*(Inputs!$C$52+(Inputs!$H$6))*Inputs!$C$52*COS(SQRT((Scenario_Data!T98)^2+Inputs!$C$6^2)/Inputs!$C$52)))-(Inputs!$H$6))*1000/Inputs!$C$12)</x:f>
        <x:v>-0.21486365220766857</x:v>
      </x:c>
      <x:c r="K98" t="n">
        <x:f>Scenario_Data!I98-(((SQRT((Inputs!$C$52+(Inputs!$H$7))^2+Inputs!$C$52^2-2*(Inputs!$C$52+(Inputs!$H$7))*Inputs!$C$52*COS(SQRT((Scenario_Data!U98)^2+Inputs!$C$6^2)/Inputs!$C$52)))-(Inputs!$H$7))*1000/Inputs!$C$12)</x:f>
        <x:v>-4359.990199988479</x:v>
      </x:c>
      <x:c r="L98" t="n">
        <x:f>Scenario_Data!J98-(((SQRT((Inputs!$C$52+(Inputs!$H$8))^2+Inputs!$C$52^2-2*(Inputs!$C$52+(Inputs!$H$8))*Inputs!$C$52*COS(SQRT((Scenario_Data!V98)^2+Inputs!$C$6^2)/Inputs!$C$52)))-(Inputs!$H$8))*1000/Inputs!$C$12)</x:f>
        <x:v>-13886.103797269352</x:v>
      </x:c>
      <x:c r="M98" t="n">
        <x:f>Scenario_Data!K98-(((SQRT((Inputs!$C$52+(Inputs!$H$9))^2+Inputs!$C$52^2-2*(Inputs!$C$52+(Inputs!$H$9))*Inputs!$C$52*COS(SQRT((Scenario_Data!W98)^2+Inputs!$C$6^2)/Inputs!$C$52)))-(Inputs!$H$9))*1000/Inputs!$C$12)</x:f>
        <x:v>-15136.55814203358</x:v>
      </x:c>
      <x:c r="O98" t="n">
        <x:f>Scenario_Data!T98</x:f>
        <x:v>-12</x:v>
      </x:c>
      <x:c r="P98" t="n">
        <x:f>2*(Scenario_Data!B98*1000)/Inputs!$C$21*1000000</x:f>
        <x:v>2669.5801666898506</x:v>
      </x:c>
      <x:c r="Q98" t="n">
        <x:f>Scenario_Data!U98</x:f>
        <x:v>-80</x:v>
      </x:c>
      <x:c r="R98" t="n">
        <x:f>2*(Scenario_Data!C98*1000)/Inputs!$C$21*1000000</x:f>
        <x:v>330.8955824365668</x:v>
      </x:c>
      <x:c r="S98" t="n">
        <x:f>Scenario_Data!V98</x:f>
        <x:v>-160</x:v>
      </x:c>
      <x:c r="T98" t="n">
        <x:f>2*(Scenario_Data!D98*1000)/Inputs!$C$21*1000000</x:f>
        <x:v>491.00634813167994</x:v>
      </x:c>
      <x:c r="U98" t="n">
        <x:f>Scenario_Data!W98</x:f>
        <x:v>-160</x:v>
      </x:c>
      <x:c r="V98" t="n">
        <x:f>2*(Scenario_Data!E98*1000)/Inputs!$C$21*1000000</x:f>
        <x:v>426.9620418536346</x:v>
      </x:c>
      <x:c r="X98" t="n">
        <x:f>Scenario_Data!T98</x:f>
        <x:v>-12</x:v>
      </x:c>
      <x:c r="Y98" t="n">
        <x: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x:f>
        <x:v>2669.897439151252</x:v>
      </x:c>
      <x:c r="Z98" t="n">
        <x:f>Scenario_Data!U98</x:f>
        <x:v>-80</x:v>
      </x:c>
      <x:c r="AA98" t="n">
        <x: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x:f>
        <x:v>330.8155353836898</x:v>
      </x:c>
      <x:c r="AB98" t="n">
        <x:f>Scenario_Data!V98</x:f>
        <x:v>-160</x:v>
      </x:c>
      <x:c r="AC98" t="n">
        <x: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x:f>
        <x:v>490.8644375961172</x:v>
      </x:c>
      <x:c r="AD98" t="n">
        <x:f>Scenario_Data!W98</x:f>
        <x:v>-160</x:v>
      </x:c>
      <x:c r="AE98" t="n">
        <x: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x:f>
        <x:v>426.82013131807196</x:v>
      </x:c>
      <x:c r="AG98" t="n">
        <x:f>Scenario_Data!T98</x:f>
        <x:v>-12</x:v>
      </x:c>
      <x:c r="AH98" t="n">
        <x:f>2*(SQRT((Inputs!$C$52+(Scenario_Data!B98))^2+Inputs!$C$52^2-2*(Inputs!$C$52+(Scenario_Data!B98))*Inputs!$C$52*COS(SQRT((Scenario_Data!T98)^2+Inputs!$C$6^2)/Inputs!$C$52))*1000)/Inputs!$C$21*1000000</x:f>
        <x:v>2677.621506506962</x:v>
      </x:c>
      <x:c r="AI98" t="n">
        <x:f>Scenario_Data!U98</x:f>
        <x:v>-80</x:v>
      </x:c>
      <x:c r="AJ98" t="n">
        <x:f>2*(SQRT((Inputs!$C$52+(Scenario_Data!C98))^2+Inputs!$C$52^2-2*(Inputs!$C$52+(Scenario_Data!C98))*Inputs!$C$52*COS(SQRT((Scenario_Data!U98)^2+Inputs!$C$6^2)/Inputs!$C$52))*1000)/Inputs!$C$21*1000000</x:f>
        <x:v>657.2706885164247</x:v>
      </x:c>
      <x:c r="AK98" t="n">
        <x:f>Scenario_Data!V98</x:f>
        <x:v>-160</x:v>
      </x:c>
      <x:c r="AL98" t="n">
        <x:f>2*(SQRT((Inputs!$C$52+(Scenario_Data!D98))^2+Inputs!$C$52^2-2*(Inputs!$C$52+(Scenario_Data!D98))*Inputs!$C$52*COS(SQRT((Scenario_Data!V98)^2+Inputs!$C$6^2)/Inputs!$C$52))*1000)/Inputs!$C$21*1000000</x:f>
        <x:v>1209.2143519498034</x:v>
      </x:c>
      <x:c r="AM98" t="n">
        <x:f>Scenario_Data!W98</x:f>
        <x:v>-160</x:v>
      </x:c>
      <x:c r="AN98" t="n">
        <x:f>2*(SQRT((Inputs!$C$52+(Scenario_Data!E98))^2+Inputs!$C$52^2-2*(Inputs!$C$52+(Scenario_Data!E98))*Inputs!$C$52*COS(SQRT((Scenario_Data!W98)^2+Inputs!$C$6^2)/Inputs!$C$52))*1000)/Inputs!$C$21*1000000</x:f>
        <x:v>1181.6244054437507</x:v>
      </x:c>
      <x:c r="AP98" t="n">
        <x:f>Scenario_Data!T98</x:f>
        <x:v>-12</x:v>
      </x:c>
      <x:c r="AQ98" t="n">
        <x: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x:f>
        <x:v>2674.7105794245053</x:v>
      </x:c>
      <x:c r="AR98" t="n">
        <x:f>Scenario_Data!U98</x:f>
        <x:v>-80</x:v>
      </x:c>
      <x:c r="AS98" t="n">
        <x: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x:f>
        <x:v>656.7701971330839</x:v>
      </x:c>
      <x:c r="AT98" t="n">
        <x:f>Scenario_Data!V98</x:f>
        <x:v>-160</x:v>
      </x:c>
      <x:c r="AU98" t="n">
        <x: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x:f>
        <x:v>1208.883796960501</x:v>
      </x:c>
      <x:c r="AV98" t="n">
        <x:f>Scenario_Data!W98</x:f>
        <x:v>-160</x:v>
      </x:c>
      <x:c r="AW98" t="n">
        <x: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x:f>
        <x:v>1181.3360267787766</x:v>
      </x:c>
    </x:row>
    <x:row r="99">
      <x:c r="A99" t="n">
        <x:f>Chart_Data!K99</x:f>
        <x:v>-11.5</x:v>
      </x:c>
      <x:c r="B99" t="n">
        <x:f>Chart_Data!N99-Chart_Data!L99</x:f>
        <x:v>46.360067612850344</x:v>
      </x:c>
      <x:c r="D99" t="n">
        <x:f>Chart_Data!G99</x:f>
        <x:v>-11.5</x:v>
      </x:c>
      <x:c r="E99" t="n">
        <x:f>Chart_Data!H99</x:f>
        <x:v>458.910891472728</x:v>
      </x:c>
      <x:c r="F99" t="n">
        <x:f>Chart_Data!I99</x:f>
        <x:v>458.910891472728</x:v>
      </x:c>
      <x:c r="G99" t="n">
        <x:f>Chart_Data!J99</x:f>
        <x:v>-48.06780811544866</x:v>
      </x:c>
      <x:c r="I99" t="n">
        <x:f>Scenario_Data!A99</x:f>
        <x:v>-0.192</x:v>
      </x:c>
      <x:c r="J99" t="n">
        <x:f>Scenario_Data!H99-(((SQRT((Inputs!$C$52+(Inputs!$H$6))^2+Inputs!$C$52^2-2*(Inputs!$C$52+(Inputs!$H$6))*Inputs!$C$52*COS(SQRT((Scenario_Data!T99)^2+Inputs!$C$6^2)/Inputs!$C$52)))-(Inputs!$H$6))*1000/Inputs!$C$12)</x:f>
        <x:v>-0.1951314257202057</x:v>
      </x:c>
      <x:c r="K99" t="n">
        <x:f>Scenario_Data!I99-(((SQRT((Inputs!$C$52+(Inputs!$H$7))^2+Inputs!$C$52^2-2*(Inputs!$C$52+(Inputs!$H$7))*Inputs!$C$52*COS(SQRT((Scenario_Data!U99)^2+Inputs!$C$6^2)/Inputs!$C$52)))-(Inputs!$H$7))*1000/Inputs!$C$12)</x:f>
        <x:v>-3960.742176330219</x:v>
      </x:c>
      <x:c r="L99" t="n">
        <x:f>Scenario_Data!J99-(((SQRT((Inputs!$C$52+(Inputs!$H$8))^2+Inputs!$C$52^2-2*(Inputs!$C$52+(Inputs!$H$8))*Inputs!$C$52*COS(SQRT((Scenario_Data!V99)^2+Inputs!$C$6^2)/Inputs!$C$52)))-(Inputs!$H$8))*1000/Inputs!$C$12)</x:f>
        <x:v>-12764.866565310112</x:v>
      </x:c>
      <x:c r="M99" t="n">
        <x:f>Scenario_Data!K99-(((SQRT((Inputs!$C$52+(Inputs!$H$9))^2+Inputs!$C$52^2-2*(Inputs!$C$52+(Inputs!$H$9))*Inputs!$C$52*COS(SQRT((Scenario_Data!W99)^2+Inputs!$C$6^2)/Inputs!$C$52)))-(Inputs!$H$9))*1000/Inputs!$C$12)</x:f>
        <x:v>-13959.5036406426</x:v>
      </x:c>
      <x:c r="O99" t="n">
        <x:f>Scenario_Data!T99</x:f>
        <x:v>-11.519999999999996</x:v>
      </x:c>
      <x:c r="P99" t="n">
        <x:f>2*(Scenario_Data!B99*1000)/Inputs!$C$21*1000000</x:f>
        <x:v>2669.496482129647</x:v>
      </x:c>
      <x:c r="Q99" t="n">
        <x:f>Scenario_Data!U99</x:f>
        <x:v>-76.79999999999995</x:v>
      </x:c>
      <x:c r="R99" t="n">
        <x:f>2*(Scenario_Data!C99*1000)/Inputs!$C$21*1000000</x:f>
        <x:v>323.2593663180145</x:v>
      </x:c>
      <x:c r="S99" t="n">
        <x:f>Scenario_Data!V99</x:f>
        <x:v>-153.5999999999999</x:v>
      </x:c>
      <x:c r="T99" t="n">
        <x:f>2*(Scenario_Data!D99*1000)/Inputs!$C$21*1000000</x:f>
        <x:v>470.8174479826305</x:v>
      </x:c>
      <x:c r="U99" t="n">
        <x:f>Scenario_Data!W99</x:f>
        <x:v>-153.5999999999999</x:v>
      </x:c>
      <x:c r="V99" t="n">
        <x:f>2*(Scenario_Data!E99*1000)/Inputs!$C$21*1000000</x:f>
        <x:v>406.563930304077</x:v>
      </x:c>
      <x:c r="X99" t="n">
        <x:f>Scenario_Data!T99</x:f>
        <x:v>-11.519999999999996</x:v>
      </x:c>
      <x:c r="Y99" t="n">
        <x: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x:f>
        <x:v>2669.751857556238</x:v>
      </x:c>
      <x:c r="Z99" t="n">
        <x:f>Scenario_Data!U99</x:f>
        <x:v>-76.79999999999995</x:v>
      </x:c>
      <x:c r="AA99" t="n">
        <x: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x:f>
        <x:v>323.3793377034027</x:v>
      </x:c>
      <x:c r="AB99" t="n">
        <x:f>Scenario_Data!V99</x:f>
        <x:v>-153.5999999999999</x:v>
      </x:c>
      <x:c r="AC99" t="n">
        <x: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x:f>
        <x:v>470.8262366207247</x:v>
      </x:c>
      <x:c r="AD99" t="n">
        <x:f>Scenario_Data!W99</x:f>
        <x:v>-153.5999999999999</x:v>
      </x:c>
      <x:c r="AE99" t="n">
        <x: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x:f>
        <x:v>406.5727189421713</x:v>
      </x:c>
      <x:c r="AG99" t="n">
        <x:f>Scenario_Data!T99</x:f>
        <x:v>-11.519999999999996</x:v>
      </x:c>
      <x:c r="AH99" t="n">
        <x:f>2*(SQRT((Inputs!$C$52+(Scenario_Data!B99))^2+Inputs!$C$52^2-2*(Inputs!$C$52+(Scenario_Data!B99))*Inputs!$C$52*COS(SQRT((Scenario_Data!T99)^2+Inputs!$C$6^2)/Inputs!$C$52))*1000)/Inputs!$C$21*1000000</x:f>
        <x:v>2677.4201427373237</x:v>
      </x:c>
      <x:c r="AI99" t="n">
        <x:f>Scenario_Data!U99</x:f>
        <x:v>-76.79999999999995</x:v>
      </x:c>
      <x:c r="AJ99" t="n">
        <x:f>2*(SQRT((Inputs!$C$52+(Scenario_Data!C99))^2+Inputs!$C$52^2-2*(Inputs!$C$52+(Scenario_Data!C99))*Inputs!$C$52*COS(SQRT((Scenario_Data!U99)^2+Inputs!$C$6^2)/Inputs!$C$52))*1000)/Inputs!$C$21*1000000</x:f>
        <x:v>635.426085871894</x:v>
      </x:c>
      <x:c r="AK99" t="n">
        <x:f>Scenario_Data!V99</x:f>
        <x:v>-153.5999999999999</x:v>
      </x:c>
      <x:c r="AL99" t="n">
        <x:f>2*(SQRT((Inputs!$C$52+(Scenario_Data!D99))^2+Inputs!$C$52^2-2*(Inputs!$C$52+(Scenario_Data!D99))*Inputs!$C$52*COS(SQRT((Scenario_Data!V99)^2+Inputs!$C$6^2)/Inputs!$C$52))*1000)/Inputs!$C$21*1000000</x:f>
        <x:v>1160.7398106982935</x:v>
      </x:c>
      <x:c r="AM99" t="n">
        <x:f>Scenario_Data!W99</x:f>
        <x:v>-153.5999999999999</x:v>
      </x:c>
      <x:c r="AN99" t="n">
        <x:f>2*(SQRT((Inputs!$C$52+(Scenario_Data!E99))^2+Inputs!$C$52^2-2*(Inputs!$C$52+(Scenario_Data!E99))*Inputs!$C$52*COS(SQRT((Scenario_Data!W99)^2+Inputs!$C$6^2)/Inputs!$C$52))*1000)/Inputs!$C$21*1000000</x:f>
        <x:v>1133.2680310356866</x:v>
      </x:c>
      <x:c r="AP99" t="n">
        <x:f>Scenario_Data!T99</x:f>
        <x:v>-11.519999999999996</x:v>
      </x:c>
      <x:c r="AQ99" t="n">
        <x: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x:f>
        <x:v>2674.359012410629</x:v>
      </x:c>
      <x:c r="AR99" t="n">
        <x:f>Scenario_Data!U99</x:f>
        <x:v>-76.79999999999995</x:v>
      </x:c>
      <x:c r="AS99" t="n">
        <x: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x:f>
        <x:v>635.1547992334081</x:v>
      </x:c>
      <x:c r="AT99" t="n">
        <x:f>Scenario_Data!V99</x:f>
        <x:v>-153.5999999999999</x:v>
      </x:c>
      <x:c r="AU99" t="n">
        <x: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x:f>
        <x:v>1160.3541102258998</x:v>
      </x:c>
      <x:c r="AV99" t="n">
        <x:f>Scenario_Data!W99</x:f>
        <x:v>-153.5999999999999</x:v>
      </x:c>
      <x:c r="AW99" t="n">
        <x: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x:f>
        <x:v>1132.9336684812708</x:v>
      </x:c>
    </x:row>
    <x:row r="100">
      <x:c r="A100" t="n">
        <x:f>Chart_Data!K100</x:f>
        <x:v>-11</x:v>
      </x:c>
      <x:c r="B100" t="n">
        <x:f>Chart_Data!N100-Chart_Data!L100</x:f>
        <x:v>41.59395285740959</x:v>
      </x:c>
      <x:c r="D100" t="n">
        <x:f>Chart_Data!G100</x:f>
        <x:v>-11</x:v>
      </x:c>
      <x:c r="E100" t="n">
        <x:f>Chart_Data!H100</x:f>
        <x:v>462.5412492822977</x:v>
      </x:c>
      <x:c r="F100" t="n">
        <x:f>Chart_Data!I100</x:f>
        <x:v>462.5412492822977</x:v>
      </x:c>
      <x:c r="G100" t="n">
        <x:f>Chart_Data!J100</x:f>
        <x:v>-43.28983557333215</x:v>
      </x:c>
      <x:c r="I100" t="n">
        <x:f>Scenario_Data!A100</x:f>
        <x:v>-0.183</x:v>
      </x:c>
      <x:c r="J100" t="n">
        <x:f>Scenario_Data!H100-(((SQRT((Inputs!$C$52+(Inputs!$H$6))^2+Inputs!$C$52^2-2*(Inputs!$C$52+(Inputs!$H$6))*Inputs!$C$52*COS(SQRT((Scenario_Data!T100)^2+Inputs!$C$6^2)/Inputs!$C$52)))-(Inputs!$H$6))*1000/Inputs!$C$12)</x:f>
        <x:v>-0.17444351947665382</x:v>
      </x:c>
      <x:c r="K100" t="n">
        <x:f>Scenario_Data!I100-(((SQRT((Inputs!$C$52+(Inputs!$H$7))^2+Inputs!$C$52^2-2*(Inputs!$C$52+(Inputs!$H$7))*Inputs!$C$52*COS(SQRT((Scenario_Data!U100)^2+Inputs!$C$6^2)/Inputs!$C$52)))-(Inputs!$H$7))*1000/Inputs!$C$12)</x:f>
        <x:v>-3533.9191182778195</x:v>
      </x:c>
      <x:c r="L100" t="n">
        <x:f>Scenario_Data!J100-(((SQRT((Inputs!$C$52+(Inputs!$H$8))^2+Inputs!$C$52^2-2*(Inputs!$C$52+(Inputs!$H$8))*Inputs!$C$52*COS(SQRT((Scenario_Data!V100)^2+Inputs!$C$6^2)/Inputs!$C$52)))-(Inputs!$H$8))*1000/Inputs!$C$12)</x:f>
        <x:v>-11550.242027722496</x:v>
      </x:c>
      <x:c r="M100" t="n">
        <x:f>Scenario_Data!K100-(((SQRT((Inputs!$C$52+(Inputs!$H$9))^2+Inputs!$C$52^2-2*(Inputs!$C$52+(Inputs!$H$9))*Inputs!$C$52*COS(SQRT((Scenario_Data!W100)^2+Inputs!$C$6^2)/Inputs!$C$52)))-(Inputs!$H$9))*1000/Inputs!$C$12)</x:f>
        <x:v>-12681.604714695779</x:v>
      </x:c>
      <x:c r="O100" t="n">
        <x:f>Scenario_Data!T100</x:f>
        <x:v>-10.980000000000004</x:v>
      </x:c>
      <x:c r="P100" t="n">
        <x:f>2*(Scenario_Data!B100*1000)/Inputs!$C$21*1000000</x:f>
        <x:v>2669.406419823944</x:v>
      </x:c>
      <x:c r="Q100" t="n">
        <x:f>Scenario_Data!U100</x:f>
        <x:v>-73.20000000000005</x:v>
      </x:c>
      <x:c r="R100" t="n">
        <x:f>2*(Scenario_Data!C100*1000)/Inputs!$C$21*1000000</x:f>
        <x:v>315.04118092257016</x:v>
      </x:c>
      <x:c r="S100" t="n">
        <x:f>Scenario_Data!V100</x:f>
        <x:v>-146.4000000000001</x:v>
      </x:c>
      <x:c r="T100" t="n">
        <x:f>2*(Scenario_Data!D100*1000)/Inputs!$C$21*1000000</x:f>
        <x:v>449.08991673166133</x:v>
      </x:c>
      <x:c r="U100" t="n">
        <x:f>Scenario_Data!W100</x:f>
        <x:v>-146.4000000000001</x:v>
      </x:c>
      <x:c r="V100" t="n">
        <x:f>2*(Scenario_Data!E100*1000)/Inputs!$C$21*1000000</x:f>
        <x:v>384.6112432888491</x:v>
      </x:c>
      <x:c r="X100" t="n">
        <x:f>Scenario_Data!T100</x:f>
        <x:v>-10.980000000000004</x:v>
      </x:c>
      <x:c r="Y100" t="n">
        <x: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x:f>
        <x:v>2669.6399802909527</x:v>
      </x:c>
      <x:c r="Z100" t="n">
        <x:f>Scenario_Data!U100</x:f>
        <x:v>-73.20000000000005</x:v>
      </x:c>
      <x:c r="AA100" t="n">
        <x: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x:f>
        <x:v>314.94112454596194</x:v>
      </x:c>
      <x:c r="AB100" t="n">
        <x:f>Scenario_Data!V100</x:f>
        <x:v>-146.4000000000001</x:v>
      </x:c>
      <x:c r="AC100" t="n">
        <x: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x:f>
        <x:v>449.3851411697194</x:v>
      </x:c>
      <x:c r="AD100" t="n">
        <x:f>Scenario_Data!W100</x:f>
        <x:v>-146.4000000000001</x:v>
      </x:c>
      <x:c r="AE100" t="n">
        <x: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x:f>
        <x:v>384.90646772690724</x:v>
      </x:c>
      <x:c r="AG100" t="n">
        <x:f>Scenario_Data!T100</x:f>
        <x:v>-10.980000000000004</x:v>
      </x:c>
      <x:c r="AH100" t="n">
        <x:f>2*(SQRT((Inputs!$C$52+(Scenario_Data!B100))^2+Inputs!$C$52^2-2*(Inputs!$C$52+(Scenario_Data!B100))*Inputs!$C$52*COS(SQRT((Scenario_Data!T100)^2+Inputs!$C$6^2)/Inputs!$C$52))*1000)/Inputs!$C$21*1000000</x:f>
        <x:v>2677.2034202705154</x:v>
      </x:c>
      <x:c r="AI100" t="n">
        <x:f>Scenario_Data!U100</x:f>
        <x:v>-73.20000000000005</x:v>
      </x:c>
      <x:c r="AJ100" t="n">
        <x:f>2*(SQRT((Inputs!$C$52+(Scenario_Data!C100))^2+Inputs!$C$52^2-2*(Inputs!$C$52+(Scenario_Data!C100))*Inputs!$C$52*COS(SQRT((Scenario_Data!U100)^2+Inputs!$C$6^2)/Inputs!$C$52))*1000)/Inputs!$C$21*1000000</x:f>
        <x:v>611.1806207136659</x:v>
      </x:c>
      <x:c r="AK100" t="n">
        <x:f>Scenario_Data!V100</x:f>
        <x:v>-146.4000000000001</x:v>
      </x:c>
      <x:c r="AL100" t="n">
        <x:f>2*(SQRT((Inputs!$C$52+(Scenario_Data!D100))^2+Inputs!$C$52^2-2*(Inputs!$C$52+(Scenario_Data!D100))*Inputs!$C$52*COS(SQRT((Scenario_Data!V100)^2+Inputs!$C$6^2)/Inputs!$C$52))*1000)/Inputs!$C$21*1000000</x:f>
        <x:v>1106.77995128393</x:v>
      </x:c>
      <x:c r="AM100" t="n">
        <x:f>Scenario_Data!W100</x:f>
        <x:v>-146.4000000000001</x:v>
      </x:c>
      <x:c r="AN100" t="n">
        <x:f>2*(SQRT((Inputs!$C$52+(Scenario_Data!E100))^2+Inputs!$C$52^2-2*(Inputs!$C$52+(Scenario_Data!E100))*Inputs!$C$52*COS(SQRT((Scenario_Data!W100)^2+Inputs!$C$6^2)/Inputs!$C$52))*1000)/Inputs!$C$21*1000000</x:f>
        <x:v>1079.4124988914414</x:v>
      </x:c>
      <x:c r="AP100" t="n">
        <x:f>Scenario_Data!T100</x:f>
        <x:v>-10.980000000000004</x:v>
      </x:c>
      <x:c r="AQ100" t="n">
        <x: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x:f>
        <x:v>2674.190016568398</x:v>
      </x:c>
      <x:c r="AR100" t="n">
        <x:f>Scenario_Data!U100</x:f>
        <x:v>-73.20000000000005</x:v>
      </x:c>
      <x:c r="AS100" t="n">
        <x: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x:f>
        <x:v>610.8510113002076</x:v>
      </x:c>
      <x:c r="AT100" t="n">
        <x:f>Scenario_Data!V100</x:f>
        <x:v>-146.4000000000001</x:v>
      </x:c>
      <x:c r="AU100" t="n">
        <x: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x:f>
        <x:v>1106.563522654145</x:v>
      </x:c>
      <x:c r="AV100" t="n">
        <x:f>Scenario_Data!W100</x:f>
        <x:v>-146.4000000000001</x:v>
      </x:c>
      <x:c r="AW100" t="n">
        <x: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x:f>
        <x:v>1079.2262262421423</x:v>
      </x:c>
    </x:row>
    <x:row r="101">
      <x:c r="A101" t="n">
        <x:f>Chart_Data!K101</x:f>
        <x:v>-10.5</x:v>
      </x:c>
      <x:c r="B101" t="n">
        <x:f>Chart_Data!N101-Chart_Data!L101</x:f>
        <x:v>50.39733683997741</x:v>
      </x:c>
      <x:c r="D101" t="n">
        <x:f>Chart_Data!G101</x:f>
        <x:v>-10.5</x:v>
      </x:c>
      <x:c r="E101" t="n">
        <x:f>Chart_Data!H101</x:f>
        <x:v>470.10163194835394</x:v>
      </x:c>
      <x:c r="F101" t="n">
        <x:f>Chart_Data!I101</x:f>
        <x:v>470.10163194835394</x:v>
      </x:c>
      <x:c r="G101" t="n">
        <x:f>Chart_Data!J101</x:f>
        <x:v>-52.09631463655199</x:v>
      </x:c>
      <x:c r="I101" t="n">
        <x:f>Scenario_Data!A101</x:f>
        <x:v>-0.175</x:v>
      </x:c>
      <x:c r="J101" t="n">
        <x:f>Scenario_Data!H101-(((SQRT((Inputs!$C$52+(Inputs!$H$6))^2+Inputs!$C$52^2-2*(Inputs!$C$52+(Inputs!$H$6))*Inputs!$C$52*COS(SQRT((Scenario_Data!T101)^2+Inputs!$C$6^2)/Inputs!$C$52)))-(Inputs!$H$6))*1000/Inputs!$C$12)</x:f>
        <x:v>-0.15733377440119511</x:v>
      </x:c>
      <x:c r="K101" t="n">
        <x:f>Scenario_Data!I101-(((SQRT((Inputs!$C$52+(Inputs!$H$7))^2+Inputs!$C$52^2-2*(Inputs!$C$52+(Inputs!$H$7))*Inputs!$C$52*COS(SQRT((Scenario_Data!U101)^2+Inputs!$C$6^2)/Inputs!$C$52)))-(Inputs!$H$7))*1000/Inputs!$C$12)</x:f>
        <x:v>-3174.698779983293</x:v>
      </x:c>
      <x:c r="L101" t="n">
        <x:f>Scenario_Data!J101-(((SQRT((Inputs!$C$52+(Inputs!$H$8))^2+Inputs!$C$52^2-2*(Inputs!$C$52+(Inputs!$H$8))*Inputs!$C$52*COS(SQRT((Scenario_Data!V101)^2+Inputs!$C$6^2)/Inputs!$C$52)))-(Inputs!$H$8))*1000/Inputs!$C$12)</x:f>
        <x:v>-10513.46974524825</x:v>
      </x:c>
      <x:c r="M101" t="n">
        <x:f>Scenario_Data!K101-(((SQRT((Inputs!$C$52+(Inputs!$H$9))^2+Inputs!$C$52^2-2*(Inputs!$C$52+(Inputs!$H$9))*Inputs!$C$52*COS(SQRT((Scenario_Data!W101)^2+Inputs!$C$6^2)/Inputs!$C$52)))-(Inputs!$H$9))*1000/Inputs!$C$12)</x:f>
        <x:v>-11588.17818289464</x:v>
      </x:c>
      <x:c r="O101" t="n">
        <x:f>Scenario_Data!T101</x:f>
        <x:v>-10.5</x:v>
      </x:c>
      <x:c r="P101" t="n">
        <x:f>2*(Scenario_Data!B101*1000)/Inputs!$C$21*1000000</x:f>
        <x:v>2669.329993618452</x:v>
      </x:c>
      <x:c r="Q101" t="n">
        <x:f>Scenario_Data!U101</x:f>
        <x:v>-70</x:v>
      </x:c>
      <x:c r="R101" t="n">
        <x:f>2*(Scenario_Data!C101*1000)/Inputs!$C$21*1000000</x:f>
        <x:v>308.0672896714433</x:v>
      </x:c>
      <x:c r="S101" t="n">
        <x:f>Scenario_Data!V101</x:f>
        <x:v>-140</x:v>
      </x:c>
      <x:c r="T101" t="n">
        <x:f>2*(Scenario_Data!D101*1000)/Inputs!$C$21*1000000</x:f>
        <x:v>430.6520946567642</x:v>
      </x:c>
      <x:c r="U101" t="n">
        <x:f>Scenario_Data!W101</x:f>
        <x:v>-140</x:v>
      </x:c>
      <x:c r="V101" t="n">
        <x:f>2*(Scenario_Data!E101*1000)/Inputs!$C$21*1000000</x:f>
        <x:v>365.98235570022246</x:v>
      </x:c>
      <x:c r="X101" t="n">
        <x:f>Scenario_Data!T101</x:f>
        <x:v>-10.5</x:v>
      </x:c>
      <x:c r="Y101" t="n">
        <x: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x:f>
        <x:v>2669.6775428195497</x:v>
      </x:c>
      <x:c r="Z101" t="n">
        <x:f>Scenario_Data!U101</x:f>
        <x:v>-70</x:v>
      </x:c>
      <x:c r="AA101" t="n">
        <x: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x:f>
        <x:v>307.48456938359294</x:v>
      </x:c>
      <x:c r="AB101" t="n">
        <x:f>Scenario_Data!V101</x:f>
        <x:v>-140</x:v>
      </x:c>
      <x:c r="AC101" t="n">
        <x: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x:f>
        <x:v>430.3095956434267</x:v>
      </x:c>
      <x:c r="AD101" t="n">
        <x:f>Scenario_Data!W101</x:f>
        <x:v>-140</x:v>
      </x:c>
      <x:c r="AE101" t="n">
        <x: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x:f>
        <x:v>365.639856686885</x:v>
      </x:c>
      <x:c r="AG101" t="n">
        <x:f>Scenario_Data!T101</x:f>
        <x:v>-10.5</x:v>
      </x:c>
      <x:c r="AH101" t="n">
        <x:f>2*(SQRT((Inputs!$C$52+(Scenario_Data!B101))^2+Inputs!$C$52^2-2*(Inputs!$C$52+(Scenario_Data!B101))*Inputs!$C$52*COS(SQRT((Scenario_Data!T101)^2+Inputs!$C$6^2)/Inputs!$C$52))*1000)/Inputs!$C$21*1000000</x:f>
        <x:v>2677.019501093122</x:v>
      </x:c>
      <x:c r="AI101" t="n">
        <x:f>Scenario_Data!U101</x:f>
        <x:v>-70</x:v>
      </x:c>
      <x:c r="AJ101" t="n">
        <x:f>2*(SQRT((Inputs!$C$52+(Scenario_Data!C101))^2+Inputs!$C$52^2-2*(Inputs!$C$52+(Scenario_Data!C101))*Inputs!$C$52*COS(SQRT((Scenario_Data!U101)^2+Inputs!$C$6^2)/Inputs!$C$52))*1000)/Inputs!$C$21*1000000</x:f>
        <x:v>589.9393087491328</x:v>
      </x:c>
      <x:c r="AK101" t="n">
        <x:f>Scenario_Data!V101</x:f>
        <x:v>-140</x:v>
      </x:c>
      <x:c r="AL101" t="n">
        <x:f>2*(SQRT((Inputs!$C$52+(Scenario_Data!D101))^2+Inputs!$C$52^2-2*(Inputs!$C$52+(Scenario_Data!D101))*Inputs!$C$52*COS(SQRT((Scenario_Data!V101)^2+Inputs!$C$6^2)/Inputs!$C$52))*1000)/Inputs!$C$21*1000000</x:f>
        <x:v>1059.3278163208254</x:v>
      </x:c>
      <x:c r="AM101" t="n">
        <x:f>Scenario_Data!W101</x:f>
        <x:v>-140</x:v>
      </x:c>
      <x:c r="AN101" t="n">
        <x:f>2*(SQRT((Inputs!$C$52+(Scenario_Data!E101))^2+Inputs!$C$52^2-2*(Inputs!$C$52+(Scenario_Data!E101))*Inputs!$C$52*COS(SQRT((Scenario_Data!W101)^2+Inputs!$C$6^2)/Inputs!$C$52))*1000)/Inputs!$C$21*1000000</x:f>
        <x:v>1032.0225937697833</x:v>
      </x:c>
      <x:c r="AP101" t="n">
        <x:f>Scenario_Data!T101</x:f>
        <x:v>-10.5</x:v>
      </x:c>
      <x:c r="AQ101" t="n">
        <x: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x:f>
        <x:v>2673.894654942711</x:v>
      </x:c>
      <x:c r="AR101" t="n">
        <x:f>Scenario_Data!U101</x:f>
        <x:v>-70</x:v>
      </x:c>
      <x:c r="AS101" t="n">
        <x: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x:f>
        <x:v>589.2813068975925</x:v>
      </x:c>
      <x:c r="AT101" t="n">
        <x:f>Scenario_Data!V101</x:f>
        <x:v>-140</x:v>
      </x:c>
      <x:c r="AU101" t="n">
        <x: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x:f>
        <x:v>1058.8311599750984</x:v>
      </x:c>
      <x:c r="AV101" t="n">
        <x:f>Scenario_Data!W101</x:f>
        <x:v>-140</x:v>
      </x:c>
      <x:c r="AW101" t="n">
        <x: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x:f>
        <x:v>1031.5980886484233</x:v>
      </x:c>
    </x:row>
    <x:row r="102">
      <x:c r="A102" t="n">
        <x:f>Chart_Data!K102</x:f>
        <x:v>-10</x:v>
      </x:c>
      <x:c r="B102" t="n">
        <x:f>Chart_Data!N102-Chart_Data!L102</x:f>
        <x:v>47.74262749473371</x:v>
      </x:c>
      <x:c r="D102" t="n">
        <x:f>Chart_Data!G102</x:f>
        <x:v>-10</x:v>
      </x:c>
      <x:c r="E102" t="n">
        <x:f>Chart_Data!H102</x:f>
        <x:v>471.5144848829251</x:v>
      </x:c>
      <x:c r="F102" t="n">
        <x:f>Chart_Data!I102</x:f>
        <x:v>471.5144848829251</x:v>
      </x:c>
      <x:c r="G102" t="n">
        <x:f>Chart_Data!J102</x:f>
        <x:v>-49.423131521111884</x:v>
      </x:c>
      <x:c r="I102" t="n">
        <x:f>Scenario_Data!A102</x:f>
        <x:v>-0.167</x:v>
      </x:c>
      <x:c r="J102" t="n">
        <x:f>Scenario_Data!H102-(((SQRT((Inputs!$C$52+(Inputs!$H$6))^2+Inputs!$C$52^2-2*(Inputs!$C$52+(Inputs!$H$6))*Inputs!$C$52*COS(SQRT((Scenario_Data!T102)^2+Inputs!$C$6^2)/Inputs!$C$52)))-(Inputs!$H$6))*1000/Inputs!$C$12)</x:f>
        <x:v>-0.14137113236063215</x:v>
      </x:c>
      <x:c r="K102" t="n">
        <x:f>Scenario_Data!I102-(((SQRT((Inputs!$C$52+(Inputs!$H$7))^2+Inputs!$C$52^2-2*(Inputs!$C$52+(Inputs!$H$7))*Inputs!$C$52*COS(SQRT((Scenario_Data!U102)^2+Inputs!$C$6^2)/Inputs!$C$52)))-(Inputs!$H$7))*1000/Inputs!$C$12)</x:f>
        <x:v>-2834.7671819467178</x:v>
      </x:c>
      <x:c r="L102" t="n">
        <x:f>Scenario_Data!J102-(((SQRT((Inputs!$C$52+(Inputs!$H$8))^2+Inputs!$C$52^2-2*(Inputs!$C$52+(Inputs!$H$8))*Inputs!$C$52*COS(SQRT((Scenario_Data!V102)^2+Inputs!$C$6^2)/Inputs!$C$52)))-(Inputs!$H$8))*1000/Inputs!$C$12)</x:f>
        <x:v>-9518.334244312478</x:v>
      </x:c>
      <x:c r="M102" t="n">
        <x:f>Scenario_Data!K102-(((SQRT((Inputs!$C$52+(Inputs!$H$9))^2+Inputs!$C$52^2-2*(Inputs!$C$52+(Inputs!$H$9))*Inputs!$C$52*COS(SQRT((Scenario_Data!W102)^2+Inputs!$C$6^2)/Inputs!$C$52)))-(Inputs!$H$9))*1000/Inputs!$C$12)</x:f>
        <x:v>-10536.017531248719</x:v>
      </x:c>
      <x:c r="O102" t="n">
        <x:f>Scenario_Data!T102</x:f>
        <x:v>-10.020000000000003</x:v>
      </x:c>
      <x:c r="P102" t="n">
        <x:f>2*(Scenario_Data!B102*1000)/Inputs!$C$21*1000000</x:f>
        <x:v>2669.256983109295</x:v>
      </x:c>
      <x:c r="Q102" t="n">
        <x:f>Scenario_Data!U102</x:f>
        <x:v>-66.80000000000001</x:v>
      </x:c>
      <x:c r="R102" t="n">
        <x:f>2*(Scenario_Data!C102*1000)/Inputs!$C$21*1000000</x:f>
        <x:v>301.40508071086964</x:v>
      </x:c>
      <x:c r="S102" t="n">
        <x:f>Scenario_Data!V102</x:f>
        <x:v>-133.60000000000002</x:v>
      </x:c>
      <x:c r="T102" t="n">
        <x:f>2*(Scenario_Data!D102*1000)/Inputs!$C$21*1000000</x:f>
        <x:v>413.03830932264486</x:v>
      </x:c>
      <x:c r="U102" t="n">
        <x:f>Scenario_Data!W102</x:f>
        <x:v>-133.60000000000002</x:v>
      </x:c>
      <x:c r="V102" t="n">
        <x:f>2*(Scenario_Data!E102*1000)/Inputs!$C$21*1000000</x:f>
        <x:v>348.1860440932107</x:v>
      </x:c>
      <x:c r="X102" t="n">
        <x:f>Scenario_Data!T102</x:f>
        <x:v>-10.020000000000003</x:v>
      </x:c>
      <x:c r="Y102" t="n">
        <x: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x:f>
        <x:v>2669.5329806107666</x:v>
      </x:c>
      <x:c r="Z102" t="n">
        <x:f>Scenario_Data!U102</x:f>
        <x:v>-66.80000000000001</x:v>
      </x:c>
      <x:c r="AA102" t="n">
        <x: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x:f>
        <x:v>300.7709446697845</x:v>
      </x:c>
      <x:c r="AB102" t="n">
        <x:f>Scenario_Data!V102</x:f>
        <x:v>-133.60000000000002</x:v>
      </x:c>
      <x:c r="AC102" t="n">
        <x: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x:f>
        <x:v>413.13501587361156</x:v>
      </x:c>
      <x:c r="AD102" t="n">
        <x:f>Scenario_Data!W102</x:f>
        <x:v>-133.60000000000002</x:v>
      </x:c>
      <x:c r="AE102" t="n">
        <x: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x:f>
        <x:v>348.2827506441774</x:v>
      </x:c>
      <x:c r="AG102" t="n">
        <x:f>Scenario_Data!T102</x:f>
        <x:v>-10.020000000000003</x:v>
      </x:c>
      <x:c r="AH102" t="n">
        <x:f>2*(SQRT((Inputs!$C$52+(Scenario_Data!B102))^2+Inputs!$C$52^2-2*(Inputs!$C$52+(Scenario_Data!B102))*Inputs!$C$52*COS(SQRT((Scenario_Data!T102)^2+Inputs!$C$6^2)/Inputs!$C$52))*1000)/Inputs!$C$21*1000000</x:f>
        <x:v>2676.843793107199</x:v>
      </x:c>
      <x:c r="AI102" t="n">
        <x:f>Scenario_Data!U102</x:f>
        <x:v>-66.80000000000001</x:v>
      </x:c>
      <x:c r="AJ102" t="n">
        <x:f>2*(SQRT((Inputs!$C$52+(Scenario_Data!C102))^2+Inputs!$C$52^2-2*(Inputs!$C$52+(Scenario_Data!C102))*Inputs!$C$52*COS(SQRT((Scenario_Data!U102)^2+Inputs!$C$6^2)/Inputs!$C$52))*1000)/Inputs!$C$21*1000000</x:f>
        <x:v>569.0088081002975</x:v>
      </x:c>
      <x:c r="AK102" t="n">
        <x:f>Scenario_Data!V102</x:f>
        <x:v>-133.60000000000002</x:v>
      </x:c>
      <x:c r="AL102" t="n">
        <x:f>2*(SQRT((Inputs!$C$52+(Scenario_Data!D102))^2+Inputs!$C$52^2-2*(Inputs!$C$52+(Scenario_Data!D102))*Inputs!$C$52*COS(SQRT((Scenario_Data!V102)^2+Inputs!$C$6^2)/Inputs!$C$52))*1000)/Inputs!$C$21*1000000</x:f>
        <x:v>1012.362240937457</x:v>
      </x:c>
      <x:c r="AM102" t="n">
        <x:f>Scenario_Data!W102</x:f>
        <x:v>-133.60000000000002</x:v>
      </x:c>
      <x:c r="AN102" t="n">
        <x:f>2*(SQRT((Inputs!$C$52+(Scenario_Data!E102))^2+Inputs!$C$52^2-2*(Inputs!$C$52+(Scenario_Data!E102))*Inputs!$C$52*COS(SQRT((Scenario_Data!W102)^2+Inputs!$C$6^2)/Inputs!$C$52))*1000)/Inputs!$C$21*1000000</x:f>
        <x:v>985.0850258038517</x:v>
      </x:c>
      <x:c r="AP102" t="n">
        <x:f>Scenario_Data!T102</x:f>
        <x:v>-10.020000000000003</x:v>
      </x:c>
      <x:c r="AQ102" t="n">
        <x: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x:f>
        <x:v>2673.759697209001</x:v>
      </x:c>
      <x:c r="AR102" t="n">
        <x:f>Scenario_Data!U102</x:f>
        <x:v>-66.80000000000001</x:v>
      </x:c>
      <x:c r="AS102" t="n">
        <x: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x:f>
        <x:v>568.2671800772529</x:v>
      </x:c>
      <x:c r="AT102" t="n">
        <x:f>Scenario_Data!V102</x:f>
        <x:v>-133.60000000000002</x:v>
      </x:c>
      <x:c r="AU102" t="n">
        <x: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x:f>
        <x:v>1012.0645953546137</x:v>
      </x:c>
      <x:c r="AV102" t="n">
        <x:f>Scenario_Data!W102</x:f>
        <x:v>-133.60000000000002</x:v>
      </x:c>
      <x:c r="AW102" t="n">
        <x: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x:f>
        <x:v>984.8323231675628</x:v>
      </x:c>
    </x:row>
    <x:row r="103">
      <x:c r="A103" t="n">
        <x:f>Chart_Data!K103</x:f>
        <x:v>-9.5</x:v>
      </x:c>
      <x:c r="B103" t="n">
        <x:f>Chart_Data!N103-Chart_Data!L103</x:f>
        <x:v>30.622778156968423</x:v>
      </x:c>
      <x:c r="D103" t="n">
        <x:f>Chart_Data!G103</x:f>
        <x:v>-9.5</x:v>
      </x:c>
      <x:c r="E103" t="n">
        <x:f>Chart_Data!H103</x:f>
        <x:v>470.5815738170562</x:v>
      </x:c>
      <x:c r="F103" t="n">
        <x:f>Chart_Data!I103</x:f>
        <x:v>470.5815738170562</x:v>
      </x:c>
      <x:c r="G103" t="n">
        <x:f>Chart_Data!J103</x:f>
        <x:v>-32.277557975083496</x:v>
      </x:c>
      <x:c r="I103" t="n">
        <x:f>Scenario_Data!A103</x:f>
        <x:v>-0.158</x:v>
      </x:c>
      <x:c r="J103" t="n">
        <x:f>Scenario_Data!H103-(((SQRT((Inputs!$C$52+(Inputs!$H$6))^2+Inputs!$C$52^2-2*(Inputs!$C$52+(Inputs!$H$6))*Inputs!$C$52*COS(SQRT((Scenario_Data!T103)^2+Inputs!$C$6^2)/Inputs!$C$52)))-(Inputs!$H$6))*1000/Inputs!$C$12)</x:f>
        <x:v>-0.12471921807230046</x:v>
      </x:c>
      <x:c r="K103" t="n">
        <x:f>Scenario_Data!I103-(((SQRT((Inputs!$C$52+(Inputs!$H$7))^2+Inputs!$C$52^2-2*(Inputs!$C$52+(Inputs!$H$7))*Inputs!$C$52*COS(SQRT((Scenario_Data!U103)^2+Inputs!$C$6^2)/Inputs!$C$52)))-(Inputs!$H$7))*1000/Inputs!$C$12)</x:f>
        <x:v>-2475.736579407454</x:v>
      </x:c>
      <x:c r="L103" t="n">
        <x:f>Scenario_Data!J103-(((SQRT((Inputs!$C$52+(Inputs!$H$8))^2+Inputs!$C$52^2-2*(Inputs!$C$52+(Inputs!$H$8))*Inputs!$C$52*COS(SQRT((Scenario_Data!V103)^2+Inputs!$C$6^2)/Inputs!$C$52)))-(Inputs!$H$8))*1000/Inputs!$C$12)</x:f>
        <x:v>-8450.11460672399</x:v>
      </x:c>
      <x:c r="M103" t="n">
        <x:f>Scenario_Data!K103-(((SQRT((Inputs!$C$52+(Inputs!$H$9))^2+Inputs!$C$52^2-2*(Inputs!$C$52+(Inputs!$H$9))*Inputs!$C$52*COS(SQRT((Scenario_Data!W103)^2+Inputs!$C$6^2)/Inputs!$C$52)))-(Inputs!$H$9))*1000/Inputs!$C$12)</x:f>
        <x:v>-9403.219768093775</x:v>
      </x:c>
      <x:c r="O103" t="n">
        <x:f>Scenario_Data!T103</x:f>
        <x:v>-9.480000000000004</x:v>
      </x:c>
      <x:c r="P103" t="n">
        <x:f>2*(Scenario_Data!B103*1000)/Inputs!$C$21*1000000</x:f>
        <x:v>2669.1789291110185</x:v>
      </x:c>
      <x:c r="Q103" t="n">
        <x:f>Scenario_Data!U103</x:f>
        <x:v>-63.19999999999999</x:v>
      </x:c>
      <x:c r="R103" t="n">
        <x:f>2*(Scenario_Data!C103*1000)/Inputs!$C$21*1000000</x:f>
        <x:v>294.2826533681511</x:v>
      </x:c>
      <x:c r="S103" t="n">
        <x:f>Scenario_Data!V103</x:f>
        <x:v>-126.39999999999998</x:v>
      </x:c>
      <x:c r="T103" t="n">
        <x:f>2*(Scenario_Data!D103*1000)/Inputs!$C$21*1000000</x:f>
        <x:v>394.2077822384711</x:v>
      </x:c>
      <x:c r="U103" t="n">
        <x:f>Scenario_Data!W103</x:f>
        <x:v>-126.39999999999998</x:v>
      </x:c>
      <x:c r="V103" t="n">
        <x:f>2*(Scenario_Data!E103*1000)/Inputs!$C$21*1000000</x:f>
        <x:v>329.160382013346</x:v>
      </x:c>
      <x:c r="X103" t="n">
        <x:f>Scenario_Data!T103</x:f>
        <x:v>-9.480000000000004</x:v>
      </x:c>
      <x:c r="Y103" t="n">
        <x: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x:f>
        <x:v>2669.511245132921</x:v>
      </x:c>
      <x:c r="Z103" t="n">
        <x:f>Scenario_Data!U103</x:f>
        <x:v>-63.19999999999999</x:v>
      </x:c>
      <x:c r="AA103" t="n">
        <x: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x:f>
        <x:v>294.23661277989663</x:v>
      </x:c>
      <x:c r="AB103" t="n">
        <x:f>Scenario_Data!V103</x:f>
        <x:v>-126.39999999999998</x:v>
      </x:c>
      <x:c r="AC103" t="n">
        <x: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x:f>
        <x:v>394.10574765913475</x:v>
      </x:c>
      <x:c r="AD103" t="n">
        <x:f>Scenario_Data!W103</x:f>
        <x:v>-126.39999999999998</x:v>
      </x:c>
      <x:c r="AE103" t="n">
        <x: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x:f>
        <x:v>329.0583474340097</x:v>
      </x:c>
      <x:c r="AG103" t="n">
        <x:f>Scenario_Data!T103</x:f>
        <x:v>-9.480000000000004</x:v>
      </x:c>
      <x:c r="AH103" t="n">
        <x:f>2*(SQRT((Inputs!$C$52+(Scenario_Data!B103))^2+Inputs!$C$52^2-2*(Inputs!$C$52+(Scenario_Data!B103))*Inputs!$C$52*COS(SQRT((Scenario_Data!T103)^2+Inputs!$C$6^2)/Inputs!$C$52))*1000)/Inputs!$C$21*1000000</x:f>
        <x:v>2676.655938037531</x:v>
      </x:c>
      <x:c r="AI103" t="n">
        <x:f>Scenario_Data!U103</x:f>
        <x:v>-63.19999999999999</x:v>
      </x:c>
      <x:c r="AJ103" t="n">
        <x:f>2*(SQRT((Inputs!$C$52+(Scenario_Data!C103))^2+Inputs!$C$52^2-2*(Inputs!$C$52+(Scenario_Data!C103))*Inputs!$C$52*COS(SQRT((Scenario_Data!U103)^2+Inputs!$C$6^2)/Inputs!$C$52))*1000)/Inputs!$C$21*1000000</x:f>
        <x:v>545.8599335087318</x:v>
      </x:c>
      <x:c r="AK103" t="n">
        <x:f>Scenario_Data!V103</x:f>
        <x:v>-126.39999999999998</x:v>
      </x:c>
      <x:c r="AL103" t="n">
        <x:f>2*(SQRT((Inputs!$C$52+(Scenario_Data!D103))^2+Inputs!$C$52^2-2*(Inputs!$C$52+(Scenario_Data!D103))*Inputs!$C$52*COS(SQRT((Scenario_Data!V103)^2+Inputs!$C$6^2)/Inputs!$C$52))*1000)/Inputs!$C$21*1000000</x:f>
        <x:v>960.117033428206</x:v>
      </x:c>
      <x:c r="AM103" t="n">
        <x:f>Scenario_Data!W103</x:f>
        <x:v>-126.39999999999998</x:v>
      </x:c>
      <x:c r="AN103" t="n">
        <x:f>2*(SQRT((Inputs!$C$52+(Scenario_Data!E103))^2+Inputs!$C$52^2-2*(Inputs!$C$52+(Scenario_Data!E103))*Inputs!$C$52*COS(SQRT((Scenario_Data!W103)^2+Inputs!$C$6^2)/Inputs!$C$52))*1000)/Inputs!$C$21*1000000</x:f>
        <x:v>932.8227451453487</x:v>
      </x:c>
      <x:c r="AP103" t="n">
        <x:f>Scenario_Data!T103</x:f>
        <x:v>-9.480000000000004</x:v>
      </x:c>
      <x:c r="AQ103" t="n">
        <x: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x:f>
        <x:v>2673.572737760398</x:v>
      </x:c>
      <x:c r="AR103" t="n">
        <x:f>Scenario_Data!U103</x:f>
        <x:v>-63.19999999999999</x:v>
      </x:c>
      <x:c r="AS103" t="n">
        <x: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x:f>
        <x:v>545.3235753259175</x:v>
      </x:c>
      <x:c r="AT103" t="n">
        <x:f>Scenario_Data!V103</x:f>
        <x:v>-126.39999999999998</x:v>
      </x:c>
      <x:c r="AU103" t="n">
        <x: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x:f>
        <x:v>959.6992490366466</x:v>
      </x:c>
      <x:c r="AV103" t="n">
        <x:f>Scenario_Data!W103</x:f>
        <x:v>-126.39999999999998</x:v>
      </x:c>
      <x:c r="AW103" t="n">
        <x: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x:f>
        <x:v>932.4708641756583</x:v>
      </x:c>
    </x:row>
    <x:row r="104">
      <x:c r="A104" t="n">
        <x:f>Chart_Data!K104</x:f>
        <x:v>-9</x:v>
      </x:c>
      <x:c r="B104" t="n">
        <x:f>Chart_Data!N104-Chart_Data!L104</x:f>
        <x:v>45.75306376780679</x:v>
      </x:c>
      <x:c r="D104" t="n">
        <x:f>Chart_Data!G104</x:f>
        <x:v>-9</x:v>
      </x:c>
      <x:c r="E104" t="n">
        <x:f>Chart_Data!H104</x:f>
        <x:v>480.618285675218</x:v>
      </x:c>
      <x:c r="F104" t="n">
        <x:f>Chart_Data!I104</x:f>
        <x:v>480.618285675218</x:v>
      </x:c>
      <x:c r="G104" t="n">
        <x:f>Chart_Data!J104</x:f>
        <x:v>-47.4214748383975</x:v>
      </x:c>
      <x:c r="I104" t="n">
        <x:f>Scenario_Data!A104</x:f>
        <x:v>-0.15</x:v>
      </x:c>
      <x:c r="J104" t="n">
        <x:f>Scenario_Data!H104-(((SQRT((Inputs!$C$52+(Inputs!$H$6))^2+Inputs!$C$52^2-2*(Inputs!$C$52+(Inputs!$H$6))*Inputs!$C$52*COS(SQRT((Scenario_Data!T104)^2+Inputs!$C$6^2)/Inputs!$C$52)))-(Inputs!$H$6))*1000/Inputs!$C$12)</x:f>
        <x:v>-0.11102336728663431</x:v>
      </x:c>
      <x:c r="K104" t="n">
        <x:f>Scenario_Data!I104-(((SQRT((Inputs!$C$52+(Inputs!$H$7))^2+Inputs!$C$52^2-2*(Inputs!$C$52+(Inputs!$H$7))*Inputs!$C$52*COS(SQRT((Scenario_Data!U104)^2+Inputs!$C$6^2)/Inputs!$C$52)))-(Inputs!$H$7))*1000/Inputs!$C$12)</x:f>
        <x:v>-2177.6671843117474</x:v>
      </x:c>
      <x:c r="L104" t="n">
        <x:f>Scenario_Data!J104-(((SQRT((Inputs!$C$52+(Inputs!$H$8))^2+Inputs!$C$52^2-2*(Inputs!$C$52+(Inputs!$H$8))*Inputs!$C$52*COS(SQRT((Scenario_Data!V104)^2+Inputs!$C$6^2)/Inputs!$C$52)))-(Inputs!$H$8))*1000/Inputs!$C$12)</x:f>
        <x:v>-7547.5826717634845</x:v>
      </x:c>
      <x:c r="M104" t="n">
        <x:f>Scenario_Data!K104-(((SQRT((Inputs!$C$52+(Inputs!$H$9))^2+Inputs!$C$52^2-2*(Inputs!$C$52+(Inputs!$H$9))*Inputs!$C$52*COS(SQRT((Scenario_Data!W104)^2+Inputs!$C$6^2)/Inputs!$C$52)))-(Inputs!$H$9))*1000/Inputs!$C$12)</x:f>
        <x:v>-8442.924503822665</x:v>
      </x:c>
      <x:c r="O104" t="n">
        <x:f>Scenario_Data!T104</x:f>
        <x:v>-9</x:v>
      </x:c>
      <x:c r="P104" t="n">
        <x:f>2*(Scenario_Data!B104*1000)/Inputs!$C$21*1000000</x:f>
        <x:v>2669.113176956573</x:v>
      </x:c>
      <x:c r="Q104" t="n">
        <x:f>Scenario_Data!U104</x:f>
        <x:v>-60</x:v>
      </x:c>
      <x:c r="R104" t="n">
        <x:f>2*(Scenario_Data!C104*1000)/Inputs!$C$21*1000000</x:f>
        <x:v>288.2827692750029</x:v>
      </x:c>
      <x:c r="S104" t="n">
        <x:f>Scenario_Data!V104</x:f>
        <x:v>-120</x:v>
      </x:c>
      <x:c r="T104" t="n">
        <x:f>2*(Scenario_Data!D104*1000)/Inputs!$C$21*1000000</x:f>
        <x:v>378.345074978504</x:v>
      </x:c>
      <x:c r="U104" t="n">
        <x:f>Scenario_Data!W104</x:f>
        <x:v>-120</x:v>
      </x:c>
      <x:c r="V104" t="n">
        <x:f>2*(Scenario_Data!E104*1000)/Inputs!$C$21*1000000</x:f>
        <x:v>313.13329436726525</x:v>
      </x:c>
      <x:c r="X104" t="n">
        <x:f>Scenario_Data!T104</x:f>
        <x:v>-9</x:v>
      </x:c>
      <x:c r="Y104" t="n">
        <x: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x:f>
        <x:v>2669.4295389835215</x:v>
      </x:c>
      <x:c r="Z104" t="n">
        <x:f>Scenario_Data!U104</x:f>
        <x:v>-60</x:v>
      </x:c>
      <x:c r="AA104" t="n">
        <x: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x:f>
        <x:v>288.2643279902816</x:v>
      </x:c>
      <x:c r="AB104" t="n">
        <x:f>Scenario_Data!V104</x:f>
        <x:v>-120</x:v>
      </x:c>
      <x:c r="AC104" t="n">
        <x: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x:f>
        <x:v>377.82373453094965</x:v>
      </x:c>
      <x:c r="AD104" t="n">
        <x:f>Scenario_Data!W104</x:f>
        <x:v>-120</x:v>
      </x:c>
      <x:c r="AE104" t="n">
        <x: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x:f>
        <x:v>312.6119539197109</x:v>
      </x:c>
      <x:c r="AG104" t="n">
        <x:f>Scenario_Data!T104</x:f>
        <x:v>-9</x:v>
      </x:c>
      <x:c r="AH104" t="n">
        <x:f>2*(SQRT((Inputs!$C$52+(Scenario_Data!B104))^2+Inputs!$C$52^2-2*(Inputs!$C$52+(Scenario_Data!B104))*Inputs!$C$52*COS(SQRT((Scenario_Data!T104)^2+Inputs!$C$6^2)/Inputs!$C$52))*1000)/Inputs!$C$21*1000000</x:f>
        <x:v>2676.4976827030932</x:v>
      </x:c>
      <x:c r="AI104" t="n">
        <x:f>Scenario_Data!U104</x:f>
        <x:v>-60</x:v>
      </x:c>
      <x:c r="AJ104" t="n">
        <x:f>2*(SQRT((Inputs!$C$52+(Scenario_Data!C104))^2+Inputs!$C$52^2-2*(Inputs!$C$52+(Scenario_Data!C104))*Inputs!$C$52*COS(SQRT((Scenario_Data!U104)^2+Inputs!$C$6^2)/Inputs!$C$52))*1000)/Inputs!$C$21*1000000</x:f>
        <x:v>525.6642714445533</x:v>
      </x:c>
      <x:c r="AK104" t="n">
        <x:f>Scenario_Data!V104</x:f>
        <x:v>-120</x:v>
      </x:c>
      <x:c r="AL104" t="n">
        <x:f>2*(SQRT((Inputs!$C$52+(Scenario_Data!D104))^2+Inputs!$C$52^2-2*(Inputs!$C$52+(Scenario_Data!D104))*Inputs!$C$52*COS(SQRT((Scenario_Data!V104)^2+Inputs!$C$6^2)/Inputs!$C$52))*1000)/Inputs!$C$21*1000000</x:f>
        <x:v>914.2150944754102</x:v>
      </x:c>
      <x:c r="AM104" t="n">
        <x:f>Scenario_Data!W104</x:f>
        <x:v>-120</x:v>
      </x:c>
      <x:c r="AN104" t="n">
        <x:f>2*(SQRT((Inputs!$C$52+(Scenario_Data!E104))^2+Inputs!$C$52^2-2*(Inputs!$C$52+(Scenario_Data!E104))*Inputs!$C$52*COS(SQRT((Scenario_Data!W104)^2+Inputs!$C$6^2)/Inputs!$C$52))*1000)/Inputs!$C$21*1000000</x:f>
        <x:v>886.8544947202699</x:v>
      </x:c>
      <x:c r="AP104" t="n">
        <x:f>Scenario_Data!T104</x:f>
        <x:v>-9</x:v>
      </x:c>
      <x:c r="AQ104" t="n">
        <x: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x:f>
        <x:v>2673.302473071738</x:v>
      </x:c>
      <x:c r="AR104" t="n">
        <x:f>Scenario_Data!U104</x:f>
        <x:v>-60</x:v>
      </x:c>
      <x:c r="AS104" t="n">
        <x: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x:f>
        <x:v>525.2418298323732</x:v>
      </x:c>
      <x:c r="AT104" t="n">
        <x:f>Scenario_Data!V104</x:f>
        <x:v>-120</x:v>
      </x:c>
      <x:c r="AU104" t="n">
        <x: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x:f>
        <x:v>913.7430465581227</x:v>
      </x:c>
      <x:c r="AV104" t="n">
        <x:f>Scenario_Data!W104</x:f>
        <x:v>-120</x:v>
      </x:c>
      <x:c r="AW104" t="n">
        <x: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x:f>
        <x:v>886.4597372531108</x:v>
      </x:c>
    </x:row>
    <x:row r="105">
      <x:c r="A105" t="n">
        <x:f>Chart_Data!K105</x:f>
        <x:v>-8.5</x:v>
      </x:c>
      <x:c r="B105" t="n">
        <x:f>Chart_Data!N105-Chart_Data!L105</x:f>
        <x:v>60.26909079725334</x:v>
      </x:c>
      <x:c r="D105" t="n">
        <x:f>Chart_Data!G105</x:f>
        <x:v>-8.5</x:v>
      </x:c>
      <x:c r="E105" t="n">
        <x:f>Chart_Data!H105</x:f>
        <x:v>460.6206107904381</x:v>
      </x:c>
      <x:c r="F105" t="n">
        <x:f>Chart_Data!I105</x:f>
        <x:v>460.6206107904381</x:v>
      </x:c>
      <x:c r="G105" t="n">
        <x:f>Chart_Data!J105</x:f>
        <x:v>-61.84832289166857</x:v>
      </x:c>
      <x:c r="I105" t="n">
        <x:f>Scenario_Data!A105</x:f>
        <x:v>-0.142</x:v>
      </x:c>
      <x:c r="J105" t="n">
        <x:f>Scenario_Data!H105-(((SQRT((Inputs!$C$52+(Inputs!$H$6))^2+Inputs!$C$52^2-2*(Inputs!$C$52+(Inputs!$H$6))*Inputs!$C$52*COS(SQRT((Scenario_Data!T105)^2+Inputs!$C$6^2)/Inputs!$C$52)))-(Inputs!$H$6))*1000/Inputs!$C$12)</x:f>
        <x:v>-0.09831908205035234</x:v>
      </x:c>
      <x:c r="K105" t="n">
        <x:f>Scenario_Data!I105-(((SQRT((Inputs!$C$52+(Inputs!$H$7))^2+Inputs!$C$52^2-2*(Inputs!$C$52+(Inputs!$H$7))*Inputs!$C$52*COS(SQRT((Scenario_Data!U105)^2+Inputs!$C$6^2)/Inputs!$C$52)))-(Inputs!$H$7))*1000/Inputs!$C$12)</x:f>
        <x:v>-1899.6570192596373</x:v>
      </x:c>
      <x:c r="L105" t="n">
        <x:f>Scenario_Data!J105-(((SQRT((Inputs!$C$52+(Inputs!$H$8))^2+Inputs!$C$52^2-2*(Inputs!$C$52+(Inputs!$H$8))*Inputs!$C$52*COS(SQRT((Scenario_Data!V105)^2+Inputs!$C$6^2)/Inputs!$C$52)))-(Inputs!$H$8))*1000/Inputs!$C$12)</x:f>
        <x:v>-6690.610806332428</x:v>
      </x:c>
      <x:c r="M105" t="n">
        <x:f>Scenario_Data!K105-(((SQRT((Inputs!$C$52+(Inputs!$H$9))^2+Inputs!$C$52^2-2*(Inputs!$C$52+(Inputs!$H$9))*Inputs!$C$52*COS(SQRT((Scenario_Data!W105)^2+Inputs!$C$6^2)/Inputs!$C$52)))-(Inputs!$H$9))*1000/Inputs!$C$12)</x:f>
        <x:v>-7527.867382246135</x:v>
      </x:c>
      <x:c r="O105" t="n">
        <x:f>Scenario_Data!T105</x:f>
        <x:v>-8.520000000000003</x:v>
      </x:c>
      <x:c r="P105" t="n">
        <x:f>2*(Scenario_Data!B105*1000)/Inputs!$C$21*1000000</x:f>
        <x:v>2669.050840498462</x:v>
      </x:c>
      <x:c r="Q105" t="n">
        <x:f>Scenario_Data!U105</x:f>
        <x:v>-56.80000000000001</x:v>
      </x:c>
      <x:c r="R105" t="n">
        <x:f>2*(Scenario_Data!C105*1000)/Inputs!$C$21*1000000</x:f>
        <x:v>282.5945674724079</x:v>
      </x:c>
      <x:c r="S105" t="n">
        <x:f>Scenario_Data!V105</x:f>
        <x:v>-113.60000000000002</x:v>
      </x:c>
      <x:c r="T105" t="n">
        <x:f>2*(Scenario_Data!D105*1000)/Inputs!$C$21*1000000</x:f>
        <x:v>363.30640445931436</x:v>
      </x:c>
      <x:c r="U105" t="n">
        <x:f>Scenario_Data!W105</x:f>
        <x:v>-113.60000000000002</x:v>
      </x:c>
      <x:c r="V105" t="n">
        <x:f>2*(Scenario_Data!E105*1000)/Inputs!$C$21*1000000</x:f>
        <x:v>297.9387827027991</x:v>
      </x:c>
      <x:c r="X105" t="n">
        <x:f>Scenario_Data!T105</x:f>
        <x:v>-8.520000000000003</x:v>
      </x:c>
      <x:c r="Y105" t="n">
        <x: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x:f>
        <x:v>2669.3804992497408</x:v>
      </x:c>
      <x:c r="Z105" t="n">
        <x:f>Scenario_Data!U105</x:f>
        <x:v>-56.80000000000001</x:v>
      </x:c>
      <x:c r="AA105" t="n">
        <x: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x:f>
        <x:v>282.2269644534581</x:v>
      </x:c>
      <x:c r="AB105" t="n">
        <x:f>Scenario_Data!V105</x:f>
        <x:v>-113.60000000000002</x:v>
      </x:c>
      <x:c r="AC105" t="n">
        <x: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x:f>
        <x:v>363.28651770825104</x:v>
      </x:c>
      <x:c r="AD105" t="n">
        <x:f>Scenario_Data!W105</x:f>
        <x:v>-113.60000000000002</x:v>
      </x:c>
      <x:c r="AE105" t="n">
        <x: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x:f>
        <x:v>297.91889595173575</x:v>
      </x:c>
      <x:c r="AG105" t="n">
        <x:f>Scenario_Data!T105</x:f>
        <x:v>-8.520000000000003</x:v>
      </x:c>
      <x:c r="AH105" t="n">
        <x:f>2*(SQRT((Inputs!$C$52+(Scenario_Data!B105))^2+Inputs!$C$52^2-2*(Inputs!$C$52+(Scenario_Data!B105))*Inputs!$C$52*COS(SQRT((Scenario_Data!T105)^2+Inputs!$C$6^2)/Inputs!$C$52))*1000)/Inputs!$C$21*1000000</x:f>
        <x:v>2676.3476420836173</x:v>
      </x:c>
      <x:c r="AI105" t="n">
        <x:f>Scenario_Data!U105</x:f>
        <x:v>-56.80000000000001</x:v>
      </x:c>
      <x:c r="AJ105" t="n">
        <x:f>2*(SQRT((Inputs!$C$52+(Scenario_Data!C105))^2+Inputs!$C$52^2-2*(Inputs!$C$52+(Scenario_Data!C105))*Inputs!$C$52*COS(SQRT((Scenario_Data!U105)^2+Inputs!$C$6^2)/Inputs!$C$52))*1000)/Inputs!$C$21*1000000</x:f>
        <x:v>505.85734229616077</x:v>
      </x:c>
      <x:c r="AK105" t="n">
        <x:f>Scenario_Data!V105</x:f>
        <x:v>-113.60000000000002</x:v>
      </x:c>
      <x:c r="AL105" t="n">
        <x:f>2*(SQRT((Inputs!$C$52+(Scenario_Data!D105))^2+Inputs!$C$52^2-2*(Inputs!$C$52+(Scenario_Data!D105))*Inputs!$C$52*COS(SQRT((Scenario_Data!V105)^2+Inputs!$C$6^2)/Inputs!$C$52))*1000)/Inputs!$C$21*1000000</x:f>
        <x:v>868.8370802822063</x:v>
      </x:c>
      <x:c r="AM105" t="n">
        <x:f>Scenario_Data!W105</x:f>
        <x:v>-113.60000000000002</x:v>
      </x:c>
      <x:c r="AN105" t="n">
        <x:f>2*(SQRT((Inputs!$C$52+(Scenario_Data!E105))^2+Inputs!$C$52^2-2*(Inputs!$C$52+(Scenario_Data!E105))*Inputs!$C$52*COS(SQRT((Scenario_Data!W105)^2+Inputs!$C$6^2)/Inputs!$C$52))*1000)/Inputs!$C$21*1000000</x:f>
        <x:v>841.3532788829367</x:v>
      </x:c>
      <x:c r="AP105" t="n">
        <x:f>Scenario_Data!T105</x:f>
        <x:v>-8.520000000000003</x:v>
      </x:c>
      <x:c r="AQ105" t="n">
        <x: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x:f>
        <x:v>2673.207375269783</x:v>
      </x:c>
      <x:c r="AR105" t="n">
        <x:f>Scenario_Data!U105</x:f>
        <x:v>-56.80000000000001</x:v>
      </x:c>
      <x:c r="AS105" t="n">
        <x: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x:f>
        <x:v>505.3303245017397</x:v>
      </x:c>
      <x:c r="AT105" t="n">
        <x:f>Scenario_Data!V105</x:f>
        <x:v>-113.60000000000002</x:v>
      </x:c>
      <x:c r="AU105" t="n">
        <x: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x:f>
        <x:v>868.5395491003828</x:v>
      </x:c>
      <x:c r="AV105" t="n">
        <x:f>Scenario_Data!W105</x:f>
        <x:v>-113.60000000000002</x:v>
      </x:c>
      <x:c r="AW105" t="n">
        <x: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x:f>
        <x:v>841.1061786695878</x:v>
      </x:c>
    </x:row>
    <x:row r="106">
      <x:c r="A106" t="n">
        <x:f>Chart_Data!K106</x:f>
        <x:v>-8</x:v>
      </x:c>
      <x:c r="B106" t="n">
        <x:f>Chart_Data!N106-Chart_Data!L106</x:f>
        <x:v>37.72928503169089</x:v>
      </x:c>
      <x:c r="D106" t="n">
        <x:f>Chart_Data!G106</x:f>
        <x:v>-8</x:v>
      </x:c>
      <x:c r="E106" t="n">
        <x:f>Chart_Data!H106</x:f>
        <x:v>475.6659223963138</x:v>
      </x:c>
      <x:c r="F106" t="n">
        <x:f>Chart_Data!I106</x:f>
        <x:v>475.6659223963138</x:v>
      </x:c>
      <x:c r="G106" t="n">
        <x:f>Chart_Data!J106</x:f>
        <x:v>-39.34099577037003</x:v>
      </x:c>
      <x:c r="I106" t="n">
        <x:f>Scenario_Data!A106</x:f>
        <x:v>-0.133</x:v>
      </x:c>
      <x:c r="J106" t="n">
        <x:f>Scenario_Data!H106-(((SQRT((Inputs!$C$52+(Inputs!$H$6))^2+Inputs!$C$52^2-2*(Inputs!$C$52+(Inputs!$H$6))*Inputs!$C$52*COS(SQRT((Scenario_Data!T106)^2+Inputs!$C$6^2)/Inputs!$C$52)))-(Inputs!$H$6))*1000/Inputs!$C$12)</x:f>
        <x:v>-0.08515635971855318</x:v>
      </x:c>
      <x:c r="K106" t="n">
        <x:f>Scenario_Data!I106-(((SQRT((Inputs!$C$52+(Inputs!$H$7))^2+Inputs!$C$52^2-2*(Inputs!$C$52+(Inputs!$H$7))*Inputs!$C$52*COS(SQRT((Scenario_Data!U106)^2+Inputs!$C$6^2)/Inputs!$C$52)))-(Inputs!$H$7))*1000/Inputs!$C$12)</x:f>
        <x:v>-1611.097851974435</x:v>
      </x:c>
      <x:c r="L106" t="n">
        <x:f>Scenario_Data!J106-(((SQRT((Inputs!$C$52+(Inputs!$H$8))^2+Inputs!$C$52^2-2*(Inputs!$C$52+(Inputs!$H$8))*Inputs!$C$52*COS(SQRT((Scenario_Data!V106)^2+Inputs!$C$6^2)/Inputs!$C$52)))-(Inputs!$H$8))*1000/Inputs!$C$12)</x:f>
        <x:v>-5782.586392976991</x:v>
      </x:c>
      <x:c r="M106" t="n">
        <x:f>Scenario_Data!K106-(((SQRT((Inputs!$C$52+(Inputs!$H$9))^2+Inputs!$C$52^2-2*(Inputs!$C$52+(Inputs!$H$9))*Inputs!$C$52*COS(SQRT((Scenario_Data!W106)^2+Inputs!$C$6^2)/Inputs!$C$52)))-(Inputs!$H$9))*1000/Inputs!$C$12)</x:f>
        <x:v>-6554.136414658264</x:v>
      </x:c>
      <x:c r="O106" t="n">
        <x:f>Scenario_Data!T106</x:f>
        <x:v>-7.980000000000004</x:v>
      </x:c>
      <x:c r="P106" t="n">
        <x:f>2*(Scenario_Data!B106*1000)/Inputs!$C$21*1000000</x:f>
        <x:v>2668.984794807613</x:v>
      </x:c>
      <x:c r="Q106" t="n">
        <x:f>Scenario_Data!U106</x:f>
        <x:v>-53.19999999999999</x:v>
      </x:c>
      <x:c r="R106" t="n">
        <x:f>2*(Scenario_Data!C106*1000)/Inputs!$C$21*1000000</x:f>
        <x:v>276.56789818241526</x:v>
      </x:c>
      <x:c r="S106" t="n">
        <x:f>Scenario_Data!V106</x:f>
        <x:v>-106.39999999999998</x:v>
      </x:c>
      <x:c r="T106" t="n">
        <x:f>2*(Scenario_Data!D106*1000)/Inputs!$C$21*1000000</x:f>
        <x:v>347.3728815419365</x:v>
      </x:c>
      <x:c r="U106" t="n">
        <x:f>Scenario_Data!W106</x:f>
        <x:v>-106.39999999999998</x:v>
      </x:c>
      <x:c r="V106" t="n">
        <x:f>2*(Scenario_Data!E106*1000)/Inputs!$C$21*1000000</x:f>
        <x:v>281.84014555829816</x:v>
      </x:c>
      <x:c r="X106" t="n">
        <x:f>Scenario_Data!T106</x:f>
        <x:v>-7.980000000000004</x:v>
      </x:c>
      <x:c r="Y106" t="n">
        <x: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x:f>
        <x:v>2669.298743883868</x:v>
      </x:c>
      <x:c r="Z106" t="n">
        <x:f>Scenario_Data!U106</x:f>
        <x:v>-53.19999999999999</x:v>
      </x:c>
      <x:c r="AA106" t="n">
        <x: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x:f>
        <x:v>276.2837891580153</x:v>
      </x:c>
      <x:c r="AB106" t="n">
        <x:f>Scenario_Data!V106</x:f>
        <x:v>-106.39999999999998</x:v>
      </x:c>
      <x:c r="AC106" t="n">
        <x: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x:f>
        <x:v>347.0216034279446</x:v>
      </x:c>
      <x:c r="AD106" t="n">
        <x:f>Scenario_Data!W106</x:f>
        <x:v>-106.39999999999998</x:v>
      </x:c>
      <x:c r="AE106" t="n">
        <x: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x:f>
        <x:v>281.48886744430627</x:v>
      </x:c>
      <x:c r="AG106" t="n">
        <x:f>Scenario_Data!T106</x:f>
        <x:v>-7.980000000000004</x:v>
      </x:c>
      <x:c r="AH106" t="n">
        <x:f>2*(SQRT((Inputs!$C$52+(Scenario_Data!B106))^2+Inputs!$C$52^2-2*(Inputs!$C$52+(Scenario_Data!B106))*Inputs!$C$52*COS(SQRT((Scenario_Data!T106)^2+Inputs!$C$6^2)/Inputs!$C$52))*1000)/Inputs!$C$21*1000000</x:f>
        <x:v>2676.188666798151</x:v>
      </x:c>
      <x:c r="AI106" t="n">
        <x:f>Scenario_Data!U106</x:f>
        <x:v>-53.19999999999999</x:v>
      </x:c>
      <x:c r="AJ106" t="n">
        <x:f>2*(SQRT((Inputs!$C$52+(Scenario_Data!C106))^2+Inputs!$C$52^2-2*(Inputs!$C$52+(Scenario_Data!C106))*Inputs!$C$52*COS(SQRT((Scenario_Data!U106)^2+Inputs!$C$6^2)/Inputs!$C$52))*1000)/Inputs!$C$21*1000000</x:f>
        <x:v>484.08118424505756</x:v>
      </x:c>
      <x:c r="AK106" t="n">
        <x:f>Scenario_Data!V106</x:f>
        <x:v>-106.39999999999998</x:v>
      </x:c>
      <x:c r="AL106" t="n">
        <x:f>2*(SQRT((Inputs!$C$52+(Scenario_Data!D106))^2+Inputs!$C$52^2-2*(Inputs!$C$52+(Scenario_Data!D106))*Inputs!$C$52*COS(SQRT((Scenario_Data!V106)^2+Inputs!$C$6^2)/Inputs!$C$52))*1000)/Inputs!$C$21*1000000</x:f>
        <x:v>818.4420076699244</x:v>
      </x:c>
      <x:c r="AM106" t="n">
        <x:f>Scenario_Data!W106</x:f>
        <x:v>-106.39999999999998</x:v>
      </x:c>
      <x:c r="AN106" t="n">
        <x:f>2*(SQRT((Inputs!$C$52+(Scenario_Data!E106))^2+Inputs!$C$52^2-2*(Inputs!$C$52+(Scenario_Data!E106))*Inputs!$C$52*COS(SQRT((Scenario_Data!W106)^2+Inputs!$C$6^2)/Inputs!$C$52))*1000)/Inputs!$C$21*1000000</x:f>
        <x:v>790.7392217429494</x:v>
      </x:c>
      <x:c r="AP106" t="n">
        <x:f>Scenario_Data!T106</x:f>
        <x:v>-7.980000000000004</x:v>
      </x:c>
      <x:c r="AQ106" t="n">
        <x: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x:f>
        <x:v>2673.1725556374686</x:v>
      </x:c>
      <x:c r="AR106" t="n">
        <x:f>Scenario_Data!U106</x:f>
        <x:v>-53.19999999999999</x:v>
      </x:c>
      <x:c r="AS106" t="n">
        <x: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x:f>
        <x:v>483.24555653411164</x:v>
      </x:c>
      <x:c r="AT106" t="n">
        <x:f>Scenario_Data!V106</x:f>
        <x:v>-106.39999999999998</x:v>
      </x:c>
      <x:c r="AU106" t="n">
        <x: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x:f>
        <x:v>817.9688649858522</x:v>
      </x:c>
      <x:c r="AV106" t="n">
        <x:f>Scenario_Data!W106</x:f>
        <x:v>-106.39999999999998</x:v>
      </x:c>
      <x:c r="AW106" t="n">
        <x: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x:f>
        <x:v>790.3494390057505</x:v>
      </x:c>
    </x:row>
    <x:row r="107">
      <x:c r="A107" t="n">
        <x:f>Chart_Data!K107</x:f>
        <x:v>-7.5</x:v>
      </x:c>
      <x:c r="B107" t="n">
        <x:f>Chart_Data!N107-Chart_Data!L107</x:f>
        <x:v>41.64822705623317</x:v>
      </x:c>
      <x:c r="D107" t="n">
        <x:f>Chart_Data!G107</x:f>
        <x:v>-7.5</x:v>
      </x:c>
      <x:c r="E107" t="n">
        <x:f>Chart_Data!H107</x:f>
        <x:v>470.2640951439132</x:v>
      </x:c>
      <x:c r="F107" t="n">
        <x:f>Chart_Data!I107</x:f>
        <x:v>470.2640951439132</x:v>
      </x:c>
      <x:c r="G107" t="n">
        <x:f>Chart_Data!J107</x:f>
        <x:v>-43.22381145165265</x:v>
      </x:c>
      <x:c r="I107" t="n">
        <x:f>Scenario_Data!A107</x:f>
        <x:v>-0.125</x:v>
      </x:c>
      <x:c r="J107" t="n">
        <x:f>Scenario_Data!H107-(((SQRT((Inputs!$C$52+(Inputs!$H$6))^2+Inputs!$C$52^2-2*(Inputs!$C$52+(Inputs!$H$6))*Inputs!$C$52*COS(SQRT((Scenario_Data!T107)^2+Inputs!$C$6^2)/Inputs!$C$52)))-(Inputs!$H$6))*1000/Inputs!$C$12)</x:f>
        <x:v>-0.07441357867173792</x:v>
      </x:c>
      <x:c r="K107" t="n">
        <x:f>Scenario_Data!I107-(((SQRT((Inputs!$C$52+(Inputs!$H$7))^2+Inputs!$C$52^2-2*(Inputs!$C$52+(Inputs!$H$7))*Inputs!$C$52*COS(SQRT((Scenario_Data!U107)^2+Inputs!$C$6^2)/Inputs!$C$52)))-(Inputs!$H$7))*1000/Inputs!$C$12)</x:f>
        <x:v>-1376.257653004077</x:v>
      </x:c>
      <x:c r="L107" t="n">
        <x:f>Scenario_Data!J107-(((SQRT((Inputs!$C$52+(Inputs!$H$8))^2+Inputs!$C$52^2-2*(Inputs!$C$52+(Inputs!$H$8))*Inputs!$C$52*COS(SQRT((Scenario_Data!V107)^2+Inputs!$C$6^2)/Inputs!$C$52)))-(Inputs!$H$8))*1000/Inputs!$C$12)</x:f>
        <x:v>-5026.741503405137</x:v>
      </x:c>
      <x:c r="M107" t="n">
        <x:f>Scenario_Data!K107-(((SQRT((Inputs!$C$52+(Inputs!$H$9))^2+Inputs!$C$52^2-2*(Inputs!$C$52+(Inputs!$H$9))*Inputs!$C$52*COS(SQRT((Scenario_Data!W107)^2+Inputs!$C$6^2)/Inputs!$C$52)))-(Inputs!$H$9))*1000/Inputs!$C$12)</x:f>
        <x:v>-5739.591971731104</x:v>
      </x:c>
      <x:c r="O107" t="n">
        <x:f>Scenario_Data!T107</x:f>
        <x:v>-7.5</x:v>
      </x:c>
      <x:c r="P107" t="n">
        <x:f>2*(Scenario_Data!B107*1000)/Inputs!$C$21*1000000</x:f>
        <x:v>2668.929716704214</x:v>
      </x:c>
      <x:c r="Q107" t="n">
        <x:f>Scenario_Data!U107</x:f>
        <x:v>-50</x:v>
      </x:c>
      <x:c r="R107" t="n">
        <x:f>2*(Scenario_Data!C107*1000)/Inputs!$C$21*1000000</x:f>
        <x:v>271.54202124724566</x:v>
      </x:c>
      <x:c r="S107" t="n">
        <x:f>Scenario_Data!V107</x:f>
        <x:v>-100</x:v>
      </x:c>
      <x:c r="T107" t="n">
        <x:f>2*(Scenario_Data!D107*1000)/Inputs!$C$21*1000000</x:f>
        <x:v>334.08528909689915</x:v>
      </x:c>
      <x:c r="U107" t="n">
        <x:f>Scenario_Data!W107</x:f>
        <x:v>-100</x:v>
      </x:c>
      <x:c r="V107" t="n">
        <x:f>2*(Scenario_Data!E107*1000)/Inputs!$C$21*1000000</x:f>
        <x:v>268.414857854763</x:v>
      </x:c>
      <x:c r="X107" t="n">
        <x:f>Scenario_Data!T107</x:f>
        <x:v>-7.5</x:v>
      </x:c>
      <x:c r="Y107" t="n">
        <x: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x:f>
        <x:v>2669.218074935372</x:v>
      </x:c>
      <x:c r="Z107" t="n">
        <x:f>Scenario_Data!U107</x:f>
        <x:v>-50</x:v>
      </x:c>
      <x:c r="AA107" t="n">
        <x: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x:f>
        <x:v>271.34832444874655</x:v>
      </x:c>
      <x:c r="AB107" t="n">
        <x:f>Scenario_Data!V107</x:f>
        <x:v>-100</x:v>
      </x:c>
      <x:c r="AC107" t="n">
        <x: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x:f>
        <x:v>333.7679420618156</x:v>
      </x:c>
      <x:c r="AD107" t="n">
        <x:f>Scenario_Data!W107</x:f>
        <x:v>-100</x:v>
      </x:c>
      <x:c r="AE107" t="n">
        <x: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x:f>
        <x:v>268.09751081967937</x:v>
      </x:c>
      <x:c r="AG107" t="n">
        <x:f>Scenario_Data!T107</x:f>
        <x:v>-7.5</x:v>
      </x:c>
      <x:c r="AH107" t="n">
        <x:f>2*(SQRT((Inputs!$C$52+(Scenario_Data!B107))^2+Inputs!$C$52^2-2*(Inputs!$C$52+(Scenario_Data!B107))*Inputs!$C$52*COS(SQRT((Scenario_Data!T107)^2+Inputs!$C$6^2)/Inputs!$C$52))*1000)/Inputs!$C$21*1000000</x:f>
        <x:v>2676.0560857448104</x:v>
      </x:c>
      <x:c r="AI107" t="n">
        <x:f>Scenario_Data!U107</x:f>
        <x:v>-50</x:v>
      </x:c>
      <x:c r="AJ107" t="n">
        <x:f>2*(SQRT((Inputs!$C$52+(Scenario_Data!C107))^2+Inputs!$C$52^2-2*(Inputs!$C$52+(Scenario_Data!C107))*Inputs!$C$52*COS(SQRT((Scenario_Data!U107)^2+Inputs!$C$6^2)/Inputs!$C$52))*1000)/Inputs!$C$21*1000000</x:f>
        <x:v>465.21831918360385</x:v>
      </x:c>
      <x:c r="AK107" t="n">
        <x:f>Scenario_Data!V107</x:f>
        <x:v>-100</x:v>
      </x:c>
      <x:c r="AL107" t="n">
        <x:f>2*(SQRT((Inputs!$C$52+(Scenario_Data!D107))^2+Inputs!$C$52^2-2*(Inputs!$C$52+(Scenario_Data!D107))*Inputs!$C$52*COS(SQRT((Scenario_Data!V107)^2+Inputs!$C$6^2)/Inputs!$C$52))*1000)/Inputs!$C$21*1000000</x:f>
        <x:v>774.2635773636083</x:v>
      </x:c>
      <x:c r="AM107" t="n">
        <x:f>Scenario_Data!W107</x:f>
        <x:v>-100</x:v>
      </x:c>
      <x:c r="AN107" t="n">
        <x:f>2*(SQRT((Inputs!$C$52+(Scenario_Data!E107))^2+Inputs!$C$52^2-2*(Inputs!$C$52+(Scenario_Data!E107))*Inputs!$C$52*COS(SQRT((Scenario_Data!W107)^2+Inputs!$C$6^2)/Inputs!$C$52))*1000)/Inputs!$C$21*1000000</x:f>
        <x:v>746.2816902643984</x:v>
      </x:c>
      <x:c r="AP107" t="n">
        <x:f>Scenario_Data!T107</x:f>
        <x:v>-7.5</x:v>
      </x:c>
      <x:c r="AQ107" t="n">
        <x: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x:f>
        <x:v>2672.9293325644585</x:v>
      </x:c>
      <x:c r="AR107" t="n">
        <x:f>Scenario_Data!U107</x:f>
        <x:v>-50</x:v>
      </x:c>
      <x:c r="AS107" t="n">
        <x: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x:f>
        <x:v>464.1818123077337</x:v>
      </x:c>
      <x:c r="AT107" t="n">
        <x:f>Scenario_Data!V107</x:f>
        <x:v>-100</x:v>
      </x:c>
      <x:c r="AU107" t="n">
        <x: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x:f>
        <x:v>773.8625324971048</x:v>
      </x:c>
      <x:c r="AV107" t="n">
        <x:f>Scenario_Data!W107</x:f>
        <x:v>-100</x:v>
      </x:c>
      <x:c r="AW107" t="n">
        <x: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x:f>
        <x:v>745.953527022406</x:v>
      </x:c>
    </x:row>
    <x:row r="108">
      <x:c r="A108" t="n">
        <x:f>Chart_Data!K108</x:f>
        <x:v>-7</x:v>
      </x:c>
      <x:c r="B108" t="n">
        <x:f>Chart_Data!N108-Chart_Data!L108</x:f>
        <x:v>46.5780342922273</x:v>
      </x:c>
      <x:c r="D108" t="n">
        <x:f>Chart_Data!G108</x:f>
        <x:v>-7</x:v>
      </x:c>
      <x:c r="E108" t="n">
        <x:f>Chart_Data!H108</x:f>
        <x:v>442.95708145426426</x:v>
      </x:c>
      <x:c r="F108" t="n">
        <x:f>Chart_Data!I108</x:f>
        <x:v>442.95708145426426</x:v>
      </x:c>
      <x:c r="G108" t="n">
        <x:f>Chart_Data!J108</x:f>
        <x:v>-48.04634011268098</x:v>
      </x:c>
      <x:c r="I108" t="n">
        <x:f>Scenario_Data!A108</x:f>
        <x:v>-0.117</x:v>
      </x:c>
      <x:c r="J108" t="n">
        <x:f>Scenario_Data!H108-(((SQRT((Inputs!$C$52+(Inputs!$H$6))^2+Inputs!$C$52^2-2*(Inputs!$C$52+(Inputs!$H$6))*Inputs!$C$52*COS(SQRT((Scenario_Data!T108)^2+Inputs!$C$6^2)/Inputs!$C$52)))-(Inputs!$H$6))*1000/Inputs!$C$12)</x:f>
        <x:v>-0.06453059099612801</x:v>
      </x:c>
      <x:c r="K108" t="n">
        <x:f>Scenario_Data!I108-(((SQRT((Inputs!$C$52+(Inputs!$H$7))^2+Inputs!$C$52^2-2*(Inputs!$C$52+(Inputs!$H$7))*Inputs!$C$52*COS(SQRT((Scenario_Data!U108)^2+Inputs!$C$6^2)/Inputs!$C$52)))-(Inputs!$H$7))*1000/Inputs!$C$12)</x:f>
        <x:v>-1161.8662425758666</x:v>
      </x:c>
      <x:c r="L108" t="n">
        <x:f>Scenario_Data!J108-(((SQRT((Inputs!$C$52+(Inputs!$H$8))^2+Inputs!$C$52^2-2*(Inputs!$C$52+(Inputs!$H$8))*Inputs!$C$52*COS(SQRT((Scenario_Data!V108)^2+Inputs!$C$6^2)/Inputs!$C$52)))-(Inputs!$H$8))*1000/Inputs!$C$12)</x:f>
        <x:v>-4320.543295968455</x:v>
      </x:c>
      <x:c r="M108" t="n">
        <x:f>Scenario_Data!K108-(((SQRT((Inputs!$C$52+(Inputs!$H$9))^2+Inputs!$C$52^2-2*(Inputs!$C$52+(Inputs!$H$9))*Inputs!$C$52*COS(SQRT((Scenario_Data!W108)^2+Inputs!$C$6^2)/Inputs!$C$52)))-(Inputs!$H$9))*1000/Inputs!$C$12)</x:f>
        <x:v>-4974.4518534386225</x:v>
      </x:c>
      <x:c r="O108" t="n">
        <x:f>Scenario_Data!T108</x:f>
        <x:v>-7.019999999999996</x:v>
      </x:c>
      <x:c r="P108" t="n">
        <x:f>2*(Scenario_Data!B108*1000)/Inputs!$C$21*1000000</x:f>
        <x:v>2668.8780542971494</x:v>
      </x:c>
      <x:c r="Q108" t="n">
        <x:f>Scenario_Data!U108</x:f>
        <x:v>-46.80000000000001</x:v>
      </x:c>
      <x:c r="R108" t="n">
        <x:f>2*(Scenario_Data!C108*1000)/Inputs!$C$21*1000000</x:f>
        <x:v>266.8278266026293</x:v>
      </x:c>
      <x:c r="S108" t="n">
        <x:f>Scenario_Data!V108</x:f>
        <x:v>-93.60000000000002</x:v>
      </x:c>
      <x:c r="T108" t="n">
        <x:f>2*(Scenario_Data!D108*1000)/Inputs!$C$21*1000000</x:f>
        <x:v>321.6217333926393</x:v>
      </x:c>
      <x:c r="U108" t="n">
        <x:f>Scenario_Data!W108</x:f>
        <x:v>-93.60000000000002</x:v>
      </x:c>
      <x:c r="V108" t="n">
        <x:f>2*(Scenario_Data!E108*1000)/Inputs!$C$21*1000000</x:f>
        <x:v>255.82214613284236</x:v>
      </x:c>
      <x:c r="X108" t="n">
        <x:f>Scenario_Data!T108</x:f>
        <x:v>-7.019999999999996</x:v>
      </x:c>
      <x:c r="Y108" t="n">
        <x: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x:f>
        <x:v>2669.21282651006</x:v>
      </x:c>
      <x:c r="Z108" t="n">
        <x:f>Scenario_Data!U108</x:f>
        <x:v>-46.80000000000001</x:v>
      </x:c>
      <x:c r="AA108" t="n">
        <x: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x:f>
        <x:v>266.4474931554244</x:v>
      </x:c>
      <x:c r="AB108" t="n">
        <x:f>Scenario_Data!V108</x:f>
        <x:v>-93.60000000000002</x:v>
      </x:c>
      <x:c r="AC108" t="n">
        <x: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x:f>
        <x:v>321.74541917953087</x:v>
      </x:c>
      <x:c r="AD108" t="n">
        <x:f>Scenario_Data!W108</x:f>
        <x:v>-93.60000000000002</x:v>
      </x:c>
      <x:c r="AE108" t="n">
        <x: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x:f>
        <x:v>255.945831919734</x:v>
      </x:c>
      <x:c r="AG108" t="n">
        <x:f>Scenario_Data!T108</x:f>
        <x:v>-7.019999999999996</x:v>
      </x:c>
      <x:c r="AH108" t="n">
        <x:f>2*(SQRT((Inputs!$C$52+(Scenario_Data!B108))^2+Inputs!$C$52^2-2*(Inputs!$C$52+(Scenario_Data!B108))*Inputs!$C$52*COS(SQRT((Scenario_Data!T108)^2+Inputs!$C$6^2)/Inputs!$C$52))*1000)/Inputs!$C$21*1000000</x:f>
        <x:v>2675.93172239053</x:v>
      </x:c>
      <x:c r="AI108" t="n">
        <x:f>Scenario_Data!U108</x:f>
        <x:v>-46.80000000000001</x:v>
      </x:c>
      <x:c r="AJ108" t="n">
        <x:f>2*(SQRT((Inputs!$C$52+(Scenario_Data!C108))^2+Inputs!$C$52^2-2*(Inputs!$C$52+(Scenario_Data!C108))*Inputs!$C$52*COS(SQRT((Scenario_Data!U108)^2+Inputs!$C$6^2)/Inputs!$C$52))*1000)/Inputs!$C$21*1000000</x:f>
        <x:v>446.86749403358624</x:v>
      </x:c>
      <x:c r="AK108" t="n">
        <x:f>Scenario_Data!V108</x:f>
        <x:v>-93.60000000000002</x:v>
      </x:c>
      <x:c r="AL108" t="n">
        <x:f>2*(SQRT((Inputs!$C$52+(Scenario_Data!D108))^2+Inputs!$C$52^2-2*(Inputs!$C$52+(Scenario_Data!D108))*Inputs!$C$52*COS(SQRT((Scenario_Data!V108)^2+Inputs!$C$6^2)/Inputs!$C$52))*1000)/Inputs!$C$21*1000000</x:f>
        <x:v>730.7097325562099</x:v>
      </x:c>
      <x:c r="AM108" t="n">
        <x:f>Scenario_Data!W108</x:f>
        <x:v>-93.60000000000002</x:v>
      </x:c>
      <x:c r="AN108" t="n">
        <x:f>2*(SQRT((Inputs!$C$52+(Scenario_Data!E108))^2+Inputs!$C$52^2-2*(Inputs!$C$52+(Scenario_Data!E108))*Inputs!$C$52*COS(SQRT((Scenario_Data!W108)^2+Inputs!$C$6^2)/Inputs!$C$52))*1000)/Inputs!$C$21*1000000</x:f>
        <x:v>702.354778608177</x:v>
      </x:c>
      <x:c r="AP108" t="n">
        <x:f>Scenario_Data!T108</x:f>
        <x:v>-7.019999999999996</x:v>
      </x:c>
      <x:c r="AQ108" t="n">
        <x: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x:f>
        <x:v>2672.888297210901</x:v>
      </x:c>
      <x:c r="AR108" t="n">
        <x:f>Scenario_Data!U108</x:f>
        <x:v>-46.80000000000001</x:v>
      </x:c>
      <x:c r="AS108" t="n">
        <x: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x:f>
        <x:v>445.93034998876044</x:v>
      </x:c>
      <x:c r="AT108" t="n">
        <x:f>Scenario_Data!V108</x:f>
        <x:v>-93.60000000000002</x:v>
      </x:c>
      <x:c r="AU108" t="n">
        <x: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x:f>
        <x:v>730.4506475657673</x:v>
      </x:c>
      <x:c r="AV108" t="n">
        <x:f>Scenario_Data!W108</x:f>
        <x:v>-93.60000000000002</x:v>
      </x:c>
      <x:c r="AW108" t="n">
        <x: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x:f>
        <x:v>702.144121054545</x:v>
      </x:c>
    </x:row>
    <x:row r="109">
      <x:c r="A109" t="n">
        <x:f>Chart_Data!K109</x:f>
        <x:v>-6.5</x:v>
      </x:c>
      <x:c r="B109" t="n">
        <x:f>Chart_Data!N109-Chart_Data!L109</x:f>
        <x:v>57.97037664669824</x:v>
      </x:c>
      <x:c r="D109" t="n">
        <x:f>Chart_Data!G109</x:f>
        <x:v>-6.5</x:v>
      </x:c>
      <x:c r="E109" t="n">
        <x:f>Chart_Data!H109</x:f>
        <x:v>455.8100478474453</x:v>
      </x:c>
      <x:c r="F109" t="n">
        <x:f>Chart_Data!I109</x:f>
        <x:v>455.8100478474453</x:v>
      </x:c>
      <x:c r="G109" t="n">
        <x:f>Chart_Data!J109</x:f>
        <x:v>-59.466303655605586</x:v>
      </x:c>
      <x:c r="I109" t="n">
        <x:f>Scenario_Data!A109</x:f>
        <x:v>-0.108</x:v>
      </x:c>
      <x:c r="J109" t="n">
        <x:f>Scenario_Data!H109-(((SQRT((Inputs!$C$52+(Inputs!$H$6))^2+Inputs!$C$52^2-2*(Inputs!$C$52+(Inputs!$H$6))*Inputs!$C$52*COS(SQRT((Scenario_Data!T109)^2+Inputs!$C$6^2)/Inputs!$C$52)))-(Inputs!$H$6))*1000/Inputs!$C$12)</x:f>
        <x:v>-0.05439381022904399</x:v>
      </x:c>
      <x:c r="K109" t="n">
        <x:f>Scenario_Data!I109-(((SQRT((Inputs!$C$52+(Inputs!$H$7))^2+Inputs!$C$52^2-2*(Inputs!$C$52+(Inputs!$H$7))*Inputs!$C$52*COS(SQRT((Scenario_Data!U109)^2+Inputs!$C$6^2)/Inputs!$C$52)))-(Inputs!$H$7))*1000/Inputs!$C$12)</x:f>
        <x:v>-945.0864313584152</x:v>
      </x:c>
      <x:c r="L109" t="n">
        <x:f>Scenario_Data!J109-(((SQRT((Inputs!$C$52+(Inputs!$H$8))^2+Inputs!$C$52^2-2*(Inputs!$C$52+(Inputs!$H$8))*Inputs!$C$52*COS(SQRT((Scenario_Data!V109)^2+Inputs!$C$6^2)/Inputs!$C$52)))-(Inputs!$H$8))*1000/Inputs!$C$12)</x:f>
        <x:v>-3587.063067524843</x:v>
      </x:c>
      <x:c r="M109" t="n">
        <x:f>Scenario_Data!K109-(((SQRT((Inputs!$C$52+(Inputs!$H$9))^2+Inputs!$C$52^2-2*(Inputs!$C$52+(Inputs!$H$9))*Inputs!$C$52*COS(SQRT((Scenario_Data!W109)^2+Inputs!$C$6^2)/Inputs!$C$52)))-(Inputs!$H$9))*1000/Inputs!$C$12)</x:f>
        <x:v>-4174.431723955735</x:v>
      </x:c>
      <x:c r="O109" t="n">
        <x:f>Scenario_Data!T109</x:f>
        <x:v>-6.479999999999997</x:v>
      </x:c>
      <x:c r="P109" t="n">
        <x:f>2*(Scenario_Data!B109*1000)/Inputs!$C$21*1000000</x:f>
        <x:v>2668.8240169137275</x:v>
      </x:c>
      <x:c r="Q109" t="n">
        <x:f>Scenario_Data!U109</x:f>
        <x:v>-43.19999999999999</x:v>
      </x:c>
      <x:c r="R109" t="n">
        <x:f>2*(Scenario_Data!C109*1000)/Inputs!$C$21*1000000</x:f>
        <x:v>261.89691536536253</x:v>
      </x:c>
      <x:c r="S109" t="n">
        <x:f>Scenario_Data!V109</x:f>
        <x:v>-86.39999999999998</x:v>
      </x:c>
      <x:c r="T109" t="n">
        <x:f>2*(Scenario_Data!D109*1000)/Inputs!$C$21*1000000</x:f>
        <x:v>308.58521464205745</x:v>
      </x:c>
      <x:c r="U109" t="n">
        <x:f>Scenario_Data!W109</x:f>
        <x:v>-86.39999999999998</x:v>
      </x:c>
      <x:c r="V109" t="n">
        <x:f>2*(Scenario_Data!E109*1000)/Inputs!$C$21*1000000</x:f>
        <x:v>242.6505339237053</x:v>
      </x:c>
      <x:c r="X109" t="n">
        <x:f>Scenario_Data!T109</x:f>
        <x:v>-6.479999999999997</x:v>
      </x:c>
      <x:c r="Y109" t="n">
        <x: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x:f>
        <x:v>2669.153662121398</x:v>
      </x:c>
      <x:c r="Z109" t="n">
        <x:f>Scenario_Data!U109</x:f>
        <x:v>-43.19999999999999</x:v>
      </x:c>
      <x:c r="AA109" t="n">
        <x: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x:f>
        <x:v>261.83320614424036</x:v>
      </x:c>
      <x:c r="AB109" t="n">
        <x:f>Scenario_Data!V109</x:f>
        <x:v>-86.39999999999998</x:v>
      </x:c>
      <x:c r="AC109" t="n">
        <x: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x:f>
        <x:v>308.0933863732902</x:v>
      </x:c>
      <x:c r="AD109" t="n">
        <x:f>Scenario_Data!W109</x:f>
        <x:v>-86.39999999999998</x:v>
      </x:c>
      <x:c r="AE109" t="n">
        <x: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x:f>
        <x:v>242.15870565493802</x:v>
      </x:c>
      <x:c r="AG109" t="n">
        <x:f>Scenario_Data!T109</x:f>
        <x:v>-6.479999999999997</x:v>
      </x:c>
      <x:c r="AH109" t="n">
        <x:f>2*(SQRT((Inputs!$C$52+(Scenario_Data!B109))^2+Inputs!$C$52^2-2*(Inputs!$C$52+(Scenario_Data!B109))*Inputs!$C$52*COS(SQRT((Scenario_Data!T109)^2+Inputs!$C$6^2)/Inputs!$C$52))*1000)/Inputs!$C$21*1000000</x:f>
        <x:v>2675.801637380072</x:v>
      </x:c>
      <x:c r="AI109" t="n">
        <x:f>Scenario_Data!U109</x:f>
        <x:v>-43.19999999999999</x:v>
      </x:c>
      <x:c r="AJ109" t="n">
        <x:f>2*(SQRT((Inputs!$C$52+(Scenario_Data!C109))^2+Inputs!$C$52^2-2*(Inputs!$C$52+(Scenario_Data!C109))*Inputs!$C$52*COS(SQRT((Scenario_Data!U109)^2+Inputs!$C$6^2)/Inputs!$C$52))*1000)/Inputs!$C$21*1000000</x:f>
        <x:v>426.90066876687405</x:v>
      </x:c>
      <x:c r="AK109" t="n">
        <x:f>Scenario_Data!V109</x:f>
        <x:v>-86.39999999999998</x:v>
      </x:c>
      <x:c r="AL109" t="n">
        <x:f>2*(SQRT((Inputs!$C$52+(Scenario_Data!D109))^2+Inputs!$C$52^2-2*(Inputs!$C$52+(Scenario_Data!D109))*Inputs!$C$52*COS(SQRT((Scenario_Data!V109)^2+Inputs!$C$6^2)/Inputs!$C$52))*1000)/Inputs!$C$21*1000000</x:f>
        <x:v>682.5280213875686</x:v>
      </x:c>
      <x:c r="AM109" t="n">
        <x:f>Scenario_Data!W109</x:f>
        <x:v>-86.39999999999998</x:v>
      </x:c>
      <x:c r="AN109" t="n">
        <x:f>2*(SQRT((Inputs!$C$52+(Scenario_Data!E109))^2+Inputs!$C$52^2-2*(Inputs!$C$52+(Scenario_Data!E109))*Inputs!$C$52*COS(SQRT((Scenario_Data!W109)^2+Inputs!$C$6^2)/Inputs!$C$52))*1000)/Inputs!$C$21*1000000</x:f>
        <x:v>653.6204124325454</x:v>
      </x:c>
      <x:c r="AP109" t="n">
        <x:f>Scenario_Data!T109</x:f>
        <x:v>-6.479999999999997</x:v>
      </x:c>
      <x:c r="AQ109" t="n">
        <x: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x:f>
        <x:v>2672.8488768179254</x:v>
      </x:c>
      <x:c r="AR109" t="n">
        <x:f>Scenario_Data!U109</x:f>
        <x:v>-43.19999999999999</x:v>
      </x:c>
      <x:c r="AS109" t="n">
        <x: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x:f>
        <x:v>426.13145439102254</x:v>
      </x:c>
      <x:c r="AT109" t="n">
        <x:f>Scenario_Data!V109</x:f>
        <x:v>-86.39999999999998</x:v>
      </x:c>
      <x:c r="AU109" t="n">
        <x: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x:f>
        <x:v>682.0960655809658</x:v>
      </x:c>
      <x:c r="AV109" t="n">
        <x:f>Scenario_Data!W109</x:f>
        <x:v>-86.39999999999998</x:v>
      </x:c>
      <x:c r="AW109" t="n">
        <x: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x:f>
        <x:v>653.271654028491</x:v>
      </x:c>
    </x:row>
    <x:row r="110">
      <x:c r="A110" t="n">
        <x:f>Chart_Data!K110</x:f>
        <x:v>-6</x:v>
      </x:c>
      <x:c r="B110" t="n">
        <x:f>Chart_Data!N110-Chart_Data!L110</x:f>
        <x:v>59.6428628658943</x:v>
      </x:c>
      <x:c r="D110" t="n">
        <x:f>Chart_Data!G110</x:f>
        <x:v>-6</x:v>
      </x:c>
      <x:c r="E110" t="n">
        <x:f>Chart_Data!H110</x:f>
        <x:v>447.7534427220802</x:v>
      </x:c>
      <x:c r="F110" t="n">
        <x:f>Chart_Data!I110</x:f>
        <x:v>447.7534427220802</x:v>
      </x:c>
      <x:c r="G110" t="n">
        <x:f>Chart_Data!J110</x:f>
        <x:v>-61.0986453608147</x:v>
      </x:c>
      <x:c r="I110" t="n">
        <x:f>Scenario_Data!A110</x:f>
        <x:v>-0.1</x:v>
      </x:c>
      <x:c r="J110" t="n">
        <x:f>Scenario_Data!H110-(((SQRT((Inputs!$C$52+(Inputs!$H$6))^2+Inputs!$C$52^2-2*(Inputs!$C$52+(Inputs!$H$6))*Inputs!$C$52*COS(SQRT((Scenario_Data!T110)^2+Inputs!$C$6^2)/Inputs!$C$52)))-(Inputs!$H$6))*1000/Inputs!$C$12)</x:f>
        <x:v>-0.04621763118234412</x:v>
      </x:c>
      <x:c r="K110" t="n">
        <x:f>Scenario_Data!I110-(((SQRT((Inputs!$C$52+(Inputs!$H$7))^2+Inputs!$C$52^2-2*(Inputs!$C$52+(Inputs!$H$7))*Inputs!$C$52*COS(SQRT((Scenario_Data!U110)^2+Inputs!$C$6^2)/Inputs!$C$52)))-(Inputs!$H$7))*1000/Inputs!$C$12)</x:f>
        <x:v>-773.9404461593731</x:v>
      </x:c>
      <x:c r="L110" t="n">
        <x:f>Scenario_Data!J110-(((SQRT((Inputs!$C$52+(Inputs!$H$8))^2+Inputs!$C$52^2-2*(Inputs!$C$52+(Inputs!$H$8))*Inputs!$C$52*COS(SQRT((Scenario_Data!V110)^2+Inputs!$C$6^2)/Inputs!$C$52)))-(Inputs!$H$8))*1000/Inputs!$C$12)</x:f>
        <x:v>-2990.7521080161314</x:v>
      </x:c>
      <x:c r="M110" t="n">
        <x:f>Scenario_Data!K110-(((SQRT((Inputs!$C$52+(Inputs!$H$9))^2+Inputs!$C$52^2-2*(Inputs!$C$52+(Inputs!$H$9))*Inputs!$C$52*COS(SQRT((Scenario_Data!W110)^2+Inputs!$C$6^2)/Inputs!$C$52)))-(Inputs!$H$9))*1000/Inputs!$C$12)</x:f>
        <x:v>-3518.8494159470647</x:v>
      </x:c>
      <x:c r="O110" t="n">
        <x:f>Scenario_Data!T110</x:f>
        <x:v>-6</x:v>
      </x:c>
      <x:c r="P110" t="n">
        <x:f>2*(Scenario_Data!B110*1000)/Inputs!$C$21*1000000</x:f>
        <x:v>2668.779612861375</x:v>
      </x:c>
      <x:c r="Q110" t="n">
        <x:f>Scenario_Data!U110</x:f>
        <x:v>-40</x:v>
      </x:c>
      <x:c r="R110" t="n">
        <x:f>2*(Scenario_Data!C110*1000)/Inputs!$C$21*1000000</x:f>
        <x:v>257.8450455881715</x:v>
      </x:c>
      <x:c r="S110" t="n">
        <x:f>Scenario_Data!V110</x:f>
        <x:v>-80</x:v>
      </x:c>
      <x:c r="T110" t="n">
        <x:f>2*(Scenario_Data!D110*1000)/Inputs!$C$21*1000000</x:f>
        <x:v>297.8727370119498</x:v>
      </x:c>
      <x:c r="U110" t="n">
        <x:f>Scenario_Data!W110</x:f>
        <x:v>-80</x:v>
      </x:c>
      <x:c r="V110" t="n">
        <x:f>2*(Scenario_Data!E110*1000)/Inputs!$C$21*1000000</x:f>
        <x:v>231.82704616271567</x:v>
      </x:c>
      <x:c r="X110" t="n">
        <x:f>Scenario_Data!T110</x:f>
        <x:v>-6</x:v>
      </x:c>
      <x:c r="Y110" t="n">
        <x: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x:f>
        <x:v>2669.1872191485268</x:v>
      </x:c>
      <x:c r="Z110" t="n">
        <x:f>Scenario_Data!U110</x:f>
        <x:v>-40</x:v>
      </x:c>
      <x:c r="AA110" t="n">
        <x: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x:f>
        <x:v>258.0534011370244</x:v>
      </x:c>
      <x:c r="AB110" t="n">
        <x:f>Scenario_Data!V110</x:f>
        <x:v>-80</x:v>
      </x:c>
      <x:c r="AC110" t="n">
        <x: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x:f>
        <x:v>297.7926899590728</x:v>
      </x:c>
      <x:c r="AD110" t="n">
        <x:f>Scenario_Data!W110</x:f>
        <x:v>-80</x:v>
      </x:c>
      <x:c r="AE110" t="n">
        <x: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x:f>
        <x:v>231.74699910983864</x:v>
      </x:c>
      <x:c r="AG110" t="n">
        <x:f>Scenario_Data!T110</x:f>
        <x:v>-6</x:v>
      </x:c>
      <x:c r="AH110" t="n">
        <x:f>2*(SQRT((Inputs!$C$52+(Scenario_Data!B110))^2+Inputs!$C$52^2-2*(Inputs!$C$52+(Scenario_Data!B110))*Inputs!$C$52*COS(SQRT((Scenario_Data!T110)^2+Inputs!$C$6^2)/Inputs!$C$52))*1000)/Inputs!$C$21*1000000</x:f>
        <x:v>2675.6947393589066</x:v>
      </x:c>
      <x:c r="AI110" t="n">
        <x:f>Scenario_Data!U110</x:f>
        <x:v>-40</x:v>
      </x:c>
      <x:c r="AJ110" t="n">
        <x:f>2*(SQRT((Inputs!$C$52+(Scenario_Data!C110))^2+Inputs!$C$52^2-2*(Inputs!$C$52+(Scenario_Data!C110))*Inputs!$C$52*COS(SQRT((Scenario_Data!U110)^2+Inputs!$C$6^2)/Inputs!$C$52))*1000)/Inputs!$C$21*1000000</x:f>
        <x:v>409.8223646341818</x:v>
      </x:c>
      <x:c r="AK110" t="n">
        <x:f>Scenario_Data!V110</x:f>
        <x:v>-80</x:v>
      </x:c>
      <x:c r="AL110" t="n">
        <x:f>2*(SQRT((Inputs!$C$52+(Scenario_Data!D110))^2+Inputs!$C$52^2-2*(Inputs!$C$52+(Scenario_Data!D110))*Inputs!$C$52*COS(SQRT((Scenario_Data!V110)^2+Inputs!$C$6^2)/Inputs!$C$52))*1000)/Inputs!$C$21*1000000</x:f>
        <x:v>640.5073835750494</x:v>
      </x:c>
      <x:c r="AM110" t="n">
        <x:f>Scenario_Data!W110</x:f>
        <x:v>-80</x:v>
      </x:c>
      <x:c r="AN110" t="n">
        <x:f>2*(SQRT((Inputs!$C$52+(Scenario_Data!E110))^2+Inputs!$C$52^2-2*(Inputs!$C$52+(Scenario_Data!E110))*Inputs!$C$52*COS(SQRT((Scenario_Data!W110)^2+Inputs!$C$6^2)/Inputs!$C$52))*1000)/Inputs!$C$21*1000000</x:f>
        <x:v>610.9686237412925</x:v>
      </x:c>
      <x:c r="AP110" t="n">
        <x:f>Scenario_Data!T110</x:f>
        <x:v>-6</x:v>
      </x:c>
      <x:c r="AQ110" t="n">
        <x: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x:f>
        <x:v>2672.7173618544525</x:v>
      </x:c>
      <x:c r="AR110" t="n">
        <x:f>Scenario_Data!U110</x:f>
        <x:v>-40</x:v>
      </x:c>
      <x:c r="AS110" t="n">
        <x: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x:f>
        <x:v>409.0096923375385</x:v>
      </x:c>
      <x:c r="AT110" t="n">
        <x:f>Scenario_Data!V110</x:f>
        <x:v>-80</x:v>
      </x:c>
      <x:c r="AU110" t="n">
        <x: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x:f>
        <x:v>640.0475870733427</x:v>
      </x:c>
      <x:c r="AV110" t="n">
        <x:f>Scenario_Data!W110</x:f>
        <x:v>-80</x:v>
      </x:c>
      <x:c r="AW110" t="n">
        <x: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x:f>
        <x:v>610.5993837127407</x:v>
      </x:c>
    </x:row>
    <x:row r="111">
      <x:c r="A111" t="n">
        <x:f>Chart_Data!K111</x:f>
        <x:v>-5.5</x:v>
      </x:c>
      <x:c r="B111" t="n">
        <x:f>Chart_Data!N111-Chart_Data!L111</x:f>
        <x:v>62.18129300695398</x:v>
      </x:c>
      <x:c r="D111" t="n">
        <x:f>Chart_Data!G111</x:f>
        <x:v>-5.5</x:v>
      </x:c>
      <x:c r="E111" t="n">
        <x:f>Chart_Data!H111</x:f>
        <x:v>437.23203216912464</x:v>
      </x:c>
      <x:c r="F111" t="n">
        <x:f>Chart_Data!I111</x:f>
        <x:v>437.23203216912464</x:v>
      </x:c>
      <x:c r="G111" t="n">
        <x:f>Chart_Data!J111</x:f>
        <x:v>-63.59054434613801</x:v>
      </x:c>
      <x:c r="I111" t="n">
        <x:f>Scenario_Data!A111</x:f>
        <x:v>-0.092</x:v>
      </x:c>
      <x:c r="J111" t="n">
        <x:f>Scenario_Data!H111-(((SQRT((Inputs!$C$52+(Inputs!$H$6))^2+Inputs!$C$52^2-2*(Inputs!$C$52+(Inputs!$H$6))*Inputs!$C$52*COS(SQRT((Scenario_Data!T111)^2+Inputs!$C$6^2)/Inputs!$C$52)))-(Inputs!$H$6))*1000/Inputs!$C$12)</x:f>
        <x:v>-0.038793322623632776</x:v>
      </x:c>
      <x:c r="K111" t="n">
        <x:f>Scenario_Data!I111-(((SQRT((Inputs!$C$52+(Inputs!$H$7))^2+Inputs!$C$52^2-2*(Inputs!$C$52+(Inputs!$H$7))*Inputs!$C$52*COS(SQRT((Scenario_Data!U111)^2+Inputs!$C$6^2)/Inputs!$C$52)))-(Inputs!$H$7))*1000/Inputs!$C$12)</x:f>
        <x:v>-622.7876519774909</x:v>
      </x:c>
      <x:c r="L111" t="n">
        <x:f>Scenario_Data!J111-(((SQRT((Inputs!$C$52+(Inputs!$H$8))^2+Inputs!$C$52^2-2*(Inputs!$C$52+(Inputs!$H$8))*Inputs!$C$52*COS(SQRT((Scenario_Data!V111)^2+Inputs!$C$6^2)/Inputs!$C$52)))-(Inputs!$H$8))*1000/Inputs!$C$12)</x:f>
        <x:v>-2448.174221919682</x:v>
      </x:c>
      <x:c r="M111" t="n">
        <x:f>Scenario_Data!K111-(((SQRT((Inputs!$C$52+(Inputs!$H$9))^2+Inputs!$C$52^2-2*(Inputs!$C$52+(Inputs!$H$9))*Inputs!$C$52*COS(SQRT((Scenario_Data!W111)^2+Inputs!$C$6^2)/Inputs!$C$52)))-(Inputs!$H$9))*1000/Inputs!$C$12)</x:f>
        <x:v>-2916.9995331569153</x:v>
      </x:c>
      <x:c r="O111" t="n">
        <x:f>Scenario_Data!T111</x:f>
        <x:v>-5.519999999999996</x:v>
      </x:c>
      <x:c r="P111" t="n">
        <x:f>2*(Scenario_Data!B111*1000)/Inputs!$C$21*1000000</x:f>
        <x:v>2668.738624505357</x:v>
      </x:c>
      <x:c r="Q111" t="n">
        <x:f>Scenario_Data!U111</x:f>
        <x:v>-36.80000000000001</x:v>
      </x:c>
      <x:c r="R111" t="n">
        <x:f>2*(Scenario_Data!C111*1000)/Inputs!$C$21*1000000</x:f>
        <x:v>254.1048581015337</x:v>
      </x:c>
      <x:c r="S111" t="n">
        <x:f>Scenario_Data!V111</x:f>
        <x:v>-73.60000000000002</x:v>
      </x:c>
      <x:c r="T111" t="n">
        <x:f>2*(Scenario_Data!D111*1000)/Inputs!$C$21*1000000</x:f>
        <x:v>287.98429612261964</x:v>
      </x:c>
      <x:c r="U111" t="n">
        <x:f>Scenario_Data!W111</x:f>
        <x:v>-73.60000000000002</x:v>
      </x:c>
      <x:c r="V111" t="n">
        <x:f>2*(Scenario_Data!E111*1000)/Inputs!$C$21*1000000</x:f>
        <x:v>221.8361343833407</x:v>
      </x:c>
      <x:c r="X111" t="n">
        <x:f>Scenario_Data!T111</x:f>
        <x:v>-5.519999999999996</x:v>
      </x:c>
      <x:c r="Y111" t="n">
        <x: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x:f>
        <x:v>2669.1819695313984</x:v>
      </x:c>
      <x:c r="Z111" t="n">
        <x:f>Scenario_Data!U111</x:f>
        <x:v>-36.80000000000001</x:v>
      </x:c>
      <x:c r="AA111" t="n">
        <x: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x:f>
        <x:v>254.26353690986213</x:v>
      </x:c>
      <x:c r="AB111" t="n">
        <x:f>Scenario_Data!V111</x:f>
        <x:v>-73.60000000000002</x:v>
      </x:c>
      <x:c r="AC111" t="n">
        <x: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x:f>
        <x:v>287.9944488822991</x:v>
      </x:c>
      <x:c r="AD111" t="n">
        <x:f>Scenario_Data!W111</x:f>
        <x:v>-73.60000000000002</x:v>
      </x:c>
      <x:c r="AE111" t="n">
        <x: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x:f>
        <x:v>221.84628714302016</x:v>
      </x:c>
      <x:c r="AG111" t="n">
        <x:f>Scenario_Data!T111</x:f>
        <x:v>-5.519999999999996</x:v>
      </x:c>
      <x:c r="AH111" t="n">
        <x:f>2*(SQRT((Inputs!$C$52+(Scenario_Data!B111))^2+Inputs!$C$52^2-2*(Inputs!$C$52+(Scenario_Data!B111))*Inputs!$C$52*COS(SQRT((Scenario_Data!T111)^2+Inputs!$C$6^2)/Inputs!$C$52))*1000)/Inputs!$C$21*1000000</x:f>
        <x:v>2675.596061480153</x:v>
      </x:c>
      <x:c r="AI111" t="n">
        <x:f>Scenario_Data!U111</x:f>
        <x:v>-36.80000000000001</x:v>
      </x:c>
      <x:c r="AJ111" t="n">
        <x:f>2*(SQRT((Inputs!$C$52+(Scenario_Data!C111))^2+Inputs!$C$52^2-2*(Inputs!$C$52+(Scenario_Data!C111))*Inputs!$C$52*COS(SQRT((Scenario_Data!U111)^2+Inputs!$C$6^2)/Inputs!$C$52))*1000)/Inputs!$C$21*1000000</x:f>
        <x:v>393.44746490213646</x:v>
      </x:c>
      <x:c r="AK111" t="n">
        <x:f>Scenario_Data!V111</x:f>
        <x:v>-73.60000000000002</x:v>
      </x:c>
      <x:c r="AL111" t="n">
        <x:f>2*(SQRT((Inputs!$C$52+(Scenario_Data!D111))^2+Inputs!$C$52^2-2*(Inputs!$C$52+(Scenario_Data!D111))*Inputs!$C$52*COS(SQRT((Scenario_Data!V111)^2+Inputs!$C$6^2)/Inputs!$C$52))*1000)/Inputs!$C$21*1000000</x:f>
        <x:v>599.3484103990154</x:v>
      </x:c>
      <x:c r="AM111" t="n">
        <x:f>Scenario_Data!W111</x:f>
        <x:v>-73.60000000000002</x:v>
      </x:c>
      <x:c r="AN111" t="n">
        <x:f>2*(SQRT((Inputs!$C$52+(Scenario_Data!E111))^2+Inputs!$C$52^2-2*(Inputs!$C$52+(Scenario_Data!E111))*Inputs!$C$52*COS(SQRT((Scenario_Data!W111)^2+Inputs!$C$6^2)/Inputs!$C$52))*1000)/Inputs!$C$21*1000000</x:f>
        <x:v>569.0227686817443</x:v>
      </x:c>
      <x:c r="AP111" t="n">
        <x:f>Scenario_Data!T111</x:f>
        <x:v>-5.519999999999996</x:v>
      </x:c>
      <x:c r="AQ111" t="n">
        <x: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x:f>
        <x:v>2672.777044222336</x:v>
      </x:c>
      <x:c r="AR111" t="n">
        <x:f>Scenario_Data!U111</x:f>
        <x:v>-36.80000000000001</x:v>
      </x:c>
      <x:c r="AS111" t="n">
        <x: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x:f>
        <x:v>392.42990322520836</x:v>
      </x:c>
      <x:c r="AT111" t="n">
        <x:f>Scenario_Data!V111</x:f>
        <x:v>-73.60000000000002</x:v>
      </x:c>
      <x:c r="AU111" t="n">
        <x: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x:f>
        <x:v>599.066176193741</x:v>
      </x:c>
      <x:c r="AV111" t="n">
        <x:f>Scenario_Data!W111</x:f>
        <x:v>-73.60000000000002</x:v>
      </x:c>
      <x:c r="AW111" t="n">
        <x: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x:f>
        <x:v>568.797072806705</x:v>
      </x:c>
    </x:row>
    <x:row r="112">
      <x:c r="A112" t="n">
        <x:f>Chart_Data!K112</x:f>
        <x:v>-5</x:v>
      </x:c>
      <x:c r="B112" t="n">
        <x:f>Chart_Data!N112-Chart_Data!L112</x:f>
        <x:v>72.28193903621099</x:v>
      </x:c>
      <x:c r="D112" t="n">
        <x:f>Chart_Data!G112</x:f>
        <x:v>-5</x:v>
      </x:c>
      <x:c r="E112" t="n">
        <x:f>Chart_Data!H112</x:f>
        <x:v>426.4950993655156</x:v>
      </x:c>
      <x:c r="F112" t="n">
        <x:f>Chart_Data!I112</x:f>
        <x:v>426.4950993655156</x:v>
      </x:c>
      <x:c r="G112" t="n">
        <x:f>Chart_Data!J112</x:f>
        <x:v>-73.64560445817172</x:v>
      </x:c>
      <x:c r="I112" t="n">
        <x:f>Scenario_Data!A112</x:f>
        <x:v>-0.083</x:v>
      </x:c>
      <x:c r="J112" t="n">
        <x:f>Scenario_Data!H112-(((SQRT((Inputs!$C$52+(Inputs!$H$6))^2+Inputs!$C$52^2-2*(Inputs!$C$52+(Inputs!$H$6))*Inputs!$C$52*COS(SQRT((Scenario_Data!T112)^2+Inputs!$C$6^2)/Inputs!$C$52)))-(Inputs!$H$6))*1000/Inputs!$C$12)</x:f>
        <x:v>-0.031303072409855304</x:v>
      </x:c>
      <x:c r="K112" t="n">
        <x:f>Scenario_Data!I112-(((SQRT((Inputs!$C$52+(Inputs!$H$7))^2+Inputs!$C$52^2-2*(Inputs!$C$52+(Inputs!$H$7))*Inputs!$C$52*COS(SQRT((Scenario_Data!U112)^2+Inputs!$C$6^2)/Inputs!$C$52)))-(Inputs!$H$7))*1000/Inputs!$C$12)</x:f>
        <x:v>-476.0772849904715</x:v>
      </x:c>
      <x:c r="L112" t="n">
        <x:f>Scenario_Data!J112-(((SQRT((Inputs!$C$52+(Inputs!$H$8))^2+Inputs!$C$52^2-2*(Inputs!$C$52+(Inputs!$H$8))*Inputs!$C$52*COS(SQRT((Scenario_Data!V112)^2+Inputs!$C$6^2)/Inputs!$C$52)))-(Inputs!$H$8))*1000/Inputs!$C$12)</x:f>
        <x:v>-1903.505948859045</x:v>
      </x:c>
      <x:c r="M112" t="n">
        <x:f>Scenario_Data!K112-(((SQRT((Inputs!$C$52+(Inputs!$H$9))^2+Inputs!$C$52^2-2*(Inputs!$C$52+(Inputs!$H$9))*Inputs!$C$52*COS(SQRT((Scenario_Data!W112)^2+Inputs!$C$6^2)/Inputs!$C$52)))-(Inputs!$H$9))*1000/Inputs!$C$12)</x:f>
        <x:v>-2305.8725854526674</x:v>
      </x:c>
      <x:c r="O112" t="n">
        <x:f>Scenario_Data!T112</x:f>
        <x:v>-4.979999999999997</x:v>
      </x:c>
      <x:c r="P112" t="n">
        <x:f>2*(Scenario_Data!B112*1000)/Inputs!$C$21*1000000</x:f>
        <x:v>2668.696595429362</x:v>
      </x:c>
      <x:c r="Q112" t="n">
        <x:f>Scenario_Data!U112</x:f>
        <x:v>-33.19999999999999</x:v>
      </x:c>
      <x:c r="R112" t="n">
        <x:f>2*(Scenario_Data!C112*1000)/Inputs!$C$21*1000000</x:f>
        <x:v>250.26970491699296</x:v>
      </x:c>
      <x:c r="S112" t="n">
        <x:f>Scenario_Data!V112</x:f>
        <x:v>-66.39999999999998</x:v>
      </x:c>
      <x:c r="T112" t="n">
        <x:f>2*(Scenario_Data!D112*1000)/Inputs!$C$21*1000000</x:f>
        <x:v>277.84478153883373</x:v>
      </x:c>
      <x:c r="U112" t="n">
        <x:f>Scenario_Data!W112</x:f>
        <x:v>-66.39999999999998</x:v>
      </x:c>
      <x:c r="V112" t="n">
        <x:f>2*(Scenario_Data!E112*1000)/Inputs!$C$21*1000000</x:f>
        <x:v>211.59154710956733</x:v>
      </x:c>
      <x:c r="X112" t="n">
        <x:f>Scenario_Data!T112</x:f>
        <x:v>-4.979999999999997</x:v>
      </x:c>
      <x:c r="Y112" t="n">
        <x: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x:f>
        <x:v>2669.1403160796563</x:v>
      </x:c>
      <x:c r="Z112" t="n">
        <x:f>Scenario_Data!U112</x:f>
        <x:v>-33.19999999999999</x:v>
      </x:c>
      <x:c r="AA112" t="n">
        <x: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x:f>
        <x:v>250.22595087297077</x:v>
      </x:c>
      <x:c r="AB112" t="n">
        <x:f>Scenario_Data!V112</x:f>
        <x:v>-66.39999999999998</x:v>
      </x:c>
      <x:c r="AC112" t="n">
        <x: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x:f>
        <x:v>277.34427520472127</x:v>
      </x:c>
      <x:c r="AD112" t="n">
        <x:f>Scenario_Data!W112</x:f>
        <x:v>-66.39999999999998</x:v>
      </x:c>
      <x:c r="AE112" t="n">
        <x: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x:f>
        <x:v>211.09104077545487</x:v>
      </x:c>
      <x:c r="AG112" t="n">
        <x:f>Scenario_Data!T112</x:f>
        <x:v>-4.979999999999997</x:v>
      </x:c>
      <x:c r="AH112" t="n">
        <x:f>2*(SQRT((Inputs!$C$52+(Scenario_Data!B112))^2+Inputs!$C$52^2-2*(Inputs!$C$52+(Scenario_Data!B112))*Inputs!$C$52*COS(SQRT((Scenario_Data!T112)^2+Inputs!$C$6^2)/Inputs!$C$52))*1000)/Inputs!$C$21*1000000</x:f>
        <x:v>2675.494875334485</x:v>
      </x:c>
      <x:c r="AI112" t="n">
        <x:f>Scenario_Data!U112</x:f>
        <x:v>-33.19999999999999</x:v>
      </x:c>
      <x:c r="AJ112" t="n">
        <x:f>2*(SQRT((Inputs!$C$52+(Scenario_Data!C112))^2+Inputs!$C$52^2-2*(Inputs!$C$52+(Scenario_Data!C112))*Inputs!$C$52*COS(SQRT((Scenario_Data!U112)^2+Inputs!$C$6^2)/Inputs!$C$52))*1000)/Inputs!$C$21*1000000</x:f>
        <x:v>375.9660695790947</x:v>
      </x:c>
      <x:c r="AK112" t="n">
        <x:f>Scenario_Data!V112</x:f>
        <x:v>-66.39999999999998</x:v>
      </x:c>
      <x:c r="AL112" t="n">
        <x:f>2*(SQRT((Inputs!$C$52+(Scenario_Data!D112))^2+Inputs!$C$52^2-2*(Inputs!$C$52+(Scenario_Data!D112))*Inputs!$C$52*COS(SQRT((Scenario_Data!V112)^2+Inputs!$C$6^2)/Inputs!$C$52))*1000)/Inputs!$C$21*1000000</x:f>
        <x:v>554.2362316751039</x:v>
      </x:c>
      <x:c r="AM112" t="n">
        <x:f>Scenario_Data!W112</x:f>
        <x:v>-66.39999999999998</x:v>
      </x:c>
      <x:c r="AN112" t="n">
        <x:f>2*(SQRT((Inputs!$C$52+(Scenario_Data!E112))^2+Inputs!$C$52^2-2*(Inputs!$C$52+(Scenario_Data!E112))*Inputs!$C$52*COS(SQRT((Scenario_Data!W112)^2+Inputs!$C$6^2)/Inputs!$C$52))*1000)/Inputs!$C$21*1000000</x:f>
        <x:v>522.8056693168993</x:v>
      </x:c>
      <x:c r="AP112" t="n">
        <x:f>Scenario_Data!T112</x:f>
        <x:v>-4.979999999999997</x:v>
      </x:c>
      <x:c r="AQ112" t="n">
        <x: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x:f>
        <x:v>2672.720653805265</x:v>
      </x:c>
      <x:c r="AR112" t="n">
        <x:f>Scenario_Data!U112</x:f>
        <x:v>-33.19999999999999</x:v>
      </x:c>
      <x:c r="AS112" t="n">
        <x: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x:f>
        <x:v>374.5318753864321</x:v>
      </x:c>
      <x:c r="AT112" t="n">
        <x:f>Scenario_Data!V112</x:f>
        <x:v>-66.39999999999998</x:v>
      </x:c>
      <x:c r="AU112" t="n">
        <x: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x:f>
        <x:v>553.4978964465374</x:v>
      </x:c>
      <x:c r="AV112" t="n">
        <x:f>Scenario_Data!W112</x:f>
        <x:v>-66.39999999999998</x:v>
      </x:c>
      <x:c r="AW112" t="n">
        <x: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x:f>
        <x:v>522.2177364636578</x:v>
      </x:c>
    </x:row>
    <x:row r="113">
      <x:c r="A113" t="n">
        <x:f>Chart_Data!K113</x:f>
        <x:v>-4.5</x:v>
      </x:c>
      <x:c r="B113" t="n">
        <x:f>Chart_Data!N113-Chart_Data!L113</x:f>
        <x:v>71.74572140008553</x:v>
      </x:c>
      <x:c r="D113" t="n">
        <x:f>Chart_Data!G113</x:f>
        <x:v>-4.5</x:v>
      </x:c>
      <x:c r="E113" t="n">
        <x:f>Chart_Data!H113</x:f>
        <x:v>423.30568039510905</x:v>
      </x:c>
      <x:c r="F113" t="n">
        <x:f>Chart_Data!I113</x:f>
        <x:v>423.30568039510905</x:v>
      </x:c>
      <x:c r="G113" t="n">
        <x:f>Chart_Data!J113</x:f>
        <x:v>-73.08935088189128</x:v>
      </x:c>
      <x:c r="I113" t="n">
        <x:f>Scenario_Data!A113</x:f>
        <x:v>-0.075</x:v>
      </x:c>
      <x:c r="J113" t="n">
        <x:f>Scenario_Data!H113-(((SQRT((Inputs!$C$52+(Inputs!$H$6))^2+Inputs!$C$52^2-2*(Inputs!$C$52+(Inputs!$H$6))*Inputs!$C$52*COS(SQRT((Scenario_Data!T113)^2+Inputs!$C$6^2)/Inputs!$C$52)))-(Inputs!$H$6))*1000/Inputs!$C$12)</x:f>
        <x:v>-0.025381627713954913</x:v>
      </x:c>
      <x:c r="K113" t="n">
        <x:f>Scenario_Data!I113-(((SQRT((Inputs!$C$52+(Inputs!$H$7))^2+Inputs!$C$52^2-2*(Inputs!$C$52+(Inputs!$H$7))*Inputs!$C$52*COS(SQRT((Scenario_Data!U113)^2+Inputs!$C$6^2)/Inputs!$C$52)))-(Inputs!$H$7))*1000/Inputs!$C$12)</x:f>
        <x:v>-365.6858715468552</x:v>
      </x:c>
      <x:c r="L113" t="n">
        <x:f>Scenario_Data!J113-(((SQRT((Inputs!$C$52+(Inputs!$H$8))^2+Inputs!$C$52^2-2*(Inputs!$C$52+(Inputs!$H$8))*Inputs!$C$52*COS(SQRT((Scenario_Data!V113)^2+Inputs!$C$6^2)/Inputs!$C$52)))-(Inputs!$H$8))*1000/Inputs!$C$12)</x:f>
        <x:v>-1478.9642244424758</x:v>
      </x:c>
      <x:c r="M113" t="n">
        <x:f>Scenario_Data!K113-(((SQRT((Inputs!$C$52+(Inputs!$H$9))^2+Inputs!$C$52^2-2*(Inputs!$C$52+(Inputs!$H$9))*Inputs!$C$52*COS(SQRT((Scenario_Data!W113)^2+Inputs!$C$6^2)/Inputs!$C$52)))-(Inputs!$H$9))*1000/Inputs!$C$12)</x:f>
        <x:v>-1822.7678078152858</x:v>
      </x:c>
      <x:c r="O113" t="n">
        <x:f>Scenario_Data!T113</x:f>
        <x:v>-4.5</x:v>
      </x:c>
      <x:c r="P113" t="n">
        <x:f>2*(Scenario_Data!B113*1000)/Inputs!$C$21*1000000</x:f>
        <x:v>2668.6628654280557</x:v>
      </x:c>
      <x:c r="Q113" t="n">
        <x:f>Scenario_Data!U113</x:f>
        <x:v>-30</x:v>
      </x:c>
      <x:c r="R113" t="n">
        <x:f>2*(Scenario_Data!C113*1000)/Inputs!$C$21*1000000</x:f>
        <x:v>247.19184229778054</x:v>
      </x:c>
      <x:c r="S113" t="n">
        <x:f>Scenario_Data!V113</x:f>
        <x:v>-60</x:v>
      </x:c>
      <x:c r="T113" t="n">
        <x:f>2*(Scenario_Data!D113*1000)/Inputs!$C$21*1000000</x:f>
        <x:v>269.7074187236558</x:v>
      </x:c>
      <x:c r="U113" t="n">
        <x:f>Scenario_Data!W113</x:f>
        <x:v>-60</x:v>
      </x:c>
      <x:c r="V113" t="n">
        <x:f>2*(Scenario_Data!E113*1000)/Inputs!$C$21*1000000</x:f>
        <x:v>203.36985929112333</x:v>
      </x:c>
      <x:c r="X113" t="n">
        <x:f>Scenario_Data!T113</x:f>
        <x:v>-4.5</x:v>
      </x:c>
      <x:c r="Y113" t="n">
        <x: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x:f>
        <x:v>2669.150465091966</x:v>
      </x:c>
      <x:c r="Z113" t="n">
        <x:f>Scenario_Data!U113</x:f>
        <x:v>-30</x:v>
      </x:c>
      <x:c r="AA113" t="n">
        <x: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x:f>
        <x:v>247.30870990646252</x:v>
      </x:c>
      <x:c r="AB113" t="n">
        <x:f>Scenario_Data!V113</x:f>
        <x:v>-60</x:v>
      </x:c>
      <x:c r="AC113" t="n">
        <x: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x:f>
        <x:v>269.6889774389345</x:v>
      </x:c>
      <x:c r="AD113" t="n">
        <x:f>Scenario_Data!W113</x:f>
        <x:v>-60</x:v>
      </x:c>
      <x:c r="AE113" t="n">
        <x: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x:f>
        <x:v>203.351418006402</x:v>
      </x:c>
      <x:c r="AG113" t="n">
        <x:f>Scenario_Data!T113</x:f>
        <x:v>-4.5</x:v>
      </x:c>
      <x:c r="AH113" t="n">
        <x:f>2*(SQRT((Inputs!$C$52+(Scenario_Data!B113))^2+Inputs!$C$52^2-2*(Inputs!$C$52+(Scenario_Data!B113))*Inputs!$C$52*COS(SQRT((Scenario_Data!T113)^2+Inputs!$C$6^2)/Inputs!$C$52))*1000)/Inputs!$C$21*1000000</x:f>
        <x:v>2675.413667405526</x:v>
      </x:c>
      <x:c r="AI113" t="n">
        <x:f>Scenario_Data!U113</x:f>
        <x:v>-30</x:v>
      </x:c>
      <x:c r="AJ113" t="n">
        <x:f>2*(SQRT((Inputs!$C$52+(Scenario_Data!C113))^2+Inputs!$C$52^2-2*(Inputs!$C$52+(Scenario_Data!C113))*Inputs!$C$52*COS(SQRT((Scenario_Data!U113)^2+Inputs!$C$6^2)/Inputs!$C$52))*1000)/Inputs!$C$21*1000000</x:f>
        <x:v>361.3628330842782</x:v>
      </x:c>
      <x:c r="AK113" t="n">
        <x:f>Scenario_Data!V113</x:f>
        <x:v>-60</x:v>
      </x:c>
      <x:c r="AL113" t="n">
        <x:f>2*(SQRT((Inputs!$C$52+(Scenario_Data!D113))^2+Inputs!$C$52^2-2*(Inputs!$C$52+(Scenario_Data!D113))*Inputs!$C$52*COS(SQRT((Scenario_Data!V113)^2+Inputs!$C$6^2)/Inputs!$C$52))*1000)/Inputs!$C$21*1000000</x:f>
        <x:v>515.385935947316</x:v>
      </x:c>
      <x:c r="AM113" t="n">
        <x:f>Scenario_Data!W113</x:f>
        <x:v>-60</x:v>
      </x:c>
      <x:c r="AN113" t="n">
        <x:f>2*(SQRT((Inputs!$C$52+(Scenario_Data!E113))^2+Inputs!$C$52^2-2*(Inputs!$C$52+(Scenario_Data!E113))*Inputs!$C$52*COS(SQRT((Scenario_Data!W113)^2+Inputs!$C$6^2)/Inputs!$C$52))*1000)/Inputs!$C$21*1000000</x:f>
        <x:v>482.7443088432838</x:v>
      </x:c>
      <x:c r="AP113" t="n">
        <x:f>Scenario_Data!T113</x:f>
        <x:v>-4.5</x:v>
      </x:c>
      <x:c r="AQ113" t="n">
        <x: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x:f>
        <x:v>2672.598639611109</x:v>
      </x:c>
      <x:c r="AR113" t="n">
        <x:f>Scenario_Data!U113</x:f>
        <x:v>-30</x:v>
      </x:c>
      <x:c r="AS113" t="n">
        <x: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x:f>
        <x:v>359.84961427998934</x:v>
      </x:c>
      <x:c r="AT113" t="n">
        <x:f>Scenario_Data!V113</x:f>
        <x:v>-60</x:v>
      </x:c>
      <x:c r="AU113" t="n">
        <x: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x:f>
        <x:v>514.9837762599814</x:v>
      </x:c>
      <x:c r="AV113" t="n">
        <x:f>Scenario_Data!W113</x:f>
        <x:v>-60</x:v>
      </x:c>
      <x:c r="AW113" t="n">
        <x: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x:f>
        <x:v>482.4244073104283</x:v>
      </x:c>
    </x:row>
    <x:row r="114">
      <x:c r="A114" t="n">
        <x:f>Chart_Data!K114</x:f>
        <x:v>-4</x:v>
      </x:c>
      <x:c r="B114" t="n">
        <x:f>Chart_Data!N114-Chart_Data!L114</x:f>
        <x:v>72.89334348716699</x:v>
      </x:c>
      <x:c r="D114" t="n">
        <x:f>Chart_Data!G114</x:f>
        <x:v>-4</x:v>
      </x:c>
      <x:c r="E114" t="n">
        <x:f>Chart_Data!H114</x:f>
        <x:v>426.0147467563934</x:v>
      </x:c>
      <x:c r="F114" t="n">
        <x:f>Chart_Data!I114</x:f>
        <x:v>426.0147467563934</x:v>
      </x:c>
      <x:c r="G114" t="n">
        <x:f>Chart_Data!J114</x:f>
        <x:v>-74.23673097551541</x:v>
      </x:c>
      <x:c r="I114" t="n">
        <x:f>Scenario_Data!A114</x:f>
        <x:v>-0.067</x:v>
      </x:c>
      <x:c r="J114" t="n">
        <x:f>Scenario_Data!H114-(((SQRT((Inputs!$C$52+(Inputs!$H$6))^2+Inputs!$C$52^2-2*(Inputs!$C$52+(Inputs!$H$6))*Inputs!$C$52*COS(SQRT((Scenario_Data!T114)^2+Inputs!$C$6^2)/Inputs!$C$52)))-(Inputs!$H$6))*1000/Inputs!$C$12)</x:f>
        <x:v>-0.02012804017840608</x:v>
      </x:c>
      <x:c r="K114" t="n">
        <x:f>Scenario_Data!I114-(((SQRT((Inputs!$C$52+(Inputs!$H$7))^2+Inputs!$C$52^2-2*(Inputs!$C$52+(Inputs!$H$7))*Inputs!$C$52*COS(SQRT((Scenario_Data!U114)^2+Inputs!$C$6^2)/Inputs!$C$52)))-(Inputs!$H$7))*1000/Inputs!$C$12)</x:f>
        <x:v>-273.20619150514904</x:v>
      </x:c>
      <x:c r="L114" t="n">
        <x:f>Scenario_Data!J114-(((SQRT((Inputs!$C$52+(Inputs!$H$8))^2+Inputs!$C$52^2-2*(Inputs!$C$52+(Inputs!$H$8))*Inputs!$C$52*COS(SQRT((Scenario_Data!V114)^2+Inputs!$C$6^2)/Inputs!$C$52)))-(Inputs!$H$8))*1000/Inputs!$C$12)</x:f>
        <x:v>-1111.366579203488</x:v>
      </x:c>
      <x:c r="M114" t="n">
        <x:f>Scenario_Data!K114-(((SQRT((Inputs!$C$52+(Inputs!$H$9))^2+Inputs!$C$52^2-2*(Inputs!$C$52+(Inputs!$H$9))*Inputs!$C$52*COS(SQRT((Scenario_Data!W114)^2+Inputs!$C$6^2)/Inputs!$C$52)))-(Inputs!$H$9))*1000/Inputs!$C$12)</x:f>
        <x:v>-1397.552072156148</x:v>
      </x:c>
      <x:c r="O114" t="n">
        <x:f>Scenario_Data!T114</x:f>
        <x:v>-4.019999999999996</x:v>
      </x:c>
      <x:c r="P114" t="n">
        <x:f>2*(Scenario_Data!B114*1000)/Inputs!$C$21*1000000</x:f>
        <x:v>2668.632551123084</x:v>
      </x:c>
      <x:c r="Q114" t="n">
        <x:f>Scenario_Data!U114</x:f>
        <x:v>-26.799999999999955</x:v>
      </x:c>
      <x:c r="R114" t="n">
        <x:f>2*(Scenario_Data!C114*1000)/Inputs!$C$21*1000000</x:f>
        <x:v>244.42566196912128</x:v>
      </x:c>
      <x:c r="S114" t="n">
        <x:f>Scenario_Data!V114</x:f>
        <x:v>-53.59999999999991</x:v>
      </x:c>
      <x:c r="T114" t="n">
        <x:f>2*(Scenario_Data!D114*1000)/Inputs!$C$21*1000000</x:f>
        <x:v>262.3940926492553</x:v>
      </x:c>
      <x:c r="U114" t="n">
        <x:f>Scenario_Data!W114</x:f>
        <x:v>-53.59999999999991</x:v>
      </x:c>
      <x:c r="V114" t="n">
        <x:f>2*(Scenario_Data!E114*1000)/Inputs!$C$21*1000000</x:f>
        <x:v>195.98074745429378</x:v>
      </x:c>
      <x:c r="X114" t="n">
        <x:f>Scenario_Data!T114</x:f>
        <x:v>-4.019999999999996</x:v>
      </x:c>
      <x:c r="Y114" t="n">
        <x: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x:f>
        <x:v>2669.116445149462</x:v>
      </x:c>
      <x:c r="Z114" t="n">
        <x:f>Scenario_Data!U114</x:f>
        <x:v>-26.799999999999955</x:v>
      </x:c>
      <x:c r="AA114" t="n">
        <x: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x:f>
        <x:v>244.89455924676798</x:v>
      </x:c>
      <x:c r="AB114" t="n">
        <x:f>Scenario_Data!V114</x:f>
        <x:v>-53.59999999999991</x:v>
      </x:c>
      <x:c r="AC114" t="n">
        <x: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x:f>
        <x:v>262.1373262830445</x:v>
      </x:c>
      <x:c r="AD114" t="n">
        <x:f>Scenario_Data!W114</x:f>
        <x:v>-53.59999999999991</x:v>
      </x:c>
      <x:c r="AE114" t="n">
        <x: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x:f>
        <x:v>195.72398108808298</x:v>
      </x:c>
      <x:c r="AG114" t="n">
        <x:f>Scenario_Data!T114</x:f>
        <x:v>-4.019999999999996</x:v>
      </x:c>
      <x:c r="AH114" t="n">
        <x:f>2*(SQRT((Inputs!$C$52+(Scenario_Data!B114))^2+Inputs!$C$52^2-2*(Inputs!$C$52+(Scenario_Data!B114))*Inputs!$C$52*COS(SQRT((Scenario_Data!T114)^2+Inputs!$C$6^2)/Inputs!$C$52))*1000)/Inputs!$C$21*1000000</x:f>
        <x:v>2675.340681520537</x:v>
      </x:c>
      <x:c r="AI114" t="n">
        <x:f>Scenario_Data!U114</x:f>
        <x:v>-26.799999999999955</x:v>
      </x:c>
      <x:c r="AJ114" t="n">
        <x:f>2*(SQRT((Inputs!$C$52+(Scenario_Data!C114))^2+Inputs!$C$52^2-2*(Inputs!$C$52+(Scenario_Data!C114))*Inputs!$C$52*COS(SQRT((Scenario_Data!U114)^2+Inputs!$C$6^2)/Inputs!$C$52))*1000)/Inputs!$C$21*1000000</x:f>
        <x:v>347.7451277079186</x:v>
      </x:c>
      <x:c r="AK114" t="n">
        <x:f>Scenario_Data!V114</x:f>
        <x:v>-53.59999999999991</x:v>
      </x:c>
      <x:c r="AL114" t="n">
        <x:f>2*(SQRT((Inputs!$C$52+(Scenario_Data!D114))^2+Inputs!$C$52^2-2*(Inputs!$C$52+(Scenario_Data!D114))*Inputs!$C$52*COS(SQRT((Scenario_Data!V114)^2+Inputs!$C$6^2)/Inputs!$C$52))*1000)/Inputs!$C$21*1000000</x:f>
        <x:v>477.9486297496659</x:v>
      </x:c>
      <x:c r="AM114" t="n">
        <x:f>Scenario_Data!W114</x:f>
        <x:v>-53.59999999999991</x:v>
      </x:c>
      <x:c r="AN114" t="n">
        <x:f>2*(SQRT((Inputs!$C$52+(Scenario_Data!E114))^2+Inputs!$C$52^2-2*(Inputs!$C$52+(Scenario_Data!E114))*Inputs!$C$52*COS(SQRT((Scenario_Data!W114)^2+Inputs!$C$6^2)/Inputs!$C$52))*1000)/Inputs!$C$21*1000000</x:f>
        <x:v>443.8466445893456</x:v>
      </x:c>
      <x:c r="AP114" t="n">
        <x:f>Scenario_Data!T114</x:f>
        <x:v>-4.019999999999996</x:v>
      </x:c>
      <x:c r="AQ114" t="n">
        <x: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x:f>
        <x:v>2672.6169862341135</x:v>
      </x:c>
      <x:c r="AR114" t="n">
        <x:f>Scenario_Data!U114</x:f>
        <x:v>-26.799999999999955</x:v>
      </x:c>
      <x:c r="AS114" t="n">
        <x: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x:f>
        <x:v>346.3884478023773</x:v>
      </x:c>
      <x:c r="AT114" t="n">
        <x:f>Scenario_Data!V114</x:f>
        <x:v>-53.59999999999991</x:v>
      </x:c>
      <x:c r="AU114" t="n">
        <x: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x:f>
        <x:v>477.1635303185421</x:v>
      </x:c>
      <x:c r="AV114" t="n">
        <x:f>Scenario_Data!W114</x:f>
        <x:v>-53.59999999999991</x:v>
      </x:c>
      <x:c r="AW114" t="n">
        <x: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x:f>
        <x:v>443.22219695033067</x:v>
      </x:c>
    </x:row>
    <x:row r="115">
      <x:c r="A115" t="n">
        <x:f>Chart_Data!K115</x:f>
        <x:v>-3.5</x:v>
      </x:c>
      <x:c r="B115" t="n">
        <x:f>Chart_Data!N115-Chart_Data!L115</x:f>
        <x:v>77.37954858711913</x:v>
      </x:c>
      <x:c r="D115" t="n">
        <x:f>Chart_Data!G115</x:f>
        <x:v>-3.5</x:v>
      </x:c>
      <x:c r="E115" t="n">
        <x:f>Chart_Data!H115</x:f>
        <x:v>404.9650488225026</x:v>
      </x:c>
      <x:c r="F115" t="n">
        <x:f>Chart_Data!I115</x:f>
        <x:v>404.9650488225026</x:v>
      </x:c>
      <x:c r="G115" t="n">
        <x:f>Chart_Data!J115</x:f>
        <x:v>-78.64906809360804</x:v>
      </x:c>
      <x:c r="I115" t="n">
        <x:f>Scenario_Data!A115</x:f>
        <x:v>-0.058</x:v>
      </x:c>
      <x:c r="J115" t="n">
        <x:f>Scenario_Data!H115-(((SQRT((Inputs!$C$52+(Inputs!$H$6))^2+Inputs!$C$52^2-2*(Inputs!$C$52+(Inputs!$H$6))*Inputs!$C$52*COS(SQRT((Scenario_Data!T115)^2+Inputs!$C$6^2)/Inputs!$C$52)))-(Inputs!$H$6))*1000/Inputs!$C$12)</x:f>
        <x:v>-0.014988976835297763</x:v>
      </x:c>
      <x:c r="K115" t="n">
        <x:f>Scenario_Data!I115-(((SQRT((Inputs!$C$52+(Inputs!$H$7))^2+Inputs!$C$52^2-2*(Inputs!$C$52+(Inputs!$H$7))*Inputs!$C$52*COS(SQRT((Scenario_Data!U115)^2+Inputs!$C$6^2)/Inputs!$C$52)))-(Inputs!$H$7))*1000/Inputs!$C$12)</x:f>
        <x:v>-189.13531467878693</x:v>
      </x:c>
      <x:c r="L115" t="n">
        <x:f>Scenario_Data!J115-(((SQRT((Inputs!$C$52+(Inputs!$H$8))^2+Inputs!$C$52^2-2*(Inputs!$C$52+(Inputs!$H$8))*Inputs!$C$52*COS(SQRT((Scenario_Data!V115)^2+Inputs!$C$6^2)/Inputs!$C$52)))-(Inputs!$H$8))*1000/Inputs!$C$12)</x:f>
        <x:v>-766.3118882481267</x:v>
      </x:c>
      <x:c r="M115" t="n">
        <x:f>Scenario_Data!K115-(((SQRT((Inputs!$C$52+(Inputs!$H$9))^2+Inputs!$C$52^2-2*(Inputs!$C$52+(Inputs!$H$9))*Inputs!$C$52*COS(SQRT((Scenario_Data!W115)^2+Inputs!$C$6^2)/Inputs!$C$52)))-(Inputs!$H$9))*1000/Inputs!$C$12)</x:f>
        <x:v>-989.6747178815604</x:v>
      </x:c>
      <x:c r="O115" t="n">
        <x:f>Scenario_Data!T115</x:f>
        <x:v>-3.480000000000004</x:v>
      </x:c>
      <x:c r="P115" t="n">
        <x:f>2*(Scenario_Data!B115*1000)/Inputs!$C$21*1000000</x:f>
        <x:v>2668.602530354516</x:v>
      </x:c>
      <x:c r="Q115" t="n">
        <x:f>Scenario_Data!U115</x:f>
        <x:v>-23.200000000000045</x:v>
      </x:c>
      <x:c r="R115" t="n">
        <x:f>2*(Scenario_Data!C115*1000)/Inputs!$C$21*1000000</x:f>
        <x:v>241.68626683730656</x:v>
      </x:c>
      <x:c r="S115" t="n">
        <x:f>Scenario_Data!V115</x:f>
        <x:v>-46.40000000000009</x:v>
      </x:c>
      <x:c r="T115" t="n">
        <x:f>2*(Scenario_Data!D115*1000)/Inputs!$C$21*1000000</x:f>
        <x:v>255.1515822322656</x:v>
      </x:c>
      <x:c r="U115" t="n">
        <x:f>Scenario_Data!W115</x:f>
        <x:v>-46.40000000000009</x:v>
      </x:c>
      <x:c r="V115" t="n">
        <x:f>2*(Scenario_Data!E115*1000)/Inputs!$C$21*1000000</x:f>
        <x:v>188.66318511588446</x:v>
      </x:c>
      <x:c r="X115" t="n">
        <x:f>Scenario_Data!T115</x:f>
        <x:v>-3.480000000000004</x:v>
      </x:c>
      <x:c r="Y115" t="n">
        <x: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x:f>
        <x:v>2669.071127146474</x:v>
      </x:c>
      <x:c r="Z115" t="n">
        <x:f>Scenario_Data!U115</x:f>
        <x:v>-23.200000000000045</x:v>
      </x:c>
      <x:c r="AA115" t="n">
        <x: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x:f>
        <x:v>242.50974664246002</x:v>
      </x:c>
      <x:c r="AB115" t="n">
        <x:f>Scenario_Data!V115</x:f>
        <x:v>-46.40000000000009</x:v>
      </x:c>
      <x:c r="AC115" t="n">
        <x: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x:f>
        <x:v>254.9051987890375</x:v>
      </x:c>
      <x:c r="AD115" t="n">
        <x:f>Scenario_Data!W115</x:f>
        <x:v>-46.40000000000009</x:v>
      </x:c>
      <x:c r="AE115" t="n">
        <x: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x:f>
        <x:v>188.41680167265642</x:v>
      </x:c>
      <x:c r="AG115" t="n">
        <x:f>Scenario_Data!T115</x:f>
        <x:v>-3.480000000000004</x:v>
      </x:c>
      <x:c r="AH115" t="n">
        <x:f>2*(SQRT((Inputs!$C$52+(Scenario_Data!B115))^2+Inputs!$C$52^2-2*(Inputs!$C$52+(Scenario_Data!B115))*Inputs!$C$52*COS(SQRT((Scenario_Data!T115)^2+Inputs!$C$6^2)/Inputs!$C$52))*1000)/Inputs!$C$21*1000000</x:f>
        <x:v>2675.2684009246454</x:v>
      </x:c>
      <x:c r="AI115" t="n">
        <x:f>Scenario_Data!U115</x:f>
        <x:v>-23.200000000000045</x:v>
      </x:c>
      <x:c r="AJ115" t="n">
        <x:f>2*(SQRT((Inputs!$C$52+(Scenario_Data!C115))^2+Inputs!$C$52^2-2*(Inputs!$C$52+(Scenario_Data!C115))*Inputs!$C$52*COS(SQRT((Scenario_Data!U115)^2+Inputs!$C$6^2)/Inputs!$C$52))*1000)/Inputs!$C$21*1000000</x:f>
        <x:v>333.7408733876195</x:v>
      </x:c>
      <x:c r="AK115" t="n">
        <x:f>Scenario_Data!V115</x:f>
        <x:v>-46.40000000000009</x:v>
      </x:c>
      <x:c r="AL115" t="n">
        <x:f>2*(SQRT((Inputs!$C$52+(Scenario_Data!D115))^2+Inputs!$C$52^2-2*(Inputs!$C$52+(Scenario_Data!D115))*Inputs!$C$52*COS(SQRT((Scenario_Data!V115)^2+Inputs!$C$6^2)/Inputs!$C$52))*1000)/Inputs!$C$21*1000000</x:f>
        <x:v>437.8992973190349</x:v>
      </x:c>
      <x:c r="AM115" t="n">
        <x:f>Scenario_Data!W115</x:f>
        <x:v>-46.40000000000009</x:v>
      </x:c>
      <x:c r="AN115" t="n">
        <x:f>2*(SQRT((Inputs!$C$52+(Scenario_Data!E115))^2+Inputs!$C$52^2-2*(Inputs!$C$52+(Scenario_Data!E115))*Inputs!$C$52*COS(SQRT((Scenario_Data!W115)^2+Inputs!$C$6^2)/Inputs!$C$52))*1000)/Inputs!$C$21*1000000</x:f>
        <x:v>401.81820551497754</x:v>
      </x:c>
      <x:c r="AP115" t="n">
        <x:f>Scenario_Data!T115</x:f>
        <x:v>-3.480000000000004</x:v>
      </x:c>
      <x:c r="AQ115" t="n">
        <x: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x:f>
        <x:v>2672.460019122305</x:v>
      </x:c>
      <x:c r="AR115" t="n">
        <x:f>Scenario_Data!U115</x:f>
        <x:v>-23.200000000000045</x:v>
      </x:c>
      <x:c r="AS115" t="n">
        <x: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x:f>
        <x:v>332.3135990985811</x:v>
      </x:c>
      <x:c r="AT115" t="n">
        <x:f>Scenario_Data!V115</x:f>
        <x:v>-46.40000000000009</x:v>
      </x:c>
      <x:c r="AU115" t="n">
        <x: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x:f>
        <x:v>437.0157822838088</x:v>
      </x:c>
      <x:c r="AV115" t="n">
        <x:f>Scenario_Data!W115</x:f>
        <x:v>-46.40000000000009</x:v>
      </x:c>
      <x:c r="AW115" t="n">
        <x: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x:f>
        <x:v>401.113136863523</x:v>
      </x:c>
    </x:row>
    <x:row r="116">
      <x:c r="A116" t="n">
        <x:f>Chart_Data!K116</x:f>
        <x:v>-3</x:v>
      </x:c>
      <x:c r="B116" t="n">
        <x:f>Chart_Data!N116-Chart_Data!L116</x:f>
        <x:v>66.37148842092893</x:v>
      </x:c>
      <x:c r="D116" t="n">
        <x:f>Chart_Data!G116</x:f>
        <x:v>-3</x:v>
      </x:c>
      <x:c r="E116" t="n">
        <x:f>Chart_Data!H116</x:f>
        <x:v>420.14741895617453</x:v>
      </x:c>
      <x:c r="F116" t="n">
        <x:f>Chart_Data!I116</x:f>
        <x:v>420.14741895617453</x:v>
      </x:c>
      <x:c r="G116" t="n">
        <x:f>Chart_Data!J116</x:f>
        <x:v>-67.68197739460362</x:v>
      </x:c>
      <x:c r="I116" t="n">
        <x:f>Scenario_Data!A116</x:f>
        <x:v>-0.05</x:v>
      </x:c>
      <x:c r="J116" t="n">
        <x:f>Scenario_Data!H116-(((SQRT((Inputs!$C$52+(Inputs!$H$6))^2+Inputs!$C$52^2-2*(Inputs!$C$52+(Inputs!$H$6))*Inputs!$C$52*COS(SQRT((Scenario_Data!T116)^2+Inputs!$C$6^2)/Inputs!$C$52)))-(Inputs!$H$6))*1000/Inputs!$C$12)</x:f>
        <x:v>-0.011085185236197503</x:v>
      </x:c>
      <x:c r="K116" t="n">
        <x:f>Scenario_Data!I116-(((SQRT((Inputs!$C$52+(Inputs!$H$7))^2+Inputs!$C$52^2-2*(Inputs!$C$52+(Inputs!$H$7))*Inputs!$C$52*COS(SQRT((Scenario_Data!U116)^2+Inputs!$C$6^2)/Inputs!$C$52)))-(Inputs!$H$7))*1000/Inputs!$C$12)</x:f>
        <x:v>-130.5838257490177</x:v>
      </x:c>
      <x:c r="L116" t="n">
        <x:f>Scenario_Data!J116-(((SQRT((Inputs!$C$52+(Inputs!$H$8))^2+Inputs!$C$52^2-2*(Inputs!$C$52+(Inputs!$H$8))*Inputs!$C$52*COS(SQRT((Scenario_Data!V116)^2+Inputs!$C$6^2)/Inputs!$C$52)))-(Inputs!$H$8))*1000/Inputs!$C$12)</x:f>
        <x:v>-520.010223424264</x:v>
      </x:c>
      <x:c r="M116" t="n">
        <x:f>Scenario_Data!K116-(((SQRT((Inputs!$C$52+(Inputs!$H$9))^2+Inputs!$C$52^2-2*(Inputs!$C$52+(Inputs!$H$9))*Inputs!$C$52*COS(SQRT((Scenario_Data!W116)^2+Inputs!$C$6^2)/Inputs!$C$52)))-(Inputs!$H$9))*1000/Inputs!$C$12)</x:f>
        <x:v>-690.4618564313296</x:v>
      </x:c>
      <x:c r="O116" t="n">
        <x:f>Scenario_Data!T116</x:f>
        <x:v>-3</x:v>
      </x:c>
      <x:c r="P116" t="n">
        <x:f>2*(Scenario_Data!B116*1000)/Inputs!$C$21*1000000</x:f>
        <x:v>2668.579474404256</x:v>
      </x:c>
      <x:c r="Q116" t="n">
        <x:f>Scenario_Data!U116</x:f>
        <x:v>-20</x:v>
      </x:c>
      <x:c r="R116" t="n">
        <x:f>2*(Scenario_Data!C116*1000)/Inputs!$C$21*1000000</x:f>
        <x:v>239.5824113760727</x:v>
      </x:c>
      <x:c r="S116" t="n">
        <x:f>Scenario_Data!V116</x:f>
        <x:v>-40</x:v>
      </x:c>
      <x:c r="T116" t="n">
        <x:f>2*(Scenario_Data!D116*1000)/Inputs!$C$21*1000000</x:f>
        <x:v>249.58933423201725</x:v>
      </x:c>
      <x:c r="U116" t="n">
        <x:f>Scenario_Data!W116</x:f>
        <x:v>-40</x:v>
      </x:c>
      <x:c r="V116" t="n">
        <x:f>2*(Scenario_Data!E116*1000)/Inputs!$C$21*1000000</x:f>
        <x:v>183.04329723998595</x:v>
      </x:c>
      <x:c r="X116" t="n">
        <x:f>Scenario_Data!T116</x:f>
        <x:v>-3</x:v>
      </x:c>
      <x:c r="Y116" t="n">
        <x: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x:f>
        <x:v>2669.0309999552733</x:v>
      </x:c>
      <x:c r="Z116" t="n">
        <x:f>Scenario_Data!U116</x:f>
        <x:v>-20</x:v>
      </x:c>
      <x:c r="AA116" t="n">
        <x: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x:f>
        <x:v>240.55860819468157</x:v>
      </x:c>
      <x:c r="AB116" t="n">
        <x:f>Scenario_Data!V116</x:f>
        <x:v>-40</x:v>
      </x:c>
      <x:c r="AC116" t="n">
        <x: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x:f>
        <x:v>249.79768978087017</x:v>
      </x:c>
      <x:c r="AD116" t="n">
        <x:f>Scenario_Data!W116</x:f>
        <x:v>-40</x:v>
      </x:c>
      <x:c r="AE116" t="n">
        <x: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x:f>
        <x:v>183.25165278883884</x:v>
      </x:c>
      <x:c r="AG116" t="n">
        <x:f>Scenario_Data!T116</x:f>
        <x:v>-3</x:v>
      </x:c>
      <x:c r="AH116" t="n">
        <x:f>2*(SQRT((Inputs!$C$52+(Scenario_Data!B116))^2+Inputs!$C$52^2-2*(Inputs!$C$52+(Scenario_Data!B116))*Inputs!$C$52*COS(SQRT((Scenario_Data!T116)^2+Inputs!$C$6^2)/Inputs!$C$52))*1000)/Inputs!$C$21*1000000</x:f>
        <x:v>2675.2128884537788</x:v>
      </x:c>
      <x:c r="AI116" t="n">
        <x:f>Scenario_Data!U116</x:f>
        <x:v>-20</x:v>
      </x:c>
      <x:c r="AJ116" t="n">
        <x:f>2*(SQRT((Inputs!$C$52+(Scenario_Data!C116))^2+Inputs!$C$52^2-2*(Inputs!$C$52+(Scenario_Data!C116))*Inputs!$C$52*COS(SQRT((Scenario_Data!U116)^2+Inputs!$C$6^2)/Inputs!$C$52))*1000)/Inputs!$C$21*1000000</x:f>
        <x:v>322.5932252064959</x:v>
      </x:c>
      <x:c r="AK116" t="n">
        <x:f>Scenario_Data!V116</x:f>
        <x:v>-40</x:v>
      </x:c>
      <x:c r="AL116" t="n">
        <x:f>2*(SQRT((Inputs!$C$52+(Scenario_Data!D116))^2+Inputs!$C$52^2-2*(Inputs!$C$52+(Scenario_Data!D116))*Inputs!$C$52*COS(SQRT((Scenario_Data!V116)^2+Inputs!$C$6^2)/Inputs!$C$52))*1000)/Inputs!$C$21*1000000</x:f>
        <x:v>404.5820446556752</x:v>
      </x:c>
      <x:c r="AM116" t="n">
        <x:f>Scenario_Data!W116</x:f>
        <x:v>-40</x:v>
      </x:c>
      <x:c r="AN116" t="n">
        <x:f>2*(SQRT((Inputs!$C$52+(Scenario_Data!E116))^2+Inputs!$C$52^2-2*(Inputs!$C$52+(Scenario_Data!E116))*Inputs!$C$52*COS(SQRT((Scenario_Data!W116)^2+Inputs!$C$6^2)/Inputs!$C$52))*1000)/Inputs!$C$21*1000000</x:f>
        <x:v>366.42028097133147</x:v>
      </x:c>
      <x:c r="AP116" t="n">
        <x:f>Scenario_Data!T116</x:f>
        <x:v>-3</x:v>
      </x:c>
      <x:c r="AQ116" t="n">
        <x: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x:f>
        <x:v>2672.4187092220745</x:v>
      </x:c>
      <x:c r="AR116" t="n">
        <x:f>Scenario_Data!U116</x:f>
        <x:v>-20</x:v>
      </x:c>
      <x:c r="AS116" t="n">
        <x: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x:f>
        <x:v>320.93709247243464</x:v>
      </x:c>
      <x:c r="AT116" t="n">
        <x:f>Scenario_Data!V116</x:f>
        <x:v>-40</x:v>
      </x:c>
      <x:c r="AU116" t="n">
        <x: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x:f>
        <x:v>403.78577502859594</x:v>
      </x:c>
      <x:c r="AV116" t="n">
        <x:f>Scenario_Data!W116</x:f>
        <x:v>-40</x:v>
      </x:c>
      <x:c r="AW116" t="n">
        <x: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x:f>
        <x:v>365.78076718889946</x:v>
      </x:c>
    </x:row>
    <x:row r="117">
      <x:c r="A117" t="n">
        <x:f>Chart_Data!K117</x:f>
        <x:v>-2.5</x:v>
      </x:c>
      <x:c r="B117" t="n">
        <x:f>Chart_Data!N117-Chart_Data!L117</x:f>
        <x:v>48.527075969164855</x:v>
      </x:c>
      <x:c r="D117" t="n">
        <x:f>Chart_Data!G117</x:f>
        <x:v>-2.5</x:v>
      </x:c>
      <x:c r="E117" t="n">
        <x:f>Chart_Data!H117</x:f>
        <x:v>420.97624209793275</x:v>
      </x:c>
      <x:c r="F117" t="n">
        <x:f>Chart_Data!I117</x:f>
        <x:v>420.97624209793275</x:v>
      </x:c>
      <x:c r="G117" t="n">
        <x:f>Chart_Data!J117</x:f>
        <x:v>-49.83449295863612</x:v>
      </x:c>
      <x:c r="I117" t="n">
        <x:f>Scenario_Data!A117</x:f>
        <x:v>-0.042</x:v>
      </x:c>
      <x:c r="J117" t="n">
        <x:f>Scenario_Data!H117-(((SQRT((Inputs!$C$52+(Inputs!$H$6))^2+Inputs!$C$52^2-2*(Inputs!$C$52+(Inputs!$H$6))*Inputs!$C$52*COS(SQRT((Scenario_Data!T117)^2+Inputs!$C$6^2)/Inputs!$C$52)))-(Inputs!$H$6))*1000/Inputs!$C$12)</x:f>
        <x:v>-0.007789207541122778</x:v>
      </x:c>
      <x:c r="K117" t="n">
        <x:f>Scenario_Data!I117-(((SQRT((Inputs!$C$52+(Inputs!$H$7))^2+Inputs!$C$52^2-2*(Inputs!$C$52+(Inputs!$H$7))*Inputs!$C$52*COS(SQRT((Scenario_Data!U117)^2+Inputs!$C$6^2)/Inputs!$C$52)))-(Inputs!$H$7))*1000/Inputs!$C$12)</x:f>
        <x:v>-85.53253798029891</x:v>
      </x:c>
      <x:c r="L117" t="n">
        <x:f>Scenario_Data!J117-(((SQRT((Inputs!$C$52+(Inputs!$H$8))^2+Inputs!$C$52^2-2*(Inputs!$C$52+(Inputs!$H$8))*Inputs!$C$52*COS(SQRT((Scenario_Data!V117)^2+Inputs!$C$6^2)/Inputs!$C$52)))-(Inputs!$H$8))*1000/Inputs!$C$12)</x:f>
        <x:v>-328.85027552274187</x:v>
      </x:c>
      <x:c r="M117" t="n">
        <x:f>Scenario_Data!K117-(((SQRT((Inputs!$C$52+(Inputs!$H$9))^2+Inputs!$C$52^2-2*(Inputs!$C$52+(Inputs!$H$9))*Inputs!$C$52*COS(SQRT((Scenario_Data!W117)^2+Inputs!$C$6^2)/Inputs!$C$52)))-(Inputs!$H$9))*1000/Inputs!$C$12)</x:f>
        <x:v>-450.68761011315837</x:v>
      </x:c>
      <x:c r="O117" t="n">
        <x:f>Scenario_Data!T117</x:f>
        <x:v>-2.520000000000003</x:v>
      </x:c>
      <x:c r="P117" t="n">
        <x:f>2*(Scenario_Data!B117*1000)/Inputs!$C$21*1000000</x:f>
        <x:v>2668.5598341503305</x:v>
      </x:c>
      <x:c r="Q117" t="n">
        <x:f>Scenario_Data!U117</x:f>
        <x:v>-16.80000000000001</x:v>
      </x:c>
      <x:c r="R117" t="n">
        <x:f>2*(Scenario_Data!C117*1000)/Inputs!$C$21*1000000</x:f>
        <x:v>237.7902382053921</x:v>
      </x:c>
      <x:c r="S117" t="n">
        <x:f>Scenario_Data!V117</x:f>
        <x:v>-33.60000000000002</x:v>
      </x:c>
      <x:c r="T117" t="n">
        <x:f>2*(Scenario_Data!D117*1000)/Inputs!$C$21*1000000</x:f>
        <x:v>244.85112297254656</x:v>
      </x:c>
      <x:c r="U117" t="n">
        <x:f>Scenario_Data!W117</x:f>
        <x:v>-33.60000000000002</x:v>
      </x:c>
      <x:c r="V117" t="n">
        <x:f>2*(Scenario_Data!E117*1000)/Inputs!$C$21*1000000</x:f>
        <x:v>178.25598534570207</x:v>
      </x:c>
      <x:c r="X117" t="n">
        <x:f>Scenario_Data!T117</x:f>
        <x:v>-2.520000000000003</x:v>
      </x:c>
      <x:c r="Y117" t="n">
        <x: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x:f>
        <x:v>2668.8889151109515</x:v>
      </x:c>
      <x:c r="Z117" t="n">
        <x:f>Scenario_Data!U117</x:f>
        <x:v>-16.80000000000001</x:v>
      </x:c>
      <x:c r="AA117" t="n">
        <x: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x:f>
        <x:v>238.60170190557463</x:v>
      </x:c>
      <x:c r="AB117" t="n">
        <x:f>Scenario_Data!V117</x:f>
        <x:v>-33.60000000000002</x:v>
      </x:c>
      <x:c r="AC117" t="n">
        <x: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x:f>
        <x:v>244.83703512320048</x:v>
      </x:c>
      <x:c r="AD117" t="n">
        <x:f>Scenario_Data!W117</x:f>
        <x:v>-33.60000000000002</x:v>
      </x:c>
      <x:c r="AE117" t="n">
        <x: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x:f>
        <x:v>178.24189749635596</x:v>
      </x:c>
      <x:c r="AG117" t="n">
        <x:f>Scenario_Data!T117</x:f>
        <x:v>-2.520000000000003</x:v>
      </x:c>
      <x:c r="AH117" t="n">
        <x:f>2*(SQRT((Inputs!$C$52+(Scenario_Data!B117))^2+Inputs!$C$52^2-2*(Inputs!$C$52+(Scenario_Data!B117))*Inputs!$C$52*COS(SQRT((Scenario_Data!T117)^2+Inputs!$C$6^2)/Inputs!$C$52))*1000)/Inputs!$C$21*1000000</x:f>
        <x:v>2675.165599385722</x:v>
      </x:c>
      <x:c r="AI117" t="n">
        <x:f>Scenario_Data!U117</x:f>
        <x:v>-16.80000000000001</x:v>
      </x:c>
      <x:c r="AJ117" t="n">
        <x:f>2*(SQRT((Inputs!$C$52+(Scenario_Data!C117))^2+Inputs!$C$52^2-2*(Inputs!$C$52+(Scenario_Data!C117))*Inputs!$C$52*COS(SQRT((Scenario_Data!U117)^2+Inputs!$C$6^2)/Inputs!$C$52))*1000)/Inputs!$C$21*1000000</x:f>
        <x:v>312.798084448728</x:v>
      </x:c>
      <x:c r="AK117" t="n">
        <x:f>Scenario_Data!V117</x:f>
        <x:v>-33.60000000000002</x:v>
      </x:c>
      <x:c r="AL117" t="n">
        <x:f>2*(SQRT((Inputs!$C$52+(Scenario_Data!D117))^2+Inputs!$C$52^2-2*(Inputs!$C$52+(Scenario_Data!D117))*Inputs!$C$52*COS(SQRT((Scenario_Data!V117)^2+Inputs!$C$6^2)/Inputs!$C$52))*1000)/Inputs!$C$21*1000000</x:f>
        <x:v>373.95808704286753</x:v>
      </x:c>
      <x:c r="AM117" t="n">
        <x:f>Scenario_Data!W117</x:f>
        <x:v>-33.60000000000002</x:v>
      </x:c>
      <x:c r="AN117" t="n">
        <x:f>2*(SQRT((Inputs!$C$52+(Scenario_Data!E117))^2+Inputs!$C$52^2-2*(Inputs!$C$52+(Scenario_Data!E117))*Inputs!$C$52*COS(SQRT((Scenario_Data!W117)^2+Inputs!$C$6^2)/Inputs!$C$52))*1000)/Inputs!$C$21*1000000</x:f>
        <x:v>333.41947696346216</x:v>
      </x:c>
      <x:c r="AP117" t="n">
        <x:f>Scenario_Data!T117</x:f>
        <x:v>-2.520000000000003</x:v>
      </x:c>
      <x:c r="AQ117" t="n">
        <x: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x:f>
        <x:v>2672.3765444545224</x:v>
      </x:c>
      <x:c r="AR117" t="n">
        <x:f>Scenario_Data!U117</x:f>
        <x:v>-16.80000000000001</x:v>
      </x:c>
      <x:c r="AS117" t="n">
        <x: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x:f>
        <x:v>310.87780289071844</x:v>
      </x:c>
      <x:c r="AT117" t="n">
        <x:f>Scenario_Data!V117</x:f>
        <x:v>-33.60000000000002</x:v>
      </x:c>
      <x:c r="AU117" t="n">
        <x: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x:f>
        <x:v>372.5309517744891</x:v>
      </x:c>
      <x:c r="AV117" t="n">
        <x:f>Scenario_Data!W117</x:f>
        <x:v>-33.60000000000002</x:v>
      </x:c>
      <x:c r="AW117" t="n">
        <x: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x:f>
        <x:v>332.263191455232</x:v>
      </x:c>
    </x:row>
    <x:row r="118">
      <x:c r="A118" t="n">
        <x:f>Chart_Data!K118</x:f>
        <x:v>-2</x:v>
      </x:c>
      <x:c r="B118" t="n">
        <x:f>Chart_Data!N118-Chart_Data!L118</x:f>
        <x:v>58.258002434762375</x:v>
      </x:c>
      <x:c r="D118" t="n">
        <x:f>Chart_Data!G118</x:f>
        <x:v>-2</x:v>
      </x:c>
      <x:c r="E118" t="n">
        <x:f>Chart_Data!H118</x:f>
        <x:v>435.98300826713626</x:v>
      </x:c>
      <x:c r="F118" t="n">
        <x:f>Chart_Data!I118</x:f>
        <x:v>435.98300826713626</x:v>
      </x:c>
      <x:c r="G118" t="n">
        <x:f>Chart_Data!J118</x:f>
        <x:v>-59.60727995622125</x:v>
      </x:c>
      <x:c r="I118" t="n">
        <x:f>Scenario_Data!A118</x:f>
        <x:v>-0.033</x:v>
      </x:c>
      <x:c r="J118" t="n">
        <x:f>Scenario_Data!H118-(((SQRT((Inputs!$C$52+(Inputs!$H$6))^2+Inputs!$C$52^2-2*(Inputs!$C$52+(Inputs!$H$6))*Inputs!$C$52*COS(SQRT((Scenario_Data!T118)^2+Inputs!$C$6^2)/Inputs!$C$52)))-(Inputs!$H$6))*1000/Inputs!$C$12)</x:f>
        <x:v>-0.00479024185108301</x:v>
      </x:c>
      <x:c r="K118" t="n">
        <x:f>Scenario_Data!I118-(((SQRT((Inputs!$C$52+(Inputs!$H$7))^2+Inputs!$C$52^2-2*(Inputs!$C$52+(Inputs!$H$7))*Inputs!$C$52*COS(SQRT((Scenario_Data!U118)^2+Inputs!$C$6^2)/Inputs!$C$52)))-(Inputs!$H$7))*1000/Inputs!$C$12)</x:f>
        <x:v>-48.70715008078969</x:v>
      </x:c>
      <x:c r="L118" t="n">
        <x:f>Scenario_Data!J118-(((SQRT((Inputs!$C$52+(Inputs!$H$8))^2+Inputs!$C$52^2-2*(Inputs!$C$52+(Inputs!$H$8))*Inputs!$C$52*COS(SQRT((Scenario_Data!V118)^2+Inputs!$C$6^2)/Inputs!$C$52)))-(Inputs!$H$8))*1000/Inputs!$C$12)</x:f>
        <x:v>-175.28477054044197</x:v>
      </x:c>
      <x:c r="M118" t="n">
        <x:f>Scenario_Data!K118-(((SQRT((Inputs!$C$52+(Inputs!$H$9))^2+Inputs!$C$52^2-2*(Inputs!$C$52+(Inputs!$H$9))*Inputs!$C$52*COS(SQRT((Scenario_Data!W118)^2+Inputs!$C$6^2)/Inputs!$C$52)))-(Inputs!$H$9))*1000/Inputs!$C$12)</x:f>
        <x:v>-249.93122636938642</x:v>
      </x:c>
      <x:c r="O118" t="n">
        <x:f>Scenario_Data!T118</x:f>
        <x:v>-1.980000000000004</x:v>
      </x:c>
      <x:c r="P118" t="n">
        <x:f>2*(Scenario_Data!B118*1000)/Inputs!$C$21*1000000</x:f>
        <x:v>2668.54182168919</x:v>
      </x:c>
      <x:c r="Q118" t="n">
        <x:f>Scenario_Data!U118</x:f>
        <x:v>-13.199999999999989</x:v>
      </x:c>
      <x:c r="R118" t="n">
        <x:f>2*(Scenario_Data!C118*1000)/Inputs!$C$21*1000000</x:f>
        <x:v>236.14660112630315</x:v>
      </x:c>
      <x:c r="S118" t="n">
        <x:f>Scenario_Data!V118</x:f>
        <x:v>-26.399999999999977</x:v>
      </x:c>
      <x:c r="T118" t="n">
        <x:f>2*(Scenario_Data!D118*1000)/Inputs!$C$21*1000000</x:f>
        <x:v>240.50561672235264</x:v>
      </x:c>
      <x:c r="U118" t="n">
        <x:f>Scenario_Data!W118</x:f>
        <x:v>-26.399999999999977</x:v>
      </x:c>
      <x:c r="V118" t="n">
        <x:f>2*(Scenario_Data!E118*1000)/Inputs!$C$21*1000000</x:f>
        <x:v>173.86544794265637</x:v>
      </x:c>
      <x:c r="X118" t="n">
        <x:f>Scenario_Data!T118</x:f>
        <x:v>-1.980000000000004</x:v>
      </x:c>
      <x:c r="Y118" t="n">
        <x: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x:f>
        <x:v>2668.8599671350553</x:v>
      </x:c>
      <x:c r="Z118" t="n">
        <x:f>Scenario_Data!U118</x:f>
        <x:v>-13.199999999999989</x:v>
      </x:c>
      <x:c r="AA118" t="n">
        <x: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x:f>
        <x:v>236.54055700599343</x:v>
      </x:c>
      <x:c r="AB118" t="n">
        <x:f>Scenario_Data!V118</x:f>
        <x:v>-26.399999999999977</x:v>
      </x:c>
      <x:c r="AC118" t="n">
        <x: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x:f>
        <x:v>241.1070862491305</x:v>
      </x:c>
      <x:c r="AD118" t="n">
        <x:f>Scenario_Data!W118</x:f>
        <x:v>-26.399999999999977</x:v>
      </x:c>
      <x:c r="AE118" t="n">
        <x: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x:f>
        <x:v>174.4669174694342</x:v>
      </x:c>
      <x:c r="AG118" t="n">
        <x:f>Scenario_Data!T118</x:f>
        <x:v>-1.980000000000004</x:v>
      </x:c>
      <x:c r="AH118" t="n">
        <x:f>2*(SQRT((Inputs!$C$52+(Scenario_Data!B118))^2+Inputs!$C$52^2-2*(Inputs!$C$52+(Scenario_Data!B118))*Inputs!$C$52*COS(SQRT((Scenario_Data!T118)^2+Inputs!$C$6^2)/Inputs!$C$52))*1000)/Inputs!$C$21*1000000</x:f>
        <x:v>2675.122229116734</x:v>
      </x:c>
      <x:c r="AI118" t="n">
        <x:f>Scenario_Data!U118</x:f>
        <x:v>-13.199999999999989</x:v>
      </x:c>
      <x:c r="AJ118" t="n">
        <x:f>2*(SQRT((Inputs!$C$52+(Scenario_Data!C118))^2+Inputs!$C$52^2-2*(Inputs!$C$52+(Scenario_Data!C118))*Inputs!$C$52*COS(SQRT((Scenario_Data!U118)^2+Inputs!$C$6^2)/Inputs!$C$52))*1000)/Inputs!$C$21*1000000</x:f>
        <x:v>303.54886988121996</x:v>
      </x:c>
      <x:c r="AK118" t="n">
        <x:f>Scenario_Data!V118</x:f>
        <x:v>-26.399999999999977</x:v>
      </x:c>
      <x:c r="AL118" t="n">
        <x:f>2*(SQRT((Inputs!$C$52+(Scenario_Data!D118))^2+Inputs!$C$52^2-2*(Inputs!$C$52+(Scenario_Data!D118))*Inputs!$C$52*COS(SQRT((Scenario_Data!V118)^2+Inputs!$C$6^2)/Inputs!$C$52))*1000)/Inputs!$C$21*1000000</x:f>
        <x:v>343.5612623013572</x:v>
      </x:c>
      <x:c r="AM118" t="n">
        <x:f>Scenario_Data!W118</x:f>
        <x:v>-26.399999999999977</x:v>
      </x:c>
      <x:c r="AN118" t="n">
        <x:f>2*(SQRT((Inputs!$C$52+(Scenario_Data!E118))^2+Inputs!$C$52^2-2*(Inputs!$C$52+(Scenario_Data!E118))*Inputs!$C$52*COS(SQRT((Scenario_Data!W118)^2+Inputs!$C$6^2)/Inputs!$C$52))*1000)/Inputs!$C$21*1000000</x:f>
        <x:v>300.07341715264386</x:v>
      </x:c>
      <x:c r="AP118" t="n">
        <x:f>Scenario_Data!T118</x:f>
        <x:v>-1.980000000000004</x:v>
      </x:c>
      <x:c r="AQ118" t="n">
        <x: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x:f>
        <x:v>2672.284988766312</x:v>
      </x:c>
      <x:c r="AR118" t="n">
        <x:f>Scenario_Data!U118</x:f>
        <x:v>-13.199999999999989</x:v>
      </x:c>
      <x:c r="AS118" t="n">
        <x: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x:f>
        <x:v>301.3571579191976</x:v>
      </x:c>
      <x:c r="AT118" t="n">
        <x:f>Scenario_Data!V118</x:f>
        <x:v>-26.399999999999977</x:v>
      </x:c>
      <x:c r="AU118" t="n">
        <x: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x:f>
        <x:v>342.2544609165582</x:v>
      </x:c>
      <x:c r="AV118" t="n">
        <x:f>Scenario_Data!W118</x:f>
        <x:v>-26.399999999999977</x:v>
      </x:c>
      <x:c r="AW118" t="n">
        <x: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x:f>
        <x:v>298.9985244554888</x:v>
      </x:c>
    </x:row>
    <x:row r="119">
      <x:c r="A119" t="n">
        <x:f>Chart_Data!K119</x:f>
        <x:v>-1.5</x:v>
      </x:c>
      <x:c r="B119" t="n">
        <x:f>Chart_Data!N119-Chart_Data!L119</x:f>
        <x:v>32.8240715860631</x:v>
      </x:c>
      <x:c r="D119" t="n">
        <x:f>Chart_Data!G119</x:f>
        <x:v>-1.5</x:v>
      </x:c>
      <x:c r="E119" t="n">
        <x:f>Chart_Data!H119</x:f>
        <x:v>431.10580672292525</x:v>
      </x:c>
      <x:c r="F119" t="n">
        <x:f>Chart_Data!I119</x:f>
        <x:v>431.10580672292525</x:v>
      </x:c>
      <x:c r="G119" t="n">
        <x:f>Chart_Data!J119</x:f>
        <x:v>-34.15455011761312</x:v>
      </x:c>
      <x:c r="I119" t="n">
        <x:f>Scenario_Data!A119</x:f>
        <x:v>-0.025</x:v>
      </x:c>
      <x:c r="J119" t="n">
        <x:f>Scenario_Data!H119-(((SQRT((Inputs!$C$52+(Inputs!$H$6))^2+Inputs!$C$52^2-2*(Inputs!$C$52+(Inputs!$H$6))*Inputs!$C$52*COS(SQRT((Scenario_Data!T119)^2+Inputs!$C$6^2)/Inputs!$C$52)))-(Inputs!$H$6))*1000/Inputs!$C$12)</x:f>
        <x:v>-0.0027419606900593863</x:v>
      </x:c>
      <x:c r="K119" t="n">
        <x:f>Scenario_Data!I119-(((SQRT((Inputs!$C$52+(Inputs!$H$7))^2+Inputs!$C$52^2-2*(Inputs!$C$52+(Inputs!$H$7))*Inputs!$C$52*COS(SQRT((Scenario_Data!U119)^2+Inputs!$C$6^2)/Inputs!$C$52)))-(Inputs!$H$7))*1000/Inputs!$C$12)</x:f>
        <x:v>-26.20922916708696</x:v>
      </x:c>
      <x:c r="L119" t="n">
        <x:f>Scenario_Data!J119-(((SQRT((Inputs!$C$52+(Inputs!$H$8))^2+Inputs!$C$52^2-2*(Inputs!$C$52+(Inputs!$H$8))*Inputs!$C$52*COS(SQRT((Scenario_Data!V119)^2+Inputs!$C$6^2)/Inputs!$C$52)))-(Inputs!$H$8))*1000/Inputs!$C$12)</x:f>
        <x:v>-86.79473246431189</x:v>
      </x:c>
      <x:c r="M119" t="n">
        <x:f>Scenario_Data!K119-(((SQRT((Inputs!$C$52+(Inputs!$H$9))^2+Inputs!$C$52^2-2*(Inputs!$C$52+(Inputs!$H$9))*Inputs!$C$52*COS(SQRT((Scenario_Data!W119)^2+Inputs!$C$6^2)/Inputs!$C$52)))-(Inputs!$H$9))*1000/Inputs!$C$12)</x:f>
        <x:v>-128.3739092290234</x:v>
      </x:c>
      <x:c r="O119" t="n">
        <x:f>Scenario_Data!T119</x:f>
        <x:v>-1.5</x:v>
      </x:c>
      <x:c r="P119" t="n">
        <x:f>2*(Scenario_Data!B119*1000)/Inputs!$C$21*1000000</x:f>
        <x:v>2668.5294397899765</x:v>
      </x:c>
      <x:c r="Q119" t="n">
        <x:f>Scenario_Data!U119</x:f>
        <x:v>-10</x:v>
      </x:c>
      <x:c r="R119" t="n">
        <x:f>2*(Scenario_Data!C119*1000)/Inputs!$C$21*1000000</x:f>
        <x:v>235.01675282304802</x:v>
      </x:c>
      <x:c r="S119" t="n">
        <x:f>Scenario_Data!V119</x:f>
        <x:v>-20</x:v>
      </x:c>
      <x:c r="T119" t="n">
        <x:f>2*(Scenario_Data!D119*1000)/Inputs!$C$21*1000000</x:f>
        <x:v>237.51848353703414</x:v>
      </x:c>
      <x:c r="U119" t="n">
        <x:f>Scenario_Data!W119</x:f>
        <x:v>-20</x:v>
      </x:c>
      <x:c r="V119" t="n">
        <x:f>2*(Scenario_Data!E119*1000)/Inputs!$C$21*1000000</x:f>
        <x:v>170.8473600093035</x:v>
      </x:c>
      <x:c r="X119" t="n">
        <x:f>Scenario_Data!T119</x:f>
        <x:v>-1.5</x:v>
      </x:c>
      <x:c r="Y119" t="n">
        <x: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x:f>
        <x:v>2668.757294422114</x:v>
      </x:c>
      <x:c r="Z119" t="n">
        <x:f>Scenario_Data!U119</x:f>
        <x:v>-10</x:v>
      </x:c>
      <x:c r="AA119" t="n">
        <x: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x:f>
        <x:v>235.34646846600202</x:v>
      </x:c>
      <x:c r="AB119" t="n">
        <x:f>Scenario_Data!V119</x:f>
        <x:v>-20</x:v>
      </x:c>
      <x:c r="AC119" t="n">
        <x: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x:f>
        <x:v>238.49468035564297</x:v>
      </x:c>
      <x:c r="AD119" t="n">
        <x:f>Scenario_Data!W119</x:f>
        <x:v>-20</x:v>
      </x:c>
      <x:c r="AE119" t="n">
        <x: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x:f>
        <x:v>171.82355682791237</x:v>
      </x:c>
      <x:c r="AG119" t="n">
        <x:f>Scenario_Data!T119</x:f>
        <x:v>-1.5</x:v>
      </x:c>
      <x:c r="AH119" t="n">
        <x:f>2*(SQRT((Inputs!$C$52+(Scenario_Data!B119))^2+Inputs!$C$52^2-2*(Inputs!$C$52+(Scenario_Data!B119))*Inputs!$C$52*COS(SQRT((Scenario_Data!T119)^2+Inputs!$C$6^2)/Inputs!$C$52))*1000)/Inputs!$C$21*1000000</x:f>
        <x:v>2675.092415773223</x:v>
      </x:c>
      <x:c r="AI119" t="n">
        <x:f>Scenario_Data!U119</x:f>
        <x:v>-10</x:v>
      </x:c>
      <x:c r="AJ119" t="n">
        <x:f>2*(SQRT((Inputs!$C$52+(Scenario_Data!C119))^2+Inputs!$C$52^2-2*(Inputs!$C$52+(Scenario_Data!C119))*Inputs!$C$52*COS(SQRT((Scenario_Data!U119)^2+Inputs!$C$6^2)/Inputs!$C$52))*1000)/Inputs!$C$21*1000000</x:f>
        <x:v>297.0306183683265</x:v>
      </x:c>
      <x:c r="AK119" t="n">
        <x:f>Scenario_Data!V119</x:f>
        <x:v>-20</x:v>
      </x:c>
      <x:c r="AL119" t="n">
        <x:f>2*(SQRT((Inputs!$C$52+(Scenario_Data!D119))^2+Inputs!$C$52^2-2*(Inputs!$C$52+(Scenario_Data!D119))*Inputs!$C$52*COS(SQRT((Scenario_Data!V119)^2+Inputs!$C$6^2)/Inputs!$C$52))*1000)/Inputs!$C$21*1000000</x:f>
        <x:v>321.0492876738631</x:v>
      </x:c>
      <x:c r="AM119" t="n">
        <x:f>Scenario_Data!W119</x:f>
        <x:v>-20</x:v>
      </x:c>
      <x:c r="AN119" t="n">
        <x:f>2*(SQRT((Inputs!$C$52+(Scenario_Data!E119))^2+Inputs!$C$52^2-2*(Inputs!$C$52+(Scenario_Data!E119))*Inputs!$C$52*COS(SQRT((Scenario_Data!W119)^2+Inputs!$C$6^2)/Inputs!$C$52))*1000)/Inputs!$C$21*1000000</x:f>
        <x:v>274.8715173653501</x:v>
      </x:c>
      <x:c r="AP119" t="n">
        <x:f>Scenario_Data!T119</x:f>
        <x:v>-1.5</x:v>
      </x:c>
      <x:c r="AQ119" t="n">
        <x: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x:f>
        <x:v>2672.22526340349</x:v>
      </x:c>
      <x:c r="AR119" t="n">
        <x:f>Scenario_Data!U119</x:f>
        <x:v>-10</x:v>
      </x:c>
      <x:c r="AS119" t="n">
        <x: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x:f>
        <x:v>294.56495100596084</x:v>
      </x:c>
      <x:c r="AT119" t="n">
        <x:f>Scenario_Data!V119</x:f>
        <x:v>-20</x:v>
      </x:c>
      <x:c r="AU119" t="n">
        <x: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x:f>
        <x:v>319.39972411695146</x:v>
      </x:c>
      <x:c r="AV119" t="n">
        <x:f>Scenario_Data!W119</x:f>
        <x:v>-20</x:v>
      </x:c>
      <x:c r="AW119" t="n">
        <x: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x:f>
        <x:v>273.4933998987209</x:v>
      </x:c>
    </x:row>
    <x:row r="120">
      <x:c r="A120" t="n">
        <x:f>Chart_Data!K120</x:f>
        <x:v>-1</x:v>
      </x:c>
      <x:c r="B120" t="n">
        <x:f>Chart_Data!N120-Chart_Data!L120</x:f>
        <x:v>36.90745807012206</x:v>
      </x:c>
      <x:c r="D120" t="n">
        <x:f>Chart_Data!G120</x:f>
        <x:v>-1</x:v>
      </x:c>
      <x:c r="E120" t="n">
        <x:f>Chart_Data!H120</x:f>
        <x:v>440.9944102420088</x:v>
      </x:c>
      <x:c r="F120" t="n">
        <x:f>Chart_Data!I120</x:f>
        <x:v>440.9944102420088</x:v>
      </x:c>
      <x:c r="G120" t="n">
        <x:f>Chart_Data!J120</x:f>
        <x:v>-38.26579288799343</x:v>
      </x:c>
      <x:c r="I120" t="n">
        <x:f>Scenario_Data!A120</x:f>
        <x:v>-0.017</x:v>
      </x:c>
      <x:c r="J120" t="n">
        <x:f>Scenario_Data!H120-(((SQRT((Inputs!$C$52+(Inputs!$H$6))^2+Inputs!$C$52^2-2*(Inputs!$C$52+(Inputs!$H$6))*Inputs!$C$52*COS(SQRT((Scenario_Data!T120)^2+Inputs!$C$6^2)/Inputs!$C$52)))-(Inputs!$H$6))*1000/Inputs!$C$12)</x:f>
        <x:v>-0.0012654526615278883</x:v>
      </x:c>
      <x:c r="K120" t="n">
        <x:f>Scenario_Data!I120-(((SQRT((Inputs!$C$52+(Inputs!$H$7))^2+Inputs!$C$52^2-2*(Inputs!$C$52+(Inputs!$H$7))*Inputs!$C$52*COS(SQRT((Scenario_Data!U120)^2+Inputs!$C$6^2)/Inputs!$C$52)))-(Inputs!$H$7))*1000/Inputs!$C$12)</x:f>
        <x:v>-11.501173772391667</x:v>
      </x:c>
      <x:c r="L120" t="n">
        <x:f>Scenario_Data!J120-(((SQRT((Inputs!$C$52+(Inputs!$H$8))^2+Inputs!$C$52^2-2*(Inputs!$C$52+(Inputs!$H$8))*Inputs!$C$52*COS(SQRT((Scenario_Data!V120)^2+Inputs!$C$6^2)/Inputs!$C$52)))-(Inputs!$H$8))*1000/Inputs!$C$12)</x:f>
        <x:v>-34.56744155919023</x:v>
      </x:c>
      <x:c r="M120" t="n">
        <x:f>Scenario_Data!K120-(((SQRT((Inputs!$C$52+(Inputs!$H$9))^2+Inputs!$C$52^2-2*(Inputs!$C$52+(Inputs!$H$9))*Inputs!$C$52*COS(SQRT((Scenario_Data!W120)^2+Inputs!$C$6^2)/Inputs!$C$52)))-(Inputs!$H$9))*1000/Inputs!$C$12)</x:f>
        <x:v>-52.890554438504296</x:v>
      </x:c>
      <x:c r="O120" t="n">
        <x:f>Scenario_Data!T120</x:f>
        <x:v>-1.0200000000000031</x:v>
      </x:c>
      <x:c r="P120" t="n">
        <x:f>2*(Scenario_Data!B120*1000)/Inputs!$C$21*1000000</x:f>
        <x:v>2668.520473587097</x:v>
      </x:c>
      <x:c r="Q120" t="n">
        <x:f>Scenario_Data!U120</x:f>
        <x:v>-6.800000000000011</x:v>
      </x:c>
      <x:c r="R120" t="n">
        <x:f>2*(Scenario_Data!C120*1000)/Inputs!$C$21*1000000</x:f>
        <x:v>234.19858681034597</x:v>
      </x:c>
      <x:c r="S120" t="n">
        <x:f>Scenario_Data!V120</x:f>
        <x:v>-13.600000000000023</x:v>
      </x:c>
      <x:c r="T120" t="n">
        <x:f>2*(Scenario_Data!D120*1000)/Inputs!$C$21*1000000</x:f>
        <x:v>235.35538709249317</x:v>
      </x:c>
      <x:c r="U120" t="n">
        <x:f>Scenario_Data!W120</x:f>
        <x:v>-13.600000000000023</x:v>
      </x:c>
      <x:c r="V120" t="n">
        <x:f>2*(Scenario_Data!E120*1000)/Inputs!$C$21*1000000</x:f>
        <x:v>168.6618480575652</x:v>
      </x:c>
      <x:c r="X120" t="n">
        <x:f>Scenario_Data!T120</x:f>
        <x:v>-1.0200000000000031</x:v>
      </x:c>
      <x:c r="Y120" t="n">
        <x: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x:f>
        <x:v>2668.624622707822</x:v>
      </x:c>
      <x:c r="Z120" t="n">
        <x:f>Scenario_Data!U120</x:f>
        <x:v>-6.800000000000011</x:v>
      </x:c>
      <x:c r="AA120" t="n">
        <x: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x:f>
        <x:v>234.6431742328078</x:v>
      </x:c>
      <x:c r="AB120" t="n">
        <x:f>Scenario_Data!V120</x:f>
        <x:v>-13.600000000000023</x:v>
      </x:c>
      <x:c r="AC120" t="n">
        <x: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x:f>
        <x:v>235.9173120128643</x:v>
      </x:c>
      <x:c r="AD120" t="n">
        <x:f>Scenario_Data!W120</x:f>
        <x:v>-13.600000000000023</x:v>
      </x:c>
      <x:c r="AE120" t="n">
        <x: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x:f>
        <x:v>169.22377297793633</x:v>
      </x:c>
      <x:c r="AG120" t="n">
        <x:f>Scenario_Data!T120</x:f>
        <x:v>-1.0200000000000031</x:v>
      </x:c>
      <x:c r="AH120" t="n">
        <x:f>2*(SQRT((Inputs!$C$52+(Scenario_Data!B120))^2+Inputs!$C$52^2-2*(Inputs!$C$52+(Scenario_Data!B120))*Inputs!$C$52*COS(SQRT((Scenario_Data!T120)^2+Inputs!$C$6^2)/Inputs!$C$52))*1000)/Inputs!$C$21*1000000</x:f>
        <x:v>2675.0708266480583</x:v>
      </x:c>
      <x:c r="AI120" t="n">
        <x:f>Scenario_Data!U120</x:f>
        <x:v>-6.800000000000011</x:v>
      </x:c>
      <x:c r="AJ120" t="n">
        <x:f>2*(SQRT((Inputs!$C$52+(Scenario_Data!C120))^2+Inputs!$C$52^2-2*(Inputs!$C$52+(Scenario_Data!C120))*Inputs!$C$52*COS(SQRT((Scenario_Data!U120)^2+Inputs!$C$6^2)/Inputs!$C$52))*1000)/Inputs!$C$21*1000000</x:f>
        <x:v>292.2232293769202</x:v>
      </x:c>
      <x:c r="AK120" t="n">
        <x:f>Scenario_Data!V120</x:f>
        <x:v>-13.600000000000023</x:v>
      </x:c>
      <x:c r="AL120" t="n">
        <x:f>2*(SQRT((Inputs!$C$52+(Scenario_Data!D120))^2+Inputs!$C$52^2-2*(Inputs!$C$52+(Scenario_Data!D120))*Inputs!$C$52*COS(SQRT((Scenario_Data!V120)^2+Inputs!$C$6^2)/Inputs!$C$52))*1000)/Inputs!$C$21*1000000</x:f>
        <x:v>303.73346224026676</x:v>
      </x:c>
      <x:c r="AM120" t="n">
        <x:f>Scenario_Data!W120</x:f>
        <x:v>-13.600000000000023</x:v>
      </x:c>
      <x:c r="AN120" t="n">
        <x:f>2*(SQRT((Inputs!$C$52+(Scenario_Data!E120))^2+Inputs!$C$52^2-2*(Inputs!$C$52+(Scenario_Data!E120))*Inputs!$C$52*COS(SQRT((Scenario_Data!W120)^2+Inputs!$C$6^2)/Inputs!$C$52))*1000)/Inputs!$C$21*1000000</x:f>
        <x:v>255.10349072494134</x:v>
      </x:c>
      <x:c r="AP120" t="n">
        <x:f>Scenario_Data!T120</x:f>
        <x:v>-1.0200000000000031</x:v>
      </x:c>
      <x:c r="AQ120" t="n">
        <x: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x:f>
        <x:v>2672.0265961152877</x:v>
      </x:c>
      <x:c r="AR120" t="n">
        <x:f>Scenario_Data!U120</x:f>
        <x:v>-6.800000000000011</x:v>
      </x:c>
      <x:c r="AS120" t="n">
        <x: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x:f>
        <x:v>289.8283648752175</x:v>
      </x:c>
      <x:c r="AT120" t="n">
        <x:f>Scenario_Data!V120</x:f>
        <x:v>-13.600000000000023</x:v>
      </x:c>
      <x:c r="AU120" t="n">
        <x: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x:f>
        <x:v>301.59997247160845</x:v>
      </x:c>
      <x:c r="AV120" t="n">
        <x:f>Scenario_Data!W120</x:f>
        <x:v>-13.600000000000023</x:v>
      </x:c>
      <x:c r="AW120" t="n">
        <x: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x:f>
        <x:v>253.29273098341292</x:v>
      </x:c>
    </x:row>
    <x:row r="121">
      <x:c r="A121" t="n">
        <x:f>Chart_Data!K121</x:f>
        <x:v>-0.5</x:v>
      </x:c>
      <x:c r="B121" t="n">
        <x:f>Chart_Data!N121-Chart_Data!L121</x:f>
        <x:v>14.490732066080454</x:v>
      </x:c>
      <x:c r="D121" t="n">
        <x:f>Chart_Data!G121</x:f>
        <x:v>-0.5</x:v>
      </x:c>
      <x:c r="E121" t="n">
        <x:f>Chart_Data!H121</x:f>
        <x:v>474.23278667183286</x:v>
      </x:c>
      <x:c r="F121" t="n">
        <x:f>Chart_Data!I121</x:f>
        <x:v>474.23278667183286</x:v>
      </x:c>
      <x:c r="G121" t="n">
        <x:f>Chart_Data!J121</x:f>
        <x:v>-15.949828195457984</x:v>
      </x:c>
      <x:c r="I121" t="n">
        <x:f>Scenario_Data!A121</x:f>
        <x:v>-0.008</x:v>
      </x:c>
      <x:c r="J121" t="n">
        <x:f>Scenario_Data!H121-(((SQRT((Inputs!$C$52+(Inputs!$H$6))^2+Inputs!$C$52^2-2*(Inputs!$C$52+(Inputs!$H$6))*Inputs!$C$52*COS(SQRT((Scenario_Data!T121)^2+Inputs!$C$6^2)/Inputs!$C$52)))-(Inputs!$H$6))*1000/Inputs!$C$12)</x:f>
        <x:v>-0.0002798786321136504</x:v>
      </x:c>
      <x:c r="K121" t="n">
        <x:f>Scenario_Data!I121-(((SQRT((Inputs!$C$52+(Inputs!$H$7))^2+Inputs!$C$52^2-2*(Inputs!$C$52+(Inputs!$H$7))*Inputs!$C$52*COS(SQRT((Scenario_Data!U121)^2+Inputs!$C$6^2)/Inputs!$C$52)))-(Inputs!$H$7))*1000/Inputs!$C$12)</x:f>
        <x:v>-2.4515400940208565</x:v>
      </x:c>
      <x:c r="L121" t="n">
        <x:f>Scenario_Data!J121-(((SQRT((Inputs!$C$52+(Inputs!$H$8))^2+Inputs!$C$52^2-2*(Inputs!$C$52+(Inputs!$H$8))*Inputs!$C$52*COS(SQRT((Scenario_Data!V121)^2+Inputs!$C$6^2)/Inputs!$C$52)))-(Inputs!$H$8))*1000/Inputs!$C$12)</x:f>
        <x:v>-6.7016754171791035</x:v>
      </x:c>
      <x:c r="M121" t="n">
        <x:f>Scenario_Data!K121-(((SQRT((Inputs!$C$52+(Inputs!$H$9))^2+Inputs!$C$52^2-2*(Inputs!$C$52+(Inputs!$H$9))*Inputs!$C$52*COS(SQRT((Scenario_Data!W121)^2+Inputs!$C$6^2)/Inputs!$C$52)))-(Inputs!$H$9))*1000/Inputs!$C$12)</x:f>
        <x:v>-10.54136055730396</x:v>
      </x:c>
      <x:c r="O121" t="n">
        <x:f>Scenario_Data!T121</x:f>
        <x:v>-0.480000000000004</x:v>
      </x:c>
      <x:c r="P121" t="n">
        <x:f>2*(Scenario_Data!B121*1000)/Inputs!$C$21*1000000</x:f>
        <x:v>2668.514469433384</x:v>
      </x:c>
      <x:c r="Q121" t="n">
        <x:f>Scenario_Data!U121</x:f>
        <x:v>-3.1999999999999886</x:v>
      </x:c>
      <x:c r="R121" t="n">
        <x:f>2*(Scenario_Data!C121*1000)/Inputs!$C$21*1000000</x:f>
        <x:v>233.65070778398297</x:v>
      </x:c>
      <x:c r="S121" t="n">
        <x:f>Scenario_Data!V121</x:f>
        <x:v>-6.399999999999977</x:v>
      </x:c>
      <x:c r="T121" t="n">
        <x:f>2*(Scenario_Data!D121*1000)/Inputs!$C$21*1000000</x:f>
        <x:v>233.9068850090952</x:v>
      </x:c>
      <x:c r="U121" t="n">
        <x:f>Scenario_Data!W121</x:f>
        <x:v>-6.399999999999977</x:v>
      </x:c>
      <x:c r="V121" t="n">
        <x:f>2*(Scenario_Data!E121*1000)/Inputs!$C$21*1000000</x:f>
        <x:v>167.19833558988333</x:v>
      </x:c>
      <x:c r="X121" t="n">
        <x:f>Scenario_Data!T121</x:f>
        <x:v>-0.480000000000004</x:v>
      </x:c>
      <x:c r="Y121" t="n">
        <x: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x:f>
        <x:v>2668.6746994182126</x:v>
      </x:c>
      <x:c r="Z121" t="n">
        <x:f>Scenario_Data!U121</x:f>
        <x:v>-3.1999999999999886</x:v>
      </x:c>
      <x:c r="AA121" t="n">
        <x: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x:f>
        <x:v>234.10344532166638</x:v>
      </x:c>
      <x:c r="AB121" t="n">
        <x:f>Scenario_Data!V121</x:f>
        <x:v>-6.399999999999977</x:v>
      </x:c>
      <x:c r="AC121" t="n">
        <x: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x:f>
        <x:v>234.34957585937047</x:v>
      </x:c>
      <x:c r="AD121" t="n">
        <x:f>Scenario_Data!W121</x:f>
        <x:v>-6.399999999999977</x:v>
      </x:c>
      <x:c r="AE121" t="n">
        <x: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x:f>
        <x:v>167.6410264401586</x:v>
      </x:c>
      <x:c r="AG121" t="n">
        <x:f>Scenario_Data!T121</x:f>
        <x:v>-0.480000000000004</x:v>
      </x:c>
      <x:c r="AH121" t="n">
        <x:f>2*(SQRT((Inputs!$C$52+(Scenario_Data!B121))^2+Inputs!$C$52^2-2*(Inputs!$C$52+(Scenario_Data!B121))*Inputs!$C$52*COS(SQRT((Scenario_Data!T121)^2+Inputs!$C$6^2)/Inputs!$C$52))*1000)/Inputs!$C$21*1000000</x:f>
        <x:v>2675.0563695731153</x:v>
      </x:c>
      <x:c r="AI121" t="n">
        <x:f>Scenario_Data!U121</x:f>
        <x:v>-3.1999999999999886</x:v>
      </x:c>
      <x:c r="AJ121" t="n">
        <x:f>2*(SQRT((Inputs!$C$52+(Scenario_Data!C121))^2+Inputs!$C$52^2-2*(Inputs!$C$52+(Scenario_Data!C121))*Inputs!$C$52*COS(SQRT((Scenario_Data!U121)^2+Inputs!$C$6^2)/Inputs!$C$52))*1000)/Inputs!$C$21*1000000</x:f>
        <x:v>288.96093772220826</x:v>
      </x:c>
      <x:c r="AK121" t="n">
        <x:f>Scenario_Data!V121</x:f>
        <x:v>-6.399999999999977</x:v>
      </x:c>
      <x:c r="AL121" t="n">
        <x:f>2*(SQRT((Inputs!$C$52+(Scenario_Data!D121))^2+Inputs!$C$52^2-2*(Inputs!$C$52+(Scenario_Data!D121))*Inputs!$C$52*COS(SQRT((Scenario_Data!V121)^2+Inputs!$C$6^2)/Inputs!$C$52))*1000)/Inputs!$C$21*1000000</x:f>
        <x:v>291.57635730626026</x:v>
      </x:c>
      <x:c r="AM121" t="n">
        <x:f>Scenario_Data!W121</x:f>
        <x:v>-6.399999999999977</x:v>
      </x:c>
      <x:c r="AN121" t="n">
        <x:f>2*(SQRT((Inputs!$C$52+(Scenario_Data!E121))^2+Inputs!$C$52^2-2*(Inputs!$C$52+(Scenario_Data!E121))*Inputs!$C$52*COS(SQRT((Scenario_Data!W121)^2+Inputs!$C$6^2)/Inputs!$C$52))*1000)/Inputs!$C$21*1000000</x:f>
        <x:v>240.97664531965657</x:v>
      </x:c>
      <x:c r="AP121" t="n">
        <x:f>Scenario_Data!T121</x:f>
        <x:v>-0.480000000000004</x:v>
      </x:c>
      <x:c r="AQ121" t="n">
        <x: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x:f>
        <x:v>2671.9704462755117</x:v>
      </x:c>
      <x:c r="AR121" t="n">
        <x:f>Scenario_Data!U121</x:f>
        <x:v>-3.1999999999999886</x:v>
      </x:c>
      <x:c r="AS121" t="n">
        <x: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x:f>
        <x:v>286.6768082586119</x:v>
      </x:c>
      <x:c r="AT121" t="n">
        <x:f>Scenario_Data!V121</x:f>
        <x:v>-6.399999999999977</x:v>
      </x:c>
      <x:c r="AU121" t="n">
        <x: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x:f>
        <x:v>289.2412791527174</x:v>
      </x:c>
      <x:c r="AV121" t="n">
        <x:f>Scenario_Data!W121</x:f>
        <x:v>-6.399999999999977</x:v>
      </x:c>
      <x:c r="AW121" t="n">
        <x: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x:f>
        <x:v>238.96678499620614</x:v>
      </x:c>
    </x:row>
    <x:row r="122">
      <x:c r="A122" t="n">
        <x:f>Chart_Data!K122</x:f>
        <x:v>0</x:v>
      </x:c>
      <x:c r="B122" t="n">
        <x:f>Chart_Data!N122-Chart_Data!L122</x:f>
        <x:v>3.4704730016699727</x:v>
      </x:c>
      <x:c r="D122" t="n">
        <x:f>Chart_Data!G122</x:f>
        <x:v>0</x:v>
      </x:c>
      <x:c r="E122" t="n">
        <x:f>Chart_Data!H122</x:f>
        <x:v>480.44802858922253</x:v>
      </x:c>
      <x:c r="F122" t="n">
        <x:f>Chart_Data!I122</x:f>
        <x:v>480.44802858922253</x:v>
      </x:c>
      <x:c r="G122" t="n">
        <x:f>Chart_Data!J122</x:f>
        <x:v>-4.948127387128106</x:v>
      </x:c>
      <x:c r="I122" t="n">
        <x:f>Scenario_Data!A122</x:f>
        <x:v>0</x:v>
      </x:c>
      <x:c r="J122" t="n">
        <x:f>Scenario_Data!H122-(((SQRT((Inputs!$C$52+(Inputs!$H$6))^2+Inputs!$C$52^2-2*(Inputs!$C$52+(Inputs!$H$6))*Inputs!$C$52*COS(SQRT((Scenario_Data!T122)^2+Inputs!$C$6^2)/Inputs!$C$52)))-(Inputs!$H$6))*1000/Inputs!$C$12)</x:f>
        <x:v>0</x:v>
      </x:c>
      <x:c r="K122" t="n">
        <x:f>Scenario_Data!I122-(((SQRT((Inputs!$C$52+(Inputs!$H$7))^2+Inputs!$C$52^2-2*(Inputs!$C$52+(Inputs!$H$7))*Inputs!$C$52*COS(SQRT((Scenario_Data!U122)^2+Inputs!$C$6^2)/Inputs!$C$52)))-(Inputs!$H$7))*1000/Inputs!$C$12)</x:f>
        <x:v>0</x:v>
      </x:c>
      <x:c r="L122" t="n">
        <x:f>Scenario_Data!J122-(((SQRT((Inputs!$C$52+(Inputs!$H$8))^2+Inputs!$C$52^2-2*(Inputs!$C$52+(Inputs!$H$8))*Inputs!$C$52*COS(SQRT((Scenario_Data!V122)^2+Inputs!$C$6^2)/Inputs!$C$52)))-(Inputs!$H$8))*1000/Inputs!$C$12)</x:f>
        <x:v>0</x:v>
      </x:c>
      <x:c r="M122" t="n">
        <x:f>Scenario_Data!K122-(((SQRT((Inputs!$C$52+(Inputs!$H$9))^2+Inputs!$C$52^2-2*(Inputs!$C$52+(Inputs!$H$9))*Inputs!$C$52*COS(SQRT((Scenario_Data!W122)^2+Inputs!$C$6^2)/Inputs!$C$52)))-(Inputs!$H$9))*1000/Inputs!$C$12)</x:f>
        <x:v>0</x:v>
      </x:c>
      <x:c r="O122" t="n">
        <x:f>Scenario_Data!T122</x:f>
        <x:v>0</x:v>
      </x:c>
      <x:c r="P122" t="n">
        <x:f>2*(Scenario_Data!B122*1000)/Inputs!$C$21*1000000</x:f>
        <x:v>2668.5127615852166</x:v>
      </x:c>
      <x:c r="Q122" t="n">
        <x:f>Scenario_Data!U122</x:f>
        <x:v>0</x:v>
      </x:c>
      <x:c r="R122" t="n">
        <x:f>2*(Scenario_Data!C122*1000)/Inputs!$C$21*1000000</x:f>
        <x:v>233.49486663870644</x:v>
      </x:c>
      <x:c r="S122" t="n">
        <x:f>Scenario_Data!V122</x:f>
        <x:v>0</x:v>
      </x:c>
      <x:c r="T122" t="n">
        <x:f>2*(Scenario_Data!D122*1000)/Inputs!$C$21*1000000</x:f>
        <x:v>233.49486663870644</x:v>
      </x:c>
      <x:c r="U122" t="n">
        <x:f>Scenario_Data!W122</x:f>
        <x:v>0</x:v>
      </x:c>
      <x:c r="V122" t="n">
        <x:f>2*(Scenario_Data!E122*1000)/Inputs!$C$21*1000000</x:f>
        <x:v>166.78204759907604</x:v>
      </x:c>
      <x:c r="X122" t="n">
        <x:f>Scenario_Data!T122</x:f>
        <x:v>0</x:v>
      </x:c>
      <x:c r="Y122" t="n">
        <x: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x:f>
        <x:v>2668.545771937913</x:v>
      </x:c>
      <x:c r="Z122" t="n">
        <x:f>Scenario_Data!U122</x:f>
        <x:v>0</x:v>
      </x:c>
      <x:c r="AA122" t="n">
        <x: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x:f>
        <x:v>233.52787699140268</x:v>
      </x:c>
      <x:c r="AB122" t="n">
        <x:f>Scenario_Data!V122</x:f>
        <x:v>0</x:v>
      </x:c>
      <x:c r="AC122" t="n">
        <x: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x:f>
        <x:v>233.52787699140268</x:v>
      </x:c>
      <x:c r="AD122" t="n">
        <x:f>Scenario_Data!W122</x:f>
        <x:v>0</x:v>
      </x:c>
      <x:c r="AE122" t="n">
        <x: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x:f>
        <x:v>166.81505795177227</x:v>
      </x:c>
      <x:c r="AG122" t="n">
        <x:f>Scenario_Data!T122</x:f>
        <x:v>0</x:v>
      </x:c>
      <x:c r="AH122" t="n">
        <x:f>2*(SQRT((Inputs!$C$52+(Scenario_Data!B122))^2+Inputs!$C$52^2-2*(Inputs!$C$52+(Scenario_Data!B122))*Inputs!$C$52*COS(SQRT((Scenario_Data!T122)^2+Inputs!$C$6^2)/Inputs!$C$52))*1000)/Inputs!$C$21*1000000</x:f>
        <x:v>2675.0522573279914</x:v>
      </x:c>
      <x:c r="AI122" t="n">
        <x:f>Scenario_Data!U122</x:f>
        <x:v>0</x:v>
      </x:c>
      <x:c r="AJ122" t="n">
        <x:f>2*(SQRT((Inputs!$C$52+(Scenario_Data!C122))^2+Inputs!$C$52^2-2*(Inputs!$C$52+(Scenario_Data!C122))*Inputs!$C$52*COS(SQRT((Scenario_Data!U122)^2+Inputs!$C$6^2)/Inputs!$C$52))*1000)/Inputs!$C$21*1000000</x:f>
        <x:v>288.0264897465142</x:v>
      </x:c>
      <x:c r="AK122" t="n">
        <x:f>Scenario_Data!V122</x:f>
        <x:v>0</x:v>
      </x:c>
      <x:c r="AL122" t="n">
        <x:f>2*(SQRT((Inputs!$C$52+(Scenario_Data!D122))^2+Inputs!$C$52^2-2*(Inputs!$C$52+(Scenario_Data!D122))*Inputs!$C$52*COS(SQRT((Scenario_Data!V122)^2+Inputs!$C$6^2)/Inputs!$C$52))*1000)/Inputs!$C$21*1000000</x:f>
        <x:v>288.0264897465142</x:v>
      </x:c>
      <x:c r="AM122" t="n">
        <x:f>Scenario_Data!W122</x:f>
        <x:v>0</x:v>
      </x:c>
      <x:c r="AN122" t="n">
        <x:f>2*(SQRT((Inputs!$C$52+(Scenario_Data!E122))^2+Inputs!$C$52^2-2*(Inputs!$C$52+(Scenario_Data!E122))*Inputs!$C$52*COS(SQRT((Scenario_Data!W122)^2+Inputs!$C$6^2)/Inputs!$C$52))*1000)/Inputs!$C$21*1000000</x:f>
        <x:v>236.80676373491008</x:v>
      </x:c>
      <x:c r="AP122" t="n">
        <x:f>Scenario_Data!T122</x:f>
        <x:v>0</x:v>
      </x:c>
      <x:c r="AQ122" t="n">
        <x: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x:f>
        <x:v>2671.8569109380314</x:v>
      </x:c>
      <x:c r="AR122" t="n">
        <x:f>Scenario_Data!U122</x:f>
        <x:v>0</x:v>
      </x:c>
      <x:c r="AS122" t="n">
        <x: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x:f>
        <x:v>285.44962589236945</x:v>
      </x:c>
      <x:c r="AT122" t="n">
        <x:f>Scenario_Data!V122</x:f>
        <x:v>0</x:v>
      </x:c>
      <x:c r="AU122" t="n">
        <x: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x:f>
        <x:v>285.44962589236945</x:v>
      </x:c>
      <x:c r="AV122" t="n">
        <x:f>Scenario_Data!W122</x:f>
        <x:v>0</x:v>
      </x:c>
      <x:c r="AW122" t="n">
        <x: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x:f>
        <x:v>234.57893136334926</x:v>
      </x:c>
    </x:row>
    <x:row r="123">
      <x:c r="A123" t="n">
        <x:f>Chart_Data!K123</x:f>
        <x:v>0.5</x:v>
      </x:c>
      <x:c r="B123" t="n">
        <x:f>Chart_Data!N123-Chart_Data!L123</x:f>
        <x:v>-3.744887298194101</x:v>
      </x:c>
      <x:c r="D123" t="n">
        <x:f>Chart_Data!G123</x:f>
        <x:v>0.5</x:v>
      </x:c>
      <x:c r="E123" t="n">
        <x:f>Chart_Data!H123</x:f>
        <x:v>482.7451811280071</x:v>
      </x:c>
      <x:c r="F123" t="n">
        <x:f>Chart_Data!I123</x:f>
        <x:v>482.7451811280071</x:v>
      </x:c>
      <x:c r="G123" t="n">
        <x:f>Chart_Data!J123</x:f>
        <x:v>2.259569132321303</x:v>
      </x:c>
      <x:c r="I123" t="n">
        <x:f>Scenario_Data!A123</x:f>
        <x:v>0.008</x:v>
      </x:c>
      <x:c r="J123" t="n">
        <x:f>Scenario_Data!H123-(((SQRT((Inputs!$C$52+(Inputs!$H$6))^2+Inputs!$C$52^2-2*(Inputs!$C$52+(Inputs!$H$6))*Inputs!$C$52*COS(SQRT((Scenario_Data!T123)^2+Inputs!$C$6^2)/Inputs!$C$52)))-(Inputs!$H$6))*1000/Inputs!$C$12)</x:f>
        <x:v>-0.0002798786321136504</x:v>
      </x:c>
      <x:c r="K123" t="n">
        <x:f>Scenario_Data!I123-(((SQRT((Inputs!$C$52+(Inputs!$H$7))^2+Inputs!$C$52^2-2*(Inputs!$C$52+(Inputs!$H$7))*Inputs!$C$52*COS(SQRT((Scenario_Data!U123)^2+Inputs!$C$6^2)/Inputs!$C$52)))-(Inputs!$H$7))*1000/Inputs!$C$12)</x:f>
        <x:v>-2.4515400940208565</x:v>
      </x:c>
      <x:c r="L123" t="n">
        <x:f>Scenario_Data!J123-(((SQRT((Inputs!$C$52+(Inputs!$H$8))^2+Inputs!$C$52^2-2*(Inputs!$C$52+(Inputs!$H$8))*Inputs!$C$52*COS(SQRT((Scenario_Data!V123)^2+Inputs!$C$6^2)/Inputs!$C$52)))-(Inputs!$H$8))*1000/Inputs!$C$12)</x:f>
        <x:v>-6.7016754171791035</x:v>
      </x:c>
      <x:c r="M123" t="n">
        <x:f>Scenario_Data!K123-(((SQRT((Inputs!$C$52+(Inputs!$H$9))^2+Inputs!$C$52^2-2*(Inputs!$C$52+(Inputs!$H$9))*Inputs!$C$52*COS(SQRT((Scenario_Data!W123)^2+Inputs!$C$6^2)/Inputs!$C$52)))-(Inputs!$H$9))*1000/Inputs!$C$12)</x:f>
        <x:v>-10.54136055730396</x:v>
      </x:c>
      <x:c r="O123" t="n">
        <x:f>Scenario_Data!T123</x:f>
        <x:v>0.480000000000004</x:v>
      </x:c>
      <x:c r="P123" t="n">
        <x:f>2*(Scenario_Data!B123*1000)/Inputs!$C$21*1000000</x:f>
        <x:v>2668.514469433384</x:v>
      </x:c>
      <x:c r="Q123" t="n">
        <x:f>Scenario_Data!U123</x:f>
        <x:v>3.1999999999999886</x:v>
      </x:c>
      <x:c r="R123" t="n">
        <x:f>2*(Scenario_Data!C123*1000)/Inputs!$C$21*1000000</x:f>
        <x:v>233.65070778398297</x:v>
      </x:c>
      <x:c r="S123" t="n">
        <x:f>Scenario_Data!V123</x:f>
        <x:v>6.399999999999977</x:v>
      </x:c>
      <x:c r="T123" t="n">
        <x:f>2*(Scenario_Data!D123*1000)/Inputs!$C$21*1000000</x:f>
        <x:v>233.9068850090952</x:v>
      </x:c>
      <x:c r="U123" t="n">
        <x:f>Scenario_Data!W123</x:f>
        <x:v>6.399999999999977</x:v>
      </x:c>
      <x:c r="V123" t="n">
        <x:f>2*(Scenario_Data!E123*1000)/Inputs!$C$21*1000000</x:f>
        <x:v>167.19833558988333</x:v>
      </x:c>
      <x:c r="X123" t="n">
        <x:f>Scenario_Data!T123</x:f>
        <x:v>0.480000000000004</x:v>
      </x:c>
      <x:c r="Y123" t="n">
        <x: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x:f>
        <x:v>2668.422832501423</x:v>
      </x:c>
      <x:c r="Z123" t="n">
        <x:f>Scenario_Data!U123</x:f>
        <x:v>3.1999999999999886</x:v>
      </x:c>
      <x:c r="AA123" t="n">
        <x: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x:f>
        <x:v>233.03942030536456</x:v>
      </x:c>
      <x:c r="AB123" t="n">
        <x:f>Scenario_Data!V123</x:f>
        <x:v>6.399999999999977</x:v>
      </x:c>
      <x:c r="AC123" t="n">
        <x: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x:f>
        <x:v>233.45037452297623</x:v>
      </x:c>
      <x:c r="AD123" t="n">
        <x:f>Scenario_Data!W123</x:f>
        <x:v>6.399999999999977</x:v>
      </x:c>
      <x:c r="AE123" t="n">
        <x: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x:f>
        <x:v>166.7418251037643</x:v>
      </x:c>
      <x:c r="AG123" t="n">
        <x:f>Scenario_Data!T123</x:f>
        <x:v>0.480000000000004</x:v>
      </x:c>
      <x:c r="AH123" t="n">
        <x:f>2*(SQRT((Inputs!$C$52+(Scenario_Data!B123))^2+Inputs!$C$52^2-2*(Inputs!$C$52+(Scenario_Data!B123))*Inputs!$C$52*COS(SQRT((Scenario_Data!T123)^2+Inputs!$C$6^2)/Inputs!$C$52))*1000)/Inputs!$C$21*1000000</x:f>
        <x:v>2675.0563695731153</x:v>
      </x:c>
      <x:c r="AI123" t="n">
        <x:f>Scenario_Data!U123</x:f>
        <x:v>3.1999999999999886</x:v>
      </x:c>
      <x:c r="AJ123" t="n">
        <x:f>2*(SQRT((Inputs!$C$52+(Scenario_Data!C123))^2+Inputs!$C$52^2-2*(Inputs!$C$52+(Scenario_Data!C123))*Inputs!$C$52*COS(SQRT((Scenario_Data!U123)^2+Inputs!$C$6^2)/Inputs!$C$52))*1000)/Inputs!$C$21*1000000</x:f>
        <x:v>288.96093772220826</x:v>
      </x:c>
      <x:c r="AK123" t="n">
        <x:f>Scenario_Data!V123</x:f>
        <x:v>6.399999999999977</x:v>
      </x:c>
      <x:c r="AL123" t="n">
        <x:f>2*(SQRT((Inputs!$C$52+(Scenario_Data!D123))^2+Inputs!$C$52^2-2*(Inputs!$C$52+(Scenario_Data!D123))*Inputs!$C$52*COS(SQRT((Scenario_Data!V123)^2+Inputs!$C$6^2)/Inputs!$C$52))*1000)/Inputs!$C$21*1000000</x:f>
        <x:v>291.57635730626026</x:v>
      </x:c>
      <x:c r="AM123" t="n">
        <x:f>Scenario_Data!W123</x:f>
        <x:v>6.399999999999977</x:v>
      </x:c>
      <x:c r="AN123" t="n">
        <x:f>2*(SQRT((Inputs!$C$52+(Scenario_Data!E123))^2+Inputs!$C$52^2-2*(Inputs!$C$52+(Scenario_Data!E123))*Inputs!$C$52*COS(SQRT((Scenario_Data!W123)^2+Inputs!$C$6^2)/Inputs!$C$52))*1000)/Inputs!$C$21*1000000</x:f>
        <x:v>240.97664531965657</x:v>
      </x:c>
      <x:c r="AP123" t="n">
        <x:f>Scenario_Data!T123</x:f>
        <x:v>0.480000000000004</x:v>
      </x:c>
      <x:c r="AQ123" t="n">
        <x: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x:f>
        <x:v>2671.734762465316</x:v>
      </x:c>
      <x:c r="AR123" t="n">
        <x:f>Scenario_Data!U123</x:f>
        <x:v>3.1999999999999886</x:v>
      </x:c>
      <x:c r="AS123" t="n">
        <x: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x:f>
        <x:v>285.94379017860734</x:v>
      </x:c>
      <x:c r="AT123" t="n">
        <x:f>Scenario_Data!V123</x:f>
        <x:v>6.399999999999977</x:v>
      </x:c>
      <x:c r="AU123" t="n">
        <x: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x:f>
        <x:v>288.7955768368026</x:v>
      </x:c>
      <x:c r="AV123" t="n">
        <x:f>Scenario_Data!W123</x:f>
        <x:v>6.399999999999977</x:v>
      </x:c>
      <x:c r="AW123" t="n">
        <x: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x:f>
        <x:v>238.58427038631453</x:v>
      </x:c>
    </x:row>
    <x:row r="124">
      <x:c r="A124" t="n">
        <x:f>Chart_Data!K124</x:f>
        <x:v>1</x:v>
      </x:c>
      <x:c r="B124" t="n">
        <x:f>Chart_Data!N124-Chart_Data!L124</x:f>
        <x:v>-44.60929521056897</x:v>
      </x:c>
      <x:c r="D124" t="n">
        <x:f>Chart_Data!G124</x:f>
        <x:v>1</x:v>
      </x:c>
      <x:c r="E124" t="n">
        <x:f>Chart_Data!H124</x:f>
        <x:v>497.58165314697214</x:v>
      </x:c>
      <x:c r="F124" t="n">
        <x:f>Chart_Data!I124</x:f>
        <x:v>497.58165314697214</x:v>
      </x:c>
      <x:c r="G124" t="n">
        <x:f>Chart_Data!J124</x:f>
        <x:v>43.07644622126787</x:v>
      </x:c>
      <x:c r="I124" t="n">
        <x:f>Scenario_Data!A124</x:f>
        <x:v>0.017</x:v>
      </x:c>
      <x:c r="J124" t="n">
        <x:f>Scenario_Data!H124-(((SQRT((Inputs!$C$52+(Inputs!$H$6))^2+Inputs!$C$52^2-2*(Inputs!$C$52+(Inputs!$H$6))*Inputs!$C$52*COS(SQRT((Scenario_Data!T124)^2+Inputs!$C$6^2)/Inputs!$C$52)))-(Inputs!$H$6))*1000/Inputs!$C$12)</x:f>
        <x:v>-0.0012654526615278883</x:v>
      </x:c>
      <x:c r="K124" t="n">
        <x:f>Scenario_Data!I124-(((SQRT((Inputs!$C$52+(Inputs!$H$7))^2+Inputs!$C$52^2-2*(Inputs!$C$52+(Inputs!$H$7))*Inputs!$C$52*COS(SQRT((Scenario_Data!U124)^2+Inputs!$C$6^2)/Inputs!$C$52)))-(Inputs!$H$7))*1000/Inputs!$C$12)</x:f>
        <x:v>-11.501173772391667</x:v>
      </x:c>
      <x:c r="L124" t="n">
        <x:f>Scenario_Data!J124-(((SQRT((Inputs!$C$52+(Inputs!$H$8))^2+Inputs!$C$52^2-2*(Inputs!$C$52+(Inputs!$H$8))*Inputs!$C$52*COS(SQRT((Scenario_Data!V124)^2+Inputs!$C$6^2)/Inputs!$C$52)))-(Inputs!$H$8))*1000/Inputs!$C$12)</x:f>
        <x:v>-34.56744155918659</x:v>
      </x:c>
      <x:c r="M124" t="n">
        <x:f>Scenario_Data!K124-(((SQRT((Inputs!$C$52+(Inputs!$H$9))^2+Inputs!$C$52^2-2*(Inputs!$C$52+(Inputs!$H$9))*Inputs!$C$52*COS(SQRT((Scenario_Data!W124)^2+Inputs!$C$6^2)/Inputs!$C$52)))-(Inputs!$H$9))*1000/Inputs!$C$12)</x:f>
        <x:v>-52.89055443850248</x:v>
      </x:c>
      <x:c r="O124" t="n">
        <x:f>Scenario_Data!T124</x:f>
        <x:v>1.019999999999996</x:v>
      </x:c>
      <x:c r="P124" t="n">
        <x:f>2*(Scenario_Data!B124*1000)/Inputs!$C$21*1000000</x:f>
        <x:v>2668.520473587097</x:v>
      </x:c>
      <x:c r="Q124" t="n">
        <x:f>Scenario_Data!U124</x:f>
        <x:v>6.7999999999999545</x:v>
      </x:c>
      <x:c r="R124" t="n">
        <x:f>2*(Scenario_Data!C124*1000)/Inputs!$C$21*1000000</x:f>
        <x:v>234.19858681034597</x:v>
      </x:c>
      <x:c r="S124" t="n">
        <x:f>Scenario_Data!V124</x:f>
        <x:v>13.599999999999909</x:v>
      </x:c>
      <x:c r="T124" t="n">
        <x:f>2*(Scenario_Data!D124*1000)/Inputs!$C$21*1000000</x:f>
        <x:v>235.35538709249312</x:v>
      </x:c>
      <x:c r="U124" t="n">
        <x:f>Scenario_Data!W124</x:f>
        <x:v>13.599999999999909</x:v>
      </x:c>
      <x:c r="V124" t="n">
        <x:f>2*(Scenario_Data!E124*1000)/Inputs!$C$21*1000000</x:f>
        <x:v>168.66184805756518</x:v>
      </x:c>
      <x:c r="X124" t="n">
        <x:f>Scenario_Data!T124</x:f>
        <x:v>1.019999999999996</x:v>
      </x:c>
      <x:c r="Y124" t="n">
        <x: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x:f>
        <x:v>2668.2784457720195</x:v>
      </x:c>
      <x:c r="Z124" t="n">
        <x:f>Scenario_Data!U124</x:f>
        <x:v>6.7999999999999545</x:v>
      </x:c>
      <x:c r="AA124" t="n">
        <x: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x:f>
        <x:v>233.69251190455986</x:v>
      </x:c>
      <x:c r="AB124" t="n">
        <x:f>Scenario_Data!V124</x:f>
        <x:v>13.599999999999909</x:v>
      </x:c>
      <x:c r="AC124" t="n">
        <x: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x:f>
        <x:v>235.19841567119786</x:v>
      </x:c>
      <x:c r="AD124" t="n">
        <x:f>Scenario_Data!W124</x:f>
        <x:v>13.599999999999909</x:v>
      </x:c>
      <x:c r="AE124" t="n">
        <x: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x:f>
        <x:v>168.50487663626993</x:v>
      </x:c>
      <x:c r="AG124" t="n">
        <x:f>Scenario_Data!T124</x:f>
        <x:v>1.019999999999996</x:v>
      </x:c>
      <x:c r="AH124" t="n">
        <x:f>2*(SQRT((Inputs!$C$52+(Scenario_Data!B124))^2+Inputs!$C$52^2-2*(Inputs!$C$52+(Scenario_Data!B124))*Inputs!$C$52*COS(SQRT((Scenario_Data!T124)^2+Inputs!$C$6^2)/Inputs!$C$52))*1000)/Inputs!$C$21*1000000</x:f>
        <x:v>2675.0708266480583</x:v>
      </x:c>
      <x:c r="AI124" t="n">
        <x:f>Scenario_Data!U124</x:f>
        <x:v>6.7999999999999545</x:v>
      </x:c>
      <x:c r="AJ124" t="n">
        <x:f>2*(SQRT((Inputs!$C$52+(Scenario_Data!C124))^2+Inputs!$C$52^2-2*(Inputs!$C$52+(Scenario_Data!C124))*Inputs!$C$52*COS(SQRT((Scenario_Data!U124)^2+Inputs!$C$6^2)/Inputs!$C$52))*1000)/Inputs!$C$21*1000000</x:f>
        <x:v>292.2232293769202</x:v>
      </x:c>
      <x:c r="AK124" t="n">
        <x:f>Scenario_Data!V124</x:f>
        <x:v>13.599999999999909</x:v>
      </x:c>
      <x:c r="AL124" t="n">
        <x:f>2*(SQRT((Inputs!$C$52+(Scenario_Data!D124))^2+Inputs!$C$52^2-2*(Inputs!$C$52+(Scenario_Data!D124))*Inputs!$C$52*COS(SQRT((Scenario_Data!V124)^2+Inputs!$C$6^2)/Inputs!$C$52))*1000)/Inputs!$C$21*1000000</x:f>
        <x:v>303.73346224026676</x:v>
      </x:c>
      <x:c r="AM124" t="n">
        <x:f>Scenario_Data!W124</x:f>
        <x:v>13.599999999999909</x:v>
      </x:c>
      <x:c r="AN124" t="n">
        <x:f>2*(SQRT((Inputs!$C$52+(Scenario_Data!E124))^2+Inputs!$C$52^2-2*(Inputs!$C$52+(Scenario_Data!E124))*Inputs!$C$52*COS(SQRT((Scenario_Data!W124)^2+Inputs!$C$6^2)/Inputs!$C$52))*1000)/Inputs!$C$21*1000000</x:f>
        <x:v>255.10349072494134</x:v>
      </x:c>
      <x:c r="AP124" t="n">
        <x:f>Scenario_Data!T124</x:f>
        <x:v>1.019999999999996</x:v>
      </x:c>
      <x:c r="AQ124" t="n">
        <x: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x:f>
        <x:v>2671.6247904009706</x:v>
      </x:c>
      <x:c r="AR124" t="n">
        <x:f>Scenario_Data!U124</x:f>
        <x:v>6.7999999999999545</x:v>
      </x:c>
      <x:c r="AS124" t="n">
        <x: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x:f>
        <x:v>289.50463278641934</x:v>
      </x:c>
      <x:c r="AT124" t="n">
        <x:f>Scenario_Data!V124</x:f>
        <x:v>13.599999999999909</x:v>
      </x:c>
      <x:c r="AU124" t="n">
        <x: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x:f>
        <x:v>301.63298762212946</x:v>
      </x:c>
      <x:c r="AV124" t="n">
        <x:f>Scenario_Data!W124</x:f>
        <x:v>13.599999999999909</x:v>
      </x:c>
      <x:c r="AW124" t="n">
        <x: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x:f>
        <x:v>253.320686057891</x:v>
      </x:c>
    </x:row>
    <x:row r="125">
      <x:c r="A125" t="n">
        <x:f>Chart_Data!K125</x:f>
        <x:v>1.5</x:v>
      </x:c>
      <x:c r="B125" t="n">
        <x:f>Chart_Data!N125-Chart_Data!L125</x:f>
        <x:v>-48.41044167320268</x:v>
      </x:c>
      <x:c r="D125" t="n">
        <x:f>Chart_Data!G125</x:f>
        <x:v>1.5</x:v>
      </x:c>
      <x:c r="E125" t="n">
        <x:f>Chart_Data!H125</x:f>
        <x:v>516.864115303311</x:v>
      </x:c>
      <x:c r="F125" t="n">
        <x:f>Chart_Data!I125</x:f>
        <x:v>516.864115303311</x:v>
      </x:c>
      <x:c r="G125" t="n">
        <x:f>Chart_Data!J125</x:f>
        <x:v>46.8149548284789</x:v>
      </x:c>
      <x:c r="I125" t="n">
        <x:f>Scenario_Data!A125</x:f>
        <x:v>0.025</x:v>
      </x:c>
      <x:c r="J125" t="n">
        <x:f>Scenario_Data!H125-(((SQRT((Inputs!$C$52+(Inputs!$H$6))^2+Inputs!$C$52^2-2*(Inputs!$C$52+(Inputs!$H$6))*Inputs!$C$52*COS(SQRT((Scenario_Data!T125)^2+Inputs!$C$6^2)/Inputs!$C$52)))-(Inputs!$H$6))*1000/Inputs!$C$12)</x:f>
        <x:v>-0.0027419606900593863</x:v>
      </x:c>
      <x:c r="K125" t="n">
        <x:f>Scenario_Data!I125-(((SQRT((Inputs!$C$52+(Inputs!$H$7))^2+Inputs!$C$52^2-2*(Inputs!$C$52+(Inputs!$H$7))*Inputs!$C$52*COS(SQRT((Scenario_Data!U125)^2+Inputs!$C$6^2)/Inputs!$C$52)))-(Inputs!$H$7))*1000/Inputs!$C$12)</x:f>
        <x:v>-26.20922916708696</x:v>
      </x:c>
      <x:c r="L125" t="n">
        <x:f>Scenario_Data!J125-(((SQRT((Inputs!$C$52+(Inputs!$H$8))^2+Inputs!$C$52^2-2*(Inputs!$C$52+(Inputs!$H$8))*Inputs!$C$52*COS(SQRT((Scenario_Data!V125)^2+Inputs!$C$6^2)/Inputs!$C$52)))-(Inputs!$H$8))*1000/Inputs!$C$12)</x:f>
        <x:v>-86.79473246430734</x:v>
      </x:c>
      <x:c r="M125" t="n">
        <x:f>Scenario_Data!K125-(((SQRT((Inputs!$C$52+(Inputs!$H$9))^2+Inputs!$C$52^2-2*(Inputs!$C$52+(Inputs!$H$9))*Inputs!$C$52*COS(SQRT((Scenario_Data!W125)^2+Inputs!$C$6^2)/Inputs!$C$52)))-(Inputs!$H$9))*1000/Inputs!$C$12)</x:f>
        <x:v>-128.37390922901977</x:v>
      </x:c>
      <x:c r="O125" t="n">
        <x:f>Scenario_Data!T125</x:f>
        <x:v>1.499999999999993</x:v>
      </x:c>
      <x:c r="P125" t="n">
        <x:f>2*(Scenario_Data!B125*1000)/Inputs!$C$21*1000000</x:f>
        <x:v>2668.5294397899765</x:v>
      </x:c>
      <x:c r="Q125" t="n">
        <x:f>Scenario_Data!U125</x:f>
        <x:v>9.999999999999943</x:v>
      </x:c>
      <x:c r="R125" t="n">
        <x:f>2*(Scenario_Data!C125*1000)/Inputs!$C$21*1000000</x:f>
        <x:v>235.01675282304802</x:v>
      </x:c>
      <x:c r="S125" t="n">
        <x:f>Scenario_Data!V125</x:f>
        <x:v>19.999999999999886</x:v>
      </x:c>
      <x:c r="T125" t="n">
        <x:f>2*(Scenario_Data!D125*1000)/Inputs!$C$21*1000000</x:f>
        <x:v>237.51848353703411</x:v>
      </x:c>
      <x:c r="U125" t="n">
        <x:f>Scenario_Data!W125</x:f>
        <x:v>19.999999999999886</x:v>
      </x:c>
      <x:c r="V125" t="n">
        <x:f>2*(Scenario_Data!E125*1000)/Inputs!$C$21*1000000</x:f>
        <x:v>170.84736000930343</x:v>
      </x:c>
      <x:c r="X125" t="n">
        <x:f>Scenario_Data!T125</x:f>
        <x:v>1.499999999999993</x:v>
      </x:c>
      <x:c r="Y125" t="n">
        <x: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x:f>
        <x:v>2668.2171240293146</x:v>
      </x:c>
      <x:c r="Z125" t="n">
        <x:f>Scenario_Data!U125</x:f>
        <x:v>9.999999999999943</x:v>
      </x:c>
      <x:c r="AA125" t="n">
        <x: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x:f>
        <x:v>235.07392198175725</x:v>
      </x:c>
      <x:c r="AB125" t="n">
        <x:f>Scenario_Data!V125</x:f>
        <x:v>19.999999999999886</x:v>
      </x:c>
      <x:c r="AC125" t="n">
        <x: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x:f>
        <x:v>237.0225960137918</x:v>
      </x:c>
      <x:c r="AD125" t="n">
        <x:f>Scenario_Data!W125</x:f>
        <x:v>19.999999999999886</x:v>
      </x:c>
      <x:c r="AE125" t="n">
        <x: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x:f>
        <x:v>170.3514724860612</x:v>
      </x:c>
      <x:c r="AG125" t="n">
        <x:f>Scenario_Data!T125</x:f>
        <x:v>1.499999999999993</x:v>
      </x:c>
      <x:c r="AH125" t="n">
        <x:f>2*(SQRT((Inputs!$C$52+(Scenario_Data!B125))^2+Inputs!$C$52^2-2*(Inputs!$C$52+(Scenario_Data!B125))*Inputs!$C$52*COS(SQRT((Scenario_Data!T125)^2+Inputs!$C$6^2)/Inputs!$C$52))*1000)/Inputs!$C$21*1000000</x:f>
        <x:v>2675.092415773223</x:v>
      </x:c>
      <x:c r="AI125" t="n">
        <x:f>Scenario_Data!U125</x:f>
        <x:v>9.999999999999943</x:v>
      </x:c>
      <x:c r="AJ125" t="n">
        <x:f>2*(SQRT((Inputs!$C$52+(Scenario_Data!C125))^2+Inputs!$C$52^2-2*(Inputs!$C$52+(Scenario_Data!C125))*Inputs!$C$52*COS(SQRT((Scenario_Data!U125)^2+Inputs!$C$6^2)/Inputs!$C$52))*1000)/Inputs!$C$21*1000000</x:f>
        <x:v>297.0306183683265</x:v>
      </x:c>
      <x:c r="AK125" t="n">
        <x:f>Scenario_Data!V125</x:f>
        <x:v>19.999999999999886</x:v>
      </x:c>
      <x:c r="AL125" t="n">
        <x:f>2*(SQRT((Inputs!$C$52+(Scenario_Data!D125))^2+Inputs!$C$52^2-2*(Inputs!$C$52+(Scenario_Data!D125))*Inputs!$C$52*COS(SQRT((Scenario_Data!V125)^2+Inputs!$C$6^2)/Inputs!$C$52))*1000)/Inputs!$C$21*1000000</x:f>
        <x:v>321.0492876738631</x:v>
      </x:c>
      <x:c r="AM125" t="n">
        <x:f>Scenario_Data!W125</x:f>
        <x:v>19.999999999999886</x:v>
      </x:c>
      <x:c r="AN125" t="n">
        <x:f>2*(SQRT((Inputs!$C$52+(Scenario_Data!E125))^2+Inputs!$C$52^2-2*(Inputs!$C$52+(Scenario_Data!E125))*Inputs!$C$52*COS(SQRT((Scenario_Data!W125)^2+Inputs!$C$6^2)/Inputs!$C$52))*1000)/Inputs!$C$21*1000000</x:f>
        <x:v>274.8715173653501</x:v>
      </x:c>
      <x:c r="AP125" t="n">
        <x:f>Scenario_Data!T125</x:f>
        <x:v>1.499999999999993</x:v>
      </x:c>
      <x:c r="AQ125" t="n">
        <x: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x:f>
        <x:v>2671.654913496507</x:v>
      </x:c>
      <x:c r="AR125" t="n">
        <x:f>Scenario_Data!U125</x:f>
        <x:v>9.999999999999943</x:v>
      </x:c>
      <x:c r="AS125" t="n">
        <x: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x:f>
        <x:v>294.65525229787505</x:v>
      </x:c>
      <x:c r="AT125" t="n">
        <x:f>Scenario_Data!V125</x:f>
        <x:v>19.999999999999886</x:v>
      </x:c>
      <x:c r="AU125" t="n">
        <x: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x:f>
        <x:v>318.9091927078766</x:v>
      </x:c>
      <x:c r="AV125" t="n">
        <x:f>Scenario_Data!W125</x:f>
        <x:v>19.999999999999886</x:v>
      </x:c>
      <x:c r="AW125" t="n">
        <x: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x:f>
        <x:v>273.0846489801912</x:v>
      </x:c>
    </x:row>
    <x:row r="126">
      <x:c r="A126" t="n">
        <x:f>Chart_Data!K126</x:f>
        <x:v>2</x:v>
      </x:c>
      <x:c r="B126" t="n">
        <x:f>Chart_Data!N126-Chart_Data!L126</x:f>
        <x:v>-67.2127716143965</x:v>
      </x:c>
      <x:c r="D126" t="n">
        <x:f>Chart_Data!G126</x:f>
        <x:v>2</x:v>
      </x:c>
      <x:c r="E126" t="n">
        <x:f>Chart_Data!H126</x:f>
        <x:v>534.5064840723982</x:v>
      </x:c>
      <x:c r="F126" t="n">
        <x:f>Chart_Data!I126</x:f>
        <x:v>534.5064840723982</x:v>
      </x:c>
      <x:c r="G126" t="n">
        <x:f>Chart_Data!J126</x:f>
        <x:v>65.55817790320465</x:v>
      </x:c>
      <x:c r="I126" t="n">
        <x:f>Scenario_Data!A126</x:f>
        <x:v>0.033</x:v>
      </x:c>
      <x:c r="J126" t="n">
        <x:f>Scenario_Data!H126-(((SQRT((Inputs!$C$52+(Inputs!$H$6))^2+Inputs!$C$52^2-2*(Inputs!$C$52+(Inputs!$H$6))*Inputs!$C$52*COS(SQRT((Scenario_Data!T126)^2+Inputs!$C$6^2)/Inputs!$C$52)))-(Inputs!$H$6))*1000/Inputs!$C$12)</x:f>
        <x:v>-0.00479024185108301</x:v>
      </x:c>
      <x:c r="K126" t="n">
        <x:f>Scenario_Data!I126-(((SQRT((Inputs!$C$52+(Inputs!$H$7))^2+Inputs!$C$52^2-2*(Inputs!$C$52+(Inputs!$H$7))*Inputs!$C$52*COS(SQRT((Scenario_Data!U126)^2+Inputs!$C$6^2)/Inputs!$C$52)))-(Inputs!$H$7))*1000/Inputs!$C$12)</x:f>
        <x:v>-48.70715008078969</x:v>
      </x:c>
      <x:c r="L126" t="n">
        <x:f>Scenario_Data!J126-(((SQRT((Inputs!$C$52+(Inputs!$H$8))^2+Inputs!$C$52^2-2*(Inputs!$C$52+(Inputs!$H$8))*Inputs!$C$52*COS(SQRT((Scenario_Data!V126)^2+Inputs!$C$6^2)/Inputs!$C$52)))-(Inputs!$H$8))*1000/Inputs!$C$12)</x:f>
        <x:v>-175.28477054044197</x:v>
      </x:c>
      <x:c r="M126" t="n">
        <x:f>Scenario_Data!K126-(((SQRT((Inputs!$C$52+(Inputs!$H$9))^2+Inputs!$C$52^2-2*(Inputs!$C$52+(Inputs!$H$9))*Inputs!$C$52*COS(SQRT((Scenario_Data!W126)^2+Inputs!$C$6^2)/Inputs!$C$52)))-(Inputs!$H$9))*1000/Inputs!$C$12)</x:f>
        <x:v>-249.93122636938642</x:v>
      </x:c>
      <x:c r="O126" t="n">
        <x:f>Scenario_Data!T126</x:f>
        <x:v>1.9799999999999969</x:v>
      </x:c>
      <x:c r="P126" t="n">
        <x:f>2*(Scenario_Data!B126*1000)/Inputs!$C$21*1000000</x:f>
        <x:v>2668.54182168919</x:v>
      </x:c>
      <x:c r="Q126" t="n">
        <x:f>Scenario_Data!U126</x:f>
        <x:v>13.199999999999989</x:v>
      </x:c>
      <x:c r="R126" t="n">
        <x:f>2*(Scenario_Data!C126*1000)/Inputs!$C$21*1000000</x:f>
        <x:v>236.14660112630315</x:v>
      </x:c>
      <x:c r="S126" t="n">
        <x:f>Scenario_Data!V126</x:f>
        <x:v>26.399999999999977</x:v>
      </x:c>
      <x:c r="T126" t="n">
        <x:f>2*(Scenario_Data!D126*1000)/Inputs!$C$21*1000000</x:f>
        <x:v>240.50561672235264</x:v>
      </x:c>
      <x:c r="U126" t="n">
        <x:f>Scenario_Data!W126</x:f>
        <x:v>26.399999999999977</x:v>
      </x:c>
      <x:c r="V126" t="n">
        <x:f>2*(Scenario_Data!E126*1000)/Inputs!$C$21*1000000</x:f>
        <x:v>173.86544794265637</x:v>
      </x:c>
      <x:c r="X126" t="n">
        <x:f>Scenario_Data!T126</x:f>
        <x:v>1.9799999999999969</x:v>
      </x:c>
      <x:c r="Y126" t="n">
        <x: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x:f>
        <x:v>2668.1155856737228</x:v>
      </x:c>
      <x:c r="Z126" t="n">
        <x:f>Scenario_Data!U126</x:f>
        <x:v>13.199999999999989</x:v>
      </x:c>
      <x:c r="AA126" t="n">
        <x: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x:f>
        <x:v>236.07895498772078</x:v>
      </x:c>
      <x:c r="AB126" t="n">
        <x:f>Scenario_Data!V126</x:f>
        <x:v>26.399999999999977</x:v>
      </x:c>
      <x:c r="AC126" t="n">
        <x: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x:f>
        <x:v>240.0956500649409</x:v>
      </x:c>
      <x:c r="AD126" t="n">
        <x:f>Scenario_Data!W126</x:f>
        <x:v>26.399999999999977</x:v>
      </x:c>
      <x:c r="AE126" t="n">
        <x: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x:f>
        <x:v>173.45548128524464</x:v>
      </x:c>
      <x:c r="AG126" t="n">
        <x:f>Scenario_Data!T126</x:f>
        <x:v>1.9799999999999969</x:v>
      </x:c>
      <x:c r="AH126" t="n">
        <x:f>2*(SQRT((Inputs!$C$52+(Scenario_Data!B126))^2+Inputs!$C$52^2-2*(Inputs!$C$52+(Scenario_Data!B126))*Inputs!$C$52*COS(SQRT((Scenario_Data!T126)^2+Inputs!$C$6^2)/Inputs!$C$52))*1000)/Inputs!$C$21*1000000</x:f>
        <x:v>2675.122229116734</x:v>
      </x:c>
      <x:c r="AI126" t="n">
        <x:f>Scenario_Data!U126</x:f>
        <x:v>13.199999999999989</x:v>
      </x:c>
      <x:c r="AJ126" t="n">
        <x:f>2*(SQRT((Inputs!$C$52+(Scenario_Data!C126))^2+Inputs!$C$52^2-2*(Inputs!$C$52+(Scenario_Data!C126))*Inputs!$C$52*COS(SQRT((Scenario_Data!U126)^2+Inputs!$C$6^2)/Inputs!$C$52))*1000)/Inputs!$C$21*1000000</x:f>
        <x:v>303.54886988121996</x:v>
      </x:c>
      <x:c r="AK126" t="n">
        <x:f>Scenario_Data!V126</x:f>
        <x:v>26.399999999999977</x:v>
      </x:c>
      <x:c r="AL126" t="n">
        <x:f>2*(SQRT((Inputs!$C$52+(Scenario_Data!D126))^2+Inputs!$C$52^2-2*(Inputs!$C$52+(Scenario_Data!D126))*Inputs!$C$52*COS(SQRT((Scenario_Data!V126)^2+Inputs!$C$6^2)/Inputs!$C$52))*1000)/Inputs!$C$21*1000000</x:f>
        <x:v>343.5612623013572</x:v>
      </x:c>
      <x:c r="AM126" t="n">
        <x:f>Scenario_Data!W126</x:f>
        <x:v>26.399999999999977</x:v>
      </x:c>
      <x:c r="AN126" t="n">
        <x:f>2*(SQRT((Inputs!$C$52+(Scenario_Data!E126))^2+Inputs!$C$52^2-2*(Inputs!$C$52+(Scenario_Data!E126))*Inputs!$C$52*COS(SQRT((Scenario_Data!W126)^2+Inputs!$C$6^2)/Inputs!$C$52))*1000)/Inputs!$C$21*1000000</x:f>
        <x:v>300.07341715264386</x:v>
      </x:c>
      <x:c r="AP126" t="n">
        <x:f>Scenario_Data!T126</x:f>
        <x:v>1.9799999999999969</x:v>
      </x:c>
      <x:c r="AQ126" t="n">
        <x: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x:f>
        <x:v>2671.55448128243</x:v>
      </x:c>
      <x:c r="AR126" t="n">
        <x:f>Scenario_Data!U126</x:f>
        <x:v>13.199999999999989</x:v>
      </x:c>
      <x:c r="AS126" t="n">
        <x: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x:f>
        <x:v>301.38085055997664</x:v>
      </x:c>
      <x:c r="AT126" t="n">
        <x:f>Scenario_Data!V126</x:f>
        <x:v>26.399999999999977</x:v>
      </x:c>
      <x:c r="AU126" t="n">
        <x: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x:f>
        <x:v>341.8770920620382</x:v>
      </x:c>
      <x:c r="AV126" t="n">
        <x:f>Scenario_Data!W126</x:f>
        <x:v>26.399999999999977</x:v>
      </x:c>
      <x:c r="AW126" t="n">
        <x: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x:f>
        <x:v>298.68879997180886</x:v>
      </x:c>
    </x:row>
    <x:row r="127">
      <x:c r="A127" t="n">
        <x:f>Chart_Data!K127</x:f>
        <x:v>2.5</x:v>
      </x:c>
      <x:c r="B127" t="n">
        <x:f>Chart_Data!N127-Chart_Data!L127</x:f>
        <x:v>-72.60871904789826</x:v>
      </x:c>
      <x:c r="D127" t="n">
        <x:f>Chart_Data!G127</x:f>
        <x:v>2.5</x:v>
      </x:c>
      <x:c r="E127" t="n">
        <x:f>Chart_Data!H127</x:f>
        <x:v>549.7308148691991</x:v>
      </x:c>
      <x:c r="F127" t="n">
        <x:f>Chart_Data!I127</x:f>
        <x:v>549.7308148691991</x:v>
      </x:c>
      <x:c r="G127" t="n">
        <x:f>Chart_Data!J127</x:f>
        <x:v>70.90088362648228</x:v>
      </x:c>
      <x:c r="I127" t="n">
        <x:f>Scenario_Data!A127</x:f>
        <x:v>0.042</x:v>
      </x:c>
      <x:c r="J127" t="n">
        <x:f>Scenario_Data!H127-(((SQRT((Inputs!$C$52+(Inputs!$H$6))^2+Inputs!$C$52^2-2*(Inputs!$C$52+(Inputs!$H$6))*Inputs!$C$52*COS(SQRT((Scenario_Data!T127)^2+Inputs!$C$6^2)/Inputs!$C$52)))-(Inputs!$H$6))*1000/Inputs!$C$12)</x:f>
        <x:v>-0.007789207541122778</x:v>
      </x:c>
      <x:c r="K127" t="n">
        <x:f>Scenario_Data!I127-(((SQRT((Inputs!$C$52+(Inputs!$H$7))^2+Inputs!$C$52^2-2*(Inputs!$C$52+(Inputs!$H$7))*Inputs!$C$52*COS(SQRT((Scenario_Data!U127)^2+Inputs!$C$6^2)/Inputs!$C$52)))-(Inputs!$H$7))*1000/Inputs!$C$12)</x:f>
        <x:v>-85.53253798029891</x:v>
      </x:c>
      <x:c r="L127" t="n">
        <x:f>Scenario_Data!J127-(((SQRT((Inputs!$C$52+(Inputs!$H$8))^2+Inputs!$C$52^2-2*(Inputs!$C$52+(Inputs!$H$8))*Inputs!$C$52*COS(SQRT((Scenario_Data!V127)^2+Inputs!$C$6^2)/Inputs!$C$52)))-(Inputs!$H$8))*1000/Inputs!$C$12)</x:f>
        <x:v>-328.85027552274187</x:v>
      </x:c>
      <x:c r="M127" t="n">
        <x:f>Scenario_Data!K127-(((SQRT((Inputs!$C$52+(Inputs!$H$9))^2+Inputs!$C$52^2-2*(Inputs!$C$52+(Inputs!$H$9))*Inputs!$C$52*COS(SQRT((Scenario_Data!W127)^2+Inputs!$C$6^2)/Inputs!$C$52)))-(Inputs!$H$9))*1000/Inputs!$C$12)</x:f>
        <x:v>-450.68761011315837</x:v>
      </x:c>
      <x:c r="O127" t="n">
        <x:f>Scenario_Data!T127</x:f>
        <x:v>2.520000000000003</x:v>
      </x:c>
      <x:c r="P127" t="n">
        <x:f>2*(Scenario_Data!B127*1000)/Inputs!$C$21*1000000</x:f>
        <x:v>2668.5598341503305</x:v>
      </x:c>
      <x:c r="Q127" t="n">
        <x:f>Scenario_Data!U127</x:f>
        <x:v>16.80000000000001</x:v>
      </x:c>
      <x:c r="R127" t="n">
        <x:f>2*(Scenario_Data!C127*1000)/Inputs!$C$21*1000000</x:f>
        <x:v>237.7902382053921</x:v>
      </x:c>
      <x:c r="S127" t="n">
        <x:f>Scenario_Data!V127</x:f>
        <x:v>33.60000000000002</x:v>
      </x:c>
      <x:c r="T127" t="n">
        <x:f>2*(Scenario_Data!D127*1000)/Inputs!$C$21*1000000</x:f>
        <x:v>244.85112297254656</x:v>
      </x:c>
      <x:c r="U127" t="n">
        <x:f>Scenario_Data!W127</x:f>
        <x:v>33.60000000000002</x:v>
      </x:c>
      <x:c r="V127" t="n">
        <x:f>2*(Scenario_Data!E127*1000)/Inputs!$C$21*1000000</x:f>
        <x:v>178.25598534570207</x:v>
      </x:c>
      <x:c r="X127" t="n">
        <x:f>Scenario_Data!T127</x:f>
        <x:v>2.520000000000003</x:v>
      </x:c>
      <x:c r="Y127" t="n">
        <x: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x:f>
        <x:v>2668.10404084736</x:v>
      </x:c>
      <x:c r="Z127" t="n">
        <x:f>Scenario_Data!U127</x:f>
        <x:v>16.80000000000001</x:v>
      </x:c>
      <x:c r="AA127" t="n">
        <x: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x:f>
        <x:v>237.32784196765127</x:v>
      </x:c>
      <x:c r="AB127" t="n">
        <x:f>Scenario_Data!V127</x:f>
        <x:v>33.60000000000002</x:v>
      </x:c>
      <x:c r="AC127" t="n">
        <x: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x:f>
        <x:v>244.71146714319235</x:v>
      </x:c>
      <x:c r="AD127" t="n">
        <x:f>Scenario_Data!W127</x:f>
        <x:v>33.60000000000002</x:v>
      </x:c>
      <x:c r="AE127" t="n">
        <x: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x:f>
        <x:v>178.1163295163478</x:v>
      </x:c>
      <x:c r="AG127" t="n">
        <x:f>Scenario_Data!T127</x:f>
        <x:v>2.520000000000003</x:v>
      </x:c>
      <x:c r="AH127" t="n">
        <x:f>2*(SQRT((Inputs!$C$52+(Scenario_Data!B127))^2+Inputs!$C$52^2-2*(Inputs!$C$52+(Scenario_Data!B127))*Inputs!$C$52*COS(SQRT((Scenario_Data!T127)^2+Inputs!$C$6^2)/Inputs!$C$52))*1000)/Inputs!$C$21*1000000</x:f>
        <x:v>2675.165599385722</x:v>
      </x:c>
      <x:c r="AI127" t="n">
        <x:f>Scenario_Data!U127</x:f>
        <x:v>16.80000000000001</x:v>
      </x:c>
      <x:c r="AJ127" t="n">
        <x:f>2*(SQRT((Inputs!$C$52+(Scenario_Data!C127))^2+Inputs!$C$52^2-2*(Inputs!$C$52+(Scenario_Data!C127))*Inputs!$C$52*COS(SQRT((Scenario_Data!U127)^2+Inputs!$C$6^2)/Inputs!$C$52))*1000)/Inputs!$C$21*1000000</x:f>
        <x:v>312.798084448728</x:v>
      </x:c>
      <x:c r="AK127" t="n">
        <x:f>Scenario_Data!V127</x:f>
        <x:v>33.60000000000002</x:v>
      </x:c>
      <x:c r="AL127" t="n">
        <x:f>2*(SQRT((Inputs!$C$52+(Scenario_Data!D127))^2+Inputs!$C$52^2-2*(Inputs!$C$52+(Scenario_Data!D127))*Inputs!$C$52*COS(SQRT((Scenario_Data!V127)^2+Inputs!$C$6^2)/Inputs!$C$52))*1000)/Inputs!$C$21*1000000</x:f>
        <x:v>373.95808704286753</x:v>
      </x:c>
      <x:c r="AM127" t="n">
        <x:f>Scenario_Data!W127</x:f>
        <x:v>33.60000000000002</x:v>
      </x:c>
      <x:c r="AN127" t="n">
        <x:f>2*(SQRT((Inputs!$C$52+(Scenario_Data!E127))^2+Inputs!$C$52^2-2*(Inputs!$C$52+(Scenario_Data!E127))*Inputs!$C$52*COS(SQRT((Scenario_Data!W127)^2+Inputs!$C$6^2)/Inputs!$C$52))*1000)/Inputs!$C$21*1000000</x:f>
        <x:v>333.41947696346216</x:v>
      </x:c>
      <x:c r="AP127" t="n">
        <x:f>Scenario_Data!T127</x:f>
        <x:v>2.520000000000003</x:v>
      </x:c>
      <x:c r="AQ127" t="n">
        <x: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x:f>
        <x:v>2671.5552629166887</x:v>
      </x:c>
      <x:c r="AR127" t="n">
        <x:f>Scenario_Data!U127</x:f>
        <x:v>16.80000000000001</x:v>
      </x:c>
      <x:c r="AS127" t="n">
        <x: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x:f>
        <x:v>310.74079426450356</x:v>
      </x:c>
      <x:c r="AT127" t="n">
        <x:f>Scenario_Data!V127</x:f>
        <x:v>33.60000000000002</x:v>
      </x:c>
      <x:c r="AU127" t="n">
        <x: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x:f>
        <x:v>372.99975846273446</x:v>
      </x:c>
      <x:c r="AV127" t="n">
        <x:f>Scenario_Data!W127</x:f>
        <x:v>33.60000000000002</x:v>
      </x:c>
      <x:c r="AW127" t="n">
        <x: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x:f>
        <x:v>332.64252675411603</x:v>
      </x:c>
    </x:row>
    <x:row r="128">
      <x:c r="A128" t="n">
        <x:f>Chart_Data!K128</x:f>
        <x:v>3</x:v>
      </x:c>
      <x:c r="B128" t="n">
        <x:f>Chart_Data!N128-Chart_Data!L128</x:f>
        <x:v>-83.7958295141508</x:v>
      </x:c>
      <x:c r="D128" t="n">
        <x:f>Chart_Data!G128</x:f>
        <x:v>3</x:v>
      </x:c>
      <x:c r="E128" t="n">
        <x:f>Chart_Data!H128</x:f>
        <x:v>536.8431041026216</x:v>
      </x:c>
      <x:c r="F128" t="n">
        <x:f>Chart_Data!I128</x:f>
        <x:v>536.8431041026216</x:v>
      </x:c>
      <x:c r="G128" t="n">
        <x:f>Chart_Data!J128</x:f>
        <x:v>82.12086586426281</x:v>
      </x:c>
      <x:c r="I128" t="n">
        <x:f>Scenario_Data!A128</x:f>
        <x:v>0.05</x:v>
      </x:c>
      <x:c r="J128" t="n">
        <x:f>Scenario_Data!H128-(((SQRT((Inputs!$C$52+(Inputs!$H$6))^2+Inputs!$C$52^2-2*(Inputs!$C$52+(Inputs!$H$6))*Inputs!$C$52*COS(SQRT((Scenario_Data!T128)^2+Inputs!$C$6^2)/Inputs!$C$52)))-(Inputs!$H$6))*1000/Inputs!$C$12)</x:f>
        <x:v>-0.011085185236197503</x:v>
      </x:c>
      <x:c r="K128" t="n">
        <x:f>Scenario_Data!I128-(((SQRT((Inputs!$C$52+(Inputs!$H$7))^2+Inputs!$C$52^2-2*(Inputs!$C$52+(Inputs!$H$7))*Inputs!$C$52*COS(SQRT((Scenario_Data!U128)^2+Inputs!$C$6^2)/Inputs!$C$52)))-(Inputs!$H$7))*1000/Inputs!$C$12)</x:f>
        <x:v>-130.5838257490177</x:v>
      </x:c>
      <x:c r="L128" t="n">
        <x:f>Scenario_Data!J128-(((SQRT((Inputs!$C$52+(Inputs!$H$8))^2+Inputs!$C$52^2-2*(Inputs!$C$52+(Inputs!$H$8))*Inputs!$C$52*COS(SQRT((Scenario_Data!V128)^2+Inputs!$C$6^2)/Inputs!$C$52)))-(Inputs!$H$8))*1000/Inputs!$C$12)</x:f>
        <x:v>-520.010223424264</x:v>
      </x:c>
      <x:c r="M128" t="n">
        <x:f>Scenario_Data!K128-(((SQRT((Inputs!$C$52+(Inputs!$H$9))^2+Inputs!$C$52^2-2*(Inputs!$C$52+(Inputs!$H$9))*Inputs!$C$52*COS(SQRT((Scenario_Data!W128)^2+Inputs!$C$6^2)/Inputs!$C$52)))-(Inputs!$H$9))*1000/Inputs!$C$12)</x:f>
        <x:v>-690.4618564313296</x:v>
      </x:c>
      <x:c r="O128" t="n">
        <x:f>Scenario_Data!T128</x:f>
        <x:v>3</x:v>
      </x:c>
      <x:c r="P128" t="n">
        <x:f>2*(Scenario_Data!B128*1000)/Inputs!$C$21*1000000</x:f>
        <x:v>2668.579474404256</x:v>
      </x:c>
      <x:c r="Q128" t="n">
        <x:f>Scenario_Data!U128</x:f>
        <x:v>20</x:v>
      </x:c>
      <x:c r="R128" t="n">
        <x:f>2*(Scenario_Data!C128*1000)/Inputs!$C$21*1000000</x:f>
        <x:v>239.5824113760727</x:v>
      </x:c>
      <x:c r="S128" t="n">
        <x:f>Scenario_Data!V128</x:f>
        <x:v>40</x:v>
      </x:c>
      <x:c r="T128" t="n">
        <x:f>2*(Scenario_Data!D128*1000)/Inputs!$C$21*1000000</x:f>
        <x:v>249.58933423201725</x:v>
      </x:c>
      <x:c r="U128" t="n">
        <x:f>Scenario_Data!W128</x:f>
        <x:v>40</x:v>
      </x:c>
      <x:c r="V128" t="n">
        <x:f>2*(Scenario_Data!E128*1000)/Inputs!$C$21*1000000</x:f>
        <x:v>183.04329723998595</x:v>
      </x:c>
      <x:c r="X128" t="n">
        <x:f>Scenario_Data!T128</x:f>
        <x:v>3</x:v>
      </x:c>
      <x:c r="Y128" t="n">
        <x: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x:f>
        <x:v>2668.031622957878</x:v>
      </x:c>
      <x:c r="Z128" t="n">
        <x:f>Scenario_Data!U128</x:f>
        <x:v>20</x:v>
      </x:c>
      <x:c r="AA128" t="n">
        <x: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x:f>
        <x:v>239.08652386019065</x:v>
      </x:c>
      <x:c r="AB128" t="n">
        <x:f>Scenario_Data!V128</x:f>
        <x:v>40</x:v>
      </x:c>
      <x:c r="AC128" t="n">
        <x: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x:f>
        <x:v>249.14725446361194</x:v>
      </x:c>
      <x:c r="AD128" t="n">
        <x:f>Scenario_Data!W128</x:f>
        <x:v>40</x:v>
      </x:c>
      <x:c r="AE128" t="n">
        <x: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x:f>
        <x:v>182.6012174715806</x:v>
      </x:c>
      <x:c r="AG128" t="n">
        <x:f>Scenario_Data!T128</x:f>
        <x:v>3</x:v>
      </x:c>
      <x:c r="AH128" t="n">
        <x:f>2*(SQRT((Inputs!$C$52+(Scenario_Data!B128))^2+Inputs!$C$52^2-2*(Inputs!$C$52+(Scenario_Data!B128))*Inputs!$C$52*COS(SQRT((Scenario_Data!T128)^2+Inputs!$C$6^2)/Inputs!$C$52))*1000)/Inputs!$C$21*1000000</x:f>
        <x:v>2675.2128884537788</x:v>
      </x:c>
      <x:c r="AI128" t="n">
        <x:f>Scenario_Data!U128</x:f>
        <x:v>20</x:v>
      </x:c>
      <x:c r="AJ128" t="n">
        <x:f>2*(SQRT((Inputs!$C$52+(Scenario_Data!C128))^2+Inputs!$C$52^2-2*(Inputs!$C$52+(Scenario_Data!C128))*Inputs!$C$52*COS(SQRT((Scenario_Data!U128)^2+Inputs!$C$6^2)/Inputs!$C$52))*1000)/Inputs!$C$21*1000000</x:f>
        <x:v>322.5932252064959</x:v>
      </x:c>
      <x:c r="AK128" t="n">
        <x:f>Scenario_Data!V128</x:f>
        <x:v>40</x:v>
      </x:c>
      <x:c r="AL128" t="n">
        <x:f>2*(SQRT((Inputs!$C$52+(Scenario_Data!D128))^2+Inputs!$C$52^2-2*(Inputs!$C$52+(Scenario_Data!D128))*Inputs!$C$52*COS(SQRT((Scenario_Data!V128)^2+Inputs!$C$6^2)/Inputs!$C$52))*1000)/Inputs!$C$21*1000000</x:f>
        <x:v>404.5820446556752</x:v>
      </x:c>
      <x:c r="AM128" t="n">
        <x:f>Scenario_Data!W128</x:f>
        <x:v>40</x:v>
      </x:c>
      <x:c r="AN128" t="n">
        <x:f>2*(SQRT((Inputs!$C$52+(Scenario_Data!E128))^2+Inputs!$C$52^2-2*(Inputs!$C$52+(Scenario_Data!E128))*Inputs!$C$52*COS(SQRT((Scenario_Data!W128)^2+Inputs!$C$6^2)/Inputs!$C$52))*1000)/Inputs!$C$21*1000000</x:f>
        <x:v>366.42028097133147</x:v>
      </x:c>
      <x:c r="AP128" t="n">
        <x:f>Scenario_Data!T128</x:f>
        <x:v>3</x:v>
      </x:c>
      <x:c r="AQ128" t="n">
        <x: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x:f>
        <x:v>2671.6426309227986</x:v>
      </x:c>
      <x:c r="AR128" t="n">
        <x:f>Scenario_Data!U128</x:f>
        <x:v>20</x:v>
      </x:c>
      <x:c r="AS128" t="n">
        <x: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x:f>
        <x:v>320.44458185581664</x:v>
      </x:c>
      <x:c r="AT128" t="n">
        <x:f>Scenario_Data!V128</x:f>
        <x:v>40</x:v>
      </x:c>
      <x:c r="AU128" t="n">
        <x: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x:f>
        <x:v>403.35525783550514</x:v>
      </x:c>
      <x:c r="AV128" t="n">
        <x:f>Scenario_Data!W128</x:f>
        <x:v>40</x:v>
      </x:c>
      <x:c r="AW128" t="n">
        <x: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x:f>
        <x:v>365.43560445237125</x:v>
      </x:c>
    </x:row>
    <x:row r="129">
      <x:c r="A129" t="n">
        <x:f>Chart_Data!K129</x:f>
        <x:v>3.5</x:v>
      </x:c>
      <x:c r="B129" t="n">
        <x:f>Chart_Data!N129-Chart_Data!L129</x:f>
        <x:v>-100.3817455303992</x:v>
      </x:c>
      <x:c r="D129" t="n">
        <x:f>Chart_Data!G129</x:f>
        <x:v>3.5</x:v>
      </x:c>
      <x:c r="E129" t="n">
        <x:f>Chart_Data!H129</x:f>
        <x:v>562.919019674553</x:v>
      </x:c>
      <x:c r="F129" t="n">
        <x:f>Chart_Data!I129</x:f>
        <x:v>562.919019674553</x:v>
      </x:c>
      <x:c r="G129" t="n">
        <x:f>Chart_Data!J129</x:f>
        <x:v>98.61636326587373</x:v>
      </x:c>
      <x:c r="I129" t="n">
        <x:f>Scenario_Data!A129</x:f>
        <x:v>0.058</x:v>
      </x:c>
      <x:c r="J129" t="n">
        <x:f>Scenario_Data!H129-(((SQRT((Inputs!$C$52+(Inputs!$H$6))^2+Inputs!$C$52^2-2*(Inputs!$C$52+(Inputs!$H$6))*Inputs!$C$52*COS(SQRT((Scenario_Data!T129)^2+Inputs!$C$6^2)/Inputs!$C$52)))-(Inputs!$H$6))*1000/Inputs!$C$12)</x:f>
        <x:v>-0.014988976835297763</x:v>
      </x:c>
      <x:c r="K129" t="n">
        <x:f>Scenario_Data!I129-(((SQRT((Inputs!$C$52+(Inputs!$H$7))^2+Inputs!$C$52^2-2*(Inputs!$C$52+(Inputs!$H$7))*Inputs!$C$52*COS(SQRT((Scenario_Data!U129)^2+Inputs!$C$6^2)/Inputs!$C$52)))-(Inputs!$H$7))*1000/Inputs!$C$12)</x:f>
        <x:v>-189.13531467878693</x:v>
      </x:c>
      <x:c r="L129" t="n">
        <x:f>Scenario_Data!J129-(((SQRT((Inputs!$C$52+(Inputs!$H$8))^2+Inputs!$C$52^2-2*(Inputs!$C$52+(Inputs!$H$8))*Inputs!$C$52*COS(SQRT((Scenario_Data!V129)^2+Inputs!$C$6^2)/Inputs!$C$52)))-(Inputs!$H$8))*1000/Inputs!$C$12)</x:f>
        <x:v>-766.3118882481267</x:v>
      </x:c>
      <x:c r="M129" t="n">
        <x:f>Scenario_Data!K129-(((SQRT((Inputs!$C$52+(Inputs!$H$9))^2+Inputs!$C$52^2-2*(Inputs!$C$52+(Inputs!$H$9))*Inputs!$C$52*COS(SQRT((Scenario_Data!W129)^2+Inputs!$C$6^2)/Inputs!$C$52)))-(Inputs!$H$9))*1000/Inputs!$C$12)</x:f>
        <x:v>-989.6747178815604</x:v>
      </x:c>
      <x:c r="O129" t="n">
        <x:f>Scenario_Data!T129</x:f>
        <x:v>3.480000000000004</x:v>
      </x:c>
      <x:c r="P129" t="n">
        <x:f>2*(Scenario_Data!B129*1000)/Inputs!$C$21*1000000</x:f>
        <x:v>2668.602530354516</x:v>
      </x:c>
      <x:c r="Q129" t="n">
        <x:f>Scenario_Data!U129</x:f>
        <x:v>23.200000000000045</x:v>
      </x:c>
      <x:c r="R129" t="n">
        <x:f>2*(Scenario_Data!C129*1000)/Inputs!$C$21*1000000</x:f>
        <x:v>241.68626683730656</x:v>
      </x:c>
      <x:c r="S129" t="n">
        <x:f>Scenario_Data!V129</x:f>
        <x:v>46.40000000000009</x:v>
      </x:c>
      <x:c r="T129" t="n">
        <x:f>2*(Scenario_Data!D129*1000)/Inputs!$C$21*1000000</x:f>
        <x:v>255.1515822322656</x:v>
      </x:c>
      <x:c r="U129" t="n">
        <x:f>Scenario_Data!W129</x:f>
        <x:v>46.40000000000009</x:v>
      </x:c>
      <x:c r="V129" t="n">
        <x:f>2*(Scenario_Data!E129*1000)/Inputs!$C$21*1000000</x:f>
        <x:v>188.66318511588446</x:v>
      </x:c>
      <x:c r="X129" t="n">
        <x:f>Scenario_Data!T129</x:f>
        <x:v>3.480000000000004</x:v>
      </x:c>
      <x:c r="Y129" t="n">
        <x: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x:f>
        <x:v>2667.9465338834552</x:v>
      </x:c>
      <x:c r="Z129" t="n">
        <x:f>Scenario_Data!U129</x:f>
        <x:v>23.200000000000045</x:v>
      </x:c>
      <x:c r="AA129" t="n">
        <x: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x:f>
        <x:v>241.24252251869171</x:v>
      </x:c>
      <x:c r="AB129" t="n">
        <x:f>Scenario_Data!V129</x:f>
        <x:v>46.40000000000009</x:v>
      </x:c>
      <x:c r="AC129" t="n">
        <x: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x:f>
        <x:v>255.2187398952393</x:v>
      </x:c>
      <x:c r="AD129" t="n">
        <x:f>Scenario_Data!W129</x:f>
        <x:v>46.40000000000009</x:v>
      </x:c>
      <x:c r="AE129" t="n">
        <x: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x:f>
        <x:v>188.73034277885816</x:v>
      </x:c>
      <x:c r="AG129" t="n">
        <x:f>Scenario_Data!T129</x:f>
        <x:v>3.480000000000004</x:v>
      </x:c>
      <x:c r="AH129" t="n">
        <x:f>2*(SQRT((Inputs!$C$52+(Scenario_Data!B129))^2+Inputs!$C$52^2-2*(Inputs!$C$52+(Scenario_Data!B129))*Inputs!$C$52*COS(SQRT((Scenario_Data!T129)^2+Inputs!$C$6^2)/Inputs!$C$52))*1000)/Inputs!$C$21*1000000</x:f>
        <x:v>2675.2684009246454</x:v>
      </x:c>
      <x:c r="AI129" t="n">
        <x:f>Scenario_Data!U129</x:f>
        <x:v>23.200000000000045</x:v>
      </x:c>
      <x:c r="AJ129" t="n">
        <x:f>2*(SQRT((Inputs!$C$52+(Scenario_Data!C129))^2+Inputs!$C$52^2-2*(Inputs!$C$52+(Scenario_Data!C129))*Inputs!$C$52*COS(SQRT((Scenario_Data!U129)^2+Inputs!$C$6^2)/Inputs!$C$52))*1000)/Inputs!$C$21*1000000</x:f>
        <x:v>333.7408733876195</x:v>
      </x:c>
      <x:c r="AK129" t="n">
        <x:f>Scenario_Data!V129</x:f>
        <x:v>46.40000000000009</x:v>
      </x:c>
      <x:c r="AL129" t="n">
        <x:f>2*(SQRT((Inputs!$C$52+(Scenario_Data!D129))^2+Inputs!$C$52^2-2*(Inputs!$C$52+(Scenario_Data!D129))*Inputs!$C$52*COS(SQRT((Scenario_Data!V129)^2+Inputs!$C$6^2)/Inputs!$C$52))*1000)/Inputs!$C$21*1000000</x:f>
        <x:v>437.8992973190349</x:v>
      </x:c>
      <x:c r="AM129" t="n">
        <x:f>Scenario_Data!W129</x:f>
        <x:v>46.40000000000009</x:v>
      </x:c>
      <x:c r="AN129" t="n">
        <x:f>2*(SQRT((Inputs!$C$52+(Scenario_Data!E129))^2+Inputs!$C$52^2-2*(Inputs!$C$52+(Scenario_Data!E129))*Inputs!$C$52*COS(SQRT((Scenario_Data!W129)^2+Inputs!$C$6^2)/Inputs!$C$52))*1000)/Inputs!$C$21*1000000</x:f>
        <x:v>401.81820551497754</x:v>
      </x:c>
      <x:c r="AP129" t="n">
        <x:f>Scenario_Data!T129</x:f>
        <x:v>3.480000000000004</x:v>
      </x:c>
      <x:c r="AQ129" t="n">
        <x: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x:f>
        <x:v>2671.5287542409565</x:v>
      </x:c>
      <x:c r="AR129" t="n">
        <x:f>Scenario_Data!U129</x:f>
        <x:v>23.200000000000045</x:v>
      </x:c>
      <x:c r="AS129" t="n">
        <x: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x:f>
        <x:v>331.6458641659622</x:v>
      </x:c>
      <x:c r="AT129" t="n">
        <x:f>Scenario_Data!V129</x:f>
        <x:v>46.40000000000009</x:v>
      </x:c>
      <x:c r="AU129" t="n">
        <x: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x:f>
        <x:v>437.3422960859125</x:v>
      </x:c>
      <x:c r="AV129" t="n">
        <x:f>Scenario_Data!W129</x:f>
        <x:v>46.40000000000009</x:v>
      </x:c>
      <x:c r="AW129" t="n">
        <x: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x:f>
        <x:v>401.37349365440116</x:v>
      </x:c>
    </x:row>
    <x:row r="130">
      <x:c r="A130" t="n">
        <x:f>Chart_Data!K130</x:f>
        <x:v>4</x:v>
      </x:c>
      <x:c r="B130" t="n">
        <x:f>Chart_Data!N130-Chart_Data!L130</x:f>
        <x:v>-98.13487225773548</x:v>
      </x:c>
      <x:c r="D130" t="n">
        <x:f>Chart_Data!G130</x:f>
        <x:v>4</x:v>
      </x:c>
      <x:c r="E130" t="n">
        <x:f>Chart_Data!H130</x:f>
        <x:v>561.6697690573507</x:v>
      </x:c>
      <x:c r="F130" t="n">
        <x:f>Chart_Data!I130</x:f>
        <x:v>561.6697690573507</x:v>
      </x:c>
      <x:c r="G130" t="n">
        <x:f>Chart_Data!J130</x:f>
        <x:v>96.36311355528144</x:v>
      </x:c>
      <x:c r="I130" t="n">
        <x:f>Scenario_Data!A130</x:f>
        <x:v>0.067</x:v>
      </x:c>
      <x:c r="J130" t="n">
        <x:f>Scenario_Data!H130-(((SQRT((Inputs!$C$52+(Inputs!$H$6))^2+Inputs!$C$52^2-2*(Inputs!$C$52+(Inputs!$H$6))*Inputs!$C$52*COS(SQRT((Scenario_Data!T130)^2+Inputs!$C$6^2)/Inputs!$C$52)))-(Inputs!$H$6))*1000/Inputs!$C$12)</x:f>
        <x:v>-0.02012804017840608</x:v>
      </x:c>
      <x:c r="K130" t="n">
        <x:f>Scenario_Data!I130-(((SQRT((Inputs!$C$52+(Inputs!$H$7))^2+Inputs!$C$52^2-2*(Inputs!$C$52+(Inputs!$H$7))*Inputs!$C$52*COS(SQRT((Scenario_Data!U130)^2+Inputs!$C$6^2)/Inputs!$C$52)))-(Inputs!$H$7))*1000/Inputs!$C$12)</x:f>
        <x:v>-273.20619150514904</x:v>
      </x:c>
      <x:c r="L130" t="n">
        <x:f>Scenario_Data!J130-(((SQRT((Inputs!$C$52+(Inputs!$H$8))^2+Inputs!$C$52^2-2*(Inputs!$C$52+(Inputs!$H$8))*Inputs!$C$52*COS(SQRT((Scenario_Data!V130)^2+Inputs!$C$6^2)/Inputs!$C$52)))-(Inputs!$H$8))*1000/Inputs!$C$12)</x:f>
        <x:v>-1111.366579203488</x:v>
      </x:c>
      <x:c r="M130" t="n">
        <x:f>Scenario_Data!K130-(((SQRT((Inputs!$C$52+(Inputs!$H$9))^2+Inputs!$C$52^2-2*(Inputs!$C$52+(Inputs!$H$9))*Inputs!$C$52*COS(SQRT((Scenario_Data!W130)^2+Inputs!$C$6^2)/Inputs!$C$52)))-(Inputs!$H$9))*1000/Inputs!$C$12)</x:f>
        <x:v>-1397.552072156148</x:v>
      </x:c>
      <x:c r="O130" t="n">
        <x:f>Scenario_Data!T130</x:f>
        <x:v>4.019999999999996</x:v>
      </x:c>
      <x:c r="P130" t="n">
        <x:f>2*(Scenario_Data!B130*1000)/Inputs!$C$21*1000000</x:f>
        <x:v>2668.632551123084</x:v>
      </x:c>
      <x:c r="Q130" t="n">
        <x:f>Scenario_Data!U130</x:f>
        <x:v>26.799999999999955</x:v>
      </x:c>
      <x:c r="R130" t="n">
        <x:f>2*(Scenario_Data!C130*1000)/Inputs!$C$21*1000000</x:f>
        <x:v>244.42566196912128</x:v>
      </x:c>
      <x:c r="S130" t="n">
        <x:f>Scenario_Data!V130</x:f>
        <x:v>53.59999999999991</x:v>
      </x:c>
      <x:c r="T130" t="n">
        <x:f>2*(Scenario_Data!D130*1000)/Inputs!$C$21*1000000</x:f>
        <x:v>262.3940926492553</x:v>
      </x:c>
      <x:c r="U130" t="n">
        <x:f>Scenario_Data!W130</x:f>
        <x:v>53.59999999999991</x:v>
      </x:c>
      <x:c r="V130" t="n">
        <x:f>2*(Scenario_Data!E130*1000)/Inputs!$C$21*1000000</x:f>
        <x:v>195.98074745429378</x:v>
      </x:c>
      <x:c r="X130" t="n">
        <x:f>Scenario_Data!T130</x:f>
        <x:v>4.019999999999996</x:v>
      </x:c>
      <x:c r="Y130" t="n">
        <x: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x:f>
        <x:v>2668.0413136983166</x:v>
      </x:c>
      <x:c r="Z130" t="n">
        <x:f>Scenario_Data!U130</x:f>
        <x:v>26.799999999999955</x:v>
      </x:c>
      <x:c r="AA130" t="n">
        <x: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x:f>
        <x:v>243.91411166454145</x:v>
      </x:c>
      <x:c r="AB130" t="n">
        <x:f>Scenario_Data!V130</x:f>
        <x:v>53.59999999999991</x:v>
      </x:c>
      <x:c r="AC130" t="n">
        <x: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x:f>
        <x:v>262.3743325123983</x:v>
      </x:c>
      <x:c r="AD130" t="n">
        <x:f>Scenario_Data!W130</x:f>
        <x:v>53.59999999999991</x:v>
      </x:c>
      <x:c r="AE130" t="n">
        <x: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x:f>
        <x:v>195.9609873174368</x:v>
      </x:c>
      <x:c r="AG130" t="n">
        <x:f>Scenario_Data!T130</x:f>
        <x:v>4.019999999999996</x:v>
      </x:c>
      <x:c r="AH130" t="n">
        <x:f>2*(SQRT((Inputs!$C$52+(Scenario_Data!B130))^2+Inputs!$C$52^2-2*(Inputs!$C$52+(Scenario_Data!B130))*Inputs!$C$52*COS(SQRT((Scenario_Data!T130)^2+Inputs!$C$6^2)/Inputs!$C$52))*1000)/Inputs!$C$21*1000000</x:f>
        <x:v>2675.340681520537</x:v>
      </x:c>
      <x:c r="AI130" t="n">
        <x:f>Scenario_Data!U130</x:f>
        <x:v>26.799999999999955</x:v>
      </x:c>
      <x:c r="AJ130" t="n">
        <x:f>2*(SQRT((Inputs!$C$52+(Scenario_Data!C130))^2+Inputs!$C$52^2-2*(Inputs!$C$52+(Scenario_Data!C130))*Inputs!$C$52*COS(SQRT((Scenario_Data!U130)^2+Inputs!$C$6^2)/Inputs!$C$52))*1000)/Inputs!$C$21*1000000</x:f>
        <x:v>347.7451277079186</x:v>
      </x:c>
      <x:c r="AK130" t="n">
        <x:f>Scenario_Data!V130</x:f>
        <x:v>53.59999999999991</x:v>
      </x:c>
      <x:c r="AL130" t="n">
        <x:f>2*(SQRT((Inputs!$C$52+(Scenario_Data!D130))^2+Inputs!$C$52^2-2*(Inputs!$C$52+(Scenario_Data!D130))*Inputs!$C$52*COS(SQRT((Scenario_Data!V130)^2+Inputs!$C$6^2)/Inputs!$C$52))*1000)/Inputs!$C$21*1000000</x:f>
        <x:v>477.9486297496659</x:v>
      </x:c>
      <x:c r="AM130" t="n">
        <x:f>Scenario_Data!W130</x:f>
        <x:v>53.59999999999991</x:v>
      </x:c>
      <x:c r="AN130" t="n">
        <x:f>2*(SQRT((Inputs!$C$52+(Scenario_Data!E130))^2+Inputs!$C$52^2-2*(Inputs!$C$52+(Scenario_Data!E130))*Inputs!$C$52*COS(SQRT((Scenario_Data!W130)^2+Inputs!$C$6^2)/Inputs!$C$52))*1000)/Inputs!$C$21*1000000</x:f>
        <x:v>443.8466445893456</x:v>
      </x:c>
      <x:c r="AP130" t="n">
        <x:f>Scenario_Data!T130</x:f>
        <x:v>4.019999999999996</x:v>
      </x:c>
      <x:c r="AQ130" t="n">
        <x: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x:f>
        <x:v>2671.7164768981124</x:v>
      </x:c>
      <x:c r="AR130" t="n">
        <x:f>Scenario_Data!U130</x:f>
        <x:v>26.799999999999955</x:v>
      </x:c>
      <x:c r="AS130" t="n">
        <x: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x:f>
        <x:v>346.1259254691169</x:v>
      </x:c>
      <x:c r="AT130" t="n">
        <x:f>Scenario_Data!V130</x:f>
        <x:v>53.59999999999991</x:v>
      </x:c>
      <x:c r="AU130" t="n">
        <x: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x:f>
        <x:v>477.3110002130046</x:v>
      </x:c>
      <x:c r="AV130" t="n">
        <x:f>Scenario_Data!W130</x:f>
        <x:v>53.59999999999991</x:v>
      </x:c>
      <x:c r="AW130" t="n">
        <x: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x:f>
        <x:v>443.33938132861306</x:v>
      </x:c>
    </x:row>
    <x:row r="131">
      <x:c r="A131" t="n">
        <x:f>Chart_Data!K131</x:f>
        <x:v>4.5</x:v>
      </x:c>
      <x:c r="B131" t="n">
        <x:f>Chart_Data!N131-Chart_Data!L131</x:f>
        <x:v>-84.32559173968934</x:v>
      </x:c>
      <x:c r="D131" t="n">
        <x:f>Chart_Data!G131</x:f>
        <x:v>4.5</x:v>
      </x:c>
      <x:c r="E131" t="n">
        <x:f>Chart_Data!H131</x:f>
        <x:v>568.6436382247327</x:v>
      </x:c>
      <x:c r="F131" t="n">
        <x:f>Chart_Data!I131</x:f>
        <x:v>568.6436382247327</x:v>
      </x:c>
      <x:c r="G131" t="n">
        <x:f>Chart_Data!J131</x:f>
        <x:v>82.51998590748882</x:v>
      </x:c>
      <x:c r="I131" t="n">
        <x:f>Scenario_Data!A131</x:f>
        <x:v>0.075</x:v>
      </x:c>
      <x:c r="J131" t="n">
        <x:f>Scenario_Data!H131-(((SQRT((Inputs!$C$52+(Inputs!$H$6))^2+Inputs!$C$52^2-2*(Inputs!$C$52+(Inputs!$H$6))*Inputs!$C$52*COS(SQRT((Scenario_Data!T131)^2+Inputs!$C$6^2)/Inputs!$C$52)))-(Inputs!$H$6))*1000/Inputs!$C$12)</x:f>
        <x:v>-0.025381627713954913</x:v>
      </x:c>
      <x:c r="K131" t="n">
        <x:f>Scenario_Data!I131-(((SQRT((Inputs!$C$52+(Inputs!$H$7))^2+Inputs!$C$52^2-2*(Inputs!$C$52+(Inputs!$H$7))*Inputs!$C$52*COS(SQRT((Scenario_Data!U131)^2+Inputs!$C$6^2)/Inputs!$C$52)))-(Inputs!$H$7))*1000/Inputs!$C$12)</x:f>
        <x:v>-365.6858715468552</x:v>
      </x:c>
      <x:c r="L131" t="n">
        <x:f>Scenario_Data!J131-(((SQRT((Inputs!$C$52+(Inputs!$H$8))^2+Inputs!$C$52^2-2*(Inputs!$C$52+(Inputs!$H$8))*Inputs!$C$52*COS(SQRT((Scenario_Data!V131)^2+Inputs!$C$6^2)/Inputs!$C$52)))-(Inputs!$H$8))*1000/Inputs!$C$12)</x:f>
        <x:v>-1478.9642244424758</x:v>
      </x:c>
      <x:c r="M131" t="n">
        <x:f>Scenario_Data!K131-(((SQRT((Inputs!$C$52+(Inputs!$H$9))^2+Inputs!$C$52^2-2*(Inputs!$C$52+(Inputs!$H$9))*Inputs!$C$52*COS(SQRT((Scenario_Data!W131)^2+Inputs!$C$6^2)/Inputs!$C$52)))-(Inputs!$H$9))*1000/Inputs!$C$12)</x:f>
        <x:v>-1822.7678078152858</x:v>
      </x:c>
      <x:c r="O131" t="n">
        <x:f>Scenario_Data!T131</x:f>
        <x:v>4.5</x:v>
      </x:c>
      <x:c r="P131" t="n">
        <x:f>2*(Scenario_Data!B131*1000)/Inputs!$C$21*1000000</x:f>
        <x:v>2668.6628654280557</x:v>
      </x:c>
      <x:c r="Q131" t="n">
        <x:f>Scenario_Data!U131</x:f>
        <x:v>30</x:v>
      </x:c>
      <x:c r="R131" t="n">
        <x:f>2*(Scenario_Data!C131*1000)/Inputs!$C$21*1000000</x:f>
        <x:v>247.19184229778054</x:v>
      </x:c>
      <x:c r="S131" t="n">
        <x:f>Scenario_Data!V131</x:f>
        <x:v>60</x:v>
      </x:c>
      <x:c r="T131" t="n">
        <x:f>2*(Scenario_Data!D131*1000)/Inputs!$C$21*1000000</x:f>
        <x:v>269.7074187236558</x:v>
      </x:c>
      <x:c r="U131" t="n">
        <x:f>Scenario_Data!W131</x:f>
        <x:v>60</x:v>
      </x:c>
      <x:c r="V131" t="n">
        <x:f>2*(Scenario_Data!E131*1000)/Inputs!$C$21*1000000</x:f>
        <x:v>203.36985929112333</x:v>
      </x:c>
      <x:c r="X131" t="n">
        <x:f>Scenario_Data!T131</x:f>
        <x:v>4.5</x:v>
      </x:c>
      <x:c r="Y131" t="n">
        <x: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x:f>
        <x:v>2668.112351339356</x:v>
      </x:c>
      <x:c r="Z131" t="n">
        <x:f>Scenario_Data!U131</x:f>
        <x:v>30</x:v>
      </x:c>
      <x:c r="AA131" t="n">
        <x: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x:f>
        <x:v>247.1125933494017</x:v>
      </x:c>
      <x:c r="AB131" t="n">
        <x:f>Scenario_Data!V131</x:f>
        <x:v>60</x:v>
      </x:c>
      <x:c r="AC131" t="n">
        <x: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x:f>
        <x:v>269.49464398527886</x:v>
      </x:c>
      <x:c r="AD131" t="n">
        <x:f>Scenario_Data!W131</x:f>
        <x:v>60</x:v>
      </x:c>
      <x:c r="AE131" t="n">
        <x: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x:f>
        <x:v>203.15708455274637</x:v>
      </x:c>
      <x:c r="AG131" t="n">
        <x:f>Scenario_Data!T131</x:f>
        <x:v>4.5</x:v>
      </x:c>
      <x:c r="AH131" t="n">
        <x:f>2*(SQRT((Inputs!$C$52+(Scenario_Data!B131))^2+Inputs!$C$52^2-2*(Inputs!$C$52+(Scenario_Data!B131))*Inputs!$C$52*COS(SQRT((Scenario_Data!T131)^2+Inputs!$C$6^2)/Inputs!$C$52))*1000)/Inputs!$C$21*1000000</x:f>
        <x:v>2675.413667405526</x:v>
      </x:c>
      <x:c r="AI131" t="n">
        <x:f>Scenario_Data!U131</x:f>
        <x:v>30</x:v>
      </x:c>
      <x:c r="AJ131" t="n">
        <x:f>2*(SQRT((Inputs!$C$52+(Scenario_Data!C131))^2+Inputs!$C$52^2-2*(Inputs!$C$52+(Scenario_Data!C131))*Inputs!$C$52*COS(SQRT((Scenario_Data!U131)^2+Inputs!$C$6^2)/Inputs!$C$52))*1000)/Inputs!$C$21*1000000</x:f>
        <x:v>361.3628330842782</x:v>
      </x:c>
      <x:c r="AK131" t="n">
        <x:f>Scenario_Data!V131</x:f>
        <x:v>60</x:v>
      </x:c>
      <x:c r="AL131" t="n">
        <x:f>2*(SQRT((Inputs!$C$52+(Scenario_Data!D131))^2+Inputs!$C$52^2-2*(Inputs!$C$52+(Scenario_Data!D131))*Inputs!$C$52*COS(SQRT((Scenario_Data!V131)^2+Inputs!$C$6^2)/Inputs!$C$52))*1000)/Inputs!$C$21*1000000</x:f>
        <x:v>515.385935947316</x:v>
      </x:c>
      <x:c r="AM131" t="n">
        <x:f>Scenario_Data!W131</x:f>
        <x:v>60</x:v>
      </x:c>
      <x:c r="AN131" t="n">
        <x:f>2*(SQRT((Inputs!$C$52+(Scenario_Data!E131))^2+Inputs!$C$52^2-2*(Inputs!$C$52+(Scenario_Data!E131))*Inputs!$C$52*COS(SQRT((Scenario_Data!W131)^2+Inputs!$C$6^2)/Inputs!$C$52))*1000)/Inputs!$C$21*1000000</x:f>
        <x:v>482.7443088432838</x:v>
      </x:c>
      <x:c r="AP131" t="n">
        <x:f>Scenario_Data!T131</x:f>
        <x:v>4.5</x:v>
      </x:c>
      <x:c r="AQ131" t="n">
        <x: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x:f>
        <x:v>2671.6321310975477</x:v>
      </x:c>
      <x:c r="AR131" t="n">
        <x:f>Scenario_Data!U131</x:f>
        <x:v>30</x:v>
      </x:c>
      <x:c r="AS131" t="n">
        <x: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x:f>
        <x:v>360.2018669174499</x:v>
      </x:c>
      <x:c r="AT131" t="n">
        <x:f>Scenario_Data!V131</x:f>
        <x:v>60</x:v>
      </x:c>
      <x:c r="AU131" t="n">
        <x: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x:f>
        <x:v>514.7823373735504</x:v>
      </x:c>
      <x:c r="AV131" t="n">
        <x:f>Scenario_Data!W131</x:f>
        <x:v>60</x:v>
      </x:c>
      <x:c r="AW131" t="n">
        <x: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x:f>
        <x:v>482.26431149858644</x:v>
      </x:c>
    </x:row>
    <x:row r="132">
      <x:c r="A132" t="n">
        <x:f>Chart_Data!K132</x:f>
        <x:v>5</x:v>
      </x:c>
      <x:c r="B132" t="n">
        <x:f>Chart_Data!N132-Chart_Data!L132</x:f>
        <x:v>-100.70506580081894</x:v>
      </x:c>
      <x:c r="D132" t="n">
        <x:f>Chart_Data!G132</x:f>
        <x:v>5</x:v>
      </x:c>
      <x:c r="E132" t="n">
        <x:f>Chart_Data!H132</x:f>
        <x:v>548.8146920903409</x:v>
      </x:c>
      <x:c r="F132" t="n">
        <x:f>Chart_Data!I132</x:f>
        <x:v>548.8146920903409</x:v>
      </x:c>
      <x:c r="G132" t="n">
        <x:f>Chart_Data!J132</x:f>
        <x:v>98.94976350623145</x:v>
      </x:c>
      <x:c r="I132" t="n">
        <x:f>Scenario_Data!A132</x:f>
        <x:v>0.083</x:v>
      </x:c>
      <x:c r="J132" t="n">
        <x:f>Scenario_Data!H132-(((SQRT((Inputs!$C$52+(Inputs!$H$6))^2+Inputs!$C$52^2-2*(Inputs!$C$52+(Inputs!$H$6))*Inputs!$C$52*COS(SQRT((Scenario_Data!T132)^2+Inputs!$C$6^2)/Inputs!$C$52)))-(Inputs!$H$6))*1000/Inputs!$C$12)</x:f>
        <x:v>-0.031303072409855304</x:v>
      </x:c>
      <x:c r="K132" t="n">
        <x:f>Scenario_Data!I132-(((SQRT((Inputs!$C$52+(Inputs!$H$7))^2+Inputs!$C$52^2-2*(Inputs!$C$52+(Inputs!$H$7))*Inputs!$C$52*COS(SQRT((Scenario_Data!U132)^2+Inputs!$C$6^2)/Inputs!$C$52)))-(Inputs!$H$7))*1000/Inputs!$C$12)</x:f>
        <x:v>-476.0772849904715</x:v>
      </x:c>
      <x:c r="L132" t="n">
        <x:f>Scenario_Data!J132-(((SQRT((Inputs!$C$52+(Inputs!$H$8))^2+Inputs!$C$52^2-2*(Inputs!$C$52+(Inputs!$H$8))*Inputs!$C$52*COS(SQRT((Scenario_Data!V132)^2+Inputs!$C$6^2)/Inputs!$C$52)))-(Inputs!$H$8))*1000/Inputs!$C$12)</x:f>
        <x:v>-1903.505948859045</x:v>
      </x:c>
      <x:c r="M132" t="n">
        <x:f>Scenario_Data!K132-(((SQRT((Inputs!$C$52+(Inputs!$H$9))^2+Inputs!$C$52^2-2*(Inputs!$C$52+(Inputs!$H$9))*Inputs!$C$52*COS(SQRT((Scenario_Data!W132)^2+Inputs!$C$6^2)/Inputs!$C$52)))-(Inputs!$H$9))*1000/Inputs!$C$12)</x:f>
        <x:v>-2305.8725854526674</x:v>
      </x:c>
      <x:c r="O132" t="n">
        <x:f>Scenario_Data!T132</x:f>
        <x:v>4.980000000000004</x:v>
      </x:c>
      <x:c r="P132" t="n">
        <x:f>2*(Scenario_Data!B132*1000)/Inputs!$C$21*1000000</x:f>
        <x:v>2668.696595429362</x:v>
      </x:c>
      <x:c r="Q132" t="n">
        <x:f>Scenario_Data!U132</x:f>
        <x:v>33.19999999999999</x:v>
      </x:c>
      <x:c r="R132" t="n">
        <x:f>2*(Scenario_Data!C132*1000)/Inputs!$C$21*1000000</x:f>
        <x:v>250.26970491699296</x:v>
      </x:c>
      <x:c r="S132" t="n">
        <x:f>Scenario_Data!V132</x:f>
        <x:v>66.39999999999998</x:v>
      </x:c>
      <x:c r="T132" t="n">
        <x:f>2*(Scenario_Data!D132*1000)/Inputs!$C$21*1000000</x:f>
        <x:v>277.84478153883373</x:v>
      </x:c>
      <x:c r="U132" t="n">
        <x:f>Scenario_Data!W132</x:f>
        <x:v>66.39999999999998</x:v>
      </x:c>
      <x:c r="V132" t="n">
        <x:f>2*(Scenario_Data!E132*1000)/Inputs!$C$21*1000000</x:f>
        <x:v>211.59154710956733</x:v>
      </x:c>
      <x:c r="X132" t="n">
        <x:f>Scenario_Data!T132</x:f>
        <x:v>4.980000000000004</x:v>
      </x:c>
      <x:c r="Y132" t="n">
        <x: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x:f>
        <x:v>2668.024044371162</x:v>
      </x:c>
      <x:c r="Z132" t="n">
        <x:f>Scenario_Data!U132</x:f>
        <x:v>33.19999999999999</x:v>
      </x:c>
      <x:c r="AA132" t="n">
        <x: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x:f>
        <x:v>250.2681978626065</x:v>
      </x:c>
      <x:c r="AB132" t="n">
        <x:f>Scenario_Data!V132</x:f>
        <x:v>66.39999999999998</x:v>
      </x:c>
      <x:c r="AC132" t="n">
        <x: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x:f>
        <x:v>278.0034259719433</x:v>
      </x:c>
      <x:c r="AD132" t="n">
        <x:f>Scenario_Data!W132</x:f>
        <x:v>66.39999999999998</x:v>
      </x:c>
      <x:c r="AE132" t="n">
        <x: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x:f>
        <x:v>211.7501915426769</x:v>
      </x:c>
      <x:c r="AG132" t="n">
        <x:f>Scenario_Data!T132</x:f>
        <x:v>4.980000000000004</x:v>
      </x:c>
      <x:c r="AH132" t="n">
        <x:f>2*(SQRT((Inputs!$C$52+(Scenario_Data!B132))^2+Inputs!$C$52^2-2*(Inputs!$C$52+(Scenario_Data!B132))*Inputs!$C$52*COS(SQRT((Scenario_Data!T132)^2+Inputs!$C$6^2)/Inputs!$C$52))*1000)/Inputs!$C$21*1000000</x:f>
        <x:v>2675.494875334485</x:v>
      </x:c>
      <x:c r="AI132" t="n">
        <x:f>Scenario_Data!U132</x:f>
        <x:v>33.19999999999999</x:v>
      </x:c>
      <x:c r="AJ132" t="n">
        <x:f>2*(SQRT((Inputs!$C$52+(Scenario_Data!C132))^2+Inputs!$C$52^2-2*(Inputs!$C$52+(Scenario_Data!C132))*Inputs!$C$52*COS(SQRT((Scenario_Data!U132)^2+Inputs!$C$6^2)/Inputs!$C$52))*1000)/Inputs!$C$21*1000000</x:f>
        <x:v>375.9660695790947</x:v>
      </x:c>
      <x:c r="AK132" t="n">
        <x:f>Scenario_Data!V132</x:f>
        <x:v>66.39999999999998</x:v>
      </x:c>
      <x:c r="AL132" t="n">
        <x:f>2*(SQRT((Inputs!$C$52+(Scenario_Data!D132))^2+Inputs!$C$52^2-2*(Inputs!$C$52+(Scenario_Data!D132))*Inputs!$C$52*COS(SQRT((Scenario_Data!V132)^2+Inputs!$C$6^2)/Inputs!$C$52))*1000)/Inputs!$C$21*1000000</x:f>
        <x:v>554.2362316751039</x:v>
      </x:c>
      <x:c r="AM132" t="n">
        <x:f>Scenario_Data!W132</x:f>
        <x:v>66.39999999999998</x:v>
      </x:c>
      <x:c r="AN132" t="n">
        <x:f>2*(SQRT((Inputs!$C$52+(Scenario_Data!E132))^2+Inputs!$C$52^2-2*(Inputs!$C$52+(Scenario_Data!E132))*Inputs!$C$52*COS(SQRT((Scenario_Data!W132)^2+Inputs!$C$6^2)/Inputs!$C$52))*1000)/Inputs!$C$21*1000000</x:f>
        <x:v>522.8056693168993</x:v>
      </x:c>
      <x:c r="AP132" t="n">
        <x:f>Scenario_Data!T132</x:f>
        <x:v>4.980000000000004</x:v>
      </x:c>
      <x:c r="AQ132" t="n">
        <x: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x:f>
        <x:v>2671.7859679590338</x:v>
      </x:c>
      <x:c r="AR132" t="n">
        <x:f>Scenario_Data!U132</x:f>
        <x:v>33.19999999999999</x:v>
      </x:c>
      <x:c r="AS132" t="n">
        <x: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x:f>
        <x:v>374.979174132014</x:v>
      </x:c>
      <x:c r="AT132" t="n">
        <x:f>Scenario_Data!V132</x:f>
        <x:v>66.39999999999998</x:v>
      </x:c>
      <x:c r="AU132" t="n">
        <x: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x:f>
        <x:v>553.9006055367959</x:v>
      </x:c>
      <x:c r="AV132" t="n">
        <x:f>Scenario_Data!W132</x:f>
        <x:v>66.39999999999998</x:v>
      </x:c>
      <x:c r="AW132" t="n">
        <x: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x:f>
        <x:v>522.5382572248163</x:v>
      </x:c>
    </x:row>
    <x:row r="133">
      <x:c r="A133" t="n">
        <x:f>Chart_Data!K133</x:f>
        <x:v>5.5</x:v>
      </x:c>
      <x:c r="B133" t="n">
        <x:f>Chart_Data!N133-Chart_Data!L133</x:f>
        <x:v>-98.853802750613</x:v>
      </x:c>
      <x:c r="D133" t="n">
        <x:f>Chart_Data!G133</x:f>
        <x:v>5.5</x:v>
      </x:c>
      <x:c r="E133" t="n">
        <x:f>Chart_Data!H133</x:f>
        <x:v>539.5212853164131</x:v>
      </x:c>
      <x:c r="F133" t="n">
        <x:f>Chart_Data!I133</x:f>
        <x:v>539.5212853164131</x:v>
      </x:c>
      <x:c r="G133" t="n">
        <x:f>Chart_Data!J133</x:f>
        <x:v>97.11441747768895</x:v>
      </x:c>
      <x:c r="I133" t="n">
        <x:f>Scenario_Data!A133</x:f>
        <x:v>0.092</x:v>
      </x:c>
      <x:c r="J133" t="n">
        <x:f>Scenario_Data!H133-(((SQRT((Inputs!$C$52+(Inputs!$H$6))^2+Inputs!$C$52^2-2*(Inputs!$C$52+(Inputs!$H$6))*Inputs!$C$52*COS(SQRT((Scenario_Data!T133)^2+Inputs!$C$6^2)/Inputs!$C$52)))-(Inputs!$H$6))*1000/Inputs!$C$12)</x:f>
        <x:v>-0.038793322623632776</x:v>
      </x:c>
      <x:c r="K133" t="n">
        <x:f>Scenario_Data!I133-(((SQRT((Inputs!$C$52+(Inputs!$H$7))^2+Inputs!$C$52^2-2*(Inputs!$C$52+(Inputs!$H$7))*Inputs!$C$52*COS(SQRT((Scenario_Data!U133)^2+Inputs!$C$6^2)/Inputs!$C$52)))-(Inputs!$H$7))*1000/Inputs!$C$12)</x:f>
        <x:v>-622.7876519774909</x:v>
      </x:c>
      <x:c r="L133" t="n">
        <x:f>Scenario_Data!J133-(((SQRT((Inputs!$C$52+(Inputs!$H$8))^2+Inputs!$C$52^2-2*(Inputs!$C$52+(Inputs!$H$8))*Inputs!$C$52*COS(SQRT((Scenario_Data!V133)^2+Inputs!$C$6^2)/Inputs!$C$52)))-(Inputs!$H$8))*1000/Inputs!$C$12)</x:f>
        <x:v>-2448.174221919682</x:v>
      </x:c>
      <x:c r="M133" t="n">
        <x:f>Scenario_Data!K133-(((SQRT((Inputs!$C$52+(Inputs!$H$9))^2+Inputs!$C$52^2-2*(Inputs!$C$52+(Inputs!$H$9))*Inputs!$C$52*COS(SQRT((Scenario_Data!W133)^2+Inputs!$C$6^2)/Inputs!$C$52)))-(Inputs!$H$9))*1000/Inputs!$C$12)</x:f>
        <x:v>-2916.9995331569153</x:v>
      </x:c>
      <x:c r="O133" t="n">
        <x:f>Scenario_Data!T133</x:f>
        <x:v>5.52000000000001</x:v>
      </x:c>
      <x:c r="P133" t="n">
        <x:f>2*(Scenario_Data!B133*1000)/Inputs!$C$21*1000000</x:f>
        <x:v>2668.738624505357</x:v>
      </x:c>
      <x:c r="Q133" t="n">
        <x:f>Scenario_Data!U133</x:f>
        <x:v>36.80000000000001</x:v>
      </x:c>
      <x:c r="R133" t="n">
        <x:f>2*(Scenario_Data!C133*1000)/Inputs!$C$21*1000000</x:f>
        <x:v>254.1048581015337</x:v>
      </x:c>
      <x:c r="S133" t="n">
        <x:f>Scenario_Data!V133</x:f>
        <x:v>73.60000000000002</x:v>
      </x:c>
      <x:c r="T133" t="n">
        <x:f>2*(Scenario_Data!D133*1000)/Inputs!$C$21*1000000</x:f>
        <x:v>287.98429612261964</x:v>
      </x:c>
      <x:c r="U133" t="n">
        <x:f>Scenario_Data!W133</x:f>
        <x:v>73.60000000000002</x:v>
      </x:c>
      <x:c r="V133" t="n">
        <x:f>2*(Scenario_Data!E133*1000)/Inputs!$C$21*1000000</x:f>
        <x:v>221.8361343833407</x:v>
      </x:c>
      <x:c r="X133" t="n">
        <x:f>Scenario_Data!T133</x:f>
        <x:v>5.52000000000001</x:v>
      </x:c>
      <x:c r="Y133" t="n">
        <x: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x:f>
        <x:v>2668.1188396643256</x:v>
      </x:c>
      <x:c r="Z133" t="n">
        <x:f>Scenario_Data!U133</x:f>
        <x:v>36.80000000000001</x:v>
      </x:c>
      <x:c r="AA133" t="n">
        <x: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x:f>
        <x:v>253.68974248855739</x:v>
      </x:c>
      <x:c r="AB133" t="n">
        <x:f>Scenario_Data!V133</x:f>
        <x:v>73.60000000000002</x:v>
      </x:c>
      <x:c r="AC133" t="n">
        <x: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x:f>
        <x:v>287.8679845367436</x:v>
      </x:c>
      <x:c r="AD133" t="n">
        <x:f>Scenario_Data!W133</x:f>
        <x:v>73.60000000000002</x:v>
      </x:c>
      <x:c r="AE133" t="n">
        <x: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x:f>
        <x:v>221.71982279746464</x:v>
      </x:c>
      <x:c r="AG133" t="n">
        <x:f>Scenario_Data!T133</x:f>
        <x:v>5.52000000000001</x:v>
      </x:c>
      <x:c r="AH133" t="n">
        <x:f>2*(SQRT((Inputs!$C$52+(Scenario_Data!B133))^2+Inputs!$C$52^2-2*(Inputs!$C$52+(Scenario_Data!B133))*Inputs!$C$52*COS(SQRT((Scenario_Data!T133)^2+Inputs!$C$6^2)/Inputs!$C$52))*1000)/Inputs!$C$21*1000000</x:f>
        <x:v>2675.596061480153</x:v>
      </x:c>
      <x:c r="AI133" t="n">
        <x:f>Scenario_Data!U133</x:f>
        <x:v>36.80000000000001</x:v>
      </x:c>
      <x:c r="AJ133" t="n">
        <x:f>2*(SQRT((Inputs!$C$52+(Scenario_Data!C133))^2+Inputs!$C$52^2-2*(Inputs!$C$52+(Scenario_Data!C133))*Inputs!$C$52*COS(SQRT((Scenario_Data!U133)^2+Inputs!$C$6^2)/Inputs!$C$52))*1000)/Inputs!$C$21*1000000</x:f>
        <x:v>393.44746490213646</x:v>
      </x:c>
      <x:c r="AK133" t="n">
        <x:f>Scenario_Data!V133</x:f>
        <x:v>73.60000000000002</x:v>
      </x:c>
      <x:c r="AL133" t="n">
        <x:f>2*(SQRT((Inputs!$C$52+(Scenario_Data!D133))^2+Inputs!$C$52^2-2*(Inputs!$C$52+(Scenario_Data!D133))*Inputs!$C$52*COS(SQRT((Scenario_Data!V133)^2+Inputs!$C$6^2)/Inputs!$C$52))*1000)/Inputs!$C$21*1000000</x:f>
        <x:v>599.3484103990154</x:v>
      </x:c>
      <x:c r="AM133" t="n">
        <x:f>Scenario_Data!W133</x:f>
        <x:v>73.60000000000002</x:v>
      </x:c>
      <x:c r="AN133" t="n">
        <x:f>2*(SQRT((Inputs!$C$52+(Scenario_Data!E133))^2+Inputs!$C$52^2-2*(Inputs!$C$52+(Scenario_Data!E133))*Inputs!$C$52*COS(SQRT((Scenario_Data!W133)^2+Inputs!$C$6^2)/Inputs!$C$52))*1000)/Inputs!$C$21*1000000</x:f>
        <x:v>569.0227686817443</x:v>
      </x:c>
      <x:c r="AP133" t="n">
        <x:f>Scenario_Data!T133</x:f>
        <x:v>5.52000000000001</x:v>
      </x:c>
      <x:c r="AQ133" t="n">
        <x: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x:f>
        <x:v>2672.0025883219796</x:v>
      </x:c>
      <x:c r="AR133" t="n">
        <x:f>Scenario_Data!U133</x:f>
        <x:v>36.80000000000001</x:v>
      </x:c>
      <x:c r="AS133" t="n">
        <x: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x:f>
        <x:v>392.2776829264379</x:v>
      </x:c>
      <x:c r="AT133" t="n">
        <x:f>Scenario_Data!V133</x:f>
        <x:v>73.60000000000002</x:v>
      </x:c>
      <x:c r="AU133" t="n">
        <x: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x:f>
        <x:v>598.7767662365345</x:v>
      </x:c>
      <x:c r="AV133" t="n">
        <x:f>Scenario_Data!W133</x:f>
        <x:v>73.60000000000002</x:v>
      </x:c>
      <x:c r="AW133" t="n">
        <x: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x:f>
        <x:v>568.565823552878</x:v>
      </x:c>
    </x:row>
    <x:row r="134">
      <x:c r="A134" t="n">
        <x:f>Chart_Data!K134</x:f>
        <x:v>6</x:v>
      </x:c>
      <x:c r="B134" t="n">
        <x:f>Chart_Data!N134-Chart_Data!L134</x:f>
        <x:v>-72.07812022820997</x:v>
      </x:c>
      <x:c r="D134" t="n">
        <x:f>Chart_Data!G134</x:f>
        <x:v>6</x:v>
      </x:c>
      <x:c r="E134" t="n">
        <x:f>Chart_Data!H134</x:f>
        <x:v>533.6920620973987</x:v>
      </x:c>
      <x:c r="F134" t="n">
        <x:f>Chart_Data!I134</x:f>
        <x:v>533.6920620973987</x:v>
      </x:c>
      <x:c r="G134" t="n">
        <x:f>Chart_Data!J134</x:f>
        <x:v>70.34255347941284</x:v>
      </x:c>
      <x:c r="I134" t="n">
        <x:f>Scenario_Data!A134</x:f>
        <x:v>0.1</x:v>
      </x:c>
      <x:c r="J134" t="n">
        <x:f>Scenario_Data!H134-(((SQRT((Inputs!$C$52+(Inputs!$H$6))^2+Inputs!$C$52^2-2*(Inputs!$C$52+(Inputs!$H$6))*Inputs!$C$52*COS(SQRT((Scenario_Data!T134)^2+Inputs!$C$6^2)/Inputs!$C$52)))-(Inputs!$H$6))*1000/Inputs!$C$12)</x:f>
        <x:v>-0.04621763118234412</x:v>
      </x:c>
      <x:c r="K134" t="n">
        <x:f>Scenario_Data!I134-(((SQRT((Inputs!$C$52+(Inputs!$H$7))^2+Inputs!$C$52^2-2*(Inputs!$C$52+(Inputs!$H$7))*Inputs!$C$52*COS(SQRT((Scenario_Data!U134)^2+Inputs!$C$6^2)/Inputs!$C$52)))-(Inputs!$H$7))*1000/Inputs!$C$12)</x:f>
        <x:v>-773.9404461593822</x:v>
      </x:c>
      <x:c r="L134" t="n">
        <x:f>Scenario_Data!J134-(((SQRT((Inputs!$C$52+(Inputs!$H$8))^2+Inputs!$C$52^2-2*(Inputs!$C$52+(Inputs!$H$8))*Inputs!$C$52*COS(SQRT((Scenario_Data!V134)^2+Inputs!$C$6^2)/Inputs!$C$52)))-(Inputs!$H$8))*1000/Inputs!$C$12)</x:f>
        <x:v>-2990.7521080161423</x:v>
      </x:c>
      <x:c r="M134" t="n">
        <x:f>Scenario_Data!K134-(((SQRT((Inputs!$C$52+(Inputs!$H$9))^2+Inputs!$C$52^2-2*(Inputs!$C$52+(Inputs!$H$9))*Inputs!$C$52*COS(SQRT((Scenario_Data!W134)^2+Inputs!$C$6^2)/Inputs!$C$52)))-(Inputs!$H$9))*1000/Inputs!$C$12)</x:f>
        <x:v>-3518.8494159470793</x:v>
      </x:c>
      <x:c r="O134" t="n">
        <x:f>Scenario_Data!T134</x:f>
        <x:v>6</x:v>
      </x:c>
      <x:c r="P134" t="n">
        <x:f>2*(Scenario_Data!B134*1000)/Inputs!$C$21*1000000</x:f>
        <x:v>2668.779612861375</x:v>
      </x:c>
      <x:c r="Q134" t="n">
        <x:f>Scenario_Data!U134</x:f>
        <x:v>40.00000000000006</x:v>
      </x:c>
      <x:c r="R134" t="n">
        <x:f>2*(Scenario_Data!C134*1000)/Inputs!$C$21*1000000</x:f>
        <x:v>257.8450455881716</x:v>
      </x:c>
      <x:c r="S134" t="n">
        <x:f>Scenario_Data!V134</x:f>
        <x:v>80.00000000000011</x:v>
      </x:c>
      <x:c r="T134" t="n">
        <x:f>2*(Scenario_Data!D134*1000)/Inputs!$C$21*1000000</x:f>
        <x:v>297.87273701195</x:v>
      </x:c>
      <x:c r="U134" t="n">
        <x:f>Scenario_Data!W134</x:f>
        <x:v>80.00000000000011</x:v>
      </x:c>
      <x:c r="V134" t="n">
        <x:f>2*(Scenario_Data!E134*1000)/Inputs!$C$21*1000000</x:f>
        <x:v>231.82704616271587</x:v>
      </x:c>
      <x:c r="X134" t="n">
        <x:f>Scenario_Data!T134</x:f>
        <x:v>6</x:v>
      </x:c>
      <x:c r="Y134" t="n">
        <x: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x:f>
        <x:v>2668.310337857269</x:v>
      </x:c>
      <x:c r="Z134" t="n">
        <x:f>Scenario_Data!U134</x:f>
        <x:v>40.00000000000006</x:v>
      </x:c>
      <x:c r="AA134" t="n">
        <x: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x:f>
        <x:v>257.40296582102707</x:v>
      </x:c>
      <x:c r="AB134" t="n">
        <x:f>Scenario_Data!V134</x:f>
        <x:v>80.00000000000011</x:v>
      </x:c>
      <x:c r="AC134" t="n">
        <x: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x:f>
        <x:v>297.5514467080143</x:v>
      </x:c>
      <x:c r="AD134" t="n">
        <x:f>Scenario_Data!W134</x:f>
        <x:v>80.00000000000011</x:v>
      </x:c>
      <x:c r="AE134" t="n">
        <x: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x:f>
        <x:v>231.5057558587802</x:v>
      </x:c>
      <x:c r="AG134" t="n">
        <x:f>Scenario_Data!T134</x:f>
        <x:v>6</x:v>
      </x:c>
      <x:c r="AH134" t="n">
        <x:f>2*(SQRT((Inputs!$C$52+(Scenario_Data!B134))^2+Inputs!$C$52^2-2*(Inputs!$C$52+(Scenario_Data!B134))*Inputs!$C$52*COS(SQRT((Scenario_Data!T134)^2+Inputs!$C$6^2)/Inputs!$C$52))*1000)/Inputs!$C$21*1000000</x:f>
        <x:v>2675.6947393589066</x:v>
      </x:c>
      <x:c r="AI134" t="n">
        <x:f>Scenario_Data!U134</x:f>
        <x:v>40.00000000000006</x:v>
      </x:c>
      <x:c r="AJ134" t="n">
        <x:f>2*(SQRT((Inputs!$C$52+(Scenario_Data!C134))^2+Inputs!$C$52^2-2*(Inputs!$C$52+(Scenario_Data!C134))*Inputs!$C$52*COS(SQRT((Scenario_Data!U134)^2+Inputs!$C$6^2)/Inputs!$C$52))*1000)/Inputs!$C$21*1000000</x:f>
        <x:v>409.8223646341818</x:v>
      </x:c>
      <x:c r="AK134" t="n">
        <x:f>Scenario_Data!V134</x:f>
        <x:v>80.00000000000011</x:v>
      </x:c>
      <x:c r="AL134" t="n">
        <x:f>2*(SQRT((Inputs!$C$52+(Scenario_Data!D134))^2+Inputs!$C$52^2-2*(Inputs!$C$52+(Scenario_Data!D134))*Inputs!$C$52*COS(SQRT((Scenario_Data!V134)^2+Inputs!$C$6^2)/Inputs!$C$52))*1000)/Inputs!$C$21*1000000</x:f>
        <x:v>640.5073835750494</x:v>
      </x:c>
      <x:c r="AM134" t="n">
        <x:f>Scenario_Data!W134</x:f>
        <x:v>80.00000000000011</x:v>
      </x:c>
      <x:c r="AN134" t="n">
        <x:f>2*(SQRT((Inputs!$C$52+(Scenario_Data!E134))^2+Inputs!$C$52^2-2*(Inputs!$C$52+(Scenario_Data!E134))*Inputs!$C$52*COS(SQRT((Scenario_Data!W134)^2+Inputs!$C$6^2)/Inputs!$C$52))*1000)/Inputs!$C$21*1000000</x:f>
        <x:v>610.9686237412925</x:v>
      </x:c>
      <x:c r="AP134" t="n">
        <x:f>Scenario_Data!T134</x:f>
        <x:v>6</x:v>
      </x:c>
      <x:c r="AQ134" t="n">
        <x: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x:f>
        <x:v>2672.145907617792</x:v>
      </x:c>
      <x:c r="AR134" t="n">
        <x:f>Scenario_Data!U134</x:f>
        <x:v>40.00000000000006</x:v>
      </x:c>
      <x:c r="AS134" t="n">
        <x: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x:f>
        <x:v>408.57024154816395</x:v>
      </x:c>
      <x:c r="AT134" t="n">
        <x:f>Scenario_Data!V134</x:f>
        <x:v>80.00000000000011</x:v>
      </x:c>
      <x:c r="AU134" t="n">
        <x: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x:f>
        <x:v>640.0379285550378</x:v>
      </x:c>
      <x:c r="AV134" t="n">
        <x:f>Scenario_Data!W134</x:f>
        <x:v>80.00000000000011</x:v>
      </x:c>
      <x:c r="AW134" t="n">
        <x: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x:f>
        <x:v>610.5916323677442</x:v>
      </x:c>
    </x:row>
    <x:row r="135">
      <x:c r="A135" t="n">
        <x:f>Chart_Data!K135</x:f>
        <x:v>6.5</x:v>
      </x:c>
      <x:c r="B135" t="n">
        <x:f>Chart_Data!N135-Chart_Data!L135</x:f>
        <x:v>-79.36936471450957</x:v>
      </x:c>
      <x:c r="D135" t="n">
        <x:f>Chart_Data!G135</x:f>
        <x:v>6.5</x:v>
      </x:c>
      <x:c r="E135" t="n">
        <x:f>Chart_Data!H135</x:f>
        <x:v>524.4263848132822</x:v>
      </x:c>
      <x:c r="F135" t="n">
        <x:f>Chart_Data!I135</x:f>
        <x:v>524.4263848132822</x:v>
      </x:c>
      <x:c r="G135" t="n">
        <x:f>Chart_Data!J135</x:f>
        <x:v>77.64795080795966</x:v>
      </x:c>
      <x:c r="I135" t="n">
        <x:f>Scenario_Data!A135</x:f>
        <x:v>0.108</x:v>
      </x:c>
      <x:c r="J135" t="n">
        <x:f>Scenario_Data!H135-(((SQRT((Inputs!$C$52+(Inputs!$H$6))^2+Inputs!$C$52^2-2*(Inputs!$C$52+(Inputs!$H$6))*Inputs!$C$52*COS(SQRT((Scenario_Data!T135)^2+Inputs!$C$6^2)/Inputs!$C$52)))-(Inputs!$H$6))*1000/Inputs!$C$12)</x:f>
        <x:v>-0.05439381022904399</x:v>
      </x:c>
      <x:c r="K135" t="n">
        <x:f>Scenario_Data!I135-(((SQRT((Inputs!$C$52+(Inputs!$H$7))^2+Inputs!$C$52^2-2*(Inputs!$C$52+(Inputs!$H$7))*Inputs!$C$52*COS(SQRT((Scenario_Data!U135)^2+Inputs!$C$6^2)/Inputs!$C$52)))-(Inputs!$H$7))*1000/Inputs!$C$12)</x:f>
        <x:v>-945.0864313584188</x:v>
      </x:c>
      <x:c r="L135" t="n">
        <x:f>Scenario_Data!J135-(((SQRT((Inputs!$C$52+(Inputs!$H$8))^2+Inputs!$C$52^2-2*(Inputs!$C$52+(Inputs!$H$8))*Inputs!$C$52*COS(SQRT((Scenario_Data!V135)^2+Inputs!$C$6^2)/Inputs!$C$52)))-(Inputs!$H$8))*1000/Inputs!$C$12)</x:f>
        <x:v>-3587.0630675248613</x:v>
      </x:c>
      <x:c r="M135" t="n">
        <x:f>Scenario_Data!K135-(((SQRT((Inputs!$C$52+(Inputs!$H$9))^2+Inputs!$C$52^2-2*(Inputs!$C$52+(Inputs!$H$9))*Inputs!$C$52*COS(SQRT((Scenario_Data!W135)^2+Inputs!$C$6^2)/Inputs!$C$52)))-(Inputs!$H$9))*1000/Inputs!$C$12)</x:f>
        <x:v>-4174.4317239557495</x:v>
      </x:c>
      <x:c r="O135" t="n">
        <x:f>Scenario_Data!T135</x:f>
        <x:v>6.480000000000004</x:v>
      </x:c>
      <x:c r="P135" t="n">
        <x:f>2*(Scenario_Data!B135*1000)/Inputs!$C$21*1000000</x:f>
        <x:v>2668.8240169137275</x:v>
      </x:c>
      <x:c r="Q135" t="n">
        <x:f>Scenario_Data!U135</x:f>
        <x:v>43.200000000000045</x:v>
      </x:c>
      <x:c r="R135" t="n">
        <x:f>2*(Scenario_Data!C135*1000)/Inputs!$C$21*1000000</x:f>
        <x:v>261.8969153653626</x:v>
      </x:c>
      <x:c r="S135" t="n">
        <x:f>Scenario_Data!V135</x:f>
        <x:v>86.40000000000009</x:v>
      </x:c>
      <x:c r="T135" t="n">
        <x:f>2*(Scenario_Data!D135*1000)/Inputs!$C$21*1000000</x:f>
        <x:v>308.5852146420577</x:v>
      </x:c>
      <x:c r="U135" t="n">
        <x:f>Scenario_Data!W135</x:f>
        <x:v>86.40000000000009</x:v>
      </x:c>
      <x:c r="V135" t="n">
        <x:f>2*(Scenario_Data!E135*1000)/Inputs!$C$21*1000000</x:f>
        <x:v>242.65053392370547</x:v>
      </x:c>
      <x:c r="X135" t="n">
        <x:f>Scenario_Data!T135</x:f>
        <x:v>6.480000000000004</x:v>
      </x:c>
      <x:c r="Y135" t="n">
        <x: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x:f>
        <x:v>2668.3499734017573</x:v>
      </x:c>
      <x:c r="Z135" t="n">
        <x:f>Scenario_Data!U135</x:f>
        <x:v>43.200000000000045</x:v>
      </x:c>
      <x:c r="AA135" t="n">
        <x: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x:f>
        <x:v>261.6567098799098</x:v>
      </x:c>
      <x:c r="AB135" t="n">
        <x:f>Scenario_Data!V135</x:f>
        <x:v>86.40000000000009</x:v>
      </x:c>
      <x:c r="AC135" t="n">
        <x: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x:f>
        <x:v>308.68111860671877</x:v>
      </x:c>
      <x:c r="AD135" t="n">
        <x:f>Scenario_Data!W135</x:f>
        <x:v>86.40000000000009</x:v>
      </x:c>
      <x:c r="AE135" t="n">
        <x: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x:f>
        <x:v>242.74643788836661</x:v>
      </x:c>
      <x:c r="AG135" t="n">
        <x:f>Scenario_Data!T135</x:f>
        <x:v>6.480000000000004</x:v>
      </x:c>
      <x:c r="AH135" t="n">
        <x:f>2*(SQRT((Inputs!$C$52+(Scenario_Data!B135))^2+Inputs!$C$52^2-2*(Inputs!$C$52+(Scenario_Data!B135))*Inputs!$C$52*COS(SQRT((Scenario_Data!T135)^2+Inputs!$C$6^2)/Inputs!$C$52))*1000)/Inputs!$C$21*1000000</x:f>
        <x:v>2675.801637380072</x:v>
      </x:c>
      <x:c r="AI135" t="n">
        <x:f>Scenario_Data!U135</x:f>
        <x:v>43.200000000000045</x:v>
      </x:c>
      <x:c r="AJ135" t="n">
        <x:f>2*(SQRT((Inputs!$C$52+(Scenario_Data!C135))^2+Inputs!$C$52^2-2*(Inputs!$C$52+(Scenario_Data!C135))*Inputs!$C$52*COS(SQRT((Scenario_Data!U135)^2+Inputs!$C$6^2)/Inputs!$C$52))*1000)/Inputs!$C$21*1000000</x:f>
        <x:v>426.90066876687405</x:v>
      </x:c>
      <x:c r="AK135" t="n">
        <x:f>Scenario_Data!V135</x:f>
        <x:v>86.40000000000009</x:v>
      </x:c>
      <x:c r="AL135" t="n">
        <x:f>2*(SQRT((Inputs!$C$52+(Scenario_Data!D135))^2+Inputs!$C$52^2-2*(Inputs!$C$52+(Scenario_Data!D135))*Inputs!$C$52*COS(SQRT((Scenario_Data!V135)^2+Inputs!$C$6^2)/Inputs!$C$52))*1000)/Inputs!$C$21*1000000</x:f>
        <x:v>682.5280213875686</x:v>
      </x:c>
      <x:c r="AM135" t="n">
        <x:f>Scenario_Data!W135</x:f>
        <x:v>86.40000000000009</x:v>
      </x:c>
      <x:c r="AN135" t="n">
        <x:f>2*(SQRT((Inputs!$C$52+(Scenario_Data!E135))^2+Inputs!$C$52^2-2*(Inputs!$C$52+(Scenario_Data!E135))*Inputs!$C$52*COS(SQRT((Scenario_Data!W135)^2+Inputs!$C$6^2)/Inputs!$C$52))*1000)/Inputs!$C$21*1000000</x:f>
        <x:v>653.6204124325454</x:v>
      </x:c>
      <x:c r="AP135" t="n">
        <x:f>Scenario_Data!T135</x:f>
        <x:v>6.480000000000004</x:v>
      </x:c>
      <x:c r="AQ135" t="n">
        <x: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x:f>
        <x:v>2672.262088376571</x:v>
      </x:c>
      <x:c r="AR135" t="n">
        <x:f>Scenario_Data!U135</x:f>
        <x:v>43.200000000000045</x:v>
      </x:c>
      <x:c r="AS135" t="n">
        <x: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x:f>
        <x:v>425.93971816821346</x:v>
      </x:c>
      <x:c r="AT135" t="n">
        <x:f>Scenario_Data!V135</x:f>
        <x:v>86.40000000000009</x:v>
      </x:c>
      <x:c r="AU135" t="n">
        <x: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x:f>
        <x:v>682.1647345655422</x:v>
      </x:c>
      <x:c r="AV135" t="n">
        <x:f>Scenario_Data!W135</x:f>
        <x:v>86.40000000000009</x:v>
      </x:c>
      <x:c r="AW135" t="n">
        <x: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x:f>
        <x:v>653.3270706754272</x:v>
      </x:c>
    </x:row>
    <x:row r="136">
      <x:c r="A136" t="n">
        <x:f>Chart_Data!K136</x:f>
        <x:v>7</x:v>
      </x:c>
      <x:c r="B136" t="n">
        <x:f>Chart_Data!N136-Chart_Data!L136</x:f>
        <x:v>-68.68735869698332</x:v>
      </x:c>
      <x:c r="D136" t="n">
        <x:f>Chart_Data!G136</x:f>
        <x:v>7</x:v>
      </x:c>
      <x:c r="E136" t="n">
        <x:f>Chart_Data!H136</x:f>
        <x:v>534.4078318791427</x:v>
      </x:c>
      <x:c r="F136" t="n">
        <x:f>Chart_Data!I136</x:f>
        <x:v>534.4078318791427</x:v>
      </x:c>
      <x:c r="G136" t="n">
        <x:f>Chart_Data!J136</x:f>
        <x:v>66.91550989906084</x:v>
      </x:c>
      <x:c r="I136" t="n">
        <x:f>Scenario_Data!A136</x:f>
        <x:v>0.117</x:v>
      </x:c>
      <x:c r="J136" t="n">
        <x:f>Scenario_Data!H136-(((SQRT((Inputs!$C$52+(Inputs!$H$6))^2+Inputs!$C$52^2-2*(Inputs!$C$52+(Inputs!$H$6))*Inputs!$C$52*COS(SQRT((Scenario_Data!T136)^2+Inputs!$C$6^2)/Inputs!$C$52)))-(Inputs!$H$6))*1000/Inputs!$C$12)</x:f>
        <x:v>-0.06453059099612801</x:v>
      </x:c>
      <x:c r="K136" t="n">
        <x:f>Scenario_Data!I136-(((SQRT((Inputs!$C$52+(Inputs!$H$7))^2+Inputs!$C$52^2-2*(Inputs!$C$52+(Inputs!$H$7))*Inputs!$C$52*COS(SQRT((Scenario_Data!U136)^2+Inputs!$C$6^2)/Inputs!$C$52)))-(Inputs!$H$7))*1000/Inputs!$C$12)</x:f>
        <x:v>-1161.8662425758666</x:v>
      </x:c>
      <x:c r="L136" t="n">
        <x:f>Scenario_Data!J136-(((SQRT((Inputs!$C$52+(Inputs!$H$8))^2+Inputs!$C$52^2-2*(Inputs!$C$52+(Inputs!$H$8))*Inputs!$C$52*COS(SQRT((Scenario_Data!V136)^2+Inputs!$C$6^2)/Inputs!$C$52)))-(Inputs!$H$8))*1000/Inputs!$C$12)</x:f>
        <x:v>-4320.543295968455</x:v>
      </x:c>
      <x:c r="M136" t="n">
        <x:f>Scenario_Data!K136-(((SQRT((Inputs!$C$52+(Inputs!$H$9))^2+Inputs!$C$52^2-2*(Inputs!$C$52+(Inputs!$H$9))*Inputs!$C$52*COS(SQRT((Scenario_Data!W136)^2+Inputs!$C$6^2)/Inputs!$C$52)))-(Inputs!$H$9))*1000/Inputs!$C$12)</x:f>
        <x:v>-4974.4518534386225</x:v>
      </x:c>
      <x:c r="O136" t="n">
        <x:f>Scenario_Data!T136</x:f>
        <x:v>7.019999999999996</x:v>
      </x:c>
      <x:c r="P136" t="n">
        <x:f>2*(Scenario_Data!B136*1000)/Inputs!$C$21*1000000</x:f>
        <x:v>2668.8780542971494</x:v>
      </x:c>
      <x:c r="Q136" t="n">
        <x:f>Scenario_Data!U136</x:f>
        <x:v>46.80000000000001</x:v>
      </x:c>
      <x:c r="R136" t="n">
        <x:f>2*(Scenario_Data!C136*1000)/Inputs!$C$21*1000000</x:f>
        <x:v>266.8278266026293</x:v>
      </x:c>
      <x:c r="S136" t="n">
        <x:f>Scenario_Data!V136</x:f>
        <x:v>93.60000000000002</x:v>
      </x:c>
      <x:c r="T136" t="n">
        <x:f>2*(Scenario_Data!D136*1000)/Inputs!$C$21*1000000</x:f>
        <x:v>321.6217333926393</x:v>
      </x:c>
      <x:c r="U136" t="n">
        <x:f>Scenario_Data!W136</x:f>
        <x:v>93.60000000000002</x:v>
      </x:c>
      <x:c r="V136" t="n">
        <x:f>2*(Scenario_Data!E136*1000)/Inputs!$C$21*1000000</x:f>
        <x:v>255.82214613284236</x:v>
      </x:c>
      <x:c r="X136" t="n">
        <x:f>Scenario_Data!T136</x:f>
        <x:v>7.019999999999996</x:v>
      </x:c>
      <x:c r="Y136" t="n">
        <x: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x:f>
        <x:v>2668.4165060223545</x:v>
      </x:c>
      <x:c r="Z136" t="n">
        <x:f>Scenario_Data!U136</x:f>
        <x:v>46.80000000000001</x:v>
      </x:c>
      <x:c r="AA136" t="n">
        <x: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x:f>
        <x:v>266.87097786523987</x:v>
      </x:c>
      <x:c r="AB136" t="n">
        <x:f>Scenario_Data!V136</x:f>
        <x:v>93.60000000000002</x:v>
      </x:c>
      <x:c r="AC136" t="n">
        <x: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x:f>
        <x:v>321.2488938952046</x:v>
      </x:c>
      <x:c r="AD136" t="n">
        <x:f>Scenario_Data!W136</x:f>
        <x:v>93.60000000000002</x:v>
      </x:c>
      <x:c r="AE136" t="n">
        <x: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x:f>
        <x:v>255.4493066354077</x:v>
      </x:c>
      <x:c r="AG136" t="n">
        <x:f>Scenario_Data!T136</x:f>
        <x:v>7.019999999999996</x:v>
      </x:c>
      <x:c r="AH136" t="n">
        <x:f>2*(SQRT((Inputs!$C$52+(Scenario_Data!B136))^2+Inputs!$C$52^2-2*(Inputs!$C$52+(Scenario_Data!B136))*Inputs!$C$52*COS(SQRT((Scenario_Data!T136)^2+Inputs!$C$6^2)/Inputs!$C$52))*1000)/Inputs!$C$21*1000000</x:f>
        <x:v>2675.93172239053</x:v>
      </x:c>
      <x:c r="AI136" t="n">
        <x:f>Scenario_Data!U136</x:f>
        <x:v>46.80000000000001</x:v>
      </x:c>
      <x:c r="AJ136" t="n">
        <x:f>2*(SQRT((Inputs!$C$52+(Scenario_Data!C136))^2+Inputs!$C$52^2-2*(Inputs!$C$52+(Scenario_Data!C136))*Inputs!$C$52*COS(SQRT((Scenario_Data!U136)^2+Inputs!$C$6^2)/Inputs!$C$52))*1000)/Inputs!$C$21*1000000</x:f>
        <x:v>446.86749403358624</x:v>
      </x:c>
      <x:c r="AK136" t="n">
        <x:f>Scenario_Data!V136</x:f>
        <x:v>93.60000000000002</x:v>
      </x:c>
      <x:c r="AL136" t="n">
        <x:f>2*(SQRT((Inputs!$C$52+(Scenario_Data!D136))^2+Inputs!$C$52^2-2*(Inputs!$C$52+(Scenario_Data!D136))*Inputs!$C$52*COS(SQRT((Scenario_Data!V136)^2+Inputs!$C$6^2)/Inputs!$C$52))*1000)/Inputs!$C$21*1000000</x:f>
        <x:v>730.7097325562099</x:v>
      </x:c>
      <x:c r="AM136" t="n">
        <x:f>Scenario_Data!W136</x:f>
        <x:v>93.60000000000002</x:v>
      </x:c>
      <x:c r="AN136" t="n">
        <x:f>2*(SQRT((Inputs!$C$52+(Scenario_Data!E136))^2+Inputs!$C$52^2-2*(Inputs!$C$52+(Scenario_Data!E136))*Inputs!$C$52*COS(SQRT((Scenario_Data!W136)^2+Inputs!$C$6^2)/Inputs!$C$52))*1000)/Inputs!$C$21*1000000</x:f>
        <x:v>702.354778608177</x:v>
      </x:c>
      <x:c r="AP136" t="n">
        <x:f>Scenario_Data!T136</x:f>
        <x:v>7.019999999999996</x:v>
      </x:c>
      <x:c r="AQ136" t="n">
        <x: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x:f>
        <x:v>2672.4787069540553</x:v>
      </x:c>
      <x:c r="AR136" t="n">
        <x:f>Scenario_Data!U136</x:f>
        <x:v>46.80000000000001</x:v>
      </x:c>
      <x:c r="AS136" t="n">
        <x: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x:f>
        <x:v>446.3421213823275</x:v>
      </x:c>
      <x:c r="AT136" t="n">
        <x:f>Scenario_Data!V136</x:f>
        <x:v>93.60000000000002</x:v>
      </x:c>
      <x:c r="AU136" t="n">
        <x: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x:f>
        <x:v>730.1679277696081</x:v>
      </x:c>
      <x:c r="AV136" t="n">
        <x:f>Scenario_Data!W136</x:f>
        <x:v>93.60000000000002</x:v>
      </x:c>
      <x:c r="AW136" t="n">
        <x: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x:f>
        <x:v>701.9144007435814</x:v>
      </x:c>
    </x:row>
    <x:row r="137">
      <x:c r="A137" t="n">
        <x:f>Chart_Data!K137</x:f>
        <x:v>7.5</x:v>
      </x:c>
      <x:c r="B137" t="n">
        <x:f>Chart_Data!N137-Chart_Data!L137</x:f>
        <x:v>-57.88906159607785</x:v>
      </x:c>
      <x:c r="D137" t="n">
        <x:f>Chart_Data!G137</x:f>
        <x:v>7.5</x:v>
      </x:c>
      <x:c r="E137" t="n">
        <x:f>Chart_Data!H137</x:f>
        <x:v>503.48380224840304</x:v>
      </x:c>
      <x:c r="F137" t="n">
        <x:f>Chart_Data!I137</x:f>
        <x:v>503.48380224840304</x:v>
      </x:c>
      <x:c r="G137" t="n">
        <x:f>Chart_Data!J137</x:f>
        <x:v>56.202037436945574</x:v>
      </x:c>
      <x:c r="I137" t="n">
        <x:f>Scenario_Data!A137</x:f>
        <x:v>0.125</x:v>
      </x:c>
      <x:c r="J137" t="n">
        <x:f>Scenario_Data!H137-(((SQRT((Inputs!$C$52+(Inputs!$H$6))^2+Inputs!$C$52^2-2*(Inputs!$C$52+(Inputs!$H$6))*Inputs!$C$52*COS(SQRT((Scenario_Data!T137)^2+Inputs!$C$6^2)/Inputs!$C$52)))-(Inputs!$H$6))*1000/Inputs!$C$12)</x:f>
        <x:v>-0.07441357867173792</x:v>
      </x:c>
      <x:c r="K137" t="n">
        <x:f>Scenario_Data!I137-(((SQRT((Inputs!$C$52+(Inputs!$H$7))^2+Inputs!$C$52^2-2*(Inputs!$C$52+(Inputs!$H$7))*Inputs!$C$52*COS(SQRT((Scenario_Data!U137)^2+Inputs!$C$6^2)/Inputs!$C$52)))-(Inputs!$H$7))*1000/Inputs!$C$12)</x:f>
        <x:v>-1376.257653004077</x:v>
      </x:c>
      <x:c r="L137" t="n">
        <x:f>Scenario_Data!J137-(((SQRT((Inputs!$C$52+(Inputs!$H$8))^2+Inputs!$C$52^2-2*(Inputs!$C$52+(Inputs!$H$8))*Inputs!$C$52*COS(SQRT((Scenario_Data!V137)^2+Inputs!$C$6^2)/Inputs!$C$52)))-(Inputs!$H$8))*1000/Inputs!$C$12)</x:f>
        <x:v>-5026.741503405137</x:v>
      </x:c>
      <x:c r="M137" t="n">
        <x:f>Scenario_Data!K137-(((SQRT((Inputs!$C$52+(Inputs!$H$9))^2+Inputs!$C$52^2-2*(Inputs!$C$52+(Inputs!$H$9))*Inputs!$C$52*COS(SQRT((Scenario_Data!W137)^2+Inputs!$C$6^2)/Inputs!$C$52)))-(Inputs!$H$9))*1000/Inputs!$C$12)</x:f>
        <x:v>-5739.591971731104</x:v>
      </x:c>
      <x:c r="O137" t="n">
        <x:f>Scenario_Data!T137</x:f>
        <x:v>7.5</x:v>
      </x:c>
      <x:c r="P137" t="n">
        <x:f>2*(Scenario_Data!B137*1000)/Inputs!$C$21*1000000</x:f>
        <x:v>2668.929716704214</x:v>
      </x:c>
      <x:c r="Q137" t="n">
        <x:f>Scenario_Data!U137</x:f>
        <x:v>50</x:v>
      </x:c>
      <x:c r="R137" t="n">
        <x:f>2*(Scenario_Data!C137*1000)/Inputs!$C$21*1000000</x:f>
        <x:v>271.54202124724566</x:v>
      </x:c>
      <x:c r="S137" t="n">
        <x:f>Scenario_Data!V137</x:f>
        <x:v>100</x:v>
      </x:c>
      <x:c r="T137" t="n">
        <x:f>2*(Scenario_Data!D137*1000)/Inputs!$C$21*1000000</x:f>
        <x:v>334.08528909689915</x:v>
      </x:c>
      <x:c r="U137" t="n">
        <x:f>Scenario_Data!W137</x:f>
        <x:v>100</x:v>
      </x:c>
      <x:c r="V137" t="n">
        <x:f>2*(Scenario_Data!E137*1000)/Inputs!$C$21*1000000</x:f>
        <x:v>268.414857854763</x:v>
      </x:c>
      <x:c r="X137" t="n">
        <x:f>Scenario_Data!T137</x:f>
        <x:v>7.5</x:v>
      </x:c>
      <x:c r="Y137" t="n">
        <x: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x:f>
        <x:v>2668.554777068895</x:v>
      </x:c>
      <x:c r="Z137" t="n">
        <x:f>Scenario_Data!U137</x:f>
        <x:v>50</x:v>
      </x:c>
      <x:c r="AA137" t="n">
        <x: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x:f>
        <x:v>271.4874996062939</x:v>
      </x:c>
      <x:c r="AB137" t="n">
        <x:f>Scenario_Data!V137</x:f>
        <x:v>100</x:v>
      </x:c>
      <x:c r="AC137" t="n">
        <x: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x:f>
        <x:v>333.9690786324356</x:v>
      </x:c>
      <x:c r="AD137" t="n">
        <x:f>Scenario_Data!W137</x:f>
        <x:v>100</x:v>
      </x:c>
      <x:c r="AE137" t="n">
        <x: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x:f>
        <x:v>268.2986473902994</x:v>
      </x:c>
      <x:c r="AG137" t="n">
        <x:f>Scenario_Data!T137</x:f>
        <x:v>7.5</x:v>
      </x:c>
      <x:c r="AH137" t="n">
        <x:f>2*(SQRT((Inputs!$C$52+(Scenario_Data!B137))^2+Inputs!$C$52^2-2*(Inputs!$C$52+(Scenario_Data!B137))*Inputs!$C$52*COS(SQRT((Scenario_Data!T137)^2+Inputs!$C$6^2)/Inputs!$C$52))*1000)/Inputs!$C$21*1000000</x:f>
        <x:v>2676.0560857448104</x:v>
      </x:c>
      <x:c r="AI137" t="n">
        <x:f>Scenario_Data!U137</x:f>
        <x:v>50</x:v>
      </x:c>
      <x:c r="AJ137" t="n">
        <x:f>2*(SQRT((Inputs!$C$52+(Scenario_Data!C137))^2+Inputs!$C$52^2-2*(Inputs!$C$52+(Scenario_Data!C137))*Inputs!$C$52*COS(SQRT((Scenario_Data!U137)^2+Inputs!$C$6^2)/Inputs!$C$52))*1000)/Inputs!$C$21*1000000</x:f>
        <x:v>465.21831918360385</x:v>
      </x:c>
      <x:c r="AK137" t="n">
        <x:f>Scenario_Data!V137</x:f>
        <x:v>100</x:v>
      </x:c>
      <x:c r="AL137" t="n">
        <x:f>2*(SQRT((Inputs!$C$52+(Scenario_Data!D137))^2+Inputs!$C$52^2-2*(Inputs!$C$52+(Scenario_Data!D137))*Inputs!$C$52*COS(SQRT((Scenario_Data!V137)^2+Inputs!$C$6^2)/Inputs!$C$52))*1000)/Inputs!$C$21*1000000</x:f>
        <x:v>774.2635773636083</x:v>
      </x:c>
      <x:c r="AM137" t="n">
        <x:f>Scenario_Data!W137</x:f>
        <x:v>100</x:v>
      </x:c>
      <x:c r="AN137" t="n">
        <x:f>2*(SQRT((Inputs!$C$52+(Scenario_Data!E137))^2+Inputs!$C$52^2-2*(Inputs!$C$52+(Scenario_Data!E137))*Inputs!$C$52*COS(SQRT((Scenario_Data!W137)^2+Inputs!$C$6^2)/Inputs!$C$52))*1000)/Inputs!$C$21*1000000</x:f>
        <x:v>746.2816902643984</x:v>
      </x:c>
      <x:c r="AP137" t="n">
        <x:f>Scenario_Data!T137</x:f>
        <x:v>7.5</x:v>
      </x:c>
      <x:c r="AQ137" t="n">
        <x: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x:f>
        <x:v>2672.7084579796765</x:v>
      </x:c>
      <x:c r="AR137" t="n">
        <x:f>Scenario_Data!U137</x:f>
        <x:v>50</x:v>
      </x:c>
      <x:c r="AS137" t="n">
        <x: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x:f>
        <x:v>464.7813525203341</x:v>
      </x:c>
      <x:c r="AT137" t="n">
        <x:f>Scenario_Data!V137</x:f>
        <x:v>100</x:v>
      </x:c>
      <x:c r="AU137" t="n">
        <x: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x:f>
        <x:v>773.8737899853746</x:v>
      </x:c>
      <x:c r="AV137" t="n">
        <x:f>Scenario_Data!W137</x:f>
        <x:v>100</x:v>
      </x:c>
      <x:c r="AW137" t="n">
        <x: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x:f>
        <x:v>745.9627344688287</x:v>
      </x:c>
    </x:row>
    <x:row r="138">
      <x:c r="A138" t="n">
        <x:f>Chart_Data!K138</x:f>
        <x:v>8</x:v>
      </x:c>
      <x:c r="B138" t="n">
        <x:f>Chart_Data!N138-Chart_Data!L138</x:f>
        <x:v>-47.678060396535784</x:v>
      </x:c>
      <x:c r="D138" t="n">
        <x:f>Chart_Data!G138</x:f>
        <x:v>8</x:v>
      </x:c>
      <x:c r="E138" t="n">
        <x:f>Chart_Data!H138</x:f>
        <x:v>497.2264534493298</x:v>
      </x:c>
      <x:c r="F138" t="n">
        <x:f>Chart_Data!I138</x:f>
        <x:v>497.2264534493298</x:v>
      </x:c>
      <x:c r="G138" t="n">
        <x:f>Chart_Data!J138</x:f>
        <x:v>45.99320506201067</x:v>
      </x:c>
      <x:c r="I138" t="n">
        <x:f>Scenario_Data!A138</x:f>
        <x:v>0.133</x:v>
      </x:c>
      <x:c r="J138" t="n">
        <x:f>Scenario_Data!H138-(((SQRT((Inputs!$C$52+(Inputs!$H$6))^2+Inputs!$C$52^2-2*(Inputs!$C$52+(Inputs!$H$6))*Inputs!$C$52*COS(SQRT((Scenario_Data!T138)^2+Inputs!$C$6^2)/Inputs!$C$52)))-(Inputs!$H$6))*1000/Inputs!$C$12)</x:f>
        <x:v>-0.08515635971855318</x:v>
      </x:c>
      <x:c r="K138" t="n">
        <x:f>Scenario_Data!I138-(((SQRT((Inputs!$C$52+(Inputs!$H$7))^2+Inputs!$C$52^2-2*(Inputs!$C$52+(Inputs!$H$7))*Inputs!$C$52*COS(SQRT((Scenario_Data!U138)^2+Inputs!$C$6^2)/Inputs!$C$52)))-(Inputs!$H$7))*1000/Inputs!$C$12)</x:f>
        <x:v>-1611.097851974435</x:v>
      </x:c>
      <x:c r="L138" t="n">
        <x:f>Scenario_Data!J138-(((SQRT((Inputs!$C$52+(Inputs!$H$8))^2+Inputs!$C$52^2-2*(Inputs!$C$52+(Inputs!$H$8))*Inputs!$C$52*COS(SQRT((Scenario_Data!V138)^2+Inputs!$C$6^2)/Inputs!$C$52)))-(Inputs!$H$8))*1000/Inputs!$C$12)</x:f>
        <x:v>-5782.586392976991</x:v>
      </x:c>
      <x:c r="M138" t="n">
        <x:f>Scenario_Data!K138-(((SQRT((Inputs!$C$52+(Inputs!$H$9))^2+Inputs!$C$52^2-2*(Inputs!$C$52+(Inputs!$H$9))*Inputs!$C$52*COS(SQRT((Scenario_Data!W138)^2+Inputs!$C$6^2)/Inputs!$C$52)))-(Inputs!$H$9))*1000/Inputs!$C$12)</x:f>
        <x:v>-6554.136414658264</x:v>
      </x:c>
      <x:c r="O138" t="n">
        <x:f>Scenario_Data!T138</x:f>
        <x:v>7.980000000000004</x:v>
      </x:c>
      <x:c r="P138" t="n">
        <x:f>2*(Scenario_Data!B138*1000)/Inputs!$C$21*1000000</x:f>
        <x:v>2668.984794807613</x:v>
      </x:c>
      <x:c r="Q138" t="n">
        <x:f>Scenario_Data!U138</x:f>
        <x:v>53.19999999999999</x:v>
      </x:c>
      <x:c r="R138" t="n">
        <x:f>2*(Scenario_Data!C138*1000)/Inputs!$C$21*1000000</x:f>
        <x:v>276.56789818241526</x:v>
      </x:c>
      <x:c r="S138" t="n">
        <x:f>Scenario_Data!V138</x:f>
        <x:v>106.39999999999998</x:v>
      </x:c>
      <x:c r="T138" t="n">
        <x:f>2*(Scenario_Data!D138*1000)/Inputs!$C$21*1000000</x:f>
        <x:v>347.3728815419365</x:v>
      </x:c>
      <x:c r="U138" t="n">
        <x:f>Scenario_Data!W138</x:f>
        <x:v>106.39999999999998</x:v>
      </x:c>
      <x:c r="V138" t="n">
        <x:f>2*(Scenario_Data!E138*1000)/Inputs!$C$21*1000000</x:f>
        <x:v>281.84014555829816</x:v>
      </x:c>
      <x:c r="X138" t="n">
        <x:f>Scenario_Data!T138</x:f>
        <x:v>7.980000000000004</x:v>
      </x:c>
      <x:c r="Y138" t="n">
        <x: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x:f>
        <x:v>2668.619160634821</x:v>
      </x:c>
      <x:c r="Z138" t="n">
        <x:f>Scenario_Data!U138</x:f>
        <x:v>53.19999999999999</x:v>
      </x:c>
      <x:c r="AA138" t="n">
        <x: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x:f>
        <x:v>276.56459491862387</x:v>
      </x:c>
      <x:c r="AB138" t="n">
        <x:f>Scenario_Data!V138</x:f>
        <x:v>106.39999999999998</x:v>
      </x:c>
      <x:c r="AC138" t="n">
        <x: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x:f>
        <x:v>347.47422266834957</x:v>
      </x:c>
      <x:c r="AD138" t="n">
        <x:f>Scenario_Data!W138</x:f>
        <x:v>106.39999999999998</x:v>
      </x:c>
      <x:c r="AE138" t="n">
        <x: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x:f>
        <x:v>281.9414866847112</x:v>
      </x:c>
      <x:c r="AG138" t="n">
        <x:f>Scenario_Data!T138</x:f>
        <x:v>7.980000000000004</x:v>
      </x:c>
      <x:c r="AH138" t="n">
        <x:f>2*(SQRT((Inputs!$C$52+(Scenario_Data!B138))^2+Inputs!$C$52^2-2*(Inputs!$C$52+(Scenario_Data!B138))*Inputs!$C$52*COS(SQRT((Scenario_Data!T138)^2+Inputs!$C$6^2)/Inputs!$C$52))*1000)/Inputs!$C$21*1000000</x:f>
        <x:v>2676.188666798151</x:v>
      </x:c>
      <x:c r="AI138" t="n">
        <x:f>Scenario_Data!U138</x:f>
        <x:v>53.19999999999999</x:v>
      </x:c>
      <x:c r="AJ138" t="n">
        <x:f>2*(SQRT((Inputs!$C$52+(Scenario_Data!C138))^2+Inputs!$C$52^2-2*(Inputs!$C$52+(Scenario_Data!C138))*Inputs!$C$52*COS(SQRT((Scenario_Data!U138)^2+Inputs!$C$6^2)/Inputs!$C$52))*1000)/Inputs!$C$21*1000000</x:f>
        <x:v>484.08118424505756</x:v>
      </x:c>
      <x:c r="AK138" t="n">
        <x:f>Scenario_Data!V138</x:f>
        <x:v>106.39999999999998</x:v>
      </x:c>
      <x:c r="AL138" t="n">
        <x:f>2*(SQRT((Inputs!$C$52+(Scenario_Data!D138))^2+Inputs!$C$52^2-2*(Inputs!$C$52+(Scenario_Data!D138))*Inputs!$C$52*COS(SQRT((Scenario_Data!V138)^2+Inputs!$C$6^2)/Inputs!$C$52))*1000)/Inputs!$C$21*1000000</x:f>
        <x:v>818.4420076699244</x:v>
      </x:c>
      <x:c r="AM138" t="n">
        <x:f>Scenario_Data!W138</x:f>
        <x:v>106.39999999999998</x:v>
      </x:c>
      <x:c r="AN138" t="n">
        <x:f>2*(SQRT((Inputs!$C$52+(Scenario_Data!E138))^2+Inputs!$C$52^2-2*(Inputs!$C$52+(Scenario_Data!E138))*Inputs!$C$52*COS(SQRT((Scenario_Data!W138)^2+Inputs!$C$6^2)/Inputs!$C$52))*1000)/Inputs!$C$21*1000000</x:f>
        <x:v>790.7392217429494</x:v>
      </x:c>
      <x:c r="AP138" t="n">
        <x:f>Scenario_Data!T138</x:f>
        <x:v>7.980000000000004</x:v>
      </x:c>
      <x:c r="AQ138" t="n">
        <x: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x:f>
        <x:v>2672.811129833762</x:v>
      </x:c>
      <x:c r="AR138" t="n">
        <x:f>Scenario_Data!U138</x:f>
        <x:v>53.19999999999999</x:v>
      </x:c>
      <x:c r="AS138" t="n">
        <x: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x:f>
        <x:v>483.4361058635791</x:v>
      </x:c>
      <x:c r="AT138" t="n">
        <x:f>Scenario_Data!V138</x:f>
        <x:v>106.39999999999998</x:v>
      </x:c>
      <x:c r="AU138" t="n">
        <x: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x:f>
        <x:v>818.2319444740547</x:v>
      </x:c>
      <x:c r="AV138" t="n">
        <x:f>Scenario_Data!W138</x:f>
        <x:v>106.39999999999998</x:v>
      </x:c>
      <x:c r="AW138" t="n">
        <x: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x:f>
        <x:v>790.5661176236786</x:v>
      </x:c>
    </x:row>
    <x:row r="139">
      <x:c r="A139" t="n">
        <x:f>Chart_Data!K139</x:f>
        <x:v>8.5</x:v>
      </x:c>
      <x:c r="B139" t="n">
        <x:f>Chart_Data!N139-Chart_Data!L139</x:f>
        <x:v>-37.06559531772615</x:v>
      </x:c>
      <x:c r="D139" t="n">
        <x:f>Chart_Data!G139</x:f>
        <x:v>8.5</x:v>
      </x:c>
      <x:c r="E139" t="n">
        <x:f>Chart_Data!H139</x:f>
        <x:v>479.6019721372586</x:v>
      </x:c>
      <x:c r="F139" t="n">
        <x:f>Chart_Data!I139</x:f>
        <x:v>479.6019721372586</x:v>
      </x:c>
      <x:c r="G139" t="n">
        <x:f>Chart_Data!J139</x:f>
        <x:v>35.42120810065494</x:v>
      </x:c>
      <x:c r="I139" t="n">
        <x:f>Scenario_Data!A139</x:f>
        <x:v>0.142</x:v>
      </x:c>
      <x:c r="J139" t="n">
        <x:f>Scenario_Data!H139-(((SQRT((Inputs!$C$52+(Inputs!$H$6))^2+Inputs!$C$52^2-2*(Inputs!$C$52+(Inputs!$H$6))*Inputs!$C$52*COS(SQRT((Scenario_Data!T139)^2+Inputs!$C$6^2)/Inputs!$C$52)))-(Inputs!$H$6))*1000/Inputs!$C$12)</x:f>
        <x:v>-0.09831908205035234</x:v>
      </x:c>
      <x:c r="K139" t="n">
        <x:f>Scenario_Data!I139-(((SQRT((Inputs!$C$52+(Inputs!$H$7))^2+Inputs!$C$52^2-2*(Inputs!$C$52+(Inputs!$H$7))*Inputs!$C$52*COS(SQRT((Scenario_Data!U139)^2+Inputs!$C$6^2)/Inputs!$C$52)))-(Inputs!$H$7))*1000/Inputs!$C$12)</x:f>
        <x:v>-1899.6570192596264</x:v>
      </x:c>
      <x:c r="L139" t="n">
        <x:f>Scenario_Data!J139-(((SQRT((Inputs!$C$52+(Inputs!$H$8))^2+Inputs!$C$52^2-2*(Inputs!$C$52+(Inputs!$H$8))*Inputs!$C$52*COS(SQRT((Scenario_Data!V139)^2+Inputs!$C$6^2)/Inputs!$C$52)))-(Inputs!$H$8))*1000/Inputs!$C$12)</x:f>
        <x:v>-6690.6108063344145</x:v>
      </x:c>
      <x:c r="M139" t="n">
        <x:f>Scenario_Data!K139-(((SQRT((Inputs!$C$52+(Inputs!$H$9))^2+Inputs!$C$52^2-2*(Inputs!$C$52+(Inputs!$H$9))*Inputs!$C$52*COS(SQRT((Scenario_Data!W139)^2+Inputs!$C$6^2)/Inputs!$C$52)))-(Inputs!$H$9))*1000/Inputs!$C$12)</x:f>
        <x:v>-7527.867382244032</x:v>
      </x:c>
      <x:c r="O139" t="n">
        <x:f>Scenario_Data!T139</x:f>
        <x:v>8.519999999999996</x:v>
      </x:c>
      <x:c r="P139" t="n">
        <x:f>2*(Scenario_Data!B139*1000)/Inputs!$C$21*1000000</x:f>
        <x:v>2669.050840498462</x:v>
      </x:c>
      <x:c r="Q139" t="n">
        <x:f>Scenario_Data!U139</x:f>
        <x:v>56.799999999999955</x:v>
      </x:c>
      <x:c r="R139" t="n">
        <x:f>2*(Scenario_Data!C139*1000)/Inputs!$C$21*1000000</x:f>
        <x:v>282.5945674724078</x:v>
      </x:c>
      <x:c r="S139" t="n">
        <x:f>Scenario_Data!V139</x:f>
        <x:v>113.59999999999991</x:v>
      </x:c>
      <x:c r="T139" t="n">
        <x:f>2*(Scenario_Data!D139*1000)/Inputs!$C$21*1000000</x:f>
        <x:v>363.30640445931414</x:v>
      </x:c>
      <x:c r="U139" t="n">
        <x:f>Scenario_Data!W139</x:f>
        <x:v>113.59999999999991</x:v>
      </x:c>
      <x:c r="V139" t="n">
        <x:f>2*(Scenario_Data!E139*1000)/Inputs!$C$21*1000000</x:f>
        <x:v>297.9387827027988</x:v>
      </x:c>
      <x:c r="X139" t="n">
        <x:f>Scenario_Data!T139</x:f>
        <x:v>8.519999999999996</x:v>
      </x:c>
      <x:c r="Y139" t="n">
        <x: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x:f>
        <x:v>2668.93813045976</x:v>
      </x:c>
      <x:c r="Z139" t="n">
        <x:f>Scenario_Data!U139</x:f>
        <x:v>56.799999999999955</x:v>
      </x:c>
      <x:c r="AA139" t="n">
        <x: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x:f>
        <x:v>282.45267503280434</x:v>
      </x:c>
      <x:c r="AB139" t="n">
        <x:f>Scenario_Data!V139</x:f>
        <x:v>113.59999999999991</x:v>
      </x:c>
      <x:c r="AC139" t="n">
        <x: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x:f>
        <x:v>363.0011899782957</x:v>
      </x:c>
      <x:c r="AD139" t="n">
        <x:f>Scenario_Data!W139</x:f>
        <x:v>113.59999999999991</x:v>
      </x:c>
      <x:c r="AE139" t="n">
        <x: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x:f>
        <x:v>297.63356822178037</x:v>
      </x:c>
      <x:c r="AG139" t="n">
        <x:f>Scenario_Data!T139</x:f>
        <x:v>8.519999999999996</x:v>
      </x:c>
      <x:c r="AH139" t="n">
        <x:f>2*(SQRT((Inputs!$C$52+(Scenario_Data!B139))^2+Inputs!$C$52^2-2*(Inputs!$C$52+(Scenario_Data!B139))*Inputs!$C$52*COS(SQRT((Scenario_Data!T139)^2+Inputs!$C$6^2)/Inputs!$C$52))*1000)/Inputs!$C$21*1000000</x:f>
        <x:v>2676.3476420836173</x:v>
      </x:c>
      <x:c r="AI139" t="n">
        <x:f>Scenario_Data!U139</x:f>
        <x:v>56.799999999999955</x:v>
      </x:c>
      <x:c r="AJ139" t="n">
        <x:f>2*(SQRT((Inputs!$C$52+(Scenario_Data!C139))^2+Inputs!$C$52^2-2*(Inputs!$C$52+(Scenario_Data!C139))*Inputs!$C$52*COS(SQRT((Scenario_Data!U139)^2+Inputs!$C$6^2)/Inputs!$C$52))*1000)/Inputs!$C$21*1000000</x:f>
        <x:v>505.85734229616077</x:v>
      </x:c>
      <x:c r="AK139" t="n">
        <x:f>Scenario_Data!V139</x:f>
        <x:v>113.59999999999991</x:v>
      </x:c>
      <x:c r="AL139" t="n">
        <x:f>2*(SQRT((Inputs!$C$52+(Scenario_Data!D139))^2+Inputs!$C$52^2-2*(Inputs!$C$52+(Scenario_Data!D139))*Inputs!$C$52*COS(SQRT((Scenario_Data!V139)^2+Inputs!$C$6^2)/Inputs!$C$52))*1000)/Inputs!$C$21*1000000</x:f>
        <x:v>868.8370802821825</x:v>
      </x:c>
      <x:c r="AM139" t="n">
        <x:f>Scenario_Data!W139</x:f>
        <x:v>113.59999999999991</x:v>
      </x:c>
      <x:c r="AN139" t="n">
        <x:f>2*(SQRT((Inputs!$C$52+(Scenario_Data!E139))^2+Inputs!$C$52^2-2*(Inputs!$C$52+(Scenario_Data!E139))*Inputs!$C$52*COS(SQRT((Scenario_Data!W139)^2+Inputs!$C$6^2)/Inputs!$C$52))*1000)/Inputs!$C$21*1000000</x:f>
        <x:v>841.3532788829613</x:v>
      </x:c>
      <x:c r="AP139" t="n">
        <x:f>Scenario_Data!T139</x:f>
        <x:v>8.519999999999996</x:v>
      </x:c>
      <x:c r="AQ139" t="n">
        <x: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x:f>
        <x:v>2673.0186412762982</x:v>
      </x:c>
      <x:c r="AR139" t="n">
        <x:f>Scenario_Data!U139</x:f>
        <x:v>56.799999999999955</x:v>
      </x:c>
      <x:c r="AS139" t="n">
        <x: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x:f>
        <x:v>505.1728402834789</x:v>
      </x:c>
      <x:c r="AT139" t="n">
        <x:f>Scenario_Data!V139</x:f>
        <x:v>113.59999999999991</x:v>
      </x:c>
      <x:c r="AU139" t="n">
        <x: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x:f>
        <x:v>868.33044410973</x:v>
      </x:c>
      <x:c r="AV139" t="n">
        <x:f>Scenario_Data!W139</x:f>
        <x:v>113.59999999999991</x:v>
      </x:c>
      <x:c r="AW139" t="n">
        <x: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x:f>
        <x:v>840.9326078964309</x:v>
      </x:c>
    </x:row>
    <x:row r="140">
      <x:c r="A140" t="n">
        <x:f>Chart_Data!K140</x:f>
        <x:v>9</x:v>
      </x:c>
      <x:c r="B140" t="n">
        <x:f>Chart_Data!N140-Chart_Data!L140</x:f>
        <x:v>-31.298672514684142</x:v>
      </x:c>
      <x:c r="D140" t="n">
        <x:f>Chart_Data!G140</x:f>
        <x:v>9</x:v>
      </x:c>
      <x:c r="E140" t="n">
        <x:f>Chart_Data!H140</x:f>
        <x:v>481.22587957439987</x:v>
      </x:c>
      <x:c r="F140" t="n">
        <x:f>Chart_Data!I140</x:f>
        <x:v>481.22587957439987</x:v>
      </x:c>
      <x:c r="G140" t="n">
        <x:f>Chart_Data!J140</x:f>
        <x:v>29.628149721243545</x:v>
      </x:c>
      <x:c r="I140" t="n">
        <x:f>Scenario_Data!A140</x:f>
        <x:v>0.15</x:v>
      </x:c>
      <x:c r="J140" t="n">
        <x:f>Scenario_Data!H140-(((SQRT((Inputs!$C$52+(Inputs!$H$6))^2+Inputs!$C$52^2-2*(Inputs!$C$52+(Inputs!$H$6))*Inputs!$C$52*COS(SQRT((Scenario_Data!T140)^2+Inputs!$C$6^2)/Inputs!$C$52)))-(Inputs!$H$6))*1000/Inputs!$C$12)</x:f>
        <x:v>-0.11102336728663431</x:v>
      </x:c>
      <x:c r="K140" t="n">
        <x:f>Scenario_Data!I140-(((SQRT((Inputs!$C$52+(Inputs!$H$7))^2+Inputs!$C$52^2-2*(Inputs!$C$52+(Inputs!$H$7))*Inputs!$C$52*COS(SQRT((Scenario_Data!U140)^2+Inputs!$C$6^2)/Inputs!$C$52)))-(Inputs!$H$7))*1000/Inputs!$C$12)</x:f>
        <x:v>-2177.66718431174</x:v>
      </x:c>
      <x:c r="L140" t="n">
        <x:f>Scenario_Data!J140-(((SQRT((Inputs!$C$52+(Inputs!$H$8))^2+Inputs!$C$52^2-2*(Inputs!$C$52+(Inputs!$H$8))*Inputs!$C$52*COS(SQRT((Scenario_Data!V140)^2+Inputs!$C$6^2)/Inputs!$C$52)))-(Inputs!$H$8))*1000/Inputs!$C$12)</x:f>
        <x:v>-7547.58267176729</x:v>
      </x:c>
      <x:c r="M140" t="n">
        <x:f>Scenario_Data!K140-(((SQRT((Inputs!$C$52+(Inputs!$H$9))^2+Inputs!$C$52^2-2*(Inputs!$C$52+(Inputs!$H$9))*Inputs!$C$52*COS(SQRT((Scenario_Data!W140)^2+Inputs!$C$6^2)/Inputs!$C$52)))-(Inputs!$H$9))*1000/Inputs!$C$12)</x:f>
        <x:v>-8442.924503822644</x:v>
      </x:c>
      <x:c r="O140" t="n">
        <x:f>Scenario_Data!T140</x:f>
        <x:v>9</x:v>
      </x:c>
      <x:c r="P140" t="n">
        <x:f>2*(Scenario_Data!B140*1000)/Inputs!$C$21*1000000</x:f>
        <x:v>2669.113176956573</x:v>
      </x:c>
      <x:c r="Q140" t="n">
        <x:f>Scenario_Data!U140</x:f>
        <x:v>59.99999999999994</x:v>
      </x:c>
      <x:c r="R140" t="n">
        <x:f>2*(Scenario_Data!C140*1000)/Inputs!$C$21*1000000</x:f>
        <x:v>288.2827692750028</x:v>
      </x:c>
      <x:c r="S140" t="n">
        <x:f>Scenario_Data!V140</x:f>
        <x:v>119.99999999999989</x:v>
      </x:c>
      <x:c r="T140" t="n">
        <x:f>2*(Scenario_Data!D140*1000)/Inputs!$C$21*1000000</x:f>
        <x:v>378.3450749785037</x:v>
      </x:c>
      <x:c r="U140" t="n">
        <x:f>Scenario_Data!W140</x:f>
        <x:v>119.99999999999989</x:v>
      </x:c>
      <x:c r="V140" t="n">
        <x:f>2*(Scenario_Data!E140*1000)/Inputs!$C$21*1000000</x:f>
        <x:v>313.1332943672649</x:v>
      </x:c>
      <x:c r="X140" t="n">
        <x:f>Scenario_Data!T140</x:f>
        <x:v>9</x:v>
      </x:c>
      <x:c r="Y140" t="n">
        <x: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x:f>
        <x:v>2668.91551921749</x:v>
      </x:c>
      <x:c r="Z140" t="n">
        <x:f>Scenario_Data!U140</x:f>
        <x:v>59.99999999999994</x:v>
      </x:c>
      <x:c r="AA140" t="n">
        <x: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x:f>
        <x:v>288.06999454155164</x:v>
      </x:c>
      <x:c r="AB140" t="n">
        <x:f>Scenario_Data!V140</x:f>
        <x:v>119.99999999999989</x:v>
      </x:c>
      <x:c r="AC140" t="n">
        <x: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x:f>
        <x:v>378.4062789597639</x:v>
      </x:c>
      <x:c r="AD140" t="n">
        <x:f>Scenario_Data!W140</x:f>
        <x:v>119.99999999999989</x:v>
      </x:c>
      <x:c r="AE140" t="n">
        <x: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x:f>
        <x:v>313.19449834852514</x:v>
      </x:c>
      <x:c r="AG140" t="n">
        <x:f>Scenario_Data!T140</x:f>
        <x:v>9</x:v>
      </x:c>
      <x:c r="AH140" t="n">
        <x:f>2*(SQRT((Inputs!$C$52+(Scenario_Data!B140))^2+Inputs!$C$52^2-2*(Inputs!$C$52+(Scenario_Data!B140))*Inputs!$C$52*COS(SQRT((Scenario_Data!T140)^2+Inputs!$C$6^2)/Inputs!$C$52))*1000)/Inputs!$C$21*1000000</x:f>
        <x:v>2676.4976827030932</x:v>
      </x:c>
      <x:c r="AI140" t="n">
        <x:f>Scenario_Data!U140</x:f>
        <x:v>59.99999999999994</x:v>
      </x:c>
      <x:c r="AJ140" t="n">
        <x:f>2*(SQRT((Inputs!$C$52+(Scenario_Data!C140))^2+Inputs!$C$52^2-2*(Inputs!$C$52+(Scenario_Data!C140))*Inputs!$C$52*COS(SQRT((Scenario_Data!U140)^2+Inputs!$C$6^2)/Inputs!$C$52))*1000)/Inputs!$C$21*1000000</x:f>
        <x:v>525.6642714445533</x:v>
      </x:c>
      <x:c r="AK140" t="n">
        <x:f>Scenario_Data!V140</x:f>
        <x:v>119.99999999999989</x:v>
      </x:c>
      <x:c r="AL140" t="n">
        <x:f>2*(SQRT((Inputs!$C$52+(Scenario_Data!D140))^2+Inputs!$C$52^2-2*(Inputs!$C$52+(Scenario_Data!D140))*Inputs!$C$52*COS(SQRT((Scenario_Data!V140)^2+Inputs!$C$6^2)/Inputs!$C$52))*1000)/Inputs!$C$21*1000000</x:f>
        <x:v>914.2150944753647</x:v>
      </x:c>
      <x:c r="AM140" t="n">
        <x:f>Scenario_Data!W140</x:f>
        <x:v>119.99999999999989</x:v>
      </x:c>
      <x:c r="AN140" t="n">
        <x:f>2*(SQRT((Inputs!$C$52+(Scenario_Data!E140))^2+Inputs!$C$52^2-2*(Inputs!$C$52+(Scenario_Data!E140))*Inputs!$C$52*COS(SQRT((Scenario_Data!W140)^2+Inputs!$C$6^2)/Inputs!$C$52))*1000)/Inputs!$C$21*1000000</x:f>
        <x:v>886.8544947202699</x:v>
      </x:c>
      <x:c r="AP140" t="n">
        <x:f>Scenario_Data!T140</x:f>
        <x:v>9</x:v>
      </x:c>
      <x:c r="AQ140" t="n">
        <x: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x:f>
        <x:v>2673.298433729452</x:v>
      </x:c>
      <x:c r="AR140" t="n">
        <x:f>Scenario_Data!U140</x:f>
        <x:v>59.99999999999994</x:v>
      </x:c>
      <x:c r="AS140" t="n">
        <x: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x:f>
        <x:v>525.0301956551476</x:v>
      </x:c>
      <x:c r="AT140" t="n">
        <x:f>Scenario_Data!V140</x:f>
        <x:v>119.99999999999989</x:v>
      </x:c>
      <x:c r="AU140" t="n">
        <x: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x:f>
        <x:v>914.0428007371116</x:v>
      </x:c>
      <x:c r="AV140" t="n">
        <x:f>Scenario_Data!W140</x:f>
        <x:v>119.99999999999989</x:v>
      </x:c>
      <x:c r="AW140" t="n">
        <x: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x:f>
        <x:v>886.7103694425493</x:v>
      </x:c>
    </x:row>
    <x:row r="141">
      <x:c r="A141" t="n">
        <x:f>Chart_Data!K141</x:f>
        <x:v>9.5</x:v>
      </x:c>
      <x:c r="B141" t="n">
        <x:f>Chart_Data!N141-Chart_Data!L141</x:f>
        <x:v>-7.331808066710664</x:v>
      </x:c>
      <x:c r="D141" t="n">
        <x:f>Chart_Data!G141</x:f>
        <x:v>9.5</x:v>
      </x:c>
      <x:c r="E141" t="n">
        <x:f>Chart_Data!H141</x:f>
        <x:v>478.27937371872196</x:v>
      </x:c>
      <x:c r="F141" t="n">
        <x:f>Chart_Data!I141</x:f>
        <x:v>478.27937371872196</x:v>
      </x:c>
      <x:c r="G141" t="n">
        <x:f>Chart_Data!J141</x:f>
        <x:v>5.649927018638348</x:v>
      </x:c>
      <x:c r="I141" t="n">
        <x:f>Scenario_Data!A141</x:f>
        <x:v>0.158</x:v>
      </x:c>
      <x:c r="J141" t="n">
        <x:f>Scenario_Data!H141-(((SQRT((Inputs!$C$52+(Inputs!$H$6))^2+Inputs!$C$52^2-2*(Inputs!$C$52+(Inputs!$H$6))*Inputs!$C$52*COS(SQRT((Scenario_Data!T141)^2+Inputs!$C$6^2)/Inputs!$C$52)))-(Inputs!$H$6))*1000/Inputs!$C$12)</x:f>
        <x:v>-0.12471921807230046</x:v>
      </x:c>
      <x:c r="K141" t="n">
        <x:f>Scenario_Data!I141-(((SQRT((Inputs!$C$52+(Inputs!$H$7))^2+Inputs!$C$52^2-2*(Inputs!$C$52+(Inputs!$H$7))*Inputs!$C$52*COS(SQRT((Scenario_Data!U141)^2+Inputs!$C$6^2)/Inputs!$C$52)))-(Inputs!$H$7))*1000/Inputs!$C$12)</x:f>
        <x:v>-2475.736579407454</x:v>
      </x:c>
      <x:c r="L141" t="n">
        <x:f>Scenario_Data!J141-(((SQRT((Inputs!$C$52+(Inputs!$H$8))^2+Inputs!$C$52^2-2*(Inputs!$C$52+(Inputs!$H$8))*Inputs!$C$52*COS(SQRT((Scenario_Data!V141)^2+Inputs!$C$6^2)/Inputs!$C$52)))-(Inputs!$H$8))*1000/Inputs!$C$12)</x:f>
        <x:v>-8450.11460672399</x:v>
      </x:c>
      <x:c r="M141" t="n">
        <x:f>Scenario_Data!K141-(((SQRT((Inputs!$C$52+(Inputs!$H$9))^2+Inputs!$C$52^2-2*(Inputs!$C$52+(Inputs!$H$9))*Inputs!$C$52*COS(SQRT((Scenario_Data!W141)^2+Inputs!$C$6^2)/Inputs!$C$52)))-(Inputs!$H$9))*1000/Inputs!$C$12)</x:f>
        <x:v>-9403.219768093775</x:v>
      </x:c>
      <x:c r="O141" t="n">
        <x:f>Scenario_Data!T141</x:f>
        <x:v>9.47999999999999</x:v>
      </x:c>
      <x:c r="P141" t="n">
        <x:f>2*(Scenario_Data!B141*1000)/Inputs!$C$21*1000000</x:f>
        <x:v>2669.1789291110185</x:v>
      </x:c>
      <x:c r="Q141" t="n">
        <x:f>Scenario_Data!U141</x:f>
        <x:v>63.19999999999999</x:v>
      </x:c>
      <x:c r="R141" t="n">
        <x:f>2*(Scenario_Data!C141*1000)/Inputs!$C$21*1000000</x:f>
        <x:v>294.2826533681511</x:v>
      </x:c>
      <x:c r="S141" t="n">
        <x:f>Scenario_Data!V141</x:f>
        <x:v>126.39999999999998</x:v>
      </x:c>
      <x:c r="T141" t="n">
        <x:f>2*(Scenario_Data!D141*1000)/Inputs!$C$21*1000000</x:f>
        <x:v>394.2077822384711</x:v>
      </x:c>
      <x:c r="U141" t="n">
        <x:f>Scenario_Data!W141</x:f>
        <x:v>126.39999999999998</x:v>
      </x:c>
      <x:c r="V141" t="n">
        <x:f>2*(Scenario_Data!E141*1000)/Inputs!$C$21*1000000</x:f>
        <x:v>329.160382013346</x:v>
      </x:c>
      <x:c r="X141" t="n">
        <x:f>Scenario_Data!T141</x:f>
        <x:v>9.47999999999999</x:v>
      </x:c>
      <x:c r="Y141" t="n">
        <x: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x:f>
        <x:v>2669.0410756188267</x:v>
      </x:c>
      <x:c r="Z141" t="n">
        <x:f>Scenario_Data!U141</x:f>
        <x:v>63.19999999999999</x:v>
      </x:c>
      <x:c r="AA141" t="n">
        <x: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x:f>
        <x:v>294.08928666556926</x:v>
      </x:c>
      <x:c r="AB141" t="n">
        <x:f>Scenario_Data!V141</x:f>
        <x:v>126.39999999999998</x:v>
      </x:c>
      <x:c r="AC141" t="n">
        <x: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x:f>
        <x:v>393.9604119847854</x:v>
      </x:c>
      <x:c r="AD141" t="n">
        <x:f>Scenario_Data!W141</x:f>
        <x:v>126.39999999999998</x:v>
      </x:c>
      <x:c r="AE141" t="n">
        <x: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x:f>
        <x:v>328.9130117596604</x:v>
      </x:c>
      <x:c r="AG141" t="n">
        <x:f>Scenario_Data!T141</x:f>
        <x:v>9.47999999999999</x:v>
      </x:c>
      <x:c r="AH141" t="n">
        <x:f>2*(SQRT((Inputs!$C$52+(Scenario_Data!B141))^2+Inputs!$C$52^2-2*(Inputs!$C$52+(Scenario_Data!B141))*Inputs!$C$52*COS(SQRT((Scenario_Data!T141)^2+Inputs!$C$6^2)/Inputs!$C$52))*1000)/Inputs!$C$21*1000000</x:f>
        <x:v>2676.655938037531</x:v>
      </x:c>
      <x:c r="AI141" t="n">
        <x:f>Scenario_Data!U141</x:f>
        <x:v>63.19999999999999</x:v>
      </x:c>
      <x:c r="AJ141" t="n">
        <x:f>2*(SQRT((Inputs!$C$52+(Scenario_Data!C141))^2+Inputs!$C$52^2-2*(Inputs!$C$52+(Scenario_Data!C141))*Inputs!$C$52*COS(SQRT((Scenario_Data!U141)^2+Inputs!$C$6^2)/Inputs!$C$52))*1000)/Inputs!$C$21*1000000</x:f>
        <x:v>545.8599335087318</x:v>
      </x:c>
      <x:c r="AK141" t="n">
        <x:f>Scenario_Data!V141</x:f>
        <x:v>126.39999999999998</x:v>
      </x:c>
      <x:c r="AL141" t="n">
        <x:f>2*(SQRT((Inputs!$C$52+(Scenario_Data!D141))^2+Inputs!$C$52^2-2*(Inputs!$C$52+(Scenario_Data!D141))*Inputs!$C$52*COS(SQRT((Scenario_Data!V141)^2+Inputs!$C$6^2)/Inputs!$C$52))*1000)/Inputs!$C$21*1000000</x:f>
        <x:v>960.117033428206</x:v>
      </x:c>
      <x:c r="AM141" t="n">
        <x:f>Scenario_Data!W141</x:f>
        <x:v>126.39999999999998</x:v>
      </x:c>
      <x:c r="AN141" t="n">
        <x:f>2*(SQRT((Inputs!$C$52+(Scenario_Data!E141))^2+Inputs!$C$52^2-2*(Inputs!$C$52+(Scenario_Data!E141))*Inputs!$C$52*COS(SQRT((Scenario_Data!W141)^2+Inputs!$C$6^2)/Inputs!$C$52))*1000)/Inputs!$C$21*1000000</x:f>
        <x:v>932.8227451453487</x:v>
      </x:c>
      <x:c r="AP141" t="n">
        <x:f>Scenario_Data!T141</x:f>
        <x:v>9.47999999999999</x:v>
      </x:c>
      <x:c r="AQ141" t="n">
        <x: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x:f>
        <x:v>2673.5257336157</x:v>
      </x:c>
      <x:c r="AR141" t="n">
        <x:f>Scenario_Data!U141</x:f>
        <x:v>63.19999999999999</x:v>
      </x:c>
      <x:c r="AS141" t="n">
        <x: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x:f>
        <x:v>545.294526979861</x:v>
      </x:c>
      <x:c r="AT141" t="n">
        <x:f>Scenario_Data!V141</x:f>
        <x:v>126.39999999999998</x:v>
      </x:c>
      <x:c r="AU141" t="n">
        <x: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x:f>
        <x:v>959.7681106792701</x:v>
      </x:c>
      <x:c r="AV141" t="n">
        <x:f>Scenario_Data!W141</x:f>
        <x:v>126.39999999999998</x:v>
      </x:c>
      <x:c r="AW141" t="n">
        <x: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x:f>
        <x:v>932.5288448805254</x:v>
      </x:c>
    </x:row>
    <x:row r="142">
      <x:c r="A142" t="n">
        <x:f>Chart_Data!K142</x:f>
        <x:v>10</x:v>
      </x:c>
      <x:c r="B142" t="n">
        <x:f>Chart_Data!N142-Chart_Data!L142</x:f>
        <x:v>6.950709340985782</x:v>
      </x:c>
      <x:c r="D142" t="n">
        <x:f>Chart_Data!G142</x:f>
        <x:v>10</x:v>
      </x:c>
      <x:c r="E142" t="n">
        <x:f>Chart_Data!H142</x:f>
        <x:v>454.2022007690729</x:v>
      </x:c>
      <x:c r="F142" t="n">
        <x:f>Chart_Data!I142</x:f>
        <x:v>454.2022007690729</x:v>
      </x:c>
      <x:c r="G142" t="n">
        <x:f>Chart_Data!J142</x:f>
        <x:v>-8.569441618173819</x:v>
      </x:c>
      <x:c r="I142" t="n">
        <x:f>Scenario_Data!A142</x:f>
        <x:v>0.167</x:v>
      </x:c>
      <x:c r="J142" t="n">
        <x:f>Scenario_Data!H142-(((SQRT((Inputs!$C$52+(Inputs!$H$6))^2+Inputs!$C$52^2-2*(Inputs!$C$52+(Inputs!$H$6))*Inputs!$C$52*COS(SQRT((Scenario_Data!T142)^2+Inputs!$C$6^2)/Inputs!$C$52)))-(Inputs!$H$6))*1000/Inputs!$C$12)</x:f>
        <x:v>-0.14137113236063215</x:v>
      </x:c>
      <x:c r="K142" t="n">
        <x:f>Scenario_Data!I142-(((SQRT((Inputs!$C$52+(Inputs!$H$7))^2+Inputs!$C$52^2-2*(Inputs!$C$52+(Inputs!$H$7))*Inputs!$C$52*COS(SQRT((Scenario_Data!U142)^2+Inputs!$C$6^2)/Inputs!$C$52)))-(Inputs!$H$7))*1000/Inputs!$C$12)</x:f>
        <x:v>-2834.7671819467178</x:v>
      </x:c>
      <x:c r="L142" t="n">
        <x:f>Scenario_Data!J142-(((SQRT((Inputs!$C$52+(Inputs!$H$8))^2+Inputs!$C$52^2-2*(Inputs!$C$52+(Inputs!$H$8))*Inputs!$C$52*COS(SQRT((Scenario_Data!V142)^2+Inputs!$C$6^2)/Inputs!$C$52)))-(Inputs!$H$8))*1000/Inputs!$C$12)</x:f>
        <x:v>-9518.334244312478</x:v>
      </x:c>
      <x:c r="M142" t="n">
        <x:f>Scenario_Data!K142-(((SQRT((Inputs!$C$52+(Inputs!$H$9))^2+Inputs!$C$52^2-2*(Inputs!$C$52+(Inputs!$H$9))*Inputs!$C$52*COS(SQRT((Scenario_Data!W142)^2+Inputs!$C$6^2)/Inputs!$C$52)))-(Inputs!$H$9))*1000/Inputs!$C$12)</x:f>
        <x:v>-10536.017531248719</x:v>
      </x:c>
      <x:c r="O142" t="n">
        <x:f>Scenario_Data!T142</x:f>
        <x:v>10.019999999999996</x:v>
      </x:c>
      <x:c r="P142" t="n">
        <x:f>2*(Scenario_Data!B142*1000)/Inputs!$C$21*1000000</x:f>
        <x:v>2669.256983109295</x:v>
      </x:c>
      <x:c r="Q142" t="n">
        <x:f>Scenario_Data!U142</x:f>
        <x:v>66.80000000000001</x:v>
      </x:c>
      <x:c r="R142" t="n">
        <x:f>2*(Scenario_Data!C142*1000)/Inputs!$C$21*1000000</x:f>
        <x:v>301.40508071086964</x:v>
      </x:c>
      <x:c r="S142" t="n">
        <x:f>Scenario_Data!V142</x:f>
        <x:v>133.60000000000002</x:v>
      </x:c>
      <x:c r="T142" t="n">
        <x:f>2*(Scenario_Data!D142*1000)/Inputs!$C$21*1000000</x:f>
        <x:v>413.03830932264486</x:v>
      </x:c>
      <x:c r="U142" t="n">
        <x:f>Scenario_Data!W142</x:f>
        <x:v>133.60000000000002</x:v>
      </x:c>
      <x:c r="V142" t="n">
        <x:f>2*(Scenario_Data!E142*1000)/Inputs!$C$21*1000000</x:f>
        <x:v>348.1860440932107</x:v>
      </x:c>
      <x:c r="X142" t="n">
        <x:f>Scenario_Data!T142</x:f>
        <x:v>10.019999999999996</x:v>
      </x:c>
      <x:c r="Y142" t="n">
        <x: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x:f>
        <x:v>2669.291489917243</x:v>
      </x:c>
      <x:c r="Z142" t="n">
        <x:f>Scenario_Data!U142</x:f>
        <x:v>66.80000000000001</x:v>
      </x:c>
      <x:c r="AA142" t="n">
        <x: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x:f>
        <x:v>301.6540717423815</x:v>
      </x:c>
      <x:c r="AB142" t="n">
        <x:f>Scenario_Data!V142</x:f>
        <x:v>133.60000000000002</x:v>
      </x:c>
      <x:c r="AC142" t="n">
        <x: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x:f>
        <x:v>412.6730671989272</x:v>
      </x:c>
      <x:c r="AD142" t="n">
        <x:f>Scenario_Data!W142</x:f>
        <x:v>133.60000000000002</x:v>
      </x:c>
      <x:c r="AE142" t="n">
        <x: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x:f>
        <x:v>347.82080196949306</x:v>
      </x:c>
      <x:c r="AG142" t="n">
        <x:f>Scenario_Data!T142</x:f>
        <x:v>10.019999999999996</x:v>
      </x:c>
      <x:c r="AH142" t="n">
        <x:f>2*(SQRT((Inputs!$C$52+(Scenario_Data!B142))^2+Inputs!$C$52^2-2*(Inputs!$C$52+(Scenario_Data!B142))*Inputs!$C$52*COS(SQRT((Scenario_Data!T142)^2+Inputs!$C$6^2)/Inputs!$C$52))*1000)/Inputs!$C$21*1000000</x:f>
        <x:v>2676.843793107199</x:v>
      </x:c>
      <x:c r="AI142" t="n">
        <x:f>Scenario_Data!U142</x:f>
        <x:v>66.80000000000001</x:v>
      </x:c>
      <x:c r="AJ142" t="n">
        <x:f>2*(SQRT((Inputs!$C$52+(Scenario_Data!C142))^2+Inputs!$C$52^2-2*(Inputs!$C$52+(Scenario_Data!C142))*Inputs!$C$52*COS(SQRT((Scenario_Data!U142)^2+Inputs!$C$6^2)/Inputs!$C$52))*1000)/Inputs!$C$21*1000000</x:f>
        <x:v>569.0088081002975</x:v>
      </x:c>
      <x:c r="AK142" t="n">
        <x:f>Scenario_Data!V142</x:f>
        <x:v>133.60000000000002</x:v>
      </x:c>
      <x:c r="AL142" t="n">
        <x:f>2*(SQRT((Inputs!$C$52+(Scenario_Data!D142))^2+Inputs!$C$52^2-2*(Inputs!$C$52+(Scenario_Data!D142))*Inputs!$C$52*COS(SQRT((Scenario_Data!V142)^2+Inputs!$C$6^2)/Inputs!$C$52))*1000)/Inputs!$C$21*1000000</x:f>
        <x:v>1012.362240937457</x:v>
      </x:c>
      <x:c r="AM142" t="n">
        <x:f>Scenario_Data!W142</x:f>
        <x:v>133.60000000000002</x:v>
      </x:c>
      <x:c r="AN142" t="n">
        <x:f>2*(SQRT((Inputs!$C$52+(Scenario_Data!E142))^2+Inputs!$C$52^2-2*(Inputs!$C$52+(Scenario_Data!E142))*Inputs!$C$52*COS(SQRT((Scenario_Data!W142)^2+Inputs!$C$6^2)/Inputs!$C$52))*1000)/Inputs!$C$21*1000000</x:f>
        <x:v>985.0850258038517</x:v>
      </x:c>
      <x:c r="AP142" t="n">
        <x:f>Scenario_Data!T142</x:f>
        <x:v>10.019999999999996</x:v>
      </x:c>
      <x:c r="AQ142" t="n">
        <x: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x:f>
        <x:v>2673.882119678937</x:v>
      </x:c>
      <x:c r="AR142" t="n">
        <x:f>Scenario_Data!U142</x:f>
        <x:v>66.80000000000001</x:v>
      </x:c>
      <x:c r="AS142" t="n">
        <x: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x:f>
        <x:v>568.6160000022179</x:v>
      </x:c>
      <x:c r="AT142" t="n">
        <x:f>Scenario_Data!V142</x:f>
        <x:v>133.60000000000002</x:v>
      </x:c>
      <x:c r="AU142" t="n">
        <x: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x:f>
        <x:v>1011.9614443866486</x:v>
      </x:c>
      <x:c r="AV142" t="n">
        <x:f>Scenario_Data!W142</x:f>
        <x:v>133.60000000000002</x:v>
      </x:c>
      <x:c r="AW142" t="n">
        <x: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x:f>
        <x:v>984.7447767945712</x:v>
      </x:c>
    </x:row>
    <x:row r="143">
      <x:c r="A143" t="n">
        <x:f>Chart_Data!K143</x:f>
        <x:v>10.5</x:v>
      </x:c>
      <x:c r="B143" t="n">
        <x:f>Chart_Data!N143-Chart_Data!L143</x:f>
        <x:v>-6.51890035122284</x:v>
      </x:c>
      <x:c r="D143" t="n">
        <x:f>Chart_Data!G143</x:f>
        <x:v>10.5</x:v>
      </x:c>
      <x:c r="E143" t="n">
        <x:f>Chart_Data!H143</x:f>
        <x:v>437.9381023255588</x:v>
      </x:c>
      <x:c r="F143" t="n">
        <x:f>Chart_Data!I143</x:f>
        <x:v>437.9381023255588</x:v>
      </x:c>
      <x:c r="G143" t="n">
        <x:f>Chart_Data!J143</x:f>
        <x:v>4.936290407774814</x:v>
      </x:c>
      <x:c r="I143" t="n">
        <x:f>Scenario_Data!A143</x:f>
        <x:v>0.175</x:v>
      </x:c>
      <x:c r="J143" t="n">
        <x:f>Scenario_Data!H143-(((SQRT((Inputs!$C$52+(Inputs!$H$6))^2+Inputs!$C$52^2-2*(Inputs!$C$52+(Inputs!$H$6))*Inputs!$C$52*COS(SQRT((Scenario_Data!T143)^2+Inputs!$C$6^2)/Inputs!$C$52)))-(Inputs!$H$6))*1000/Inputs!$C$12)</x:f>
        <x:v>-0.15733377440119511</x:v>
      </x:c>
      <x:c r="K143" t="n">
        <x:f>Scenario_Data!I143-(((SQRT((Inputs!$C$52+(Inputs!$H$7))^2+Inputs!$C$52^2-2*(Inputs!$C$52+(Inputs!$H$7))*Inputs!$C$52*COS(SQRT((Scenario_Data!U143)^2+Inputs!$C$6^2)/Inputs!$C$52)))-(Inputs!$H$7))*1000/Inputs!$C$12)</x:f>
        <x:v>-3174.698779983293</x:v>
      </x:c>
      <x:c r="L143" t="n">
        <x:f>Scenario_Data!J143-(((SQRT((Inputs!$C$52+(Inputs!$H$8))^2+Inputs!$C$52^2-2*(Inputs!$C$52+(Inputs!$H$8))*Inputs!$C$52*COS(SQRT((Scenario_Data!V143)^2+Inputs!$C$6^2)/Inputs!$C$52)))-(Inputs!$H$8))*1000/Inputs!$C$12)</x:f>
        <x:v>-10513.46974524825</x:v>
      </x:c>
      <x:c r="M143" t="n">
        <x:f>Scenario_Data!K143-(((SQRT((Inputs!$C$52+(Inputs!$H$9))^2+Inputs!$C$52^2-2*(Inputs!$C$52+(Inputs!$H$9))*Inputs!$C$52*COS(SQRT((Scenario_Data!W143)^2+Inputs!$C$6^2)/Inputs!$C$52)))-(Inputs!$H$9))*1000/Inputs!$C$12)</x:f>
        <x:v>-11588.17818289464</x:v>
      </x:c>
      <x:c r="O143" t="n">
        <x:f>Scenario_Data!T143</x:f>
        <x:v>10.5</x:v>
      </x:c>
      <x:c r="P143" t="n">
        <x:f>2*(Scenario_Data!B143*1000)/Inputs!$C$21*1000000</x:f>
        <x:v>2669.329993618452</x:v>
      </x:c>
      <x:c r="Q143" t="n">
        <x:f>Scenario_Data!U143</x:f>
        <x:v>70</x:v>
      </x:c>
      <x:c r="R143" t="n">
        <x:f>2*(Scenario_Data!C143*1000)/Inputs!$C$21*1000000</x:f>
        <x:v>308.0672896714433</x:v>
      </x:c>
      <x:c r="S143" t="n">
        <x:f>Scenario_Data!V143</x:f>
        <x:v>140</x:v>
      </x:c>
      <x:c r="T143" t="n">
        <x:f>2*(Scenario_Data!D143*1000)/Inputs!$C$21*1000000</x:f>
        <x:v>430.6520946567642</x:v>
      </x:c>
      <x:c r="U143" t="n">
        <x:f>Scenario_Data!W143</x:f>
        <x:v>140</x:v>
      </x:c>
      <x:c r="V143" t="n">
        <x:f>2*(Scenario_Data!E143*1000)/Inputs!$C$21*1000000</x:f>
        <x:v>365.98235570022246</x:v>
      </x:c>
      <x:c r="X143" t="n">
        <x:f>Scenario_Data!T143</x:f>
        <x:v>10.5</x:v>
      </x:c>
      <x:c r="Y143" t="n">
        <x: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x:f>
        <x:v>2669.2970622335815</x:v>
      </x:c>
      <x:c r="Z143" t="n">
        <x:f>Scenario_Data!U143</x:f>
        <x:v>70</x:v>
      </x:c>
      <x:c r="AA143" t="n">
        <x: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x:f>
        <x:v>308.3339924924266</x:v>
      </x:c>
      <x:c r="AB143" t="n">
        <x:f>Scenario_Data!V143</x:f>
        <x:v>140</x:v>
      </x:c>
      <x:c r="AC143" t="n">
        <x: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x:f>
        <x:v>430.4704881029932</x:v>
      </x:c>
      <x:c r="AD143" t="n">
        <x:f>Scenario_Data!W143</x:f>
        <x:v>140</x:v>
      </x:c>
      <x:c r="AE143" t="n">
        <x: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x:f>
        <x:v>365.80074914645155</x:v>
      </x:c>
      <x:c r="AG143" t="n">
        <x:f>Scenario_Data!T143</x:f>
        <x:v>10.5</x:v>
      </x:c>
      <x:c r="AH143" t="n">
        <x:f>2*(SQRT((Inputs!$C$52+(Scenario_Data!B143))^2+Inputs!$C$52^2-2*(Inputs!$C$52+(Scenario_Data!B143))*Inputs!$C$52*COS(SQRT((Scenario_Data!T143)^2+Inputs!$C$6^2)/Inputs!$C$52))*1000)/Inputs!$C$21*1000000</x:f>
        <x:v>2677.019501093122</x:v>
      </x:c>
      <x:c r="AI143" t="n">
        <x:f>Scenario_Data!U143</x:f>
        <x:v>70</x:v>
      </x:c>
      <x:c r="AJ143" t="n">
        <x:f>2*(SQRT((Inputs!$C$52+(Scenario_Data!C143))^2+Inputs!$C$52^2-2*(Inputs!$C$52+(Scenario_Data!C143))*Inputs!$C$52*COS(SQRT((Scenario_Data!U143)^2+Inputs!$C$6^2)/Inputs!$C$52))*1000)/Inputs!$C$21*1000000</x:f>
        <x:v>589.9393087491328</x:v>
      </x:c>
      <x:c r="AK143" t="n">
        <x:f>Scenario_Data!V143</x:f>
        <x:v>140</x:v>
      </x:c>
      <x:c r="AL143" t="n">
        <x:f>2*(SQRT((Inputs!$C$52+(Scenario_Data!D143))^2+Inputs!$C$52^2-2*(Inputs!$C$52+(Scenario_Data!D143))*Inputs!$C$52*COS(SQRT((Scenario_Data!V143)^2+Inputs!$C$6^2)/Inputs!$C$52))*1000)/Inputs!$C$21*1000000</x:f>
        <x:v>1059.3278163208254</x:v>
      </x:c>
      <x:c r="AM143" t="n">
        <x:f>Scenario_Data!W143</x:f>
        <x:v>140</x:v>
      </x:c>
      <x:c r="AN143" t="n">
        <x:f>2*(SQRT((Inputs!$C$52+(Scenario_Data!E143))^2+Inputs!$C$52^2-2*(Inputs!$C$52+(Scenario_Data!E143))*Inputs!$C$52*COS(SQRT((Scenario_Data!W143)^2+Inputs!$C$6^2)/Inputs!$C$52))*1000)/Inputs!$C$21*1000000</x:f>
        <x:v>1032.0225937697833</x:v>
      </x:c>
      <x:c r="AP143" t="n">
        <x:f>Scenario_Data!T143</x:f>
        <x:v>10.5</x:v>
      </x:c>
      <x:c r="AQ143" t="n">
        <x: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x:f>
        <x:v>2674.108450593098</x:v>
      </x:c>
      <x:c r="AR143" t="n">
        <x:f>Scenario_Data!U143</x:f>
        <x:v>70</x:v>
      </x:c>
      <x:c r="AS143" t="n">
        <x: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x:f>
        <x:v>589.5950730129001</x:v>
      </x:c>
      <x:c r="AT143" t="n">
        <x:f>Scenario_Data!V143</x:f>
        <x:v>140</x:v>
      </x:c>
      <x:c r="AU143" t="n">
        <x: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x:f>
        <x:v>1059.1278356854446</x:v>
      </x:c>
      <x:c r="AV143" t="n">
        <x:f>Scenario_Data!W143</x:f>
        <x:v>140</x:v>
      </x:c>
      <x:c r="AW143" t="n">
        <x: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x:f>
        <x:v>1031.851625789072</x:v>
      </x:c>
    </x:row>
    <x:row r="144">
      <x:c r="A144" t="n">
        <x:f>Chart_Data!K144</x:f>
        <x:v>11</x:v>
      </x:c>
      <x:c r="B144" t="n">
        <x:f>Chart_Data!N144-Chart_Data!L144</x:f>
        <x:v>-3.5716399061908533</x:v>
      </x:c>
      <x:c r="D144" t="n">
        <x:f>Chart_Data!G144</x:f>
        <x:v>11</x:v>
      </x:c>
      <x:c r="E144" t="n">
        <x:f>Chart_Data!H144</x:f>
        <x:v>444.9386077034983</x:v>
      </x:c>
      <x:c r="F144" t="n">
        <x:f>Chart_Data!I144</x:f>
        <x:v>444.9386077034983</x:v>
      </x:c>
      <x:c r="G144" t="n">
        <x:f>Chart_Data!J144</x:f>
        <x:v>1.9403678384373038</x:v>
      </x:c>
      <x:c r="I144" t="n">
        <x:f>Scenario_Data!A144</x:f>
        <x:v>0.183</x:v>
      </x:c>
      <x:c r="J144" t="n">
        <x:f>Scenario_Data!H144-(((SQRT((Inputs!$C$52+(Inputs!$H$6))^2+Inputs!$C$52^2-2*(Inputs!$C$52+(Inputs!$H$6))*Inputs!$C$52*COS(SQRT((Scenario_Data!T144)^2+Inputs!$C$6^2)/Inputs!$C$52)))-(Inputs!$H$6))*1000/Inputs!$C$12)</x:f>
        <x:v>-0.17444351947665382</x:v>
      </x:c>
      <x:c r="K144" t="n">
        <x:f>Scenario_Data!I144-(((SQRT((Inputs!$C$52+(Inputs!$H$7))^2+Inputs!$C$52^2-2*(Inputs!$C$52+(Inputs!$H$7))*Inputs!$C$52*COS(SQRT((Scenario_Data!U144)^2+Inputs!$C$6^2)/Inputs!$C$52)))-(Inputs!$H$7))*1000/Inputs!$C$12)</x:f>
        <x:v>-3533.9191182778195</x:v>
      </x:c>
      <x:c r="L144" t="n">
        <x:f>Scenario_Data!J144-(((SQRT((Inputs!$C$52+(Inputs!$H$8))^2+Inputs!$C$52^2-2*(Inputs!$C$52+(Inputs!$H$8))*Inputs!$C$52*COS(SQRT((Scenario_Data!V144)^2+Inputs!$C$6^2)/Inputs!$C$52)))-(Inputs!$H$8))*1000/Inputs!$C$12)</x:f>
        <x:v>-11550.242027722496</x:v>
      </x:c>
      <x:c r="M144" t="n">
        <x:f>Scenario_Data!K144-(((SQRT((Inputs!$C$52+(Inputs!$H$9))^2+Inputs!$C$52^2-2*(Inputs!$C$52+(Inputs!$H$9))*Inputs!$C$52*COS(SQRT((Scenario_Data!W144)^2+Inputs!$C$6^2)/Inputs!$C$52)))-(Inputs!$H$9))*1000/Inputs!$C$12)</x:f>
        <x:v>-12681.604714695779</x:v>
      </x:c>
      <x:c r="O144" t="n">
        <x:f>Scenario_Data!T144</x:f>
        <x:v>10.980000000000004</x:v>
      </x:c>
      <x:c r="P144" t="n">
        <x:f>2*(Scenario_Data!B144*1000)/Inputs!$C$21*1000000</x:f>
        <x:v>2669.406419823944</x:v>
      </x:c>
      <x:c r="Q144" t="n">
        <x:f>Scenario_Data!U144</x:f>
        <x:v>73.20000000000005</x:v>
      </x:c>
      <x:c r="R144" t="n">
        <x:f>2*(Scenario_Data!C144*1000)/Inputs!$C$21*1000000</x:f>
        <x:v>315.04118092257016</x:v>
      </x:c>
      <x:c r="S144" t="n">
        <x:f>Scenario_Data!V144</x:f>
        <x:v>146.4000000000001</x:v>
      </x:c>
      <x:c r="T144" t="n">
        <x:f>2*(Scenario_Data!D144*1000)/Inputs!$C$21*1000000</x:f>
        <x:v>449.08991673166133</x:v>
      </x:c>
      <x:c r="U144" t="n">
        <x:f>Scenario_Data!W144</x:f>
        <x:v>146.4000000000001</x:v>
      </x:c>
      <x:c r="V144" t="n">
        <x:f>2*(Scenario_Data!E144*1000)/Inputs!$C$21*1000000</x:f>
        <x:v>384.6112432888491</x:v>
      </x:c>
      <x:c r="X144" t="n">
        <x:f>Scenario_Data!T144</x:f>
        <x:v>10.980000000000004</x:v>
      </x:c>
      <x:c r="Y144" t="n">
        <x: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x:f>
        <x:v>2669.4129477465203</x:v>
      </x:c>
      <x:c r="Z144" t="n">
        <x:f>Scenario_Data!U144</x:f>
        <x:v>73.20000000000005</x:v>
      </x:c>
      <x:c r="AA144" t="n">
        <x: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x:f>
        <x:v>314.94191553996393</x:v>
      </x:c>
      <x:c r="AB144" t="n">
        <x:f>Scenario_Data!V144</x:f>
        <x:v>146.4000000000001</x:v>
      </x:c>
      <x:c r="AC144" t="n">
        <x: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x:f>
        <x:v>448.65774247510933</x:v>
      </x:c>
      <x:c r="AD144" t="n">
        <x:f>Scenario_Data!W144</x:f>
        <x:v>146.4000000000001</x:v>
      </x:c>
      <x:c r="AE144" t="n">
        <x: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x:f>
        <x:v>384.1790690322971</x:v>
      </x:c>
      <x:c r="AG144" t="n">
        <x:f>Scenario_Data!T144</x:f>
        <x:v>10.980000000000004</x:v>
      </x:c>
      <x:c r="AH144" t="n">
        <x:f>2*(SQRT((Inputs!$C$52+(Scenario_Data!B144))^2+Inputs!$C$52^2-2*(Inputs!$C$52+(Scenario_Data!B144))*Inputs!$C$52*COS(SQRT((Scenario_Data!T144)^2+Inputs!$C$6^2)/Inputs!$C$52))*1000)/Inputs!$C$21*1000000</x:f>
        <x:v>2677.2034202705154</x:v>
      </x:c>
      <x:c r="AI144" t="n">
        <x:f>Scenario_Data!U144</x:f>
        <x:v>73.20000000000005</x:v>
      </x:c>
      <x:c r="AJ144" t="n">
        <x:f>2*(SQRT((Inputs!$C$52+(Scenario_Data!C144))^2+Inputs!$C$52^2-2*(Inputs!$C$52+(Scenario_Data!C144))*Inputs!$C$52*COS(SQRT((Scenario_Data!U144)^2+Inputs!$C$6^2)/Inputs!$C$52))*1000)/Inputs!$C$21*1000000</x:f>
        <x:v>611.1806207136659</x:v>
      </x:c>
      <x:c r="AK144" t="n">
        <x:f>Scenario_Data!V144</x:f>
        <x:v>146.4000000000001</x:v>
      </x:c>
      <x:c r="AL144" t="n">
        <x:f>2*(SQRT((Inputs!$C$52+(Scenario_Data!D144))^2+Inputs!$C$52^2-2*(Inputs!$C$52+(Scenario_Data!D144))*Inputs!$C$52*COS(SQRT((Scenario_Data!V144)^2+Inputs!$C$6^2)/Inputs!$C$52))*1000)/Inputs!$C$21*1000000</x:f>
        <x:v>1106.77995128393</x:v>
      </x:c>
      <x:c r="AM144" t="n">
        <x:f>Scenario_Data!W144</x:f>
        <x:v>146.4000000000001</x:v>
      </x:c>
      <x:c r="AN144" t="n">
        <x:f>2*(SQRT((Inputs!$C$52+(Scenario_Data!E144))^2+Inputs!$C$52^2-2*(Inputs!$C$52+(Scenario_Data!E144))*Inputs!$C$52*COS(SQRT((Scenario_Data!W144)^2+Inputs!$C$6^2)/Inputs!$C$52))*1000)/Inputs!$C$21*1000000</x:f>
        <x:v>1079.4124988914414</x:v>
      </x:c>
      <x:c r="AP144" t="n">
        <x:f>Scenario_Data!T144</x:f>
        <x:v>10.980000000000004</x:v>
      </x:c>
      <x:c r="AQ144" t="n">
        <x: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x:f>
        <x:v>2674.284219824957</x:v>
      </x:c>
      <x:c r="AR144" t="n">
        <x:f>Scenario_Data!U144</x:f>
        <x:v>73.20000000000005</x:v>
      </x:c>
      <x:c r="AS144" t="n">
        <x: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x:f>
        <x:v>610.6232752319127</x:v>
      </x:c>
      <x:c r="AT144" t="n">
        <x:f>Scenario_Data!V144</x:f>
        <x:v>146.4000000000001</x:v>
      </x:c>
      <x:c r="AU144" t="n">
        <x: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x:f>
        <x:v>1106.2320111687281</x:v>
      </x:c>
      <x:c r="AV144" t="n">
        <x:f>Scenario_Data!W144</x:f>
        <x:v>146.4000000000001</x:v>
      </x:c>
      <x:c r="AW144" t="n">
        <x: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x:f>
        <x:v>1078.9410179985136</x:v>
      </x:c>
    </x:row>
    <x:row r="145">
      <x:c r="A145" t="n">
        <x:f>Chart_Data!K145</x:f>
        <x:v>11.5</x:v>
      </x:c>
      <x:c r="B145" t="n">
        <x:f>Chart_Data!N145-Chart_Data!L145</x:f>
        <x:v>-5.661420832986096</x:v>
      </x:c>
      <x:c r="D145" t="n">
        <x:f>Chart_Data!G145</x:f>
        <x:v>11.5</x:v>
      </x:c>
      <x:c r="E145" t="n">
        <x:f>Chart_Data!H145</x:f>
        <x:v>434.44467895572086</x:v>
      </x:c>
      <x:c r="F145" t="n">
        <x:f>Chart_Data!I145</x:f>
        <x:v>434.44467895572086</x:v>
      </x:c>
      <x:c r="G145" t="n">
        <x:f>Chart_Data!J145</x:f>
        <x:v>4.044824683821267</x:v>
      </x:c>
      <x:c r="I145" t="n">
        <x:f>Scenario_Data!A145</x:f>
        <x:v>0.192</x:v>
      </x:c>
      <x:c r="J145" t="n">
        <x:f>Scenario_Data!H145-(((SQRT((Inputs!$C$52+(Inputs!$H$6))^2+Inputs!$C$52^2-2*(Inputs!$C$52+(Inputs!$H$6))*Inputs!$C$52*COS(SQRT((Scenario_Data!T145)^2+Inputs!$C$6^2)/Inputs!$C$52)))-(Inputs!$H$6))*1000/Inputs!$C$12)</x:f>
        <x:v>-0.1951314257202057</x:v>
      </x:c>
      <x:c r="K145" t="n">
        <x:f>Scenario_Data!I145-(((SQRT((Inputs!$C$52+(Inputs!$H$7))^2+Inputs!$C$52^2-2*(Inputs!$C$52+(Inputs!$H$7))*Inputs!$C$52*COS(SQRT((Scenario_Data!U145)^2+Inputs!$C$6^2)/Inputs!$C$52)))-(Inputs!$H$7))*1000/Inputs!$C$12)</x:f>
        <x:v>-3960.742176330219</x:v>
      </x:c>
      <x:c r="L145" t="n">
        <x:f>Scenario_Data!J145-(((SQRT((Inputs!$C$52+(Inputs!$H$8))^2+Inputs!$C$52^2-2*(Inputs!$C$52+(Inputs!$H$8))*Inputs!$C$52*COS(SQRT((Scenario_Data!V145)^2+Inputs!$C$6^2)/Inputs!$C$52)))-(Inputs!$H$8))*1000/Inputs!$C$12)</x:f>
        <x:v>-12764.866565310112</x:v>
      </x:c>
      <x:c r="M145" t="n">
        <x:f>Scenario_Data!K145-(((SQRT((Inputs!$C$52+(Inputs!$H$9))^2+Inputs!$C$52^2-2*(Inputs!$C$52+(Inputs!$H$9))*Inputs!$C$52*COS(SQRT((Scenario_Data!W145)^2+Inputs!$C$6^2)/Inputs!$C$52)))-(Inputs!$H$9))*1000/Inputs!$C$12)</x:f>
        <x:v>-13959.5036406426</x:v>
      </x:c>
      <x:c r="O145" t="n">
        <x:f>Scenario_Data!T145</x:f>
        <x:v>11.519999999999996</x:v>
      </x:c>
      <x:c r="P145" t="n">
        <x:f>2*(Scenario_Data!B145*1000)/Inputs!$C$21*1000000</x:f>
        <x:v>2669.496482129647</x:v>
      </x:c>
      <x:c r="Q145" t="n">
        <x:f>Scenario_Data!U145</x:f>
        <x:v>76.79999999999995</x:v>
      </x:c>
      <x:c r="R145" t="n">
        <x:f>2*(Scenario_Data!C145*1000)/Inputs!$C$21*1000000</x:f>
        <x:v>323.2593663180145</x:v>
      </x:c>
      <x:c r="S145" t="n">
        <x:f>Scenario_Data!V145</x:f>
        <x:v>153.5999999999999</x:v>
      </x:c>
      <x:c r="T145" t="n">
        <x:f>2*(Scenario_Data!D145*1000)/Inputs!$C$21*1000000</x:f>
        <x:v>470.8174479826305</x:v>
      </x:c>
      <x:c r="U145" t="n">
        <x:f>Scenario_Data!W145</x:f>
        <x:v>153.5999999999999</x:v>
      </x:c>
      <x:c r="V145" t="n">
        <x:f>2*(Scenario_Data!E145*1000)/Inputs!$C$21*1000000</x:f>
        <x:v>406.563930304077</x:v>
      </x:c>
      <x:c r="X145" t="n">
        <x:f>Scenario_Data!T145</x:f>
        <x:v>11.519999999999996</x:v>
      </x:c>
      <x:c r="Y145" t="n">
        <x: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x:f>
        <x:v>2669.607567389517</x:v>
      </x:c>
      <x:c r="Z145" t="n">
        <x:f>Scenario_Data!U145</x:f>
        <x:v>76.79999999999995</x:v>
      </x:c>
      <x:c r="AA145" t="n">
        <x: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x:f>
        <x:v>322.83349393173665</x:v>
      </x:c>
      <x:c r="AB145" t="n">
        <x:f>Scenario_Data!V145</x:f>
        <x:v>153.5999999999999</x:v>
      </x:c>
      <x:c r="AC145" t="n">
        <x: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x:f>
        <x:v>470.3583475486286</x:v>
      </x:c>
      <x:c r="AD145" t="n">
        <x:f>Scenario_Data!W145</x:f>
        <x:v>153.5999999999999</x:v>
      </x:c>
      <x:c r="AE145" t="n">
        <x: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x:f>
        <x:v>406.1048298700752</x:v>
      </x:c>
      <x:c r="AG145" t="n">
        <x:f>Scenario_Data!T145</x:f>
        <x:v>11.519999999999996</x:v>
      </x:c>
      <x:c r="AH145" t="n">
        <x:f>2*(SQRT((Inputs!$C$52+(Scenario_Data!B145))^2+Inputs!$C$52^2-2*(Inputs!$C$52+(Scenario_Data!B145))*Inputs!$C$52*COS(SQRT((Scenario_Data!T145)^2+Inputs!$C$6^2)/Inputs!$C$52))*1000)/Inputs!$C$21*1000000</x:f>
        <x:v>2677.4201427373237</x:v>
      </x:c>
      <x:c r="AI145" t="n">
        <x:f>Scenario_Data!U145</x:f>
        <x:v>76.79999999999995</x:v>
      </x:c>
      <x:c r="AJ145" t="n">
        <x:f>2*(SQRT((Inputs!$C$52+(Scenario_Data!C145))^2+Inputs!$C$52^2-2*(Inputs!$C$52+(Scenario_Data!C145))*Inputs!$C$52*COS(SQRT((Scenario_Data!U145)^2+Inputs!$C$6^2)/Inputs!$C$52))*1000)/Inputs!$C$21*1000000</x:f>
        <x:v>635.426085871894</x:v>
      </x:c>
      <x:c r="AK145" t="n">
        <x:f>Scenario_Data!V145</x:f>
        <x:v>153.5999999999999</x:v>
      </x:c>
      <x:c r="AL145" t="n">
        <x:f>2*(SQRT((Inputs!$C$52+(Scenario_Data!D145))^2+Inputs!$C$52^2-2*(Inputs!$C$52+(Scenario_Data!D145))*Inputs!$C$52*COS(SQRT((Scenario_Data!V145)^2+Inputs!$C$6^2)/Inputs!$C$52))*1000)/Inputs!$C$21*1000000</x:f>
        <x:v>1160.7398106982935</x:v>
      </x:c>
      <x:c r="AM145" t="n">
        <x:f>Scenario_Data!W145</x:f>
        <x:v>153.5999999999999</x:v>
      </x:c>
      <x:c r="AN145" t="n">
        <x:f>2*(SQRT((Inputs!$C$52+(Scenario_Data!E145))^2+Inputs!$C$52^2-2*(Inputs!$C$52+(Scenario_Data!E145))*Inputs!$C$52*COS(SQRT((Scenario_Data!W145)^2+Inputs!$C$6^2)/Inputs!$C$52))*1000)/Inputs!$C$21*1000000</x:f>
        <x:v>1133.2680310356866</x:v>
      </x:c>
      <x:c r="AP145" t="n">
        <x:f>Scenario_Data!T145</x:f>
        <x:v>11.519999999999996</x:v>
      </x:c>
      <x:c r="AQ145" t="n">
        <x: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x:f>
        <x:v>2674.619771268388</x:v>
      </x:c>
      <x:c r="AR145" t="n">
        <x:f>Scenario_Data!U145</x:f>
        <x:v>76.79999999999995</x:v>
      </x:c>
      <x:c r="AS145" t="n">
        <x: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x:f>
        <x:v>634.7142430382997</x:v>
      </x:c>
      <x:c r="AT145" t="n">
        <x:f>Scenario_Data!V145</x:f>
        <x:v>153.5999999999999</x:v>
      </x:c>
      <x:c r="AU145" t="n">
        <x: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x:f>
        <x:v>1160.4295298230816</x:v>
      </x:c>
      <x:c r="AV145" t="n">
        <x:f>Scenario_Data!W145</x:f>
        <x:v>153.5999999999999</x:v>
      </x:c>
      <x:c r="AW145" t="n">
        <x: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x:f>
        <x:v>1132.999036177561</x:v>
      </x:c>
    </x:row>
    <x:row r="146">
      <x:c r="A146" t="n">
        <x:f>Chart_Data!K146</x:f>
        <x:v>12</x:v>
      </x:c>
      <x:c r="B146" t="n">
        <x:f>Chart_Data!N146-Chart_Data!L146</x:f>
        <x:v>-8.671483580595464</x:v>
      </x:c>
      <x:c r="D146" t="n">
        <x:f>Chart_Data!G146</x:f>
        <x:v>12</x:v>
      </x:c>
      <x:c r="E146" t="n">
        <x:f>Chart_Data!H146</x:f>
        <x:v>422.8387186345762</x:v>
      </x:c>
      <x:c r="F146" t="n">
        <x:f>Chart_Data!I146</x:f>
        <x:v>422.8387186345762</x:v>
      </x:c>
      <x:c r="G146" t="n">
        <x:f>Chart_Data!J146</x:f>
        <x:v>7.0738918061296845</x:v>
      </x:c>
      <x:c r="I146" t="n">
        <x:f>Scenario_Data!A146</x:f>
        <x:v>0.2</x:v>
      </x:c>
      <x:c r="J146" t="n">
        <x:f>Scenario_Data!H146-(((SQRT((Inputs!$C$52+(Inputs!$H$6))^2+Inputs!$C$52^2-2*(Inputs!$C$52+(Inputs!$H$6))*Inputs!$C$52*COS(SQRT((Scenario_Data!T146)^2+Inputs!$C$6^2)/Inputs!$C$52)))-(Inputs!$H$6))*1000/Inputs!$C$12)</x:f>
        <x:v>-0.21486365220766857</x:v>
      </x:c>
      <x:c r="K146" t="n">
        <x:f>Scenario_Data!I146-(((SQRT((Inputs!$C$52+(Inputs!$H$7))^2+Inputs!$C$52^2-2*(Inputs!$C$52+(Inputs!$H$7))*Inputs!$C$52*COS(SQRT((Scenario_Data!U146)^2+Inputs!$C$6^2)/Inputs!$C$52)))-(Inputs!$H$7))*1000/Inputs!$C$12)</x:f>
        <x:v>-4359.990199988479</x:v>
      </x:c>
      <x:c r="L146" t="n">
        <x:f>Scenario_Data!J146-(((SQRT((Inputs!$C$52+(Inputs!$H$8))^2+Inputs!$C$52^2-2*(Inputs!$C$52+(Inputs!$H$8))*Inputs!$C$52*COS(SQRT((Scenario_Data!V146)^2+Inputs!$C$6^2)/Inputs!$C$52)))-(Inputs!$H$8))*1000/Inputs!$C$12)</x:f>
        <x:v>-13886.103797269352</x:v>
      </x:c>
      <x:c r="M146" t="n">
        <x:f>Scenario_Data!K146-(((SQRT((Inputs!$C$52+(Inputs!$H$9))^2+Inputs!$C$52^2-2*(Inputs!$C$52+(Inputs!$H$9))*Inputs!$C$52*COS(SQRT((Scenario_Data!W146)^2+Inputs!$C$6^2)/Inputs!$C$52)))-(Inputs!$H$9))*1000/Inputs!$C$12)</x:f>
        <x:v>-15136.55814203358</x:v>
      </x:c>
      <x:c r="O146" t="n">
        <x:f>Scenario_Data!T146</x:f>
        <x:v>12</x:v>
      </x:c>
      <x:c r="P146" t="n">
        <x:f>2*(Scenario_Data!B146*1000)/Inputs!$C$21*1000000</x:f>
        <x:v>2669.5801666898506</x:v>
      </x:c>
      <x:c r="Q146" t="n">
        <x:f>Scenario_Data!U146</x:f>
        <x:v>80</x:v>
      </x:c>
      <x:c r="R146" t="n">
        <x:f>2*(Scenario_Data!C146*1000)/Inputs!$C$21*1000000</x:f>
        <x:v>330.8955824365668</x:v>
      </x:c>
      <x:c r="S146" t="n">
        <x:f>Scenario_Data!V146</x:f>
        <x:v>160</x:v>
      </x:c>
      <x:c r="T146" t="n">
        <x:f>2*(Scenario_Data!D146*1000)/Inputs!$C$21*1000000</x:f>
        <x:v>491.00634813167994</x:v>
      </x:c>
      <x:c r="U146" t="n">
        <x:f>Scenario_Data!W146</x:f>
        <x:v>160</x:v>
      </x:c>
      <x:c r="V146" t="n">
        <x:f>2*(Scenario_Data!E146*1000)/Inputs!$C$21*1000000</x:f>
        <x:v>426.9620418536346</x:v>
      </x:c>
      <x:c r="X146" t="n">
        <x:f>Scenario_Data!T146</x:f>
        <x:v>12</x:v>
      </x:c>
      <x:c r="Y146" t="n">
        <x: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x:f>
        <x:v>2669.5329747634537</x:v>
      </x:c>
      <x:c r="Z146" t="n">
        <x:f>Scenario_Data!U146</x:f>
        <x:v>80</x:v>
      </x:c>
      <x:c r="AA146" t="n">
        <x: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x:f>
        <x:v>330.5742921234309</x:v>
      </x:c>
      <x:c r="AB146" t="n">
        <x:f>Scenario_Data!V146</x:f>
        <x:v>160</x:v>
      </x:c>
      <x:c r="AC146" t="n">
        <x: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x:f>
        <x:v>490.82527033564</x:v>
      </x:c>
      <x:c r="AD146" t="n">
        <x:f>Scenario_Data!W146</x:f>
        <x:v>160</x:v>
      </x:c>
      <x:c r="AE146" t="n">
        <x: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x:f>
        <x:v>426.78096405759464</x:v>
      </x:c>
      <x:c r="AG146" t="n">
        <x:f>Scenario_Data!T146</x:f>
        <x:v>12</x:v>
      </x:c>
      <x:c r="AH146" t="n">
        <x:f>2*(SQRT((Inputs!$C$52+(Scenario_Data!B146))^2+Inputs!$C$52^2-2*(Inputs!$C$52+(Scenario_Data!B146))*Inputs!$C$52*COS(SQRT((Scenario_Data!T146)^2+Inputs!$C$6^2)/Inputs!$C$52))*1000)/Inputs!$C$21*1000000</x:f>
        <x:v>2677.621506506962</x:v>
      </x:c>
      <x:c r="AI146" t="n">
        <x:f>Scenario_Data!U146</x:f>
        <x:v>80</x:v>
      </x:c>
      <x:c r="AJ146" t="n">
        <x:f>2*(SQRT((Inputs!$C$52+(Scenario_Data!C146))^2+Inputs!$C$52^2-2*(Inputs!$C$52+(Scenario_Data!C146))*Inputs!$C$52*COS(SQRT((Scenario_Data!U146)^2+Inputs!$C$6^2)/Inputs!$C$52))*1000)/Inputs!$C$21*1000000</x:f>
        <x:v>657.2706885164247</x:v>
      </x:c>
      <x:c r="AK146" t="n">
        <x:f>Scenario_Data!V146</x:f>
        <x:v>160</x:v>
      </x:c>
      <x:c r="AL146" t="n">
        <x:f>2*(SQRT((Inputs!$C$52+(Scenario_Data!D146))^2+Inputs!$C$52^2-2*(Inputs!$C$52+(Scenario_Data!D146))*Inputs!$C$52*COS(SQRT((Scenario_Data!V146)^2+Inputs!$C$6^2)/Inputs!$C$52))*1000)/Inputs!$C$21*1000000</x:f>
        <x:v>1209.2143519498034</x:v>
      </x:c>
      <x:c r="AM146" t="n">
        <x:f>Scenario_Data!W146</x:f>
        <x:v>160</x:v>
      </x:c>
      <x:c r="AN146" t="n">
        <x:f>2*(SQRT((Inputs!$C$52+(Scenario_Data!E146))^2+Inputs!$C$52^2-2*(Inputs!$C$52+(Scenario_Data!E146))*Inputs!$C$52*COS(SQRT((Scenario_Data!W146)^2+Inputs!$C$6^2)/Inputs!$C$52))*1000)/Inputs!$C$21*1000000</x:f>
        <x:v>1181.6244054437507</x:v>
      </x:c>
      <x:c r="AP146" t="n">
        <x:f>Scenario_Data!T146</x:f>
        <x:v>12</x:v>
      </x:c>
      <x:c r="AQ146" t="n">
        <x: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x:f>
        <x:v>2674.811288200135</x:v>
      </x:c>
      <x:c r="AR146" t="n">
        <x:f>Scenario_Data!U146</x:f>
        <x:v>80</x:v>
      </x:c>
      <x:c r="AS146" t="n">
        <x: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x:f>
        <x:v>656.7596814523544</x:v>
      </x:c>
      <x:c r="AT146" t="n">
        <x:f>Scenario_Data!V146</x:f>
        <x:v>160</x:v>
      </x:c>
      <x:c r="AU146" t="n">
        <x: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x:f>
        <x:v>1208.8255450611855</x:v>
      </x:c>
      <x:c r="AV146" t="n">
        <x:f>Scenario_Data!W146</x:f>
        <x:v>160</x:v>
      </x:c>
      <x:c r="AW146" t="n">
        <x: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x:f>
        <x:v>1181.28521935239</x:v>
      </x:c>
    </x:row>
    <x:row r="147">
      <x:c r="A147" t="n">
        <x:f>Chart_Data!K147</x:f>
        <x:v>12.5</x:v>
      </x:c>
      <x:c r="B147" t="n">
        <x:f>Chart_Data!N147-Chart_Data!L147</x:f>
        <x:v>4.021249498760881</x:v>
      </x:c>
      <x:c r="D147" t="n">
        <x:f>Chart_Data!G147</x:f>
        <x:v>12.5</x:v>
      </x:c>
      <x:c r="E147" t="n">
        <x:f>Chart_Data!H147</x:f>
        <x:v>434.12423495839124</x:v>
      </x:c>
      <x:c r="F147" t="n">
        <x:f>Chart_Data!I147</x:f>
        <x:v>434.12423495839124</x:v>
      </x:c>
      <x:c r="G147" t="n">
        <x:f>Chart_Data!J147</x:f>
        <x:v>-5.687454175445142</x:v>
      </x:c>
      <x:c r="I147" t="n">
        <x:f>Scenario_Data!A147</x:f>
        <x:v>0.208</x:v>
      </x:c>
      <x:c r="J147" t="n">
        <x:f>Scenario_Data!H147-(((SQRT((Inputs!$C$52+(Inputs!$H$6))^2+Inputs!$C$52^2-2*(Inputs!$C$52+(Inputs!$H$6))*Inputs!$C$52*COS(SQRT((Scenario_Data!T147)^2+Inputs!$C$6^2)/Inputs!$C$52)))-(Inputs!$H$6))*1000/Inputs!$C$12)</x:f>
        <x:v>-0.23592219111435497</x:v>
      </x:c>
      <x:c r="K147" t="n">
        <x:f>Scenario_Data!I147-(((SQRT((Inputs!$C$52+(Inputs!$H$7))^2+Inputs!$C$52^2-2*(Inputs!$C$52+(Inputs!$H$7))*Inputs!$C$52*COS(SQRT((Scenario_Data!U147)^2+Inputs!$C$6^2)/Inputs!$C$52)))-(Inputs!$H$7))*1000/Inputs!$C$12)</x:f>
        <x:v>-4777.603842826582</x:v>
      </x:c>
      <x:c r="L147" t="n">
        <x:f>Scenario_Data!J147-(((SQRT((Inputs!$C$52+(Inputs!$H$8))^2+Inputs!$C$52^2-2*(Inputs!$C$52+(Inputs!$H$8))*Inputs!$C$52*COS(SQRT((Scenario_Data!V147)^2+Inputs!$C$6^2)/Inputs!$C$52)))-(Inputs!$H$8))*1000/Inputs!$C$12)</x:f>
        <x:v>-15045.242230124342</x:v>
      </x:c>
      <x:c r="M147" t="n">
        <x:f>Scenario_Data!K147-(((SQRT((Inputs!$C$52+(Inputs!$H$9))^2+Inputs!$C$52^2-2*(Inputs!$C$52+(Inputs!$H$9))*Inputs!$C$52*COS(SQRT((Scenario_Data!W147)^2+Inputs!$C$6^2)/Inputs!$C$52)))-(Inputs!$H$9))*1000/Inputs!$C$12)</x:f>
        <x:v>-16351.096914099966</x:v>
      </x:c>
      <x:c r="O147" t="n">
        <x:f>Scenario_Data!T147</x:f>
        <x:v>12.480000000000004</x:v>
      </x:c>
      <x:c r="P147" t="n">
        <x:f>2*(Scenario_Data!B147*1000)/Inputs!$C$21*1000000</x:f>
        <x:v>2669.6672669463883</x:v>
      </x:c>
      <x:c r="Q147" t="n">
        <x:f>Scenario_Data!U147</x:f>
        <x:v>83.19999999999999</x:v>
      </x:c>
      <x:c r="R147" t="n">
        <x:f>2*(Scenario_Data!C147*1000)/Inputs!$C$21*1000000</x:f>
        <x:v>338.8434808456722</x:v>
      </x:c>
      <x:c r="S147" t="n">
        <x:f>Scenario_Data!V147</x:f>
        <x:v>166.39999999999998</x:v>
      </x:c>
      <x:c r="T147" t="n">
        <x:f>2*(Scenario_Data!D147*1000)/Inputs!$C$21*1000000</x:f>
        <x:v>512.0192850215063</x:v>
      </x:c>
      <x:c r="U147" t="n">
        <x:f>Scenario_Data!W147</x:f>
        <x:v>166.39999999999998</x:v>
      </x:c>
      <x:c r="V147" t="n">
        <x:f>2*(Scenario_Data!E147*1000)/Inputs!$C$21*1000000</x:f>
        <x:v>448.1927293848065</x:v>
      </x:c>
      <x:c r="X147" t="n">
        <x:f>Scenario_Data!T147</x:f>
        <x:v>12.480000000000004</x:v>
      </x:c>
      <x:c r="Y147" t="n">
        <x: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x:f>
        <x:v>2669.7418428985843</x:v>
      </x:c>
      <x:c r="Z147" t="n">
        <x:f>Scenario_Data!U147</x:f>
        <x:v>83.19999999999999</x:v>
      </x:c>
      <x:c r="AA147" t="n">
        <x: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x:f>
        <x:v>339.0028806621182</x:v>
      </x:c>
      <x:c r="AB147" t="n">
        <x:f>Scenario_Data!V147</x:f>
        <x:v>166.39999999999998</x:v>
      </x:c>
      <x:c r="AC147" t="n">
        <x: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x:f>
        <x:v>511.5210445892671</x:v>
      </x:c>
      <x:c r="AD147" t="n">
        <x:f>Scenario_Data!W147</x:f>
        <x:v>166.39999999999998</x:v>
      </x:c>
      <x:c r="AE147" t="n">
        <x: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x:f>
        <x:v>447.69448895256727</x:v>
      </x:c>
      <x:c r="AG147" t="n">
        <x:f>Scenario_Data!T147</x:f>
        <x:v>12.480000000000004</x:v>
      </x:c>
      <x:c r="AH147" t="n">
        <x:f>2*(SQRT((Inputs!$C$52+(Scenario_Data!B147))^2+Inputs!$C$52^2-2*(Inputs!$C$52+(Scenario_Data!B147))*Inputs!$C$52*COS(SQRT((Scenario_Data!T147)^2+Inputs!$C$6^2)/Inputs!$C$52))*1000)/Inputs!$C$21*1000000</x:f>
        <x:v>2677.8310774067595</x:v>
      </x:c>
      <x:c r="AI147" t="n">
        <x:f>Scenario_Data!U147</x:f>
        <x:v>83.19999999999999</x:v>
      </x:c>
      <x:c r="AJ147" t="n">
        <x:f>2*(SQRT((Inputs!$C$52+(Scenario_Data!C147))^2+Inputs!$C$52^2-2*(Inputs!$C$52+(Scenario_Data!C147))*Inputs!$C$52*COS(SQRT((Scenario_Data!U147)^2+Inputs!$C$6^2)/Inputs!$C$52))*1000)/Inputs!$C$21*1000000</x:f>
        <x:v>679.3773518856626</x:v>
      </x:c>
      <x:c r="AK147" t="n">
        <x:f>Scenario_Data!V147</x:f>
        <x:v>166.39999999999998</x:v>
      </x:c>
      <x:c r="AL147" t="n">
        <x:f>2*(SQRT((Inputs!$C$52+(Scenario_Data!D147))^2+Inputs!$C$52^2-2*(Inputs!$C$52+(Scenario_Data!D147))*Inputs!$C$52*COS(SQRT((Scenario_Data!V147)^2+Inputs!$C$6^2)/Inputs!$C$52))*1000)/Inputs!$C$21*1000000</x:f>
        <x:v>1258.1693986938863</x:v>
      </x:c>
      <x:c r="AM147" t="n">
        <x:f>Scenario_Data!W147</x:f>
        <x:v>166.39999999999998</x:v>
      </x:c>
      <x:c r="AN147" t="n">
        <x:f>2*(SQRT((Inputs!$C$52+(Scenario_Data!E147))^2+Inputs!$C$52^2-2*(Inputs!$C$52+(Scenario_Data!E147))*Inputs!$C$52*COS(SQRT((Scenario_Data!W147)^2+Inputs!$C$6^2)/Inputs!$C$52))*1000)/Inputs!$C$21*1000000</x:f>
        <x:v>1230.4415066288307</x:v>
      </x:c>
      <x:c r="AP147" t="n">
        <x:f>Scenario_Data!T147</x:f>
        <x:v>12.480000000000004</x:v>
      </x:c>
      <x:c r="AQ147" t="n">
        <x: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x:f>
        <x:v>2675.095778091706</x:v>
      </x:c>
      <x:c r="AR147" t="n">
        <x:f>Scenario_Data!U147</x:f>
        <x:v>83.19999999999999</x:v>
      </x:c>
      <x:c r="AS147" t="n">
        <x: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x:f>
        <x:v>678.934378578411</x:v>
      </x:c>
      <x:c r="AT147" t="n">
        <x:f>Scenario_Data!V147</x:f>
        <x:v>166.39999999999998</x:v>
      </x:c>
      <x:c r="AU147" t="n">
        <x: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x:f>
        <x:v>1257.6964388963677</x:v>
      </x:c>
      <x:c r="AV147" t="n">
        <x:f>Scenario_Data!W147</x:f>
        <x:v>166.39999999999998</x:v>
      </x:c>
      <x:c r="AW147" t="n">
        <x: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x:f>
        <x:v>1230.026408396081</x:v>
      </x:c>
    </x:row>
    <x:row r="148">
      <x:c r="A148" t="n">
        <x:f>Chart_Data!K148</x:f>
        <x:v>13</x:v>
      </x:c>
      <x:c r="B148" t="n">
        <x:f>Chart_Data!N148-Chart_Data!L148</x:f>
        <x:v>1.9459578878685306</x:v>
      </x:c>
      <x:c r="D148" t="n">
        <x:f>Chart_Data!G148</x:f>
        <x:v>13</x:v>
      </x:c>
      <x:c r="E148" t="n">
        <x:f>Chart_Data!H148</x:f>
        <x:v>428.8351991704085</x:v>
      </x:c>
      <x:c r="F148" t="n">
        <x:f>Chart_Data!I148</x:f>
        <x:v>428.8351991704085</x:v>
      </x:c>
      <x:c r="G148" t="n">
        <x:f>Chart_Data!J148</x:f>
        <x:v>-3.618490966575764</x:v>
      </x:c>
      <x:c r="I148" t="n">
        <x:f>Scenario_Data!A148</x:f>
        <x:v>0.217</x:v>
      </x:c>
      <x:c r="J148" t="n">
        <x:f>Scenario_Data!H148-(((SQRT((Inputs!$C$52+(Inputs!$H$6))^2+Inputs!$C$52^2-2*(Inputs!$C$52+(Inputs!$H$6))*Inputs!$C$52*COS(SQRT((Scenario_Data!T148)^2+Inputs!$C$6^2)/Inputs!$C$52)))-(Inputs!$H$6))*1000/Inputs!$C$12)</x:f>
        <x:v>-0.26127610188143535</x:v>
      </x:c>
      <x:c r="K148" t="n">
        <x:f>Scenario_Data!I148-(((SQRT((Inputs!$C$52+(Inputs!$H$7))^2+Inputs!$C$52^2-2*(Inputs!$C$52+(Inputs!$H$7))*Inputs!$C$52*COS(SQRT((Scenario_Data!U148)^2+Inputs!$C$6^2)/Inputs!$C$52)))-(Inputs!$H$7))*1000/Inputs!$C$12)</x:f>
        <x:v>-5268.987544536823</x:v>
      </x:c>
      <x:c r="L148" t="n">
        <x:f>Scenario_Data!J148-(((SQRT((Inputs!$C$52+(Inputs!$H$8))^2+Inputs!$C$52^2-2*(Inputs!$C$52+(Inputs!$H$8))*Inputs!$C$52*COS(SQRT((Scenario_Data!V148)^2+Inputs!$C$6^2)/Inputs!$C$52)))-(Inputs!$H$8))*1000/Inputs!$C$12)</x:f>
        <x:v>-16393.138607990768</x:v>
      </x:c>
      <x:c r="M148" t="n">
        <x:f>Scenario_Data!K148-(((SQRT((Inputs!$C$52+(Inputs!$H$9))^2+Inputs!$C$52^2-2*(Inputs!$C$52+(Inputs!$H$9))*Inputs!$C$52*COS(SQRT((Scenario_Data!W148)^2+Inputs!$C$6^2)/Inputs!$C$52)))-(Inputs!$H$9))*1000/Inputs!$C$12)</x:f>
        <x:v>-17760.80185039583</x:v>
      </x:c>
      <x:c r="O148" t="n">
        <x:f>Scenario_Data!T148</x:f>
        <x:v>13.02000000000001</x:v>
      </x:c>
      <x:c r="P148" t="n">
        <x:f>2*(Scenario_Data!B148*1000)/Inputs!$C$21*1000000</x:f>
        <x:v>2669.769337559519</x:v>
      </x:c>
      <x:c r="Q148" t="n">
        <x:f>Scenario_Data!U148</x:f>
        <x:v>86.80000000000001</x:v>
      </x:c>
      <x:c r="R148" t="n">
        <x:f>2*(Scenario_Data!C148*1000)/Inputs!$C$21*1000000</x:f>
        <x:v>348.1574242938427</x:v>
      </x:c>
      <x:c r="S148" t="n">
        <x:f>Scenario_Data!V148</x:f>
        <x:v>173.60000000000002</x:v>
      </x:c>
      <x:c r="T148" t="n">
        <x:f>2*(Scenario_Data!D148*1000)/Inputs!$C$21*1000000</x:f>
        <x:v>536.6438204392722</x:v>
      </x:c>
      <x:c r="U148" t="n">
        <x:f>Scenario_Data!W148</x:f>
        <x:v>173.60000000000002</x:v>
      </x:c>
      <x:c r="V148" t="n">
        <x:f>2*(Scenario_Data!E148*1000)/Inputs!$C$21*1000000</x:f>
        <x:v>473.0724413353988</x:v>
      </x:c>
      <x:c r="X148" t="n">
        <x:f>Scenario_Data!T148</x:f>
        <x:v>13.02000000000001</x:v>
      </x:c>
      <x:c r="Y148" t="n">
        <x: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x:f>
        <x:v>2669.689058927443</x:v>
      </x:c>
      <x:c r="Z148" t="n">
        <x:f>Scenario_Data!U148</x:f>
        <x:v>86.80000000000001</x:v>
      </x:c>
      <x:c r="AA148" t="n">
        <x: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x:f>
        <x:v>348.1803410931297</x:v>
      </x:c>
      <x:c r="AB148" t="n">
        <x:f>Scenario_Data!V148</x:f>
        <x:v>173.60000000000002</x:v>
      </x:c>
      <x:c r="AC148" t="n">
        <x: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x:f>
        <x:v>536.6856283700555</x:v>
      </x:c>
      <x:c r="AD148" t="n">
        <x:f>Scenario_Data!W148</x:f>
        <x:v>173.60000000000002</x:v>
      </x:c>
      <x:c r="AE148" t="n">
        <x: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x:f>
        <x:v>473.11424926618224</x:v>
      </x:c>
      <x:c r="AG148" t="n">
        <x:f>Scenario_Data!T148</x:f>
        <x:v>13.02000000000001</x:v>
      </x:c>
      <x:c r="AH148" t="n">
        <x:f>2*(SQRT((Inputs!$C$52+(Scenario_Data!B148))^2+Inputs!$C$52^2-2*(Inputs!$C$52+(Scenario_Data!B148))*Inputs!$C$52*COS(SQRT((Scenario_Data!T148)^2+Inputs!$C$6^2)/Inputs!$C$52))*1000)/Inputs!$C$21*1000000</x:f>
        <x:v>2678.0766529929315</x:v>
      </x:c>
      <x:c r="AI148" t="n">
        <x:f>Scenario_Data!U148</x:f>
        <x:v>86.80000000000001</x:v>
      </x:c>
      <x:c r="AJ148" t="n">
        <x:f>2*(SQRT((Inputs!$C$52+(Scenario_Data!C148))^2+Inputs!$C$52^2-2*(Inputs!$C$52+(Scenario_Data!C148))*Inputs!$C$52*COS(SQRT((Scenario_Data!U148)^2+Inputs!$C$6^2)/Inputs!$C$52))*1000)/Inputs!$C$21*1000000</x:f>
        <x:v>704.5466168692386</x:v>
      </x:c>
      <x:c r="AK148" t="n">
        <x:f>Scenario_Data!V148</x:f>
        <x:v>173.60000000000002</x:v>
      </x:c>
      <x:c r="AL148" t="n">
        <x:f>2*(SQRT((Inputs!$C$52+(Scenario_Data!D148))^2+Inputs!$C$52^2-2*(Inputs!$C$52+(Scenario_Data!D148))*Inputs!$C$52*COS(SQRT((Scenario_Data!V148)^2+Inputs!$C$6^2)/Inputs!$C$52))*1000)/Inputs!$C$21*1000000</x:f>
        <x:v>1313.820661862484</x:v>
      </x:c>
      <x:c r="AM148" t="n">
        <x:f>Scenario_Data!W148</x:f>
        <x:v>173.60000000000002</x:v>
      </x:c>
      <x:c r="AN148" t="n">
        <x:f>2*(SQRT((Inputs!$C$52+(Scenario_Data!E148))^2+Inputs!$C$52^2-2*(Inputs!$C$52+(Scenario_Data!E148))*Inputs!$C$52*COS(SQRT((Scenario_Data!W148)^2+Inputs!$C$6^2)/Inputs!$C$52))*1000)/Inputs!$C$21*1000000</x:f>
        <x:v>1285.9182668026356</x:v>
      </x:c>
      <x:c r="AP148" t="n">
        <x:f>Scenario_Data!T148</x:f>
        <x:v>13.02000000000001</x:v>
      </x:c>
      <x:c r="AQ148" t="n">
        <x: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x:f>
        <x:v>2675.2952657628025</x:v>
      </x:c>
      <x:c r="AR148" t="n">
        <x:f>Scenario_Data!U148</x:f>
        <x:v>86.80000000000001</x:v>
      </x:c>
      <x:c r="AS148" t="n">
        <x: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x:f>
        <x:v>704.1449836362386</x:v>
      </x:c>
      <x:c r="AT148" t="n">
        <x:f>Scenario_Data!V148</x:f>
        <x:v>173.60000000000002</x:v>
      </x:c>
      <x:c r="AU148" t="n">
        <x: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x:f>
        <x:v>1313.5384373341913</x:v>
      </x:c>
      <x:c r="AV148" t="n">
        <x:f>Scenario_Data!W148</x:f>
        <x:v>173.60000000000002</x:v>
      </x:c>
      <x:c r="AW148" t="n">
        <x: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x:f>
        <x:v>1285.6689097446642</x:v>
      </x:c>
    </x:row>
    <x:row r="149">
      <x:c r="A149" t="n">
        <x:f>Chart_Data!K149</x:f>
        <x:v>13.5</x:v>
      </x:c>
      <x:c r="B149" t="n">
        <x:f>Chart_Data!N149-Chart_Data!L149</x:f>
        <x:v>-1.6666503235243226</x:v>
      </x:c>
      <x:c r="D149" t="n">
        <x:f>Chart_Data!G149</x:f>
        <x:v>13.5</x:v>
      </x:c>
      <x:c r="E149" t="n">
        <x:f>Chart_Data!H149</x:f>
        <x:v>408.84619240872695</x:v>
      </x:c>
      <x:c r="F149" t="n">
        <x:f>Chart_Data!I149</x:f>
        <x:v>408.84619240872695</x:v>
      </x:c>
      <x:c r="G149" t="n">
        <x:f>Chart_Data!J149</x:f>
        <x:v>0.04576132524433074</x:v>
      </x:c>
      <x:c r="I149" t="n">
        <x:f>Scenario_Data!A149</x:f>
        <x:v>0.225</x:v>
      </x:c>
      <x:c r="J149" t="n">
        <x:f>Scenario_Data!H149-(((SQRT((Inputs!$C$52+(Inputs!$H$6))^2+Inputs!$C$52^2-2*(Inputs!$C$52+(Inputs!$H$6))*Inputs!$C$52*COS(SQRT((Scenario_Data!T149)^2+Inputs!$C$6^2)/Inputs!$C$52)))-(Inputs!$H$6))*1000/Inputs!$C$12)</x:f>
        <x:v>-0.28536299915617747</x:v>
      </x:c>
      <x:c r="K149" t="n">
        <x:f>Scenario_Data!I149-(((SQRT((Inputs!$C$52+(Inputs!$H$7))^2+Inputs!$C$52^2-2*(Inputs!$C$52+(Inputs!$H$7))*Inputs!$C$52*COS(SQRT((Scenario_Data!U149)^2+Inputs!$C$6^2)/Inputs!$C$52)))-(Inputs!$H$7))*1000/Inputs!$C$12)</x:f>
        <x:v>-5724.6003963936055</x:v>
      </x:c>
      <x:c r="L149" t="n">
        <x:f>Scenario_Data!J149-(((SQRT((Inputs!$C$52+(Inputs!$H$8))^2+Inputs!$C$52^2-2*(Inputs!$C$52+(Inputs!$H$8))*Inputs!$C$52*COS(SQRT((Scenario_Data!V149)^2+Inputs!$C$6^2)/Inputs!$C$52)))-(Inputs!$H$8))*1000/Inputs!$C$12)</x:f>
        <x:v>-17629.00388090196</x:v>
      </x:c>
      <x:c r="M149" t="n">
        <x:f>Scenario_Data!K149-(((SQRT((Inputs!$C$52+(Inputs!$H$9))^2+Inputs!$C$52^2-2*(Inputs!$C$52+(Inputs!$H$9))*Inputs!$C$52*COS(SQRT((Scenario_Data!W149)^2+Inputs!$C$6^2)/Inputs!$C$52)))-(Inputs!$H$9))*1000/Inputs!$C$12)</x:f>
        <x:v>-19051.13227164834</x:v>
      </x:c>
      <x:c r="O149" t="n">
        <x:f>Scenario_Data!T149</x:f>
        <x:v>13.5</x:v>
      </x:c>
      <x:c r="P149" t="n">
        <x:f>2*(Scenario_Data!B149*1000)/Inputs!$C$21*1000000</x:f>
        <x:v>2669.863696170769</x:v>
      </x:c>
      <x:c r="Q149" t="n">
        <x:f>Scenario_Data!U149</x:f>
        <x:v>90.00000000000006</x:v>
      </x:c>
      <x:c r="R149" t="n">
        <x:f>2*(Scenario_Data!C149*1000)/Inputs!$C$21*1000000</x:f>
        <x:v>356.76764757037364</x:v>
      </x:c>
      <x:c r="S149" t="n">
        <x:f>Scenario_Data!V149</x:f>
        <x:v>180.0000000000001</x:v>
      </x:c>
      <x:c r="T149" t="n">
        <x:f>2*(Scenario_Data!D149*1000)/Inputs!$C$21*1000000</x:f>
        <x:v>559.4078354032513</x:v>
      </x:c>
      <x:c r="U149" t="n">
        <x:f>Scenario_Data!W149</x:f>
        <x:v>180.0000000000001</x:v>
      </x:c>
      <x:c r="V149" t="n">
        <x:f>2*(Scenario_Data!E149*1000)/Inputs!$C$21*1000000</x:f>
        <x:v>496.0723528275021</x:v>
      </x:c>
      <x:c r="X149" t="n">
        <x:f>Scenario_Data!T149</x:f>
        <x:v>13.5</x:v>
      </x:c>
      <x:c r="Y149" t="n">
        <x: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x:f>
        <x:v>2669.863390884068</x:v>
      </x:c>
      <x:c r="Z149" t="n">
        <x:f>Scenario_Data!U149</x:f>
        <x:v>90.00000000000006</x:v>
      </x:c>
      <x:c r="AA149" t="n">
        <x: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x:f>
        <x:v>356.5873635970569</x:v>
      </x:c>
      <x:c r="AB149" t="n">
        <x:f>Scenario_Data!V149</x:f>
        <x:v>180.0000000000001</x:v>
      </x:c>
      <x:c r="AC149" t="n">
        <x: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x:f>
        <x:v>559.4378939715417</x:v>
      </x:c>
      <x:c r="AD149" t="n">
        <x:f>Scenario_Data!W149</x:f>
        <x:v>180.0000000000001</x:v>
      </x:c>
      <x:c r="AE149" t="n">
        <x: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x:f>
        <x:v>496.10241139579267</x:v>
      </x:c>
      <x:c r="AG149" t="n">
        <x:f>Scenario_Data!T149</x:f>
        <x:v>13.5</x:v>
      </x:c>
      <x:c r="AH149" t="n">
        <x:f>2*(SQRT((Inputs!$C$52+(Scenario_Data!B149))^2+Inputs!$C$52^2-2*(Inputs!$C$52+(Scenario_Data!B149))*Inputs!$C$52*COS(SQRT((Scenario_Data!T149)^2+Inputs!$C$6^2)/Inputs!$C$52))*1000)/Inputs!$C$21*1000000</x:f>
        <x:v>2678.3036592847507</x:v>
      </x:c>
      <x:c r="AI149" t="n">
        <x:f>Scenario_Data!U149</x:f>
        <x:v>90.00000000000006</x:v>
      </x:c>
      <x:c r="AJ149" t="n">
        <x:f>2*(SQRT((Inputs!$C$52+(Scenario_Data!C149))^2+Inputs!$C$52^2-2*(Inputs!$C$52+(Scenario_Data!C149))*Inputs!$C$52*COS(SQRT((Scenario_Data!U149)^2+Inputs!$C$6^2)/Inputs!$C$52))*1000)/Inputs!$C$21*1000000</x:f>
        <x:v>727.1747453672517</x:v>
      </x:c>
      <x:c r="AK149" t="n">
        <x:f>Scenario_Data!V149</x:f>
        <x:v>180.0000000000001</x:v>
      </x:c>
      <x:c r="AL149" t="n">
        <x:f>2*(SQRT((Inputs!$C$52+(Scenario_Data!D149))^2+Inputs!$C$52^2-2*(Inputs!$C$52+(Scenario_Data!D149))*Inputs!$C$52*COS(SQRT((Scenario_Data!V149)^2+Inputs!$C$6^2)/Inputs!$C$52))*1000)/Inputs!$C$21*1000000</x:f>
        <x:v>1363.804879466073</x:v>
      </x:c>
      <x:c r="AM149" t="n">
        <x:f>Scenario_Data!W149</x:f>
        <x:v>180.0000000000001</x:v>
      </x:c>
      <x:c r="AN149" t="n">
        <x:f>2*(SQRT((Inputs!$C$52+(Scenario_Data!E149))^2+Inputs!$C$52^2-2*(Inputs!$C$52+(Scenario_Data!E149))*Inputs!$C$52*COS(SQRT((Scenario_Data!W149)^2+Inputs!$C$6^2)/Inputs!$C$52))*1000)/Inputs!$C$21*1000000</x:f>
        <x:v>1335.73358143176</x:v>
      </x:c>
      <x:c r="AP149" t="n">
        <x:f>Scenario_Data!T149</x:f>
        <x:v>13.5</x:v>
      </x:c>
      <x:c r="AQ149" t="n">
        <x: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x:f>
        <x:v>2675.586944487273</x:v>
      </x:c>
      <x:c r="AR149" t="n">
        <x:f>Scenario_Data!U149</x:f>
        <x:v>90.00000000000006</x:v>
      </x:c>
      <x:c r="AS149" t="n">
        <x: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x:f>
        <x:v>726.6812853306784</x:v>
      </x:c>
      <x:c r="AT149" t="n">
        <x:f>Scenario_Data!V149</x:f>
        <x:v>180.0000000000001</x:v>
      </x:c>
      <x:c r="AU149" t="n">
        <x: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x:f>
        <x:v>1363.4922501356443</x:v>
      </x:c>
      <x:c r="AV149" t="n">
        <x:f>Scenario_Data!W149</x:f>
        <x:v>180.0000000000001</x:v>
      </x:c>
      <x:c r="AW149" t="n">
        <x: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x:f>
        <x:v>1335.4558137640058</x:v>
      </x:c>
    </x:row>
    <x:row r="150">
      <x:c r="A150" t="n">
        <x:f>Chart_Data!K150</x:f>
        <x:v>14</x:v>
      </x:c>
      <x:c r="B150" t="n">
        <x:f>Chart_Data!N150-Chart_Data!L150</x:f>
        <x:v>-18.81128421623464</x:v>
      </x:c>
      <x:c r="D150" t="n">
        <x:f>Chart_Data!G150</x:f>
        <x:v>14</x:v>
      </x:c>
      <x:c r="E150" t="n">
        <x:f>Chart_Data!H150</x:f>
        <x:v>412.55100068044544</x:v>
      </x:c>
      <x:c r="F150" t="n">
        <x:f>Chart_Data!I150</x:f>
        <x:v>412.55100068044544</x:v>
      </x:c>
      <x:c r="G150" t="n">
        <x:f>Chart_Data!J150</x:f>
        <x:v>17.14805919414721</x:v>
      </x:c>
      <x:c r="I150" t="n">
        <x:f>Scenario_Data!A150</x:f>
        <x:v>0.233</x:v>
      </x:c>
      <x:c r="J150" t="n">
        <x:f>Scenario_Data!H150-(((SQRT((Inputs!$C$52+(Inputs!$H$6))^2+Inputs!$C$52^2-2*(Inputs!$C$52+(Inputs!$H$6))*Inputs!$C$52*COS(SQRT((Scenario_Data!T150)^2+Inputs!$C$6^2)/Inputs!$C$52)))-(Inputs!$H$6))*1000/Inputs!$C$12)</x:f>
        <x:v>-0.3109789747541072</x:v>
      </x:c>
      <x:c r="K150" t="n">
        <x:f>Scenario_Data!I150-(((SQRT((Inputs!$C$52+(Inputs!$H$7))^2+Inputs!$C$52^2-2*(Inputs!$C$52+(Inputs!$H$7))*Inputs!$C$52*COS(SQRT((Scenario_Data!U150)^2+Inputs!$C$6^2)/Inputs!$C$52)))-(Inputs!$H$7))*1000/Inputs!$C$12)</x:f>
        <x:v>-6197.607639351343</x:v>
      </x:c>
      <x:c r="L150" t="n">
        <x:f>Scenario_Data!J150-(((SQRT((Inputs!$C$52+(Inputs!$H$8))^2+Inputs!$C$52^2-2*(Inputs!$C$52+(Inputs!$H$8))*Inputs!$C$52*COS(SQRT((Scenario_Data!V150)^2+Inputs!$C$6^2)/Inputs!$C$52)))-(Inputs!$H$8))*1000/Inputs!$C$12)</x:f>
        <x:v>-18899.2224254725</x:v>
      </x:c>
      <x:c r="M150" t="n">
        <x:f>Scenario_Data!K150-(((SQRT((Inputs!$C$52+(Inputs!$H$9))^2+Inputs!$C$52^2-2*(Inputs!$C$52+(Inputs!$H$9))*Inputs!$C$52*COS(SQRT((Scenario_Data!W150)^2+Inputs!$C$6^2)/Inputs!$C$52)))-(Inputs!$H$9))*1000/Inputs!$C$12)</x:f>
        <x:v>-20375.352826851158</x:v>
      </x:c>
      <x:c r="O150" t="n">
        <x:f>Scenario_Data!T150</x:f>
        <x:v>13.980000000000004</x:v>
      </x:c>
      <x:c r="P150" t="n">
        <x:f>2*(Scenario_Data!B150*1000)/Inputs!$C$21*1000000</x:f>
        <x:v>2669.9614704783535</x:v>
      </x:c>
      <x:c r="Q150" t="n">
        <x:f>Scenario_Data!U150</x:f>
        <x:v>93.20000000000005</x:v>
      </x:c>
      <x:c r="R150" t="n">
        <x:f>2*(Scenario_Data!C150*1000)/Inputs!$C$21*1000000</x:f>
        <x:v>365.68955313745766</x:v>
      </x:c>
      <x:c r="S150" t="n">
        <x:f>Scenario_Data!V150</x:f>
        <x:v>186.4000000000001</x:v>
      </x:c>
      <x:c r="T150" t="n">
        <x:f>2*(Scenario_Data!D150*1000)/Inputs!$C$21*1000000</x:f>
        <x:v>582.9958871080077</x:v>
      </x:c>
      <x:c r="U150" t="n">
        <x:f>Scenario_Data!W150</x:f>
        <x:v>186.4000000000001</x:v>
      </x:c>
      <x:c r="V150" t="n">
        <x:f>2*(Scenario_Data!E150*1000)/Inputs!$C$21*1000000</x:f>
        <x:v>519.9048403012197</x:v>
      </x:c>
      <x:c r="X150" t="n">
        <x:f>Scenario_Data!T150</x:f>
        <x:v>13.980000000000004</x:v>
      </x:c>
      <x:c r="Y150" t="n">
        <x: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x:f>
        <x:v>2669.8639965508737</x:v>
      </x:c>
      <x:c r="Z150" t="n">
        <x:f>Scenario_Data!U150</x:f>
        <x:v>93.20000000000005</x:v>
      </x:c>
      <x:c r="AA150" t="n">
        <x: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x:f>
        <x:v>365.3275433938103</x:v>
      </x:c>
      <x:c r="AB150" t="n">
        <x:f>Scenario_Data!V150</x:f>
        <x:v>186.4000000000001</x:v>
      </x:c>
      <x:c r="AC150" t="n">
        <x: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x:f>
        <x:v>582.8549827037858</x:v>
      </x:c>
      <x:c r="AD150" t="n">
        <x:f>Scenario_Data!W150</x:f>
        <x:v>186.4000000000001</x:v>
      </x:c>
      <x:c r="AE150" t="n">
        <x: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x:f>
        <x:v>519.763935896998</x:v>
      </x:c>
      <x:c r="AG150" t="n">
        <x:f>Scenario_Data!T150</x:f>
        <x:v>13.980000000000004</x:v>
      </x:c>
      <x:c r="AH150" t="n">
        <x:f>2*(SQRT((Inputs!$C$52+(Scenario_Data!B150))^2+Inputs!$C$52^2-2*(Inputs!$C$52+(Scenario_Data!B150))*Inputs!$C$52*COS(SQRT((Scenario_Data!T150)^2+Inputs!$C$6^2)/Inputs!$C$52))*1000)/Inputs!$C$21*1000000</x:f>
        <x:v>2678.53886810944</x:v>
      </x:c>
      <x:c r="AI150" t="n">
        <x:f>Scenario_Data!U150</x:f>
        <x:v>93.20000000000005</x:v>
      </x:c>
      <x:c r="AJ150" t="n">
        <x:f>2*(SQRT((Inputs!$C$52+(Scenario_Data!C150))^2+Inputs!$C$52^2-2*(Inputs!$C$52+(Scenario_Data!C150))*Inputs!$C$52*COS(SQRT((Scenario_Data!U150)^2+Inputs!$C$6^2)/Inputs!$C$52))*1000)/Inputs!$C$21*1000000</x:f>
        <x:v>750.0348628533561</x:v>
      </x:c>
      <x:c r="AK150" t="n">
        <x:f>Scenario_Data!V150</x:f>
        <x:v>186.4000000000001</x:v>
      </x:c>
      <x:c r="AL150" t="n">
        <x:f>2*(SQRT((Inputs!$C$52+(Scenario_Data!D150))^2+Inputs!$C$52^2-2*(Inputs!$C$52+(Scenario_Data!D150))*Inputs!$C$52*COS(SQRT((Scenario_Data!V150)^2+Inputs!$C$6^2)/Inputs!$C$52))*1000)/Inputs!$C$21*1000000</x:f>
        <x:v>1414.279745381553</x:v>
      </x:c>
      <x:c r="AM150" t="n">
        <x:f>Scenario_Data!W150</x:f>
        <x:v>186.4000000000001</x:v>
      </x:c>
      <x:c r="AN150" t="n">
        <x:f>2*(SQRT((Inputs!$C$52+(Scenario_Data!E150))^2+Inputs!$C$52^2-2*(Inputs!$C$52+(Scenario_Data!E150))*Inputs!$C$52*COS(SQRT((Scenario_Data!W150)^2+Inputs!$C$6^2)/Inputs!$C$52))*1000)/Inputs!$C$21*1000000</x:f>
        <x:v>1386.0293710733336</x:v>
      </x:c>
      <x:c r="AP150" t="n">
        <x:f>Scenario_Data!T150</x:f>
        <x:v>13.980000000000004</x:v>
      </x:c>
      <x:c r="AQ150" t="n">
        <x: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x:f>
        <x:v>2675.7284415974937</x:v>
      </x:c>
      <x:c r="AR150" t="n">
        <x:f>Scenario_Data!U150</x:f>
        <x:v>93.20000000000005</x:v>
      </x:c>
      <x:c r="AS150" t="n">
        <x: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x:f>
        <x:v>749.5015119345261</x:v>
      </x:c>
      <x:c r="AT150" t="n">
        <x:f>Scenario_Data!V150</x:f>
        <x:v>186.4000000000001</x:v>
      </x:c>
      <x:c r="AU150" t="n">
        <x: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x:f>
        <x:v>1413.8780595568705</x:v>
      </x:c>
      <x:c r="AV150" t="n">
        <x:f>Scenario_Data!W150</x:f>
        <x:v>186.4000000000001</x:v>
      </x:c>
      <x:c r="AW150" t="n">
        <x: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x:f>
        <x:v>1385.6705698984597</x:v>
      </x:c>
    </x:row>
    <x:row r="151">
      <x:c r="A151" t="n">
        <x:f>Chart_Data!K151</x:f>
        <x:v>14.5</x:v>
      </x:c>
      <x:c r="B151" t="n">
        <x:f>Chart_Data!N151-Chart_Data!L151</x:f>
        <x:v>-29.029666399043833</x:v>
      </x:c>
      <x:c r="D151" t="n">
        <x:f>Chart_Data!G151</x:f>
        <x:v>14.5</x:v>
      </x:c>
      <x:c r="E151" t="n">
        <x:f>Chart_Data!H151</x:f>
        <x:v>415.5675277705944</x:v>
      </x:c>
      <x:c r="F151" t="n">
        <x:f>Chart_Data!I151</x:f>
        <x:v>415.5675277705944</x:v>
      </x:c>
      <x:c r="G151" t="n">
        <x:f>Chart_Data!J151</x:f>
        <x:v>27.325427950737776</x:v>
      </x:c>
      <x:c r="I151" t="n">
        <x:f>Scenario_Data!A151</x:f>
        <x:v>0.242</x:v>
      </x:c>
      <x:c r="J151" t="n">
        <x:f>Scenario_Data!H151-(((SQRT((Inputs!$C$52+(Inputs!$H$6))^2+Inputs!$C$52^2-2*(Inputs!$C$52+(Inputs!$H$6))*Inputs!$C$52*COS(SQRT((Scenario_Data!T151)^2+Inputs!$C$6^2)/Inputs!$C$52)))-(Inputs!$H$6))*1000/Inputs!$C$12)</x:f>
        <x:v>-0.3417117286797975</x:v>
      </x:c>
      <x:c r="K151" t="n">
        <x:f>Scenario_Data!I151-(((SQRT((Inputs!$C$52+(Inputs!$H$7))^2+Inputs!$C$52^2-2*(Inputs!$C$52+(Inputs!$H$7))*Inputs!$C$52*COS(SQRT((Scenario_Data!U151)^2+Inputs!$C$6^2)/Inputs!$C$52)))-(Inputs!$H$7))*1000/Inputs!$C$12)</x:f>
        <x:v>-6750.1435304916085</x:v>
      </x:c>
      <x:c r="L151" t="n">
        <x:f>Scenario_Data!J151-(((SQRT((Inputs!$C$52+(Inputs!$H$8))^2+Inputs!$C$52^2-2*(Inputs!$C$52+(Inputs!$H$8))*Inputs!$C$52*COS(SQRT((Scenario_Data!V151)^2+Inputs!$C$6^2)/Inputs!$C$52)))-(Inputs!$H$8))*1000/Inputs!$C$12)</x:f>
        <x:v>-20367.91707237235</x:v>
      </x:c>
      <x:c r="M151" t="n">
        <x:f>Scenario_Data!K151-(((SQRT((Inputs!$C$52+(Inputs!$H$9))^2+Inputs!$C$52^2-2*(Inputs!$C$52+(Inputs!$H$9))*Inputs!$C$52*COS(SQRT((Scenario_Data!W151)^2+Inputs!$C$6^2)/Inputs!$C$52)))-(Inputs!$H$9))*1000/Inputs!$C$12)</x:f>
        <x:v>-21904.22804430117</x:v>
      </x:c>
      <x:c r="O151" t="n">
        <x:f>Scenario_Data!T151</x:f>
        <x:v>14.519999999999996</x:v>
      </x:c>
      <x:c r="P151" t="n">
        <x:f>2*(Scenario_Data!B151*1000)/Inputs!$C$21*1000000</x:f>
        <x:v>2670.075549398911</x:v>
      </x:c>
      <x:c r="Q151" t="n">
        <x:f>Scenario_Data!U151</x:f>
        <x:v>96.80000000000001</x:v>
      </x:c>
      <x:c r="R151" t="n">
        <x:f>2*(Scenario_Data!C151*1000)/Inputs!$C$21*1000000</x:f>
        <x:v>376.09925463835384</x:v>
      </x:c>
      <x:c r="S151" t="n">
        <x:f>Scenario_Data!V151</x:f>
        <x:v>193.60000000000002</x:v>
      </x:c>
      <x:c r="T151" t="n">
        <x:f>2*(Scenario_Data!D151*1000)/Inputs!$C$21*1000000</x:f>
        <x:v>610.5174266925688</x:v>
      </x:c>
      <x:c r="U151" t="n">
        <x:f>Scenario_Data!W151</x:f>
        <x:v>193.60000000000002</x:v>
      </x:c>
      <x:c r="V151" t="n">
        <x:f>2*(Scenario_Data!E151*1000)/Inputs!$C$21*1000000</x:f>
        <x:v>547.7115771871754</x:v>
      </x:c>
      <x:c r="X151" t="n">
        <x:f>Scenario_Data!T151</x:f>
        <x:v>14.519999999999996</x:v>
      </x:c>
      <x:c r="Y151" t="n">
        <x: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x:f>
        <x:v>2669.8958574019107</x:v>
      </x:c>
      <x:c r="Z151" t="n">
        <x:f>Scenario_Data!U151</x:f>
        <x:v>96.80000000000001</x:v>
      </x:c>
      <x:c r="AA151" t="n">
        <x: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x:f>
        <x:v>375.71361777908754</x:v>
      </x:c>
      <x:c r="AB151" t="n">
        <x:f>Scenario_Data!V151</x:f>
        <x:v>193.60000000000002</x:v>
      </x:c>
      <x:c r="AC151" t="n">
        <x: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x:f>
        <x:v>610.8989509460198</x:v>
      </x:c>
      <x:c r="AD151" t="n">
        <x:f>Scenario_Data!W151</x:f>
        <x:v>193.60000000000002</x:v>
      </x:c>
      <x:c r="AE151" t="n">
        <x: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x:f>
        <x:v>548.0931014406264</x:v>
      </x:c>
      <x:c r="AG151" t="n">
        <x:f>Scenario_Data!T151</x:f>
        <x:v>14.519999999999996</x:v>
      </x:c>
      <x:c r="AH151" t="n">
        <x:f>2*(SQRT((Inputs!$C$52+(Scenario_Data!B151))^2+Inputs!$C$52^2-2*(Inputs!$C$52+(Scenario_Data!B151))*Inputs!$C$52*COS(SQRT((Scenario_Data!T151)^2+Inputs!$C$6^2)/Inputs!$C$52))*1000)/Inputs!$C$21*1000000</x:f>
        <x:v>2678.813280652873</x:v>
      </x:c>
      <x:c r="AI151" t="n">
        <x:f>Scenario_Data!U151</x:f>
        <x:v>96.80000000000001</x:v>
      </x:c>
      <x:c r="AJ151" t="n">
        <x:f>2*(SQRT((Inputs!$C$52+(Scenario_Data!C151))^2+Inputs!$C$52^2-2*(Inputs!$C$52+(Scenario_Data!C151))*Inputs!$C$52*COS(SQRT((Scenario_Data!U151)^2+Inputs!$C$6^2)/Inputs!$C$52))*1000)/Inputs!$C$21*1000000</x:f>
        <x:v>776.021326811133</x:v>
      </x:c>
      <x:c r="AK151" t="n">
        <x:f>Scenario_Data!V151</x:f>
        <x:v>193.60000000000002</x:v>
      </x:c>
      <x:c r="AL151" t="n">
        <x:f>2*(SQRT((Inputs!$C$52+(Scenario_Data!D151))^2+Inputs!$C$52^2-2*(Inputs!$C$52+(Scenario_Data!D151))*Inputs!$C$52*COS(SQRT((Scenario_Data!V151)^2+Inputs!$C$6^2)/Inputs!$C$52))*1000)/Inputs!$C$21*1000000</x:f>
        <x:v>1471.657065923119</x:v>
      </x:c>
      <x:c r="AM151" t="n">
        <x:f>Scenario_Data!W151</x:f>
        <x:v>193.60000000000002</x:v>
      </x:c>
      <x:c r="AN151" t="n">
        <x:f>2*(SQRT((Inputs!$C$52+(Scenario_Data!E151))^2+Inputs!$C$52^2-2*(Inputs!$C$52+(Scenario_Data!E151))*Inputs!$C$52*COS(SQRT((Scenario_Data!W151)^2+Inputs!$C$6^2)/Inputs!$C$52))*1000)/Inputs!$C$21*1000000</x:f>
        <x:v>1443.1960281662846</x:v>
      </x:c>
      <x:c r="AP151" t="n">
        <x:f>Scenario_Data!T151</x:f>
        <x:v>14.519999999999996</x:v>
      </x:c>
      <x:c r="AQ151" t="n">
        <x: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x:f>
        <x:v>2676.03978450837</x:v>
      </x:c>
      <x:c r="AR151" t="n">
        <x:f>Scenario_Data!U151</x:f>
        <x:v>96.80000000000001</x:v>
      </x:c>
      <x:c r="AS151" t="n">
        <x: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x:f>
        <x:v>775.4018440048759</x:v>
      </x:c>
      <x:c r="AT151" t="n">
        <x:f>Scenario_Data!V151</x:f>
        <x:v>193.60000000000002</x:v>
      </x:c>
      <x:c r="AU151" t="n">
        <x: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x:f>
        <x:v>1471.4549088802494</x:v>
      </x:c>
      <x:c r="AV151" t="n">
        <x:f>Scenario_Data!W151</x:f>
        <x:v>193.60000000000002</x:v>
      </x:c>
      <x:c r="AW151" t="n">
        <x: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x:f>
        <x:v>1443.0143943069845</x:v>
      </x:c>
    </x:row>
    <x:row r="152">
      <x:c r="A152" t="n">
        <x:f>Chart_Data!K152</x:f>
        <x:v>15</x:v>
      </x:c>
      <x:c r="B152" t="n">
        <x:f>Chart_Data!N152-Chart_Data!L152</x:f>
        <x:v>-47.029230224199864</x:v>
      </x:c>
      <x:c r="D152" t="n">
        <x:f>Chart_Data!G152</x:f>
        <x:v>15</x:v>
      </x:c>
      <x:c r="E152" t="n">
        <x:f>Chart_Data!H152</x:f>
        <x:v>399.34593170493116</x:v>
      </x:c>
      <x:c r="F152" t="n">
        <x:f>Chart_Data!I152</x:f>
        <x:v>399.34593170493116</x:v>
      </x:c>
      <x:c r="G152" t="n">
        <x:f>Chart_Data!J152</x:f>
        <x:v>45.362905639140564</x:v>
      </x:c>
      <x:c r="I152" t="n">
        <x:f>Scenario_Data!A152</x:f>
        <x:v>0.25</x:v>
      </x:c>
      <x:c r="J152" t="n">
        <x:f>Scenario_Data!H152-(((SQRT((Inputs!$C$52+(Inputs!$H$6))^2+Inputs!$C$52^2-2*(Inputs!$C$52+(Inputs!$H$6))*Inputs!$C$52*COS(SQRT((Scenario_Data!T152)^2+Inputs!$C$6^2)/Inputs!$C$52)))-(Inputs!$H$6))*1000/Inputs!$C$12)</x:f>
        <x:v>-0.37081187517208036</x:v>
      </x:c>
      <x:c r="K152" t="n">
        <x:f>Scenario_Data!I152-(((SQRT((Inputs!$C$52+(Inputs!$H$7))^2+Inputs!$C$52^2-2*(Inputs!$C$52+(Inputs!$H$7))*Inputs!$C$52*COS(SQRT((Scenario_Data!U152)^2+Inputs!$C$6^2)/Inputs!$C$52)))-(Inputs!$H$7))*1000/Inputs!$C$12)</x:f>
        <x:v>-7259.077562381237</x:v>
      </x:c>
      <x:c r="L152" t="n">
        <x:f>Scenario_Data!J152-(((SQRT((Inputs!$C$52+(Inputs!$H$8))^2+Inputs!$C$52^2-2*(Inputs!$C$52+(Inputs!$H$8))*Inputs!$C$52*COS(SQRT((Scenario_Data!V152)^2+Inputs!$C$6^2)/Inputs!$C$52)))-(Inputs!$H$8))*1000/Inputs!$C$12)</x:f>
        <x:v>-21707.520208299306</x:v>
      </x:c>
      <x:c r="M152" t="n">
        <x:f>Scenario_Data!K152-(((SQRT((Inputs!$C$52+(Inputs!$H$9))^2+Inputs!$C$52^2-2*(Inputs!$C$52+(Inputs!$H$9))*Inputs!$C$52*COS(SQRT((Scenario_Data!W152)^2+Inputs!$C$6^2)/Inputs!$C$52)))-(Inputs!$H$9))*1000/Inputs!$C$12)</x:f>
        <x:v>-23296.801058357276</x:v>
      </x:c>
      <x:c r="O152" t="n">
        <x:f>Scenario_Data!T152</x:f>
        <x:v>15</x:v>
      </x:c>
      <x:c r="P152" t="n">
        <x:f>2*(Scenario_Data!B152*1000)/Inputs!$C$21*1000000</x:f>
        <x:v>2670.180582061207</x:v>
      </x:c>
      <x:c r="Q152" t="n">
        <x:f>Scenario_Data!U152</x:f>
        <x:v>100</x:v>
      </x:c>
      <x:c r="R152" t="n">
        <x:f>2*(Scenario_Data!C152*1000)/Inputs!$C$21*1000000</x:f>
        <x:v>385.68348507286333</x:v>
      </x:c>
      <x:c r="S152" t="n">
        <x:f>Scenario_Data!V152</x:f>
        <x:v>200</x:v>
      </x:c>
      <x:c r="T152" t="n">
        <x:f>2*(Scenario_Data!D152*1000)/Inputs!$C$21*1000000</x:f>
        <x:v>635.8565564714773</x:v>
      </x:c>
      <x:c r="U152" t="n">
        <x:f>Scenario_Data!W152</x:f>
        <x:v>200</x:v>
      </x:c>
      <x:c r="V152" t="n">
        <x:f>2*(Scenario_Data!E152*1000)/Inputs!$C$21*1000000</x:f>
        <x:v>573.3132886218239</x:v>
      </x:c>
      <x:c r="X152" t="n">
        <x:f>Scenario_Data!T152</x:f>
        <x:v>15</x:v>
      </x:c>
      <x:c r="Y152" t="n">
        <x: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x:f>
        <x:v>2669.877953329705</x:v>
      </x:c>
      <x:c r="Z152" t="n">
        <x:f>Scenario_Data!U152</x:f>
        <x:v>100</x:v>
      </x:c>
      <x:c r="AA152" t="n">
        <x: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x:f>
        <x:v>385.5672746083997</x:v>
      </x:c>
      <x:c r="AB152" t="n">
        <x:f>Scenario_Data!V152</x:f>
        <x:v>200</x:v>
      </x:c>
      <x:c r="AC152" t="n">
        <x: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x:f>
        <x:v>635.8244559490963</x:v>
      </x:c>
      <x:c r="AD152" t="n">
        <x:f>Scenario_Data!W152</x:f>
        <x:v>200</x:v>
      </x:c>
      <x:c r="AE152" t="n">
        <x: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x:f>
        <x:v>573.2811880994428</x:v>
      </x:c>
      <x:c r="AG152" t="n">
        <x:f>Scenario_Data!T152</x:f>
        <x:v>15</x:v>
      </x:c>
      <x:c r="AH152" t="n">
        <x:f>2*(SQRT((Inputs!$C$52+(Scenario_Data!B152))^2+Inputs!$C$52^2-2*(Inputs!$C$52+(Scenario_Data!B152))*Inputs!$C$52*COS(SQRT((Scenario_Data!T152)^2+Inputs!$C$6^2)/Inputs!$C$52))*1000)/Inputs!$C$21*1000000</x:f>
        <x:v>2679.065914532494</x:v>
      </x:c>
      <x:c r="AI152" t="n">
        <x:f>Scenario_Data!U152</x:f>
        <x:v>100</x:v>
      </x:c>
      <x:c r="AJ152" t="n">
        <x:f>2*(SQRT((Inputs!$C$52+(Scenario_Data!C152))^2+Inputs!$C$52^2-2*(Inputs!$C$52+(Scenario_Data!C152))*Inputs!$C$52*COS(SQRT((Scenario_Data!U152)^2+Inputs!$C$6^2)/Inputs!$C$52))*1000)/Inputs!$C$21*1000000</x:f>
        <x:v>799.3530465257882</x:v>
      </x:c>
      <x:c r="AK152" t="n">
        <x:f>Scenario_Data!V152</x:f>
        <x:v>200</x:v>
      </x:c>
      <x:c r="AL152" t="n">
        <x:f>2*(SQRT((Inputs!$C$52+(Scenario_Data!D152))^2+Inputs!$C$52^2-2*(Inputs!$C$52+(Scenario_Data!D152))*Inputs!$C$52*COS(SQRT((Scenario_Data!V152)^2+Inputs!$C$6^2)/Inputs!$C$52))*1000)/Inputs!$C$21*1000000</x:f>
        <x:v>1523.1929864371127</x:v>
      </x:c>
      <x:c r="AM152" t="n">
        <x:f>Scenario_Data!W152</x:f>
        <x:v>200</x:v>
      </x:c>
      <x:c r="AN152" t="n">
        <x:f>2*(SQRT((Inputs!$C$52+(Scenario_Data!E152))^2+Inputs!$C$52^2-2*(Inputs!$C$52+(Scenario_Data!E152))*Inputs!$C$52*COS(SQRT((Scenario_Data!W152)^2+Inputs!$C$6^2)/Inputs!$C$52))*1000)/Inputs!$C$21*1000000</x:f>
        <x:v>1494.538848738704</x:v>
      </x:c>
      <x:c r="AP152" t="n">
        <x:f>Scenario_Data!T152</x:f>
        <x:v>15</x:v>
      </x:c>
      <x:c r="AQ152" t="n">
        <x: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x:f>
        <x:v>2676.4128817659403</x:v>
      </x:c>
      <x:c r="AR152" t="n">
        <x:f>Scenario_Data!U152</x:f>
        <x:v>100</x:v>
      </x:c>
      <x:c r="AS152" t="n">
        <x: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x:f>
        <x:v>798.9128126847422</x:v>
      </x:c>
      <x:c r="AT152" t="n">
        <x:f>Scenario_Data!V152</x:f>
        <x:v>200</x:v>
      </x:c>
      <x:c r="AU152" t="n">
        <x: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x:f>
        <x:v>1522.8148844349405</x:v>
      </x:c>
      <x:c r="AV152" t="n">
        <x:f>Scenario_Data!W152</x:f>
        <x:v>200</x:v>
      </x:c>
      <x:c r="AW152" t="n">
        <x: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x:f>
        <x:v>1494.197489623103</x:v>
      </x:c>
    </x:row>
    <x:row r="153">
      <x:c r="A153" t="n">
        <x:f>Chart_Data!K153</x:f>
        <x:v>15.5</x:v>
      </x:c>
      <x:c r="B153" t="n">
        <x:f>Chart_Data!N153-Chart_Data!L153</x:f>
        <x:v>-50.77028983950106</x:v>
      </x:c>
      <x:c r="D153" t="n">
        <x:f>Chart_Data!G153</x:f>
        <x:v>15.5</x:v>
      </x:c>
      <x:c r="E153" t="n">
        <x:f>Chart_Data!H153</x:f>
        <x:v>395.616361037493</x:v>
      </x:c>
      <x:c r="F153" t="n">
        <x:f>Chart_Data!I153</x:f>
        <x:v>395.616361037493</x:v>
      </x:c>
      <x:c r="G153" t="n">
        <x:f>Chart_Data!J153</x:f>
        <x:v>49.090179641950456</x:v>
      </x:c>
      <x:c r="I153" t="n">
        <x:f>Scenario_Data!A153</x:f>
        <x:v>0.258</x:v>
      </x:c>
      <x:c r="J153" t="n">
        <x:f>Scenario_Data!H153-(((SQRT((Inputs!$C$52+(Inputs!$H$6))^2+Inputs!$C$52^2-2*(Inputs!$C$52+(Inputs!$H$6))*Inputs!$C$52*COS(SQRT((Scenario_Data!T153)^2+Inputs!$C$6^2)/Inputs!$C$52)))-(Inputs!$H$6))*1000/Inputs!$C$12)</x:f>
        <x:v>-0.4016673031354685</x:v>
      </x:c>
      <x:c r="K153" t="n">
        <x:f>Scenario_Data!I153-(((SQRT((Inputs!$C$52+(Inputs!$H$7))^2+Inputs!$C$52^2-2*(Inputs!$C$52+(Inputs!$H$7))*Inputs!$C$52*COS(SQRT((Scenario_Data!U153)^2+Inputs!$C$6^2)/Inputs!$C$52)))-(Inputs!$H$7))*1000/Inputs!$C$12)</x:f>
        <x:v>-7784.433251420131</x:v>
      </x:c>
      <x:c r="L153" t="n">
        <x:f>Scenario_Data!J153-(((SQRT((Inputs!$C$52+(Inputs!$H$8))^2+Inputs!$C$52^2-2*(Inputs!$C$52+(Inputs!$H$8))*Inputs!$C$52*COS(SQRT((Scenario_Data!V153)^2+Inputs!$C$6^2)/Inputs!$C$52)))-(Inputs!$H$8))*1000/Inputs!$C$12)</x:f>
        <x:v>-23078.113644632846</x:v>
      </x:c>
      <x:c r="M153" t="n">
        <x:f>Scenario_Data!K153-(((SQRT((Inputs!$C$52+(Inputs!$H$9))^2+Inputs!$C$52^2-2*(Inputs!$C$52+(Inputs!$H$9))*Inputs!$C$52*COS(SQRT((Scenario_Data!W153)^2+Inputs!$C$6^2)/Inputs!$C$52)))-(Inputs!$H$9))*1000/Inputs!$C$12)</x:f>
        <x:v>-24719.85672730935</x:v>
      </x:c>
      <x:c r="O153" t="n">
        <x:f>Scenario_Data!T153</x:f>
        <x:v>15.480000000000004</x:v>
      </x:c>
      <x:c r="P153" t="n">
        <x:f>2*(Scenario_Data!B153*1000)/Inputs!$C$21*1000000</x:f>
        <x:v>2670.2890304198377</x:v>
      </x:c>
      <x:c r="Q153" t="n">
        <x:f>Scenario_Data!U153</x:f>
        <x:v>103.19999999999999</x:v>
      </x:c>
      <x:c r="R153" t="n">
        <x:f>2*(Scenario_Data!C153*1000)/Inputs!$C$21*1000000</x:f>
        <x:v>395.5793977979259</x:v>
      </x:c>
      <x:c r="S153" t="n">
        <x:f>Scenario_Data!V153</x:f>
        <x:v>206.39999999999998</x:v>
      </x:c>
      <x:c r="T153" t="n">
        <x:f>2*(Scenario_Data!D153*1000)/Inputs!$C$21*1000000</x:f>
        <x:v>662.0197229911632</x:v>
      </x:c>
      <x:c r="U153" t="n">
        <x:f>Scenario_Data!W153</x:f>
        <x:v>206.39999999999998</x:v>
      </x:c>
      <x:c r="V153" t="n">
        <x:f>2*(Scenario_Data!E153*1000)/Inputs!$C$21*1000000</x:f>
        <x:v>599.7475760380869</x:v>
      </x:c>
      <x:c r="X153" t="n">
        <x:f>Scenario_Data!T153</x:f>
        <x:v>15.480000000000004</x:v>
      </x:c>
      <x:c r="Y153" t="n">
        <x: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x:f>
        <x:v>2670.016099440619</x:v>
      </x:c>
      <x:c r="Z153" t="n">
        <x:f>Scenario_Data!U153</x:f>
        <x:v>103.19999999999999</x:v>
      </x:c>
      <x:c r="AA153" t="n">
        <x: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x:f>
        <x:v>395.8608639483147</x:v>
      </x:c>
      <x:c r="AB153" t="n">
        <x:f>Scenario_Data!V153</x:f>
        <x:v>206.39999999999998</x:v>
      </x:c>
      <x:c r="AC153" t="n">
        <x: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x:f>
        <x:v>661.951510687387</x:v>
      </x:c>
      <x:c r="AD153" t="n">
        <x:f>Scenario_Data!W153</x:f>
        <x:v>206.39999999999998</x:v>
      </x:c>
      <x:c r="AE153" t="n">
        <x: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x:f>
        <x:v>599.6793637343105</x:v>
      </x:c>
      <x:c r="AG153" t="n">
        <x:f>Scenario_Data!T153</x:f>
        <x:v>15.480000000000004</x:v>
      </x:c>
      <x:c r="AH153" t="n">
        <x:f>2*(SQRT((Inputs!$C$52+(Scenario_Data!B153))^2+Inputs!$C$52^2-2*(Inputs!$C$52+(Scenario_Data!B153))*Inputs!$C$52*COS(SQRT((Scenario_Data!T153)^2+Inputs!$C$6^2)/Inputs!$C$52))*1000)/Inputs!$C$21*1000000</x:f>
        <x:v>2679.3267458137466</x:v>
      </x:c>
      <x:c r="AI153" t="n">
        <x:f>Scenario_Data!U153</x:f>
        <x:v>103.19999999999999</x:v>
      </x:c>
      <x:c r="AJ153" t="n">
        <x:f>2*(SQRT((Inputs!$C$52+(Scenario_Data!C153))^2+Inputs!$C$52^2-2*(Inputs!$C$52+(Scenario_Data!C153))*Inputs!$C$52*COS(SQRT((Scenario_Data!U153)^2+Inputs!$C$6^2)/Inputs!$C$52))*1000)/Inputs!$C$21*1000000</x:f>
        <x:v>822.8987615597109</x:v>
      </x:c>
      <x:c r="AK153" t="n">
        <x:f>Scenario_Data!V153</x:f>
        <x:v>206.39999999999998</x:v>
      </x:c>
      <x:c r="AL153" t="n">
        <x:f>2*(SQRT((Inputs!$C$52+(Scenario_Data!D153))^2+Inputs!$C$52^2-2*(Inputs!$C$52+(Scenario_Data!D153))*Inputs!$C$52*COS(SQRT((Scenario_Data!V153)^2+Inputs!$C$6^2)/Inputs!$C$52))*1000)/Inputs!$C$21*1000000</x:f>
        <x:v>1575.2382195812656</x:v>
      </x:c>
      <x:c r="AM153" t="n">
        <x:f>Scenario_Data!W153</x:f>
        <x:v>206.39999999999998</x:v>
      </x:c>
      <x:c r="AN153" t="n">
        <x:f>2*(SQRT((Inputs!$C$52+(Scenario_Data!E153))^2+Inputs!$C$52^2-2*(Inputs!$C$52+(Scenario_Data!E153))*Inputs!$C$52*COS(SQRT((Scenario_Data!W153)^2+Inputs!$C$6^2)/Inputs!$C$52))*1000)/Inputs!$C$21*1000000</x:f>
        <x:v>1546.3874430517</x:v>
      </x:c>
      <x:c r="AP153" t="n">
        <x:f>Scenario_Data!T153</x:f>
        <x:v>15.480000000000004</x:v>
      </x:c>
      <x:c r="AQ153" t="n">
        <x: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x:f>
        <x:v>2676.700779028285</x:v>
      </x:c>
      <x:c r="AR153" t="n">
        <x:f>Scenario_Data!U153</x:f>
        <x:v>103.19999999999999</x:v>
      </x:c>
      <x:c r="AS153" t="n">
        <x: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x:f>
        <x:v>822.691392020902</x:v>
      </x:c>
      <x:c r="AT153" t="n">
        <x:f>Scenario_Data!V153</x:f>
        <x:v>206.39999999999998</x:v>
      </x:c>
      <x:c r="AU153" t="n">
        <x: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x:f>
        <x:v>1574.8772268654202</x:v>
      </x:c>
      <x:c r="AV153" t="n">
        <x:f>Scenario_Data!W153</x:f>
        <x:v>206.39999999999998</x:v>
      </x:c>
      <x:c r="AW153" t="n">
        <x: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x:f>
        <x:v>1546.060002257067</x:v>
      </x:c>
    </x:row>
    <x:row r="154">
      <x:c r="A154" t="n">
        <x:f>Chart_Data!K154</x:f>
        <x:v>16</x:v>
      </x:c>
      <x:c r="B154" t="n">
        <x:f>Chart_Data!N154-Chart_Data!L154</x:f>
        <x:v>-71.45092295981351</x:v>
      </x:c>
      <x:c r="D154" t="n">
        <x:f>Chart_Data!G154</x:f>
        <x:v>16</x:v>
      </x:c>
      <x:c r="E154" t="n">
        <x:f>Chart_Data!H154</x:f>
        <x:v>400.30891755789503</x:v>
      </x:c>
      <x:c r="F154" t="n">
        <x:f>Chart_Data!I154</x:f>
        <x:v>400.30891755789503</x:v>
      </x:c>
      <x:c r="G154" t="n">
        <x:f>Chart_Data!J154</x:f>
        <x:v>69.7201880441823</x:v>
      </x:c>
      <x:c r="I154" t="n">
        <x:f>Scenario_Data!A154</x:f>
        <x:v>0.267</x:v>
      </x:c>
      <x:c r="J154" t="n">
        <x:f>Scenario_Data!H154-(((SQRT((Inputs!$C$52+(Inputs!$H$6))^2+Inputs!$C$52^2-2*(Inputs!$C$52+(Inputs!$H$6))*Inputs!$C$52*COS(SQRT((Scenario_Data!T154)^2+Inputs!$C$6^2)/Inputs!$C$52)))-(Inputs!$H$6))*1000/Inputs!$C$12)</x:f>
        <x:v>-0.43857412502381976</x:v>
      </x:c>
      <x:c r="K154" t="n">
        <x:f>Scenario_Data!I154-(((SQRT((Inputs!$C$52+(Inputs!$H$7))^2+Inputs!$C$52^2-2*(Inputs!$C$52+(Inputs!$H$7))*Inputs!$C$52*COS(SQRT((Scenario_Data!U154)^2+Inputs!$C$6^2)/Inputs!$C$52)))-(Inputs!$H$7))*1000/Inputs!$C$12)</x:f>
        <x:v>-8394.704215810802</x:v>
      </x:c>
      <x:c r="L154" t="n">
        <x:f>Scenario_Data!J154-(((SQRT((Inputs!$C$52+(Inputs!$H$8))^2+Inputs!$C$52^2-2*(Inputs!$C$52+(Inputs!$H$8))*Inputs!$C$52*COS(SQRT((Scenario_Data!V154)^2+Inputs!$C$6^2)/Inputs!$C$52)))-(Inputs!$H$8))*1000/Inputs!$C$12)</x:f>
        <x:v>-24655.78332287309</x:v>
      </x:c>
      <x:c r="M154" t="n">
        <x:f>Scenario_Data!K154-(((SQRT((Inputs!$C$52+(Inputs!$H$9))^2+Inputs!$C$52^2-2*(Inputs!$C$52+(Inputs!$H$9))*Inputs!$C$52*COS(SQRT((Scenario_Data!W154)^2+Inputs!$C$6^2)/Inputs!$C$52)))-(Inputs!$H$9))*1000/Inputs!$C$12)</x:f>
        <x:v>-26355.92282022882</x:v>
      </x:c>
      <x:c r="O154" t="n">
        <x:f>Scenario_Data!T154</x:f>
        <x:v>16.019999999999996</x:v>
      </x:c>
      <x:c r="P154" t="n">
        <x:f>2*(Scenario_Data!B154*1000)/Inputs!$C$21*1000000</x:f>
        <x:v>2670.4151176478226</x:v>
      </x:c>
      <x:c r="Q154" t="n">
        <x:f>Scenario_Data!U154</x:f>
        <x:v>106.79999999999995</x:v>
      </x:c>
      <x:c r="R154" t="n">
        <x:f>2*(Scenario_Data!C154*1000)/Inputs!$C$21*1000000</x:f>
        <x:v>407.08485735154807</x:v>
      </x:c>
      <x:c r="S154" t="n">
        <x:f>Scenario_Data!V154</x:f>
        <x:v>213.5999999999999</x:v>
      </x:c>
      <x:c r="T154" t="n">
        <x:f>2*(Scenario_Data!D154*1000)/Inputs!$C$21*1000000</x:f>
        <x:v>692.4382667425206</x:v>
      </x:c>
      <x:c r="U154" t="n">
        <x:f>Scenario_Data!W154</x:f>
        <x:v>213.5999999999999</x:v>
      </x:c>
      <x:c r="V154" t="n">
        <x:f>2*(Scenario_Data!E154*1000)/Inputs!$C$21*1000000</x:f>
        <x:v>630.4813378594064</x:v>
      </x:c>
      <x:c r="X154" t="n">
        <x:f>Scenario_Data!T154</x:f>
        <x:v>16.019999999999996</x:v>
      </x:c>
      <x:c r="Y154" t="n">
        <x: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x:f>
        <x:v>2669.9938584403485</x:v>
      </x:c>
      <x:c r="Z154" t="n">
        <x:f>Scenario_Data!U154</x:f>
        <x:v>106.79999999999995</x:v>
      </x:c>
      <x:c r="AA154" t="n">
        <x: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x:f>
        <x:v>407.20518284516277</x:v>
      </x:c>
      <x:c r="AB154" t="n">
        <x:f>Scenario_Data!V154</x:f>
        <x:v>213.5999999999999</x:v>
      </x:c>
      <x:c r="AC154" t="n">
        <x: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x:f>
        <x:v>692.4932720409962</x:v>
      </x:c>
      <x:c r="AD154" t="n">
        <x:f>Scenario_Data!W154</x:f>
        <x:v>213.5999999999999</x:v>
      </x:c>
      <x:c r="AE154" t="n">
        <x: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x:f>
        <x:v>630.536343157882</x:v>
      </x:c>
      <x:c r="AG154" t="n">
        <x:f>Scenario_Data!T154</x:f>
        <x:v>16.019999999999996</x:v>
      </x:c>
      <x:c r="AH154" t="n">
        <x:f>2*(SQRT((Inputs!$C$52+(Scenario_Data!B154))^2+Inputs!$C$52^2-2*(Inputs!$C$52+(Scenario_Data!B154))*Inputs!$C$52*COS(SQRT((Scenario_Data!T154)^2+Inputs!$C$6^2)/Inputs!$C$52))*1000)/Inputs!$C$21*1000000</x:f>
        <x:v>2679.6299772752322</x:v>
      </x:c>
      <x:c r="AI154" t="n">
        <x:f>Scenario_Data!U154</x:f>
        <x:v>106.79999999999995</x:v>
      </x:c>
      <x:c r="AJ154" t="n">
        <x:f>2*(SQRT((Inputs!$C$52+(Scenario_Data!C154))^2+Inputs!$C$52^2-2*(Inputs!$C$52+(Scenario_Data!C154))*Inputs!$C$52*COS(SQRT((Scenario_Data!U154)^2+Inputs!$C$6^2)/Inputs!$C$52))*1000)/Inputs!$C$21*1000000</x:f>
        <x:v>849.6386115770032</x:v>
      </x:c>
      <x:c r="AK154" t="n">
        <x:f>Scenario_Data!V154</x:f>
        <x:v>213.5999999999999</x:v>
      </x:c>
      <x:c r="AL154" t="n">
        <x:f>2*(SQRT((Inputs!$C$52+(Scenario_Data!D154))^2+Inputs!$C$52^2-2*(Inputs!$C$52+(Scenario_Data!D154))*Inputs!$C$52*COS(SQRT((Scenario_Data!V154)^2+Inputs!$C$6^2)/Inputs!$C$52))*1000)/Inputs!$C$21*1000000</x:f>
        <x:v>1634.406668398929</x:v>
      </x:c>
      <x:c r="AM154" t="n">
        <x:f>Scenario_Data!W154</x:f>
        <x:v>213.5999999999999</x:v>
      </x:c>
      <x:c r="AN154" t="n">
        <x:f>2*(SQRT((Inputs!$C$52+(Scenario_Data!E154))^2+Inputs!$C$52^2-2*(Inputs!$C$52+(Scenario_Data!E154))*Inputs!$C$52*COS(SQRT((Scenario_Data!W154)^2+Inputs!$C$6^2)/Inputs!$C$52))*1000)/Inputs!$C$21*1000000</x:f>
        <x:v>1605.3325327342354</x:v>
      </x:c>
      <x:c r="AP154" t="n">
        <x:f>Scenario_Data!T154</x:f>
        <x:v>16.019999999999996</x:v>
      </x:c>
      <x:c r="AQ154" t="n">
        <x: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x:f>
        <x:v>2676.955320476383</x:v>
      </x:c>
      <x:c r="AR154" t="n">
        <x:f>Scenario_Data!U154</x:f>
        <x:v>106.79999999999995</x:v>
      </x:c>
      <x:c r="AS154" t="n">
        <x: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x:f>
        <x:v>849.2996394600398</x:v>
      </x:c>
      <x:c r="AT154" t="n">
        <x:f>Scenario_Data!V154</x:f>
        <x:v>213.5999999999999</x:v>
      </x:c>
      <x:c r="AU154" t="n">
        <x: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x:f>
        <x:v>1634.2100712797871</x:v>
      </x:c>
      <x:c r="AV154" t="n">
        <x:f>Scenario_Data!W154</x:f>
        <x:v>213.5999999999999</x:v>
      </x:c>
      <x:c r="AW154" t="n">
        <x: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x:f>
        <x:v>1605.1533049308696</x:v>
      </x:c>
    </x:row>
    <x:row r="155">
      <x:c r="A155" t="n">
        <x:f>Chart_Data!K155</x:f>
        <x:v>16.5</x:v>
      </x:c>
      <x:c r="B155" t="n">
        <x:f>Chart_Data!N155-Chart_Data!L155</x:f>
        <x:v>-73.29754339504791</x:v>
      </x:c>
      <x:c r="D155" t="n">
        <x:f>Chart_Data!G155</x:f>
        <x:v>16.5</x:v>
      </x:c>
      <x:c r="E155" t="n">
        <x:f>Chart_Data!H155</x:f>
        <x:v>406.20178346502695</x:v>
      </x:c>
      <x:c r="F155" t="n">
        <x:f>Chart_Data!I155</x:f>
        <x:v>406.20178346502695</x:v>
      </x:c>
      <x:c r="G155" t="n">
        <x:f>Chart_Data!J155</x:f>
        <x:v>71.50919840907298</x:v>
      </x:c>
      <x:c r="I155" t="n">
        <x:f>Scenario_Data!A155</x:f>
        <x:v>0.275</x:v>
      </x:c>
      <x:c r="J155" t="n">
        <x:f>Scenario_Data!H155-(((SQRT((Inputs!$C$52+(Inputs!$H$6))^2+Inputs!$C$52^2-2*(Inputs!$C$52+(Inputs!$H$6))*Inputs!$C$52*COS(SQRT((Scenario_Data!T155)^2+Inputs!$C$6^2)/Inputs!$C$52)))-(Inputs!$H$6))*1000/Inputs!$C$12)</x:f>
        <x:v>-0.4734191912100414</x:v>
      </x:c>
      <x:c r="K155" t="n">
        <x:f>Scenario_Data!I155-(((SQRT((Inputs!$C$52+(Inputs!$H$7))^2+Inputs!$C$52^2-2*(Inputs!$C$52+(Inputs!$H$7))*Inputs!$C$52*COS(SQRT((Scenario_Data!U155)^2+Inputs!$C$6^2)/Inputs!$C$52)))-(Inputs!$H$7))*1000/Inputs!$C$12)</x:f>
        <x:v>-8953.936813088847</x:v>
      </x:c>
      <x:c r="L155" t="n">
        <x:f>Scenario_Data!J155-(((SQRT((Inputs!$C$52+(Inputs!$H$8))^2+Inputs!$C$52^2-2*(Inputs!$C$52+(Inputs!$H$8))*Inputs!$C$52*COS(SQRT((Scenario_Data!V155)^2+Inputs!$C$6^2)/Inputs!$C$52)))-(Inputs!$H$8))*1000/Inputs!$C$12)</x:f>
        <x:v>-26088.80968164916</x:v>
      </x:c>
      <x:c r="M155" t="n">
        <x:f>Scenario_Data!K155-(((SQRT((Inputs!$C$52+(Inputs!$H$9))^2+Inputs!$C$52^2-2*(Inputs!$C$52+(Inputs!$H$9))*Inputs!$C$52*COS(SQRT((Scenario_Data!W155)^2+Inputs!$C$6^2)/Inputs!$C$52)))-(Inputs!$H$9))*1000/Inputs!$C$12)</x:f>
        <x:v>-27840.28839250606</x:v>
      </x:c>
      <x:c r="O155" t="n">
        <x:f>Scenario_Data!T155</x:f>
        <x:v>16.5</x:v>
      </x:c>
      <x:c r="P155" t="n">
        <x:f>2*(Scenario_Data!B155*1000)/Inputs!$C$21*1000000</x:f>
        <x:v>2670.5308243611653</x:v>
      </x:c>
      <x:c r="Q155" t="n">
        <x:f>Scenario_Data!U155</x:f>
        <x:v>109.99999999999994</x:v>
      </x:c>
      <x:c r="R155" t="n">
        <x:f>2*(Scenario_Data!C155*1000)/Inputs!$C$21*1000000</x:f>
        <x:v>417.6430949440361</x:v>
      </x:c>
      <x:c r="S155" t="n">
        <x:f>Scenario_Data!V155</x:f>
        <x:v>219.9999999999999</x:v>
      </x:c>
      <x:c r="T155" t="n">
        <x:f>2*(Scenario_Data!D155*1000)/Inputs!$C$21*1000000</x:f>
        <x:v>720.3525113363587</x:v>
      </x:c>
      <x:c r="U155" t="n">
        <x:f>Scenario_Data!W155</x:f>
        <x:v>219.9999999999999</x:v>
      </x:c>
      <x:c r="V155" t="n">
        <x:f>2*(Scenario_Data!E155*1000)/Inputs!$C$21*1000000</x:f>
        <x:v>658.6848492366003</x:v>
      </x:c>
      <x:c r="X155" t="n">
        <x:f>Scenario_Data!T155</x:f>
        <x:v>16.5</x:v>
      </x:c>
      <x:c r="Y155" t="n">
        <x: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x:f>
        <x:v>2670.053766339852</x:v>
      </x:c>
      <x:c r="Z155" t="n">
        <x:f>Scenario_Data!U155</x:f>
        <x:v>109.99999999999994</x:v>
      </x:c>
      <x:c r="AA155" t="n">
        <x: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x:f>
        <x:v>417.1722436975719</x:v>
      </x:c>
      <x:c r="AB155" t="n">
        <x:f>Scenario_Data!V155</x:f>
        <x:v>219.9999999999999</x:v>
      </x:c>
      <x:c r="AC155" t="n">
        <x: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x:f>
        <x:v>719.9887342761264</x:v>
      </x:c>
      <x:c r="AD155" t="n">
        <x:f>Scenario_Data!W155</x:f>
        <x:v>219.9999999999999</x:v>
      </x:c>
      <x:c r="AE155" t="n">
        <x: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x:f>
        <x:v>658.3210721763679</x:v>
      </x:c>
      <x:c r="AG155" t="n">
        <x:f>Scenario_Data!T155</x:f>
        <x:v>16.5</x:v>
      </x:c>
      <x:c r="AH155" t="n">
        <x:f>2*(SQRT((Inputs!$C$52+(Scenario_Data!B155))^2+Inputs!$C$52^2-2*(Inputs!$C$52+(Scenario_Data!B155))*Inputs!$C$52*COS(SQRT((Scenario_Data!T155)^2+Inputs!$C$6^2)/Inputs!$C$52))*1000)/Inputs!$C$21*1000000</x:f>
        <x:v>2679.9082221420913</x:v>
      </x:c>
      <x:c r="AI155" t="n">
        <x:f>Scenario_Data!U155</x:f>
        <x:v>109.99999999999994</x:v>
      </x:c>
      <x:c r="AJ155" t="n">
        <x:f>2*(SQRT((Inputs!$C$52+(Scenario_Data!C155))^2+Inputs!$C$52^2-2*(Inputs!$C$52+(Scenario_Data!C155))*Inputs!$C$52*COS(SQRT((Scenario_Data!U155)^2+Inputs!$C$6^2)/Inputs!$C$52))*1000)/Inputs!$C$21*1000000</x:f>
        <x:v>873.6268737519348</x:v>
      </x:c>
      <x:c r="AK155" t="n">
        <x:f>Scenario_Data!V155</x:f>
        <x:v>219.9999999999999</x:v>
      </x:c>
      <x:c r="AL155" t="n">
        <x:f>2*(SQRT((Inputs!$C$52+(Scenario_Data!D155))^2+Inputs!$C$52^2-2*(Inputs!$C$52+(Scenario_Data!D155))*Inputs!$C$52*COS(SQRT((Scenario_Data!V155)^2+Inputs!$C$6^2)/Inputs!$C$52))*1000)/Inputs!$C$21*1000000</x:f>
        <x:v>1687.557977658393</x:v>
      </x:c>
      <x:c r="AM155" t="n">
        <x:f>Scenario_Data!W155</x:f>
        <x:v>219.9999999999999</x:v>
      </x:c>
      <x:c r="AN155" t="n">
        <x:f>2*(SQRT((Inputs!$C$52+(Scenario_Data!E155))^2+Inputs!$C$52^2-2*(Inputs!$C$52+(Scenario_Data!E155))*Inputs!$C$52*COS(SQRT((Scenario_Data!W155)^2+Inputs!$C$6^2)/Inputs!$C$52))*1000)/Inputs!$C$21*1000000</x:f>
        <x:v>1658.2850643618456</x:v>
      </x:c>
      <x:c r="AP155" t="n">
        <x:f>Scenario_Data!T155</x:f>
        <x:v>16.5</x:v>
      </x:c>
      <x:c r="AQ155" t="n">
        <x: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x:f>
        <x:v>2677.210266088246</x:v>
      </x:c>
      <x:c r="AR155" t="n">
        <x:f>Scenario_Data!U155</x:f>
        <x:v>109.99999999999994</x:v>
      </x:c>
      <x:c r="AS155" t="n">
        <x: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x:f>
        <x:v>873.1094978635793</x:v>
      </x:c>
      <x:c r="AT155" t="n">
        <x:f>Scenario_Data!V155</x:f>
        <x:v>219.9999999999999</x:v>
      </x:c>
      <x:c r="AU155" t="n">
        <x: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x:f>
        <x:v>1686.9799883696526</x:v>
      </x:c>
      <x:c r="AV155" t="n">
        <x:f>Scenario_Data!W155</x:f>
        <x:v>219.9999999999999</x:v>
      </x:c>
      <x:c r="AW155" t="n">
        <x: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x:f>
        <x:v>1657.7559651879415</x:v>
      </x:c>
    </x:row>
    <x:row r="156">
      <x:c r="A156" t="n">
        <x:f>Chart_Data!K156</x:f>
        <x:v>17</x:v>
      </x:c>
      <x:c r="B156" t="n">
        <x:f>Chart_Data!N156-Chart_Data!L156</x:f>
        <x:v>-60.39278368991182</x:v>
      </x:c>
      <x:c r="D156" t="n">
        <x:f>Chart_Data!G156</x:f>
        <x:v>17</x:v>
      </x:c>
      <x:c r="E156" t="n">
        <x:f>Chart_Data!H156</x:f>
        <x:v>402.8973585501548</x:v>
      </x:c>
      <x:c r="F156" t="n">
        <x:f>Chart_Data!I156</x:f>
        <x:v>402.8973585501548</x:v>
      </x:c>
      <x:c r="G156" t="n">
        <x:f>Chart_Data!J156</x:f>
        <x:v>58.586187093984584</x:v>
      </x:c>
      <x:c r="I156" t="n">
        <x:f>Scenario_Data!A156</x:f>
        <x:v>0.283</x:v>
      </x:c>
      <x:c r="J156" t="n">
        <x:f>Scenario_Data!H156-(((SQRT((Inputs!$C$52+(Inputs!$H$6))^2+Inputs!$C$52^2-2*(Inputs!$C$52+(Inputs!$H$6))*Inputs!$C$52*COS(SQRT((Scenario_Data!T156)^2+Inputs!$C$6^2)/Inputs!$C$52)))-(Inputs!$H$6))*1000/Inputs!$C$12)</x:f>
        <x:v>-0.5102690384285324</x:v>
      </x:c>
      <x:c r="K156" t="n">
        <x:f>Scenario_Data!I156-(((SQRT((Inputs!$C$52+(Inputs!$H$7))^2+Inputs!$C$52^2-2*(Inputs!$C$52+(Inputs!$H$7))*Inputs!$C$52*COS(SQRT((Scenario_Data!U156)^2+Inputs!$C$6^2)/Inputs!$C$52)))-(Inputs!$H$7))*1000/Inputs!$C$12)</x:f>
        <x:v>-9528.637373909558</x:v>
      </x:c>
      <x:c r="L156" t="n">
        <x:f>Scenario_Data!J156-(((SQRT((Inputs!$C$52+(Inputs!$H$8))^2+Inputs!$C$52^2-2*(Inputs!$C$52+(Inputs!$H$8))*Inputs!$C$52*COS(SQRT((Scenario_Data!V156)^2+Inputs!$C$6^2)/Inputs!$C$52)))-(Inputs!$H$8))*1000/Inputs!$C$12)</x:f>
        <x:v>-27549.646131814996</x:v>
      </x:c>
      <x:c r="M156" t="n">
        <x:f>Scenario_Data!K156-(((SQRT((Inputs!$C$52+(Inputs!$H$9))^2+Inputs!$C$52^2-2*(Inputs!$C$52+(Inputs!$H$9))*Inputs!$C$52*COS(SQRT((Scenario_Data!W156)^2+Inputs!$C$6^2)/Inputs!$C$52)))-(Inputs!$H$9))*1000/Inputs!$C$12)</x:f>
        <x:v>-29351.91580166442</x:v>
      </x:c>
      <x:c r="O156" t="n">
        <x:f>Scenario_Data!T156</x:f>
        <x:v>16.97999999999999</x:v>
      </x:c>
      <x:c r="P156" t="n">
        <x:f>2*(Scenario_Data!B156*1000)/Inputs!$C$21*1000000</x:f>
        <x:v>2670.6499467708427</x:v>
      </x:c>
      <x:c r="Q156" t="n">
        <x:f>Scenario_Data!U156</x:f>
        <x:v>113.19999999999993</x:v>
      </x:c>
      <x:c r="R156" t="n">
        <x:f>2*(Scenario_Data!C156*1000)/Inputs!$C$21*1000000</x:f>
        <x:v>428.51301482707726</x:v>
      </x:c>
      <x:c r="S156" t="n">
        <x:f>Scenario_Data!V156</x:f>
        <x:v>226.39999999999986</x:v>
      </x:c>
      <x:c r="T156" t="n">
        <x:f>2*(Scenario_Data!D156*1000)/Inputs!$C$21*1000000</x:f>
        <x:v>749.0907926709743</x:v>
      </x:c>
      <x:c r="U156" t="n">
        <x:f>Scenario_Data!W156</x:f>
        <x:v>226.39999999999986</x:v>
      </x:c>
      <x:c r="V156" t="n">
        <x:f>2*(Scenario_Data!E156*1000)/Inputs!$C$21*1000000</x:f>
        <x:v>687.7209365954091</x:v>
      </x:c>
      <x:c r="X156" t="n">
        <x:f>Scenario_Data!T156</x:f>
        <x:v>16.97999999999999</x:v>
      </x:c>
      <x:c r="Y156" t="n">
        <x: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x:f>
        <x:v>2670.213148337437</x:v>
      </x:c>
      <x:c r="Z156" t="n">
        <x:f>Scenario_Data!U156</x:f>
        <x:v>113.19999999999993</x:v>
      </x:c>
      <x:c r="AA156" t="n">
        <x: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x:f>
        <x:v>428.1712603024178</x:v>
      </x:c>
      <x:c r="AB156" t="n">
        <x:f>Scenario_Data!V156</x:f>
        <x:v>226.39999999999986</x:v>
      </x:c>
      <x:c r="AC156" t="n">
        <x: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x:f>
        <x:v>748.8612775855718</x:v>
      </x:c>
      <x:c r="AD156" t="n">
        <x:f>Scenario_Data!W156</x:f>
        <x:v>226.39999999999986</x:v>
      </x:c>
      <x:c r="AE156" t="n">
        <x: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x:f>
        <x:v>687.4914215100064</x:v>
      </x:c>
      <x:c r="AG156" t="n">
        <x:f>Scenario_Data!T156</x:f>
        <x:v>16.97999999999999</x:v>
      </x:c>
      <x:c r="AH156" t="n">
        <x:f>2*(SQRT((Inputs!$C$52+(Scenario_Data!B156))^2+Inputs!$C$52^2-2*(Inputs!$C$52+(Scenario_Data!B156))*Inputs!$C$52*COS(SQRT((Scenario_Data!T156)^2+Inputs!$C$6^2)/Inputs!$C$52))*1000)/Inputs!$C$21*1000000</x:f>
        <x:v>2680.1946587476814</x:v>
      </x:c>
      <x:c r="AI156" t="n">
        <x:f>Scenario_Data!U156</x:f>
        <x:v>113.19999999999993</x:v>
      </x:c>
      <x:c r="AJ156" t="n">
        <x:f>2*(SQRT((Inputs!$C$52+(Scenario_Data!C156))^2+Inputs!$C$52^2-2*(Inputs!$C$52+(Scenario_Data!C156))*Inputs!$C$52*COS(SQRT((Scenario_Data!U156)^2+Inputs!$C$6^2)/Inputs!$C$52))*1000)/Inputs!$C$21*1000000</x:f>
        <x:v>897.8190596262613</x:v>
      </x:c>
      <x:c r="AK156" t="n">
        <x:f>Scenario_Data!V156</x:f>
        <x:v>226.39999999999986</x:v>
      </x:c>
      <x:c r="AL156" t="n">
        <x:f>2*(SQRT((Inputs!$C$52+(Scenario_Data!D156))^2+Inputs!$C$52^2-2*(Inputs!$C$52+(Scenario_Data!D156))*Inputs!$C$52*COS(SQRT((Scenario_Data!V156)^2+Inputs!$C$6^2)/Inputs!$C$52))*1000)/Inputs!$C$21*1000000</x:f>
        <x:v>1741.2416393615815</x:v>
      </x:c>
      <x:c r="AM156" t="n">
        <x:f>Scenario_Data!W156</x:f>
        <x:v>226.39999999999986</x:v>
      </x:c>
      <x:c r="AN156" t="n">
        <x:f>2*(SQRT((Inputs!$C$52+(Scenario_Data!E156))^2+Inputs!$C$52^2-2*(Inputs!$C$52+(Scenario_Data!E156))*Inputs!$C$52*COS(SQRT((Scenario_Data!W156)^2+Inputs!$C$6^2)/Inputs!$C$52))*1000)/Inputs!$C$21*1000000</x:f>
        <x:v>1711.7711368171172</x:v>
      </x:c>
      <x:c r="AP156" t="n">
        <x:f>Scenario_Data!T156</x:f>
        <x:v>16.97999999999999</x:v>
      </x:c>
      <x:c r="AQ156" t="n">
        <x: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x:f>
        <x:v>2677.539889282522</x:v>
      </x:c>
      <x:c r="AR156" t="n">
        <x:f>Scenario_Data!U156</x:f>
        <x:v>113.19999999999993</x:v>
      </x:c>
      <x:c r="AS156" t="n">
        <x: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x:f>
        <x:v>897.2665212613587</x:v>
      </x:c>
      <x:c r="AT156" t="n">
        <x:f>Scenario_Data!V156</x:f>
        <x:v>226.39999999999986</x:v>
      </x:c>
      <x:c r="AU156" t="n">
        <x: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x:f>
        <x:v>1740.9784489069013</x:v>
      </x:c>
      <x:c r="AV156" t="n">
        <x:f>Scenario_Data!W156</x:f>
        <x:v>226.39999999999986</x:v>
      </x:c>
      <x:c r="AW156" t="n">
        <x: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x:f>
        <x:v>1711.5292151987658</x:v>
      </x:c>
    </x:row>
    <x:row r="157">
      <x:c r="A157" t="n">
        <x:f>Chart_Data!K157</x:f>
        <x:v>17.5</x:v>
      </x:c>
      <x:c r="B157" t="n">
        <x:f>Chart_Data!N157-Chart_Data!L157</x:f>
        <x:v>-67.5969950057256</x:v>
      </x:c>
      <x:c r="D157" t="n">
        <x:f>Chart_Data!G157</x:f>
        <x:v>17.5</x:v>
      </x:c>
      <x:c r="E157" t="n">
        <x:f>Chart_Data!H157</x:f>
        <x:v>412.59673853506814</x:v>
      </x:c>
      <x:c r="F157" t="n">
        <x:f>Chart_Data!I157</x:f>
        <x:v>412.59673853506814</x:v>
      </x:c>
      <x:c r="G157" t="n">
        <x:f>Chart_Data!J157</x:f>
        <x:v>65.71226511619231</x:v>
      </x:c>
      <x:c r="I157" t="n">
        <x:f>Scenario_Data!A157</x:f>
        <x:v>0.292</x:v>
      </x:c>
      <x:c r="J157" t="n">
        <x:f>Scenario_Data!H157-(((SQRT((Inputs!$C$52+(Inputs!$H$6))^2+Inputs!$C$52^2-2*(Inputs!$C$52+(Inputs!$H$6))*Inputs!$C$52*COS(SQRT((Scenario_Data!T157)^2+Inputs!$C$6^2)/Inputs!$C$52)))-(Inputs!$H$6))*1000/Inputs!$C$12)</x:f>
        <x:v>-0.554227051803764</x:v>
      </x:c>
      <x:c r="K157" t="n">
        <x:f>Scenario_Data!I157-(((SQRT((Inputs!$C$52+(Inputs!$H$7))^2+Inputs!$C$52^2-2*(Inputs!$C$52+(Inputs!$H$7))*Inputs!$C$52*COS(SQRT((Scenario_Data!U157)^2+Inputs!$C$6^2)/Inputs!$C$52)))-(Inputs!$H$7))*1000/Inputs!$C$12)</x:f>
        <x:v>-10193.291736298088</x:v>
      </x:c>
      <x:c r="L157" t="n">
        <x:f>Scenario_Data!J157-(((SQRT((Inputs!$C$52+(Inputs!$H$8))^2+Inputs!$C$52^2-2*(Inputs!$C$52+(Inputs!$H$8))*Inputs!$C$52*COS(SQRT((Scenario_Data!V157)^2+Inputs!$C$6^2)/Inputs!$C$52)))-(Inputs!$H$8))*1000/Inputs!$C$12)</x:f>
        <x:v>-29225.110156036026</x:v>
      </x:c>
      <x:c r="M157" t="n">
        <x:f>Scenario_Data!K157-(((SQRT((Inputs!$C$52+(Inputs!$H$9))^2+Inputs!$C$52^2-2*(Inputs!$C$52+(Inputs!$H$9))*Inputs!$C$52*COS(SQRT((Scenario_Data!W157)^2+Inputs!$C$6^2)/Inputs!$C$52)))-(Inputs!$H$9))*1000/Inputs!$C$12)</x:f>
        <x:v>-31083.84952937637</x:v>
      </x:c>
      <x:c r="O157" t="n">
        <x:f>Scenario_Data!T157</x:f>
        <x:v>17.519999999999996</x:v>
      </x:c>
      <x:c r="P157" t="n">
        <x:f>2*(Scenario_Data!B157*1000)/Inputs!$C$21*1000000</x:f>
        <x:v>2670.7880423062543</x:v>
      </x:c>
      <x:c r="Q157" t="n">
        <x:f>Scenario_Data!U157</x:f>
        <x:v>116.80000000000007</x:v>
      </x:c>
      <x:c r="R157" t="n">
        <x:f>2*(Scenario_Data!C157*1000)/Inputs!$C$21*1000000</x:f>
        <x:v>441.11423243342597</x:v>
      </x:c>
      <x:c r="S157" t="n">
        <x:f>Scenario_Data!V157</x:f>
        <x:v>233.60000000000014</x:v>
      </x:c>
      <x:c r="T157" t="n">
        <x:f>2*(Scenario_Data!D157*1000)/Inputs!$C$21*1000000</x:f>
        <x:v>782.4063405891291</x:v>
      </x:c>
      <x:c r="U157" t="n">
        <x:f>Scenario_Data!W157</x:f>
        <x:v>233.60000000000014</x:v>
      </x:c>
      <x:c r="V157" t="n">
        <x:f>2*(Scenario_Data!E157*1000)/Inputs!$C$21*1000000</x:f>
        <x:v>721.3817233520938</x:v>
      </x:c>
      <x:c r="X157" t="n">
        <x:f>Scenario_Data!T157</x:f>
        <x:v>17.519999999999996</x:v>
      </x:c>
      <x:c r="Y157" t="n">
        <x: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x:f>
        <x:v>2670.3303197350824</x:v>
      </x:c>
      <x:c r="Z157" t="n">
        <x:f>Scenario_Data!U157</x:f>
        <x:v>116.80000000000007</x:v>
      </x:c>
      <x:c r="AA157" t="n">
        <x: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x:f>
        <x:v>441.15226021313686</x:v>
      </x:c>
      <x:c r="AB157" t="n">
        <x:f>Scenario_Data!V157</x:f>
        <x:v>233.60000000000014</x:v>
      </x:c>
      <x:c r="AC157" t="n">
        <x: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x:f>
        <x:v>782.0432729637541</x:v>
      </x:c>
      <x:c r="AD157" t="n">
        <x:f>Scenario_Data!W157</x:f>
        <x:v>233.60000000000014</x:v>
      </x:c>
      <x:c r="AE157" t="n">
        <x: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x:f>
        <x:v>721.0186557267189</x:v>
      </x:c>
      <x:c r="AG157" t="n">
        <x:f>Scenario_Data!T157</x:f>
        <x:v>17.519999999999996</x:v>
      </x:c>
      <x:c r="AH157" t="n">
        <x:f>2*(SQRT((Inputs!$C$52+(Scenario_Data!B157))^2+Inputs!$C$52^2-2*(Inputs!$C$52+(Scenario_Data!B157))*Inputs!$C$52*COS(SQRT((Scenario_Data!T157)^2+Inputs!$C$6^2)/Inputs!$C$52))*1000)/Inputs!$C$21*1000000</x:f>
        <x:v>2680.526689218967</x:v>
      </x:c>
      <x:c r="AI157" t="n">
        <x:f>Scenario_Data!U157</x:f>
        <x:v>116.80000000000007</x:v>
      </x:c>
      <x:c r="AJ157" t="n">
        <x:f>2*(SQRT((Inputs!$C$52+(Scenario_Data!C157))^2+Inputs!$C$52^2-2*(Inputs!$C$52+(Scenario_Data!C157))*Inputs!$C$52*COS(SQRT((Scenario_Data!U157)^2+Inputs!$C$6^2)/Inputs!$C$52))*1000)/Inputs!$C$21*1000000</x:f>
        <x:v>925.2765339546444</x:v>
      </x:c>
      <x:c r="AK157" t="n">
        <x:f>Scenario_Data!V157</x:f>
        <x:v>233.60000000000014</x:v>
      </x:c>
      <x:c r="AL157" t="n">
        <x:f>2*(SQRT((Inputs!$C$52+(Scenario_Data!D157))^2+Inputs!$C$52^2-2*(Inputs!$C$52+(Scenario_Data!D157))*Inputs!$C$52*COS(SQRT((Scenario_Data!V157)^2+Inputs!$C$6^2)/Inputs!$C$52))*1000)/Inputs!$C$21*1000000</x:f>
        <x:v>1802.2819043727418</x:v>
      </x:c>
      <x:c r="AM157" t="n">
        <x:f>Scenario_Data!W157</x:f>
        <x:v>233.60000000000014</x:v>
      </x:c>
      <x:c r="AN157" t="n">
        <x:f>2*(SQRT((Inputs!$C$52+(Scenario_Data!E157))^2+Inputs!$C$52^2-2*(Inputs!$C$52+(Scenario_Data!E157))*Inputs!$C$52*COS(SQRT((Scenario_Data!W157)^2+Inputs!$C$6^2)/Inputs!$C$52))*1000)/Inputs!$C$21*1000000</x:f>
        <x:v>1772.5920499108024</x:v>
      </x:c>
      <x:c r="AP157" t="n">
        <x:f>Scenario_Data!T157</x:f>
        <x:v>17.519999999999996</x:v>
      </x:c>
      <x:c r="AQ157" t="n">
        <x: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x:f>
        <x:v>2677.7716485761302</x:v>
      </x:c>
      <x:c r="AR157" t="n">
        <x:f>Scenario_Data!U157</x:f>
        <x:v>116.80000000000007</x:v>
      </x:c>
      <x:c r="AS157" t="n">
        <x: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x:f>
        <x:v>924.8641481909997</x:v>
      </x:c>
      <x:c r="AT157" t="n">
        <x:f>Scenario_Data!V157</x:f>
        <x:v>233.60000000000014</x:v>
      </x:c>
      <x:c r="AU157" t="n">
        <x: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x:f>
        <x:v>1801.873071650149</x:v>
      </x:c>
      <x:c r="AV157" t="n">
        <x:f>Scenario_Data!W157</x:f>
        <x:v>233.60000000000014</x:v>
      </x:c>
      <x:c r="AW157" t="n">
        <x: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x:f>
        <x:v>1772.2146466917202</x:v>
      </x:c>
    </x:row>
    <x:row r="158">
      <x:c r="A158" t="n">
        <x:f>Chart_Data!K158</x:f>
        <x:v>18</x:v>
      </x:c>
      <x:c r="B158" t="n">
        <x:f>Chart_Data!N158-Chart_Data!L158</x:f>
        <x:v>-72.44552854443015</x:v>
      </x:c>
      <x:c r="D158" t="n">
        <x:f>Chart_Data!G158</x:f>
        <x:v>18</x:v>
      </x:c>
      <x:c r="E158" t="n">
        <x:f>Chart_Data!H158</x:f>
        <x:v>417.3671248555401</x:v>
      </x:c>
      <x:c r="F158" t="n">
        <x:f>Chart_Data!I158</x:f>
        <x:v>417.3671248555401</x:v>
      </x:c>
      <x:c r="G158" t="n">
        <x:f>Chart_Data!J158</x:f>
        <x:v>70.50298613715029</x:v>
      </x:c>
      <x:c r="I158" t="n">
        <x:f>Scenario_Data!A158</x:f>
        <x:v>0.3</x:v>
      </x:c>
      <x:c r="J158" t="n">
        <x:f>Scenario_Data!H158-(((SQRT((Inputs!$C$52+(Inputs!$H$6))^2+Inputs!$C$52^2-2*(Inputs!$C$52+(Inputs!$H$6))*Inputs!$C$52*COS(SQRT((Scenario_Data!T158)^2+Inputs!$C$6^2)/Inputs!$C$52)))-(Inputs!$H$6))*1000/Inputs!$C$12)</x:f>
        <x:v>-0.5956213488765343</x:v>
      </x:c>
      <x:c r="K158" t="n">
        <x:f>Scenario_Data!I158-(((SQRT((Inputs!$C$52+(Inputs!$H$7))^2+Inputs!$C$52^2-2*(Inputs!$C$52+(Inputs!$H$7))*Inputs!$C$52*COS(SQRT((Scenario_Data!U158)^2+Inputs!$C$6^2)/Inputs!$C$52)))-(Inputs!$H$7))*1000/Inputs!$C$12)</x:f>
        <x:v>-10799.871032643307</x:v>
      </x:c>
      <x:c r="L158" t="n">
        <x:f>Scenario_Data!J158-(((SQRT((Inputs!$C$52+(Inputs!$H$8))^2+Inputs!$C$52^2-2*(Inputs!$C$52+(Inputs!$H$8))*Inputs!$C$52*COS(SQRT((Scenario_Data!V158)^2+Inputs!$C$6^2)/Inputs!$C$52)))-(Inputs!$H$8))*1000/Inputs!$C$12)</x:f>
        <x:v>-30741.8141453946</x:v>
      </x:c>
      <x:c r="M158" t="n">
        <x:f>Scenario_Data!K158-(((SQRT((Inputs!$C$52+(Inputs!$H$9))^2+Inputs!$C$52^2-2*(Inputs!$C$52+(Inputs!$H$9))*Inputs!$C$52*COS(SQRT((Scenario_Data!W158)^2+Inputs!$C$6^2)/Inputs!$C$52)))-(Inputs!$H$9))*1000/Inputs!$C$12)</x:f>
        <x:v>-32650.140682705838</x:v>
      </x:c>
      <x:c r="O158" t="n">
        <x:f>Scenario_Data!T158</x:f>
        <x:v>18</x:v>
      </x:c>
      <x:c r="P158" t="n">
        <x:f>2*(Scenario_Data!B158*1000)/Inputs!$C$21*1000000</x:f>
        <x:v>2670.914423070643</x:v>
      </x:c>
      <x:c r="Q158" t="n">
        <x:f>Scenario_Data!U158</x:f>
        <x:v>120</x:v>
      </x:c>
      <x:c r="R158" t="n">
        <x:f>2*(Scenario_Data!C158*1000)/Inputs!$C$21*1000000</x:f>
        <x:v>452.64647718389233</x:v>
      </x:c>
      <x:c r="S158" t="n">
        <x:f>Scenario_Data!V158</x:f>
        <x:v>240</x:v>
      </x:c>
      <x:c r="T158" t="n">
        <x:f>2*(Scenario_Data!D158*1000)/Inputs!$C$21*1000000</x:f>
        <x:v>812.8956999978966</x:v>
      </x:c>
      <x:c r="U158" t="n">
        <x:f>Scenario_Data!W158</x:f>
        <x:v>240</x:v>
      </x:c>
      <x:c r="V158" t="n">
        <x:f>2*(Scenario_Data!E158*1000)/Inputs!$C$21*1000000</x:f>
        <x:v>752.1870346718329</x:v>
      </x:c>
      <x:c r="X158" t="n">
        <x:f>Scenario_Data!T158</x:f>
        <x:v>18</x:v>
      </x:c>
      <x:c r="Y158" t="n">
        <x: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x:f>
        <x:v>2670.444077775051</x:v>
      </x:c>
      <x:c r="Z158" t="n">
        <x:f>Scenario_Data!U158</x:f>
        <x:v>120</x:v>
      </x:c>
      <x:c r="AA158" t="n">
        <x: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x:f>
        <x:v>452.70768115682705</x:v>
      </x:c>
      <x:c r="AB158" t="n">
        <x:f>Scenario_Data!V158</x:f>
        <x:v>240</x:v>
      </x:c>
      <x:c r="AC158" t="n">
        <x: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x:f>
        <x:v>812.3078287201135</x:v>
      </x:c>
      <x:c r="AD158" t="n">
        <x:f>Scenario_Data!W158</x:f>
        <x:v>240</x:v>
      </x:c>
      <x:c r="AE158" t="n">
        <x: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x:f>
        <x:v>751.5991633940498</x:v>
      </x:c>
      <x:c r="AG158" t="n">
        <x:f>Scenario_Data!T158</x:f>
        <x:v>18</x:v>
      </x:c>
      <x:c r="AH158" t="n">
        <x:f>2*(SQRT((Inputs!$C$52+(Scenario_Data!B158))^2+Inputs!$C$52^2-2*(Inputs!$C$52+(Scenario_Data!B158))*Inputs!$C$52*COS(SQRT((Scenario_Data!T158)^2+Inputs!$C$6^2)/Inputs!$C$52))*1000)/Inputs!$C$21*1000000</x:f>
        <x:v>2680.8305268137187</x:v>
      </x:c>
      <x:c r="AI158" t="n">
        <x:f>Scenario_Data!U158</x:f>
        <x:v>120</x:v>
      </x:c>
      <x:c r="AJ158" t="n">
        <x:f>2*(SQRT((Inputs!$C$52+(Scenario_Data!C158))^2+Inputs!$C$52^2-2*(Inputs!$C$52+(Scenario_Data!C158))*Inputs!$C$52*COS(SQRT((Scenario_Data!U158)^2+Inputs!$C$6^2)/Inputs!$C$52))*1000)/Inputs!$C$21*1000000</x:f>
        <x:v>949.8959568514337</x:v>
      </x:c>
      <x:c r="AK158" t="n">
        <x:f>Scenario_Data!V158</x:f>
        <x:v>240</x:v>
      </x:c>
      <x:c r="AL158" t="n">
        <x:f>2*(SQRT((Inputs!$C$52+(Scenario_Data!D158))^2+Inputs!$C$52^2-2*(Inputs!$C$52+(Scenario_Data!D158))*Inputs!$C$52*COS(SQRT((Scenario_Data!V158)^2+Inputs!$C$6^2)/Inputs!$C$52))*1000)/Inputs!$C$21*1000000</x:f>
        <x:v>1857.1231620816707</x:v>
      </x:c>
      <x:c r="AM158" t="n">
        <x:f>Scenario_Data!W158</x:f>
        <x:v>240</x:v>
      </x:c>
      <x:c r="AN158" t="n">
        <x:f>2*(SQRT((Inputs!$C$52+(Scenario_Data!E158))^2+Inputs!$C$52^2-2*(Inputs!$C$52+(Scenario_Data!E158))*Inputs!$C$52*COS(SQRT((Scenario_Data!W158)^2+Inputs!$C$6^2)/Inputs!$C$52))*1000)/Inputs!$C$21*1000000</x:f>
        <x:v>1827.2421550832848</x:v>
      </x:c>
      <x:c r="AP158" t="n">
        <x:f>Scenario_Data!T158</x:f>
        <x:v>18</x:v>
      </x:c>
      <x:c r="AQ158" t="n">
        <x: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x:f>
        <x:v>2678.0591123143704</x:v>
      </x:c>
      <x:c r="AR158" t="n">
        <x:f>Scenario_Data!U158</x:f>
        <x:v>120</x:v>
      </x:c>
      <x:c r="AS158" t="n">
        <x: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x:f>
        <x:v>949.6945154062549</x:v>
      </x:c>
      <x:c r="AT158" t="n">
        <x:f>Scenario_Data!V158</x:f>
        <x:v>240</x:v>
      </x:c>
      <x:c r="AU158" t="n">
        <x: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x:f>
        <x:v>1856.7086148968674</x:v>
      </x:c>
      <x:c r="AV158" t="n">
        <x:f>Scenario_Data!W158</x:f>
        <x:v>240</x:v>
      </x:c>
      <x:c r="AW158" t="n">
        <x: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x:f>
        <x:v>1826.858082720953</x:v>
      </x:c>
    </x:row>
    <x:row r="159">
      <x:c r="A159" t="n">
        <x:f>Chart_Data!K159</x:f>
        <x:v>18.5</x:v>
      </x:c>
      <x:c r="B159" t="n">
        <x:f>Chart_Data!N159-Chart_Data!L159</x:f>
        <x:v>-86.1175150318557</x:v>
      </x:c>
      <x:c r="D159" t="n">
        <x:f>Chart_Data!G159</x:f>
        <x:v>18.5</x:v>
      </x:c>
      <x:c r="E159" t="n">
        <x:f>Chart_Data!H159</x:f>
        <x:v>414.03078360208366</x:v>
      </x:c>
      <x:c r="F159" t="n">
        <x:f>Chart_Data!I159</x:f>
        <x:v>414.03078360208366</x:v>
      </x:c>
      <x:c r="G159" t="n">
        <x:f>Chart_Data!J159</x:f>
        <x:v>84.15381309689964</x:v>
      </x:c>
      <x:c r="I159" t="n">
        <x:f>Scenario_Data!A159</x:f>
        <x:v>0.308</x:v>
      </x:c>
      <x:c r="J159" t="n">
        <x:f>Scenario_Data!H159-(((SQRT((Inputs!$C$52+(Inputs!$H$6))^2+Inputs!$C$52^2-2*(Inputs!$C$52+(Inputs!$H$6))*Inputs!$C$52*COS(SQRT((Scenario_Data!T159)^2+Inputs!$C$6^2)/Inputs!$C$52)))-(Inputs!$H$6))*1000/Inputs!$C$12)</x:f>
        <x:v>-0.6392930692547907</x:v>
      </x:c>
      <x:c r="K159" t="n">
        <x:f>Scenario_Data!I159-(((SQRT((Inputs!$C$52+(Inputs!$H$7))^2+Inputs!$C$52^2-2*(Inputs!$C$52+(Inputs!$H$7))*Inputs!$C$52*COS(SQRT((Scenario_Data!U159)^2+Inputs!$C$6^2)/Inputs!$C$52)))-(Inputs!$H$7))*1000/Inputs!$C$12)</x:f>
        <x:v>-11420.992588521869</x:v>
      </x:c>
      <x:c r="L159" t="n">
        <x:f>Scenario_Data!J159-(((SQRT((Inputs!$C$52+(Inputs!$H$8))^2+Inputs!$C$52^2-2*(Inputs!$C$52+(Inputs!$H$8))*Inputs!$C$52*COS(SQRT((Scenario_Data!V159)^2+Inputs!$C$6^2)/Inputs!$C$52)))-(Inputs!$H$8))*1000/Inputs!$C$12)</x:f>
        <x:v>-32283.3287901734</x:v>
      </x:c>
      <x:c r="M159" t="n">
        <x:f>Scenario_Data!K159-(((SQRT((Inputs!$C$52+(Inputs!$H$9))^2+Inputs!$C$52^2-2*(Inputs!$C$52+(Inputs!$H$9))*Inputs!$C$52*COS(SQRT((Scenario_Data!W159)^2+Inputs!$C$6^2)/Inputs!$C$52)))-(Inputs!$H$9))*1000/Inputs!$C$12)</x:f>
        <x:v>-34240.659083493854</x:v>
      </x:c>
      <x:c r="O159" t="n">
        <x:f>Scenario_Data!T159</x:f>
        <x:v>18.480000000000004</x:v>
      </x:c>
      <x:c r="P159" t="n">
        <x:f>2*(Scenario_Data!B159*1000)/Inputs!$C$21*1000000</x:f>
        <x:v>2671.0442195313667</x:v>
      </x:c>
      <x:c r="Q159" t="n">
        <x:f>Scenario_Data!U159</x:f>
        <x:v>123.20000000000005</x:v>
      </x:c>
      <x:c r="R159" t="n">
        <x:f>2*(Scenario_Data!C159*1000)/Inputs!$C$21*1000000</x:f>
        <x:v>464.49040422491237</x:v>
      </x:c>
      <x:c r="S159" t="n">
        <x:f>Scenario_Data!V159</x:f>
        <x:v>246.4000000000001</x:v>
      </x:c>
      <x:c r="T159" t="n">
        <x:f>2*(Scenario_Data!D159*1000)/Inputs!$C$21*1000000</x:f>
        <x:v>844.2090961474427</x:v>
      </x:c>
      <x:c r="U159" t="n">
        <x:f>Scenario_Data!W159</x:f>
        <x:v>246.4000000000001</x:v>
      </x:c>
      <x:c r="V159" t="n">
        <x:f>2*(Scenario_Data!E159*1000)/Inputs!$C$21*1000000</x:f>
        <x:v>783.8249219731875</x:v>
      </x:c>
      <x:c r="X159" t="n">
        <x:f>Scenario_Data!T159</x:f>
        <x:v>18.480000000000004</x:v>
      </x:c>
      <x:c r="Y159" t="n">
        <x: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x:f>
        <x:v>2670.5153353694513</x:v>
      </x:c>
      <x:c r="Z159" t="n">
        <x:f>Scenario_Data!U159</x:f>
        <x:v>123.20000000000005</x:v>
      </x:c>
      <x:c r="AA159" t="n">
        <x: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x:f>
        <x:v>464.3422104497147</x:v>
      </x:c>
      <x:c r="AB159" t="n">
        <x:f>Scenario_Data!V159</x:f>
        <x:v>246.4000000000001</x:v>
      </x:c>
      <x:c r="AC159" t="n">
        <x: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x:f>
        <x:v>843.990239909538</x:v>
      </x:c>
      <x:c r="AD159" t="n">
        <x:f>Scenario_Data!W159</x:f>
        <x:v>246.4000000000001</x:v>
      </x:c>
      <x:c r="AE159" t="n">
        <x: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x:f>
        <x:v>783.6060657352831</x:v>
      </x:c>
      <x:c r="AG159" t="n">
        <x:f>Scenario_Data!T159</x:f>
        <x:v>18.480000000000004</x:v>
      </x:c>
      <x:c r="AH159" t="n">
        <x:f>2*(SQRT((Inputs!$C$52+(Scenario_Data!B159))^2+Inputs!$C$52^2-2*(Inputs!$C$52+(Scenario_Data!B159))*Inputs!$C$52*COS(SQRT((Scenario_Data!T159)^2+Inputs!$C$6^2)/Inputs!$C$52))*1000)/Inputs!$C$21*1000000</x:f>
        <x:v>2681.1425499551765</x:v>
      </x:c>
      <x:c r="AI159" t="n">
        <x:f>Scenario_Data!U159</x:f>
        <x:v>123.20000000000005</x:v>
      </x:c>
      <x:c r="AJ159" t="n">
        <x:f>2*(SQRT((Inputs!$C$52+(Scenario_Data!C159))^2+Inputs!$C$52^2-2*(Inputs!$C$52+(Scenario_Data!C159))*Inputs!$C$52*COS(SQRT((Scenario_Data!U159)^2+Inputs!$C$6^2)/Inputs!$C$52))*1000)/Inputs!$C$21*1000000</x:f>
        <x:v>974.7145021127182</x:v>
      </x:c>
      <x:c r="AK159" t="n">
        <x:f>Scenario_Data!V159</x:f>
        <x:v>246.4000000000001</x:v>
      </x:c>
      <x:c r="AL159" t="n">
        <x:f>2*(SQRT((Inputs!$C$52+(Scenario_Data!D159))^2+Inputs!$C$52^2-2*(Inputs!$C$52+(Scenario_Data!D159))*Inputs!$C$52*COS(SQRT((Scenario_Data!V159)^2+Inputs!$C$6^2)/Inputs!$C$52))*1000)/Inputs!$C$21*1000000</x:f>
        <x:v>1912.5218325119242</x:v>
      </x:c>
      <x:c r="AM159" t="n">
        <x:f>Scenario_Data!W159</x:f>
        <x:v>246.4000000000001</x:v>
      </x:c>
      <x:c r="AN159" t="n">
        <x:f>2*(SQRT((Inputs!$C$52+(Scenario_Data!E159))^2+Inputs!$C$52^2-2*(Inputs!$C$52+(Scenario_Data!E159))*Inputs!$C$52*COS(SQRT((Scenario_Data!W159)^2+Inputs!$C$6^2)/Inputs!$C$52))*1000)/Inputs!$C$21*1000000</x:f>
        <x:v>1882.4543117385992</x:v>
      </x:c>
      <x:c r="AP159" t="n">
        <x:f>Scenario_Data!T159</x:f>
        <x:v>18.480000000000004</x:v>
      </x:c>
      <x:c r="AQ159" t="n">
        <x: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x:f>
        <x:v>2678.324896242484</x:v>
      </x:c>
      <x:c r="AR159" t="n">
        <x:f>Scenario_Data!U159</x:f>
        <x:v>123.20000000000005</x:v>
      </x:c>
      <x:c r="AS159" t="n">
        <x: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x:f>
        <x:v>974.4855341929169</x:v>
      </x:c>
      <x:c r="AT159" t="n">
        <x:f>Scenario_Data!V159</x:f>
        <x:v>246.4000000000001</x:v>
      </x:c>
      <x:c r="AU159" t="n">
        <x: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x:f>
        <x:v>1912.259873742373</x:v>
      </x:c>
      <x:c r="AV159" t="n">
        <x:f>Scenario_Data!W159</x:f>
        <x:v>246.4000000000001</x:v>
      </x:c>
      <x:c r="AW159" t="n">
        <x: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x:f>
        <x:v>1882.210761089762</x:v>
      </x:c>
    </x:row>
    <x:row r="160">
      <x:c r="A160" t="n">
        <x:f>Chart_Data!K160</x:f>
        <x:v>19</x:v>
      </x:c>
      <x:c r="B160" t="n">
        <x:f>Chart_Data!N160-Chart_Data!L160</x:f>
        <x:v>-89.87063812898208</x:v>
      </x:c>
      <x:c r="D160" t="n">
        <x:f>Chart_Data!G160</x:f>
        <x:v>19</x:v>
      </x:c>
      <x:c r="E160" t="n">
        <x:f>Chart_Data!H160</x:f>
        <x:v>429.33926339108206</x:v>
      </x:c>
      <x:c r="F160" t="n">
        <x:f>Chart_Data!I160</x:f>
        <x:v>429.33926339108206</x:v>
      </x:c>
      <x:c r="G160" t="n">
        <x:f>Chart_Data!J160</x:f>
        <x:v>87.79516149602648</x:v>
      </x:c>
      <x:c r="I160" t="n">
        <x:f>Scenario_Data!A160</x:f>
        <x:v>0.317</x:v>
      </x:c>
      <x:c r="J160" t="n">
        <x:f>Scenario_Data!H160-(((SQRT((Inputs!$C$52+(Inputs!$H$6))^2+Inputs!$C$52^2-2*(Inputs!$C$52+(Inputs!$H$6))*Inputs!$C$52*COS(SQRT((Scenario_Data!T160)^2+Inputs!$C$6^2)/Inputs!$C$52)))-(Inputs!$H$6))*1000/Inputs!$C$12)</x:f>
        <x:v>-0.6912607618419315</x:v>
      </x:c>
      <x:c r="K160" t="n">
        <x:f>Scenario_Data!I160-(((SQRT((Inputs!$C$52+(Inputs!$H$7))^2+Inputs!$C$52^2-2*(Inputs!$C$52+(Inputs!$H$7))*Inputs!$C$52*COS(SQRT((Scenario_Data!U160)^2+Inputs!$C$6^2)/Inputs!$C$52)))-(Inputs!$H$7))*1000/Inputs!$C$12)</x:f>
        <x:v>-12136.776407525518</x:v>
      </x:c>
      <x:c r="L160" t="n">
        <x:f>Scenario_Data!J160-(((SQRT((Inputs!$C$52+(Inputs!$H$8))^2+Inputs!$C$52^2-2*(Inputs!$C$52+(Inputs!$H$8))*Inputs!$C$52*COS(SQRT((Scenario_Data!V160)^2+Inputs!$C$6^2)/Inputs!$C$52)))-(Inputs!$H$8))*1000/Inputs!$C$12)</x:f>
        <x:v>-34046.04194794646</x:v>
      </x:c>
      <x:c r="M160" t="n">
        <x:f>Scenario_Data!K160-(((SQRT((Inputs!$C$52+(Inputs!$H$9))^2+Inputs!$C$52^2-2*(Inputs!$C$52+(Inputs!$H$9))*Inputs!$C$52*COS(SQRT((Scenario_Data!W160)^2+Inputs!$C$6^2)/Inputs!$C$52)))-(Inputs!$H$9))*1000/Inputs!$C$12)</x:f>
        <x:v>-36057.79176290192</x:v>
      </x:c>
      <x:c r="O160" t="n">
        <x:f>Scenario_Data!T160</x:f>
        <x:v>19.019999999999996</x:v>
      </x:c>
      <x:c r="P160" t="n">
        <x:f>2*(Scenario_Data!B160*1000)/Inputs!$C$21*1000000</x:f>
        <x:v>2671.194323374206</x:v>
      </x:c>
      <x:c r="Q160" t="n">
        <x:f>Scenario_Data!U160</x:f>
        <x:v>126.79999999999995</x:v>
      </x:c>
      <x:c r="R160" t="n">
        <x:f>2*(Scenario_Data!C160*1000)/Inputs!$C$21*1000000</x:f>
        <x:v>478.18737988398607</x:v>
      </x:c>
      <x:c r="S160" t="n">
        <x:f>Scenario_Data!V160</x:f>
        <x:v>253.5999999999999</x:v>
      </x:c>
      <x:c r="T160" t="n">
        <x:f>2*(Scenario_Data!D160*1000)/Inputs!$C$21*1000000</x:f>
        <x:v>880.421648232391</x:v>
      </x:c>
      <x:c r="U160" t="n">
        <x:f>Scenario_Data!W160</x:f>
        <x:v>253.5999999999999</x:v>
      </x:c>
      <x:c r="V160" t="n">
        <x:f>2*(Scenario_Data!E160*1000)/Inputs!$C$21*1000000</x:f>
        <x:v>820.4127336652341</x:v>
      </x:c>
      <x:c r="X160" t="n">
        <x:f>Scenario_Data!T160</x:f>
        <x:v>19.019999999999996</x:v>
      </x:c>
      <x:c r="Y160" t="n">
        <x: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x:f>
        <x:v>2670.7374273408423</x:v>
      </x:c>
      <x:c r="Z160" t="n">
        <x:f>Scenario_Data!U160</x:f>
        <x:v>126.79999999999995</x:v>
      </x:c>
      <x:c r="AA160" t="n">
        <x: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x:f>
        <x:v>477.97385498477803</x:v>
      </x:c>
      <x:c r="AB160" t="n">
        <x:f>Scenario_Data!V160</x:f>
        <x:v>253.5999999999999</x:v>
      </x:c>
      <x:c r="AC160" t="n">
        <x: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x:f>
        <x:v>880.1287937053022</x:v>
      </x:c>
      <x:c r="AD160" t="n">
        <x:f>Scenario_Data!W160</x:f>
        <x:v>253.5999999999999</x:v>
      </x:c>
      <x:c r="AE160" t="n">
        <x: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x:f>
        <x:v>820.1198791381454</x:v>
      </x:c>
      <x:c r="AG160" t="n">
        <x:f>Scenario_Data!T160</x:f>
        <x:v>19.019999999999996</x:v>
      </x:c>
      <x:c r="AH160" t="n">
        <x:f>2*(SQRT((Inputs!$C$52+(Scenario_Data!B160))^2+Inputs!$C$52^2-2*(Inputs!$C$52+(Scenario_Data!B160))*Inputs!$C$52*COS(SQRT((Scenario_Data!T160)^2+Inputs!$C$6^2)/Inputs!$C$52))*1000)/Inputs!$C$21*1000000</x:f>
        <x:v>2681.5033576678143</x:v>
      </x:c>
      <x:c r="AI160" t="n">
        <x:f>Scenario_Data!U160</x:f>
        <x:v>126.79999999999995</x:v>
      </x:c>
      <x:c r="AJ160" t="n">
        <x:f>2*(SQRT((Inputs!$C$52+(Scenario_Data!C160))^2+Inputs!$C$52^2-2*(Inputs!$C$52+(Scenario_Data!C160))*Inputs!$C$52*COS(SQRT((Scenario_Data!U160)^2+Inputs!$C$6^2)/Inputs!$C$52))*1000)/Inputs!$C$21*1000000</x:f>
        <x:v>1002.8724909144175</x:v>
      </x:c>
      <x:c r="AK160" t="n">
        <x:f>Scenario_Data!V160</x:f>
        <x:v>253.5999999999999</x:v>
      </x:c>
      <x:c r="AL160" t="n">
        <x:f>2*(SQRT((Inputs!$C$52+(Scenario_Data!D160))^2+Inputs!$C$52^2-2*(Inputs!$C$52+(Scenario_Data!D160))*Inputs!$C$52*COS(SQRT((Scenario_Data!V160)^2+Inputs!$C$6^2)/Inputs!$C$52))*1000)/Inputs!$C$21*1000000</x:f>
        <x:v>1975.5218318440923</x:v>
      </x:c>
      <x:c r="AM160" t="n">
        <x:f>Scenario_Data!W160</x:f>
        <x:v>253.5999999999999</x:v>
      </x:c>
      <x:c r="AN160" t="n">
        <x:f>2*(SQRT((Inputs!$C$52+(Scenario_Data!E160))^2+Inputs!$C$52^2-2*(Inputs!$C$52+(Scenario_Data!E160))*Inputs!$C$52*COS(SQRT((Scenario_Data!W160)^2+Inputs!$C$6^2)/Inputs!$C$52))*1000)/Inputs!$C$21*1000000</x:f>
        <x:v>1945.2511482815198</x:v>
      </x:c>
      <x:c r="AP160" t="n">
        <x:f>Scenario_Data!T160</x:f>
        <x:v>19.019999999999996</x:v>
      </x:c>
      <x:c r="AQ160" t="n">
        <x: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x:f>
        <x:v>2678.760343194256</x:v>
      </x:c>
      <x:c r="AR160" t="n">
        <x:f>Scenario_Data!U160</x:f>
        <x:v>126.79999999999995</x:v>
      </x:c>
      <x:c r="AS160" t="n">
        <x: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x:f>
        <x:v>1002.4378207984545</x:v>
      </x:c>
      <x:c r="AT160" t="n">
        <x:f>Scenario_Data!V160</x:f>
        <x:v>253.5999999999999</x:v>
      </x:c>
      <x:c r="AU160" t="n">
        <x: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x:f>
        <x:v>1975.1014147397316</x:v>
      </x:c>
      <x:c r="AV160" t="n">
        <x:f>Scenario_Data!W160</x:f>
        <x:v>253.5999999999999</x:v>
      </x:c>
      <x:c r="AW160" t="n">
        <x: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x:f>
        <x:v>1944.858837742305</x:v>
      </x:c>
    </x:row>
    <x:row r="161">
      <x:c r="A161" t="n">
        <x:f>Chart_Data!K161</x:f>
        <x:v>19.5</x:v>
      </x:c>
      <x:c r="B161" t="n">
        <x:f>Chart_Data!N161-Chart_Data!L161</x:f>
        <x:v>-82.23751612797241</x:v>
      </x:c>
      <x:c r="D161" t="n">
        <x:f>Chart_Data!G161</x:f>
        <x:v>19.5</x:v>
      </x:c>
      <x:c r="E161" t="n">
        <x:f>Chart_Data!H161</x:f>
        <x:v>436.66425250955575</x:v>
      </x:c>
      <x:c r="F161" t="n">
        <x:f>Chart_Data!I161</x:f>
        <x:v>436.66425250955575</x:v>
      </x:c>
      <x:c r="G161" t="n">
        <x:f>Chart_Data!J161</x:f>
        <x:v>80.08578782325549</x:v>
      </x:c>
      <x:c r="I161" t="n">
        <x:f>Scenario_Data!A161</x:f>
        <x:v>0.325</x:v>
      </x:c>
      <x:c r="J161" t="n">
        <x:f>Scenario_Data!H161-(((SQRT((Inputs!$C$52+(Inputs!$H$6))^2+Inputs!$C$52^2-2*(Inputs!$C$52+(Inputs!$H$6))*Inputs!$C$52*COS(SQRT((Scenario_Data!T161)^2+Inputs!$C$6^2)/Inputs!$C$52)))-(Inputs!$H$6))*1000/Inputs!$C$12)</x:f>
        <x:v>-0.7400807499819848</x:v>
      </x:c>
      <x:c r="K161" t="n">
        <x:f>Scenario_Data!I161-(((SQRT((Inputs!$C$52+(Inputs!$H$7))^2+Inputs!$C$52^2-2*(Inputs!$C$52+(Inputs!$H$7))*Inputs!$C$52*COS(SQRT((Scenario_Data!U161)^2+Inputs!$C$6^2)/Inputs!$C$52)))-(Inputs!$H$7))*1000/Inputs!$C$12)</x:f>
        <x:v>-12787.842801368242</x:v>
      </x:c>
      <x:c r="L161" t="n">
        <x:f>Scenario_Data!J161-(((SQRT((Inputs!$C$52+(Inputs!$H$8))^2+Inputs!$C$52^2-2*(Inputs!$C$52+(Inputs!$H$8))*Inputs!$C$52*COS(SQRT((Scenario_Data!V161)^2+Inputs!$C$6^2)/Inputs!$C$52)))-(Inputs!$H$8))*1000/Inputs!$C$12)</x:f>
        <x:v>-35637.24050020533</x:v>
      </x:c>
      <x:c r="M161" t="n">
        <x:f>Scenario_Data!K161-(((SQRT((Inputs!$C$52+(Inputs!$H$9))^2+Inputs!$C$52^2-2*(Inputs!$C$52+(Inputs!$H$9))*Inputs!$C$52*COS(SQRT((Scenario_Data!W161)^2+Inputs!$C$6^2)/Inputs!$C$52)))-(Inputs!$H$9))*1000/Inputs!$C$12)</x:f>
        <x:v>-37696.722160192</x:v>
      </x:c>
      <x:c r="O161" t="n">
        <x:f>Scenario_Data!T161</x:f>
        <x:v>19.5</x:v>
      </x:c>
      <x:c r="P161" t="n">
        <x:f>2*(Scenario_Data!B161*1000)/Inputs!$C$21*1000000</x:f>
        <x:v>2671.331378189641</x:v>
      </x:c>
      <x:c r="Q161" t="n">
        <x:f>Scenario_Data!U161</x:f>
        <x:v>130</x:v>
      </x:c>
      <x:c r="R161" t="n">
        <x:f>2*(Scenario_Data!C161*1000)/Inputs!$C$21*1000000</x:f>
        <x:v>490.6936317924316</x:v>
      </x:c>
      <x:c r="S161" t="n">
        <x:f>Scenario_Data!V161</x:f>
        <x:v>260</x:v>
      </x:c>
      <x:c r="T161" t="n">
        <x:f>2*(Scenario_Data!D161*1000)/Inputs!$C$21*1000000</x:f>
        <x:v>913.4861224560894</x:v>
      </x:c>
      <x:c r="U161" t="n">
        <x:f>Scenario_Data!W161</x:f>
        <x:v>260</x:v>
      </x:c>
      <x:c r="V161" t="n">
        <x:f>2*(Scenario_Data!E161*1000)/Inputs!$C$21*1000000</x:f>
        <x:v>853.8198449275199</x:v>
      </x:c>
      <x:c r="X161" t="n">
        <x:f>Scenario_Data!T161</x:f>
        <x:v>19.5</x:v>
      </x:c>
      <x:c r="Y161" t="n">
        <x: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x:f>
        <x:v>2670.797103322571</x:v>
      </x:c>
      <x:c r="Z161" t="n">
        <x:f>Scenario_Data!U161</x:f>
        <x:v>130</x:v>
      </x:c>
      <x:c r="AA161" t="n">
        <x: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x:f>
        <x:v>490.4820935126106</x:v>
      </x:c>
      <x:c r="AB161" t="n">
        <x:f>Scenario_Data!V161</x:f>
        <x:v>260</x:v>
      </x:c>
      <x:c r="AC161" t="n">
        <x: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x:f>
        <x:v>913.1515395520814</x:v>
      </x:c>
      <x:c r="AD161" t="n">
        <x:f>Scenario_Data!W161</x:f>
        <x:v>260</x:v>
      </x:c>
      <x:c r="AE161" t="n">
        <x: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x:f>
        <x:v>853.485262023512</x:v>
      </x:c>
      <x:c r="AG161" t="n">
        <x:f>Scenario_Data!T161</x:f>
        <x:v>19.5</x:v>
      </x:c>
      <x:c r="AH161" t="n">
        <x:f>2*(SQRT((Inputs!$C$52+(Scenario_Data!B161))^2+Inputs!$C$52^2-2*(Inputs!$C$52+(Scenario_Data!B161))*Inputs!$C$52*COS(SQRT((Scenario_Data!T161)^2+Inputs!$C$6^2)/Inputs!$C$52))*1000)/Inputs!$C$21*1000000</x:f>
        <x:v>2681.8327680804646</x:v>
      </x:c>
      <x:c r="AI161" t="n">
        <x:f>Scenario_Data!U161</x:f>
        <x:v>130</x:v>
      </x:c>
      <x:c r="AJ161" t="n">
        <x:f>2*(SQRT((Inputs!$C$52+(Scenario_Data!C161))^2+Inputs!$C$52^2-2*(Inputs!$C$52+(Scenario_Data!C161))*Inputs!$C$52*COS(SQRT((Scenario_Data!U161)^2+Inputs!$C$6^2)/Inputs!$C$52))*1000)/Inputs!$C$21*1000000</x:f>
        <x:v>1028.1121624339564</x:v>
      </x:c>
      <x:c r="AK161" t="n">
        <x:f>Scenario_Data!V161</x:f>
        <x:v>260</x:v>
      </x:c>
      <x:c r="AL161" t="n">
        <x:f>2*(SQRT((Inputs!$C$52+(Scenario_Data!D161))^2+Inputs!$C$52^2-2*(Inputs!$C$52+(Scenario_Data!D161))*Inputs!$C$52*COS(SQRT((Scenario_Data!V161)^2+Inputs!$C$6^2)/Inputs!$C$52))*1000)/Inputs!$C$21*1000000</x:f>
        <x:v>2032.132269523135</x:v>
      </x:c>
      <x:c r="AM161" t="n">
        <x:f>Scenario_Data!W161</x:f>
        <x:v>260</x:v>
      </x:c>
      <x:c r="AN161" t="n">
        <x:f>2*(SQRT((Inputs!$C$52+(Scenario_Data!E161))^2+Inputs!$C$52^2-2*(Inputs!$C$52+(Scenario_Data!E161))*Inputs!$C$52*COS(SQRT((Scenario_Data!W161)^2+Inputs!$C$6^2)/Inputs!$C$52))*1000)/Inputs!$C$21*1000000</x:f>
        <x:v>2001.6878257232431</x:v>
      </x:c>
      <x:c r="AP161" t="n">
        <x:f>Scenario_Data!T161</x:f>
        <x:v>19.5</x:v>
      </x:c>
      <x:c r="AQ161" t="n">
        <x: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x:f>
        <x:v>2678.934012540692</x:v>
      </x:c>
      <x:c r="AR161" t="n">
        <x:f>Scenario_Data!U161</x:f>
        <x:v>130</x:v>
      </x:c>
      <x:c r="AS161" t="n">
        <x: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x:f>
        <x:v>1027.5870587413654</x:v>
      </x:c>
      <x:c r="AT161" t="n">
        <x:f>Scenario_Data!V161</x:f>
        <x:v>260</x:v>
      </x:c>
      <x:c r="AU161" t="n">
        <x: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x:f>
        <x:v>2031.7985558053063</x:v>
      </x:c>
      <x:c r="AV161" t="n">
        <x:f>Scenario_Data!W161</x:f>
        <x:v>260</x:v>
      </x:c>
      <x:c r="AW161" t="n">
        <x: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x:f>
        <x:v>2001.3754442363258</x:v>
      </x:c>
    </x:row>
    <x:row r="162">
      <x:c r="A162" t="n">
        <x:f>Chart_Data!K162</x:f>
        <x:v>20</x:v>
      </x:c>
      <x:c r="B162" t="n">
        <x:f>Chart_Data!N162-Chart_Data!L162</x:f>
        <x:v>-76.53704728632965</x:v>
      </x:c>
      <x:c r="D162" t="n">
        <x:f>Chart_Data!G162</x:f>
        <x:v>20</x:v>
      </x:c>
      <x:c r="E162" t="n">
        <x:f>Chart_Data!H162</x:f>
        <x:v>439.0113020882822</x:v>
      </x:c>
      <x:c r="F162" t="n">
        <x:f>Chart_Data!I162</x:f>
        <x:v>439.0113020882822</x:v>
      </x:c>
      <x:c r="G162" t="n">
        <x:f>Chart_Data!J162</x:f>
        <x:v>74.33166863889775</x:v>
      </x:c>
      <x:c r="I162" t="n">
        <x:f>Scenario_Data!A162</x:f>
        <x:v>0.333</x:v>
      </x:c>
      <x:c r="J162" t="n">
        <x:f>Scenario_Data!H162-(((SQRT((Inputs!$C$52+(Inputs!$H$6))^2+Inputs!$C$52^2-2*(Inputs!$C$52+(Inputs!$H$6))*Inputs!$C$52*COS(SQRT((Scenario_Data!T162)^2+Inputs!$C$6^2)/Inputs!$C$52)))-(Inputs!$H$6))*1000/Inputs!$C$12)</x:f>
        <x:v>-0.791473780832689</x:v>
      </x:c>
      <x:c r="K162" t="n">
        <x:f>Scenario_Data!I162-(((SQRT((Inputs!$C$52+(Inputs!$H$7))^2+Inputs!$C$52^2-2*(Inputs!$C$52+(Inputs!$H$7))*Inputs!$C$52*COS(SQRT((Scenario_Data!U162)^2+Inputs!$C$6^2)/Inputs!$C$52)))-(Inputs!$H$7))*1000/Inputs!$C$12)</x:f>
        <x:v>-13452.557524737189</x:v>
      </x:c>
      <x:c r="L162" t="n">
        <x:f>Scenario_Data!J162-(((SQRT((Inputs!$C$52+(Inputs!$H$8))^2+Inputs!$C$52^2-2*(Inputs!$C$52+(Inputs!$H$8))*Inputs!$C$52*COS(SQRT((Scenario_Data!V162)^2+Inputs!$C$6^2)/Inputs!$C$52)))-(Inputs!$H$8))*1000/Inputs!$C$12)</x:f>
        <x:v>-37250.42865196265</x:v>
      </x:c>
      <x:c r="M162" t="n">
        <x:f>Scenario_Data!K162-(((SQRT((Inputs!$C$52+(Inputs!$H$9))^2+Inputs!$C$52^2-2*(Inputs!$C$52+(Inputs!$H$9))*Inputs!$C$52*COS(SQRT((Scenario_Data!W162)^2+Inputs!$C$6^2)/Inputs!$C$52)))-(Inputs!$H$9))*1000/Inputs!$C$12)</x:f>
        <x:v>-39357.029917001244</x:v>
      </x:c>
      <x:c r="O162" t="n">
        <x:f>Scenario_Data!T162</x:f>
        <x:v>19.980000000000004</x:v>
      </x:c>
      <x:c r="P162" t="n">
        <x:f>2*(Scenario_Data!B162*1000)/Inputs!$C$21*1000000</x:f>
        <x:v>2671.4718487014106</x:v>
      </x:c>
      <x:c r="Q162" t="n">
        <x:f>Scenario_Data!U162</x:f>
        <x:v>133.19999999999993</x:v>
      </x:c>
      <x:c r="R162" t="n">
        <x:f>2*(Scenario_Data!C162*1000)/Inputs!$C$21*1000000</x:f>
        <x:v>503.51156599142973</x:v>
      </x:c>
      <x:c r="S162" t="n">
        <x:f>Scenario_Data!V162</x:f>
        <x:v>266.39999999999986</x:v>
      </x:c>
      <x:c r="T162" t="n">
        <x:f>2*(Scenario_Data!D162*1000)/Inputs!$C$21*1000000</x:f>
        <x:v>947.3746334205639</x:v>
      </x:c>
      <x:c r="U162" t="n">
        <x:f>Scenario_Data!W162</x:f>
        <x:v>266.39999999999986</x:v>
      </x:c>
      <x:c r="V162" t="n">
        <x:f>2*(Scenario_Data!E162*1000)/Inputs!$C$21*1000000</x:f>
        <x:v>888.059532171419</x:v>
      </x:c>
      <x:c r="X162" t="n">
        <x:f>Scenario_Data!T162</x:f>
        <x:v>19.980000000000004</x:v>
      </x:c>
      <x:c r="Y162" t="n">
        <x: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x:f>
        <x:v>2670.9787828596327</x:v>
      </x:c>
      <x:c r="Z162" t="n">
        <x:f>Scenario_Data!U162</x:f>
        <x:v>133.19999999999993</x:v>
      </x:c>
      <x:c r="AA162" t="n">
        <x: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x:f>
        <x:v>503.19758645294866</x:v>
      </x:c>
      <x:c r="AB162" t="n">
        <x:f>Scenario_Data!V162</x:f>
        <x:v>266.39999999999986</x:v>
      </x:c>
      <x:c r="AC162" t="n">
        <x: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x:f>
        <x:v>947.335274155724</x:v>
      </x:c>
      <x:c r="AD162" t="n">
        <x:f>Scenario_Data!W162</x:f>
        <x:v>266.39999999999986</x:v>
      </x:c>
      <x:c r="AE162" t="n">
        <x: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x:f>
        <x:v>888.0201729065793</x:v>
      </x:c>
      <x:c r="AG162" t="n">
        <x:f>Scenario_Data!T162</x:f>
        <x:v>19.980000000000004</x:v>
      </x:c>
      <x:c r="AH162" t="n">
        <x:f>2*(SQRT((Inputs!$C$52+(Scenario_Data!B162))^2+Inputs!$C$52^2-2*(Inputs!$C$52+(Scenario_Data!B162))*Inputs!$C$52*COS(SQRT((Scenario_Data!T162)^2+Inputs!$C$6^2)/Inputs!$C$52))*1000)/Inputs!$C$21*1000000</x:f>
        <x:v>2682.170357321432</x:v>
      </x:c>
      <x:c r="AI162" t="n">
        <x:f>Scenario_Data!U162</x:f>
        <x:v>133.19999999999993</x:v>
      </x:c>
      <x:c r="AJ162" t="n">
        <x:f>2*(SQRT((Inputs!$C$52+(Scenario_Data!C162))^2+Inputs!$C$52^2-2*(Inputs!$C$52+(Scenario_Data!C162))*Inputs!$C$52*COS(SQRT((Scenario_Data!U162)^2+Inputs!$C$6^2)/Inputs!$C$52))*1000)/Inputs!$C$21*1000000</x:f>
        <x:v>1053.5497018470367</x:v>
      </x:c>
      <x:c r="AK162" t="n">
        <x:f>Scenario_Data!V162</x:f>
        <x:v>266.39999999999986</x:v>
      </x:c>
      <x:c r="AL162" t="n">
        <x:f>2*(SQRT((Inputs!$C$52+(Scenario_Data!D162))^2+Inputs!$C$52^2-2*(Inputs!$C$52+(Scenario_Data!D162))*Inputs!$C$52*COS(SQRT((Scenario_Data!V162)^2+Inputs!$C$6^2)/Inputs!$C$52))*1000)/Inputs!$C$21*1000000</x:f>
        <x:v>2089.3258107719435</x:v>
      </x:c>
      <x:c r="AM162" t="n">
        <x:f>Scenario_Data!W162</x:f>
        <x:v>266.39999999999986</x:v>
      </x:c>
      <x:c r="AN162" t="n">
        <x:f>2*(SQRT((Inputs!$C$52+(Scenario_Data!E162))^2+Inputs!$C$52^2-2*(Inputs!$C$52+(Scenario_Data!E162))*Inputs!$C$52*COS(SQRT((Scenario_Data!W162)^2+Inputs!$C$6^2)/Inputs!$C$52))*1000)/Inputs!$C$21*1000000</x:f>
        <x:v>2058.7148075309083</x:v>
      </x:c>
      <x:c r="AP162" t="n">
        <x:f>Scenario_Data!T162</x:f>
        <x:v>19.980000000000004</x:v>
      </x:c>
      <x:c r="AQ162" t="n">
        <x: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x:f>
        <x:v>2679.273151773947</x:v>
      </x:c>
      <x:c r="AR162" t="n">
        <x:f>Scenario_Data!U162</x:f>
        <x:v>133.19999999999993</x:v>
      </x:c>
      <x:c r="AS162" t="n">
        <x: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x:f>
        <x:v>1053.0619961686768</x:v>
      </x:c>
      <x:c r="AT162" t="n">
        <x:f>Scenario_Data!V162</x:f>
        <x:v>266.39999999999986</x:v>
      </x:c>
      <x:c r="AU162" t="n">
        <x: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x:f>
        <x:v>2089.0735031949753</x:v>
      </x:c>
      <x:c r="AV162" t="n">
        <x:f>Scenario_Data!W162</x:f>
        <x:v>266.39999999999986</x:v>
      </x:c>
      <x:c r="AW162" t="n">
        <x: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x:f>
        <x:v>2058.477922917945</x:v>
      </x:c>
    </x:row>
    <x:row r="163">
      <x:c r="A163" t="n">
        <x:f>Chart_Data!K163</x:f>
        <x:v>20.5</x:v>
      </x:c>
      <x:c r="B163" t="n">
        <x:f>Chart_Data!N163-Chart_Data!L163</x:f>
        <x:v>-79.34560005519478</x:v>
      </x:c>
      <x:c r="D163" t="n">
        <x:f>Chart_Data!G163</x:f>
        <x:v>20.5</x:v>
      </x:c>
      <x:c r="E163" t="n">
        <x:f>Chart_Data!H163</x:f>
        <x:v>441.7637232897853</x:v>
      </x:c>
      <x:c r="F163" t="n">
        <x:f>Chart_Data!I163</x:f>
        <x:v>441.7637232897853</x:v>
      </x:c>
      <x:c r="G163" t="n">
        <x:f>Chart_Data!J163</x:f>
        <x:v>77.08298836787891</x:v>
      </x:c>
      <x:c r="I163" t="n">
        <x:f>Scenario_Data!A163</x:f>
        <x:v>0.342</x:v>
      </x:c>
      <x:c r="J163" t="n">
        <x:f>Scenario_Data!H163-(((SQRT((Inputs!$C$52+(Inputs!$H$6))^2+Inputs!$C$52^2-2*(Inputs!$C$52+(Inputs!$H$6))*Inputs!$C$52*COS(SQRT((Scenario_Data!T163)^2+Inputs!$C$6^2)/Inputs!$C$52)))-(Inputs!$H$6))*1000/Inputs!$C$12)</x:f>
        <x:v>-0.8524904108952569</x:v>
      </x:c>
      <x:c r="K163" t="n">
        <x:f>Scenario_Data!I163-(((SQRT((Inputs!$C$52+(Inputs!$H$7))^2+Inputs!$C$52^2-2*(Inputs!$C$52+(Inputs!$H$7))*Inputs!$C$52*COS(SQRT((Scenario_Data!U163)^2+Inputs!$C$6^2)/Inputs!$C$52)))-(Inputs!$H$7))*1000/Inputs!$C$12)</x:f>
        <x:v>-14216.328265502132</x:v>
      </x:c>
      <x:c r="L163" t="n">
        <x:f>Scenario_Data!J163-(((SQRT((Inputs!$C$52+(Inputs!$H$8))^2+Inputs!$C$52^2-2*(Inputs!$C$52+(Inputs!$H$8))*Inputs!$C$52*COS(SQRT((Scenario_Data!V163)^2+Inputs!$C$6^2)/Inputs!$C$52)))-(Inputs!$H$8))*1000/Inputs!$C$12)</x:f>
        <x:v>-39090.47273823073</x:v>
      </x:c>
      <x:c r="M163" t="n">
        <x:f>Scenario_Data!K163-(((SQRT((Inputs!$C$52+(Inputs!$H$9))^2+Inputs!$C$52^2-2*(Inputs!$C$52+(Inputs!$H$9))*Inputs!$C$52*COS(SQRT((Scenario_Data!W163)^2+Inputs!$C$6^2)/Inputs!$C$52)))-(Inputs!$H$9))*1000/Inputs!$C$12)</x:f>
        <x:v>-41249.34202215604</x:v>
      </x:c>
      <x:c r="O163" t="n">
        <x:f>Scenario_Data!T163</x:f>
        <x:v>20.52000000000001</x:v>
      </x:c>
      <x:c r="P163" t="n">
        <x:f>2*(Scenario_Data!B163*1000)/Inputs!$C$21*1000000</x:f>
        <x:v>2671.633960851677</x:v>
      </x:c>
      <x:c r="Q163" t="n">
        <x:f>Scenario_Data!U163</x:f>
        <x:v>136.80000000000007</x:v>
      </x:c>
      <x:c r="R163" t="n">
        <x:f>2*(Scenario_Data!C163*1000)/Inputs!$C$21*1000000</x:f>
        <x:v>518.3042997032304</x:v>
      </x:c>
      <x:c r="S163" t="n">
        <x:f>Scenario_Data!V163</x:f>
        <x:v>273.60000000000014</x:v>
      </x:c>
      <x:c r="T163" t="n">
        <x:f>2*(Scenario_Data!D163*1000)/Inputs!$C$21*1000000</x:f>
        <x:v>986.484189672311</x:v>
      </x:c>
      <x:c r="U163" t="n">
        <x:f>Scenario_Data!W163</x:f>
        <x:v>273.60000000000014</x:v>
      </x:c>
      <x:c r="V163" t="n">
        <x:f>2*(Scenario_Data!E163*1000)/Inputs!$C$21*1000000</x:f>
        <x:v>927.5743687988318</x:v>
      </x:c>
      <x:c r="X163" t="n">
        <x:f>Scenario_Data!T163</x:f>
        <x:v>20.52000000000001</x:v>
      </x:c>
      <x:c r="Y163" t="n">
        <x: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x:f>
        <x:v>2671.203786370632</x:v>
      </x:c>
      <x:c r="Z163" t="n">
        <x:f>Scenario_Data!U163</x:f>
        <x:v>136.80000000000007</x:v>
      </x:c>
      <x:c r="AA163" t="n">
        <x: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x:f>
        <x:v>518.040579966203</x:v>
      </x:c>
      <x:c r="AB163" t="n">
        <x:f>Scenario_Data!V163</x:f>
        <x:v>273.60000000000014</x:v>
      </x:c>
      <x:c r="AC163" t="n">
        <x: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x:f>
        <x:v>986.2109894672132</x:v>
      </x:c>
      <x:c r="AD163" t="n">
        <x:f>Scenario_Data!W163</x:f>
        <x:v>273.60000000000014</x:v>
      </x:c>
      <x:c r="AE163" t="n">
        <x: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x:f>
        <x:v>927.3011685937341</x:v>
      </x:c>
      <x:c r="AG163" t="n">
        <x:f>Scenario_Data!T163</x:f>
        <x:v>20.52000000000001</x:v>
      </x:c>
      <x:c r="AH163" t="n">
        <x:f>2*(SQRT((Inputs!$C$52+(Scenario_Data!B163))^2+Inputs!$C$52^2-2*(Inputs!$C$52+(Scenario_Data!B163))*Inputs!$C$52*COS(SQRT((Scenario_Data!T163)^2+Inputs!$C$6^2)/Inputs!$C$52))*1000)/Inputs!$C$21*1000000</x:f>
        <x:v>2682.559918656496</x:v>
      </x:c>
      <x:c r="AI163" t="n">
        <x:f>Scenario_Data!U163</x:f>
        <x:v>136.80000000000007</x:v>
      </x:c>
      <x:c r="AJ163" t="n">
        <x:f>2*(SQRT((Inputs!$C$52+(Scenario_Data!C163))^2+Inputs!$C$52^2-2*(Inputs!$C$52+(Scenario_Data!C163))*Inputs!$C$52*COS(SQRT((Scenario_Data!U163)^2+Inputs!$C$6^2)/Inputs!$C$52))*1000)/Inputs!$C$21*1000000</x:f>
        <x:v>1082.4036420950645</x:v>
      </x:c>
      <x:c r="AK163" t="n">
        <x:f>Scenario_Data!V163</x:f>
        <x:v>273.60000000000014</x:v>
      </x:c>
      <x:c r="AL163" t="n">
        <x:f>2*(SQRT((Inputs!$C$52+(Scenario_Data!D163))^2+Inputs!$C$52^2-2*(Inputs!$C$52+(Scenario_Data!D163))*Inputs!$C$52*COS(SQRT((Scenario_Data!V163)^2+Inputs!$C$6^2)/Inputs!$C$52))*1000)/Inputs!$C$21*1000000</x:f>
        <x:v>2154.375751929062</x:v>
      </x:c>
      <x:c r="AM163" t="n">
        <x:f>Scenario_Data!W163</x:f>
        <x:v>273.60000000000014</x:v>
      </x:c>
      <x:c r="AN163" t="n">
        <x:f>2*(SQRT((Inputs!$C$52+(Scenario_Data!E163))^2+Inputs!$C$52^2-2*(Inputs!$C$52+(Scenario_Data!E163))*Inputs!$C$52*COS(SQRT((Scenario_Data!W163)^2+Inputs!$C$6^2)/Inputs!$C$52))*1000)/Inputs!$C$21*1000000</x:f>
        <x:v>2123.5868153942665</x:v>
      </x:c>
      <x:c r="AP163" t="n">
        <x:f>Scenario_Data!T163</x:f>
        <x:v>20.52000000000001</x:v>
      </x:c>
      <x:c r="AQ163" t="n">
        <x: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x:f>
        <x:v>2679.6384849074366</x:v>
      </x:c>
      <x:c r="AR163" t="n">
        <x:f>Scenario_Data!U163</x:f>
        <x:v>136.80000000000007</x:v>
      </x:c>
      <x:c r="AS163" t="n">
        <x: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x:f>
        <x:v>1082.1146416403806</x:v>
      </x:c>
      <x:c r="AT163" t="n">
        <x:f>Scenario_Data!V163</x:f>
        <x:v>273.60000000000014</x:v>
      </x:c>
      <x:c r="AU163" t="n">
        <x: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x:f>
        <x:v>2153.951648074589</x:v>
      </x:c>
      <x:c r="AV163" t="n">
        <x:f>Scenario_Data!W163</x:f>
        <x:v>273.60000000000014</x:v>
      </x:c>
      <x:c r="AW163" t="n">
        <x: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x:f>
        <x:v>2123.187380831997</x:v>
      </x:c>
    </x:row>
    <x:row r="164">
      <x:c r="A164" t="n">
        <x:f>Chart_Data!K164</x:f>
        <x:v>21</x:v>
      </x:c>
      <x:c r="B164" t="n">
        <x:f>Chart_Data!N164-Chart_Data!L164</x:f>
        <x:v>-86.91047035433752</x:v>
      </x:c>
      <x:c r="D164" t="n">
        <x:f>Chart_Data!G164</x:f>
        <x:v>21</x:v>
      </x:c>
      <x:c r="E164" t="n">
        <x:f>Chart_Data!H164</x:f>
        <x:v>441.2537143317768</x:v>
      </x:c>
      <x:c r="F164" t="n">
        <x:f>Chart_Data!I164</x:f>
        <x:v>441.2537143317768</x:v>
      </x:c>
      <x:c r="G164" t="n">
        <x:f>Chart_Data!J164</x:f>
        <x:v>84.6060805836893</x:v>
      </x:c>
      <x:c r="I164" t="n">
        <x:f>Scenario_Data!A164</x:f>
        <x:v>0.35</x:v>
      </x:c>
      <x:c r="J164" t="n">
        <x:f>Scenario_Data!H164-(((SQRT((Inputs!$C$52+(Inputs!$H$6))^2+Inputs!$C$52^2-2*(Inputs!$C$52+(Inputs!$H$6))*Inputs!$C$52*COS(SQRT((Scenario_Data!T164)^2+Inputs!$C$6^2)/Inputs!$C$52)))-(Inputs!$H$6))*1000/Inputs!$C$12)</x:f>
        <x:v>-0.9096841644008009</x:v>
      </x:c>
      <x:c r="K164" t="n">
        <x:f>Scenario_Data!I164-(((SQRT((Inputs!$C$52+(Inputs!$H$7))^2+Inputs!$C$52^2-2*(Inputs!$C$52+(Inputs!$H$7))*Inputs!$C$52*COS(SQRT((Scenario_Data!U164)^2+Inputs!$C$6^2)/Inputs!$C$52)))-(Inputs!$H$7))*1000/Inputs!$C$12)</x:f>
        <x:v>-14909.123361914171</x:v>
      </x:c>
      <x:c r="L164" t="n">
        <x:f>Scenario_Data!J164-(((SQRT((Inputs!$C$52+(Inputs!$H$8))^2+Inputs!$C$52^2-2*(Inputs!$C$52+(Inputs!$H$8))*Inputs!$C$52*COS(SQRT((Scenario_Data!V164)^2+Inputs!$C$6^2)/Inputs!$C$52)))-(Inputs!$H$8))*1000/Inputs!$C$12)</x:f>
        <x:v>-40747.537049505336</x:v>
      </x:c>
      <x:c r="M164" t="n">
        <x:f>Scenario_Data!K164-(((SQRT((Inputs!$C$52+(Inputs!$H$9))^2+Inputs!$C$52^2-2*(Inputs!$C$52+(Inputs!$H$9))*Inputs!$C$52*COS(SQRT((Scenario_Data!W164)^2+Inputs!$C$6^2)/Inputs!$C$52)))-(Inputs!$H$9))*1000/Inputs!$C$12)</x:f>
        <x:v>-42952.19979250127</x:v>
      </x:c>
      <x:c r="O164" t="n">
        <x:f>Scenario_Data!T164</x:f>
        <x:v>21</x:v>
      </x:c>
      <x:c r="P164" t="n">
        <x:f>2*(Scenario_Data!B164*1000)/Inputs!$C$21*1000000</x:f>
        <x:v>2671.7816897181583</x:v>
      </x:c>
      <x:c r="Q164" t="n">
        <x:f>Scenario_Data!U164</x:f>
        <x:v>140</x:v>
      </x:c>
      <x:c r="R164" t="n">
        <x:f>2*(Scenario_Data!C164*1000)/Inputs!$C$21*1000000</x:f>
        <x:v>531.7845587696538</x:v>
      </x:c>
      <x:c r="S164" t="n">
        <x:f>Scenario_Data!V164</x:f>
        <x:v>280</x:v>
      </x:c>
      <x:c r="T164" t="n">
        <x:f>2*(Scenario_Data!D164*1000)/Inputs!$C$21*1000000</x:f>
        <x:v>1022.1237787109374</x:v>
      </x:c>
      <x:c r="U164" t="n">
        <x:f>Scenario_Data!W164</x:f>
        <x:v>280</x:v>
      </x:c>
      <x:c r="V164" t="n">
        <x:f>2*(Scenario_Data!E164*1000)/Inputs!$C$21*1000000</x:f>
        <x:v>963.5832800036617</x:v>
      </x:c>
      <x:c r="X164" t="n">
        <x:f>Scenario_Data!T164</x:f>
        <x:v>21</x:v>
      </x:c>
      <x:c r="Y164" t="n">
        <x: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x:f>
        <x:v>2671.217258703795</x:v>
      </x:c>
      <x:c r="Z164" t="n">
        <x:f>Scenario_Data!U164</x:f>
        <x:v>140</x:v>
      </x:c>
      <x:c r="AA164" t="n">
        <x: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x:f>
        <x:v>531.602952215883</x:v>
      </x:c>
      <x:c r="AB164" t="n">
        <x:f>Scenario_Data!V164</x:f>
        <x:v>280</x:v>
      </x:c>
      <x:c r="AC164" t="n">
        <x: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x:f>
        <x:v>1021.9898236507371</x:v>
      </x:c>
      <x:c r="AD164" t="n">
        <x:f>Scenario_Data!W164</x:f>
        <x:v>280</x:v>
      </x:c>
      <x:c r="AE164" t="n">
        <x: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x:f>
        <x:v>963.4493249434615</x:v>
      </x:c>
      <x:c r="AG164" t="n">
        <x:f>Scenario_Data!T164</x:f>
        <x:v>21</x:v>
      </x:c>
      <x:c r="AH164" t="n">
        <x:f>2*(SQRT((Inputs!$C$52+(Scenario_Data!B164))^2+Inputs!$C$52^2-2*(Inputs!$C$52+(Scenario_Data!B164))*Inputs!$C$52*COS(SQRT((Scenario_Data!T164)^2+Inputs!$C$6^2)/Inputs!$C$52))*1000)/Inputs!$C$21*1000000</x:f>
        <x:v>2682.914880335254</x:v>
      </x:c>
      <x:c r="AI164" t="n">
        <x:f>Scenario_Data!U164</x:f>
        <x:v>140</x:v>
      </x:c>
      <x:c r="AJ164" t="n">
        <x:f>2*(SQRT((Inputs!$C$52+(Scenario_Data!C164))^2+Inputs!$C$52^2-2*(Inputs!$C$52+(Scenario_Data!C164))*Inputs!$C$52*COS(SQRT((Scenario_Data!U164)^2+Inputs!$C$6^2)/Inputs!$C$52))*1000)/Inputs!$C$21*1000000</x:f>
        <x:v>1108.2624133501783</x:v>
      </x:c>
      <x:c r="AK164" t="n">
        <x:f>Scenario_Data!V164</x:f>
        <x:v>280</x:v>
      </x:c>
      <x:c r="AL164" t="n">
        <x:f>2*(SQRT((Inputs!$C$52+(Scenario_Data!D164))^2+Inputs!$C$52^2-2*(Inputs!$C$52+(Scenario_Data!D164))*Inputs!$C$52*COS(SQRT((Scenario_Data!V164)^2+Inputs!$C$6^2)/Inputs!$C$52))*1000)/Inputs!$C$21*1000000</x:f>
        <x:v>2212.8355811384035</x:v>
      </x:c>
      <x:c r="AM164" t="n">
        <x:f>Scenario_Data!W164</x:f>
        <x:v>280</x:v>
      </x:c>
      <x:c r="AN164" t="n">
        <x:f>2*(SQRT((Inputs!$C$52+(Scenario_Data!E164))^2+Inputs!$C$52^2-2*(Inputs!$C$52+(Scenario_Data!E164))*Inputs!$C$52*COS(SQRT((Scenario_Data!W164)^2+Inputs!$C$6^2)/Inputs!$C$52))*1000)/Inputs!$C$21*1000000</x:f>
        <x:v>2181.897557099264</x:v>
      </x:c>
      <x:c r="AP164" t="n">
        <x:f>Scenario_Data!T164</x:f>
        <x:v>21</x:v>
      </x:c>
      <x:c r="AQ164" t="n">
        <x: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x:f>
        <x:v>2679.9865256495527</x:v>
      </x:c>
      <x:c r="AR164" t="n">
        <x:f>Scenario_Data!U164</x:f>
        <x:v>140</x:v>
      </x:c>
      <x:c r="AS164" t="n">
        <x: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x:f>
        <x:v>1108.021307304762</x:v>
      </x:c>
      <x:c r="AT164" t="n">
        <x:f>Scenario_Data!V164</x:f>
        <x:v>280</x:v>
      </x:c>
      <x:c r="AU164" t="n">
        <x: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x:f>
        <x:v>2212.4908066079583</x:v>
      </x:c>
      <x:c r="AV164" t="n">
        <x:f>Scenario_Data!W164</x:f>
        <x:v>280</x:v>
      </x:c>
      <x:c r="AW164" t="n">
        <x: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x:f>
        <x:v>2181.5719636316157</x:v>
      </x:c>
    </x:row>
    <x:row r="165">
      <x:c r="A165" t="n">
        <x:f>Chart_Data!K165</x:f>
        <x:v>21.5</x:v>
      </x:c>
      <x:c r="B165" t="n">
        <x:f>Chart_Data!N165-Chart_Data!L165</x:f>
        <x:v>-86.01689250798682</x:v>
      </x:c>
      <x:c r="D165" t="n">
        <x:f>Chart_Data!G165</x:f>
        <x:v>21.5</x:v>
      </x:c>
      <x:c r="E165" t="n">
        <x:f>Chart_Data!H165</x:f>
        <x:v>444.1394266764314</x:v>
      </x:c>
      <x:c r="F165" t="n">
        <x:f>Chart_Data!I165</x:f>
        <x:v>444.1394266764314</x:v>
      </x:c>
      <x:c r="G165" t="n">
        <x:f>Chart_Data!J165</x:f>
        <x:v>83.65167434978589</x:v>
      </x:c>
      <x:c r="I165" t="n">
        <x:f>Scenario_Data!A165</x:f>
        <x:v>0.358</x:v>
      </x:c>
      <x:c r="J165" t="n">
        <x:f>Scenario_Data!H165-(((SQRT((Inputs!$C$52+(Inputs!$H$6))^2+Inputs!$C$52^2-2*(Inputs!$C$52+(Inputs!$H$6))*Inputs!$C$52*COS(SQRT((Scenario_Data!T165)^2+Inputs!$C$6^2)/Inputs!$C$52)))-(Inputs!$H$6))*1000/Inputs!$C$12)</x:f>
        <x:v>-0.9697693759256936</x:v>
      </x:c>
      <x:c r="K165" t="n">
        <x:f>Scenario_Data!I165-(((SQRT((Inputs!$C$52+(Inputs!$H$7))^2+Inputs!$C$52^2-2*(Inputs!$C$52+(Inputs!$H$7))*Inputs!$C$52*COS(SQRT((Scenario_Data!U165)^2+Inputs!$C$6^2)/Inputs!$C$52)))-(Inputs!$H$7))*1000/Inputs!$C$12)</x:f>
        <x:v>-15614.706103309647</x:v>
      </x:c>
      <x:c r="L165" t="n">
        <x:f>Scenario_Data!J165-(((SQRT((Inputs!$C$52+(Inputs!$H$8))^2+Inputs!$C$52^2-2*(Inputs!$C$52+(Inputs!$H$8))*Inputs!$C$52*COS(SQRT((Scenario_Data!V165)^2+Inputs!$C$6^2)/Inputs!$C$52)))-(Inputs!$H$8))*1000/Inputs!$C$12)</x:f>
        <x:v>-42423.945096951444</x:v>
      </x:c>
      <x:c r="M165" t="n">
        <x:f>Scenario_Data!K165-(((SQRT((Inputs!$C$52+(Inputs!$H$9))^2+Inputs!$C$52^2-2*(Inputs!$C$52+(Inputs!$H$9))*Inputs!$C$52*COS(SQRT((Scenario_Data!W165)^2+Inputs!$C$6^2)/Inputs!$C$52)))-(Inputs!$H$9))*1000/Inputs!$C$12)</x:f>
        <x:v>-44673.76686765764</x:v>
      </x:c>
      <x:c r="O165" t="n">
        <x:f>Scenario_Data!T165</x:f>
        <x:v>21.480000000000004</x:v>
      </x:c>
      <x:c r="P165" t="n">
        <x:f>2*(Scenario_Data!B165*1000)/Inputs!$C$21*1000000</x:f>
        <x:v>2671.932834280975</x:v>
      </x:c>
      <x:c r="Q165" t="n">
        <x:f>Scenario_Data!U165</x:f>
        <x:v>143.20000000000005</x:v>
      </x:c>
      <x:c r="R165" t="n">
        <x:f>2*(Scenario_Data!C165*1000)/Inputs!$C$21*1000000</x:f>
        <x:v>545.5765001266311</x:v>
      </x:c>
      <x:c r="S165" t="n">
        <x:f>Scenario_Data!V165</x:f>
        <x:v>286.4000000000001</x:v>
      </x:c>
      <x:c r="T165" t="n">
        <x:f>2*(Scenario_Data!D165*1000)/Inputs!$C$21*1000000</x:f>
        <x:v>1058.5874044903426</x:v>
      </x:c>
      <x:c r="U165" t="n">
        <x:f>Scenario_Data!W165</x:f>
        <x:v>286.4000000000001</x:v>
      </x:c>
      <x:c r="V165" t="n">
        <x:f>2*(Scenario_Data!E165*1000)/Inputs!$C$21*1000000</x:f>
        <x:v>1000.4247671901077</x:v>
      </x:c>
      <x:c r="X165" t="n">
        <x:f>Scenario_Data!T165</x:f>
        <x:v>21.480000000000004</x:v>
      </x:c>
      <x:c r="Y165" t="n">
        <x: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x:f>
        <x:v>2671.3747102286848</x:v>
      </x:c>
      <x:c r="Z165" t="n">
        <x:f>Scenario_Data!U165</x:f>
        <x:v>143.20000000000005</x:v>
      </x:c>
      <x:c r="AA165" t="n">
        <x: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x:f>
        <x:v>545.2847603872583</x:v>
      </x:c>
      <x:c r="AB165" t="n">
        <x:f>Scenario_Data!V165</x:f>
        <x:v>286.4000000000001</x:v>
      </x:c>
      <x:c r="AC165" t="n">
        <x: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x:f>
        <x:v>1058.6458157350023</x:v>
      </x:c>
      <x:c r="AD165" t="n">
        <x:f>Scenario_Data!W165</x:f>
        <x:v>286.4000000000001</x:v>
      </x:c>
      <x:c r="AE165" t="n">
        <x: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x:f>
        <x:v>1000.4831784347671</x:v>
      </x:c>
      <x:c r="AG165" t="n">
        <x:f>Scenario_Data!T165</x:f>
        <x:v>21.480000000000004</x:v>
      </x:c>
      <x:c r="AH165" t="n">
        <x:f>2*(SQRT((Inputs!$C$52+(Scenario_Data!B165))^2+Inputs!$C$52^2-2*(Inputs!$C$52+(Scenario_Data!B165))*Inputs!$C$52*COS(SQRT((Scenario_Data!T165)^2+Inputs!$C$6^2)/Inputs!$C$52))*1000)/Inputs!$C$21*1000000</x:f>
        <x:v>2683.2780136005345</x:v>
      </x:c>
      <x:c r="AI165" t="n">
        <x:f>Scenario_Data!U165</x:f>
        <x:v>143.20000000000005</x:v>
      </x:c>
      <x:c r="AJ165" t="n">
        <x:f>2*(SQRT((Inputs!$C$52+(Scenario_Data!C165))^2+Inputs!$C$52^2-2*(Inputs!$C$52+(Scenario_Data!C165))*Inputs!$C$52*COS(SQRT((Scenario_Data!U165)^2+Inputs!$C$6^2)/Inputs!$C$52))*1000)/Inputs!$C$21*1000000</x:f>
        <x:v>1134.320202233334</x:v>
      </x:c>
      <x:c r="AK165" t="n">
        <x:f>Scenario_Data!V165</x:f>
        <x:v>286.4000000000001</x:v>
      </x:c>
      <x:c r="AL165" t="n">
        <x:f>2*(SQRT((Inputs!$C$52+(Scenario_Data!D165))^2+Inputs!$C$52^2-2*(Inputs!$C$52+(Scenario_Data!D165))*Inputs!$C$52*COS(SQRT((Scenario_Data!V165)^2+Inputs!$C$6^2)/Inputs!$C$52))*1000)/Inputs!$C$21*1000000</x:f>
        <x:v>2271.9039940577863</x:v>
      </x:c>
      <x:c r="AM165" t="n">
        <x:f>Scenario_Data!W165</x:f>
        <x:v>286.4000000000001</x:v>
      </x:c>
      <x:c r="AN165" t="n">
        <x:f>2*(SQRT((Inputs!$C$52+(Scenario_Data!E165))^2+Inputs!$C$52^2-2*(Inputs!$C$52+(Scenario_Data!E165))*Inputs!$C$52*COS(SQRT((Scenario_Data!W165)^2+Inputs!$C$6^2)/Inputs!$C$52))*1000)/Inputs!$C$21*1000000</x:f>
        <x:v>2240.826006094351</x:v>
      </x:c>
      <x:c r="AP165" t="n">
        <x:f>Scenario_Data!T165</x:f>
        <x:v>21.480000000000004</x:v>
      </x:c>
      <x:c r="AQ165" t="n">
        <x: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x:f>
        <x:v>2680.3628439768113</x:v>
      </x:c>
      <x:c r="AR165" t="n">
        <x:f>Scenario_Data!U165</x:f>
        <x:v>143.20000000000005</x:v>
      </x:c>
      <x:c r="AS165" t="n">
        <x: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x:f>
        <x:v>1133.8978649739838</x:v>
      </x:c>
      <x:c r="AT165" t="n">
        <x:f>Scenario_Data!V165</x:f>
        <x:v>286.4000000000001</x:v>
      </x:c>
      <x:c r="AU165" t="n">
        <x: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x:f>
        <x:v>2271.6279066061034</x:v>
      </x:c>
      <x:c r="AV165" t="n">
        <x:f>Scenario_Data!W165</x:f>
        <x:v>286.4000000000001</x:v>
      </x:c>
      <x:c r="AW165" t="n">
        <x: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x:f>
        <x:v>2240.564610948291</x:v>
      </x:c>
    </x:row>
    <x:row r="166">
      <x:c r="A166" t="n">
        <x:f>Chart_Data!K166</x:f>
        <x:v>22</x:v>
      </x:c>
      <x:c r="B166" t="n">
        <x:f>Chart_Data!N166-Chart_Data!L166</x:f>
        <x:v>-75.79770446387516</x:v>
      </x:c>
      <x:c r="D166" t="n">
        <x:f>Chart_Data!G166</x:f>
        <x:v>22</x:v>
      </x:c>
      <x:c r="E166" t="n">
        <x:f>Chart_Data!H166</x:f>
        <x:v>447.7794532624074</x:v>
      </x:c>
      <x:c r="F166" t="n">
        <x:f>Chart_Data!I166</x:f>
        <x:v>447.7794532624074</x:v>
      </x:c>
      <x:c r="G166" t="n">
        <x:f>Chart_Data!J166</x:f>
        <x:v>73.36589826371042</x:v>
      </x:c>
      <x:c r="I166" t="n">
        <x:f>Scenario_Data!A166</x:f>
        <x:v>0.367</x:v>
      </x:c>
      <x:c r="J166" t="n">
        <x:f>Scenario_Data!H166-(((SQRT((Inputs!$C$52+(Inputs!$H$6))^2+Inputs!$C$52^2-2*(Inputs!$C$52+(Inputs!$H$6))*Inputs!$C$52*COS(SQRT((Scenario_Data!T166)^2+Inputs!$C$6^2)/Inputs!$C$52)))-(Inputs!$H$6))*1000/Inputs!$C$12)</x:f>
        <x:v>-1.0409543459660426</x:v>
      </x:c>
      <x:c r="K166" t="n">
        <x:f>Scenario_Data!I166-(((SQRT((Inputs!$C$52+(Inputs!$H$7))^2+Inputs!$C$52^2-2*(Inputs!$C$52+(Inputs!$H$7))*Inputs!$C$52*COS(SQRT((Scenario_Data!U166)^2+Inputs!$C$6^2)/Inputs!$C$52)))-(Inputs!$H$7))*1000/Inputs!$C$12)</x:f>
        <x:v>-16423.437974027576</x:v>
      </x:c>
      <x:c r="L166" t="n">
        <x:f>Scenario_Data!J166-(((SQRT((Inputs!$C$52+(Inputs!$H$8))^2+Inputs!$C$52^2-2*(Inputs!$C$52+(Inputs!$H$8))*Inputs!$C$52*COS(SQRT((Scenario_Data!V166)^2+Inputs!$C$6^2)/Inputs!$C$52)))-(Inputs!$H$8))*1000/Inputs!$C$12)</x:f>
        <x:v>-44332.01768741835</x:v>
      </x:c>
      <x:c r="M166" t="n">
        <x:f>Scenario_Data!K166-(((SQRT((Inputs!$C$52+(Inputs!$H$9))^2+Inputs!$C$52^2-2*(Inputs!$C$52+(Inputs!$H$9))*Inputs!$C$52*COS(SQRT((Scenario_Data!W166)^2+Inputs!$C$6^2)/Inputs!$C$52)))-(Inputs!$H$9))*1000/Inputs!$C$12)</x:f>
        <x:v>-46631.87794663398</x:v>
      </x:c>
      <x:c r="O166" t="n">
        <x:f>Scenario_Data!T166</x:f>
        <x:v>22.019999999999996</x:v>
      </x:c>
      <x:c r="P166" t="n">
        <x:f>2*(Scenario_Data!B166*1000)/Inputs!$C$21*1000000</x:f>
        <x:v>2672.106954738668</x:v>
      </x:c>
      <x:c r="Q166" t="n">
        <x:f>Scenario_Data!U166</x:f>
        <x:v>146.79999999999995</x:v>
      </x:c>
      <x:c r="R166" t="n">
        <x:f>2*(Scenario_Data!C166*1000)/Inputs!$C$21*1000000</x:f>
        <x:v>561.4649918911567</x:v>
      </x:c>
      <x:c r="S166" t="n">
        <x:f>Scenario_Data!V166</x:f>
        <x:v>293.5999999999999</x:v>
      </x:c>
      <x:c r="T166" t="n">
        <x:f>2*(Scenario_Data!D166*1000)/Inputs!$C$21*1000000</x:f>
        <x:v>1100.5939649088832</x:v>
      </x:c>
      <x:c r="U166" t="n">
        <x:f>Scenario_Data!W166</x:f>
        <x:v>293.5999999999999</x:v>
      </x:c>
      <x:c r="V166" t="n">
        <x:f>2*(Scenario_Data!E166*1000)/Inputs!$C$21*1000000</x:f>
        <x:v>1042.8666287528815</x:v>
      </x:c>
      <x:c r="X166" t="n">
        <x:f>Scenario_Data!T166</x:f>
        <x:v>22.019999999999996</x:v>
      </x:c>
      <x:c r="Y166" t="n">
        <x: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x:f>
        <x:v>2671.607898305689</x:v>
      </x:c>
      <x:c r="Z166" t="n">
        <x:f>Scenario_Data!U166</x:f>
        <x:v>146.79999999999995</x:v>
      </x:c>
      <x:c r="AA166" t="n">
        <x: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x:f>
        <x:v>560.9838146656962</x:v>
      </x:c>
      <x:c r="AB166" t="n">
        <x:f>Scenario_Data!V166</x:f>
        <x:v>293.5999999999999</x:v>
      </x:c>
      <x:c r="AC166" t="n">
        <x: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x:f>
        <x:v>1100.2228354690478</x:v>
      </x:c>
      <x:c r="AD166" t="n">
        <x:f>Scenario_Data!W166</x:f>
        <x:v>293.5999999999999</x:v>
      </x:c>
      <x:c r="AE166" t="n">
        <x: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x:f>
        <x:v>1042.4954993130461</x:v>
      </x:c>
      <x:c r="AG166" t="n">
        <x:f>Scenario_Data!T166</x:f>
        <x:v>22.019999999999996</x:v>
      </x:c>
      <x:c r="AH166" t="n">
        <x:f>2*(SQRT((Inputs!$C$52+(Scenario_Data!B166))^2+Inputs!$C$52^2-2*(Inputs!$C$52+(Scenario_Data!B166))*Inputs!$C$52*COS(SQRT((Scenario_Data!T166)^2+Inputs!$C$6^2)/Inputs!$C$52))*1000)/Inputs!$C$21*1000000</x:f>
        <x:v>2683.69630309907</x:v>
      </x:c>
      <x:c r="AI166" t="n">
        <x:f>Scenario_Data!U166</x:f>
        <x:v>146.79999999999995</x:v>
      </x:c>
      <x:c r="AJ166" t="n">
        <x:f>2*(SQRT((Inputs!$C$52+(Scenario_Data!C166))^2+Inputs!$C$52^2-2*(Inputs!$C$52+(Scenario_Data!C166))*Inputs!$C$52*COS(SQRT((Scenario_Data!U166)^2+Inputs!$C$6^2)/Inputs!$C$52))*1000)/Inputs!$C$21*1000000</x:f>
        <x:v>1163.87403253476</x:v>
      </x:c>
      <x:c r="AK166" t="n">
        <x:f>Scenario_Data!V166</x:f>
        <x:v>293.5999999999999</x:v>
      </x:c>
      <x:c r="AL166" t="n">
        <x:f>2*(SQRT((Inputs!$C$52+(Scenario_Data!D166))^2+Inputs!$C$52^2-2*(Inputs!$C$52+(Scenario_Data!D166))*Inputs!$C$52*COS(SQRT((Scenario_Data!V166)^2+Inputs!$C$6^2)/Inputs!$C$52))*1000)/Inputs!$C$21*1000000</x:f>
        <x:v>2339.0933871403463</x:v>
      </x:c>
      <x:c r="AM166" t="n">
        <x:f>Scenario_Data!W166</x:f>
        <x:v>293.5999999999999</x:v>
      </x:c>
      <x:c r="AN166" t="n">
        <x:f>2*(SQRT((Inputs!$C$52+(Scenario_Data!E166))^2+Inputs!$C$52^2-2*(Inputs!$C$52+(Scenario_Data!E166))*Inputs!$C$52*COS(SQRT((Scenario_Data!W166)^2+Inputs!$C$6^2)/Inputs!$C$52))*1000)/Inputs!$C$21*1000000</x:f>
        <x:v>2307.86947732593</x:v>
      </x:c>
      <x:c r="AP166" t="n">
        <x:f>Scenario_Data!T166</x:f>
        <x:v>22.019999999999996</x:v>
      </x:c>
      <x:c r="AQ166" t="n">
        <x: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x:f>
        <x:v>2680.656874477047</x:v>
      </x:c>
      <x:c r="AR166" t="n">
        <x:f>Scenario_Data!U166</x:f>
        <x:v>146.79999999999995</x:v>
      </x:c>
      <x:c r="AS166" t="n">
        <x: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x:f>
        <x:v>1163.204522336932</x:v>
      </x:c>
      <x:c r="AT166" t="n">
        <x:f>Scenario_Data!V166</x:f>
        <x:v>293.5999999999999</x:v>
      </x:c>
      <x:c r="AU166" t="n">
        <x: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x:f>
        <x:v>2338.4592438207114</x:v>
      </x:c>
      <x:c r="AV166" t="n">
        <x:f>Scenario_Data!W166</x:f>
        <x:v>293.5999999999999</x:v>
      </x:c>
      <x:c r="AW166" t="n">
        <x: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x:f>
        <x:v>2307.2674673048655</x:v>
      </x:c>
    </x:row>
    <x:row r="167">
      <x:c r="A167" t="n">
        <x:f>Chart_Data!K167</x:f>
        <x:v>22.5</x:v>
      </x:c>
      <x:c r="B167" t="n">
        <x:f>Chart_Data!N167-Chart_Data!L167</x:f>
        <x:v>-76.31405067890728</x:v>
      </x:c>
      <x:c r="D167" t="n">
        <x:f>Chart_Data!G167</x:f>
        <x:v>22.5</x:v>
      </x:c>
      <x:c r="E167" t="n">
        <x:f>Chart_Data!H167</x:f>
        <x:v>442.50927153418206</x:v>
      </x:c>
      <x:c r="F167" t="n">
        <x:f>Chart_Data!I167</x:f>
        <x:v>442.50927153418206</x:v>
      </x:c>
      <x:c r="G167" t="n">
        <x:f>Chart_Data!J167</x:f>
        <x:v>73.86322008676284</x:v>
      </x:c>
      <x:c r="I167" t="n">
        <x:f>Scenario_Data!A167</x:f>
        <x:v>0.375</x:v>
      </x:c>
      <x:c r="J167" t="n">
        <x:f>Scenario_Data!H167-(((SQRT((Inputs!$C$52+(Inputs!$H$6))^2+Inputs!$C$52^2-2*(Inputs!$C$52+(Inputs!$H$6))*Inputs!$C$52*COS(SQRT((Scenario_Data!T167)^2+Inputs!$C$6^2)/Inputs!$C$52)))-(Inputs!$H$6))*1000/Inputs!$C$12)</x:f>
        <x:v>-1.1075409744717035</x:v>
      </x:c>
      <x:c r="K167" t="n">
        <x:f>Scenario_Data!I167-(((SQRT((Inputs!$C$52+(Inputs!$H$7))^2+Inputs!$C$52^2-2*(Inputs!$C$52+(Inputs!$H$7))*Inputs!$C$52*COS(SQRT((Scenario_Data!U167)^2+Inputs!$C$6^2)/Inputs!$C$52)))-(Inputs!$H$7))*1000/Inputs!$C$12)</x:f>
        <x:v>-17155.30788033462</x:v>
      </x:c>
      <x:c r="L167" t="n">
        <x:f>Scenario_Data!J167-(((SQRT((Inputs!$C$52+(Inputs!$H$8))^2+Inputs!$C$52^2-2*(Inputs!$C$52+(Inputs!$H$8))*Inputs!$C$52*COS(SQRT((Scenario_Data!V167)^2+Inputs!$C$6^2)/Inputs!$C$52)))-(Inputs!$H$8))*1000/Inputs!$C$12)</x:f>
        <x:v>-46046.86225919663</x:v>
      </x:c>
      <x:c r="M167" t="n">
        <x:f>Scenario_Data!K167-(((SQRT((Inputs!$C$52+(Inputs!$H$9))^2+Inputs!$C$52^2-2*(Inputs!$C$52+(Inputs!$H$9))*Inputs!$C$52*COS(SQRT((Scenario_Data!W167)^2+Inputs!$C$6^2)/Inputs!$C$52)))-(Inputs!$H$9))*1000/Inputs!$C$12)</x:f>
        <x:v>-48390.51527485564</x:v>
      </x:c>
      <x:c r="O167" t="n">
        <x:f>Scenario_Data!T167</x:f>
        <x:v>22.5</x:v>
      </x:c>
      <x:c r="P167" t="n">
        <x:f>2*(Scenario_Data!B167*1000)/Inputs!$C$21*1000000</x:f>
        <x:v>2672.2653576561956</x:v>
      </x:c>
      <x:c r="Q167" t="n">
        <x:f>Scenario_Data!U167</x:f>
        <x:v>150</x:v>
      </x:c>
      <x:c r="R167" t="n">
        <x:f>2*(Scenario_Data!C167*1000)/Inputs!$C$21*1000000</x:f>
        <x:v>575.9192581155594</x:v>
      </x:c>
      <x:c r="S167" t="n">
        <x:f>Scenario_Data!V167</x:f>
        <x:v>300</x:v>
      </x:c>
      <x:c r="T167" t="n">
        <x:f>2*(Scenario_Data!D167*1000)/Inputs!$C$21*1000000</x:f>
        <x:v>1138.808668762441</x:v>
      </x:c>
      <x:c r="U167" t="n">
        <x:f>Scenario_Data!W167</x:f>
        <x:v>300</x:v>
      </x:c>
      <x:c r="V167" t="n">
        <x:f>2*(Scenario_Data!E167*1000)/Inputs!$C$21*1000000</x:f>
        <x:v>1081.4773399002586</x:v>
      </x:c>
      <x:c r="X167" t="n">
        <x:f>Scenario_Data!T167</x:f>
        <x:v>22.5</x:v>
      </x:c>
      <x:c r="Y167" t="n">
        <x: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x:f>
        <x:v>2671.772595292662</x:v>
      </x:c>
      <x:c r="Z167" t="n">
        <x:f>Scenario_Data!U167</x:f>
        <x:v>150</x:v>
      </x:c>
      <x:c r="AA167" t="n">
        <x: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x:f>
        <x:v>575.2592717158128</x:v>
      </x:c>
      <x:c r="AB167" t="n">
        <x:f>Scenario_Data!V167</x:f>
        <x:v>300</x:v>
      </x:c>
      <x:c r="AC167" t="n">
        <x: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x:f>
        <x:v>1138.7605574322938</x:v>
      </x:c>
      <x:c r="AD167" t="n">
        <x:f>Scenario_Data!W167</x:f>
        <x:v>300</x:v>
      </x:c>
      <x:c r="AE167" t="n">
        <x: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x:f>
        <x:v>1081.4292285701115</x:v>
      </x:c>
      <x:c r="AG167" t="n">
        <x:f>Scenario_Data!T167</x:f>
        <x:v>22.5</x:v>
      </x:c>
      <x:c r="AH167" t="n">
        <x:f>2*(SQRT((Inputs!$C$52+(Scenario_Data!B167))^2+Inputs!$C$52^2-2*(Inputs!$C$52+(Scenario_Data!B167))*Inputs!$C$52*COS(SQRT((Scenario_Data!T167)^2+Inputs!$C$6^2)/Inputs!$C$52))*1000)/Inputs!$C$21*1000000</x:f>
        <x:v>2684.0767928598584</x:v>
      </x:c>
      <x:c r="AI167" t="n">
        <x:f>Scenario_Data!U167</x:f>
        <x:v>150</x:v>
      </x:c>
      <x:c r="AJ167" t="n">
        <x:f>2*(SQRT((Inputs!$C$52+(Scenario_Data!C167))^2+Inputs!$C$52^2-2*(Inputs!$C$52+(Scenario_Data!C167))*Inputs!$C$52*COS(SQRT((Scenario_Data!U167)^2+Inputs!$C$6^2)/Inputs!$C$52))*1000)/Inputs!$C$21*1000000</x:f>
        <x:v>1190.3573781400514</x:v>
      </x:c>
      <x:c r="AK167" t="n">
        <x:f>Scenario_Data!V167</x:f>
        <x:v>300</x:v>
      </x:c>
      <x:c r="AL167" t="n">
        <x:f>2*(SQRT((Inputs!$C$52+(Scenario_Data!D167))^2+Inputs!$C$52^2-2*(Inputs!$C$52+(Scenario_Data!D167))*Inputs!$C$52*COS(SQRT((Scenario_Data!V167)^2+Inputs!$C$6^2)/Inputs!$C$52))*1000)/Inputs!$C$21*1000000</x:f>
        <x:v>2399.4815554213374</x:v>
      </x:c>
      <x:c r="AM167" t="n">
        <x:f>Scenario_Data!W167</x:f>
        <x:v>300</x:v>
      </x:c>
      <x:c r="AN167" t="n">
        <x:f>2*(SQRT((Inputs!$C$52+(Scenario_Data!E167))^2+Inputs!$C$52^2-2*(Inputs!$C$52+(Scenario_Data!E167))*Inputs!$C$52*COS(SQRT((Scenario_Data!W167)^2+Inputs!$C$6^2)/Inputs!$C$52))*1000)/Inputs!$C$21*1000000</x:f>
        <x:v>2368.1387047809635</x:v>
      </x:c>
      <x:c r="AP167" t="n">
        <x:f>Scenario_Data!T167</x:f>
        <x:v>22.5</x:v>
      </x:c>
      <x:c r="AQ167" t="n">
        <x: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x:f>
        <x:v>2681.141038946116</x:v>
      </x:c>
      <x:c r="AR167" t="n">
        <x:f>Scenario_Data!U167</x:f>
        <x:v>150</x:v>
      </x:c>
      <x:c r="AS167" t="n">
        <x: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x:f>
        <x:v>1189.7387412010428</x:v>
      </x:c>
      <x:c r="AT167" t="n">
        <x:f>Scenario_Data!V167</x:f>
        <x:v>300</x:v>
      </x:c>
      <x:c r="AU167" t="n">
        <x: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x:f>
        <x:v>2399.2316666520933</x:v>
      </x:c>
      <x:c r="AV167" t="n">
        <x:f>Scenario_Data!W167</x:f>
        <x:v>300</x:v>
      </x:c>
      <x:c r="AW167" t="n">
        <x: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x:f>
        <x:v>2367.9009230173983</x:v>
      </x:c>
    </x:row>
    <x:row r="168">
      <x:c r="A168" t="n">
        <x:f>Chart_Data!K168</x:f>
        <x:v>23</x:v>
      </x:c>
      <x:c r="B168" t="n">
        <x:f>Chart_Data!N168-Chart_Data!L168</x:f>
        <x:v>-64.25633636231674</x:v>
      </x:c>
      <x:c r="D168" t="n">
        <x:f>Chart_Data!G168</x:f>
        <x:v>23</x:v>
      </x:c>
      <x:c r="E168" t="n">
        <x:f>Chart_Data!H168</x:f>
        <x:v>438.1289491107309</x:v>
      </x:c>
      <x:c r="F168" t="n">
        <x:f>Chart_Data!I168</x:f>
        <x:v>438.1289491107309</x:v>
      </x:c>
      <x:c r="G168" t="n">
        <x:f>Chart_Data!J168</x:f>
        <x:v>61.781548358505674</x:v>
      </x:c>
      <x:c r="I168" t="n">
        <x:f>Scenario_Data!A168</x:f>
        <x:v>0.383</x:v>
      </x:c>
      <x:c r="J168" t="n">
        <x:f>Scenario_Data!H168-(((SQRT((Inputs!$C$52+(Inputs!$H$6))^2+Inputs!$C$52^2-2*(Inputs!$C$52+(Inputs!$H$6))*Inputs!$C$52*COS(SQRT((Scenario_Data!T168)^2+Inputs!$C$6^2)/Inputs!$C$52)))-(Inputs!$H$6))*1000/Inputs!$C$12)</x:f>
        <x:v>-1.1773600760669751</x:v>
      </x:c>
      <x:c r="K168" t="n">
        <x:f>Scenario_Data!I168-(((SQRT((Inputs!$C$52+(Inputs!$H$7))^2+Inputs!$C$52^2-2*(Inputs!$C$52+(Inputs!$H$7))*Inputs!$C$52*COS(SQRT((Scenario_Data!U168)^2+Inputs!$C$6^2)/Inputs!$C$52)))-(Inputs!$H$7))*1000/Inputs!$C$12)</x:f>
        <x:v>-17899.1384159448</x:v>
      </x:c>
      <x:c r="L168" t="n">
        <x:f>Scenario_Data!J168-(((SQRT((Inputs!$C$52+(Inputs!$H$8))^2+Inputs!$C$52^2-2*(Inputs!$C$52+(Inputs!$H$8))*Inputs!$C$52*COS(SQRT((Scenario_Data!V168)^2+Inputs!$C$6^2)/Inputs!$C$52)))-(Inputs!$H$8))*1000/Inputs!$C$12)</x:f>
        <x:v>-47778.5757557234</x:v>
      </x:c>
      <x:c r="M168" t="n">
        <x:f>Scenario_Data!K168-(((SQRT((Inputs!$C$52+(Inputs!$H$9))^2+Inputs!$C$52^2-2*(Inputs!$C$52+(Inputs!$H$9))*Inputs!$C$52*COS(SQRT((Scenario_Data!W168)^2+Inputs!$C$6^2)/Inputs!$C$52)))-(Inputs!$H$9))*1000/Inputs!$C$12)</x:f>
        <x:v>-50165.37147334049</x:v>
      </x:c>
      <x:c r="O168" t="n">
        <x:f>Scenario_Data!T168</x:f>
        <x:v>22.980000000000004</x:v>
      </x:c>
      <x:c r="P168" t="n">
        <x:f>2*(Scenario_Data!B168*1000)/Inputs!$C$21*1000000</x:f>
        <x:v>2672.427176270058</x:v>
      </x:c>
      <x:c r="Q168" t="n">
        <x:f>Scenario_Data!U168</x:f>
        <x:v>153.20000000000005</x:v>
      </x:c>
      <x:c r="R168" t="n">
        <x:f>2*(Scenario_Data!C168*1000)/Inputs!$C$21*1000000</x:f>
        <x:v>590.6852066305153</x:v>
      </x:c>
      <x:c r="S168" t="n">
        <x:f>Scenario_Data!V168</x:f>
        <x:v>306.4000000000001</x:v>
      </x:c>
      <x:c r="T168" t="n">
        <x:f>2*(Scenario_Data!D168*1000)/Inputs!$C$21*1000000</x:f>
        <x:v>1177.8474093567763</x:v>
      </x:c>
      <x:c r="U168" t="n">
        <x:f>Scenario_Data!W168</x:f>
        <x:v>306.4000000000001</x:v>
      </x:c>
      <x:c r="V168" t="n">
        <x:f>2*(Scenario_Data!E168*1000)/Inputs!$C$21*1000000</x:f>
        <x:v>1120.9206270292505</x:v>
      </x:c>
      <x:c r="X168" t="n">
        <x:f>Scenario_Data!T168</x:f>
        <x:v>22.980000000000004</x:v>
      </x:c>
      <x:c r="Y168" t="n">
        <x: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x:f>
        <x:v>2671.903622796239</x:v>
      </x:c>
      <x:c r="Z168" t="n">
        <x:f>Scenario_Data!U168</x:f>
        <x:v>153.20000000000005</x:v>
      </x:c>
      <x:c r="AA168" t="n">
        <x: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x:f>
        <x:v>590.285607665682</x:v>
      </x:c>
      <x:c r="AB168" t="n">
        <x:f>Scenario_Data!V168</x:f>
        <x:v>306.4000000000001</x:v>
      </x:c>
      <x:c r="AC168" t="n">
        <x: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x:f>
        <x:v>1177.7366521085353</x:v>
      </x:c>
      <x:c r="AD168" t="n">
        <x:f>Scenario_Data!W168</x:f>
        <x:v>306.4000000000001</x:v>
      </x:c>
      <x:c r="AE168" t="n">
        <x: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x:f>
        <x:v>1120.8098697810094</x:v>
      </x:c>
      <x:c r="AG168" t="n">
        <x:f>Scenario_Data!T168</x:f>
        <x:v>22.980000000000004</x:v>
      </x:c>
      <x:c r="AH168" t="n">
        <x:f>2*(SQRT((Inputs!$C$52+(Scenario_Data!B168))^2+Inputs!$C$52^2-2*(Inputs!$C$52+(Scenario_Data!B168))*Inputs!$C$52*COS(SQRT((Scenario_Data!T168)^2+Inputs!$C$6^2)/Inputs!$C$52))*1000)/Inputs!$C$21*1000000</x:f>
        <x:v>2684.465446445234</x:v>
      </x:c>
      <x:c r="AI168" t="n">
        <x:f>Scenario_Data!U168</x:f>
        <x:v>153.20000000000005</x:v>
      </x:c>
      <x:c r="AJ168" t="n">
        <x:f>2*(SQRT((Inputs!$C$52+(Scenario_Data!C168))^2+Inputs!$C$52^2-2*(Inputs!$C$52+(Scenario_Data!C168))*Inputs!$C$52*COS(SQRT((Scenario_Data!U168)^2+Inputs!$C$6^2)/Inputs!$C$52))*1000)/Inputs!$C$21*1000000</x:f>
        <x:v>1217.0425226665805</x:v>
      </x:c>
      <x:c r="AK168" t="n">
        <x:f>Scenario_Data!V168</x:f>
        <x:v>306.4000000000001</x:v>
      </x:c>
      <x:c r="AL168" t="n">
        <x:f>2*(SQRT((Inputs!$C$52+(Scenario_Data!D168))^2+Inputs!$C$52^2-2*(Inputs!$C$52+(Scenario_Data!D168))*Inputs!$C$52*COS(SQRT((Scenario_Data!V168)^2+Inputs!$C$6^2)/Inputs!$C$52))*1000)/Inputs!$C$21*1000000</x:f>
        <x:v>2460.503062399682</x:v>
      </x:c>
      <x:c r="AM168" t="n">
        <x:f>Scenario_Data!W168</x:f>
        <x:v>306.4000000000001</x:v>
      </x:c>
      <x:c r="AN168" t="n">
        <x:f>2*(SQRT((Inputs!$C$52+(Scenario_Data!E168))^2+Inputs!$C$52^2-2*(Inputs!$C$52+(Scenario_Data!E168))*Inputs!$C$52*COS(SQRT((Scenario_Data!W168)^2+Inputs!$C$6^2)/Inputs!$C$52))*1000)/Inputs!$C$21*1000000</x:f>
        <x:v>2429.051843860189</x:v>
      </x:c>
      <x:c r="AP168" t="n">
        <x:f>Scenario_Data!T168</x:f>
        <x:v>22.980000000000004</x:v>
      </x:c>
      <x:c r="AQ168" t="n">
        <x: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x:f>
        <x:v>2681.4410343801505</x:v>
      </x:c>
      <x:c r="AR168" t="n">
        <x:f>Scenario_Data!U168</x:f>
        <x:v>153.20000000000005</x:v>
      </x:c>
      <x:c r="AS168" t="n">
        <x: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x:f>
        <x:v>1216.6467476359378</x:v>
      </x:c>
      <x:c r="AT168" t="n">
        <x:f>Scenario_Data!V168</x:f>
        <x:v>306.4000000000001</x:v>
      </x:c>
      <x:c r="AU168" t="n">
        <x: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x:f>
        <x:v>2460.0404173793613</x:v>
      </x:c>
      <x:c r="AV168" t="n">
        <x:f>Scenario_Data!W168</x:f>
        <x:v>306.4000000000001</x:v>
      </x:c>
      <x:c r="AW168" t="n">
        <x: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x:f>
        <x:v>2428.610657778259</x:v>
      </x:c>
    </x:row>
    <x:row r="169">
      <x:c r="A169" t="n">
        <x:f>Chart_Data!K169</x:f>
        <x:v>23.5</x:v>
      </x:c>
      <x:c r="B169" t="n">
        <x:f>Chart_Data!N169-Chart_Data!L169</x:f>
        <x:v>-73.4728540128869</x:v>
      </x:c>
      <x:c r="D169" t="n">
        <x:f>Chart_Data!G169</x:f>
        <x:v>23.5</x:v>
      </x:c>
      <x:c r="E169" t="n">
        <x:f>Chart_Data!H169</x:f>
        <x:v>431.2131008039683</x:v>
      </x:c>
      <x:c r="F169" t="n">
        <x:f>Chart_Data!I169</x:f>
        <x:v>431.2131008039683</x:v>
      </x:c>
      <x:c r="G169" t="n">
        <x:f>Chart_Data!J169</x:f>
        <x:v>70.98866885242666</x:v>
      </x:c>
      <x:c r="I169" t="n">
        <x:f>Scenario_Data!A169</x:f>
        <x:v>0.392</x:v>
      </x:c>
      <x:c r="J169" t="n">
        <x:f>Scenario_Data!H169-(((SQRT((Inputs!$C$52+(Inputs!$H$6))^2+Inputs!$C$52^2-2*(Inputs!$C$52+(Inputs!$H$6))*Inputs!$C$52*COS(SQRT((Scenario_Data!T169)^2+Inputs!$C$6^2)/Inputs!$C$52)))-(Inputs!$H$6))*1000/Inputs!$C$12)</x:f>
        <x:v>-1.2599122492363222</x:v>
      </x:c>
      <x:c r="K169" t="n">
        <x:f>Scenario_Data!I169-(((SQRT((Inputs!$C$52+(Inputs!$H$7))^2+Inputs!$C$52^2-2*(Inputs!$C$52+(Inputs!$H$7))*Inputs!$C$52*COS(SQRT((Scenario_Data!U169)^2+Inputs!$C$6^2)/Inputs!$C$52)))-(Inputs!$H$7))*1000/Inputs!$C$12)</x:f>
        <x:v>-18749.92392848187</x:v>
      </x:c>
      <x:c r="L169" t="n">
        <x:f>Scenario_Data!J169-(((SQRT((Inputs!$C$52+(Inputs!$H$8))^2+Inputs!$C$52^2-2*(Inputs!$C$52+(Inputs!$H$8))*Inputs!$C$52*COS(SQRT((Scenario_Data!V169)^2+Inputs!$C$6^2)/Inputs!$C$52)))-(Inputs!$H$8))*1000/Inputs!$C$12)</x:f>
        <x:v>-49745.97565061507</x:v>
      </x:c>
      <x:c r="M169" t="n">
        <x:f>Scenario_Data!K169-(((SQRT((Inputs!$C$52+(Inputs!$H$9))^2+Inputs!$C$52^2-2*(Inputs!$C$52+(Inputs!$H$9))*Inputs!$C$52*COS(SQRT((Scenario_Data!W169)^2+Inputs!$C$6^2)/Inputs!$C$52)))-(Inputs!$H$9))*1000/Inputs!$C$12)</x:f>
        <x:v>-52180.52535474431</x:v>
      </x:c>
      <x:c r="O169" t="n">
        <x:f>Scenario_Data!T169</x:f>
        <x:v>23.519999999999996</x:v>
      </x:c>
      <x:c r="P169" t="n">
        <x:f>2*(Scenario_Data!B169*1000)/Inputs!$C$21*1000000</x:f>
        <x:v>2672.6133050351787</x:v>
      </x:c>
      <x:c r="Q169" t="n">
        <x:f>Scenario_Data!U169</x:f>
        <x:v>156.79999999999995</x:v>
      </x:c>
      <x:c r="R169" t="n">
        <x:f>2*(Scenario_Data!C169*1000)/Inputs!$C$21*1000000</x:f>
        <x:v>607.6694564477666</x:v>
      </x:c>
      <x:c r="S169" t="n">
        <x:f>Scenario_Data!V169</x:f>
        <x:v>313.5999999999999</x:v>
      </x:c>
      <x:c r="T169" t="n">
        <x:f>2*(Scenario_Data!D169*1000)/Inputs!$C$21*1000000</x:f>
        <x:v>1222.7509739421123</x:v>
      </x:c>
      <x:c r="U169" t="n">
        <x:f>Scenario_Data!W169</x:f>
        <x:v>313.5999999999999</x:v>
      </x:c>
      <x:c r="V169" t="n">
        <x:f>2*(Scenario_Data!E169*1000)/Inputs!$C$21*1000000</x:f>
        <x:v>1166.2895135273877</x:v>
      </x:c>
      <x:c r="X169" t="n">
        <x:f>Scenario_Data!T169</x:f>
        <x:v>23.519999999999996</x:v>
      </x:c>
      <x:c r="Y169" t="n">
        <x: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x:f>
        <x:v>2672.186431982876</x:v>
      </x:c>
      <x:c r="Z169" t="n">
        <x:f>Scenario_Data!U169</x:f>
        <x:v>156.79999999999995</x:v>
      </x:c>
      <x:c r="AA169" t="n">
        <x: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x:f>
        <x:v>607.501561535222</x:v>
      </x:c>
      <x:c r="AB169" t="n">
        <x:f>Scenario_Data!V169</x:f>
        <x:v>313.5999999999999</x:v>
      </x:c>
      <x:c r="AC169" t="n">
        <x: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x:f>
        <x:v>1222.6057281367232</x:v>
      </x:c>
      <x:c r="AD169" t="n">
        <x:f>Scenario_Data!W169</x:f>
        <x:v>313.5999999999999</x:v>
      </x:c>
      <x:c r="AE169" t="n">
        <x: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x:f>
        <x:v>1166.1442677219984</x:v>
      </x:c>
      <x:c r="AG169" t="n">
        <x:f>Scenario_Data!T169</x:f>
        <x:v>23.519999999999996</x:v>
      </x:c>
      <x:c r="AH169" t="n">
        <x:f>2*(SQRT((Inputs!$C$52+(Scenario_Data!B169))^2+Inputs!$C$52^2-2*(Inputs!$C$52+(Scenario_Data!B169))*Inputs!$C$52*COS(SQRT((Scenario_Data!T169)^2+Inputs!$C$6^2)/Inputs!$C$52))*1000)/Inputs!$C$21*1000000</x:f>
        <x:v>2684.9124368195003</x:v>
      </x:c>
      <x:c r="AI169" t="n">
        <x:f>Scenario_Data!U169</x:f>
        <x:v>156.79999999999995</x:v>
      </x:c>
      <x:c r="AJ169" t="n">
        <x:f>2*(SQRT((Inputs!$C$52+(Scenario_Data!C169))^2+Inputs!$C$52^2-2*(Inputs!$C$52+(Scenario_Data!C169))*Inputs!$C$52*COS(SQRT((Scenario_Data!U169)^2+Inputs!$C$6^2)/Inputs!$C$52))*1000)/Inputs!$C$21*1000000</x:f>
        <x:v>1247.305949695761</x:v>
      </x:c>
      <x:c r="AK169" t="n">
        <x:f>Scenario_Data!V169</x:f>
        <x:v>313.5999999999999</x:v>
      </x:c>
      <x:c r="AL169" t="n">
        <x:f>2*(SQRT((Inputs!$C$52+(Scenario_Data!D169))^2+Inputs!$C$52^2-2*(Inputs!$C$52+(Scenario_Data!D169))*Inputs!$C$52*COS(SQRT((Scenario_Data!V169)^2+Inputs!$C$6^2)/Inputs!$C$52))*1000)/Inputs!$C$21*1000000</x:f>
        <x:v>2529.918895127145</x:v>
      </x:c>
      <x:c r="AM169" t="n">
        <x:f>Scenario_Data!W169</x:f>
        <x:v>313.5999999999999</x:v>
      </x:c>
      <x:c r="AN169" t="n">
        <x:f>2*(SQRT((Inputs!$C$52+(Scenario_Data!E169))^2+Inputs!$C$52^2-2*(Inputs!$C$52+(Scenario_Data!E169))*Inputs!$C$52*COS(SQRT((Scenario_Data!W169)^2+Inputs!$C$6^2)/Inputs!$C$52))*1000)/Inputs!$C$21*1000000</x:f>
        <x:v>2498.3588768603126</x:v>
      </x:c>
      <x:c r="AP169" t="n">
        <x:f>Scenario_Data!T169</x:f>
        <x:v>23.519999999999996</x:v>
      </x:c>
      <x:c r="AQ169" t="n">
        <x: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x:f>
        <x:v>2681.9939788953425</x:v>
      </x:c>
      <x:c r="AR169" t="n">
        <x:f>Scenario_Data!U169</x:f>
        <x:v>156.79999999999995</x:v>
      </x:c>
      <x:c r="AS169" t="n">
        <x: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x:f>
        <x:v>1246.8959337465285</x:v>
      </x:c>
      <x:c r="AT169" t="n">
        <x:f>Scenario_Data!V169</x:f>
        <x:v>313.5999999999999</x:v>
      </x:c>
      <x:c r="AU169" t="n">
        <x: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x:f>
        <x:v>2529.4862966892415</x:v>
      </x:c>
      <x:c r="AV169" t="n">
        <x:f>Scenario_Data!W169</x:f>
        <x:v>313.5999999999999</x:v>
      </x:c>
      <x:c r="AW169" t="n">
        <x: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x:f>
        <x:v>2497.9453758114487</x:v>
      </x:c>
    </x:row>
    <x:row r="170">
      <x:c r="A170" t="n">
        <x:f>Chart_Data!K170</x:f>
        <x:v>24</x:v>
      </x:c>
      <x:c r="B170" t="n">
        <x:f>Chart_Data!N170-Chart_Data!L170</x:f>
        <x:v>-78.06097148319265</x:v>
      </x:c>
      <x:c r="D170" t="n">
        <x:f>Chart_Data!G170</x:f>
        <x:v>24</x:v>
      </x:c>
      <x:c r="E170" t="n">
        <x:f>Chart_Data!H170</x:f>
        <x:v>441.2625072507224</x:v>
      </x:c>
      <x:c r="F170" t="n">
        <x:f>Chart_Data!I170</x:f>
        <x:v>441.2625072507224</x:v>
      </x:c>
      <x:c r="G170" t="n">
        <x:f>Chart_Data!J170</x:f>
        <x:v>75.46815017037277</x:v>
      </x:c>
      <x:c r="I170" t="n">
        <x:f>Scenario_Data!A170</x:f>
        <x:v>0.4</x:v>
      </x:c>
      <x:c r="J170" t="n">
        <x:f>Scenario_Data!H170-(((SQRT((Inputs!$C$52+(Inputs!$H$6))^2+Inputs!$C$52^2-2*(Inputs!$C$52+(Inputs!$H$6))*Inputs!$C$52*COS(SQRT((Scenario_Data!T170)^2+Inputs!$C$6^2)/Inputs!$C$52)))-(Inputs!$H$6))*1000/Inputs!$C$12)</x:f>
        <x:v>-1.3369812749583616</x:v>
      </x:c>
      <x:c r="K170" t="n">
        <x:f>Scenario_Data!I170-(((SQRT((Inputs!$C$52+(Inputs!$H$7))^2+Inputs!$C$52^2-2*(Inputs!$C$52+(Inputs!$H$7))*Inputs!$C$52*COS(SQRT((Scenario_Data!U170)^2+Inputs!$C$6^2)/Inputs!$C$52)))-(Inputs!$H$7))*1000/Inputs!$C$12)</x:f>
        <x:v>-19518.31997454776</x:v>
      </x:c>
      <x:c r="L170" t="n">
        <x:f>Scenario_Data!J170-(((SQRT((Inputs!$C$52+(Inputs!$H$8))^2+Inputs!$C$52^2-2*(Inputs!$C$52+(Inputs!$H$8))*Inputs!$C$52*COS(SQRT((Scenario_Data!V170)^2+Inputs!$C$6^2)/Inputs!$C$52)))-(Inputs!$H$8))*1000/Inputs!$C$12)</x:f>
        <x:v>-51511.04432508859</x:v>
      </x:c>
      <x:c r="M170" t="n">
        <x:f>Scenario_Data!K170-(((SQRT((Inputs!$C$52+(Inputs!$H$9))^2+Inputs!$C$52^2-2*(Inputs!$C$52+(Inputs!$H$9))*Inputs!$C$52*COS(SQRT((Scenario_Data!W170)^2+Inputs!$C$6^2)/Inputs!$C$52)))-(Inputs!$H$9))*1000/Inputs!$C$12)</x:f>
        <x:v>-53987.34398363595</x:v>
      </x:c>
      <x:c r="O170" t="n">
        <x:f>Scenario_Data!T170</x:f>
        <x:v>24</x:v>
      </x:c>
      <x:c r="P170" t="n">
        <x:f>2*(Scenario_Data!B170*1000)/Inputs!$C$21*1000000</x:f>
        <x:v>2672.782382003753</x:v>
      </x:c>
      <x:c r="Q170" t="n">
        <x:f>Scenario_Data!U170</x:f>
        <x:v>160</x:v>
      </x:c>
      <x:c r="R170" t="n">
        <x:f>2*(Scenario_Data!C170*1000)/Inputs!$C$21*1000000</x:f>
        <x:v>623.097729830148</x:v>
      </x:c>
      <x:c r="S170" t="n">
        <x:f>Scenario_Data!V170</x:f>
        <x:v>320</x:v>
      </x:c>
      <x:c r="T170" t="n">
        <x:f>2*(Scenario_Data!D170*1000)/Inputs!$C$21*1000000</x:f>
        <x:v>1263.5407926106002</x:v>
      </x:c>
      <x:c r="U170" t="n">
        <x:f>Scenario_Data!W170</x:f>
        <x:v>320</x:v>
      </x:c>
      <x:c r="V170" t="n">
        <x:f>2*(Scenario_Data!E170*1000)/Inputs!$C$21*1000000</x:f>
        <x:v>1207.5020246173106</x:v>
      </x:c>
      <x:c r="X170" t="n">
        <x:f>Scenario_Data!T170</x:f>
        <x:v>24</x:v>
      </x:c>
      <x:c r="Y170" t="n">
        <x: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x:f>
        <x:v>2672.278912699196</x:v>
      </x:c>
      <x:c r="Z170" t="n">
        <x:f>Scenario_Data!U170</x:f>
        <x:v>160</x:v>
      </x:c>
      <x:c r="AA170" t="n">
        <x: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x:f>
        <x:v>622.9166520341081</x:v>
      </x:c>
      <x:c r="AB170" t="n">
        <x:f>Scenario_Data!V170</x:f>
        <x:v>320</x:v>
      </x:c>
      <x:c r="AC170" t="n">
        <x: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x:f>
        <x:v>1263.7436976342328</x:v>
      </x:c>
      <x:c r="AD170" t="n">
        <x:f>Scenario_Data!W170</x:f>
        <x:v>320</x:v>
      </x:c>
      <x:c r="AE170" t="n">
        <x: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x:f>
        <x:v>1207.7049296409432</x:v>
      </x:c>
      <x:c r="AG170" t="n">
        <x:f>Scenario_Data!T170</x:f>
        <x:v>24</x:v>
      </x:c>
      <x:c r="AH170" t="n">
        <x:f>2*(SQRT((Inputs!$C$52+(Scenario_Data!B170))^2+Inputs!$C$52^2-2*(Inputs!$C$52+(Scenario_Data!B170))*Inputs!$C$52*COS(SQRT((Scenario_Data!T170)^2+Inputs!$C$6^2)/Inputs!$C$52))*1000)/Inputs!$C$21*1000000</x:f>
        <x:v>2685.318429856306</x:v>
      </x:c>
      <x:c r="AI170" t="n">
        <x:f>Scenario_Data!U170</x:f>
        <x:v>160</x:v>
      </x:c>
      <x:c r="AJ170" t="n">
        <x:f>2*(SQRT((Inputs!$C$52+(Scenario_Data!C170))^2+Inputs!$C$52^2-2*(Inputs!$C$52+(Scenario_Data!C170))*Inputs!$C$52*COS(SQRT((Scenario_Data!U170)^2+Inputs!$C$6^2)/Inputs!$C$52))*1000)/Inputs!$C$21*1000000</x:f>
        <x:v>1274.4238323326915</x:v>
      </x:c>
      <x:c r="AK170" t="n">
        <x:f>Scenario_Data!V170</x:f>
        <x:v>320</x:v>
      </x:c>
      <x:c r="AL170" t="n">
        <x:f>2*(SQRT((Inputs!$C$52+(Scenario_Data!D170))^2+Inputs!$C$52^2-2*(Inputs!$C$52+(Scenario_Data!D170))*Inputs!$C$52*COS(SQRT((Scenario_Data!V170)^2+Inputs!$C$6^2)/Inputs!$C$52))*1000)/Inputs!$C$21*1000000</x:f>
        <x:v>2592.311715433615</x:v>
      </x:c>
      <x:c r="AM170" t="n">
        <x:f>Scenario_Data!W170</x:f>
        <x:v>320</x:v>
      </x:c>
      <x:c r="AN170" t="n">
        <x:f>2*(SQRT((Inputs!$C$52+(Scenario_Data!E170))^2+Inputs!$C$52^2-2*(Inputs!$C$52+(Scenario_Data!E170))*Inputs!$C$52*COS(SQRT((Scenario_Data!W170)^2+Inputs!$C$6^2)/Inputs!$C$52))*1000)/Inputs!$C$21*1000000</x:f>
        <x:v>2560.6670284536167</x:v>
      </x:c>
      <x:c r="AP170" t="n">
        <x:f>Scenario_Data!T170</x:f>
        <x:v>24</x:v>
      </x:c>
      <x:c r="AQ170" t="n">
        <x: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x:f>
        <x:v>2682.3919407186913</x:v>
      </x:c>
      <x:c r="AR170" t="n">
        <x:f>Scenario_Data!U170</x:f>
        <x:v>160</x:v>
      </x:c>
      <x:c r="AS170" t="n">
        <x: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x:f>
        <x:v>1273.942666327713</x:v>
      </x:c>
      <x:c r="AT170" t="n">
        <x:f>Scenario_Data!V170</x:f>
        <x:v>320</x:v>
      </x:c>
      <x:c r="AU170" t="n">
        <x: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x:f>
        <x:v>2592.146348508657</x:v>
      </x:c>
      <x:c r="AV170" t="n">
        <x:f>Scenario_Data!W170</x:f>
        <x:v>320</x:v>
      </x:c>
      <x:c r="AW170" t="n">
        <x: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x:f>
        <x:v>2560.508645682442</x:v>
      </x:c>
    </x:row>
    <x:row r="171">
      <x:c r="A171" t="n">
        <x:f>Chart_Data!K171</x:f>
        <x:v>24.5</x:v>
      </x:c>
      <x:c r="B171" t="n">
        <x:f>Chart_Data!N171-Chart_Data!L171</x:f>
        <x:v>-82.77777036737297</x:v>
      </x:c>
      <x:c r="D171" t="n">
        <x:f>Chart_Data!G171</x:f>
        <x:v>24.5</x:v>
      </x:c>
      <x:c r="E171" t="n">
        <x:f>Chart_Data!H171</x:f>
        <x:v>415.4369773442437</x:v>
      </x:c>
      <x:c r="F171" t="n">
        <x:f>Chart_Data!I171</x:f>
        <x:v>415.4369773442437</x:v>
      </x:c>
      <x:c r="G171" t="n">
        <x:f>Chart_Data!J171</x:f>
        <x:v>80.2881627342364</x:v>
      </x:c>
      <x:c r="I171" t="n">
        <x:f>Scenario_Data!A171</x:f>
        <x:v>0.408</x:v>
      </x:c>
      <x:c r="J171" t="n">
        <x:f>Scenario_Data!H171-(((SQRT((Inputs!$C$52+(Inputs!$H$6))^2+Inputs!$C$52^2-2*(Inputs!$C$52+(Inputs!$H$6))*Inputs!$C$52*COS(SQRT((Scenario_Data!T171)^2+Inputs!$C$6^2)/Inputs!$C$52)))-(Inputs!$H$6))*1000/Inputs!$C$12)</x:f>
        <x:v>-1.4176461878619193</x:v>
      </x:c>
      <x:c r="K171" t="n">
        <x:f>Scenario_Data!I171-(((SQRT((Inputs!$C$52+(Inputs!$H$7))^2+Inputs!$C$52^2-2*(Inputs!$C$52+(Inputs!$H$7))*Inputs!$C$52*COS(SQRT((Scenario_Data!U171)^2+Inputs!$C$6^2)/Inputs!$C$52)))-(Inputs!$H$7))*1000/Inputs!$C$12)</x:f>
        <x:v>-20297.88323737291</x:v>
      </x:c>
      <x:c r="L171" t="n">
        <x:f>Scenario_Data!J171-(((SQRT((Inputs!$C$52+(Inputs!$H$8))^2+Inputs!$C$52^2-2*(Inputs!$C$52+(Inputs!$H$8))*Inputs!$C$52*COS(SQRT((Scenario_Data!V171)^2+Inputs!$C$6^2)/Inputs!$C$52)))-(Inputs!$H$8))*1000/Inputs!$C$12)</x:f>
        <x:v>-53290.67307252441</x:v>
      </x:c>
      <x:c r="M171" t="n">
        <x:f>Scenario_Data!K171-(((SQRT((Inputs!$C$52+(Inputs!$H$9))^2+Inputs!$C$52^2-2*(Inputs!$C$52+(Inputs!$H$9))*Inputs!$C$52*COS(SQRT((Scenario_Data!W171)^2+Inputs!$C$6^2)/Inputs!$C$52)))-(Inputs!$H$9))*1000/Inputs!$C$12)</x:f>
        <x:v>-55808.06323941368</x:v>
      </x:c>
      <x:c r="O171" t="n">
        <x:f>Scenario_Data!T171</x:f>
        <x:v>24.47999999999999</x:v>
      </x:c>
      <x:c r="P171" t="n">
        <x:f>2*(Scenario_Data!B171*1000)/Inputs!$C$21*1000000</x:f>
        <x:v>2672.954874668662</x:v>
      </x:c>
      <x:c r="Q171" t="n">
        <x:f>Scenario_Data!U171</x:f>
        <x:v>163.19999999999993</x:v>
      </x:c>
      <x:c r="R171" t="n">
        <x:f>2*(Scenario_Data!C171*1000)/Inputs!$C$21*1000000</x:f>
        <x:v>638.8376855030817</x:v>
      </x:c>
      <x:c r="S171" t="n">
        <x:f>Scenario_Data!V171</x:f>
        <x:v>326.39999999999986</x:v>
      </x:c>
      <x:c r="T171" t="n">
        <x:f>2*(Scenario_Data!D171*1000)/Inputs!$C$21*1000000</x:f>
        <x:v>1305.1546480198635</x:v>
      </x:c>
      <x:c r="U171" t="n">
        <x:f>Scenario_Data!W171</x:f>
        <x:v>326.39999999999986</x:v>
      </x:c>
      <x:c r="V171" t="n">
        <x:f>2*(Scenario_Data!E171*1000)/Inputs!$C$21*1000000</x:f>
        <x:v>1249.5471116888461</x:v>
      </x:c>
      <x:c r="X171" t="n">
        <x:f>Scenario_Data!T171</x:f>
        <x:v>24.47999999999999</x:v>
      </x:c>
      <x:c r="Y171" t="n">
        <x: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x:f>
        <x:v>2672.422684953723</x:v>
      </x:c>
      <x:c r="Z171" t="n">
        <x:f>Scenario_Data!U171</x:f>
        <x:v>163.19999999999993</x:v>
      </x:c>
      <x:c r="AA171" t="n">
        <x: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x:f>
        <x:v>638.4143292101328</x:v>
      </x:c>
      <x:c r="AB171" t="n">
        <x:f>Scenario_Data!V171</x:f>
        <x:v>326.39999999999986</x:v>
      </x:c>
      <x:c r="AC171" t="n">
        <x: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x:f>
        <x:v>1304.993058303427</x:v>
      </x:c>
      <x:c r="AD171" t="n">
        <x:f>Scenario_Data!W171</x:f>
        <x:v>326.39999999999986</x:v>
      </x:c>
      <x:c r="AE171" t="n">
        <x: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x:f>
        <x:v>1249.3855219724098</x:v>
      </x:c>
      <x:c r="AG171" t="n">
        <x:f>Scenario_Data!T171</x:f>
        <x:v>24.47999999999999</x:v>
      </x:c>
      <x:c r="AH171" t="n">
        <x:f>2*(SQRT((Inputs!$C$52+(Scenario_Data!B171))^2+Inputs!$C$52^2-2*(Inputs!$C$52+(Scenario_Data!B171))*Inputs!$C$52*COS(SQRT((Scenario_Data!T171)^2+Inputs!$C$6^2)/Inputs!$C$52))*1000)/Inputs!$C$21*1000000</x:f>
        <x:v>2685.7325784389564</x:v>
      </x:c>
      <x:c r="AI171" t="n">
        <x:f>Scenario_Data!U171</x:f>
        <x:v>163.19999999999993</x:v>
      </x:c>
      <x:c r="AJ171" t="n">
        <x:f>2*(SQRT((Inputs!$C$52+(Scenario_Data!C171))^2+Inputs!$C$52^2-2*(Inputs!$C$52+(Scenario_Data!C171))*Inputs!$C$52*COS(SQRT((Scenario_Data!U171)^2+Inputs!$C$6^2)/Inputs!$C$52))*1000)/Inputs!$C$21*1000000</x:f>
        <x:v>1301.7473946103885</x:v>
      </x:c>
      <x:c r="AK171" t="n">
        <x:f>Scenario_Data!V171</x:f>
        <x:v>326.39999999999986</x:v>
      </x:c>
      <x:c r="AL171" t="n">
        <x:f>2*(SQRT((Inputs!$C$52+(Scenario_Data!D171))^2+Inputs!$C$52^2-2*(Inputs!$C$52+(Scenario_Data!D171))*Inputs!$C$52*COS(SQRT((Scenario_Data!V171)^2+Inputs!$C$6^2)/Inputs!$C$52))*1000)/Inputs!$C$21*1000000</x:f>
        <x:v>2655.3615925812765</x:v>
      </x:c>
      <x:c r="AM171" t="n">
        <x:f>Scenario_Data!W171</x:f>
        <x:v>326.39999999999986</x:v>
      </x:c>
      <x:c r="AN171" t="n">
        <x:f>2*(SQRT((Inputs!$C$52+(Scenario_Data!E171))^2+Inputs!$C$52^2-2*(Inputs!$C$52+(Scenario_Data!E171))*Inputs!$C$52*COS(SQRT((Scenario_Data!W171)^2+Inputs!$C$6^2)/Inputs!$C$52))*1000)/Inputs!$C$21*1000000</x:f>
        <x:v>2623.6439001292542</x:v>
      </x:c>
      <x:c r="AP171" t="n">
        <x:f>Scenario_Data!T171</x:f>
        <x:v>24.47999999999999</x:v>
      </x:c>
      <x:c r="AQ171" t="n">
        <x: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x:f>
        <x:v>2682.915880658896</x:v>
      </x:c>
      <x:c r="AR171" t="n">
        <x:f>Scenario_Data!U171</x:f>
        <x:v>163.19999999999993</x:v>
      </x:c>
      <x:c r="AS171" t="n">
        <x: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x:f>
        <x:v>1301.2535415684738</x:v>
      </x:c>
      <x:c r="AT171" t="n">
        <x:f>Scenario_Data!V171</x:f>
        <x:v>326.39999999999986</x:v>
      </x:c>
      <x:c r="AU171" t="n">
        <x: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x:f>
        <x:v>2654.889210932727</x:v>
      </x:c>
      <x:c r="AV171" t="n">
        <x:f>Scenario_Data!W171</x:f>
        <x:v>326.39999999999986</x:v>
      </x:c>
      <x:c r="AW171" t="n">
        <x: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x:f>
        <x:v>2623.190626267785</x:v>
      </x:c>
    </x:row>
    <x:row r="172">
      <x:c r="A172" t="n">
        <x:f>Chart_Data!K172</x:f>
        <x:v>25</x:v>
      </x:c>
      <x:c r="B172" t="n">
        <x:f>Chart_Data!N172-Chart_Data!L172</x:f>
        <x:v>-64.05860084887831</x:v>
      </x:c>
      <x:c r="D172" t="n">
        <x:f>Chart_Data!G172</x:f>
        <x:v>25</x:v>
      </x:c>
      <x:c r="E172" t="n">
        <x:f>Chart_Data!H172</x:f>
        <x:v>418.8320748478676</x:v>
      </x:c>
      <x:c r="F172" t="n">
        <x:f>Chart_Data!I172</x:f>
        <x:v>418.8320748478676</x:v>
      </x:c>
      <x:c r="G172" t="n">
        <x:f>Chart_Data!J172</x:f>
        <x:v>61.498548518191555</x:v>
      </x:c>
      <x:c r="I172" t="n">
        <x:f>Scenario_Data!A172</x:f>
        <x:v>0.417</x:v>
      </x:c>
      <x:c r="J172" t="n">
        <x:f>Scenario_Data!H172-(((SQRT((Inputs!$C$52+(Inputs!$H$6))^2+Inputs!$C$52^2-2*(Inputs!$C$52+(Inputs!$H$6))*Inputs!$C$52*COS(SQRT((Scenario_Data!T172)^2+Inputs!$C$6^2)/Inputs!$C$52)))-(Inputs!$H$6))*1000/Inputs!$C$12)</x:f>
        <x:v>-1.512843152252799</x:v>
      </x:c>
      <x:c r="K172" t="n">
        <x:f>Scenario_Data!I172-(((SQRT((Inputs!$C$52+(Inputs!$H$7))^2+Inputs!$C$52^2-2*(Inputs!$C$52+(Inputs!$H$7))*Inputs!$C$52*COS(SQRT((Scenario_Data!U172)^2+Inputs!$C$6^2)/Inputs!$C$52)))-(Inputs!$H$7))*1000/Inputs!$C$12)</x:f>
        <x:v>-21187.93300776442</x:v>
      </x:c>
      <x:c r="L172" t="n">
        <x:f>Scenario_Data!J172-(((SQRT((Inputs!$C$52+(Inputs!$H$8))^2+Inputs!$C$52^2-2*(Inputs!$C$52+(Inputs!$H$8))*Inputs!$C$52*COS(SQRT((Scenario_Data!V172)^2+Inputs!$C$6^2)/Inputs!$C$52)))-(Inputs!$H$8))*1000/Inputs!$C$12)</x:f>
        <x:v>-55309.2824077269</x:v>
      </x:c>
      <x:c r="M172" t="n">
        <x:f>Scenario_Data!K172-(((SQRT((Inputs!$C$52+(Inputs!$H$9))^2+Inputs!$C$52^2-2*(Inputs!$C$52+(Inputs!$H$9))*Inputs!$C$52*COS(SQRT((Scenario_Data!W172)^2+Inputs!$C$6^2)/Inputs!$C$52)))-(Inputs!$H$9))*1000/Inputs!$C$12)</x:f>
        <x:v>-57872.10897282533</x:v>
      </x:c>
      <x:c r="O172" t="n">
        <x:f>Scenario_Data!T172</x:f>
        <x:v>25.019999999999996</x:v>
      </x:c>
      <x:c r="P172" t="n">
        <x:f>2*(Scenario_Data!B172*1000)/Inputs!$C$21*1000000</x:f>
        <x:v>2673.1530117412094</x:v>
      </x:c>
      <x:c r="Q172" t="n">
        <x:f>Scenario_Data!U172</x:f>
        <x:v>166.80000000000007</x:v>
      </x:c>
      <x:c r="R172" t="n">
        <x:f>2*(Scenario_Data!C172*1000)/Inputs!$C$21*1000000</x:f>
        <x:v>656.9176933730604</x:v>
      </x:c>
      <x:c r="S172" t="n">
        <x:f>Scenario_Data!V172</x:f>
        <x:v>333.60000000000014</x:v>
      </x:c>
      <x:c r="T172" t="n">
        <x:f>2*(Scenario_Data!D172*1000)/Inputs!$C$21*1000000</x:f>
        <x:v>1352.9552167719985</x:v>
      </x:c>
      <x:c r="U172" t="n">
        <x:f>Scenario_Data!W172</x:f>
        <x:v>333.60000000000014</x:v>
      </x:c>
      <x:c r="V172" t="n">
        <x:f>2*(Scenario_Data!E172*1000)/Inputs!$C$21*1000000</x:f>
        <x:v>1297.8430231223504</x:v>
      </x:c>
      <x:c r="X172" t="n">
        <x:f>Scenario_Data!T172</x:f>
        <x:v>25.019999999999996</x:v>
      </x:c>
      <x:c r="Y172" t="n">
        <x: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x:f>
        <x:v>2672.7507541412438</x:v>
      </x:c>
      <x:c r="Z172" t="n">
        <x:f>Scenario_Data!U172</x:f>
        <x:v>166.80000000000007</x:v>
      </x:c>
      <x:c r="AA172" t="n">
        <x: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x:f>
        <x:v>656.4778874083446</x:v>
      </x:c>
      <x:c r="AB172" t="n">
        <x:f>Scenario_Data!V172</x:f>
        <x:v>333.60000000000014</x:v>
      </x:c>
      <x:c r="AC172" t="n">
        <x: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x:f>
        <x:v>1352.9496387434049</x:v>
      </x:c>
      <x:c r="AD172" t="n">
        <x:f>Scenario_Data!W172</x:f>
        <x:v>333.60000000000014</x:v>
      </x:c>
      <x:c r="AE172" t="n">
        <x: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x:f>
        <x:v>1297.8374450937565</x:v>
      </x:c>
      <x:c r="AG172" t="n">
        <x:f>Scenario_Data!T172</x:f>
        <x:v>25.019999999999996</x:v>
      </x:c>
      <x:c r="AH172" t="n">
        <x:f>2*(SQRT((Inputs!$C$52+(Scenario_Data!B172))^2+Inputs!$C$52^2-2*(Inputs!$C$52+(Scenario_Data!B172))*Inputs!$C$52*COS(SQRT((Scenario_Data!T172)^2+Inputs!$C$6^2)/Inputs!$C$52))*1000)/Inputs!$C$21*1000000</x:f>
        <x:v>2686.2082405845767</x:v>
      </x:c>
      <x:c r="AI172" t="n">
        <x:f>Scenario_Data!U172</x:f>
        <x:v>166.80000000000007</x:v>
      </x:c>
      <x:c r="AJ172" t="n">
        <x:f>2*(SQRT((Inputs!$C$52+(Scenario_Data!C172))^2+Inputs!$C$52^2-2*(Inputs!$C$52+(Scenario_Data!C172))*Inputs!$C$52*COS(SQRT((Scenario_Data!U172)^2+Inputs!$C$6^2)/Inputs!$C$52))*1000)/Inputs!$C$21*1000000</x:f>
        <x:v>1332.7340115462373</x:v>
      </x:c>
      <x:c r="AK172" t="n">
        <x:f>Scenario_Data!V172</x:f>
        <x:v>333.60000000000014</x:v>
      </x:c>
      <x:c r="AL172" t="n">
        <x:f>2*(SQRT((Inputs!$C$52+(Scenario_Data!D172))^2+Inputs!$C$52^2-2*(Inputs!$C$52+(Scenario_Data!D172))*Inputs!$C$52*COS(SQRT((Scenario_Data!V172)^2+Inputs!$C$6^2)/Inputs!$C$52))*1000)/Inputs!$C$21*1000000</x:f>
        <x:v>2727.0872248769224</x:v>
      </x:c>
      <x:c r="AM172" t="n">
        <x:f>Scenario_Data!W172</x:f>
        <x:v>333.60000000000014</x:v>
      </x:c>
      <x:c r="AN172" t="n">
        <x:f>2*(SQRT((Inputs!$C$52+(Scenario_Data!E172))^2+Inputs!$C$52^2-2*(Inputs!$C$52+(Scenario_Data!E172))*Inputs!$C$52*COS(SQRT((Scenario_Data!W172)^2+Inputs!$C$6^2)/Inputs!$C$52))*1000)/Inputs!$C$21*1000000</x:f>
        <x:v>2695.3016989076004</x:v>
      </x:c>
      <x:c r="AP172" t="n">
        <x:f>Scenario_Data!T172</x:f>
        <x:v>25.019999999999996</x:v>
      </x:c>
      <x:c r="AQ172" t="n">
        <x: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x:f>
        <x:v>2683.4438459390726</x:v>
      </x:c>
      <x:c r="AR172" t="n">
        <x:f>Scenario_Data!U172</x:f>
        <x:v>166.80000000000007</x:v>
      </x:c>
      <x:c r="AS172" t="n">
        <x: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x:f>
        <x:v>1332.2058701793264</x:v>
      </x:c>
      <x:c r="AT172" t="n">
        <x:f>Scenario_Data!V172</x:f>
        <x:v>333.60000000000014</x:v>
      </x:c>
      <x:c r="AU172" t="n">
        <x: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x:f>
        <x:v>2726.825506113058</x:v>
      </x:c>
      <x:c r="AV172" t="n">
        <x:f>Scenario_Data!W172</x:f>
        <x:v>333.60000000000014</x:v>
      </x:c>
      <x:c r="AW172" t="n">
        <x: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x:f>
        <x:v>2695.0500562784723</x:v>
      </x:c>
    </x:row>
    <x:row r="173">
      <x:c r="A173" t="n">
        <x:f>Chart_Data!K173</x:f>
        <x:v>25.5</x:v>
      </x:c>
      <x:c r="B173" t="n">
        <x:f>Chart_Data!N173-Chart_Data!L173</x:f>
        <x:v>-70.33405513010166</x:v>
      </x:c>
      <x:c r="D173" t="n">
        <x:f>Chart_Data!G173</x:f>
        <x:v>25.5</x:v>
      </x:c>
      <x:c r="E173" t="n">
        <x:f>Chart_Data!H173</x:f>
        <x:v>390.15691093629596</x:v>
      </x:c>
      <x:c r="F173" t="n">
        <x:f>Chart_Data!I173</x:f>
        <x:v>390.15691093629596</x:v>
      </x:c>
      <x:c r="G173" t="n">
        <x:f>Chart_Data!J173</x:f>
        <x:v>67.90188044896082</x:v>
      </x:c>
      <x:c r="I173" t="n">
        <x:f>Scenario_Data!A173</x:f>
        <x:v>0.425</x:v>
      </x:c>
      <x:c r="J173" t="n">
        <x:f>Scenario_Data!H173-(((SQRT((Inputs!$C$52+(Inputs!$H$6))^2+Inputs!$C$52^2-2*(Inputs!$C$52+(Inputs!$H$6))*Inputs!$C$52*COS(SQRT((Scenario_Data!T173)^2+Inputs!$C$6^2)/Inputs!$C$52)))-(Inputs!$H$6))*1000/Inputs!$C$12)</x:f>
        <x:v>-1.601553853415453</x:v>
      </x:c>
      <x:c r="K173" t="n">
        <x:f>Scenario_Data!I173-(((SQRT((Inputs!$C$52+(Inputs!$H$7))^2+Inputs!$C$52^2-2*(Inputs!$C$52+(Inputs!$H$7))*Inputs!$C$52*COS(SQRT((Scenario_Data!U173)^2+Inputs!$C$6^2)/Inputs!$C$52)))-(Inputs!$H$7))*1000/Inputs!$C$12)</x:f>
        <x:v>-21990.4112445204</x:v>
      </x:c>
      <x:c r="L173" t="n">
        <x:f>Scenario_Data!J173-(((SQRT((Inputs!$C$52+(Inputs!$H$8))^2+Inputs!$C$52^2-2*(Inputs!$C$52+(Inputs!$H$8))*Inputs!$C$52*COS(SQRT((Scenario_Data!V173)^2+Inputs!$C$6^2)/Inputs!$C$52)))-(Inputs!$H$8))*1000/Inputs!$C$12)</x:f>
        <x:v>-57117.531516682895</x:v>
      </x:c>
      <x:c r="M173" t="n">
        <x:f>Scenario_Data!K173-(((SQRT((Inputs!$C$52+(Inputs!$H$9))^2+Inputs!$C$52^2-2*(Inputs!$C$52+(Inputs!$H$9))*Inputs!$C$52*COS(SQRT((Scenario_Data!W173)^2+Inputs!$C$6^2)/Inputs!$C$52)))-(Inputs!$H$9))*1000/Inputs!$C$12)</x:f>
        <x:v>-59720.04210248674</x:v>
      </x:c>
      <x:c r="O173" t="n">
        <x:f>Scenario_Data!T173</x:f>
        <x:v>25.5</x:v>
      </x:c>
      <x:c r="P173" t="n">
        <x:f>2*(Scenario_Data!B173*1000)/Inputs!$C$21*1000000</x:f>
        <x:v>2673.3327627608296</x:v>
      </x:c>
      <x:c r="Q173" t="n">
        <x:f>Scenario_Data!U173</x:f>
        <x:v>170</x:v>
      </x:c>
      <x:c r="R173" t="n">
        <x:f>2*(Scenario_Data!C173*1000)/Inputs!$C$21*1000000</x:f>
        <x:v>673.3199739134197</x:v>
      </x:c>
      <x:c r="S173" t="n">
        <x:f>Scenario_Data!V173</x:f>
        <x:v>340</x:v>
      </x:c>
      <x:c r="T173" t="n">
        <x:f>2*(Scenario_Data!D173*1000)/Inputs!$C$21*1000000</x:f>
        <x:v>1396.3201502554143</x:v>
      </x:c>
      <x:c r="U173" t="n">
        <x:f>Scenario_Data!W173</x:f>
        <x:v>340</x:v>
      </x:c>
      <x:c r="V173" t="n">
        <x:f>2*(Scenario_Data!E173*1000)/Inputs!$C$21*1000000</x:f>
        <x:v>1341.6573341548171</x:v>
      </x:c>
      <x:c r="X173" t="n">
        <x:f>Scenario_Data!T173</x:f>
        <x:v>25.5</x:v>
      </x:c>
      <x:c r="Y173" t="n">
        <x: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x:f>
        <x:v>2672.8797701745452</x:v>
      </x:c>
      <x:c r="Z173" t="n">
        <x:f>Scenario_Data!U173</x:f>
        <x:v>170</x:v>
      </x:c>
      <x:c r="AA173" t="n">
        <x: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x:f>
        <x:v>672.9521582471372</x:v>
      </x:c>
      <x:c r="AB173" t="n">
        <x:f>Scenario_Data!V173</x:f>
        <x:v>340</x:v>
      </x:c>
      <x:c r="AC173" t="n">
        <x: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x:f>
        <x:v>1396.3473019036721</x:v>
      </x:c>
      <x:c r="AD173" t="n">
        <x:f>Scenario_Data!W173</x:f>
        <x:v>340</x:v>
      </x:c>
      <x:c r="AE173" t="n">
        <x: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x:f>
        <x:v>1341.6844858030745</x:v>
      </x:c>
      <x:c r="AG173" t="n">
        <x:f>Scenario_Data!T173</x:f>
        <x:v>25.5</x:v>
      </x:c>
      <x:c r="AH173" t="n">
        <x:f>2*(SQRT((Inputs!$C$52+(Scenario_Data!B173))^2+Inputs!$C$52^2-2*(Inputs!$C$52+(Scenario_Data!B173))*Inputs!$C$52*COS(SQRT((Scenario_Data!T173)^2+Inputs!$C$6^2)/Inputs!$C$52))*1000)/Inputs!$C$21*1000000</x:f>
        <x:v>2686.6397104802963</x:v>
      </x:c>
      <x:c r="AI173" t="n">
        <x:f>Scenario_Data!U173</x:f>
        <x:v>170</x:v>
      </x:c>
      <x:c r="AJ173" t="n">
        <x:f>2*(SQRT((Inputs!$C$52+(Scenario_Data!C173))^2+Inputs!$C$52^2-2*(Inputs!$C$52+(Scenario_Data!C173))*Inputs!$C$52*COS(SQRT((Scenario_Data!U173)^2+Inputs!$C$6^2)/Inputs!$C$52))*1000)/Inputs!$C$21*1000000</x:f>
        <x:v>1360.4994034490926</x:v>
      </x:c>
      <x:c r="AK173" t="n">
        <x:f>Scenario_Data!V173</x:f>
        <x:v>340</x:v>
      </x:c>
      <x:c r="AL173" t="n">
        <x:f>2*(SQRT((Inputs!$C$52+(Scenario_Data!D173))^2+Inputs!$C$52^2-2*(Inputs!$C$52+(Scenario_Data!D173))*Inputs!$C$52*COS(SQRT((Scenario_Data!V173)^2+Inputs!$C$6^2)/Inputs!$C$52))*1000)/Inputs!$C$21*1000000</x:f>
        <x:v>2791.557552752647</x:v>
      </x:c>
      <x:c r="AM173" t="n">
        <x:f>Scenario_Data!W173</x:f>
        <x:v>340</x:v>
      </x:c>
      <x:c r="AN173" t="n">
        <x:f>2*(SQRT((Inputs!$C$52+(Scenario_Data!E173))^2+Inputs!$C$52^2-2*(Inputs!$C$52+(Scenario_Data!E173))*Inputs!$C$52*COS(SQRT((Scenario_Data!W173)^2+Inputs!$C$6^2)/Inputs!$C$52))*1000)/Inputs!$C$21*1000000</x:f>
        <x:v>2759.724726481357</x:v>
      </x:c>
      <x:c r="AP173" t="n">
        <x:f>Scenario_Data!T173</x:f>
        <x:v>25.5</x:v>
      </x:c>
      <x:c r="AQ173" t="n">
        <x: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x:f>
        <x:v>2684.0530894635986</x:v>
      </x:c>
      <x:c r="AR173" t="n">
        <x:f>Scenario_Data!U173</x:f>
        <x:v>170</x:v>
      </x:c>
      <x:c r="AS173" t="n">
        <x: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x:f>
        <x:v>1359.9452187192626</x:v>
      </x:c>
      <x:c r="AT173" t="n">
        <x:f>Scenario_Data!V173</x:f>
        <x:v>340</x:v>
      </x:c>
      <x:c r="AU173" t="n">
        <x: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x:f>
        <x:v>2791.225314975836</x:v>
      </x:c>
      <x:c r="AV173" t="n">
        <x:f>Scenario_Data!W173</x:f>
        <x:v>340</x:v>
      </x:c>
      <x:c r="AW173" t="n">
        <x: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x:f>
        <x:v>2759.4047365661204</x:v>
      </x:c>
    </x:row>
    <x:row r="174">
      <x:c r="A174" t="n">
        <x:f>Chart_Data!K174</x:f>
        <x:v>26</x:v>
      </x:c>
      <x:c r="B174" t="n">
        <x:f>Chart_Data!N174-Chart_Data!L174</x:f>
        <x:v>-67.49562383583464</x:v>
      </x:c>
      <x:c r="D174" t="n">
        <x:f>Chart_Data!G174</x:f>
        <x:v>26</x:v>
      </x:c>
      <x:c r="E174" t="n">
        <x:f>Chart_Data!H174</x:f>
        <x:v>387.3749410180904</x:v>
      </x:c>
      <x:c r="F174" t="n">
        <x:f>Chart_Data!I174</x:f>
        <x:v>387.3749410180904</x:v>
      </x:c>
      <x:c r="G174" t="n">
        <x:f>Chart_Data!J174</x:f>
        <x:v>65.03267186217182</x:v>
      </x:c>
      <x:c r="I174" t="n">
        <x:f>Scenario_Data!A174</x:f>
        <x:v>0.433</x:v>
      </x:c>
      <x:c r="J174" t="n">
        <x:f>Scenario_Data!H174-(((SQRT((Inputs!$C$52+(Inputs!$H$6))^2+Inputs!$C$52^2-2*(Inputs!$C$52+(Inputs!$H$6))*Inputs!$C$52*COS(SQRT((Scenario_Data!T174)^2+Inputs!$C$6^2)/Inputs!$C$52)))-(Inputs!$H$6))*1000/Inputs!$C$12)</x:f>
        <x:v>-1.6942460296072568</x:v>
      </x:c>
      <x:c r="K174" t="n">
        <x:f>Scenario_Data!I174-(((SQRT((Inputs!$C$52+(Inputs!$H$7))^2+Inputs!$C$52^2-2*(Inputs!$C$52+(Inputs!$H$7))*Inputs!$C$52*COS(SQRT((Scenario_Data!U174)^2+Inputs!$C$6^2)/Inputs!$C$52)))-(Inputs!$H$7))*1000/Inputs!$C$12)</x:f>
        <x:v>-22803.296578072215</x:v>
      </x:c>
      <x:c r="L174" t="n">
        <x:f>Scenario_Data!J174-(((SQRT((Inputs!$C$52+(Inputs!$H$8))^2+Inputs!$C$52^2-2*(Inputs!$C$52+(Inputs!$H$8))*Inputs!$C$52*COS(SQRT((Scenario_Data!V174)^2+Inputs!$C$6^2)/Inputs!$C$52)))-(Inputs!$H$8))*1000/Inputs!$C$12)</x:f>
        <x:v>-58938.1918599959</x:v>
      </x:c>
      <x:c r="M174" t="n">
        <x:f>Scenario_Data!K174-(((SQRT((Inputs!$C$52+(Inputs!$H$9))^2+Inputs!$C$52^2-2*(Inputs!$C$52+(Inputs!$H$9))*Inputs!$C$52*COS(SQRT((Scenario_Data!W174)^2+Inputs!$C$6^2)/Inputs!$C$52)))-(Inputs!$H$9))*1000/Inputs!$C$12)</x:f>
        <x:v>-61579.72335626042</x:v>
      </x:c>
      <x:c r="O174" t="n">
        <x:f>Scenario_Data!T174</x:f>
        <x:v>25.980000000000004</x:v>
      </x:c>
      <x:c r="P174" t="n">
        <x:f>2*(Scenario_Data!B174*1000)/Inputs!$C$21*1000000</x:f>
        <x:v>2673.515929476785</x:v>
      </x:c>
      <x:c r="Q174" t="n">
        <x:f>Scenario_Data!U174</x:f>
        <x:v>173.20000000000005</x:v>
      </x:c>
      <x:c r="R174" t="n">
        <x:f>2*(Scenario_Data!C174*1000)/Inputs!$C$21*1000000</x:f>
        <x:v>690.0339367443329</x:v>
      </x:c>
      <x:c r="S174" t="n">
        <x:f>Scenario_Data!V174</x:f>
        <x:v>346.4000000000001</x:v>
      </x:c>
      <x:c r="T174" t="n">
        <x:f>2*(Scenario_Data!D174*1000)/Inputs!$C$21*1000000</x:f>
        <x:v>1440.5091204796092</x:v>
      </x:c>
      <x:c r="U174" t="n">
        <x:f>Scenario_Data!W174</x:f>
        <x:v>346.4000000000001</x:v>
      </x:c>
      <x:c r="V174" t="n">
        <x:f>2*(Scenario_Data!E174*1000)/Inputs!$C$21*1000000</x:f>
        <x:v>1386.3042211689</x:v>
      </x:c>
      <x:c r="X174" t="n">
        <x:f>Scenario_Data!T174</x:f>
        <x:v>25.980000000000004</x:v>
      </x:c>
      <x:c r="Y174" t="n">
        <x: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x:f>
        <x:v>2673.023648727582</x:v>
      </x:c>
      <x:c r="Z174" t="n">
        <x:f>Scenario_Data!U174</x:f>
        <x:v>173.20000000000005</x:v>
      </x:c>
      <x:c r="AA174" t="n">
        <x: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x:f>
        <x:v>689.9092702737296</x:v>
      </x:c>
      <x:c r="AB174" t="n">
        <x:f>Scenario_Data!V174</x:f>
        <x:v>346.4000000000001</x:v>
      </x:c>
      <x:c r="AC174" t="n">
        <x: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x:f>
        <x:v>1440.15613079986</x:v>
      </x:c>
      <x:c r="AD174" t="n">
        <x:f>Scenario_Data!W174</x:f>
        <x:v>346.4000000000001</x:v>
      </x:c>
      <x:c r="AE174" t="n">
        <x: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x:f>
        <x:v>1385.951231489151</x:v>
      </x:c>
      <x:c r="AG174" t="n">
        <x:f>Scenario_Data!T174</x:f>
        <x:v>25.980000000000004</x:v>
      </x:c>
      <x:c r="AH174" t="n">
        <x:f>2*(SQRT((Inputs!$C$52+(Scenario_Data!B174))^2+Inputs!$C$52^2-2*(Inputs!$C$52+(Scenario_Data!B174))*Inputs!$C$52*COS(SQRT((Scenario_Data!T174)^2+Inputs!$C$6^2)/Inputs!$C$52))*1000)/Inputs!$C$21*1000000</x:f>
        <x:v>2687.0793271300054</x:v>
      </x:c>
      <x:c r="AI174" t="n">
        <x:f>Scenario_Data!U174</x:f>
        <x:v>173.20000000000005</x:v>
      </x:c>
      <x:c r="AJ174" t="n">
        <x:f>2*(SQRT((Inputs!$C$52+(Scenario_Data!C174))^2+Inputs!$C$52^2-2*(Inputs!$C$52+(Scenario_Data!C174))*Inputs!$C$52*COS(SQRT((Scenario_Data!U174)^2+Inputs!$C$6^2)/Inputs!$C$52))*1000)/Inputs!$C$21*1000000</x:f>
        <x:v>1388.4750825653464</x:v>
      </x:c>
      <x:c r="AK174" t="n">
        <x:f>Scenario_Data!V174</x:f>
        <x:v>346.4000000000001</x:v>
      </x:c>
      <x:c r="AL174" t="n">
        <x:f>2*(SQRT((Inputs!$C$52+(Scenario_Data!D174))^2+Inputs!$C$52^2-2*(Inputs!$C$52+(Scenario_Data!D174))*Inputs!$C$52*COS(SQRT((Scenario_Data!V174)^2+Inputs!$C$6^2)/Inputs!$C$52))*1000)/Inputs!$C$21*1000000</x:f>
        <x:v>2856.707437171217</x:v>
      </x:c>
      <x:c r="AM174" t="n">
        <x:f>Scenario_Data!W174</x:f>
        <x:v>346.4000000000001</x:v>
      </x:c>
      <x:c r="AN174" t="n">
        <x:f>2*(SQRT((Inputs!$C$52+(Scenario_Data!E174))^2+Inputs!$C$52^2-2*(Inputs!$C$52+(Scenario_Data!E174))*Inputs!$C$52*COS(SQRT((Scenario_Data!W174)^2+Inputs!$C$6^2)/Inputs!$C$52))*1000)/Inputs!$C$21*1000000</x:f>
        <x:v>2824.8397867428093</x:v>
      </x:c>
      <x:c r="AP174" t="n">
        <x:f>Scenario_Data!T174</x:f>
        <x:v>25.980000000000004</x:v>
      </x:c>
      <x:c r="AQ174" t="n">
        <x: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x:f>
        <x:v>2684.4264672966287</x:v>
      </x:c>
      <x:c r="AR174" t="n">
        <x:f>Scenario_Data!U174</x:f>
        <x:v>173.20000000000005</x:v>
      </x:c>
      <x:c r="AS174" t="n">
        <x: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x:f>
        <x:v>1388.0981650857836</x:v>
      </x:c>
      <x:c r="AT174" t="n">
        <x:f>Scenario_Data!V174</x:f>
        <x:v>346.4000000000001</x:v>
      </x:c>
      <x:c r="AU174" t="n">
        <x: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x:f>
        <x:v>2856.226033694012</x:v>
      </x:c>
      <x:c r="AV174" t="n">
        <x:f>Scenario_Data!W174</x:f>
        <x:v>346.4000000000001</x:v>
      </x:c>
      <x:c r="AW174" t="n">
        <x: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x:f>
        <x:v>2824.3753796888404</x:v>
      </x:c>
    </x:row>
    <x:row r="175">
      <x:c r="A175" t="n">
        <x:f>Chart_Data!K175</x:f>
        <x:v>26.5</x:v>
      </x:c>
      <x:c r="B175" t="n">
        <x:f>Chart_Data!N175-Chart_Data!L175</x:f>
        <x:v>-72.00336103907381</x:v>
      </x:c>
      <x:c r="D175" t="n">
        <x:f>Chart_Data!G175</x:f>
        <x:v>26.5</x:v>
      </x:c>
      <x:c r="E175" t="n">
        <x:f>Chart_Data!H175</x:f>
        <x:v>383.48713922986474</x:v>
      </x:c>
      <x:c r="F175" t="n">
        <x:f>Chart_Data!I175</x:f>
        <x:v>383.48713922986474</x:v>
      </x:c>
      <x:c r="G175" t="n">
        <x:f>Chart_Data!J175</x:f>
        <x:v>69.51659821200863</x:v>
      </x:c>
      <x:c r="I175" t="n">
        <x:f>Scenario_Data!A175</x:f>
        <x:v>0.442</x:v>
      </x:c>
      <x:c r="J175" t="n">
        <x:f>Scenario_Data!H175-(((SQRT((Inputs!$C$52+(Inputs!$H$6))^2+Inputs!$C$52^2-2*(Inputs!$C$52+(Inputs!$H$6))*Inputs!$C$52*COS(SQRT((Scenario_Data!T175)^2+Inputs!$C$6^2)/Inputs!$C$52)))-(Inputs!$H$6))*1000/Inputs!$C$12)</x:f>
        <x:v>-1.8034433360094226</x:v>
      </x:c>
      <x:c r="K175" t="n">
        <x:f>Scenario_Data!I175-(((SQRT((Inputs!$C$52+(Inputs!$H$7))^2+Inputs!$C$52^2-2*(Inputs!$C$52+(Inputs!$H$7))*Inputs!$C$52*COS(SQRT((Scenario_Data!U175)^2+Inputs!$C$6^2)/Inputs!$C$52)))-(Inputs!$H$7))*1000/Inputs!$C$12)</x:f>
        <x:v>-23729.938248077415</x:v>
      </x:c>
      <x:c r="L175" t="n">
        <x:f>Scenario_Data!J175-(((SQRT((Inputs!$C$52+(Inputs!$H$8))^2+Inputs!$C$52^2-2*(Inputs!$C$52+(Inputs!$H$8))*Inputs!$C$52*COS(SQRT((Scenario_Data!V175)^2+Inputs!$C$6^2)/Inputs!$C$52)))-(Inputs!$H$8))*1000/Inputs!$C$12)</x:f>
        <x:v>-61000.45522179079</x:v>
      </x:c>
      <x:c r="M175" t="n">
        <x:f>Scenario_Data!K175-(((SQRT((Inputs!$C$52+(Inputs!$H$9))^2+Inputs!$C$52^2-2*(Inputs!$C$52+(Inputs!$H$9))*Inputs!$C$52*COS(SQRT((Scenario_Data!W175)^2+Inputs!$C$6^2)/Inputs!$C$52)))-(Inputs!$H$9))*1000/Inputs!$C$12)</x:f>
        <x:v>-63685.09256436417</x:v>
      </x:c>
      <x:c r="O175" t="n">
        <x:f>Scenario_Data!T175</x:f>
        <x:v>26.519999999999996</x:v>
      </x:c>
      <x:c r="P175" t="n">
        <x:f>2*(Scenario_Data!B175*1000)/Inputs!$C$21*1000000</x:f>
        <x:v>2673.7260748567596</x:v>
      </x:c>
      <x:c r="Q175" t="n">
        <x:f>Scenario_Data!U175</x:f>
        <x:v>176.79999999999995</x:v>
      </x:c>
      <x:c r="R175" t="n">
        <x:f>2*(Scenario_Data!C175*1000)/Inputs!$C$21*1000000</x:f>
        <x:v>709.2097026670361</x:v>
      </x:c>
      <x:c r="S175" t="n">
        <x:f>Scenario_Data!V175</x:f>
        <x:v>353.5999999999999</x:v>
      </x:c>
      <x:c r="T175" t="n">
        <x:f>2*(Scenario_Data!D175*1000)/Inputs!$C$21*1000000</x:f>
        <x:v>1491.206693398537</x:v>
      </x:c>
      <x:c r="U175" t="n">
        <x:f>Scenario_Data!W175</x:f>
        <x:v>353.5999999999999</x:v>
      </x:c>
      <x:c r="V175" t="n">
        <x:f>2*(Scenario_Data!E175*1000)/Inputs!$C$21*1000000</x:f>
        <x:v>1437.527157537765</x:v>
      </x:c>
      <x:c r="X175" t="n">
        <x:f>Scenario_Data!T175</x:f>
        <x:v>26.519999999999996</x:v>
      </x:c>
      <x:c r="Y175" t="n">
        <x: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x:f>
        <x:v>2673.203151441436</x:v>
      </x:c>
      <x:c r="Z175" t="n">
        <x:f>Scenario_Data!U175</x:f>
        <x:v>176.79999999999995</x:v>
      </x:c>
      <x:c r="AA175" t="n">
        <x: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x:f>
        <x:v>709.4713880484527</x:v>
      </x:c>
      <x:c r="AB175" t="n">
        <x:f>Scenario_Data!V175</x:f>
        <x:v>353.5999999999999</x:v>
      </x:c>
      <x:c r="AC175" t="n">
        <x: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x:f>
        <x:v>1491.0284044154105</x:v>
      </x:c>
      <x:c r="AD175" t="n">
        <x:f>Scenario_Data!W175</x:f>
        <x:v>353.5999999999999</x:v>
      </x:c>
      <x:c r="AE175" t="n">
        <x: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x:f>
        <x:v>1437.3488685546383</x:v>
      </x:c>
      <x:c r="AG175" t="n">
        <x:f>Scenario_Data!T175</x:f>
        <x:v>26.519999999999996</x:v>
      </x:c>
      <x:c r="AH175" t="n">
        <x:f>2*(SQRT((Inputs!$C$52+(Scenario_Data!B175))^2+Inputs!$C$52^2-2*(Inputs!$C$52+(Scenario_Data!B175))*Inputs!$C$52*COS(SQRT((Scenario_Data!T175)^2+Inputs!$C$6^2)/Inputs!$C$52))*1000)/Inputs!$C$21*1000000</x:f>
        <x:v>2687.5836301386457</x:v>
      </x:c>
      <x:c r="AI175" t="n">
        <x:f>Scenario_Data!U175</x:f>
        <x:v>176.79999999999995</x:v>
      </x:c>
      <x:c r="AJ175" t="n">
        <x:f>2*(SQRT((Inputs!$C$52+(Scenario_Data!C175))^2+Inputs!$C$52^2-2*(Inputs!$C$52+(Scenario_Data!C175))*Inputs!$C$52*COS(SQRT((Scenario_Data!U175)^2+Inputs!$C$6^2)/Inputs!$C$52))*1000)/Inputs!$C$21*1000000</x:f>
        <x:v>1420.2010523856848</x:v>
      </x:c>
      <x:c r="AK175" t="n">
        <x:f>Scenario_Data!V175</x:f>
        <x:v>353.5999999999999</x:v>
      </x:c>
      <x:c r="AL175" t="n">
        <x:f>2*(SQRT((Inputs!$C$52+(Scenario_Data!D175))^2+Inputs!$C$52^2-2*(Inputs!$C$52+(Scenario_Data!D175))*Inputs!$C$52*COS(SQRT((Scenario_Data!V175)^2+Inputs!$C$6^2)/Inputs!$C$52))*1000)/Inputs!$C$21*1000000</x:f>
        <x:v>2930.821956828647</x:v>
      </x:c>
      <x:c r="AM175" t="n">
        <x:f>Scenario_Data!W175</x:f>
        <x:v>353.5999999999999</x:v>
      </x:c>
      <x:c r="AN175" t="n">
        <x:f>2*(SQRT((Inputs!$C$52+(Scenario_Data!E175))^2+Inputs!$C$52^2-2*(Inputs!$C$52+(Scenario_Data!E175))*Inputs!$C$52*COS(SQRT((Scenario_Data!W175)^2+Inputs!$C$6^2)/Inputs!$C$52))*1000)/Inputs!$C$21*1000000</x:f>
        <x:v>2898.93030502441</x:v>
      </x:c>
      <x:c r="AP175" t="n">
        <x:f>Scenario_Data!T175</x:f>
        <x:v>26.519999999999996</x:v>
      </x:c>
      <x:c r="AQ175" t="n">
        <x: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x:f>
        <x:v>2685.202148008529</x:v>
      </x:c>
      <x:c r="AR175" t="n">
        <x:f>Scenario_Data!U175</x:f>
        <x:v>176.79999999999995</x:v>
      </x:c>
      <x:c r="AS175" t="n">
        <x: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x:f>
        <x:v>1419.9573139350396</x:v>
      </x:c>
      <x:c r="AT175" t="n">
        <x:f>Scenario_Data!V175</x:f>
        <x:v>353.5999999999999</x:v>
      </x:c>
      <x:c r="AU175" t="n">
        <x: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x:f>
        <x:v>2930.4635049360554</x:v>
      </x:c>
      <x:c r="AV175" t="n">
        <x:f>Scenario_Data!W175</x:f>
        <x:v>353.5999999999999</x:v>
      </x:c>
      <x:c r="AW175" t="n">
        <x: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x:f>
        <x:v>2898.5839038762006</x:v>
      </x:c>
    </x:row>
    <x:row r="176">
      <x:c r="A176" t="n">
        <x:f>Chart_Data!K176</x:f>
        <x:v>27</x:v>
      </x:c>
      <x:c r="B176" t="n">
        <x:f>Chart_Data!N176-Chart_Data!L176</x:f>
        <x:v>-66.74406286520434</x:v>
      </x:c>
      <x:c r="D176" t="n">
        <x:f>Chart_Data!G176</x:f>
        <x:v>27</x:v>
      </x:c>
      <x:c r="E176" t="n">
        <x:f>Chart_Data!H176</x:f>
        <x:v>346.2287328646241</x:v>
      </x:c>
      <x:c r="F176" t="n">
        <x:f>Chart_Data!I176</x:f>
        <x:v>346.2287328646241</x:v>
      </x:c>
      <x:c r="G176" t="n">
        <x:f>Chart_Data!J176</x:f>
        <x:v>64.45446968061479</x:v>
      </x:c>
      <x:c r="I176" t="n">
        <x:f>Scenario_Data!A176</x:f>
        <x:v>0.45</x:v>
      </x:c>
      <x:c r="J176" t="n">
        <x:f>Scenario_Data!H176-(((SQRT((Inputs!$C$52+(Inputs!$H$6))^2+Inputs!$C$52^2-2*(Inputs!$C$52+(Inputs!$H$6))*Inputs!$C$52*COS(SQRT((Scenario_Data!T176)^2+Inputs!$C$6^2)/Inputs!$C$52)))-(Inputs!$H$6))*1000/Inputs!$C$12)</x:f>
        <x:v>-1.9050240415085682</x:v>
      </x:c>
      <x:c r="K176" t="n">
        <x:f>Scenario_Data!I176-(((SQRT((Inputs!$C$52+(Inputs!$H$7))^2+Inputs!$C$52^2-2*(Inputs!$C$52+(Inputs!$H$7))*Inputs!$C$52*COS(SQRT((Scenario_Data!U176)^2+Inputs!$C$6^2)/Inputs!$C$52)))-(Inputs!$H$7))*1000/Inputs!$C$12)</x:f>
        <x:v>-24564.15831269113</x:v>
      </x:c>
      <x:c r="L176" t="n">
        <x:f>Scenario_Data!J176-(((SQRT((Inputs!$C$52+(Inputs!$H$8))^2+Inputs!$C$52^2-2*(Inputs!$C$52+(Inputs!$H$8))*Inputs!$C$52*COS(SQRT((Scenario_Data!V176)^2+Inputs!$C$6^2)/Inputs!$C$52)))-(Inputs!$H$8))*1000/Inputs!$C$12)</x:f>
        <x:v>-62845.33421508745</x:v>
      </x:c>
      <x:c r="M176" t="n">
        <x:f>Scenario_Data!K176-(((SQRT((Inputs!$C$52+(Inputs!$H$9))^2+Inputs!$C$52^2-2*(Inputs!$C$52+(Inputs!$H$9))*Inputs!$C$52*COS(SQRT((Scenario_Data!W176)^2+Inputs!$C$6^2)/Inputs!$C$52)))-(Inputs!$H$9))*1000/Inputs!$C$12)</x:f>
        <x:v>-65567.58378946672</x:v>
      </x:c>
      <x:c r="O176" t="n">
        <x:f>Scenario_Data!T176</x:f>
        <x:v>27</x:v>
      </x:c>
      <x:c r="P176" t="n">
        <x:f>2*(Scenario_Data!B176*1000)/Inputs!$C$21*1000000</x:f>
        <x:v>2673.9164999274262</x:v>
      </x:c>
      <x:c r="Q176" t="n">
        <x:f>Scenario_Data!U176</x:f>
        <x:v>180</x:v>
      </x:c>
      <x:c r="R176" t="n">
        <x:f>2*(Scenario_Data!C176*1000)/Inputs!$C$21*1000000</x:f>
        <x:v>726.5859903653748</x:v>
      </x:c>
      <x:c r="S176" t="n">
        <x:f>Scenario_Data!V176</x:f>
        <x:v>360</x:v>
      </x:c>
      <x:c r="T176" t="n">
        <x:f>2*(Scenario_Data!D176*1000)/Inputs!$C$21*1000000</x:f>
        <x:v>1537.1467416968844</x:v>
      </x:c>
      <x:c r="U176" t="n">
        <x:f>Scenario_Data!W176</x:f>
        <x:v>360</x:v>
      </x:c>
      <x:c r="V176" t="n">
        <x:f>2*(Scenario_Data!E176*1000)/Inputs!$C$21*1000000</x:f>
        <x:v>1483.943268512779</x:v>
      </x:c>
      <x:c r="X176" t="n">
        <x:f>Scenario_Data!T176</x:f>
        <x:v>27</x:v>
      </x:c>
      <x:c r="Y176" t="n">
        <x: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x:f>
        <x:v>2673.4865059902168</x:v>
      </x:c>
      <x:c r="Z176" t="n">
        <x:f>Scenario_Data!U176</x:f>
        <x:v>180</x:v>
      </x:c>
      <x:c r="AA176" t="n">
        <x: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x:f>
        <x:v>726.6160489398486</x:v>
      </x:c>
      <x:c r="AB176" t="n">
        <x:f>Scenario_Data!V176</x:f>
        <x:v>360</x:v>
      </x:c>
      <x:c r="AC176" t="n">
        <x: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x:f>
        <x:v>1536.7947165438725</x:v>
      </x:c>
      <x:c r="AD176" t="n">
        <x:f>Scenario_Data!W176</x:f>
        <x:v>360</x:v>
      </x:c>
      <x:c r="AE176" t="n">
        <x: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x:f>
        <x:v>1483.5912433597673</x:v>
      </x:c>
      <x:c r="AG176" t="n">
        <x:f>Scenario_Data!T176</x:f>
        <x:v>27</x:v>
      </x:c>
      <x:c r="AH176" t="n">
        <x:f>2*(SQRT((Inputs!$C$52+(Scenario_Data!B176))^2+Inputs!$C$52^2-2*(Inputs!$C$52+(Scenario_Data!B176))*Inputs!$C$52*COS(SQRT((Scenario_Data!T176)^2+Inputs!$C$6^2)/Inputs!$C$52))*1000)/Inputs!$C$21*1000000</x:f>
        <x:v>2688.0405488767533</x:v>
      </x:c>
      <x:c r="AI176" t="n">
        <x:f>Scenario_Data!U176</x:f>
        <x:v>180</x:v>
      </x:c>
      <x:c r="AJ176" t="n">
        <x:f>2*(SQRT((Inputs!$C$52+(Scenario_Data!C176))^2+Inputs!$C$52^2-2*(Inputs!$C$52+(Scenario_Data!C176))*Inputs!$C$52*COS(SQRT((Scenario_Data!U176)^2+Inputs!$C$6^2)/Inputs!$C$52))*1000)/Inputs!$C$21*1000000</x:f>
        <x:v>1448.628895361848</x:v>
      </x:c>
      <x:c r="AK176" t="n">
        <x:f>Scenario_Data!V176</x:f>
        <x:v>360</x:v>
      </x:c>
      <x:c r="AL176" t="n">
        <x:f>2*(SQRT((Inputs!$C$52+(Scenario_Data!D176))^2+Inputs!$C$52^2-2*(Inputs!$C$52+(Scenario_Data!D176))*Inputs!$C$52*COS(SQRT((Scenario_Data!V176)^2+Inputs!$C$6^2)/Inputs!$C$52))*1000)/Inputs!$C$21*1000000</x:f>
        <x:v>2997.4387220817075</x:v>
      </x:c>
      <x:c r="AM176" t="n">
        <x:f>Scenario_Data!W176</x:f>
        <x:v>360</x:v>
      </x:c>
      <x:c r="AN176" t="n">
        <x:f>2*(SQRT((Inputs!$C$52+(Scenario_Data!E176))^2+Inputs!$C$52^2-2*(Inputs!$C$52+(Scenario_Data!E176))*Inputs!$C$52*COS(SQRT((Scenario_Data!W176)^2+Inputs!$C$6^2)/Inputs!$C$52))*1000)/Inputs!$C$21*1000000</x:f>
        <x:v>2965.539435665303</x:v>
      </x:c>
      <x:c r="AP176" t="n">
        <x:f>Scenario_Data!T176</x:f>
        <x:v>27</x:v>
      </x:c>
      <x:c r="AQ176" t="n">
        <x: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x:f>
        <x:v>2685.7460339181407</x:v>
      </x:c>
      <x:c r="AR176" t="n">
        <x:f>Scenario_Data!U176</x:f>
        <x:v>180</x:v>
      </x:c>
      <x:c r="AS176" t="n">
        <x: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x:f>
        <x:v>1448.233731510371</x:v>
      </x:c>
      <x:c r="AT176" t="n">
        <x:f>Scenario_Data!V176</x:f>
        <x:v>360</x:v>
      </x:c>
      <x:c r="AU176" t="n">
        <x: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x:f>
        <x:v>2997.0388676298153</x:v>
      </x:c>
      <x:c r="AV176" t="n">
        <x:f>Scenario_Data!W176</x:f>
        <x:v>360</x:v>
      </x:c>
      <x:c r="AW176" t="n">
        <x: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x:f>
        <x:v>2965.1524552312057</x:v>
      </x:c>
    </x:row>
    <x:row r="177">
      <x:c r="A177" t="n">
        <x:f>Chart_Data!K177</x:f>
        <x:v>27.5</x:v>
      </x:c>
      <x:c r="B177" t="n">
        <x:f>Chart_Data!N177-Chart_Data!L177</x:f>
        <x:v>-48.058872962173155</x:v>
      </x:c>
      <x:c r="D177" t="n">
        <x:f>Chart_Data!G177</x:f>
        <x:v>27.5</x:v>
      </x:c>
      <x:c r="E177" t="n">
        <x:f>Chart_Data!H177</x:f>
        <x:v>337.0351401860322</x:v>
      </x:c>
      <x:c r="F177" t="n">
        <x:f>Chart_Data!I177</x:f>
        <x:v>337.0351401860322</x:v>
      </x:c>
      <x:c r="G177" t="n">
        <x:f>Chart_Data!J177</x:f>
        <x:v>45.78588130375909</x:v>
      </x:c>
      <x:c r="I177" t="n">
        <x:f>Scenario_Data!A177</x:f>
        <x:v>0.458</x:v>
      </x:c>
      <x:c r="J177" t="n">
        <x:f>Scenario_Data!H177-(((SQRT((Inputs!$C$52+(Inputs!$H$6))^2+Inputs!$C$52^2-2*(Inputs!$C$52+(Inputs!$H$6))*Inputs!$C$52*COS(SQRT((Scenario_Data!T177)^2+Inputs!$C$6^2)/Inputs!$C$52)))-(Inputs!$H$6))*1000/Inputs!$C$12)</x:f>
        <x:v>-2.0109937508048006</x:v>
      </x:c>
      <x:c r="K177" t="n">
        <x:f>Scenario_Data!I177-(((SQRT((Inputs!$C$52+(Inputs!$H$7))^2+Inputs!$C$52^2-2*(Inputs!$C$52+(Inputs!$H$7))*Inputs!$C$52*COS(SQRT((Scenario_Data!U177)^2+Inputs!$C$6^2)/Inputs!$C$52)))-(Inputs!$H$7))*1000/Inputs!$C$12)</x:f>
        <x:v>-25408.058195726262</x:v>
      </x:c>
      <x:c r="L177" t="n">
        <x:f>Scenario_Data!J177-(((SQRT((Inputs!$C$52+(Inputs!$H$8))^2+Inputs!$C$52^2-2*(Inputs!$C$52+(Inputs!$H$8))*Inputs!$C$52*COS(SQRT((Scenario_Data!V177)^2+Inputs!$C$6^2)/Inputs!$C$52)))-(Inputs!$H$8))*1000/Inputs!$C$12)</x:f>
        <x:v>-64700.62896395409</x:v>
      </x:c>
      <x:c r="M177" t="n">
        <x:f>Scenario_Data!K177-(((SQRT((Inputs!$C$52+(Inputs!$H$9))^2+Inputs!$C$52^2-2*(Inputs!$C$52+(Inputs!$H$9))*Inputs!$C$52*COS(SQRT((Scenario_Data!W177)^2+Inputs!$C$6^2)/Inputs!$C$52)))-(Inputs!$H$9))*1000/Inputs!$C$12)</x:f>
        <x:v>-67459.8291234388</x:v>
      </x:c>
      <x:c r="O177" t="n">
        <x:f>Scenario_Data!T177</x:f>
        <x:v>27.480000000000004</x:v>
      </x:c>
      <x:c r="P177" t="n">
        <x:f>2*(Scenario_Data!B177*1000)/Inputs!$C$21*1000000</x:f>
        <x:v>2674.1103406944285</x:v>
      </x:c>
      <x:c r="Q177" t="n">
        <x:f>Scenario_Data!U177</x:f>
        <x:v>183.19999999999993</x:v>
      </x:c>
      <x:c r="R177" t="n">
        <x:f>2*(Scenario_Data!C177*1000)/Inputs!$C$21*1000000</x:f>
        <x:v>744.2739603542658</x:v>
      </x:c>
      <x:c r="S177" t="n">
        <x:f>Scenario_Data!V177</x:f>
        <x:v>366.39999999999986</x:v>
      </x:c>
      <x:c r="T177" t="n">
        <x:f>2*(Scenario_Data!D177*1000)/Inputs!$C$21*1000000</x:f>
        <x:v>1583.9108267360073</x:v>
      </x:c>
      <x:c r="U177" t="n">
        <x:f>Scenario_Data!W177</x:f>
        <x:v>366.39999999999986</x:v>
      </x:c>
      <x:c r="V177" t="n">
        <x:f>2*(Scenario_Data!E177*1000)/Inputs!$C$21*1000000</x:f>
        <x:v>1531.191955469406</x:v>
      </x:c>
      <x:c r="X177" t="n">
        <x:f>Scenario_Data!T177</x:f>
        <x:v>27.480000000000004</x:v>
      </x:c>
      <x:c r="Y177" t="n">
        <x: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x:f>
        <x:v>2673.8136935452526</x:v>
      </x:c>
      <x:c r="Z177" t="n">
        <x:f>Scenario_Data!U177</x:f>
        <x:v>183.19999999999993</x:v>
      </x:c>
      <x:c r="AA177" t="n">
        <x: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x:f>
        <x:v>743.9212040900048</x:v>
      </x:c>
      <x:c r="AB177" t="n">
        <x:f>Scenario_Data!V177</x:f>
        <x:v>366.39999999999986</x:v>
      </x:c>
      <x:c r="AC177" t="n">
        <x: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x:f>
        <x:v>1583.219543020566</x:v>
      </x:c>
      <x:c r="AD177" t="n">
        <x:f>Scenario_Data!W177</x:f>
        <x:v>366.39999999999986</x:v>
      </x:c>
      <x:c r="AE177" t="n">
        <x: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x:f>
        <x:v>1530.5006717539648</x:v>
      </x:c>
      <x:c r="AG177" t="n">
        <x:f>Scenario_Data!T177</x:f>
        <x:v>27.480000000000004</x:v>
      </x:c>
      <x:c r="AH177" t="n">
        <x:f>2*(SQRT((Inputs!$C$52+(Scenario_Data!B177))^2+Inputs!$C$52^2-2*(Inputs!$C$52+(Scenario_Data!B177))*Inputs!$C$52*COS(SQRT((Scenario_Data!T177)^2+Inputs!$C$6^2)/Inputs!$C$52))*1000)/Inputs!$C$21*1000000</x:f>
        <x:v>2688.505605067754</x:v>
      </x:c>
      <x:c r="AI177" t="n">
        <x:f>Scenario_Data!U177</x:f>
        <x:v>183.19999999999993</x:v>
      </x:c>
      <x:c r="AJ177" t="n">
        <x:f>2*(SQRT((Inputs!$C$52+(Scenario_Data!C177))^2+Inputs!$C$52^2-2*(Inputs!$C$52+(Scenario_Data!C177))*Inputs!$C$52*COS(SQRT((Scenario_Data!U177)^2+Inputs!$C$6^2)/Inputs!$C$52))*1000)/Inputs!$C$21*1000000</x:f>
        <x:v>1477.272095393459</x:v>
      </x:c>
      <x:c r="AK177" t="n">
        <x:f>Scenario_Data!V177</x:f>
        <x:v>366.39999999999986</x:v>
      </x:c>
      <x:c r="AL177" t="n">
        <x:f>2*(SQRT((Inputs!$C$52+(Scenario_Data!D177))^2+Inputs!$C$52^2-2*(Inputs!$C$52+(Scenario_Data!D177))*Inputs!$C$52*COS(SQRT((Scenario_Data!V177)^2+Inputs!$C$6^2)/Inputs!$C$52))*1000)/Inputs!$C$21*1000000</x:f>
        <x:v>3064.756229239328</x:v>
      </x:c>
      <x:c r="AM177" t="n">
        <x:f>Scenario_Data!W177</x:f>
        <x:v>366.39999999999986</x:v>
      </x:c>
      <x:c r="AN177" t="n">
        <x:f>2*(SQRT((Inputs!$C$52+(Scenario_Data!E177))^2+Inputs!$C$52^2-2*(Inputs!$C$52+(Scenario_Data!E177))*Inputs!$C$52*COS(SQRT((Scenario_Data!W177)^2+Inputs!$C$6^2)/Inputs!$C$52))*1000)/Inputs!$C$21*1000000</x:f>
        <x:v>3032.8623798858607</x:v>
      </x:c>
      <x:c r="AP177" t="n">
        <x:f>Scenario_Data!T177</x:f>
        <x:v>27.480000000000004</x:v>
      </x:c>
      <x:c r="AQ177" t="n">
        <x: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x:f>
        <x:v>2686.2420281089157</x:v>
      </x:c>
      <x:c r="AR177" t="n">
        <x:f>Scenario_Data!U177</x:f>
        <x:v>183.19999999999993</x:v>
      </x:c>
      <x:c r="AS177" t="n">
        <x: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x:f>
        <x:v>1476.6661603886478</x:v>
      </x:c>
      <x:c r="AT177" t="n">
        <x:f>Scenario_Data!V177</x:f>
        <x:v>366.39999999999986</x:v>
      </x:c>
      <x:c r="AU177" t="n">
        <x: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x:f>
        <x:v>3064.1595178111925</x:v>
      </x:c>
      <x:c r="AV177" t="n">
        <x:f>Scenario_Data!W177</x:f>
        <x:v>366.39999999999986</x:v>
      </x:c>
      <x:c r="AW177" t="n">
        <x: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x:f>
        <x:v>3032.284073090573</x:v>
      </x:c>
    </x:row>
    <x:row r="178">
      <x:c r="A178" t="n">
        <x:f>Chart_Data!K178</x:f>
        <x:v>28</x:v>
      </x:c>
      <x:c r="B178" t="n">
        <x:f>Chart_Data!N178-Chart_Data!L178</x:f>
        <x:v>-61.09136424802625</x:v>
      </x:c>
      <x:c r="D178" t="n">
        <x:f>Chart_Data!G178</x:f>
        <x:v>28</x:v>
      </x:c>
      <x:c r="E178" t="n">
        <x:f>Chart_Data!H178</x:f>
        <x:v>312.18369818898617</x:v>
      </x:c>
      <x:c r="F178" t="n">
        <x:f>Chart_Data!I178</x:f>
        <x:v>312.18369818898617</x:v>
      </x:c>
      <x:c r="G178" t="n">
        <x:f>Chart_Data!J178</x:f>
        <x:v>58.94439177372493</x:v>
      </x:c>
      <x:c r="I178" t="n">
        <x:f>Scenario_Data!A178</x:f>
        <x:v>0.467</x:v>
      </x:c>
      <x:c r="J178" t="n">
        <x:f>Scenario_Data!H178-(((SQRT((Inputs!$C$52+(Inputs!$H$6))^2+Inputs!$C$52^2-2*(Inputs!$C$52+(Inputs!$H$6))*Inputs!$C$52*COS(SQRT((Scenario_Data!T178)^2+Inputs!$C$6^2)/Inputs!$C$52)))-(Inputs!$H$6))*1000/Inputs!$C$12)</x:f>
        <x:v>-2.13562408544135</x:v>
      </x:c>
      <x:c r="K178" t="n">
        <x:f>Scenario_Data!I178-(((SQRT((Inputs!$C$52+(Inputs!$H$7))^2+Inputs!$C$52^2-2*(Inputs!$C$52+(Inputs!$H$7))*Inputs!$C$52*COS(SQRT((Scenario_Data!U178)^2+Inputs!$C$6^2)/Inputs!$C$52)))-(Inputs!$H$7))*1000/Inputs!$C$12)</x:f>
        <x:v>-26368.734852925336</x:v>
      </x:c>
      <x:c r="L178" t="n">
        <x:f>Scenario_Data!J178-(((SQRT((Inputs!$C$52+(Inputs!$H$8))^2+Inputs!$C$52^2-2*(Inputs!$C$52+(Inputs!$H$8))*Inputs!$C$52*COS(SQRT((Scenario_Data!V178)^2+Inputs!$C$6^2)/Inputs!$C$52)))-(Inputs!$H$8))*1000/Inputs!$C$12)</x:f>
        <x:v>-66799.5300210921</x:v>
      </x:c>
      <x:c r="M178" t="n">
        <x:f>Scenario_Data!K178-(((SQRT((Inputs!$C$52+(Inputs!$H$9))^2+Inputs!$C$52^2-2*(Inputs!$C$52+(Inputs!$H$9))*Inputs!$C$52*COS(SQRT((Scenario_Data!W178)^2+Inputs!$C$6^2)/Inputs!$C$52)))-(Inputs!$H$9))*1000/Inputs!$C$12)</x:f>
        <x:v>-69599.51053278941</x:v>
      </x:c>
      <x:c r="O178" t="n">
        <x:f>Scenario_Data!T178</x:f>
        <x:v>28.02000000000001</x:v>
      </x:c>
      <x:c r="P178" t="n">
        <x:f>2*(Scenario_Data!B178*1000)/Inputs!$C$21*1000000</x:f>
        <x:v>2674.33249438183</x:v>
      </x:c>
      <x:c r="Q178" t="n">
        <x:f>Scenario_Data!U178</x:f>
        <x:v>186.80000000000007</x:v>
      </x:c>
      <x:c r="R178" t="n">
        <x:f>2*(Scenario_Data!C178*1000)/Inputs!$C$21*1000000</x:f>
        <x:v>764.5454843296961</x:v>
      </x:c>
      <x:c r="S178" t="n">
        <x:f>Scenario_Data!V178</x:f>
        <x:v>373.60000000000014</x:v>
      </x:c>
      <x:c r="T178" t="n">
        <x:f>2*(Scenario_Data!D178*1000)/Inputs!$C$21*1000000</x:f>
        <x:v>1637.5054038217343</x:v>
      </x:c>
      <x:c r="U178" t="n">
        <x:f>Scenario_Data!W178</x:f>
        <x:v>373.60000000000014</x:v>
      </x:c>
      <x:c r="V178" t="n">
        <x:f>2*(Scenario_Data!E178*1000)/Inputs!$C$21*1000000</x:f>
        <x:v>1585.341916773638</x:v>
      </x:c>
      <x:c r="X178" t="n">
        <x:f>Scenario_Data!T178</x:f>
        <x:v>28.02000000000001</x:v>
      </x:c>
      <x:c r="Y178" t="n">
        <x: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x:f>
        <x:v>2674.008990974961</x:v>
      </x:c>
      <x:c r="Z178" t="n">
        <x:f>Scenario_Data!U178</x:f>
        <x:v>186.80000000000007</x:v>
      </x:c>
      <x:c r="AA178" t="n">
        <x: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x:f>
        <x:v>764.4798066752313</x:v>
      </x:c>
      <x:c r="AB178" t="n">
        <x:f>Scenario_Data!V178</x:f>
        <x:v>373.60000000000014</x:v>
      </x:c>
      <x:c r="AC178" t="n">
        <x: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x:f>
        <x:v>1637.3411182670352</x:v>
      </x:c>
      <x:c r="AD178" t="n">
        <x:f>Scenario_Data!W178</x:f>
        <x:v>373.60000000000014</x:v>
      </x:c>
      <x:c r="AE178" t="n">
        <x: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x:f>
        <x:v>1585.1776312189386</x:v>
      </x:c>
      <x:c r="AG178" t="n">
        <x:f>Scenario_Data!T178</x:f>
        <x:v>28.02000000000001</x:v>
      </x:c>
      <x:c r="AH178" t="n">
        <x:f>2*(SQRT((Inputs!$C$52+(Scenario_Data!B178))^2+Inputs!$C$52^2-2*(Inputs!$C$52+(Scenario_Data!B178))*Inputs!$C$52*COS(SQRT((Scenario_Data!T178)^2+Inputs!$C$6^2)/Inputs!$C$52))*1000)/Inputs!$C$21*1000000</x:f>
        <x:v>2689.038516240782</x:v>
      </x:c>
      <x:c r="AI178" t="n">
        <x:f>Scenario_Data!U178</x:f>
        <x:v>186.80000000000007</x:v>
      </x:c>
      <x:c r="AJ178" t="n">
        <x:f>2*(SQRT((Inputs!$C$52+(Scenario_Data!C178))^2+Inputs!$C$52^2-2*(Inputs!$C$52+(Scenario_Data!C178))*Inputs!$C$52*COS(SQRT((Scenario_Data!U178)^2+Inputs!$C$6^2)/Inputs!$C$52))*1000)/Inputs!$C$21*1000000</x:f>
        <x:v>1509.7552162254726</x:v>
      </x:c>
      <x:c r="AK178" t="n">
        <x:f>Scenario_Data!V178</x:f>
        <x:v>373.60000000000014</x:v>
      </x:c>
      <x:c r="AL178" t="n">
        <x:f>2*(SQRT((Inputs!$C$52+(Scenario_Data!D178))^2+Inputs!$C$52^2-2*(Inputs!$C$52+(Scenario_Data!D178))*Inputs!$C$52*COS(SQRT((Scenario_Data!V178)^2+Inputs!$C$6^2)/Inputs!$C$52))*1000)/Inputs!$C$21*1000000</x:f>
        <x:v>3141.3341110240226</x:v>
      </x:c>
      <x:c r="AM178" t="n">
        <x:f>Scenario_Data!W178</x:f>
        <x:v>373.60000000000014</x:v>
      </x:c>
      <x:c r="AN178" t="n">
        <x:f>2*(SQRT((Inputs!$C$52+(Scenario_Data!E178))^2+Inputs!$C$52^2-2*(Inputs!$C$52+(Scenario_Data!E178))*Inputs!$C$52*COS(SQRT((Scenario_Data!W178)^2+Inputs!$C$6^2)/Inputs!$C$52))*1000)/Inputs!$C$21*1000000</x:f>
        <x:v>3109.462192200807</x:v>
      </x:c>
      <x:c r="AP178" t="n">
        <x:f>Scenario_Data!T178</x:f>
        <x:v>28.02000000000001</x:v>
      </x:c>
      <x:c r="AQ178" t="n">
        <x: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x:f>
        <x:v>2686.848274404113</x:v>
      </x:c>
      <x:c r="AR178" t="n">
        <x:f>Scenario_Data!U178</x:f>
        <x:v>186.80000000000007</x:v>
      </x:c>
      <x:c r="AS178" t="n">
        <x: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x:f>
        <x:v>1509.2529786221405</x:v>
      </x:c>
      <x:c r="AT178" t="n">
        <x:f>Scenario_Data!V178</x:f>
        <x:v>373.60000000000014</x:v>
      </x:c>
      <x:c r="AU178" t="n">
        <x: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x:f>
        <x:v>3141.0226701663896</x:v>
      </x:c>
      <x:c r="AV178" t="n">
        <x:f>Scenario_Data!W178</x:f>
        <x:v>373.60000000000014</x:v>
      </x:c>
      <x:c r="AW178" t="n">
        <x: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x:f>
        <x:v>3109.1598983076765</x:v>
      </x:c>
    </x:row>
    <x:row r="179">
      <x:c r="A179" t="n">
        <x:f>Chart_Data!K179</x:f>
        <x:v>28.5</x:v>
      </x:c>
      <x:c r="B179" t="n">
        <x:f>Chart_Data!N179-Chart_Data!L179</x:f>
        <x:v>-55.904413669962196</x:v>
      </x:c>
      <x:c r="D179" t="n">
        <x:f>Chart_Data!G179</x:f>
        <x:v>28.5</x:v>
      </x:c>
      <x:c r="E179" t="n">
        <x:f>Chart_Data!H179</x:f>
        <x:v>310.4659866511931</x:v>
      </x:c>
      <x:c r="F179" t="n">
        <x:f>Chart_Data!I179</x:f>
        <x:v>310.4659866511931</x:v>
      </x:c>
      <x:c r="G179" t="n">
        <x:f>Chart_Data!J179</x:f>
        <x:v>53.72705851492565</x:v>
      </x:c>
      <x:c r="I179" t="n">
        <x:f>Scenario_Data!A179</x:f>
        <x:v>0.475</x:v>
      </x:c>
      <x:c r="J179" t="n">
        <x:f>Scenario_Data!H179-(((SQRT((Inputs!$C$52+(Inputs!$H$6))^2+Inputs!$C$52^2-2*(Inputs!$C$52+(Inputs!$H$6))*Inputs!$C$52*COS(SQRT((Scenario_Data!T179)^2+Inputs!$C$6^2)/Inputs!$C$52)))-(Inputs!$H$6))*1000/Inputs!$C$12)</x:f>
        <x:v>-2.251371436165755</x:v>
      </x:c>
      <x:c r="K179" t="n">
        <x:f>Scenario_Data!I179-(((SQRT((Inputs!$C$52+(Inputs!$H$7))^2+Inputs!$C$52^2-2*(Inputs!$C$52+(Inputs!$H$7))*Inputs!$C$52*COS(SQRT((Scenario_Data!U179)^2+Inputs!$C$6^2)/Inputs!$C$52)))-(Inputs!$H$7))*1000/Inputs!$C$12)</x:f>
        <x:v>-27232.458450313294</x:v>
      </x:c>
      <x:c r="L179" t="n">
        <x:f>Scenario_Data!J179-(((SQRT((Inputs!$C$52+(Inputs!$H$8))^2+Inputs!$C$52^2-2*(Inputs!$C$52+(Inputs!$H$8))*Inputs!$C$52*COS(SQRT((Scenario_Data!V179)^2+Inputs!$C$6^2)/Inputs!$C$52)))-(Inputs!$H$8))*1000/Inputs!$C$12)</x:f>
        <x:v>-68674.96006151366</x:v>
      </x:c>
      <x:c r="M179" t="n">
        <x:f>Scenario_Data!K179-(((SQRT((Inputs!$C$52+(Inputs!$H$9))^2+Inputs!$C$52^2-2*(Inputs!$C$52+(Inputs!$H$9))*Inputs!$C$52*COS(SQRT((Scenario_Data!W179)^2+Inputs!$C$6^2)/Inputs!$C$52)))-(Inputs!$H$9))*1000/Inputs!$C$12)</x:f>
        <x:v>-71510.49050705163</x:v>
      </x:c>
      <x:c r="O179" t="n">
        <x:f>Scenario_Data!T179</x:f>
        <x:v>28.5</x:v>
      </x:c>
      <x:c r="P179" t="n">
        <x:f>2*(Scenario_Data!B179*1000)/Inputs!$C$21*1000000</x:f>
        <x:v>2674.5335935035428</x:v>
      </x:c>
      <x:c r="Q179" t="n">
        <x:f>Scenario_Data!U179</x:f>
        <x:v>190</x:v>
      </x:c>
      <x:c r="R179" t="n">
        <x:f>2*(Scenario_Data!C179*1000)/Inputs!$C$21*1000000</x:f>
        <x:v>782.8957791860126</x:v>
      </x:c>
      <x:c r="S179" t="n">
        <x:f>Scenario_Data!V179</x:f>
        <x:v>380</x:v>
      </x:c>
      <x:c r="T179" t="n">
        <x:f>2*(Scenario_Data!D179*1000)/Inputs!$C$21*1000000</x:f>
        <x:v>1686.0205669350094</x:v>
      </x:c>
      <x:c r="U179" t="n">
        <x:f>Scenario_Data!W179</x:f>
        <x:v>380</x:v>
      </x:c>
      <x:c r="V179" t="n">
        <x:f>2*(Scenario_Data!E179*1000)/Inputs!$C$21*1000000</x:f>
        <x:v>1634.3598276911957</x:v>
      </x:c>
      <x:c r="X179" t="n">
        <x:f>Scenario_Data!T179</x:f>
        <x:v>28.5</x:v>
      </x:c>
      <x:c r="Y179" t="n">
        <x: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x:f>
        <x:v>2674.175165150319</x:v>
      </x:c>
      <x:c r="Z179" t="n">
        <x:f>Scenario_Data!U179</x:f>
        <x:v>190</x:v>
      </x:c>
      <x:c r="AA179" t="n">
        <x: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x:f>
        <x:v>783.3268131486861</x:v>
      </x:c>
      <x:c r="AB179" t="n">
        <x:f>Scenario_Data!V179</x:f>
        <x:v>380</x:v>
      </x:c>
      <x:c r="AC179" t="n">
        <x: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x:f>
        <x:v>1685.5394953979162</x:v>
      </x:c>
      <x:c r="AD179" t="n">
        <x:f>Scenario_Data!W179</x:f>
        <x:v>380</x:v>
      </x:c>
      <x:c r="AE179" t="n">
        <x: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x:f>
        <x:v>1633.8787561541026</x:v>
      </x:c>
      <x:c r="AG179" t="n">
        <x:f>Scenario_Data!T179</x:f>
        <x:v>28.5</x:v>
      </x:c>
      <x:c r="AH179" t="n">
        <x:f>2*(SQRT((Inputs!$C$52+(Scenario_Data!B179))^2+Inputs!$C$52^2-2*(Inputs!$C$52+(Scenario_Data!B179))*Inputs!$C$52*COS(SQRT((Scenario_Data!T179)^2+Inputs!$C$6^2)/Inputs!$C$52))*1000)/Inputs!$C$21*1000000</x:f>
        <x:v>2689.520854217586</x:v>
      </x:c>
      <x:c r="AI179" t="n">
        <x:f>Scenario_Data!U179</x:f>
        <x:v>190</x:v>
      </x:c>
      <x:c r="AJ179" t="n">
        <x:f>2*(SQRT((Inputs!$C$52+(Scenario_Data!C179))^2+Inputs!$C$52^2-2*(Inputs!$C$52+(Scenario_Data!C179))*Inputs!$C$52*COS(SQRT((Scenario_Data!U179)^2+Inputs!$C$6^2)/Inputs!$C$52))*1000)/Inputs!$C$21*1000000</x:f>
        <x:v>1538.8616802693725</x:v>
      </x:c>
      <x:c r="AK179" t="n">
        <x:f>Scenario_Data!V179</x:f>
        <x:v>380</x:v>
      </x:c>
      <x:c r="AL179" t="n">
        <x:f>2*(SQRT((Inputs!$C$52+(Scenario_Data!D179))^2+Inputs!$C$52^2-2*(Inputs!$C$52+(Scenario_Data!D179))*Inputs!$C$52*COS(SQRT((Scenario_Data!V179)^2+Inputs!$C$6^2)/Inputs!$C$52))*1000)/Inputs!$C$21*1000000</x:f>
        <x:v>3210.1620844044405</x:v>
      </x:c>
      <x:c r="AM179" t="n">
        <x:f>Scenario_Data!W179</x:f>
        <x:v>380</x:v>
      </x:c>
      <x:c r="AN179" t="n">
        <x:f>2*(SQRT((Inputs!$C$52+(Scenario_Data!E179))^2+Inputs!$C$52^2-2*(Inputs!$C$52+(Scenario_Data!E179))*Inputs!$C$52*COS(SQRT((Scenario_Data!W179)^2+Inputs!$C$6^2)/Inputs!$C$52))*1000)/Inputs!$C$21*1000000</x:f>
        <x:v>3178.323865680885</x:v>
      </x:c>
      <x:c r="AP179" t="n">
        <x:f>Scenario_Data!T179</x:f>
        <x:v>28.5</x:v>
      </x:c>
      <x:c r="AQ179" t="n">
        <x: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x:f>
        <x:v>2687.4641738490877</x:v>
      </x:c>
      <x:c r="AR179" t="n">
        <x:f>Scenario_Data!U179</x:f>
        <x:v>190</x:v>
      </x:c>
      <x:c r="AS179" t="n">
        <x: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x:f>
        <x:v>1538.4831289843698</x:v>
      </x:c>
      <x:c r="AT179" t="n">
        <x:f>Scenario_Data!V179</x:f>
        <x:v>380</x:v>
      </x:c>
      <x:c r="AU179" t="n">
        <x: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x:f>
        <x:v>3209.636377410934</x:v>
      </x:c>
      <x:c r="AV179" t="n">
        <x:f>Scenario_Data!W179</x:f>
        <x:v>380</x:v>
      </x:c>
      <x:c r="AW179" t="n">
        <x: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x:f>
        <x:v>3177.812951422256</x:v>
      </x:c>
    </x:row>
    <x:row r="180">
      <x:c r="A180" t="n">
        <x:f>Chart_Data!K180</x:f>
        <x:v>29</x:v>
      </x:c>
      <x:c r="B180" t="n">
        <x:f>Chart_Data!N180-Chart_Data!L180</x:f>
        <x:v>-31.39290658087836</x:v>
      </x:c>
      <x:c r="D180" t="n">
        <x:f>Chart_Data!G180</x:f>
        <x:v>29</x:v>
      </x:c>
      <x:c r="E180" t="n">
        <x:f>Chart_Data!H180</x:f>
        <x:v>283.98171018669603</x:v>
      </x:c>
      <x:c r="F180" t="n">
        <x:f>Chart_Data!I180</x:f>
        <x:v>283.98171018669603</x:v>
      </x:c>
      <x:c r="G180" t="n">
        <x:f>Chart_Data!J180</x:f>
        <x:v>29.362157595592716</x:v>
      </x:c>
      <x:c r="I180" t="n">
        <x:f>Scenario_Data!A180</x:f>
        <x:v>0.483</x:v>
      </x:c>
      <x:c r="J180" t="n">
        <x:f>Scenario_Data!H180-(((SQRT((Inputs!$C$52+(Inputs!$H$6))^2+Inputs!$C$52^2-2*(Inputs!$C$52+(Inputs!$H$6))*Inputs!$C$52*COS(SQRT((Scenario_Data!T180)^2+Inputs!$C$6^2)/Inputs!$C$52)))-(Inputs!$H$6))*1000/Inputs!$C$12)</x:f>
        <x:v>-2.371937016364882</x:v>
      </x:c>
      <x:c r="K180" t="n">
        <x:f>Scenario_Data!I180-(((SQRT((Inputs!$C$52+(Inputs!$H$7))^2+Inputs!$C$52^2-2*(Inputs!$C$52+(Inputs!$H$7))*Inputs!$C$52*COS(SQRT((Scenario_Data!U180)^2+Inputs!$C$6^2)/Inputs!$C$52)))-(Inputs!$H$7))*1000/Inputs!$C$12)</x:f>
        <x:v>-28105.166881475925</x:v>
      </x:c>
      <x:c r="L180" t="n">
        <x:f>Scenario_Data!J180-(((SQRT((Inputs!$C$52+(Inputs!$H$8))^2+Inputs!$C$52^2-2*(Inputs!$C$52+(Inputs!$H$8))*Inputs!$C$52*COS(SQRT((Scenario_Data!V180)^2+Inputs!$C$6^2)/Inputs!$C$52)))-(Inputs!$H$8))*1000/Inputs!$C$12)</x:f>
        <x:v>-70558.95654529486</x:v>
      </x:c>
      <x:c r="M180" t="n">
        <x:f>Scenario_Data!K180-(((SQRT((Inputs!$C$52+(Inputs!$H$9))^2+Inputs!$C$52^2-2*(Inputs!$C$52+(Inputs!$H$9))*Inputs!$C$52*COS(SQRT((Scenario_Data!W180)^2+Inputs!$C$6^2)/Inputs!$C$52)))-(Inputs!$H$9))*1000/Inputs!$C$12)</x:f>
        <x:v>-73429.38122625335</x:v>
      </x:c>
      <x:c r="O180" t="n">
        <x:f>Scenario_Data!T180</x:f>
        <x:v>28.980000000000004</x:v>
      </x:c>
      <x:c r="P180" t="n">
        <x:f>2*(Scenario_Data!B180*1000)/Inputs!$C$21*1000000</x:f>
        <x:v>2674.738108321591</x:v>
      </x:c>
      <x:c r="Q180" t="n">
        <x:f>Scenario_Data!U180</x:f>
        <x:v>193.20000000000005</x:v>
      </x:c>
      <x:c r="R180" t="n">
        <x:f>2*(Scenario_Data!C180*1000)/Inputs!$C$21*1000000</x:f>
        <x:v>801.557756332883</x:v>
      </x:c>
      <x:c r="S180" t="n">
        <x:f>Scenario_Data!V180</x:f>
        <x:v>386.4000000000001</x:v>
      </x:c>
      <x:c r="T180" t="n">
        <x:f>2*(Scenario_Data!D180*1000)/Inputs!$C$21*1000000</x:f>
        <x:v>1735.3597667890638</x:v>
      </x:c>
      <x:c r="U180" t="n">
        <x:f>Scenario_Data!W180</x:f>
        <x:v>386.4000000000001</x:v>
      </x:c>
      <x:c r="V180" t="n">
        <x:f>2*(Scenario_Data!E180*1000)/Inputs!$C$21*1000000</x:f>
        <x:v>1684.2103145903695</x:v>
      </x:c>
      <x:c r="X180" t="n">
        <x:f>Scenario_Data!T180</x:f>
        <x:v>28.980000000000004</x:v>
      </x:c>
      <x:c r="Y180" t="n">
        <x: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x:f>
        <x:v>2674.4235115684287</x:v>
      </x:c>
      <x:c r="Z180" t="n">
        <x:f>Scenario_Data!U180</x:f>
        <x:v>193.20000000000005</x:v>
      </x:c>
      <x:c r="AA180" t="n">
        <x: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x:f>
        <x:v>801.8464832007562</x:v>
      </x:c>
      <x:c r="AB180" t="n">
        <x:f>Scenario_Data!V180</x:f>
        <x:v>386.4000000000001</x:v>
      </x:c>
      <x:c r="AC180" t="n">
        <x: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x:f>
        <x:v>1735.101566695354</x:v>
      </x:c>
      <x:c r="AD180" t="n">
        <x:f>Scenario_Data!W180</x:f>
        <x:v>386.4000000000001</x:v>
      </x:c>
      <x:c r="AE180" t="n">
        <x: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x:f>
        <x:v>1683.9521144966598</x:v>
      </x:c>
      <x:c r="AG180" t="n">
        <x:f>Scenario_Data!T180</x:f>
        <x:v>28.980000000000004</x:v>
      </x:c>
      <x:c r="AH180" t="n">
        <x:f>2*(SQRT((Inputs!$C$52+(Scenario_Data!B180))^2+Inputs!$C$52^2-2*(Inputs!$C$52+(Scenario_Data!B180))*Inputs!$C$52*COS(SQRT((Scenario_Data!T180)^2+Inputs!$C$6^2)/Inputs!$C$52))*1000)/Inputs!$C$21*1000000</x:f>
        <x:v>2690.0113198410036</x:v>
      </x:c>
      <x:c r="AI180" t="n">
        <x:f>Scenario_Data!U180</x:f>
        <x:v>193.20000000000005</x:v>
      </x:c>
      <x:c r="AJ180" t="n">
        <x:f>2*(SQRT((Inputs!$C$52+(Scenario_Data!C180))^2+Inputs!$C$52^2-2*(Inputs!$C$52+(Scenario_Data!C180))*Inputs!$C$52*COS(SQRT((Scenario_Data!U180)^2+Inputs!$C$6^2)/Inputs!$C$52))*1000)/Inputs!$C$21*1000000</x:f>
        <x:v>1568.188843395766</x:v>
      </x:c>
      <x:c r="AK180" t="n">
        <x:f>Scenario_Data!V180</x:f>
        <x:v>386.4000000000001</x:v>
      </x:c>
      <x:c r="AL180" t="n">
        <x:f>2*(SQRT((Inputs!$C$52+(Scenario_Data!D180))^2+Inputs!$C$52^2-2*(Inputs!$C$52+(Scenario_Data!D180))*Inputs!$C$52*COS(SQRT((Scenario_Data!V180)^2+Inputs!$C$6^2)/Inputs!$C$52))*1000)/Inputs!$C$21*1000000</x:f>
        <x:v>3279.710632319749</x:v>
      </x:c>
      <x:c r="AM180" t="n">
        <x:f>Scenario_Data!W180</x:f>
        <x:v>386.4000000000001</x:v>
      </x:c>
      <x:c r="AN180" t="n">
        <x:f>2*(SQRT((Inputs!$C$52+(Scenario_Data!E180))^2+Inputs!$C$52^2-2*(Inputs!$C$52+(Scenario_Data!E180))*Inputs!$C$52*COS(SQRT((Scenario_Data!W180)^2+Inputs!$C$6^2)/Inputs!$C$52))*1000)/Inputs!$C$21*1000000</x:f>
        <x:v>3247.91960889348</x:v>
      </x:c>
      <x:c r="AP180" t="n">
        <x:f>Scenario_Data!T180</x:f>
        <x:v>28.980000000000004</x:v>
      </x:c>
      <x:c r="AQ180" t="n">
        <x: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x:f>
        <x:v>2688.187625072262</x:v>
      </x:c>
      <x:c r="AR180" t="n">
        <x:f>Scenario_Data!U180</x:f>
        <x:v>193.20000000000005</x:v>
      </x:c>
      <x:c r="AS180" t="n">
        <x: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x:f>
        <x:v>1567.9590204754618</x:v>
      </x:c>
      <x:c r="AT180" t="n">
        <x:f>Scenario_Data!V180</x:f>
        <x:v>386.4000000000001</x:v>
      </x:c>
      <x:c r="AU180" t="n">
        <x: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x:f>
        <x:v>3279.232942558983</x:v>
      </x:c>
      <x:c r="AV180" t="n">
        <x:f>Scenario_Data!W180</x:f>
        <x:v>386.4000000000001</x:v>
      </x:c>
      <x:c r="AW180" t="n">
        <x: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x:f>
        <x:v>3247.4547932261544</x:v>
      </x:c>
    </x:row>
    <x:row r="181">
      <x:c r="A181" t="n">
        <x:f>Chart_Data!K181</x:f>
        <x:v>29.5</x:v>
      </x:c>
      <x:c r="B181" t="n">
        <x:f>Chart_Data!N181-Chart_Data!L181</x:f>
        <x:v>-22.367241319432367</x:v>
      </x:c>
      <x:c r="D181" t="n">
        <x:f>Chart_Data!G181</x:f>
        <x:v>29.5</x:v>
      </x:c>
      <x:c r="E181" t="n">
        <x:f>Chart_Data!H181</x:f>
        <x:v>263.5246591496981</x:v>
      </x:c>
      <x:c r="F181" t="n">
        <x:f>Chart_Data!I181</x:f>
        <x:v>263.5246591496981</x:v>
      </x:c>
      <x:c r="G181" t="n">
        <x:f>Chart_Data!J181</x:f>
        <x:v>20.4458299890095</x:v>
      </x:c>
      <x:c r="I181" t="n">
        <x:f>Scenario_Data!A181</x:f>
        <x:v>0.492</x:v>
      </x:c>
      <x:c r="J181" t="n">
        <x:f>Scenario_Data!H181-(((SQRT((Inputs!$C$52+(Inputs!$H$6))^2+Inputs!$C$52^2-2*(Inputs!$C$52+(Inputs!$H$6))*Inputs!$C$52*COS(SQRT((Scenario_Data!T181)^2+Inputs!$C$6^2)/Inputs!$C$52)))-(Inputs!$H$6))*1000/Inputs!$C$12)</x:f>
        <x:v>-2.513509340354176</x:v>
      </x:c>
      <x:c r="K181" t="n">
        <x:f>Scenario_Data!I181-(((SQRT((Inputs!$C$52+(Inputs!$H$7))^2+Inputs!$C$52^2-2*(Inputs!$C$52+(Inputs!$H$7))*Inputs!$C$52*COS(SQRT((Scenario_Data!U181)^2+Inputs!$C$6^2)/Inputs!$C$52)))-(Inputs!$H$7))*1000/Inputs!$C$12)</x:f>
        <x:v>-29097.435135520704</x:v>
      </x:c>
      <x:c r="L181" t="n">
        <x:f>Scenario_Data!J181-(((SQRT((Inputs!$C$52+(Inputs!$H$8))^2+Inputs!$C$52^2-2*(Inputs!$C$52+(Inputs!$H$8))*Inputs!$C$52*COS(SQRT((Scenario_Data!V181)^2+Inputs!$C$6^2)/Inputs!$C$52)))-(Inputs!$H$8))*1000/Inputs!$C$12)</x:f>
        <x:v>-72687.99278310622</x:v>
      </x:c>
      <x:c r="M181" t="n">
        <x:f>Scenario_Data!K181-(((SQRT((Inputs!$C$52+(Inputs!$H$9))^2+Inputs!$C$52^2-2*(Inputs!$C$52+(Inputs!$H$9))*Inputs!$C$52*COS(SQRT((Scenario_Data!W181)^2+Inputs!$C$6^2)/Inputs!$C$52)))-(Inputs!$H$9))*1000/Inputs!$C$12)</x:f>
        <x:v>-75596.89314596399</x:v>
      </x:c>
      <x:c r="O181" t="n">
        <x:f>Scenario_Data!T181</x:f>
        <x:v>29.519999999999996</x:v>
      </x:c>
      <x:c r="P181" t="n">
        <x:f>2*(Scenario_Data!B181*1000)/Inputs!$C$21*1000000</x:f>
        <x:v>2674.9722703164202</x:v>
      </x:c>
      <x:c r="Q181" t="n">
        <x:f>Scenario_Data!U181</x:f>
        <x:v>196.79999999999995</x:v>
      </x:c>
      <x:c r="R181" t="n">
        <x:f>2*(Scenario_Data!C181*1000)/Inputs!$C$21*1000000</x:f>
        <x:v>822.9250383610382</x:v>
      </x:c>
      <x:c r="S181" t="n">
        <x:f>Scenario_Data!V181</x:f>
        <x:v>393.5999999999999</x:v>
      </x:c>
      <x:c r="T181" t="n">
        <x:f>2*(Scenario_Data!D181*1000)/Inputs!$C$21*1000000</x:f>
        <x:v>1791.8513480415836</x:v>
      </x:c>
      <x:c r="U181" t="n">
        <x:f>Scenario_Data!W181</x:f>
        <x:v>393.5999999999999</x:v>
      </x:c>
      <x:c r="V181" t="n">
        <x:f>2*(Scenario_Data!E181*1000)/Inputs!$C$21*1000000</x:f>
        <x:v>1741.2873008299623</x:v>
      </x:c>
      <x:c r="X181" t="n">
        <x:f>Scenario_Data!T181</x:f>
        <x:v>29.519999999999996</x:v>
      </x:c>
      <x:c r="Y181" t="n">
        <x: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x:f>
        <x:v>2674.858320794281</x:v>
      </x:c>
      <x:c r="Z181" t="n">
        <x:f>Scenario_Data!U181</x:f>
        <x:v>196.79999999999995</x:v>
      </x:c>
      <x:c r="AA181" t="n">
        <x: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x:f>
        <x:v>822.967307698896</x:v>
      </x:c>
      <x:c r="AB181" t="n">
        <x:f>Scenario_Data!V181</x:f>
        <x:v>393.5999999999999</x:v>
      </x:c>
      <x:c r="AC181" t="n">
        <x: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x:f>
        <x:v>1791.9512689962028</x:v>
      </x:c>
      <x:c r="AD181" t="n">
        <x:f>Scenario_Data!W181</x:f>
        <x:v>393.5999999999999</x:v>
      </x:c>
      <x:c r="AE181" t="n">
        <x: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x:f>
        <x:v>1741.3872217845812</x:v>
      </x:c>
      <x:c r="AG181" t="n">
        <x:f>Scenario_Data!T181</x:f>
        <x:v>29.519999999999996</x:v>
      </x:c>
      <x:c r="AH181" t="n">
        <x:f>2*(SQRT((Inputs!$C$52+(Scenario_Data!B181))^2+Inputs!$C$52^2-2*(Inputs!$C$52+(Scenario_Data!B181))*Inputs!$C$52*COS(SQRT((Scenario_Data!T181)^2+Inputs!$C$6^2)/Inputs!$C$52))*1000)/Inputs!$C$21*1000000</x:f>
        <x:v>2690.572804703775</x:v>
      </x:c>
      <x:c r="AI181" t="n">
        <x:f>Scenario_Data!U181</x:f>
        <x:v>196.79999999999995</x:v>
      </x:c>
      <x:c r="AJ181" t="n">
        <x:f>2*(SQRT((Inputs!$C$52+(Scenario_Data!C181))^2+Inputs!$C$52^2-2*(Inputs!$C$52+(Scenario_Data!C181))*Inputs!$C$52*COS(SQRT((Scenario_Data!U181)^2+Inputs!$C$6^2)/Inputs!$C$52))*1000)/Inputs!$C$21*1000000</x:f>
        <x:v>1601.4478772869256</x:v>
      </x:c>
      <x:c r="AK181" t="n">
        <x:f>Scenario_Data!V181</x:f>
        <x:v>393.5999999999999</x:v>
      </x:c>
      <x:c r="AL181" t="n">
        <x:f>2*(SQRT((Inputs!$C$52+(Scenario_Data!D181))^2+Inputs!$C$52^2-2*(Inputs!$C$52+(Scenario_Data!D181))*Inputs!$C$52*COS(SQRT((Scenario_Data!V181)^2+Inputs!$C$6^2)/Inputs!$C$52))*1000)/Inputs!$C$21*1000000</x:f>
        <x:v>3358.8216005216295</x:v>
      </x:c>
      <x:c r="AM181" t="n">
        <x:f>Scenario_Data!W181</x:f>
        <x:v>393.5999999999999</x:v>
      </x:c>
      <x:c r="AN181" t="n">
        <x:f>2*(SQRT((Inputs!$C$52+(Scenario_Data!E181))^2+Inputs!$C$52^2-2*(Inputs!$C$52+(Scenario_Data!E181))*Inputs!$C$52*COS(SQRT((Scenario_Data!W181)^2+Inputs!$C$6^2)/Inputs!$C$52))*1000)/Inputs!$C$21*1000000</x:f>
        <x:v>3327.0999332019915</x:v>
      </x:c>
      <x:c r="AP181" t="n">
        <x:f>Scenario_Data!T181</x:f>
        <x:v>29.519999999999996</x:v>
      </x:c>
      <x:c r="AQ181" t="n">
        <x: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x:f>
        <x:v>2688.722217643149</x:v>
      </x:c>
      <x:c r="AR181" t="n">
        <x:f>Scenario_Data!U181</x:f>
        <x:v>196.79999999999995</x:v>
      </x:c>
      <x:c r="AS181" t="n">
        <x: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x:f>
        <x:v>1601.1205159498156</x:v>
      </x:c>
      <x:c r="AT181" t="n">
        <x:f>Scenario_Data!V181</x:f>
        <x:v>393.5999999999999</x:v>
      </x:c>
      <x:c r="AU181" t="n">
        <x: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x:f>
        <x:v>3358.596047655168</x:v>
      </x:c>
      <x:c r="AV181" t="n">
        <x:f>Scenario_Data!W181</x:f>
        <x:v>393.5999999999999</x:v>
      </x:c>
      <x:c r="AW181" t="n">
        <x: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x:f>
        <x:v>3326.8801699923215</x:v>
      </x:c>
    </x:row>
    <x:row r="182">
      <x:c r="A182" t="n">
        <x:f>Chart_Data!K182</x:f>
        <x:v>30</x:v>
      </x:c>
      <x:c r="B182" t="n">
        <x:f>Chart_Data!N182-Chart_Data!L182</x:f>
        <x:v>-13.799924431809131</x:v>
      </x:c>
      <x:c r="D182" t="n">
        <x:f>Chart_Data!G182</x:f>
        <x:v>30</x:v>
      </x:c>
      <x:c r="E182" t="n">
        <x:f>Chart_Data!H182</x:f>
        <x:v>258.3810354027646</x:v>
      </x:c>
      <x:c r="F182" t="n">
        <x:f>Chart_Data!I182</x:f>
        <x:v>258.3810354027646</x:v>
      </x:c>
      <x:c r="G182" t="n">
        <x:f>Chart_Data!J182</x:f>
        <x:v>11.879118514207924</x:v>
      </x:c>
      <x:c r="I182" t="n">
        <x:f>Scenario_Data!A182</x:f>
        <x:v>0.5</x:v>
      </x:c>
      <x:c r="J182" t="n">
        <x:f>Scenario_Data!H182-(((SQRT((Inputs!$C$52+(Inputs!$H$6))^2+Inputs!$C$52^2-2*(Inputs!$C$52+(Inputs!$H$6))*Inputs!$C$52*COS(SQRT((Scenario_Data!T182)^2+Inputs!$C$6^2)/Inputs!$C$52)))-(Inputs!$H$6))*1000/Inputs!$C$12)</x:f>
        <x:v>-2.6447875068229223</x:v>
      </x:c>
      <x:c r="K182" t="n">
        <x:f>Scenario_Data!I182-(((SQRT((Inputs!$C$52+(Inputs!$H$7))^2+Inputs!$C$52^2-2*(Inputs!$C$52+(Inputs!$H$7))*Inputs!$C$52*COS(SQRT((Scenario_Data!U182)^2+Inputs!$C$6^2)/Inputs!$C$52)))-(Inputs!$H$7))*1000/Inputs!$C$12)</x:f>
        <x:v>-29988.524239953986</x:v>
      </x:c>
      <x:c r="L182" t="n">
        <x:f>Scenario_Data!J182-(((SQRT((Inputs!$C$52+(Inputs!$H$8))^2+Inputs!$C$52^2-2*(Inputs!$C$52+(Inputs!$H$8))*Inputs!$C$52*COS(SQRT((Scenario_Data!V182)^2+Inputs!$C$6^2)/Inputs!$C$52)))-(Inputs!$H$8))*1000/Inputs!$C$12)</x:f>
        <x:v>-74588.34383380503</x:v>
      </x:c>
      <x:c r="M182" t="n">
        <x:f>Scenario_Data!K182-(((SQRT((Inputs!$C$52+(Inputs!$H$9))^2+Inputs!$C$52^2-2*(Inputs!$C$52+(Inputs!$H$9))*Inputs!$C$52*COS(SQRT((Scenario_Data!W182)^2+Inputs!$C$6^2)/Inputs!$C$52)))-(Inputs!$H$9))*1000/Inputs!$C$12)</x:f>
        <x:v>-77530.75464681152</x:v>
      </x:c>
      <x:c r="O182" t="n">
        <x:f>Scenario_Data!T182</x:f>
        <x:v>30</x:v>
      </x:c>
      <x:c r="P182" t="n">
        <x:f>2*(Scenario_Data!B182*1000)/Inputs!$C$21*1000000</x:f>
        <x:v>2675.184043489179</x:v>
      </x:c>
      <x:c r="Q182" t="n">
        <x:f>Scenario_Data!U182</x:f>
        <x:v>200</x:v>
      </x:c>
      <x:c r="R182" t="n">
        <x:f>2*(Scenario_Data!C182*1000)/Inputs!$C$21*1000000</x:f>
        <x:v>842.2493403753339</x:v>
      </x:c>
      <x:c r="S182" t="n">
        <x:f>Scenario_Data!V182</x:f>
        <x:v>400</x:v>
      </x:c>
      <x:c r="T182" t="n">
        <x:f>2*(Scenario_Data!D182*1000)/Inputs!$C$21*1000000</x:f>
        <x:v>1842.9416259697903</x:v>
      </x:c>
      <x:c r="U182" t="n">
        <x:f>Scenario_Data!W182</x:f>
        <x:v>400</x:v>
      </x:c>
      <x:c r="V182" t="n">
        <x:f>2*(Scenario_Data!E182*1000)/Inputs!$C$21*1000000</x:f>
        <x:v>1792.9070116900673</x:v>
      </x:c>
      <x:c r="X182" t="n">
        <x:f>Scenario_Data!T182</x:f>
        <x:v>30</x:v>
      </x:c>
      <x:c r="Y182" t="n">
        <x: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x:f>
        <x:v>2675.1047945408004</x:v>
      </x:c>
      <x:c r="Z182" t="n">
        <x:f>Scenario_Data!U182</x:f>
        <x:v>200</x:v>
      </x:c>
      <x:c r="AA182" t="n">
        <x: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x:f>
        <x:v>842.217239852953</x:v>
      </x:c>
      <x:c r="AB182" t="n">
        <x:f>Scenario_Data!V182</x:f>
        <x:v>400</x:v>
      </x:c>
      <x:c r="AC182" t="n">
        <x: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x:f>
        <x:v>1842.7794861023433</x:v>
      </x:c>
      <x:c r="AD182" t="n">
        <x:f>Scenario_Data!W182</x:f>
        <x:v>400</x:v>
      </x:c>
      <x:c r="AE182" t="n">
        <x: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x:f>
        <x:v>1792.7448718226206</x:v>
      </x:c>
      <x:c r="AG182" t="n">
        <x:f>Scenario_Data!T182</x:f>
        <x:v>30</x:v>
      </x:c>
      <x:c r="AH182" t="n">
        <x:f>2*(SQRT((Inputs!$C$52+(Scenario_Data!B182))^2+Inputs!$C$52^2-2*(Inputs!$C$52+(Scenario_Data!B182))*Inputs!$C$52*COS(SQRT((Scenario_Data!T182)^2+Inputs!$C$6^2)/Inputs!$C$52))*1000)/Inputs!$C$21*1000000</x:f>
        <x:v>2691.0805307414003</x:v>
      </x:c>
      <x:c r="AI182" t="n">
        <x:f>Scenario_Data!U182</x:f>
        <x:v>200</x:v>
      </x:c>
      <x:c r="AJ182" t="n">
        <x:f>2*(SQRT((Inputs!$C$52+(Scenario_Data!C182))^2+Inputs!$C$52^2-2*(Inputs!$C$52+(Scenario_Data!C182))*Inputs!$C$52*COS(SQRT((Scenario_Data!U182)^2+Inputs!$C$6^2)/Inputs!$C$52))*1000)/Inputs!$C$21*1000000</x:f>
        <x:v>1631.2498263703887</x:v>
      </x:c>
      <x:c r="AK182" t="n">
        <x:f>Scenario_Data!V182</x:f>
        <x:v>400</x:v>
      </x:c>
      <x:c r="AL182" t="n">
        <x:f>2*(SQRT((Inputs!$C$52+(Scenario_Data!D182))^2+Inputs!$C$52^2-2*(Inputs!$C$52+(Scenario_Data!D182))*Inputs!$C$52*COS(SQRT((Scenario_Data!V182)^2+Inputs!$C$6^2)/Inputs!$C$52))*1000)/Inputs!$C$21*1000000</x:f>
        <x:v>3429.9213186632924</x:v>
      </x:c>
      <x:c r="AM182" t="n">
        <x:f>Scenario_Data!W182</x:f>
        <x:v>400</x:v>
      </x:c>
      <x:c r="AN182" t="n">
        <x:f>2*(SQRT((Inputs!$C$52+(Scenario_Data!E182))^2+Inputs!$C$52^2-2*(Inputs!$C$52+(Scenario_Data!E182))*Inputs!$C$52*COS(SQRT((Scenario_Data!W182)^2+Inputs!$C$6^2)/Inputs!$C$52))*1000)/Inputs!$C$21*1000000</x:f>
        <x:v>3398.275856941299</x:v>
      </x:c>
      <x:c r="AP182" t="n">
        <x:f>Scenario_Data!T182</x:f>
        <x:v>30</x:v>
      </x:c>
      <x:c r="AQ182" t="n">
        <x: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x:f>
        <x:v>2689.3696122533497</x:v>
      </x:c>
      <x:c r="AR182" t="n">
        <x:f>Scenario_Data!U182</x:f>
        <x:v>200</x:v>
      </x:c>
      <x:c r="AS182" t="n">
        <x: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x:f>
        <x:v>1630.7637614719622</x:v>
      </x:c>
      <x:c r="AT182" t="n">
        <x:f>Scenario_Data!V182</x:f>
        <x:v>400</x:v>
      </x:c>
      <x:c r="AU182" t="n">
        <x: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x:f>
        <x:v>3429.3588510465356</x:v>
      </x:c>
      <x:c r="AV182" t="n">
        <x:f>Scenario_Data!W182</x:f>
        <x:v>400</x:v>
      </x:c>
      <x:c r="AW182" t="n">
        <x: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x:f>
        <x:v>3397.727225112334</x:v>
      </x:c>
    </x:row>
    <x:row r="183">
      <x:c r="A183" t="n">
        <x:f>Chart_Data!K183</x:f>
        <x:v>30.5</x:v>
      </x:c>
      <x:c r="B183" t="n">
        <x:f>Chart_Data!N183-Chart_Data!L183</x:f>
        <x:v>-6.10362814177148</x:v>
      </x:c>
      <x:c r="D183" t="n">
        <x:f>Chart_Data!G183</x:f>
        <x:v>30.5</x:v>
      </x:c>
      <x:c r="E183" t="n">
        <x:f>Chart_Data!H183</x:f>
        <x:v>239.98613946224492</x:v>
      </x:c>
      <x:c r="F183" t="n">
        <x:f>Chart_Data!I183</x:f>
        <x:v>239.98613946224492</x:v>
      </x:c>
      <x:c r="G183" t="n">
        <x:f>Chart_Data!J183</x:f>
        <x:v>4.284803604386864</x:v>
      </x:c>
      <x:c r="I183" t="n">
        <x:f>Scenario_Data!A183</x:f>
        <x:v>0.508</x:v>
      </x:c>
      <x:c r="J183" t="n">
        <x:f>Scenario_Data!H183-(((SQRT((Inputs!$C$52+(Inputs!$H$6))^2+Inputs!$C$52^2-2*(Inputs!$C$52+(Inputs!$H$6))*Inputs!$C$52*COS(SQRT((Scenario_Data!T183)^2+Inputs!$C$6^2)/Inputs!$C$52)))-(Inputs!$H$6))*1000/Inputs!$C$12)</x:f>
        <x:v>-2.7813345652473345</x:v>
      </x:c>
      <x:c r="K183" t="n">
        <x:f>Scenario_Data!I183-(((SQRT((Inputs!$C$52+(Inputs!$H$7))^2+Inputs!$C$52^2-2*(Inputs!$C$52+(Inputs!$H$7))*Inputs!$C$52*COS(SQRT((Scenario_Data!U183)^2+Inputs!$C$6^2)/Inputs!$C$52)))-(Inputs!$H$7))*1000/Inputs!$C$12)</x:f>
        <x:v>-30887.934860679583</x:v>
      </x:c>
      <x:c r="L183" t="n">
        <x:f>Scenario_Data!J183-(((SQRT((Inputs!$C$52+(Inputs!$H$8))^2+Inputs!$C$52^2-2*(Inputs!$C$52+(Inputs!$H$8))*Inputs!$C$52*COS(SQRT((Scenario_Data!V183)^2+Inputs!$C$6^2)/Inputs!$C$52)))-(Inputs!$H$8))*1000/Inputs!$C$12)</x:f>
        <x:v>-76495.55061689264</x:v>
      </x:c>
      <x:c r="M183" t="n">
        <x:f>Scenario_Data!K183-(((SQRT((Inputs!$C$52+(Inputs!$H$9))^2+Inputs!$C$52^2-2*(Inputs!$C$52+(Inputs!$H$9))*Inputs!$C$52*COS(SQRT((Scenario_Data!W183)^2+Inputs!$C$6^2)/Inputs!$C$52)))-(Inputs!$H$9))*1000/Inputs!$C$12)</x:f>
        <x:v>-79470.82596585111</x:v>
      </x:c>
      <x:c r="O183" t="n">
        <x:f>Scenario_Data!T183</x:f>
        <x:v>30.480000000000004</x:v>
      </x:c>
      <x:c r="P183" t="n">
        <x:f>2*(Scenario_Data!B183*1000)/Inputs!$C$21*1000000</x:f>
        <x:v>2675.3992323582734</x:v>
      </x:c>
      <x:c r="Q183" t="n">
        <x:f>Scenario_Data!U183</x:f>
        <x:v>203.20000000000005</x:v>
      </x:c>
      <x:c r="R183" t="n">
        <x:f>2*(Scenario_Data!C183*1000)/Inputs!$C$21*1000000</x:f>
        <x:v>861.8853246801829</x:v>
      </x:c>
      <x:c r="S183" t="n">
        <x:f>Scenario_Data!V183</x:f>
        <x:v>406.4000000000001</x:v>
      </x:c>
      <x:c r="T183" t="n">
        <x:f>2*(Scenario_Data!D183*1000)/Inputs!$C$21*1000000</x:f>
        <x:v>1894.8559406387742</x:v>
      </x:c>
      <x:c r="U183" t="n">
        <x:f>Scenario_Data!W183</x:f>
        <x:v>406.4000000000001</x:v>
      </x:c>
      <x:c r="V183" t="n">
        <x:f>2*(Scenario_Data!E183*1000)/Inputs!$C$21*1000000</x:f>
        <x:v>1845.3592985317866</x:v>
      </x:c>
      <x:c r="X183" t="n">
        <x:f>Scenario_Data!T183</x:f>
        <x:v>30.480000000000004</x:v>
      </x:c>
      <x:c r="Y183" t="n">
        <x: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x:f>
        <x:v>2675.266200681919</x:v>
      </x:c>
      <x:c r="Z183" t="n">
        <x:f>Scenario_Data!U183</x:f>
        <x:v>203.20000000000005</x:v>
      </x:c>
      <x:c r="AA183" t="n">
        <x: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x:f>
        <x:v>861.7927147745436</x:v>
      </x:c>
      <x:c r="AB183" t="n">
        <x:f>Scenario_Data!V183</x:f>
        <x:v>406.4000000000001</x:v>
      </x:c>
      <x:c r="AC183" t="n">
        <x: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x:f>
        <x:v>1894.9471352963021</x:v>
      </x:c>
      <x:c r="AD183" t="n">
        <x:f>Scenario_Data!W183</x:f>
        <x:v>406.4000000000001</x:v>
      </x:c>
      <x:c r="AE183" t="n">
        <x: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x:f>
        <x:v>1845.4504931893146</x:v>
      </x:c>
      <x:c r="AG183" t="n">
        <x:f>Scenario_Data!T183</x:f>
        <x:v>30.480000000000004</x:v>
      </x:c>
      <x:c r="AH183" t="n">
        <x:f>2*(SQRT((Inputs!$C$52+(Scenario_Data!B183))^2+Inputs!$C$52^2-2*(Inputs!$C$52+(Scenario_Data!B183))*Inputs!$C$52*COS(SQRT((Scenario_Data!T183)^2+Inputs!$C$6^2)/Inputs!$C$52))*1000)/Inputs!$C$21*1000000</x:f>
        <x:v>2691.596374118459</x:v>
      </x:c>
      <x:c r="AI183" t="n">
        <x:f>Scenario_Data!U183</x:f>
        <x:v>203.20000000000005</x:v>
      </x:c>
      <x:c r="AJ183" t="n">
        <x:f>2*(SQRT((Inputs!$C$52+(Scenario_Data!C183))^2+Inputs!$C$52^2-2*(Inputs!$C$52+(Scenario_Data!C183))*Inputs!$C$52*COS(SQRT((Scenario_Data!U183)^2+Inputs!$C$6^2)/Inputs!$C$52))*1000)/Inputs!$C$21*1000000</x:f>
        <x:v>1661.27795099574</x:v>
      </x:c>
      <x:c r="AK183" t="n">
        <x:f>Scenario_Data!V183</x:f>
        <x:v>406.4000000000001</x:v>
      </x:c>
      <x:c r="AL183" t="n">
        <x:f>2*(SQRT((Inputs!$C$52+(Scenario_Data!D183))^2+Inputs!$C$52^2-2*(Inputs!$C$52+(Scenario_Data!D183))*Inputs!$C$52*COS(SQRT((Scenario_Data!V183)^2+Inputs!$C$6^2)/Inputs!$C$52))*1000)/Inputs!$C$21*1000000</x:f>
        <x:v>3501.760091807711</x:v>
      </x:c>
      <x:c r="AM183" t="n">
        <x:f>Scenario_Data!W183</x:f>
        <x:v>406.4000000000001</x:v>
      </x:c>
      <x:c r="AN183" t="n">
        <x:f>2*(SQRT((Inputs!$C$52+(Scenario_Data!E183))^2+Inputs!$C$52^2-2*(Inputs!$C$52+(Scenario_Data!E183))*Inputs!$C$52*COS(SQRT((Scenario_Data!W183)^2+Inputs!$C$6^2)/Inputs!$C$52))*1000)/Inputs!$C$21*1000000</x:f>
        <x:v>3470.2046174700704</x:v>
      </x:c>
      <x:c r="AP183" t="n">
        <x:f>Scenario_Data!T183</x:f>
        <x:v>30.480000000000004</x:v>
      </x:c>
      <x:c r="AQ183" t="n">
        <x: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x:f>
        <x:v>2689.9524090049945</x:v>
      </x:c>
      <x:c r="AR183" t="n">
        <x:f>Scenario_Data!U183</x:f>
        <x:v>203.20000000000005</x:v>
      </x:c>
      <x:c r="AS183" t="n">
        <x: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x:f>
        <x:v>1660.6990177446987</x:v>
      </x:c>
      <x:c r="AT183" t="n">
        <x:f>Scenario_Data!V183</x:f>
        <x:v>406.4000000000001</x:v>
      </x:c>
      <x:c r="AU183" t="n">
        <x: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x:f>
        <x:v>3501.549494764668</x:v>
      </x:c>
      <x:c r="AV183" t="n">
        <x:f>Scenario_Data!W183</x:f>
        <x:v>406.4000000000001</x:v>
      </x:c>
      <x:c r="AW183" t="n">
        <x: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x:f>
        <x:v>3469.9989806158574</x:v>
      </x:c>
    </x:row>
    <x:row r="184">
      <x:c r="A184" t="n">
        <x:f>Chart_Data!K184</x:f>
        <x:v>31</x:v>
      </x:c>
      <x:c r="B184" t="n">
        <x:f>Chart_Data!N184-Chart_Data!L184</x:f>
        <x:v>-20.543420098614604</x:v>
      </x:c>
      <x:c r="D184" t="n">
        <x:f>Chart_Data!G184</x:f>
        <x:v>31</x:v>
      </x:c>
      <x:c r="E184" t="n">
        <x:f>Chart_Data!H184</x:f>
        <x:v>239.58052305996605</x:v>
      </x:c>
      <x:c r="F184" t="n">
        <x:f>Chart_Data!I184</x:f>
        <x:v>239.58052305996605</x:v>
      </x:c>
      <x:c r="G184" t="n">
        <x:f>Chart_Data!J184</x:f>
        <x:v>18.692329061381155</x:v>
      </x:c>
      <x:c r="I184" t="n">
        <x:f>Scenario_Data!A184</x:f>
        <x:v>0.517</x:v>
      </x:c>
      <x:c r="J184" t="n">
        <x:f>Scenario_Data!H184-(((SQRT((Inputs!$C$52+(Inputs!$H$6))^2+Inputs!$C$52^2-2*(Inputs!$C$52+(Inputs!$H$6))*Inputs!$C$52*COS(SQRT((Scenario_Data!T184)^2+Inputs!$C$6^2)/Inputs!$C$52)))-(Inputs!$H$6))*1000/Inputs!$C$12)</x:f>
        <x:v>-2.941433207470027</x:v>
      </x:c>
      <x:c r="K184" t="n">
        <x:f>Scenario_Data!I184-(((SQRT((Inputs!$C$52+(Inputs!$H$7))^2+Inputs!$C$52^2-2*(Inputs!$C$52+(Inputs!$H$7))*Inputs!$C$52*COS(SQRT((Scenario_Data!U184)^2+Inputs!$C$6^2)/Inputs!$C$52)))-(Inputs!$H$7))*1000/Inputs!$C$12)</x:f>
        <x:v>-31909.462641600694</x:v>
      </x:c>
      <x:c r="L184" t="n">
        <x:f>Scenario_Data!J184-(((SQRT((Inputs!$C$52+(Inputs!$H$8))^2+Inputs!$C$52^2-2*(Inputs!$C$52+(Inputs!$H$8))*Inputs!$C$52*COS(SQRT((Scenario_Data!V184)^2+Inputs!$C$6^2)/Inputs!$C$52)))-(Inputs!$H$8))*1000/Inputs!$C$12)</x:f>
        <x:v>-78648.70676173811</x:v>
      </x:c>
      <x:c r="M184" t="n">
        <x:f>Scenario_Data!K184-(((SQRT((Inputs!$C$52+(Inputs!$H$9))^2+Inputs!$C$52^2-2*(Inputs!$C$52+(Inputs!$H$9))*Inputs!$C$52*COS(SQRT((Scenario_Data!W184)^2+Inputs!$C$6^2)/Inputs!$C$52)))-(Inputs!$H$9))*1000/Inputs!$C$12)</x:f>
        <x:v>-81660.1874346211</x:v>
      </x:c>
      <x:c r="O184" t="n">
        <x:f>Scenario_Data!T184</x:f>
        <x:v>31.019999999999996</x:v>
      </x:c>
      <x:c r="P184" t="n">
        <x:f>2*(Scenario_Data!B184*1000)/Inputs!$C$21*1000000</x:f>
        <x:v>2675.6454026605297</x:v>
      </x:c>
      <x:c r="Q184" t="n">
        <x:f>Scenario_Data!U184</x:f>
        <x:v>206.79999999999995</x:v>
      </x:c>
      <x:c r="R184" t="n">
        <x:f>2*(Scenario_Data!C184*1000)/Inputs!$C$21*1000000</x:f>
        <x:v>884.3483647610641</x:v>
      </x:c>
      <x:c r="S184" t="n">
        <x:f>Scenario_Data!V184</x:f>
        <x:v>413.5999999999999</x:v>
      </x:c>
      <x:c r="T184" t="n">
        <x:f>2*(Scenario_Data!D184*1000)/Inputs!$C$21*1000000</x:f>
        <x:v>1954.2445260580898</x:v>
      </x:c>
      <x:c r="U184" t="n">
        <x:f>Scenario_Data!W184</x:f>
        <x:v>413.5999999999999</x:v>
      </x:c>
      <x:c r="V184" t="n">
        <x:f>2*(Scenario_Data!E184*1000)/Inputs!$C$21*1000000</x:f>
        <x:v>1905.3633097067434</x:v>
      </x:c>
      <x:c r="X184" t="n">
        <x:f>Scenario_Data!T184</x:f>
        <x:v>31.019999999999996</x:v>
      </x:c>
      <x:c r="Y184" t="n">
        <x: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x:f>
        <x:v>2675.607009709583</x:v>
      </x:c>
      <x:c r="Z184" t="n">
        <x:f>Scenario_Data!U184</x:f>
        <x:v>206.79999999999995</x:v>
      </x:c>
      <x:c r="AA184" t="n">
        <x: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x:f>
        <x:v>884.3474875000024</x:v>
      </x:c>
      <x:c r="AB184" t="n">
        <x:f>Scenario_Data!V184</x:f>
        <x:v>413.5999999999999</x:v>
      </x:c>
      <x:c r="AC184" t="n">
        <x: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x:f>
        <x:v>1954.255429976066</x:v>
      </x:c>
      <x:c r="AD184" t="n">
        <x:f>Scenario_Data!W184</x:f>
        <x:v>413.5999999999999</x:v>
      </x:c>
      <x:c r="AE184" t="n">
        <x: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x:f>
        <x:v>1905.374213624719</x:v>
      </x:c>
      <x:c r="AG184" t="n">
        <x:f>Scenario_Data!T184</x:f>
        <x:v>31.019999999999996</x:v>
      </x:c>
      <x:c r="AH184" t="n">
        <x:f>2*(SQRT((Inputs!$C$52+(Scenario_Data!B184))^2+Inputs!$C$52^2-2*(Inputs!$C$52+(Scenario_Data!B184))*Inputs!$C$52*COS(SQRT((Scenario_Data!T184)^2+Inputs!$C$6^2)/Inputs!$C$52))*1000)/Inputs!$C$21*1000000</x:f>
        <x:v>2692.1863964353583</x:v>
      </x:c>
      <x:c r="AI184" t="n">
        <x:f>Scenario_Data!U184</x:f>
        <x:v>206.79999999999995</x:v>
      </x:c>
      <x:c r="AJ184" t="n">
        <x:f>2*(SQRT((Inputs!$C$52+(Scenario_Data!C184))^2+Inputs!$C$52^2-2*(Inputs!$C$52+(Scenario_Data!C184))*Inputs!$C$52*COS(SQRT((Scenario_Data!U184)^2+Inputs!$C$6^2)/Inputs!$C$52))*1000)/Inputs!$C$21*1000000</x:f>
        <x:v>1695.3321376263839</x:v>
      </x:c>
      <x:c r="AK184" t="n">
        <x:f>Scenario_Data!V184</x:f>
        <x:v>413.5999999999999</x:v>
      </x:c>
      <x:c r="AL184" t="n">
        <x:f>2*(SQRT((Inputs!$C$52+(Scenario_Data!D184))^2+Inputs!$C$52^2-2*(Inputs!$C$52+(Scenario_Data!D184))*Inputs!$C$52*COS(SQRT((Scenario_Data!V184)^2+Inputs!$C$6^2)/Inputs!$C$52))*1000)/Inputs!$C$21*1000000</x:f>
        <x:v>3583.4691205577215</x:v>
      </x:c>
      <x:c r="AM184" t="n">
        <x:f>Scenario_Data!W184</x:f>
        <x:v>413.5999999999999</x:v>
      </x:c>
      <x:c r="AN184" t="n">
        <x:f>2*(SQRT((Inputs!$C$52+(Scenario_Data!E184))^2+Inputs!$C$52^2-2*(Inputs!$C$52+(Scenario_Data!E184))*Inputs!$C$52*COS(SQRT((Scenario_Data!W184)^2+Inputs!$C$6^2)/Inputs!$C$52))*1000)/Inputs!$C$21*1000000</x:f>
        <x:v>3552.0314391676843</x:v>
      </x:c>
      <x:c r="AP184" t="n">
        <x:f>Scenario_Data!T184</x:f>
        <x:v>31.019999999999996</x:v>
      </x:c>
      <x:c r="AQ184" t="n">
        <x: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x:f>
        <x:v>2690.5667082175996</x:v>
      </x:c>
      <x:c r="AR184" t="n">
        <x:f>Scenario_Data!U184</x:f>
        <x:v>206.79999999999995</x:v>
      </x:c>
      <x:c r="AS184" t="n">
        <x: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x:f>
        <x:v>1694.822586614646</x:v>
      </x:c>
      <x:c r="AT184" t="n">
        <x:f>Scenario_Data!V184</x:f>
        <x:v>413.5999999999999</x:v>
      </x:c>
      <x:c r="AU184" t="n">
        <x: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x:f>
        <x:v>3583.0738605817146</x:v>
      </x:c>
      <x:c r="AV184" t="n">
        <x:f>Scenario_Data!W184</x:f>
        <x:v>413.5999999999999</x:v>
      </x:c>
      <x:c r="AW184" t="n">
        <x: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x:f>
        <x:v>3551.645051083141</x:v>
      </x:c>
    </x:row>
    <x:row r="185">
      <x:c r="A185" t="n">
        <x:f>Chart_Data!K185</x:f>
        <x:v>31.5</x:v>
      </x:c>
      <x:c r="B185" t="n">
        <x:f>Chart_Data!N185-Chart_Data!L185</x:f>
        <x:v>-20.28539462781552</x:v>
      </x:c>
      <x:c r="D185" t="n">
        <x:f>Chart_Data!G185</x:f>
        <x:v>31.5</x:v>
      </x:c>
      <x:c r="E185" t="n">
        <x:f>Chart_Data!H185</x:f>
        <x:v>216.56157473369862</x:v>
      </x:c>
      <x:c r="F185" t="n">
        <x:f>Chart_Data!I185</x:f>
        <x:v>216.56157473369862</x:v>
      </x:c>
      <x:c r="G185" t="n">
        <x:f>Chart_Data!J185</x:f>
        <x:v>18.579807279306877</x:v>
      </x:c>
      <x:c r="I185" t="n">
        <x:f>Scenario_Data!A185</x:f>
        <x:v>0.525</x:v>
      </x:c>
      <x:c r="J185" t="n">
        <x:f>Scenario_Data!H185-(((SQRT((Inputs!$C$52+(Inputs!$H$6))^2+Inputs!$C$52^2-2*(Inputs!$C$52+(Inputs!$H$6))*Inputs!$C$52*COS(SQRT((Scenario_Data!T185)^2+Inputs!$C$6^2)/Inputs!$C$52)))-(Inputs!$H$6))*1000/Inputs!$C$12)</x:f>
        <x:v>-3.089673071670859</x:v>
      </x:c>
      <x:c r="K185" t="n">
        <x:f>Scenario_Data!I185-(((SQRT((Inputs!$C$52+(Inputs!$H$7))^2+Inputs!$C$52^2-2*(Inputs!$C$52+(Inputs!$H$7))*Inputs!$C$52*COS(SQRT((Scenario_Data!U185)^2+Inputs!$C$6^2)/Inputs!$C$52)))-(Inputs!$H$7))*1000/Inputs!$C$12)</x:f>
        <x:v>-32825.87746268808</x:v>
      </x:c>
      <x:c r="L185" t="n">
        <x:f>Scenario_Data!J185-(((SQRT((Inputs!$C$52+(Inputs!$H$8))^2+Inputs!$C$52^2-2*(Inputs!$C$52+(Inputs!$H$8))*Inputs!$C$52*COS(SQRT((Scenario_Data!V185)^2+Inputs!$C$6^2)/Inputs!$C$52)))-(Inputs!$H$8))*1000/Inputs!$C$12)</x:f>
        <x:v>-80568.7736811837</x:v>
      </x:c>
      <x:c r="M185" t="n">
        <x:f>Scenario_Data!K185-(((SQRT((Inputs!$C$52+(Inputs!$H$9))^2+Inputs!$C$52^2-2*(Inputs!$C$52+(Inputs!$H$9))*Inputs!$C$52*COS(SQRT((Scenario_Data!W185)^2+Inputs!$C$6^2)/Inputs!$C$52)))-(Inputs!$H$9))*1000/Inputs!$C$12)</x:f>
        <x:v>-83611.75944718669</x:v>
      </x:c>
      <x:c r="O185" t="n">
        <x:f>Scenario_Data!T185</x:f>
        <x:v>31.5</x:v>
      </x:c>
      <x:c r="P185" t="n">
        <x:f>2*(Scenario_Data!B185*1000)/Inputs!$C$21*1000000</x:f>
        <x:v>2675.867849884336</x:v>
      </x:c>
      <x:c r="Q185" t="n">
        <x:f>Scenario_Data!U185</x:f>
        <x:v>210</x:v>
      </x:c>
      <x:c r="R185" t="n">
        <x:f>2*(Scenario_Data!C185*1000)/Inputs!$C$21*1000000</x:f>
        <x:v>904.6466739333382</x:v>
      </x:c>
      <x:c r="S185" t="n">
        <x:f>Scenario_Data!V185</x:f>
        <x:v>420</x:v>
      </x:c>
      <x:c r="T185" t="n">
        <x:f>2*(Scenario_Data!D185*1000)/Inputs!$C$21*1000000</x:f>
        <x:v>2007.9099188012265</x:v>
      </x:c>
      <x:c r="U185" t="n">
        <x:f>Scenario_Data!W185</x:f>
        <x:v>420</x:v>
      </x:c>
      <x:c r="V185" t="n">
        <x:f>2*(Scenario_Data!E185*1000)/Inputs!$C$21*1000000</x:f>
        <x:v>1959.584820509394</x:v>
      </x:c>
      <x:c r="X185" t="n">
        <x:f>Scenario_Data!T185</x:f>
        <x:v>31.5</x:v>
      </x:c>
      <x:c r="Y185" t="n">
        <x: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x:f>
        <x:v>2675.7438987522546</x:v>
      </x:c>
      <x:c r="Z185" t="n">
        <x:f>Scenario_Data!U185</x:f>
        <x:v>210</x:v>
      </x:c>
      <x:c r="AA185" t="n">
        <x: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x:f>
        <x:v>904.8934348311742</x:v>
      </x:c>
      <x:c r="AB185" t="n">
        <x:f>Scenario_Data!V185</x:f>
        <x:v>420</x:v>
      </x:c>
      <x:c r="AC185" t="n">
        <x: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x:f>
        <x:v>2007.7962312536533</x:v>
      </x:c>
      <x:c r="AD185" t="n">
        <x:f>Scenario_Data!W185</x:f>
        <x:v>420</x:v>
      </x:c>
      <x:c r="AE185" t="n">
        <x: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x:f>
        <x:v>1959.4711329618208</x:v>
      </x:c>
      <x:c r="AG185" t="n">
        <x:f>Scenario_Data!T185</x:f>
        <x:v>31.5</x:v>
      </x:c>
      <x:c r="AH185" t="n">
        <x:f>2*(SQRT((Inputs!$C$52+(Scenario_Data!B185))^2+Inputs!$C$52^2-2*(Inputs!$C$52+(Scenario_Data!B185))*Inputs!$C$52*COS(SQRT((Scenario_Data!T185)^2+Inputs!$C$6^2)/Inputs!$C$52))*1000)/Inputs!$C$21*1000000</x:f>
        <x:v>2692.7194777953123</x:v>
      </x:c>
      <x:c r="AI185" t="n">
        <x:f>Scenario_Data!U185</x:f>
        <x:v>210</x:v>
      </x:c>
      <x:c r="AJ185" t="n">
        <x:f>2*(SQRT((Inputs!$C$52+(Scenario_Data!C185))^2+Inputs!$C$52^2-2*(Inputs!$C$52+(Scenario_Data!C185))*Inputs!$C$52*COS(SQRT((Scenario_Data!U185)^2+Inputs!$C$6^2)/Inputs!$C$52))*1000)/Inputs!$C$21*1000000</x:f>
        <x:v>1725.8467418024873</x:v>
      </x:c>
      <x:c r="AK185" t="n">
        <x:f>Scenario_Data!V185</x:f>
        <x:v>420</x:v>
      </x:c>
      <x:c r="AL185" t="n">
        <x:f>2*(SQRT((Inputs!$C$52+(Scenario_Data!D185))^2+Inputs!$C$52^2-2*(Inputs!$C$52+(Scenario_Data!D185))*Inputs!$C$52*COS(SQRT((Scenario_Data!V185)^2+Inputs!$C$6^2)/Inputs!$C$52))*1000)/Inputs!$C$21*1000000</x:f>
        <x:v>3656.896918210815</x:v>
      </x:c>
      <x:c r="AM185" t="n">
        <x:f>Scenario_Data!W185</x:f>
        <x:v>420</x:v>
      </x:c>
      <x:c r="AN185" t="n">
        <x:f>2*(SQRT((Inputs!$C$52+(Scenario_Data!E185))^2+Inputs!$C$52^2-2*(Inputs!$C$52+(Scenario_Data!E185))*Inputs!$C$52*COS(SQRT((Scenario_Data!W185)^2+Inputs!$C$6^2)/Inputs!$C$52))*1000)/Inputs!$C$21*1000000</x:f>
        <x:v>3625.578721629772</x:v>
      </x:c>
      <x:c r="AP185" t="n">
        <x:f>Scenario_Data!T185</x:f>
        <x:v>31.5</x:v>
      </x:c>
      <x:c r="AQ185" t="n">
        <x: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x:f>
        <x:v>2691.286112934711</x:v>
      </x:c>
      <x:c r="AR185" t="n">
        <x:f>Scenario_Data!U185</x:f>
        <x:v>210</x:v>
      </x:c>
      <x:c r="AS185" t="n">
        <x: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x:f>
        <x:v>1725.5482605386435</x:v>
      </x:c>
      <x:c r="AT185" t="n">
        <x:f>Scenario_Data!V185</x:f>
        <x:v>420</x:v>
      </x:c>
      <x:c r="AU185" t="n">
        <x: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x:f>
        <x:v>3656.4070068229435</x:v>
      </x:c>
      <x:c r="AV185" t="n">
        <x:f>Scenario_Data!W185</x:f>
        <x:v>420</x:v>
      </x:c>
      <x:c r="AW185" t="n">
        <x: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x:f>
        <x:v>3625.099344864144</x:v>
      </x:c>
    </x:row>
    <x:row r="186">
      <x:c r="A186" t="n">
        <x:f>Chart_Data!K186</x:f>
        <x:v>32</x:v>
      </x:c>
      <x:c r="B186" t="n">
        <x:f>Chart_Data!N186-Chart_Data!L186</x:f>
        <x:v>-0.4268979215809736</x:v>
      </x:c>
      <x:c r="D186" t="n">
        <x:f>Chart_Data!G186</x:f>
        <x:v>32</x:v>
      </x:c>
      <x:c r="E186" t="n">
        <x:f>Chart_Data!H186</x:f>
        <x:v>222.43770342182788</x:v>
      </x:c>
      <x:c r="F186" t="n">
        <x:f>Chart_Data!I186</x:f>
        <x:v>222.43770342182788</x:v>
      </x:c>
      <x:c r="G186" t="n">
        <x:f>Chart_Data!J186</x:f>
        <x:v>-1.3588316603362678</x:v>
      </x:c>
      <x:c r="I186" t="n">
        <x:f>Scenario_Data!A186</x:f>
        <x:v>0.533</x:v>
      </x:c>
      <x:c r="J186" t="n">
        <x:f>Scenario_Data!H186-(((SQRT((Inputs!$C$52+(Inputs!$H$6))^2+Inputs!$C$52^2-2*(Inputs!$C$52+(Inputs!$H$6))*Inputs!$C$52*COS(SQRT((Scenario_Data!T186)^2+Inputs!$C$6^2)/Inputs!$C$52)))-(Inputs!$H$6))*1000/Inputs!$C$12)</x:f>
        <x:v>-3.243653659340225</x:v>
      </x:c>
      <x:c r="K186" t="n">
        <x:f>Scenario_Data!I186-(((SQRT((Inputs!$C$52+(Inputs!$H$7))^2+Inputs!$C$52^2-2*(Inputs!$C$52+(Inputs!$H$7))*Inputs!$C$52*COS(SQRT((Scenario_Data!U186)^2+Inputs!$C$6^2)/Inputs!$C$52)))-(Inputs!$H$7))*1000/Inputs!$C$12)</x:f>
        <x:v>-33749.98145308635</x:v>
      </x:c>
      <x:c r="L186" t="n">
        <x:f>Scenario_Data!J186-(((SQRT((Inputs!$C$52+(Inputs!$H$8))^2+Inputs!$C$52^2-2*(Inputs!$C$52+(Inputs!$H$8))*Inputs!$C$52*COS(SQRT((Scenario_Data!V186)^2+Inputs!$C$6^2)/Inputs!$C$52)))-(Inputs!$H$8))*1000/Inputs!$C$12)</x:f>
        <x:v>-82494.11644292518</x:v>
      </x:c>
      <x:c r="M186" t="n">
        <x:f>Scenario_Data!K186-(((SQRT((Inputs!$C$52+(Inputs!$H$9))^2+Inputs!$C$52^2-2*(Inputs!$C$52+(Inputs!$H$9))*Inputs!$C$52*COS(SQRT((Scenario_Data!W186)^2+Inputs!$C$6^2)/Inputs!$C$52)))-(Inputs!$H$9))*1000/Inputs!$C$12)</x:f>
        <x:v>-85567.97437946207</x:v>
      </x:c>
      <x:c r="O186" t="n">
        <x:f>Scenario_Data!T186</x:f>
        <x:v>31.97999999999999</x:v>
      </x:c>
      <x:c r="P186" t="n">
        <x:f>2*(Scenario_Data!B186*1000)/Inputs!$C$21*1000000</x:f>
        <x:v>2676.093712804476</x:v>
      </x:c>
      <x:c r="Q186" t="n">
        <x:f>Scenario_Data!U186</x:f>
        <x:v>213.19999999999993</x:v>
      </x:c>
      <x:c r="R186" t="n">
        <x:f>2*(Scenario_Data!C186*1000)/Inputs!$C$21*1000000</x:f>
        <x:v>925.256665396165</x:v>
      </x:c>
      <x:c r="S186" t="n">
        <x:f>Scenario_Data!V186</x:f>
        <x:v>426.39999999999986</x:v>
      </x:c>
      <x:c r="T186" t="n">
        <x:f>2*(Scenario_Data!D186*1000)/Inputs!$C$21*1000000</x:f>
        <x:v>2062.3993482851374</x:v>
      </x:c>
      <x:c r="U186" t="n">
        <x:f>Scenario_Data!W186</x:f>
        <x:v>426.39999999999986</x:v>
      </x:c>
      <x:c r="V186" t="n">
        <x:f>2*(Scenario_Data!E186*1000)/Inputs!$C$21*1000000</x:f>
        <x:v>2014.638907293657</x:v>
      </x:c>
      <x:c r="X186" t="n">
        <x:f>Scenario_Data!T186</x:f>
        <x:v>31.97999999999999</x:v>
      </x:c>
      <x:c r="Y186" t="n">
        <x: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x:f>
        <x:v>2676.0368656583214</x:v>
      </x:c>
      <x:c r="Z186" t="n">
        <x:f>Scenario_Data!U186</x:f>
        <x:v>213.19999999999993</x:v>
      </x:c>
      <x:c r="AA186" t="n">
        <x: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x:f>
        <x:v>925.2961133666385</x:v>
      </x:c>
      <x:c r="AB186" t="n">
        <x:f>Scenario_Data!V186</x:f>
        <x:v>426.39999999999986</x:v>
      </x:c>
      <x:c r="AC186" t="n">
        <x: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x:f>
        <x:v>2062.4558981393748</x:v>
      </x:c>
      <x:c r="AD186" t="n">
        <x:f>Scenario_Data!W186</x:f>
        <x:v>426.39999999999986</x:v>
      </x:c>
      <x:c r="AE186" t="n">
        <x: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x:f>
        <x:v>2014.695457147894</x:v>
      </x:c>
      <x:c r="AG186" t="n">
        <x:f>Scenario_Data!T186</x:f>
        <x:v>31.97999999999999</x:v>
      </x:c>
      <x:c r="AH186" t="n">
        <x:f>2*(SQRT((Inputs!$C$52+(Scenario_Data!B186))^2+Inputs!$C$52^2-2*(Inputs!$C$52+(Scenario_Data!B186))*Inputs!$C$52*COS(SQRT((Scenario_Data!T186)^2+Inputs!$C$6^2)/Inputs!$C$52))*1000)/Inputs!$C$21*1000000</x:f>
        <x:v>2693.260665691084</x:v>
      </x:c>
      <x:c r="AI186" t="n">
        <x:f>Scenario_Data!U186</x:f>
        <x:v>213.19999999999993</x:v>
      </x:c>
      <x:c r="AJ186" t="n">
        <x:f>2*(SQRT((Inputs!$C$52+(Scenario_Data!C186))^2+Inputs!$C$52^2-2*(Inputs!$C$52+(Scenario_Data!C186))*Inputs!$C$52*COS(SQRT((Scenario_Data!U186)^2+Inputs!$C$6^2)/Inputs!$C$52))*1000)/Inputs!$C$21*1000000</x:f>
        <x:v>1756.5930320423138</x:v>
      </x:c>
      <x:c r="AK186" t="n">
        <x:f>Scenario_Data!V186</x:f>
        <x:v>426.39999999999986</x:v>
      </x:c>
      <x:c r="AL186" t="n">
        <x:f>2*(SQRT((Inputs!$C$52+(Scenario_Data!D186))^2+Inputs!$C$52^2-2*(Inputs!$C$52+(Scenario_Data!D186))*Inputs!$C$52*COS(SQRT((Scenario_Data!V186)^2+Inputs!$C$6^2)/Inputs!$C$52))*1000)/Inputs!$C$21*1000000</x:f>
        <x:v>3731.0809261239924</x:v>
      </x:c>
      <x:c r="AM186" t="n">
        <x:f>Scenario_Data!W186</x:f>
        <x:v>426.39999999999986</x:v>
      </x:c>
      <x:c r="AN186" t="n">
        <x:f>2*(SQRT((Inputs!$C$52+(Scenario_Data!E186))^2+Inputs!$C$52^2-2*(Inputs!$C$52+(Scenario_Data!E186))*Inputs!$C$52*COS(SQRT((Scenario_Data!W186)^2+Inputs!$C$6^2)/Inputs!$C$52))*1000)/Inputs!$C$21*1000000</x:f>
        <x:v>3699.896173425861</x:v>
      </x:c>
      <x:c r="AP186" t="n">
        <x:f>Scenario_Data!T186</x:f>
        <x:v>31.97999999999999</x:v>
      </x:c>
      <x:c r="AQ186" t="n">
        <x: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x:f>
        <x:v>2691.7084514155754</x:v>
      </x:c>
      <x:c r="AR186" t="n">
        <x:f>Scenario_Data!U186</x:f>
        <x:v>213.19999999999993</x:v>
      </x:c>
      <x:c r="AS186" t="n">
        <x: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x:f>
        <x:v>1756.3205691070345</x:v>
      </x:c>
      <x:c r="AT186" t="n">
        <x:f>Scenario_Data!V186</x:f>
        <x:v>426.39999999999986</x:v>
      </x:c>
      <x:c r="AU186" t="n">
        <x: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x:f>
        <x:v>3730.743436868081</x:v>
      </x:c>
      <x:c r="AV186" t="n">
        <x:f>Scenario_Data!W186</x:f>
        <x:v>426.39999999999986</x:v>
      </x:c>
      <x:c r="AW186" t="n">
        <x: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x:f>
        <x:v>3699.56563439895</x:v>
      </x:c>
    </x:row>
    <x:row r="187">
      <x:c r="A187" t="n">
        <x:f>Chart_Data!K187</x:f>
        <x:v>32.5</x:v>
      </x:c>
      <x:c r="B187" t="n">
        <x:f>Chart_Data!N187-Chart_Data!L187</x:f>
        <x:v>-7.712229584010402</x:v>
      </x:c>
      <x:c r="D187" t="n">
        <x:f>Chart_Data!G187</x:f>
        <x:v>32.5</x:v>
      </x:c>
      <x:c r="E187" t="n">
        <x:f>Chart_Data!H187</x:f>
        <x:v>227.97180197677312</x:v>
      </x:c>
      <x:c r="F187" t="n">
        <x:f>Chart_Data!I187</x:f>
        <x:v>227.97180197677312</x:v>
      </x:c>
      <x:c r="G187" t="n">
        <x:f>Chart_Data!J187</x:f>
        <x:v>5.846843018322446</x:v>
      </x:c>
      <x:c r="I187" t="n">
        <x:f>Scenario_Data!A187</x:f>
        <x:v>0.542</x:v>
      </x:c>
      <x:c r="J187" t="n">
        <x:f>Scenario_Data!H187-(((SQRT((Inputs!$C$52+(Inputs!$H$6))^2+Inputs!$C$52^2-2*(Inputs!$C$52+(Inputs!$H$6))*Inputs!$C$52*COS(SQRT((Scenario_Data!T187)^2+Inputs!$C$6^2)/Inputs!$C$52)))-(Inputs!$H$6))*1000/Inputs!$C$12)</x:f>
        <x:v>-3.423937371721422</x:v>
      </x:c>
      <x:c r="K187" t="n">
        <x:f>Scenario_Data!I187-(((SQRT((Inputs!$C$52+(Inputs!$H$7))^2+Inputs!$C$52^2-2*(Inputs!$C$52+(Inputs!$H$7))*Inputs!$C$52*COS(SQRT((Scenario_Data!U187)^2+Inputs!$C$6^2)/Inputs!$C$52)))-(Inputs!$H$7))*1000/Inputs!$C$12)</x:f>
        <x:v>-34798.54556291025</x:v>
      </x:c>
      <x:c r="L187" t="n">
        <x:f>Scenario_Data!J187-(((SQRT((Inputs!$C$52+(Inputs!$H$8))^2+Inputs!$C$52^2-2*(Inputs!$C$52+(Inputs!$H$8))*Inputs!$C$52*COS(SQRT((Scenario_Data!V187)^2+Inputs!$C$6^2)/Inputs!$C$52)))-(Inputs!$H$8))*1000/Inputs!$C$12)</x:f>
        <x:v>-84665.8371283485</x:v>
      </x:c>
      <x:c r="M187" t="n">
        <x:f>Scenario_Data!K187-(((SQRT((Inputs!$C$52+(Inputs!$H$9))^2+Inputs!$C$52^2-2*(Inputs!$C$52+(Inputs!$H$9))*Inputs!$C$52*COS(SQRT((Scenario_Data!W187)^2+Inputs!$C$6^2)/Inputs!$C$52)))-(Inputs!$H$9))*1000/Inputs!$C$12)</x:f>
        <x:v>-87773.67562430893</x:v>
      </x:c>
      <x:c r="O187" t="n">
        <x:f>Scenario_Data!T187</x:f>
        <x:v>32.519999999999996</x:v>
      </x:c>
      <x:c r="P187" t="n">
        <x:f>2*(Scenario_Data!B187*1000)/Inputs!$C$21*1000000</x:f>
        <x:v>2676.3518914141596</x:v>
      </x:c>
      <x:c r="Q187" t="n">
        <x:f>Scenario_Data!U187</x:f>
        <x:v>216.80000000000007</x:v>
      </x:c>
      <x:c r="R187" t="n">
        <x:f>2*(Scenario_Data!C187*1000)/Inputs!$C$21*1000000</x:f>
        <x:v>948.8154635297733</x:v>
      </x:c>
      <x:c r="S187" t="n">
        <x:f>Scenario_Data!V187</x:f>
        <x:v>433.60000000000014</x:v>
      </x:c>
      <x:c r="T187" t="n">
        <x:f>2*(Scenario_Data!D187*1000)/Inputs!$C$21*1000000</x:f>
        <x:v>2124.684937871253</x:v>
      </x:c>
      <x:c r="U187" t="n">
        <x:f>Scenario_Data!W187</x:f>
        <x:v>433.60000000000014</x:v>
      </x:c>
      <x:c r="V187" t="n">
        <x:f>2*(Scenario_Data!E187*1000)/Inputs!$C$21*1000000</x:f>
        <x:v>2077.5699434039807</x:v>
      </x:c>
      <x:c r="X187" t="n">
        <x:f>Scenario_Data!T187</x:f>
        <x:v>32.519999999999996</x:v>
      </x:c>
      <x:c r="Y187" t="n">
        <x: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x:f>
        <x:v>2676.2888769199035</x:v>
      </x:c>
      <x:c r="Z187" t="n">
        <x:f>Scenario_Data!U187</x:f>
        <x:v>216.80000000000007</x:v>
      </x:c>
      <x:c r="AA187" t="n">
        <x: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x:f>
        <x:v>948.5491738828646</x:v>
      </x:c>
      <x:c r="AB187" t="n">
        <x:f>Scenario_Data!V187</x:f>
        <x:v>433.60000000000014</x:v>
      </x:c>
      <x:c r="AC187" t="n">
        <x: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x:f>
        <x:v>2124.427620402392</x:v>
      </x:c>
      <x:c r="AD187" t="n">
        <x:f>Scenario_Data!W187</x:f>
        <x:v>433.60000000000014</x:v>
      </x:c>
      <x:c r="AE187" t="n">
        <x: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x:f>
        <x:v>2077.3126259351197</x:v>
      </x:c>
      <x:c r="AG187" t="n">
        <x:f>Scenario_Data!T187</x:f>
        <x:v>32.519999999999996</x:v>
      </x:c>
      <x:c r="AH187" t="n">
        <x:f>2*(SQRT((Inputs!$C$52+(Scenario_Data!B187))^2+Inputs!$C$52^2-2*(Inputs!$C$52+(Scenario_Data!B187))*Inputs!$C$52*COS(SQRT((Scenario_Data!T187)^2+Inputs!$C$6^2)/Inputs!$C$52))*1000)/Inputs!$C$21*1000000</x:f>
        <x:v>2693.8791874812646</x:v>
      </x:c>
      <x:c r="AI187" t="n">
        <x:f>Scenario_Data!U187</x:f>
        <x:v>216.80000000000007</x:v>
      </x:c>
      <x:c r="AJ187" t="n">
        <x:f>2*(SQRT((Inputs!$C$52+(Scenario_Data!C187))^2+Inputs!$C$52^2-2*(Inputs!$C$52+(Scenario_Data!C187))*Inputs!$C$52*COS(SQRT((Scenario_Data!U187)^2+Inputs!$C$6^2)/Inputs!$C$52))*1000)/Inputs!$C$21*1000000</x:f>
        <x:v>1791.4617344869769</x:v>
      </x:c>
      <x:c r="AK187" t="n">
        <x:f>Scenario_Data!V187</x:f>
        <x:v>433.60000000000014</x:v>
      </x:c>
      <x:c r="AL187" t="n">
        <x:f>2*(SQRT((Inputs!$C$52+(Scenario_Data!D187))^2+Inputs!$C$52^2-2*(Inputs!$C$52+(Scenario_Data!D187))*Inputs!$C$52*COS(SQRT((Scenario_Data!V187)^2+Inputs!$C$6^2)/Inputs!$C$52))*1000)/Inputs!$C$21*1000000</x:f>
        <x:v>3815.4483329742607</x:v>
      </x:c>
      <x:c r="AM187" t="n">
        <x:f>Scenario_Data!W187</x:f>
        <x:v>433.60000000000014</x:v>
      </x:c>
      <x:c r="AN187" t="n">
        <x:f>2*(SQRT((Inputs!$C$52+(Scenario_Data!E187))^2+Inputs!$C$52^2-2*(Inputs!$C$52+(Scenario_Data!E187))*Inputs!$C$52*COS(SQRT((Scenario_Data!W187)^2+Inputs!$C$6^2)/Inputs!$C$52))*1000)/Inputs!$C$21*1000000</x:f>
        <x:v>3784.430436320021</x:v>
      </x:c>
      <x:c r="AP187" t="n">
        <x:f>Scenario_Data!T187</x:f>
        <x:v>32.519999999999996</x:v>
      </x:c>
      <x:c r="AQ187" t="n">
        <x: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x:f>
        <x:v>2692.3320799684448</x:v>
      </x:c>
      <x:c r="AR187" t="n">
        <x:f>Scenario_Data!U187</x:f>
        <x:v>216.80000000000007</x:v>
      </x:c>
      <x:c r="AS187" t="n">
        <x: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x:f>
        <x:v>1790.9188228799637</x:v>
      </x:c>
      <x:c r="AT187" t="n">
        <x:f>Scenario_Data!V187</x:f>
        <x:v>433.60000000000014</x:v>
      </x:c>
      <x:c r="AU187" t="n">
        <x: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x:f>
        <x:v>3814.9219703228828</x:v>
      </x:c>
      <x:c r="AV187" t="n">
        <x:f>Scenario_Data!W187</x:f>
        <x:v>433.60000000000014</x:v>
      </x:c>
      <x:c r="AW187" t="n">
        <x: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x:f>
        <x:v>3783.9144030090297</x:v>
      </x:c>
    </x:row>
    <x:row r="188">
      <x:c r="A188" t="n">
        <x:f>Chart_Data!K188</x:f>
        <x:v>33</x:v>
      </x:c>
      <x:c r="B188" t="n">
        <x:f>Chart_Data!N188-Chart_Data!L188</x:f>
        <x:v>1.724927204582798</x:v>
      </x:c>
      <x:c r="D188" t="n">
        <x:f>Chart_Data!G188</x:f>
        <x:v>33</x:v>
      </x:c>
      <x:c r="E188" t="n">
        <x:f>Chart_Data!H188</x:f>
        <x:v>226.0841822180117</x:v>
      </x:c>
      <x:c r="F188" t="n">
        <x:f>Chart_Data!I188</x:f>
        <x:v>226.0841822180117</x:v>
      </x:c>
      <x:c r="G188" t="n">
        <x:f>Chart_Data!J188</x:f>
        <x:v>-3.610290991247414</x:v>
      </x:c>
      <x:c r="I188" t="n">
        <x:f>Scenario_Data!A188</x:f>
        <x:v>0.55</x:v>
      </x:c>
      <x:c r="J188" t="n">
        <x:f>Scenario_Data!H188-(((SQRT((Inputs!$C$52+(Inputs!$H$6))^2+Inputs!$C$52^2-2*(Inputs!$C$52+(Inputs!$H$6))*Inputs!$C$52*COS(SQRT((Scenario_Data!T188)^2+Inputs!$C$6^2)/Inputs!$C$52)))-(Inputs!$H$6))*1000/Inputs!$C$12)</x:f>
        <x:v>-3.590635671074324</x:v>
      </x:c>
      <x:c r="K188" t="n">
        <x:f>Scenario_Data!I188-(((SQRT((Inputs!$C$52+(Inputs!$H$7))^2+Inputs!$C$52^2-2*(Inputs!$C$52+(Inputs!$H$7))*Inputs!$C$52*COS(SQRT((Scenario_Data!U188)^2+Inputs!$C$6^2)/Inputs!$C$52)))-(Inputs!$H$7))*1000/Inputs!$C$12)</x:f>
        <x:v>-35738.342299056225</x:v>
      </x:c>
      <x:c r="L188" t="n">
        <x:f>Scenario_Data!J188-(((SQRT((Inputs!$C$52+(Inputs!$H$8))^2+Inputs!$C$52^2-2*(Inputs!$C$52+(Inputs!$H$8))*Inputs!$C$52*COS(SQRT((Scenario_Data!V188)^2+Inputs!$C$6^2)/Inputs!$C$52)))-(Inputs!$H$8))*1000/Inputs!$C$12)</x:f>
        <x:v>-86600.81524649766</x:v>
      </x:c>
      <x:c r="M188" t="n">
        <x:f>Scenario_Data!K188-(((SQRT((Inputs!$C$52+(Inputs!$H$9))^2+Inputs!$C$52^2-2*(Inputs!$C$52+(Inputs!$H$9))*Inputs!$C$52*COS(SQRT((Scenario_Data!W188)^2+Inputs!$C$6^2)/Inputs!$C$52)))-(Inputs!$H$9))*1000/Inputs!$C$12)</x:f>
        <x:v>-89738.19699014083</x:v>
      </x:c>
      <x:c r="O188" t="n">
        <x:f>Scenario_Data!T188</x:f>
        <x:v>33</x:v>
      </x:c>
      <x:c r="P188" t="n">
        <x:f>2*(Scenario_Data!B188*1000)/Inputs!$C$21*1000000</x:f>
        <x:v>2676.585012689012</x:v>
      </x:c>
      <x:c r="Q188" t="n">
        <x:f>Scenario_Data!U188</x:f>
        <x:v>220</x:v>
      </x:c>
      <x:c r="R188" t="n">
        <x:f>2*(Scenario_Data!C188*1000)/Inputs!$C$21*1000000</x:f>
        <x:v>970.0877798600259</x:v>
      </x:c>
      <x:c r="S188" t="n">
        <x:f>Scenario_Data!V188</x:f>
        <x:v>440</x:v>
      </x:c>
      <x:c r="T188" t="n">
        <x:f>2*(Scenario_Data!D188*1000)/Inputs!$C$21*1000000</x:f>
        <x:v>2180.9254454293177</x:v>
      </x:c>
      <x:c r="U188" t="n">
        <x:f>Scenario_Data!W188</x:f>
        <x:v>440</x:v>
      </x:c>
      <x:c r="V188" t="n">
        <x:f>2*(Scenario_Data!E188*1000)/Inputs!$C$21*1000000</x:f>
        <x:v>2134.393254149176</x:v>
      </x:c>
      <x:c r="X188" t="n">
        <x:f>Scenario_Data!T188</x:f>
        <x:v>33</x:v>
      </x:c>
      <x:c r="Y188" t="n">
        <x: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x:f>
        <x:v>2676.60909795797</x:v>
      </x:c>
      <x:c r="Z188" t="n">
        <x:f>Scenario_Data!U188</x:f>
        <x:v>220</x:v>
      </x:c>
      <x:c r="AA188" t="n">
        <x: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x:f>
        <x:v>969.7240027915016</x:v>
      </x:c>
      <x:c r="AB188" t="n">
        <x:f>Scenario_Data!V188</x:f>
        <x:v>440</x:v>
      </x:c>
      <x:c r="AC188" t="n">
        <x: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x:f>
        <x:v>2180.714249526638</x:v>
      </x:c>
      <x:c r="AD188" t="n">
        <x:f>Scenario_Data!W188</x:f>
        <x:v>440</x:v>
      </x:c>
      <x:c r="AE188" t="n">
        <x: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x:f>
        <x:v>2134.182058246496</x:v>
      </x:c>
      <x:c r="AG188" t="n">
        <x:f>Scenario_Data!T188</x:f>
        <x:v>33</x:v>
      </x:c>
      <x:c r="AH188" t="n">
        <x:f>2*(SQRT((Inputs!$C$52+(Scenario_Data!B188))^2+Inputs!$C$52^2-2*(Inputs!$C$52+(Scenario_Data!B188))*Inputs!$C$52*COS(SQRT((Scenario_Data!T188)^2+Inputs!$C$6^2)/Inputs!$C$52))*1000)/Inputs!$C$21*1000000</x:f>
        <x:v>2694.4375898786375</x:v>
      </x:c>
      <x:c r="AI188" t="n">
        <x:f>Scenario_Data!U188</x:f>
        <x:v>220</x:v>
      </x:c>
      <x:c r="AJ188" t="n">
        <x:f>2*(SQRT((Inputs!$C$52+(Scenario_Data!C188))^2+Inputs!$C$52^2-2*(Inputs!$C$52+(Scenario_Data!C188))*Inputs!$C$52*COS(SQRT((Scenario_Data!U188)^2+Inputs!$C$6^2)/Inputs!$C$52))*1000)/Inputs!$C$21*1000000</x:f>
        <x:v>1822.7061870307282</x:v>
      </x:c>
      <x:c r="AK188" t="n">
        <x:f>Scenario_Data!V188</x:f>
        <x:v>440</x:v>
      </x:c>
      <x:c r="AL188" t="n">
        <x:f>2*(SQRT((Inputs!$C$52+(Scenario_Data!D188))^2+Inputs!$C$52^2-2*(Inputs!$C$52+(Scenario_Data!D188))*Inputs!$C$52*COS(SQRT((Scenario_Data!V188)^2+Inputs!$C$6^2)/Inputs!$C$52))*1000)/Inputs!$C$21*1000000</x:f>
        <x:v>3891.256447672386</x:v>
      </x:c>
      <x:c r="AM188" t="n">
        <x:f>Scenario_Data!W188</x:f>
        <x:v>440</x:v>
      </x:c>
      <x:c r="AN188" t="n">
        <x:f>2*(SQRT((Inputs!$C$52+(Scenario_Data!E188))^2+Inputs!$C$52^2-2*(Inputs!$C$52+(Scenario_Data!E188))*Inputs!$C$52*COS(SQRT((Scenario_Data!W188)^2+Inputs!$C$6^2)/Inputs!$C$52))*1000)/Inputs!$C$21*1000000</x:f>
        <x:v>3860.401771777322</x:v>
      </x:c>
      <x:c r="AP188" t="n">
        <x:f>Scenario_Data!T188</x:f>
        <x:v>33</x:v>
      </x:c>
      <x:c r="AQ188" t="n">
        <x: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x:f>
        <x:v>2692.9418963583466</x:v>
      </x:c>
      <x:c r="AR188" t="n">
        <x:f>Scenario_Data!U188</x:f>
        <x:v>220</x:v>
      </x:c>
      <x:c r="AS188" t="n">
        <x: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x:f>
        <x:v>1821.953328576106</x:v>
      </x:c>
      <x:c r="AT188" t="n">
        <x:f>Scenario_Data!V188</x:f>
        <x:v>440</x:v>
      </x:c>
      <x:c r="AU188" t="n">
        <x: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x:f>
        <x:v>3890.7671657116257</x:v>
      </x:c>
      <x:c r="AV188" t="n">
        <x:f>Scenario_Data!W188</x:f>
        <x:v>440</x:v>
      </x:c>
      <x:c r="AW188" t="n">
        <x: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x:f>
        <x:v>3859.9216859248836</x:v>
      </x:c>
    </x:row>
    <x:row r="189">
      <x:c r="A189" t="n">
        <x:f>Chart_Data!K189</x:f>
        <x:v>33.5</x:v>
      </x:c>
      <x:c r="B189" t="n">
        <x:f>Chart_Data!N189-Chart_Data!L189</x:f>
        <x:v>-4.742014780506821</x:v>
      </x:c>
      <x:c r="D189" t="n">
        <x:f>Chart_Data!G189</x:f>
        <x:v>33.5</x:v>
      </x:c>
      <x:c r="E189" t="n">
        <x:f>Chart_Data!H189</x:f>
        <x:v>226.23942491253771</x:v>
      </x:c>
      <x:c r="F189" t="n">
        <x:f>Chart_Data!I189</x:f>
        <x:v>226.23942491253771</x:v>
      </x:c>
      <x:c r="G189" t="n">
        <x:f>Chart_Data!J189</x:f>
        <x:v>2.8193818928466783</x:v>
      </x:c>
      <x:c r="I189" t="n">
        <x:f>Scenario_Data!A189</x:f>
        <x:v>0.558</x:v>
      </x:c>
      <x:c r="J189" t="n">
        <x:f>Scenario_Data!H189-(((SQRT((Inputs!$C$52+(Inputs!$H$6))^2+Inputs!$C$52^2-2*(Inputs!$C$52+(Inputs!$H$6))*Inputs!$C$52*COS(SQRT((Scenario_Data!T189)^2+Inputs!$C$6^2)/Inputs!$C$52)))-(Inputs!$H$6))*1000/Inputs!$C$12)</x:f>
        <x:v>-3.763567414630188</x:v>
      </x:c>
      <x:c r="K189" t="n">
        <x:f>Scenario_Data!I189-(((SQRT((Inputs!$C$52+(Inputs!$H$7))^2+Inputs!$C$52^2-2*(Inputs!$C$52+(Inputs!$H$7))*Inputs!$C$52*COS(SQRT((Scenario_Data!U189)^2+Inputs!$C$6^2)/Inputs!$C$52)))-(Inputs!$H$7))*1000/Inputs!$C$12)</x:f>
        <x:v>-36685.22606722002</x:v>
      </x:c>
      <x:c r="L189" t="n">
        <x:f>Scenario_Data!J189-(((SQRT((Inputs!$C$52+(Inputs!$H$8))^2+Inputs!$C$52^2-2*(Inputs!$C$52+(Inputs!$H$8))*Inputs!$C$52*COS(SQRT((Scenario_Data!V189)^2+Inputs!$C$6^2)/Inputs!$C$52)))-(Inputs!$H$8))*1000/Inputs!$C$12)</x:f>
        <x:v>-88539.61228230715</x:v>
      </x:c>
      <x:c r="M189" t="n">
        <x:f>Scenario_Data!K189-(((SQRT((Inputs!$C$52+(Inputs!$H$9))^2+Inputs!$C$52^2-2*(Inputs!$C$52+(Inputs!$H$9))*Inputs!$C$52*COS(SQRT((Scenario_Data!W189)^2+Inputs!$C$6^2)/Inputs!$C$52)))-(Inputs!$H$9))*1000/Inputs!$C$12)</x:f>
        <x:v>-91705.91995911617</x:v>
      </x:c>
      <x:c r="O189" t="n">
        <x:f>Scenario_Data!T189</x:f>
        <x:v>33.480000000000004</x:v>
      </x:c>
      <x:c r="P189" t="n">
        <x:f>2*(Scenario_Data!B189*1000)/Inputs!$C$21*1000000</x:f>
        <x:v>2676.821549660199</x:v>
      </x:c>
      <x:c r="Q189" t="n">
        <x:f>Scenario_Data!U189</x:f>
        <x:v>223.20000000000005</x:v>
      </x:c>
      <x:c r="R189" t="n">
        <x:f>2*(Scenario_Data!C189*1000)/Inputs!$C$21*1000000</x:f>
        <x:v>991.671778480832</x:v>
      </x:c>
      <x:c r="S189" t="n">
        <x:f>Scenario_Data!V189</x:f>
        <x:v>446.4000000000001</x:v>
      </x:c>
      <x:c r="T189" t="n">
        <x:f>2*(Scenario_Data!D189*1000)/Inputs!$C$21*1000000</x:f>
        <x:v>2237.989989728162</x:v>
      </x:c>
      <x:c r="U189" t="n">
        <x:f>Scenario_Data!W189</x:f>
        <x:v>446.4000000000001</x:v>
      </x:c>
      <x:c r="V189" t="n">
        <x:f>2*(Scenario_Data!E189*1000)/Inputs!$C$21*1000000</x:f>
        <x:v>2192.0491408759867</x:v>
      </x:c>
      <x:c r="X189" t="n">
        <x:f>Scenario_Data!T189</x:f>
        <x:v>33.480000000000004</x:v>
      </x:c>
      <x:c r="Y189" t="n">
        <x: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x:f>
        <x:v>2676.761436837114</x:v>
      </x:c>
      <x:c r="Z189" t="n">
        <x:f>Scenario_Data!U189</x:f>
        <x:v>223.20000000000005</x:v>
      </x:c>
      <x:c r="AA189" t="n">
        <x: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x:f>
        <x:v>991.3044296756246</x:v>
      </x:c>
      <x:c r="AB189" t="n">
        <x:f>Scenario_Data!V189</x:f>
        <x:v>446.4000000000001</x:v>
      </x:c>
      <x:c r="AC189" t="n">
        <x: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x:f>
        <x:v>2237.9762205627926</x:v>
      </x:c>
      <x:c r="AD189" t="n">
        <x:f>Scenario_Data!W189</x:f>
        <x:v>446.4000000000001</x:v>
      </x:c>
      <x:c r="AE189" t="n">
        <x: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x:f>
        <x:v>2192.0353717106177</x:v>
      </x:c>
      <x:c r="AG189" t="n">
        <x:f>Scenario_Data!T189</x:f>
        <x:v>33.480000000000004</x:v>
      </x:c>
      <x:c r="AH189" t="n">
        <x:f>2*(SQRT((Inputs!$C$52+(Scenario_Data!B189))^2+Inputs!$C$52^2-2*(Inputs!$C$52+(Scenario_Data!B189))*Inputs!$C$52*COS(SQRT((Scenario_Data!T189)^2+Inputs!$C$6^2)/Inputs!$C$52))*1000)/Inputs!$C$21*1000000</x:f>
        <x:v>2695.0040875164605</x:v>
      </x:c>
      <x:c r="AI189" t="n">
        <x:f>Scenario_Data!U189</x:f>
        <x:v>223.20000000000005</x:v>
      </x:c>
      <x:c r="AJ189" t="n">
        <x:f>2*(SQRT((Inputs!$C$52+(Scenario_Data!C189))^2+Inputs!$C$52^2-2*(Inputs!$C$52+(Scenario_Data!C189))*Inputs!$C$52*COS(SQRT((Scenario_Data!U189)^2+Inputs!$C$6^2)/Inputs!$C$52))*1000)/Inputs!$C$21*1000000</x:f>
        <x:v>1854.1877969704217</x:v>
      </x:c>
      <x:c r="AK189" t="n">
        <x:f>Scenario_Data!V189</x:f>
        <x:v>446.4000000000001</x:v>
      </x:c>
      <x:c r="AL189" t="n">
        <x:f>2*(SQRT((Inputs!$C$52+(Scenario_Data!D189))^2+Inputs!$C$52^2-2*(Inputs!$C$52+(Scenario_Data!D189))*Inputs!$C$52*COS(SQRT((Scenario_Data!V189)^2+Inputs!$C$6^2)/Inputs!$C$52))*1000)/Inputs!$C$21*1000000</x:f>
        <x:v>3967.8366472645534</x:v>
      </x:c>
      <x:c r="AM189" t="n">
        <x:f>Scenario_Data!W189</x:f>
        <x:v>446.4000000000001</x:v>
      </x:c>
      <x:c r="AN189" t="n">
        <x:f>2*(SQRT((Inputs!$C$52+(Scenario_Data!E189))^2+Inputs!$C$52^2-2*(Inputs!$C$52+(Scenario_Data!E189))*Inputs!$C$52*COS(SQRT((Scenario_Data!W189)^2+Inputs!$C$6^2)/Inputs!$C$52))*1000)/Inputs!$C$21*1000000</x:f>
        <x:v>3937.159241278996</x:v>
      </x:c>
      <x:c r="AP189" t="n">
        <x:f>Scenario_Data!T189</x:f>
        <x:v>33.480000000000004</x:v>
      </x:c>
      <x:c r="AQ189" t="n">
        <x: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x:f>
        <x:v>2693.5471794573295</x:v>
      </x:c>
      <x:c r="AR189" t="n">
        <x:f>Scenario_Data!U189</x:f>
        <x:v>223.20000000000005</x:v>
      </x:c>
      <x:c r="AS189" t="n">
        <x: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x:f>
        <x:v>1853.59624895787</x:v>
      </x:c>
      <x:c r="AT189" t="n">
        <x:f>Scenario_Data!V189</x:f>
        <x:v>446.4000000000001</x:v>
      </x:c>
      <x:c r="AU189" t="n">
        <x: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x:f>
        <x:v>3967.480748745818</x:v>
      </x:c>
      <x:c r="AV189" t="n">
        <x:f>Scenario_Data!W189</x:f>
        <x:v>446.4000000000001</x:v>
      </x:c>
      <x:c r="AW189" t="n">
        <x: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x:f>
        <x:v>3936.8097483681768</x:v>
      </x:c>
    </x:row>
    <x:row r="190">
      <x:c r="A190" t="n">
        <x:f>Chart_Data!K190</x:f>
        <x:v>34</x:v>
      </x:c>
      <x:c r="B190" t="n">
        <x:f>Chart_Data!N190-Chart_Data!L190</x:f>
        <x:v>-12.008270604959733</x:v>
      </x:c>
      <x:c r="D190" t="n">
        <x:f>Chart_Data!G190</x:f>
        <x:v>34</x:v>
      </x:c>
      <x:c r="E190" t="n">
        <x:f>Chart_Data!H190</x:f>
        <x:v>243.2704274883201</x:v>
      </x:c>
      <x:c r="F190" t="n">
        <x:f>Chart_Data!I190</x:f>
        <x:v>243.2704274883201</x:v>
      </x:c>
      <x:c r="G190" t="n">
        <x:f>Chart_Data!J190</x:f>
        <x:v>9.90157819415245</x:v>
      </x:c>
      <x:c r="I190" t="n">
        <x:f>Scenario_Data!A190</x:f>
        <x:v>0.567</x:v>
      </x:c>
      <x:c r="J190" t="n">
        <x:f>Scenario_Data!H190-(((SQRT((Inputs!$C$52+(Inputs!$H$6))^2+Inputs!$C$52^2-2*(Inputs!$C$52+(Inputs!$H$6))*Inputs!$C$52*COS(SQRT((Scenario_Data!T190)^2+Inputs!$C$6^2)/Inputs!$C$52)))-(Inputs!$H$6))*1000/Inputs!$C$12)</x:f>
        <x:v>-3.965768378529674</x:v>
      </x:c>
      <x:c r="K190" t="n">
        <x:f>Scenario_Data!I190-(((SQRT((Inputs!$C$52+(Inputs!$H$7))^2+Inputs!$C$52^2-2*(Inputs!$C$52+(Inputs!$H$7))*Inputs!$C$52*COS(SQRT((Scenario_Data!U190)^2+Inputs!$C$6^2)/Inputs!$C$52)))-(Inputs!$H$7))*1000/Inputs!$C$12)</x:f>
        <x:v>-37758.70950600899</x:v>
      </x:c>
      <x:c r="L190" t="n">
        <x:f>Scenario_Data!J190-(((SQRT((Inputs!$C$52+(Inputs!$H$8))^2+Inputs!$C$52^2-2*(Inputs!$C$52+(Inputs!$H$8))*Inputs!$C$52*COS(SQRT((Scenario_Data!V190)^2+Inputs!$C$6^2)/Inputs!$C$52)))-(Inputs!$H$8))*1000/Inputs!$C$12)</x:f>
        <x:v>-90724.77444856253</x:v>
      </x:c>
      <x:c r="M190" t="n">
        <x:f>Scenario_Data!K190-(((SQRT((Inputs!$C$52+(Inputs!$H$9))^2+Inputs!$C$52^2-2*(Inputs!$C$52+(Inputs!$H$9))*Inputs!$C$52*COS(SQRT((Scenario_Data!W190)^2+Inputs!$C$6^2)/Inputs!$C$52)))-(Inputs!$H$9))*1000/Inputs!$C$12)</x:f>
        <x:v>-93922.89271885797</x:v>
      </x:c>
      <x:c r="O190" t="n">
        <x:f>Scenario_Data!T190</x:f>
        <x:v>34.019999999999996</x:v>
      </x:c>
      <x:c r="P190" t="n">
        <x:f>2*(Scenario_Data!B190*1000)/Inputs!$C$21*1000000</x:f>
        <x:v>2677.091736577309</x:v>
      </x:c>
      <x:c r="Q190" t="n">
        <x:f>Scenario_Data!U190</x:f>
        <x:v>226.79999999999995</x:v>
      </x:c>
      <x:c r="R190" t="n">
        <x:f>2*(Scenario_Data!C190*1000)/Inputs!$C$21*1000000</x:f>
        <x:v>1016.3263346671646</x:v>
      </x:c>
      <x:c r="S190" t="n">
        <x:f>Scenario_Data!V190</x:f>
        <x:v>453.5999999999999</x:v>
      </x:c>
      <x:c r="T190" t="n">
        <x:f>2*(Scenario_Data!D190*1000)/Inputs!$C$21*1000000</x:f>
        <x:v>2303.1725834810677</x:v>
      </x:c>
      <x:c r="U190" t="n">
        <x:f>Scenario_Data!W190</x:f>
        <x:v>453.5999999999999</x:v>
      </x:c>
      <x:c r="V190" t="n">
        <x:f>2*(Scenario_Data!E190*1000)/Inputs!$C$21*1000000</x:f>
        <x:v>2257.90720192167</x:v>
      </x:c>
      <x:c r="X190" t="n">
        <x:f>Scenario_Data!T190</x:f>
        <x:v>34.019999999999996</x:v>
      </x:c>
      <x:c r="Y190" t="n">
        <x: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x:f>
        <x:v>2676.9678952459385</x:v>
      </x:c>
      <x:c r="Z190" t="n">
        <x:f>Scenario_Data!U190</x:f>
        <x:v>226.79999999999995</x:v>
      </x:c>
      <x:c r="AA190" t="n">
        <x: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x:f>
        <x:v>1016.1752855742253</x:v>
      </x:c>
      <x:c r="AB190" t="n">
        <x:f>Scenario_Data!V190</x:f>
        <x:v>453.5999999999999</x:v>
      </x:c>
      <x:c r="AC190" t="n">
        <x: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x:f>
        <x:v>2302.749358961962</x:v>
      </x:c>
      <x:c r="AD190" t="n">
        <x:f>Scenario_Data!W190</x:f>
        <x:v>453.5999999999999</x:v>
      </x:c>
      <x:c r="AE190" t="n">
        <x: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x:f>
        <x:v>2257.4839774025636</x:v>
      </x:c>
      <x:c r="AG190" t="n">
        <x:f>Scenario_Data!T190</x:f>
        <x:v>34.019999999999996</x:v>
      </x:c>
      <x:c r="AH190" t="n">
        <x:f>2*(SQRT((Inputs!$C$52+(Scenario_Data!B190))^2+Inputs!$C$52^2-2*(Inputs!$C$52+(Scenario_Data!B190))*Inputs!$C$52*COS(SQRT((Scenario_Data!T190)^2+Inputs!$C$6^2)/Inputs!$C$52))*1000)/Inputs!$C$21*1000000</x:f>
        <x:v>2695.6510690703108</x:v>
      </x:c>
      <x:c r="AI190" t="n">
        <x:f>Scenario_Data!U190</x:f>
        <x:v>226.79999999999995</x:v>
      </x:c>
      <x:c r="AJ190" t="n">
        <x:f>2*(SQRT((Inputs!$C$52+(Scenario_Data!C190))^2+Inputs!$C$52^2-2*(Inputs!$C$52+(Scenario_Data!C190))*Inputs!$C$52*COS(SQRT((Scenario_Data!U190)^2+Inputs!$C$6^2)/Inputs!$C$52))*1000)/Inputs!$C$21*1000000</x:f>
        <x:v>1889.8902432096763</x:v>
      </x:c>
      <x:c r="AK190" t="n">
        <x:f>Scenario_Data!V190</x:f>
        <x:v>453.5999999999999</x:v>
      </x:c>
      <x:c r="AL190" t="n">
        <x:f>2*(SQRT((Inputs!$C$52+(Scenario_Data!D190))^2+Inputs!$C$52^2-2*(Inputs!$C$52+(Scenario_Data!D190))*Inputs!$C$52*COS(SQRT((Scenario_Data!V190)^2+Inputs!$C$6^2)/Inputs!$C$52))*1000)/Inputs!$C$21*1000000</x:f>
        <x:v>4054.918249107175</x:v>
      </x:c>
      <x:c r="AM190" t="n">
        <x:f>Scenario_Data!W190</x:f>
        <x:v>453.5999999999999</x:v>
      </x:c>
      <x:c r="AN190" t="n">
        <x:f>2*(SQRT((Inputs!$C$52+(Scenario_Data!E190))^2+Inputs!$C$52^2-2*(Inputs!$C$52+(Scenario_Data!E190))*Inputs!$C$52*COS(SQRT((Scenario_Data!W190)^2+Inputs!$C$6^2)/Inputs!$C$52))*1000)/Inputs!$C$21*1000000</x:f>
        <x:v>4024.457081346861</x:v>
      </x:c>
      <x:c r="AP190" t="n">
        <x:f>Scenario_Data!T190</x:f>
        <x:v>34.019999999999996</x:v>
      </x:c>
      <x:c r="AQ190" t="n">
        <x: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x:f>
        <x:v>2694.1066115218923</x:v>
      </x:c>
      <x:c r="AR190" t="n">
        <x:f>Scenario_Data!U190</x:f>
        <x:v>226.79999999999995</x:v>
      </x:c>
      <x:c r="AS190" t="n">
        <x: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x:f>
        <x:v>1889.5699053140243</x:v>
      </x:c>
      <x:c r="AT190" t="n">
        <x:f>Scenario_Data!V190</x:f>
        <x:v>453.5999999999999</x:v>
      </x:c>
      <x:c r="AU190" t="n">
        <x: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x:f>
        <x:v>4054.3706512176195</x:v>
      </x:c>
      <x:c r="AV190" t="n">
        <x:f>Scenario_Data!W190</x:f>
        <x:v>453.5999999999999</x:v>
      </x:c>
      <x:c r="AW190" t="n">
        <x: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x:f>
        <x:v>4023.918873075728</x:v>
      </x:c>
    </x:row>
    <x:row r="191">
      <x:c r="A191" t="n">
        <x:f>Chart_Data!K191</x:f>
        <x:v>34.5</x:v>
      </x:c>
      <x:c r="B191" t="n">
        <x:f>Chart_Data!N191-Chart_Data!L191</x:f>
        <x:v>-24.501863179500816</x:v>
      </x:c>
      <x:c r="D191" t="n">
        <x:f>Chart_Data!G191</x:f>
        <x:v>34.5</x:v>
      </x:c>
      <x:c r="E191" t="n">
        <x:f>Chart_Data!H191</x:f>
        <x:v>248.8414359782273</x:v>
      </x:c>
      <x:c r="F191" t="n">
        <x:f>Chart_Data!I191</x:f>
        <x:v>248.8414359782273</x:v>
      </x:c>
      <x:c r="G191" t="n">
        <x:f>Chart_Data!J191</x:f>
        <x:v>22.306190725387925</x:v>
      </x:c>
      <x:c r="I191" t="n">
        <x:f>Scenario_Data!A191</x:f>
        <x:v>0.575</x:v>
      </x:c>
      <x:c r="J191" t="n">
        <x:f>Scenario_Data!H191-(((SQRT((Inputs!$C$52+(Inputs!$H$6))^2+Inputs!$C$52^2-2*(Inputs!$C$52+(Inputs!$H$6))*Inputs!$C$52*COS(SQRT((Scenario_Data!T191)^2+Inputs!$C$6^2)/Inputs!$C$52)))-(Inputs!$H$6))*1000/Inputs!$C$12)</x:f>
        <x:v>-4.152486814658005</x:v>
      </x:c>
      <x:c r="K191" t="n">
        <x:f>Scenario_Data!I191-(((SQRT((Inputs!$C$52+(Inputs!$H$7))^2+Inputs!$C$52^2-2*(Inputs!$C$52+(Inputs!$H$7))*Inputs!$C$52*COS(SQRT((Scenario_Data!U191)^2+Inputs!$C$6^2)/Inputs!$C$52)))-(Inputs!$H$7))*1000/Inputs!$C$12)</x:f>
        <x:v>-38720.0379034832</x:v>
      </x:c>
      <x:c r="L191" t="n">
        <x:f>Scenario_Data!J191-(((SQRT((Inputs!$C$52+(Inputs!$H$8))^2+Inputs!$C$52^2-2*(Inputs!$C$52+(Inputs!$H$8))*Inputs!$C$52*COS(SQRT((Scenario_Data!V191)^2+Inputs!$C$6^2)/Inputs!$C$52)))-(Inputs!$H$8))*1000/Inputs!$C$12)</x:f>
        <x:v>-92670.23504071141</x:v>
      </x:c>
      <x:c r="M191" t="n">
        <x:f>Scenario_Data!K191-(((SQRT((Inputs!$C$52+(Inputs!$H$9))^2+Inputs!$C$52^2-2*(Inputs!$C$52+(Inputs!$H$9))*Inputs!$C$52*COS(SQRT((Scenario_Data!W191)^2+Inputs!$C$6^2)/Inputs!$C$52)))-(Inputs!$H$9))*1000/Inputs!$C$12)</x:f>
        <x:v>-95895.98581265062</x:v>
      </x:c>
      <x:c r="O191" t="n">
        <x:f>Scenario_Data!T191</x:f>
        <x:v>34.5</x:v>
      </x:c>
      <x:c r="P191" t="n">
        <x:f>2*(Scenario_Data!B191*1000)/Inputs!$C$21*1000000</x:f>
        <x:v>2677.3355319032075</x:v>
      </x:c>
      <x:c r="Q191" t="n">
        <x:f>Scenario_Data!U191</x:f>
        <x:v>230</x:v>
      </x:c>
      <x:c r="R191" t="n">
        <x:f>2*(Scenario_Data!C191*1000)/Inputs!$C$21*1000000</x:f>
        <x:v>1038.572658155396</x:v>
      </x:c>
      <x:c r="S191" t="n">
        <x:f>Scenario_Data!V191</x:f>
        <x:v>460</x:v>
      </x:c>
      <x:c r="T191" t="n">
        <x:f>2*(Scenario_Data!D191*1000)/Inputs!$C$21*1000000</x:f>
        <x:v>2361.988205854064</x:v>
      </x:c>
      <x:c r="U191" t="n">
        <x:f>Scenario_Data!W191</x:f>
        <x:v>460</x:v>
      </x:c>
      <x:c r="V191" t="n">
        <x:f>2*(Scenario_Data!E191*1000)/Inputs!$C$21*1000000</x:f>
        <x:v>2317.3323126094115</x:v>
      </x:c>
      <x:c r="X191" t="n">
        <x:f>Scenario_Data!T191</x:f>
        <x:v>34.5</x:v>
      </x:c>
      <x:c r="Y191" t="n">
        <x: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x:f>
        <x:v>2677.1867210166747</x:v>
      </x:c>
      <x:c r="Z191" t="n">
        <x:f>Scenario_Data!U191</x:f>
        <x:v>230</x:v>
      </x:c>
      <x:c r="AA191" t="n">
        <x: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x:f>
        <x:v>1038.401723688319</x:v>
      </x:c>
      <x:c r="AB191" t="n">
        <x:f>Scenario_Data!V191</x:f>
        <x:v>460</x:v>
      </x:c>
      <x:c r="AC191" t="n">
        <x: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x:f>
        <x:v>2361.943478253393</x:v>
      </x:c>
      <x:c r="AD191" t="n">
        <x:f>Scenario_Data!W191</x:f>
        <x:v>460</x:v>
      </x:c>
      <x:c r="AE191" t="n">
        <x: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x:f>
        <x:v>2317.2875850087407</x:v>
      </x:c>
      <x:c r="AG191" t="n">
        <x:f>Scenario_Data!T191</x:f>
        <x:v>34.5</x:v>
      </x:c>
      <x:c r="AH191" t="n">
        <x:f>2*(SQRT((Inputs!$C$52+(Scenario_Data!B191))^2+Inputs!$C$52^2-2*(Inputs!$C$52+(Scenario_Data!B191))*Inputs!$C$52*COS(SQRT((Scenario_Data!T191)^2+Inputs!$C$6^2)/Inputs!$C$52))*1000)/Inputs!$C$21*1000000</x:f>
        <x:v>2696.234756688648</x:v>
      </x:c>
      <x:c r="AI191" t="n">
        <x:f>Scenario_Data!U191</x:f>
        <x:v>230</x:v>
      </x:c>
      <x:c r="AJ191" t="n">
        <x:f>2*(SQRT((Inputs!$C$52+(Scenario_Data!C191))^2+Inputs!$C$52^2-2*(Inputs!$C$52+(Scenario_Data!C191))*Inputs!$C$52*COS(SQRT((Scenario_Data!U191)^2+Inputs!$C$6^2)/Inputs!$C$52))*1000)/Inputs!$C$21*1000000</x:f>
        <x:v>1921.881554297467</x:v>
      </x:c>
      <x:c r="AK191" t="n">
        <x:f>Scenario_Data!V191</x:f>
        <x:v>460</x:v>
      </x:c>
      <x:c r="AL191" t="n">
        <x:f>2*(SQRT((Inputs!$C$52+(Scenario_Data!D191))^2+Inputs!$C$52^2-2*(Inputs!$C$52+(Scenario_Data!D191))*Inputs!$C$52*COS(SQRT((Scenario_Data!V191)^2+Inputs!$C$6^2)/Inputs!$C$52))*1000)/Inputs!$C$21*1000000</x:f>
        <x:v>4133.154973866361</x:v>
      </x:c>
      <x:c r="AM191" t="n">
        <x:f>Scenario_Data!W191</x:f>
        <x:v>460</x:v>
      </x:c>
      <x:c r="AN191" t="n">
        <x:f>2*(SQRT((Inputs!$C$52+(Scenario_Data!E191))^2+Inputs!$C$52^2-2*(Inputs!$C$52+(Scenario_Data!E191))*Inputs!$C$52*COS(SQRT((Scenario_Data!W191)^2+Inputs!$C$6^2)/Inputs!$C$52))*1000)/Inputs!$C$21*1000000</x:f>
        <x:v>4102.900966862511</x:v>
      </x:c>
      <x:c r="AP191" t="n">
        <x:f>Scenario_Data!T191</x:f>
        <x:v>34.5</x:v>
      </x:c>
      <x:c r="AQ191" t="n">
        <x: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x:f>
        <x:v>2694.58931326976</x:v>
      </x:c>
      <x:c r="AR191" t="n">
        <x:f>Scenario_Data!U191</x:f>
        <x:v>230</x:v>
      </x:c>
      <x:c r="AS191" t="n">
        <x: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x:f>
        <x:v>1921.4798302362296</x:v>
      </x:c>
      <x:c r="AT191" t="n">
        <x:f>Scenario_Data!V191</x:f>
        <x:v>460</x:v>
      </x:c>
      <x:c r="AU191" t="n">
        <x: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x:f>
        <x:v>4132.747732519659</x:v>
      </x:c>
      <x:c r="AV191" t="n">
        <x:f>Scenario_Data!W191</x:f>
        <x:v>460</x:v>
      </x:c>
      <x:c r="AW191" t="n">
        <x: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x:f>
        <x:v>4102.500411292229</x:v>
      </x:c>
    </x:row>
    <x:row r="192">
      <x:c r="A192" t="n">
        <x:f>Chart_Data!K192</x:f>
        <x:v>35</x:v>
      </x:c>
      <x:c r="B192" t="n">
        <x:f>Chart_Data!N192-Chart_Data!L192</x:f>
        <x:v>-31.09945778927886</x:v>
      </x:c>
      <x:c r="D192" t="n">
        <x:f>Chart_Data!G192</x:f>
        <x:v>35</x:v>
      </x:c>
      <x:c r="E192" t="n">
        <x:f>Chart_Data!H192</x:f>
        <x:v>242.00890812042311</x:v>
      </x:c>
      <x:c r="F192" t="n">
        <x:f>Chart_Data!I192</x:f>
        <x:v>242.00890812042311</x:v>
      </x:c>
      <x:c r="G192" t="n">
        <x:f>Chart_Data!J192</x:f>
        <x:v>28.92396994213728</x:v>
      </x:c>
      <x:c r="I192" t="n">
        <x:f>Scenario_Data!A192</x:f>
        <x:v>0.583</x:v>
      </x:c>
      <x:c r="J192" t="n">
        <x:f>Scenario_Data!H192-(((SQRT((Inputs!$C$52+(Inputs!$H$6))^2+Inputs!$C$52^2-2*(Inputs!$C$52+(Inputs!$H$6))*Inputs!$C$52*COS(SQRT((Scenario_Data!T192)^2+Inputs!$C$6^2)/Inputs!$C$52)))-(Inputs!$H$6))*1000/Inputs!$C$12)</x:f>
        <x:v>-4.3459520128728855</x:v>
      </x:c>
      <x:c r="K192" t="n">
        <x:f>Scenario_Data!I192-(((SQRT((Inputs!$C$52+(Inputs!$H$7))^2+Inputs!$C$52^2-2*(Inputs!$C$52+(Inputs!$H$7))*Inputs!$C$52*COS(SQRT((Scenario_Data!U192)^2+Inputs!$C$6^2)/Inputs!$C$52)))-(Inputs!$H$7))*1000/Inputs!$C$12)</x:f>
        <x:v>-39687.88058628062</x:v>
      </x:c>
      <x:c r="L192" t="n">
        <x:f>Scenario_Data!J192-(((SQRT((Inputs!$C$52+(Inputs!$H$8))^2+Inputs!$C$52^2-2*(Inputs!$C$52+(Inputs!$H$8))*Inputs!$C$52*COS(SQRT((Scenario_Data!V192)^2+Inputs!$C$6^2)/Inputs!$C$52)))-(Inputs!$H$8))*1000/Inputs!$C$12)</x:f>
        <x:v>-94618.17278073911</x:v>
      </x:c>
      <x:c r="M192" t="n">
        <x:f>Scenario_Data!K192-(((SQRT((Inputs!$C$52+(Inputs!$H$9))^2+Inputs!$C$52^2-2*(Inputs!$C$52+(Inputs!$H$9))*Inputs!$C$52*COS(SQRT((Scenario_Data!W192)^2+Inputs!$C$6^2)/Inputs!$C$52)))-(Inputs!$H$9))*1000/Inputs!$C$12)</x:f>
        <x:v>-97870.95642178803</x:v>
      </x:c>
      <x:c r="O192" t="n">
        <x:f>Scenario_Data!T192</x:f>
        <x:v>34.980000000000004</x:v>
      </x:c>
      <x:c r="P192" t="n">
        <x:f>2*(Scenario_Data!B192*1000)/Inputs!$C$21*1000000</x:f>
        <x:v>2677.582742925441</x:v>
      </x:c>
      <x:c r="Q192" t="n">
        <x:f>Scenario_Data!U192</x:f>
        <x:v>233.19999999999993</x:v>
      </x:c>
      <x:c r="R192" t="n">
        <x:f>2*(Scenario_Data!C192*1000)/Inputs!$C$21*1000000</x:f>
        <x:v>1061.1306639341801</x:v>
      </x:c>
      <x:c r="S192" t="n">
        <x:f>Scenario_Data!V192</x:f>
        <x:v>466.39999999999986</x:v>
      </x:c>
      <x:c r="T192" t="n">
        <x:f>2*(Scenario_Data!D192*1000)/Inputs!$C$21*1000000</x:f>
        <x:v>2421.627864967836</x:v>
      </x:c>
      <x:c r="U192" t="n">
        <x:f>Scenario_Data!W192</x:f>
        <x:v>466.39999999999986</x:v>
      </x:c>
      <x:c r="V192" t="n">
        <x:f>2*(Scenario_Data!E192*1000)/Inputs!$C$21*1000000</x:f>
        <x:v>2377.5899992787668</x:v>
      </x:c>
      <x:c r="X192" t="n">
        <x:f>Scenario_Data!T192</x:f>
        <x:v>34.980000000000004</x:v>
      </x:c>
      <x:c r="Y192" t="n">
        <x: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x:f>
        <x:v>2677.3815092232917</x:v>
      </x:c>
      <x:c r="Z192" t="n">
        <x:f>Scenario_Data!U192</x:f>
        <x:v>233.19999999999993</x:v>
      </x:c>
      <x:c r="AA192" t="n">
        <x: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x:f>
        <x:v>1060.8081910527985</x:v>
      </x:c>
      <x:c r="AB192" t="n">
        <x:f>Scenario_Data!V192</x:f>
        <x:v>466.39999999999986</x:v>
      </x:c>
      <x:c r="AC192" t="n">
        <x: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x:f>
        <x:v>2421.619819894157</x:v>
      </x:c>
      <x:c r="AD192" t="n">
        <x:f>Scenario_Data!W192</x:f>
        <x:v>466.39999999999986</x:v>
      </x:c>
      <x:c r="AE192" t="n">
        <x: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x:f>
        <x:v>2377.581954205088</x:v>
      </x:c>
      <x:c r="AG192" t="n">
        <x:f>Scenario_Data!T192</x:f>
        <x:v>34.980000000000004</x:v>
      </x:c>
      <x:c r="AH192" t="n">
        <x:f>2*(SQRT((Inputs!$C$52+(Scenario_Data!B192))^2+Inputs!$C$52^2-2*(Inputs!$C$52+(Scenario_Data!B192))*Inputs!$C$52*COS(SQRT((Scenario_Data!T192)^2+Inputs!$C$6^2)/Inputs!$C$52))*1000)/Inputs!$C$21*1000000</x:f>
        <x:v>2696.8265277651735</x:v>
      </x:c>
      <x:c r="AI192" t="n">
        <x:f>Scenario_Data!U192</x:f>
        <x:v>233.19999999999993</x:v>
      </x:c>
      <x:c r="AJ192" t="n">
        <x:f>2*(SQRT((Inputs!$C$52+(Scenario_Data!C192))^2+Inputs!$C$52^2-2*(Inputs!$C$52+(Scenario_Data!C192))*Inputs!$C$52*COS(SQRT((Scenario_Data!U192)^2+Inputs!$C$6^2)/Inputs!$C$52))*1000)/Inputs!$C$21*1000000</x:f>
        <x:v>1954.1154016181265</x:v>
      </x:c>
      <x:c r="AK192" t="n">
        <x:f>Scenario_Data!V192</x:f>
        <x:v>466.39999999999986</x:v>
      </x:c>
      <x:c r="AL192" t="n">
        <x:f>2*(SQRT((Inputs!$C$52+(Scenario_Data!D192))^2+Inputs!$C$52^2-2*(Inputs!$C$52+(Scenario_Data!D192))*Inputs!$C$52*COS(SQRT((Scenario_Data!V192)^2+Inputs!$C$6^2)/Inputs!$C$52))*1000)/Inputs!$C$21*1000000</x:f>
        <x:v>4212.178433547609</x:v>
      </x:c>
      <x:c r="AM192" t="n">
        <x:f>Scenario_Data!W192</x:f>
        <x:v>466.39999999999986</x:v>
      </x:c>
      <x:c r="AN192" t="n">
        <x:f>2*(SQRT((Inputs!$C$52+(Scenario_Data!E192))^2+Inputs!$C$52^2-2*(Inputs!$C$52+(Scenario_Data!E192))*Inputs!$C$52*COS(SQRT((Scenario_Data!W192)^2+Inputs!$C$6^2)/Inputs!$C$52))*1000)/Inputs!$C$21*1000000</x:f>
        <x:v>4182.145657173544</x:v>
      </x:c>
      <x:c r="AP192" t="n">
        <x:f>Scenario_Data!T192</x:f>
        <x:v>34.980000000000004</x:v>
      </x:c>
      <x:c r="AQ192" t="n">
        <x: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x:f>
        <x:v>2695.227838941296</x:v>
      </x:c>
      <x:c r="AR192" t="n">
        <x:f>Scenario_Data!U192</x:f>
        <x:v>233.19999999999993</x:v>
      </x:c>
      <x:c r="AS192" t="n">
        <x: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x:f>
        <x:v>1953.587948364663</x:v>
      </x:c>
      <x:c r="AT192" t="n">
        <x:f>Scenario_Data!V192</x:f>
        <x:v>466.39999999999986</x:v>
      </x:c>
      <x:c r="AU192" t="n">
        <x: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x:f>
        <x:v>4211.941309035313</x:v>
      </x:c>
      <x:c r="AV192" t="n">
        <x:f>Scenario_Data!W192</x:f>
        <x:v>466.39999999999986</x:v>
      </x:c>
      <x:c r="AW192" t="n">
        <x: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x:f>
        <x:v>4181.912259453965</x:v>
      </x:c>
    </x:row>
    <x:row r="193">
      <x:c r="A193" t="n">
        <x:f>Chart_Data!K193</x:f>
        <x:v>35.5</x:v>
      </x:c>
      <x:c r="B193" t="n">
        <x:f>Chart_Data!N193-Chart_Data!L193</x:f>
        <x:v>-34.44955577121655</x:v>
      </x:c>
      <x:c r="D193" t="n">
        <x:f>Chart_Data!G193</x:f>
        <x:v>35.5</x:v>
      </x:c>
      <x:c r="E193" t="n">
        <x:f>Chart_Data!H193</x:f>
        <x:v>242.63788270086079</x:v>
      </x:c>
      <x:c r="F193" t="n">
        <x:f>Chart_Data!I193</x:f>
        <x:v>242.63788270086079</x:v>
      </x:c>
      <x:c r="G193" t="n">
        <x:f>Chart_Data!J193</x:f>
        <x:v>32.227616256478356</x:v>
      </x:c>
      <x:c r="I193" t="n">
        <x:f>Scenario_Data!A193</x:f>
        <x:v>0.592</x:v>
      </x:c>
      <x:c r="J193" t="n">
        <x:f>Scenario_Data!H193-(((SQRT((Inputs!$C$52+(Inputs!$H$6))^2+Inputs!$C$52^2-2*(Inputs!$C$52+(Inputs!$H$6))*Inputs!$C$52*COS(SQRT((Scenario_Data!T193)^2+Inputs!$C$6^2)/Inputs!$C$52)))-(Inputs!$H$6))*1000/Inputs!$C$12)</x:f>
        <x:v>-4.571874809995052</x:v>
      </x:c>
      <x:c r="K193" t="n">
        <x:f>Scenario_Data!I193-(((SQRT((Inputs!$C$52+(Inputs!$H$7))^2+Inputs!$C$52^2-2*(Inputs!$C$52+(Inputs!$H$7))*Inputs!$C$52*COS(SQRT((Scenario_Data!U193)^2+Inputs!$C$6^2)/Inputs!$C$52)))-(Inputs!$H$7))*1000/Inputs!$C$12)</x:f>
        <x:v>-40784.26967339731</x:v>
      </x:c>
      <x:c r="L193" t="n">
        <x:f>Scenario_Data!J193-(((SQRT((Inputs!$C$52+(Inputs!$H$8))^2+Inputs!$C$52^2-2*(Inputs!$C$52+(Inputs!$H$8))*Inputs!$C$52*COS(SQRT((Scenario_Data!V193)^2+Inputs!$C$6^2)/Inputs!$C$52)))-(Inputs!$H$8))*1000/Inputs!$C$12)</x:f>
        <x:v>-96812.05822906029</x:v>
      </x:c>
      <x:c r="M193" t="n">
        <x:f>Scenario_Data!K193-(((SQRT((Inputs!$C$52+(Inputs!$H$9))^2+Inputs!$C$52^2-2*(Inputs!$C$52+(Inputs!$H$9))*Inputs!$C$52*COS(SQRT((Scenario_Data!W193)^2+Inputs!$C$6^2)/Inputs!$C$52)))-(Inputs!$H$9))*1000/Inputs!$C$12)</x:f>
        <x:v>-100094.54459469789</x:v>
      </x:c>
      <x:c r="O193" t="n">
        <x:f>Scenario_Data!T193</x:f>
        <x:v>35.52000000000001</x:v>
      </x:c>
      <x:c r="P193" t="n">
        <x:f>2*(Scenario_Data!B193*1000)/Inputs!$C$21*1000000</x:f>
        <x:v>2677.8649381499786</x:v>
      </x:c>
      <x:c r="Q193" t="n">
        <x:f>Scenario_Data!U193</x:f>
        <x:v>236.80000000000007</x:v>
      </x:c>
      <x:c r="R193" t="n">
        <x:f>2*(Scenario_Data!C193*1000)/Inputs!$C$21*1000000</x:f>
        <x:v>1086.8809781732407</x:v>
      </x:c>
      <x:c r="S193" t="n">
        <x:f>Scenario_Data!V193</x:f>
        <x:v>473.60000000000014</x:v>
      </x:c>
      <x:c r="T193" t="n">
        <x:f>2*(Scenario_Data!D193*1000)/Inputs!$C$21*1000000</x:f>
        <x:v>2489.7074628875434</x:v>
      </x:c>
      <x:c r="U193" t="n">
        <x:f>Scenario_Data!W193</x:f>
        <x:v>473.60000000000014</x:v>
      </x:c>
      <x:c r="V193" t="n">
        <x:f>2*(Scenario_Data!E193*1000)/Inputs!$C$21*1000000</x:f>
        <x:v>2446.3750852598187</x:v>
      </x:c>
      <x:c r="X193" t="n">
        <x:f>Scenario_Data!T193</x:f>
        <x:v>35.52000000000001</x:v>
      </x:c>
      <x:c r="Y193" t="n">
        <x: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x:f>
        <x:v>2677.619339587693</x:v>
      </x:c>
      <x:c r="Z193" t="n">
        <x:f>Scenario_Data!U193</x:f>
        <x:v>236.80000000000007</x:v>
      </x:c>
      <x:c r="AA193" t="n">
        <x: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x:f>
        <x:v>1086.4391980001599</x:v>
      </x:c>
      <x:c r="AB193" t="n">
        <x:f>Scenario_Data!V193</x:f>
        <x:v>473.60000000000014</x:v>
      </x:c>
      <x:c r="AC193" t="n">
        <x: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x:f>
        <x:v>2489.383536065449</x:v>
      </x:c>
      <x:c r="AD193" t="n">
        <x:f>Scenario_Data!W193</x:f>
        <x:v>473.60000000000014</x:v>
      </x:c>
      <x:c r="AE193" t="n">
        <x: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x:f>
        <x:v>2446.0511584377236</x:v>
      </x:c>
      <x:c r="AG193" t="n">
        <x:f>Scenario_Data!T193</x:f>
        <x:v>35.52000000000001</x:v>
      </x:c>
      <x:c r="AH193" t="n">
        <x:f>2*(SQRT((Inputs!$C$52+(Scenario_Data!B193))^2+Inputs!$C$52^2-2*(Inputs!$C$52+(Scenario_Data!B193))*Inputs!$C$52*COS(SQRT((Scenario_Data!T193)^2+Inputs!$C$6^2)/Inputs!$C$52))*1000)/Inputs!$C$21*1000000</x:f>
        <x:v>2697.5019276614603</x:v>
      </x:c>
      <x:c r="AI193" t="n">
        <x:f>Scenario_Data!U193</x:f>
        <x:v>236.80000000000007</x:v>
      </x:c>
      <x:c r="AJ193" t="n">
        <x:f>2*(SQRT((Inputs!$C$52+(Scenario_Data!C193))^2+Inputs!$C$52^2-2*(Inputs!$C$52+(Scenario_Data!C193))*Inputs!$C$52*COS(SQRT((Scenario_Data!U193)^2+Inputs!$C$6^2)/Inputs!$C$52))*1000)/Inputs!$C$21*1000000</x:f>
        <x:v>1990.6704964522148</x:v>
      </x:c>
      <x:c r="AK193" t="n">
        <x:f>Scenario_Data!V193</x:f>
        <x:v>473.60000000000014</x:v>
      </x:c>
      <x:c r="AL193" t="n">
        <x:f>2*(SQRT((Inputs!$C$52+(Scenario_Data!D193))^2+Inputs!$C$52^2-2*(Inputs!$C$52+(Scenario_Data!D193))*Inputs!$C$52*COS(SQRT((Scenario_Data!V193)^2+Inputs!$C$6^2)/Inputs!$C$52))*1000)/Inputs!$C$21*1000000</x:f>
        <x:v>4302.02574295159</x:v>
      </x:c>
      <x:c r="AM193" t="n">
        <x:f>Scenario_Data!W193</x:f>
        <x:v>473.60000000000014</x:v>
      </x:c>
      <x:c r="AN193" t="n">
        <x:f>2*(SQRT((Inputs!$C$52+(Scenario_Data!E193))^2+Inputs!$C$52^2-2*(Inputs!$C$52+(Scenario_Data!E193))*Inputs!$C$52*COS(SQRT((Scenario_Data!W193)^2+Inputs!$C$6^2)/Inputs!$C$52))*1000)/Inputs!$C$21*1000000</x:f>
        <x:v>4272.258661802538</x:v>
      </x:c>
      <x:c r="AP193" t="n">
        <x:f>Scenario_Data!T193</x:f>
        <x:v>35.52000000000001</x:v>
      </x:c>
      <x:c r="AQ193" t="n">
        <x: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x:f>
        <x:v>2695.8930735840954</x:v>
      </x:c>
      <x:c r="AR193" t="n">
        <x:f>Scenario_Data!U193</x:f>
        <x:v>236.80000000000007</x:v>
      </x:c>
      <x:c r="AS193" t="n">
        <x: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x:f>
        <x:v>1990.0401318933384</x:v>
      </x:c>
      <x:c r="AT193" t="n">
        <x:f>Scenario_Data!V193</x:f>
        <x:v>473.60000000000014</x:v>
      </x:c>
      <x:c r="AU193" t="n">
        <x: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x:f>
        <x:v>4301.463511833895</x:v>
      </x:c>
      <x:c r="AV193" t="n">
        <x:f>Scenario_Data!W193</x:f>
        <x:v>473.60000000000014</x:v>
      </x:c>
      <x:c r="AW193" t="n">
        <x: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x:f>
        <x:v>4271.704846882371</x:v>
      </x:c>
    </x:row>
    <x:row r="194">
      <x:c r="A194" t="n">
        <x:f>Chart_Data!K194</x:f>
        <x:v>36</x:v>
      </x:c>
      <x:c r="B194" t="n">
        <x:f>Chart_Data!N194-Chart_Data!L194</x:f>
        <x:v>-47.77178417863914</x:v>
      </x:c>
      <x:c r="D194" t="n">
        <x:f>Chart_Data!G194</x:f>
        <x:v>36</x:v>
      </x:c>
      <x:c r="E194" t="n">
        <x:f>Chart_Data!H194</x:f>
        <x:v>251.8480330414438</x:v>
      </x:c>
      <x:c r="F194" t="n">
        <x:f>Chart_Data!I194</x:f>
        <x:v>251.8480330414438</x:v>
      </x:c>
      <x:c r="G194" t="n">
        <x:f>Chart_Data!J194</x:f>
        <x:v>45.422536466318</x:v>
      </x:c>
      <x:c r="I194" t="n">
        <x:f>Scenario_Data!A194</x:f>
        <x:v>0.6</x:v>
      </x:c>
      <x:c r="J194" t="n">
        <x:f>Scenario_Data!H194-(((SQRT((Inputs!$C$52+(Inputs!$H$6))^2+Inputs!$C$52^2-2*(Inputs!$C$52+(Inputs!$H$6))*Inputs!$C$52*COS(SQRT((Scenario_Data!T194)^2+Inputs!$C$6^2)/Inputs!$C$52)))-(Inputs!$H$6))*1000/Inputs!$C$12)</x:f>
        <x:v>-4.780239127223922</x:v>
      </x:c>
      <x:c r="K194" t="n">
        <x:f>Scenario_Data!I194-(((SQRT((Inputs!$C$52+(Inputs!$H$7))^2+Inputs!$C$52^2-2*(Inputs!$C$52+(Inputs!$H$7))*Inputs!$C$52*COS(SQRT((Scenario_Data!U194)^2+Inputs!$C$6^2)/Inputs!$C$52)))-(Inputs!$H$7))*1000/Inputs!$C$12)</x:f>
        <x:v>-41765.370410184376</x:v>
      </x:c>
      <x:c r="L194" t="n">
        <x:f>Scenario_Data!J194-(((SQRT((Inputs!$C$52+(Inputs!$H$8))^2+Inputs!$C$52^2-2*(Inputs!$C$52+(Inputs!$H$8))*Inputs!$C$52*COS(SQRT((Scenario_Data!V194)^2+Inputs!$C$6^2)/Inputs!$C$52)))-(Inputs!$H$8))*1000/Inputs!$C$12)</x:f>
        <x:v>-98763.92423983713</x:v>
      </x:c>
      <x:c r="M194" t="n">
        <x:f>Scenario_Data!K194-(((SQRT((Inputs!$C$52+(Inputs!$H$9))^2+Inputs!$C$52^2-2*(Inputs!$C$52+(Inputs!$H$9))*Inputs!$C$52*COS(SQRT((Scenario_Data!W194)^2+Inputs!$C$6^2)/Inputs!$C$52)))-(Inputs!$H$9))*1000/Inputs!$C$12)</x:f>
        <x:v>-102072.18940950758</x:v>
      </x:c>
      <x:c r="O194" t="n">
        <x:f>Scenario_Data!T194</x:f>
        <x:v>36</x:v>
      </x:c>
      <x:c r="P194" t="n">
        <x:f>2*(Scenario_Data!B194*1000)/Inputs!$C$21*1000000</x:f>
        <x:v>2678.119407526923</x:v>
      </x:c>
      <x:c r="Q194" t="n">
        <x:f>Scenario_Data!U194</x:f>
        <x:v>240</x:v>
      </x:c>
      <x:c r="R194" t="n">
        <x:f>2*(Scenario_Data!C194*1000)/Inputs!$C$21*1000000</x:f>
        <x:v>1110.1013088194502</x:v>
      </x:c>
      <x:c r="S194" t="n">
        <x:f>Scenario_Data!V194</x:f>
        <x:v>480</x:v>
      </x:c>
      <x:c r="T194" t="n">
        <x:f>2*(Scenario_Data!D194*1000)/Inputs!$C$21*1000000</x:f>
        <x:v>2551.098200075467</x:v>
      </x:c>
      <x:c r="U194" t="n">
        <x:f>Scenario_Data!W194</x:f>
        <x:v>480</x:v>
      </x:c>
      <x:c r="V194" t="n">
        <x:f>2*(Scenario_Data!E194*1000)/Inputs!$C$21*1000000</x:f>
        <x:v>2508.4019958901035</x:v>
      </x:c>
      <x:c r="X194" t="n">
        <x:f>Scenario_Data!T194</x:f>
        <x:v>36</x:v>
      </x:c>
      <x:c r="Y194" t="n">
        <x: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x:f>
        <x:v>2677.816380981363</x:v>
      </x:c>
      <x:c r="Z194" t="n">
        <x:f>Scenario_Data!U194</x:f>
        <x:v>240</x:v>
      </x:c>
      <x:c r="AA194" t="n">
        <x: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x:f>
        <x:v>1109.513437541667</x:v>
      </x:c>
      <x:c r="AB194" t="n">
        <x:f>Scenario_Data!V194</x:f>
        <x:v>480</x:v>
      </x:c>
      <x:c r="AC194" t="n">
        <x: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x:f>
        <x:v>2551.1472763301194</x:v>
      </x:c>
      <x:c r="AD194" t="n">
        <x:f>Scenario_Data!W194</x:f>
        <x:v>480</x:v>
      </x:c>
      <x:c r="AE194" t="n">
        <x: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x:f>
        <x:v>2508.451072144756</x:v>
      </x:c>
      <x:c r="AG194" t="n">
        <x:f>Scenario_Data!T194</x:f>
        <x:v>36</x:v>
      </x:c>
      <x:c r="AH194" t="n">
        <x:f>2*(SQRT((Inputs!$C$52+(Scenario_Data!B194))^2+Inputs!$C$52^2-2*(Inputs!$C$52+(Scenario_Data!B194))*Inputs!$C$52*COS(SQRT((Scenario_Data!T194)^2+Inputs!$C$6^2)/Inputs!$C$52))*1000)/Inputs!$C$21*1000000</x:f>
        <x:v>2698.110863168117</x:v>
      </x:c>
      <x:c r="AI194" t="n">
        <x:f>Scenario_Data!U194</x:f>
        <x:v>240</x:v>
      </x:c>
      <x:c r="AJ194" t="n">
        <x:f>2*(SQRT((Inputs!$C$52+(Scenario_Data!C194))^2+Inputs!$C$52^2-2*(Inputs!$C$52+(Scenario_Data!C194))*Inputs!$C$52*COS(SQRT((Scenario_Data!U194)^2+Inputs!$C$6^2)/Inputs!$C$52))*1000)/Inputs!$C$21*1000000</x:f>
        <x:v>2023.4253433638573</x:v>
      </x:c>
      <x:c r="AK194" t="n">
        <x:f>Scenario_Data!V194</x:f>
        <x:v>480</x:v>
      </x:c>
      <x:c r="AL194" t="n">
        <x:f>2*(SQRT((Inputs!$C$52+(Scenario_Data!D194))^2+Inputs!$C$52^2-2*(Inputs!$C$52+(Scenario_Data!D194))*Inputs!$C$52*COS(SQRT((Scenario_Data!V194)^2+Inputs!$C$6^2)/Inputs!$C$52))*1000)/Inputs!$C$21*1000000</x:f>
        <x:v>4382.735609610576</x:v>
      </x:c>
      <x:c r="AM194" t="n">
        <x:f>Scenario_Data!W194</x:f>
        <x:v>480</x:v>
      </x:c>
      <x:c r="AN194" t="n">
        <x:f>2*(SQRT((Inputs!$C$52+(Scenario_Data!E194))^2+Inputs!$C$52^2-2*(Inputs!$C$52+(Scenario_Data!E194))*Inputs!$C$52*COS(SQRT((Scenario_Data!W194)^2+Inputs!$C$6^2)/Inputs!$C$52))*1000)/Inputs!$C$21*1000000</x:f>
        <x:v>4353.219632675859</x:v>
      </x:c>
      <x:c r="AP194" t="n">
        <x:f>Scenario_Data!T194</x:f>
        <x:v>36</x:v>
      </x:c>
      <x:c r="AQ194" t="n">
        <x: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x:f>
        <x:v>2696.4463864364902</x:v>
      </x:c>
      <x:c r="AR194" t="n">
        <x:f>Scenario_Data!U194</x:f>
        <x:v>240</x:v>
      </x:c>
      <x:c r="AS194" t="n">
        <x: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x:f>
        <x:v>2022.880167968336</x:v>
      </x:c>
      <x:c r="AT194" t="n">
        <x:f>Scenario_Data!V194</x:f>
        <x:v>480</x:v>
      </x:c>
      <x:c r="AU194" t="n">
        <x: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x:f>
        <x:v>4382.539155040683</x:v>
      </x:c>
      <x:c r="AV194" t="n">
        <x:f>Scenario_Data!W194</x:f>
        <x:v>480</x:v>
      </x:c>
      <x:c r="AW194" t="n">
        <x: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x:f>
        <x:v>4353.025992120449</x:v>
      </x:c>
    </x:row>
    <x:row r="195">
      <x:c r="A195" t="n">
        <x:f>Chart_Data!K195</x:f>
        <x:v>36.5</x:v>
      </x:c>
      <x:c r="B195" t="n">
        <x:f>Chart_Data!N195-Chart_Data!L195</x:f>
        <x:v>-47.58850500560911</x:v>
      </x:c>
      <x:c r="D195" t="n">
        <x:f>Chart_Data!G195</x:f>
        <x:v>36.5</x:v>
      </x:c>
      <x:c r="E195" t="n">
        <x:f>Chart_Data!H195</x:f>
        <x:v>274.3131350022337</x:v>
      </x:c>
      <x:c r="F195" t="n">
        <x:f>Chart_Data!I195</x:f>
        <x:v>274.3131350022337</x:v>
      </x:c>
      <x:c r="G195" t="n">
        <x:f>Chart_Data!J195</x:f>
        <x:v>44.98219479967033</x:v>
      </x:c>
      <x:c r="I195" t="n">
        <x:f>Scenario_Data!A195</x:f>
        <x:v>0.608</x:v>
      </x:c>
      <x:c r="J195" t="n">
        <x:f>Scenario_Data!H195-(((SQRT((Inputs!$C$52+(Inputs!$H$6))^2+Inputs!$C$52^2-2*(Inputs!$C$52+(Inputs!$H$6))*Inputs!$C$52*COS(SQRT((Scenario_Data!T195)^2+Inputs!$C$6^2)/Inputs!$C$52)))-(Inputs!$H$6))*1000/Inputs!$C$12)</x:f>
        <x:v>-4.995883813084447</x:v>
      </x:c>
      <x:c r="K195" t="n">
        <x:f>Scenario_Data!I195-(((SQRT((Inputs!$C$52+(Inputs!$H$7))^2+Inputs!$C$52^2-2*(Inputs!$C$52+(Inputs!$H$7))*Inputs!$C$52*COS(SQRT((Scenario_Data!U195)^2+Inputs!$C$6^2)/Inputs!$C$52)))-(Inputs!$H$7))*1000/Inputs!$C$12)</x:f>
        <x:v>-42752.441205505645</x:v>
      </x:c>
      <x:c r="L195" t="n">
        <x:f>Scenario_Data!J195-(((SQRT((Inputs!$C$52+(Inputs!$H$8))^2+Inputs!$C$52^2-2*(Inputs!$C$52+(Inputs!$H$8))*Inputs!$C$52*COS(SQRT((Scenario_Data!V195)^2+Inputs!$C$6^2)/Inputs!$C$52)))-(Inputs!$H$8))*1000/Inputs!$C$12)</x:f>
        <x:v>-100717.0331168441</x:v>
      </x:c>
      <x:c r="M195" t="n">
        <x:f>Scenario_Data!K195-(((SQRT((Inputs!$C$52+(Inputs!$H$9))^2+Inputs!$C$52^2-2*(Inputs!$C$52+(Inputs!$H$9))*Inputs!$C$52*COS(SQRT((Scenario_Data!W195)^2+Inputs!$C$6^2)/Inputs!$C$52)))-(Inputs!$H$9))*1000/Inputs!$C$12)</x:f>
        <x:v>-104050.49672552545</x:v>
      </x:c>
      <x:c r="O195" t="n">
        <x:f>Scenario_Data!T195</x:f>
        <x:v>36.480000000000004</x:v>
      </x:c>
      <x:c r="P195" t="n">
        <x:f>2*(Scenario_Data!B195*1000)/Inputs!$C$21*1000000</x:f>
        <x:v>2678.377292600203</x:v>
      </x:c>
      <x:c r="Q195" t="n">
        <x:f>Scenario_Data!U195</x:f>
        <x:v>243.20000000000005</x:v>
      </x:c>
      <x:c r="R195" t="n">
        <x:f>2*(Scenario_Data!C195*1000)/Inputs!$C$21*1000000</x:f>
        <x:v>1133.6333217562135</x:v>
      </x:c>
      <x:c r="S195" t="n">
        <x:f>Scenario_Data!V195</x:f>
        <x:v>486.4000000000001</x:v>
      </x:c>
      <x:c r="T195" t="n">
        <x:f>2*(Scenario_Data!D195*1000)/Inputs!$C$21*1000000</x:f>
        <x:v>2613.31297400417</x:v>
      </x:c>
      <x:c r="U195" t="n">
        <x:f>Scenario_Data!W195</x:f>
        <x:v>486.4000000000001</x:v>
      </x:c>
      <x:c r="V195" t="n">
        <x:f>2*(Scenario_Data!E195*1000)/Inputs!$C$21*1000000</x:f>
        <x:v>2571.2614825020055</x:v>
      </x:c>
      <x:c r="X195" t="n">
        <x:f>Scenario_Data!T195</x:f>
        <x:v>36.480000000000004</x:v>
      </x:c>
      <x:c r="Y195" t="n">
        <x: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x:f>
        <x:v>2678.077818920377</x:v>
      </x:c>
      <x:c r="Z195" t="n">
        <x:f>Scenario_Data!U195</x:f>
        <x:v>243.20000000000005</x:v>
      </x:c>
      <x:c r="AA195" t="n">
        <x: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x:f>
        <x:v>1133.2303407408722</x:v>
      </x:c>
      <x:c r="AB195" t="n">
        <x:f>Scenario_Data!V195</x:f>
        <x:v>486.4000000000001</x:v>
      </x:c>
      <x:c r="AC195" t="n">
        <x: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x:f>
        <x:v>2612.9574942317936</x:v>
      </x:c>
      <x:c r="AD195" t="n">
        <x:f>Scenario_Data!W195</x:f>
        <x:v>486.4000000000001</x:v>
      </x:c>
      <x:c r="AE195" t="n">
        <x: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x:f>
        <x:v>2570.906002729629</x:v>
      </x:c>
      <x:c r="AG195" t="n">
        <x:f>Scenario_Data!T195</x:f>
        <x:v>36.480000000000004</x:v>
      </x:c>
      <x:c r="AH195" t="n">
        <x:f>2*(SQRT((Inputs!$C$52+(Scenario_Data!B195))^2+Inputs!$C$52^2-2*(Inputs!$C$52+(Scenario_Data!B195))*Inputs!$C$52*COS(SQRT((Scenario_Data!T195)^2+Inputs!$C$6^2)/Inputs!$C$52))*1000)/Inputs!$C$21*1000000</x:f>
        <x:v>2698.7278698689106</x:v>
      </x:c>
      <x:c r="AI195" t="n">
        <x:f>Scenario_Data!U195</x:f>
        <x:v>243.20000000000005</x:v>
      </x:c>
      <x:c r="AJ195" t="n">
        <x:f>2*(SQRT((Inputs!$C$52+(Scenario_Data!C195))^2+Inputs!$C$52^2-2*(Inputs!$C$52+(Scenario_Data!C195))*Inputs!$C$52*COS(SQRT((Scenario_Data!U195)^2+Inputs!$C$6^2)/Inputs!$C$52))*1000)/Inputs!$C$21*1000000</x:f>
        <x:v>2056.4279743959246</x:v>
      </x:c>
      <x:c r="AK195" t="n">
        <x:f>Scenario_Data!V195</x:f>
        <x:v>486.4000000000001</x:v>
      </x:c>
      <x:c r="AL195" t="n">
        <x:f>2*(SQRT((Inputs!$C$52+(Scenario_Data!D195))^2+Inputs!$C$52^2-2*(Inputs!$C$52+(Scenario_Data!D195))*Inputs!$C$52*COS(SQRT((Scenario_Data!V195)^2+Inputs!$C$6^2)/Inputs!$C$52))*1000)/Inputs!$C$21*1000000</x:f>
        <x:v>4464.245699599919</x:v>
      </x:c>
      <x:c r="AM195" t="n">
        <x:f>Scenario_Data!W195</x:f>
        <x:v>486.4000000000001</x:v>
      </x:c>
      <x:c r="AN195" t="n">
        <x:f>2*(SQRT((Inputs!$C$52+(Scenario_Data!E195))^2+Inputs!$C$52^2-2*(Inputs!$C$52+(Scenario_Data!E195))*Inputs!$C$52*COS(SQRT((Scenario_Data!W195)^2+Inputs!$C$6^2)/Inputs!$C$52))*1000)/Inputs!$C$21*1000000</x:f>
        <x:v>4434.994862669758</x:v>
      </x:c>
      <x:c r="AP195" t="n">
        <x:f>Scenario_Data!T195</x:f>
        <x:v>36.480000000000004</x:v>
      </x:c>
      <x:c r="AQ195" t="n">
        <x: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x:f>
        <x:v>2696.984703352465</x:v>
      </x:c>
      <x:c r="AR195" t="n">
        <x:f>Scenario_Data!U195</x:f>
        <x:v>243.20000000000005</x:v>
      </x:c>
      <x:c r="AS195" t="n">
        <x: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x:f>
        <x:v>2055.916701140966</x:v>
      </x:c>
      <x:c r="AT195" t="n">
        <x:f>Scenario_Data!V195</x:f>
        <x:v>486.4000000000001</x:v>
      </x:c>
      <x:c r="AU195" t="n">
        <x: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x:f>
        <x:v>4463.734853187518</x:v>
      </x:c>
      <x:c r="AV195" t="n">
        <x:f>Scenario_Data!W195</x:f>
        <x:v>486.4000000000001</x:v>
      </x:c>
      <x:c r="AW195" t="n">
        <x: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x:f>
        <x:v>4434.491021465697</x:v>
      </x:c>
    </x:row>
    <x:row r="196">
      <x:c r="A196" t="n">
        <x:f>Chart_Data!K196</x:f>
        <x:v>37</x:v>
      </x:c>
      <x:c r="B196" t="n">
        <x:f>Chart_Data!N196-Chart_Data!L196</x:f>
        <x:v>-61.04391279282535</x:v>
      </x:c>
      <x:c r="D196" t="n">
        <x:f>Chart_Data!G196</x:f>
        <x:v>37</x:v>
      </x:c>
      <x:c r="E196" t="n">
        <x:f>Chart_Data!H196</x:f>
        <x:v>277.26991348245565</x:v>
      </x:c>
      <x:c r="F196" t="n">
        <x:f>Chart_Data!I196</x:f>
        <x:v>277.26991348245565</x:v>
      </x:c>
      <x:c r="G196" t="n">
        <x:f>Chart_Data!J196</x:f>
        <x:v>58.36098804305038</x:v>
      </x:c>
      <x:c r="I196" t="n">
        <x:f>Scenario_Data!A196</x:f>
        <x:v>0.617</x:v>
      </x:c>
      <x:c r="J196" t="n">
        <x:f>Scenario_Data!H196-(((SQRT((Inputs!$C$52+(Inputs!$H$6))^2+Inputs!$C$52^2-2*(Inputs!$C$52+(Inputs!$H$6))*Inputs!$C$52*COS(SQRT((Scenario_Data!T196)^2+Inputs!$C$6^2)/Inputs!$C$52)))-(Inputs!$H$6))*1000/Inputs!$C$12)</x:f>
        <x:v>-5.247404357237883</x:v>
      </x:c>
      <x:c r="K196" t="n">
        <x:f>Scenario_Data!I196-(((SQRT((Inputs!$C$52+(Inputs!$H$7))^2+Inputs!$C$52^2-2*(Inputs!$C$52+(Inputs!$H$7))*Inputs!$C$52*COS(SQRT((Scenario_Data!U196)^2+Inputs!$C$6^2)/Inputs!$C$52)))-(Inputs!$H$7))*1000/Inputs!$C$12)</x:f>
        <x:v>-43869.822519639056</x:v>
      </x:c>
      <x:c r="L196" t="n">
        <x:f>Scenario_Data!J196-(((SQRT((Inputs!$C$52+(Inputs!$H$8))^2+Inputs!$C$52^2-2*(Inputs!$C$52+(Inputs!$H$8))*Inputs!$C$52*COS(SQRT((Scenario_Data!V196)^2+Inputs!$C$6^2)/Inputs!$C$52)))-(Inputs!$H$8))*1000/Inputs!$C$12)</x:f>
        <x:v>-102915.30156679449</x:v>
      </x:c>
      <x:c r="M196" t="n">
        <x:f>Scenario_Data!K196-(((SQRT((Inputs!$C$52+(Inputs!$H$9))^2+Inputs!$C$52^2-2*(Inputs!$C$52+(Inputs!$H$9))*Inputs!$C$52*COS(SQRT((Scenario_Data!W196)^2+Inputs!$C$6^2)/Inputs!$C$52)))-(Inputs!$H$9))*1000/Inputs!$C$12)</x:f>
        <x:v>-106276.42770998081</x:v>
      </x:c>
      <x:c r="O196" t="n">
        <x:f>Scenario_Data!T196</x:f>
        <x:v>37.019999999999996</x:v>
      </x:c>
      <x:c r="P196" t="n">
        <x:f>2*(Scenario_Data!B196*1000)/Inputs!$C$21*1000000</x:f>
        <x:v>2678.6714961321677</x:v>
      </x:c>
      <x:c r="Q196" t="n">
        <x:f>Scenario_Data!U196</x:f>
        <x:v>246.79999999999995</x:v>
      </x:c>
      <x:c r="R196" t="n">
        <x:f>2*(Scenario_Data!C196*1000)/Inputs!$C$21*1000000</x:f>
        <x:v>1160.4793940479979</x:v>
      </x:c>
      <x:c r="S196" t="n">
        <x:f>Scenario_Data!V196</x:f>
        <x:v>493.5999999999999</x:v>
      </x:c>
      <x:c r="T196" t="n">
        <x:f>2*(Scenario_Data!D196*1000)/Inputs!$C$21*1000000</x:f>
        <x:v>2684.289576090669</x:v>
      </x:c>
      <x:c r="U196" t="n">
        <x:f>Scenario_Data!W196</x:f>
        <x:v>493.5999999999999</x:v>
      </x:c>
      <x:c r="V196" t="n">
        <x:f>2*(Scenario_Data!E196*1000)/Inputs!$C$21*1000000</x:f>
        <x:v>2642.973593418417</x:v>
      </x:c>
      <x:c r="X196" t="n">
        <x:f>Scenario_Data!T196</x:f>
        <x:v>37.019999999999996</x:v>
      </x:c>
      <x:c r="Y196" t="n">
        <x: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x:f>
        <x:v>2678.257267408554</x:v>
      </x:c>
      <x:c r="Z196" t="n">
        <x:f>Scenario_Data!U196</x:f>
        <x:v>246.79999999999995</x:v>
      </x:c>
      <x:c r="AA196" t="n">
        <x: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x:f>
        <x:v>1160.442414389766</x:v>
      </x:c>
      <x:c r="AB196" t="n">
        <x:f>Scenario_Data!V196</x:f>
        <x:v>493.5999999999999</x:v>
      </x:c>
      <x:c r="AC196" t="n">
        <x: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x:f>
        <x:v>2683.9185129860057</x:v>
      </x:c>
      <x:c r="AD196" t="n">
        <x:f>Scenario_Data!W196</x:f>
        <x:v>493.5999999999999</x:v>
      </x:c>
      <x:c r="AE196" t="n">
        <x: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x:f>
        <x:v>2642.6025303137535</x:v>
      </x:c>
      <x:c r="AG196" t="n">
        <x:f>Scenario_Data!T196</x:f>
        <x:v>37.019999999999996</x:v>
      </x:c>
      <x:c r="AH196" t="n">
        <x:f>2*(SQRT((Inputs!$C$52+(Scenario_Data!B196))^2+Inputs!$C$52^2-2*(Inputs!$C$52+(Scenario_Data!B196))*Inputs!$C$52*COS(SQRT((Scenario_Data!T196)^2+Inputs!$C$6^2)/Inputs!$C$52))*1000)/Inputs!$C$21*1000000</x:f>
        <x:v>2699.43164499259</x:v>
      </x:c>
      <x:c r="AI196" t="n">
        <x:f>Scenario_Data!U196</x:f>
        <x:v>246.79999999999995</x:v>
      </x:c>
      <x:c r="AJ196" t="n">
        <x:f>2*(SQRT((Inputs!$C$52+(Scenario_Data!C196))^2+Inputs!$C$52^2-2*(Inputs!$C$52+(Scenario_Data!C196))*Inputs!$C$52*COS(SQRT((Scenario_Data!U196)^2+Inputs!$C$6^2)/Inputs!$C$52))*1000)/Inputs!$C$21*1000000</x:f>
        <x:v>2093.854163760291</x:v>
      </x:c>
      <x:c r="AK196" t="n">
        <x:f>Scenario_Data!V196</x:f>
        <x:v>493.5999999999999</x:v>
      </x:c>
      <x:c r="AL196" t="n">
        <x:f>2*(SQRT((Inputs!$C$52+(Scenario_Data!D196))^2+Inputs!$C$52^2-2*(Inputs!$C$52+(Scenario_Data!D196))*Inputs!$C$52*COS(SQRT((Scenario_Data!V196)^2+Inputs!$C$6^2)/Inputs!$C$52))*1000)/Inputs!$C$21*1000000</x:f>
        <x:v>4556.906145812415</x:v>
      </x:c>
      <x:c r="AM196" t="n">
        <x:f>Scenario_Data!W196</x:f>
        <x:v>493.5999999999999</x:v>
      </x:c>
      <x:c r="AN196" t="n">
        <x:f>2*(SQRT((Inputs!$C$52+(Scenario_Data!E196))^2+Inputs!$C$52^2-2*(Inputs!$C$52+(Scenario_Data!E196))*Inputs!$C$52*COS(SQRT((Scenario_Data!W196)^2+Inputs!$C$6^2)/Inputs!$C$52))*1000)/Inputs!$C$21*1000000</x:f>
        <x:v>4527.970342892097</x:v>
      </x:c>
      <x:c r="AP196" t="n">
        <x:f>Scenario_Data!T196</x:f>
        <x:v>37.019999999999996</x:v>
      </x:c>
      <x:c r="AQ196" t="n">
        <x: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x:f>
        <x:v>2697.5027559631244</x:v>
      </x:c>
      <x:c r="AR196" t="n">
        <x:f>Scenario_Data!U196</x:f>
        <x:v>246.79999999999995</x:v>
      </x:c>
      <x:c r="AS196" t="n">
        <x: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x:f>
        <x:v>2093.535999451723</x:v>
      </x:c>
      <x:c r="AT196" t="n">
        <x:f>Scenario_Data!V196</x:f>
        <x:v>493.5999999999999</x:v>
      </x:c>
      <x:c r="AU196" t="n">
        <x: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x:f>
        <x:v>4556.388569519348</x:v>
      </x:c>
      <x:c r="AV196" t="n">
        <x:f>Scenario_Data!W196</x:f>
        <x:v>493.5999999999999</x:v>
      </x:c>
      <x:c r="AW196" t="n">
        <x: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x:f>
        <x:v>4527.459520818479</x:v>
      </x:c>
    </x:row>
    <x:row r="197">
      <x:c r="A197" t="n">
        <x:f>Chart_Data!K197</x:f>
        <x:v>37.5</x:v>
      </x:c>
      <x:c r="B197" t="n">
        <x:f>Chart_Data!N197-Chart_Data!L197</x:f>
        <x:v>-58.84680272570924</x:v>
      </x:c>
      <x:c r="D197" t="n">
        <x:f>Chart_Data!G197</x:f>
        <x:v>37.5</x:v>
      </x:c>
      <x:c r="E197" t="n">
        <x:f>Chart_Data!H197</x:f>
        <x:v>280.6842863692354</x:v>
      </x:c>
      <x:c r="F197" t="n">
        <x:f>Chart_Data!I197</x:f>
        <x:v>280.6842863692354</x:v>
      </x:c>
      <x:c r="G197" t="n">
        <x:f>Chart_Data!J197</x:f>
        <x:v>56.08108474403666</x:v>
      </x:c>
      <x:c r="I197" t="n">
        <x:f>Scenario_Data!A197</x:f>
        <x:v>0.625</x:v>
      </x:c>
      <x:c r="J197" t="n">
        <x:f>Scenario_Data!H197-(((SQRT((Inputs!$C$52+(Inputs!$H$6))^2+Inputs!$C$52^2-2*(Inputs!$C$52+(Inputs!$H$6))*Inputs!$C$52*COS(SQRT((Scenario_Data!T197)^2+Inputs!$C$6^2)/Inputs!$C$52)))-(Inputs!$H$6))*1000/Inputs!$C$12)</x:f>
        <x:v>-5.479103372775171</x:v>
      </x:c>
      <x:c r="K197" t="n">
        <x:f>Scenario_Data!I197-(((SQRT((Inputs!$C$52+(Inputs!$H$7))^2+Inputs!$C$52^2-2*(Inputs!$C$52+(Inputs!$H$7))*Inputs!$C$52*COS(SQRT((Scenario_Data!U197)^2+Inputs!$C$6^2)/Inputs!$C$52)))-(Inputs!$H$7))*1000/Inputs!$C$12)</x:f>
        <x:v>-44869.024435891464</x:v>
      </x:c>
      <x:c r="L197" t="n">
        <x:f>Scenario_Data!J197-(((SQRT((Inputs!$C$52+(Inputs!$H$8))^2+Inputs!$C$52^2-2*(Inputs!$C$52+(Inputs!$H$8))*Inputs!$C$52*COS(SQRT((Scenario_Data!V197)^2+Inputs!$C$6^2)/Inputs!$C$52)))-(Inputs!$H$8))*1000/Inputs!$C$12)</x:f>
        <x:v>-104869.82387216578</x:v>
      </x:c>
      <x:c r="M197" t="n">
        <x:f>Scenario_Data!K197-(((SQRT((Inputs!$C$52+(Inputs!$H$9))^2+Inputs!$C$52^2-2*(Inputs!$C$52+(Inputs!$H$9))*Inputs!$C$52*COS(SQRT((Scenario_Data!W197)^2+Inputs!$C$6^2)/Inputs!$C$52)))-(Inputs!$H$9))*1000/Inputs!$C$12)</x:f>
        <x:v>-108254.93665267841</x:v>
      </x:c>
      <x:c r="O197" t="n">
        <x:f>Scenario_Data!T197</x:f>
        <x:v>37.5</x:v>
      </x:c>
      <x:c r="P197" t="n">
        <x:f>2*(Scenario_Data!B197*1000)/Inputs!$C$21*1000000</x:f>
        <x:v>2678.9366395601587</x:v>
      </x:c>
      <x:c r="Q197" t="n">
        <x:f>Scenario_Data!U197</x:f>
        <x:v>250</x:v>
      </x:c>
      <x:c r="R197" t="n">
        <x:f>2*(Scenario_Data!C197*1000)/Inputs!$C$21*1000000</x:f>
        <x:v>1184.6737318521868</x:v>
      </x:c>
      <x:c r="S197" t="n">
        <x:f>Scenario_Data!V197</x:f>
        <x:v>500</x:v>
      </x:c>
      <x:c r="T197" t="n">
        <x:f>2*(Scenario_Data!D197*1000)/Inputs!$C$21*1000000</x:f>
        <x:v>2748.2554280935246</x:v>
      </x:c>
      <x:c r="U197" t="n">
        <x:f>Scenario_Data!W197</x:f>
        <x:v>500</x:v>
      </x:c>
      <x:c r="V197" t="n">
        <x:f>2*(Scenario_Data!E197*1000)/Inputs!$C$21*1000000</x:f>
        <x:v>2707.6023039912498</x:v>
      </x:c>
      <x:c r="X197" t="n">
        <x:f>Scenario_Data!T197</x:f>
        <x:v>37.5</x:v>
      </x:c>
      <x:c r="Y197" t="n">
        <x: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x:f>
        <x:v>2678.562506834351</x:v>
      </x:c>
      <x:c r="Z197" t="n">
        <x:f>Scenario_Data!U197</x:f>
        <x:v>250</x:v>
      </x:c>
      <x:c r="AA197" t="n">
        <x: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x:f>
        <x:v>1184.7688552263792</x:v>
      </x:c>
      <x:c r="AB197" t="n">
        <x:f>Scenario_Data!V197</x:f>
        <x:v>500</x:v>
      </x:c>
      <x:c r="AC197" t="n">
        <x: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x:f>
        <x:v>2748.1539582175906</x:v>
      </x:c>
      <x:c r="AD197" t="n">
        <x:f>Scenario_Data!W197</x:f>
        <x:v>500</x:v>
      </x:c>
      <x:c r="AE197" t="n">
        <x: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x:f>
        <x:v>2707.5008341153157</x:v>
      </x:c>
      <x:c r="AG197" t="n">
        <x:f>Scenario_Data!T197</x:f>
        <x:v>37.5</x:v>
      </x:c>
      <x:c r="AH197" t="n">
        <x:f>2*(SQRT((Inputs!$C$52+(Scenario_Data!B197))^2+Inputs!$C$52^2-2*(Inputs!$C$52+(Scenario_Data!B197))*Inputs!$C$52*COS(SQRT((Scenario_Data!T197)^2+Inputs!$C$6^2)/Inputs!$C$52))*1000)/Inputs!$C$21*1000000</x:f>
        <x:v>2700.065789554835</x:v>
      </x:c>
      <x:c r="AI197" t="n">
        <x:f>Scenario_Data!U197</x:f>
        <x:v>250</x:v>
      </x:c>
      <x:c r="AJ197" t="n">
        <x:f>2*(SQRT((Inputs!$C$52+(Scenario_Data!C197))^2+Inputs!$C$52^2-2*(Inputs!$C$52+(Scenario_Data!C197))*Inputs!$C$52*COS(SQRT((Scenario_Data!U197)^2+Inputs!$C$6^2)/Inputs!$C$52))*1000)/Inputs!$C$21*1000000</x:f>
        <x:v>2127.3887833117165</x:v>
      </x:c>
      <x:c r="AK197" t="n">
        <x:f>Scenario_Data!V197</x:f>
        <x:v>500</x:v>
      </x:c>
      <x:c r="AL197" t="n">
        <x:f>2*(SQRT((Inputs!$C$52+(Scenario_Data!D197))^2+Inputs!$C$52^2-2*(Inputs!$C$52+(Scenario_Data!D197))*Inputs!$C$52*COS(SQRT((Scenario_Data!V197)^2+Inputs!$C$6^2)/Inputs!$C$52))*1000)/Inputs!$C$21*1000000</x:f>
        <x:v>4640.130126474501</x:v>
      </x:c>
      <x:c r="AM197" t="n">
        <x:f>Scenario_Data!W197</x:f>
        <x:v>500</x:v>
      </x:c>
      <x:c r="AN197" t="n">
        <x:f>2*(SQRT((Inputs!$C$52+(Scenario_Data!E197))^2+Inputs!$C$52^2-2*(Inputs!$C$52+(Scenario_Data!E197))*Inputs!$C$52*COS(SQRT((Scenario_Data!W197)^2+Inputs!$C$6^2)/Inputs!$C$52))*1000)/Inputs!$C$21*1000000</x:f>
        <x:v>4611.489216623593</x:v>
      </x:c>
      <x:c r="AP197" t="n">
        <x:f>Scenario_Data!T197</x:f>
        <x:v>37.5</x:v>
      </x:c>
      <x:c r="AQ197" t="n">
        <x: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x:f>
        <x:v>2698.211716438776</x:v>
      </x:c>
      <x:c r="AR197" t="n">
        <x:f>Scenario_Data!U197</x:f>
        <x:v>250</x:v>
      </x:c>
      <x:c r="AS197" t="n">
        <x: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x:f>
        <x:v>2127.089015227387</x:v>
      </x:c>
      <x:c r="AT197" t="n">
        <x:f>Scenario_Data!V197</x:f>
        <x:v>500</x:v>
      </x:c>
      <x:c r="AU197" t="n">
        <x: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x:f>
        <x:v>4639.808507150277</x:v>
      </x:c>
      <x:c r="AV197" t="n">
        <x:f>Scenario_Data!W197</x:f>
        <x:v>500</x:v>
      </x:c>
      <x:c r="AW197" t="n">
        <x: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x:f>
        <x:v>4611.171611868267</x:v>
      </x:c>
    </x:row>
    <x:row r="198">
      <x:c r="A198" t="n">
        <x:f>Chart_Data!K198</x:f>
        <x:v>38</x:v>
      </x:c>
      <x:c r="B198" t="n">
        <x:f>Chart_Data!N198-Chart_Data!L198</x:f>
        <x:v>-77.72439146435559</x:v>
      </x:c>
      <x:c r="D198" t="n">
        <x:f>Chart_Data!G198</x:f>
        <x:v>38</x:v>
      </x:c>
      <x:c r="E198" t="n">
        <x:f>Chart_Data!H198</x:f>
        <x:v>282.3717678695042</x:v>
      </x:c>
      <x:c r="F198" t="n">
        <x:f>Chart_Data!I198</x:f>
        <x:v>282.3717678695042</x:v>
      </x:c>
      <x:c r="G198" t="n">
        <x:f>Chart_Data!J198</x:f>
        <x:v>74.89136844725374</x:v>
      </x:c>
      <x:c r="I198" t="n">
        <x:f>Scenario_Data!A198</x:f>
        <x:v>0.633</x:v>
      </x:c>
      <x:c r="J198" t="n">
        <x:f>Scenario_Data!H198-(((SQRT((Inputs!$C$52+(Inputs!$H$6))^2+Inputs!$C$52^2-2*(Inputs!$C$52+(Inputs!$H$6))*Inputs!$C$52*COS(SQRT((Scenario_Data!T198)^2+Inputs!$C$6^2)/Inputs!$C$52)))-(Inputs!$H$6))*1000/Inputs!$C$12)</x:f>
        <x:v>-5.718636339065142</x:v>
      </x:c>
      <x:c r="K198" t="n">
        <x:f>Scenario_Data!I198-(((SQRT((Inputs!$C$52+(Inputs!$H$7))^2+Inputs!$C$52^2-2*(Inputs!$C$52+(Inputs!$H$7))*Inputs!$C$52*COS(SQRT((Scenario_Data!U198)^2+Inputs!$C$6^2)/Inputs!$C$52)))-(Inputs!$H$7))*1000/Inputs!$C$12)</x:f>
        <x:v>-45873.67978905518</x:v>
      </x:c>
      <x:c r="L198" t="n">
        <x:f>Scenario_Data!J198-(((SQRT((Inputs!$C$52+(Inputs!$H$8))^2+Inputs!$C$52^2-2*(Inputs!$C$52+(Inputs!$H$8))*Inputs!$C$52*COS(SQRT((Scenario_Data!V198)^2+Inputs!$C$6^2)/Inputs!$C$52)))-(Inputs!$H$8))*1000/Inputs!$C$12)</x:f>
        <x:v>-106824.4548063119</x:v>
      </x:c>
      <x:c r="M198" t="n">
        <x:f>Scenario_Data!K198-(((SQRT((Inputs!$C$52+(Inputs!$H$9))^2+Inputs!$C$52^2-2*(Inputs!$C$52+(Inputs!$H$9))*Inputs!$C$52*COS(SQRT((Scenario_Data!W198)^2+Inputs!$C$6^2)/Inputs!$C$52)))-(Inputs!$H$9))*1000/Inputs!$C$12)</x:f>
        <x:v>-110232.99428005761</x:v>
      </x:c>
      <x:c r="O198" t="n">
        <x:f>Scenario_Data!T198</x:f>
        <x:v>37.980000000000004</x:v>
      </x:c>
      <x:c r="P198" t="n">
        <x:f>2*(Scenario_Data!B198*1000)/Inputs!$C$21*1000000</x:f>
        <x:v>2679.205198684485</x:v>
      </x:c>
      <x:c r="Q198" t="n">
        <x:f>Scenario_Data!U198</x:f>
        <x:v>253.20000000000005</x:v>
      </x:c>
      <x:c r="R198" t="n">
        <x:f>2*(Scenario_Data!C198*1000)/Inputs!$C$21*1000000</x:f>
        <x:v>1209.1797519469292</x:v>
      </x:c>
      <x:c r="S198" t="n">
        <x:f>Scenario_Data!V198</x:f>
        <x:v>506.4000000000001</x:v>
      </x:c>
      <x:c r="T198" t="n">
        <x:f>2*(Scenario_Data!D198*1000)/Inputs!$C$21*1000000</x:f>
        <x:v>2813.0453168371578</x:v>
      </x:c>
      <x:c r="U198" t="n">
        <x:f>Scenario_Data!W198</x:f>
        <x:v>506.4000000000001</x:v>
      </x:c>
      <x:c r="V198" t="n">
        <x:f>2*(Scenario_Data!E198*1000)/Inputs!$C$21*1000000</x:f>
        <x:v>2773.0635905456975</x:v>
      </x:c>
      <x:c r="X198" t="n">
        <x:f>Scenario_Data!T198</x:f>
        <x:v>37.980000000000004</x:v>
      </x:c>
      <x:c r="Y198" t="n">
        <x: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x:f>
        <x:v>2678.7296092144975</x:v>
      </x:c>
      <x:c r="Z198" t="n">
        <x:f>Scenario_Data!U198</x:f>
        <x:v>253.20000000000005</x:v>
      </x:c>
      <x:c r="AA198" t="n">
        <x: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x:f>
        <x:v>1208.9011254281424</x:v>
      </x:c>
      <x:c r="AB198" t="n">
        <x:f>Scenario_Data!V198</x:f>
        <x:v>506.4000000000001</x:v>
      </x:c>
      <x:c r="AC198" t="n">
        <x: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x:f>
        <x:v>2812.643021194951</x:v>
      </x:c>
      <x:c r="AD198" t="n">
        <x:f>Scenario_Data!W198</x:f>
        <x:v>506.4000000000001</x:v>
      </x:c>
      <x:c r="AE198" t="n">
        <x: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x:f>
        <x:v>2772.661294903491</x:v>
      </x:c>
      <x:c r="AG198" t="n">
        <x:f>Scenario_Data!T198</x:f>
        <x:v>37.980000000000004</x:v>
      </x:c>
      <x:c r="AH198" t="n">
        <x:f>2*(SQRT((Inputs!$C$52+(Scenario_Data!B198))^2+Inputs!$C$52^2-2*(Inputs!$C$52+(Scenario_Data!B198))*Inputs!$C$52*COS(SQRT((Scenario_Data!T198)^2+Inputs!$C$6^2)/Inputs!$C$52))*1000)/Inputs!$C$21*1000000</x:f>
        <x:v>2700.7079925706203</x:v>
      </x:c>
      <x:c r="AI198" t="n">
        <x:f>Scenario_Data!U198</x:f>
        <x:v>253.20000000000005</x:v>
      </x:c>
      <x:c r="AJ198" t="n">
        <x:f>2*(SQRT((Inputs!$C$52+(Scenario_Data!C198))^2+Inputs!$C$52^2-2*(Inputs!$C$52+(Scenario_Data!C198))*Inputs!$C$52*COS(SQRT((Scenario_Data!U198)^2+Inputs!$C$6^2)/Inputs!$C$52))*1000)/Inputs!$C$21*1000000</x:f>
        <x:v>2161.1762766414804</x:v>
      </x:c>
      <x:c r="AK198" t="n">
        <x:f>Scenario_Data!V198</x:f>
        <x:v>506.4000000000001</x:v>
      </x:c>
      <x:c r="AL198" t="n">
        <x:f>2*(SQRT((Inputs!$C$52+(Scenario_Data!D198))^2+Inputs!$C$52^2-2*(Inputs!$C$52+(Scenario_Data!D198))*Inputs!$C$52*COS(SQRT((Scenario_Data!V198)^2+Inputs!$C$6^2)/Inputs!$C$52))*1000)/Inputs!$C$21*1000000</x:f>
        <x:v>4724.1667239784065</x:v>
      </x:c>
      <x:c r="AM198" t="n">
        <x:f>Scenario_Data!W198</x:f>
        <x:v>506.4000000000001</x:v>
      </x:c>
      <x:c r="AN198" t="n">
        <x:f>2*(SQRT((Inputs!$C$52+(Scenario_Data!E198))^2+Inputs!$C$52^2-2*(Inputs!$C$52+(Scenario_Data!E198))*Inputs!$C$52*COS(SQRT((Scenario_Data!W198)^2+Inputs!$C$6^2)/Inputs!$C$52))*1000)/Inputs!$C$21*1000000</x:f>
        <x:v>4695.8346660074885</x:v>
      </x:c>
      <x:c r="AP198" t="n">
        <x:f>Scenario_Data!T198</x:f>
        <x:v>37.980000000000004</x:v>
      </x:c>
      <x:c r="AQ198" t="n">
        <x: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x:f>
        <x:v>2698.7445748679534</x:v>
      </x:c>
      <x:c r="AR198" t="n">
        <x:f>Scenario_Data!U198</x:f>
        <x:v>253.20000000000005</x:v>
      </x:c>
      <x:c r="AS198" t="n">
        <x: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x:f>
        <x:v>2160.681927524224</x:v>
      </x:c>
      <x:c r="AT198" t="n">
        <x:f>Scenario_Data!V198</x:f>
        <x:v>506.4000000000001</x:v>
      </x:c>
      <x:c r="AU198" t="n">
        <x: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x:f>
        <x:v>4723.475434804295</x:v>
      </x:c>
      <x:c r="AV198" t="n">
        <x:f>Scenario_Data!W198</x:f>
        <x:v>506.4000000000001</x:v>
      </x:c>
      <x:c r="AW198" t="n">
        <x: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x:f>
        <x:v>4695.15163279323</x:v>
      </x:c>
    </x:row>
    <x:row r="199">
      <x:c r="A199" t="n">
        <x:f>Chart_Data!K199</x:f>
        <x:v>38.5</x:v>
      </x:c>
      <x:c r="B199" t="n">
        <x:f>Chart_Data!N199-Chart_Data!L199</x:f>
        <x:v>-84.40826877550307</x:v>
      </x:c>
      <x:c r="D199" t="n">
        <x:f>Chart_Data!G199</x:f>
        <x:v>38.5</x:v>
      </x:c>
      <x:c r="E199" t="n">
        <x:f>Chart_Data!H199</x:f>
        <x:v>311.18191933727104</x:v>
      </x:c>
      <x:c r="F199" t="n">
        <x:f>Chart_Data!I199</x:f>
        <x:v>311.18191933727104</x:v>
      </x:c>
      <x:c r="G199" t="n">
        <x:f>Chart_Data!J199</x:f>
        <x:v>81.22943665181958</x:v>
      </x:c>
      <x:c r="I199" t="n">
        <x:f>Scenario_Data!A199</x:f>
        <x:v>0.642</x:v>
      </x:c>
      <x:c r="J199" t="n">
        <x:f>Scenario_Data!H199-(((SQRT((Inputs!$C$52+(Inputs!$H$6))^2+Inputs!$C$52^2-2*(Inputs!$C$52+(Inputs!$H$6))*Inputs!$C$52*COS(SQRT((Scenario_Data!T199)^2+Inputs!$C$6^2)/Inputs!$C$52)))-(Inputs!$H$6))*1000/Inputs!$C$12)</x:f>
        <x:v>-5.997700776976217</x:v>
      </x:c>
      <x:c r="K199" t="n">
        <x:f>Scenario_Data!I199-(((SQRT((Inputs!$C$52+(Inputs!$H$7))^2+Inputs!$C$52^2-2*(Inputs!$C$52+(Inputs!$H$7))*Inputs!$C$52*COS(SQRT((Scenario_Data!U199)^2+Inputs!$C$6^2)/Inputs!$C$52)))-(Inputs!$H$7))*1000/Inputs!$C$12)</x:f>
        <x:v>-47010.23695345006</x:v>
      </x:c>
      <x:c r="L199" t="n">
        <x:f>Scenario_Data!J199-(((SQRT((Inputs!$C$52+(Inputs!$H$8))^2+Inputs!$C$52^2-2*(Inputs!$C$52+(Inputs!$H$8))*Inputs!$C$52*COS(SQRT((Scenario_Data!V199)^2+Inputs!$C$6^2)/Inputs!$C$52)))-(Inputs!$H$8))*1000/Inputs!$C$12)</x:f>
        <x:v>-109023.11773384197</x:v>
      </x:c>
      <x:c r="M199" t="n">
        <x:f>Scenario_Data!K199-(((SQRT((Inputs!$C$52+(Inputs!$H$9))^2+Inputs!$C$52^2-2*(Inputs!$C$52+(Inputs!$H$9))*Inputs!$C$52*COS(SQRT((Scenario_Data!W199)^2+Inputs!$C$6^2)/Inputs!$C$52)))-(Inputs!$H$9))*1000/Inputs!$C$12)</x:f>
        <x:v>-112457.3512933722</x:v>
      </x:c>
      <x:c r="O199" t="n">
        <x:f>Scenario_Data!T199</x:f>
        <x:v>38.519999999999996</x:v>
      </x:c>
      <x:c r="P199" t="n">
        <x:f>2*(Scenario_Data!B199*1000)/Inputs!$C$21*1000000</x:f>
        <x:v>2679.5114105238763</x:v>
      </x:c>
      <x:c r="Q199" t="n">
        <x:f>Scenario_Data!U199</x:f>
        <x:v>256.79999999999995</x:v>
      </x:c>
      <x:c r="R199" t="n">
        <x:f>2*(Scenario_Data!C199*1000)/Inputs!$C$21*1000000</x:f>
        <x:v>1237.1215822914396</x:v>
      </x:c>
      <x:c r="S199" t="n">
        <x:f>Scenario_Data!V199</x:f>
        <x:v>513.5999999999999</x:v>
      </x:c>
      <x:c r="T199" t="n">
        <x:f>2*(Scenario_Data!D199*1000)/Inputs!$C$21*1000000</x:f>
        <x:v>2886.918923090452</x:v>
      </x:c>
      <x:c r="U199" t="n">
        <x:f>Scenario_Data!W199</x:f>
        <x:v>513.5999999999999</x:v>
      </x:c>
      <x:c r="V199" t="n">
        <x:f>2*(Scenario_Data!E199*1000)/Inputs!$C$21*1000000</x:f>
        <x:v>2847.7027263974724</x:v>
      </x:c>
      <x:c r="X199" t="n">
        <x:f>Scenario_Data!T199</x:f>
        <x:v>38.519999999999996</x:v>
      </x:c>
      <x:c r="Y199" t="n">
        <x: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x:f>
        <x:v>2678.9468219985</x:v>
      </x:c>
      <x:c r="Z199" t="n">
        <x:f>Scenario_Data!U199</x:f>
        <x:v>256.79999999999995</x:v>
      </x:c>
      <x:c r="AA199" t="n">
        <x: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x:f>
        <x:v>1236.442375381141</x:v>
      </x:c>
      <x:c r="AB199" t="n">
        <x:f>Scenario_Data!V199</x:f>
        <x:v>513.5999999999999</x:v>
      </x:c>
      <x:c r="AC199" t="n">
        <x: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x:f>
        <x:v>2886.745461194615</x:v>
      </x:c>
      <x:c r="AD199" t="n">
        <x:f>Scenario_Data!W199</x:f>
        <x:v>513.5999999999999</x:v>
      </x:c>
      <x:c r="AE199" t="n">
        <x: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x:f>
        <x:v>2847.5292645016348</x:v>
      </x:c>
      <x:c r="AG199" t="n">
        <x:f>Scenario_Data!T199</x:f>
        <x:v>38.519999999999996</x:v>
      </x:c>
      <x:c r="AH199" t="n">
        <x:f>2*(SQRT((Inputs!$C$52+(Scenario_Data!B199))^2+Inputs!$C$52^2-2*(Inputs!$C$52+(Scenario_Data!B199))*Inputs!$C$52*COS(SQRT((Scenario_Data!T199)^2+Inputs!$C$6^2)/Inputs!$C$52))*1000)/Inputs!$C$21*1000000</x:f>
        <x:v>2701.440098131209</x:v>
      </x:c>
      <x:c r="AI199" t="n">
        <x:f>Scenario_Data!U199</x:f>
        <x:v>256.79999999999995</x:v>
      </x:c>
      <x:c r="AJ199" t="n">
        <x:f>2*(SQRT((Inputs!$C$52+(Scenario_Data!C199))^2+Inputs!$C$52^2-2*(Inputs!$C$52+(Scenario_Data!C199))*Inputs!$C$52*COS(SQRT((Scenario_Data!U199)^2+Inputs!$C$6^2)/Inputs!$C$52))*1000)/Inputs!$C$21*1000000</x:f>
        <x:v>2199.4914513372773</x:v>
      </x:c>
      <x:c r="AK199" t="n">
        <x:f>Scenario_Data!V199</x:f>
        <x:v>513.5999999999999</x:v>
      </x:c>
      <x:c r="AL199" t="n">
        <x:f>2*(SQRT((Inputs!$C$52+(Scenario_Data!D199))^2+Inputs!$C$52^2-2*(Inputs!$C$52+(Scenario_Data!D199))*Inputs!$C$52*COS(SQRT((Scenario_Data!V199)^2+Inputs!$C$6^2)/Inputs!$C$52))*1000)/Inputs!$C$21*1000000</x:f>
        <x:v>4819.683887182147</x:v>
      </x:c>
      <x:c r="AM199" t="n">
        <x:f>Scenario_Data!W199</x:f>
        <x:v>513.5999999999999</x:v>
      </x:c>
      <x:c r="AN199" t="n">
        <x:f>2*(SQRT((Inputs!$C$52+(Scenario_Data!E199))^2+Inputs!$C$52^2-2*(Inputs!$C$52+(Scenario_Data!E199))*Inputs!$C$52*COS(SQRT((Scenario_Data!W199)^2+Inputs!$C$6^2)/Inputs!$C$52))*1000)/Inputs!$C$21*1000000</x:f>
        <x:v>4791.715932694854</x:v>
      </x:c>
      <x:c r="AP199" t="n">
        <x:f>Scenario_Data!T199</x:f>
        <x:v>38.519999999999996</x:v>
      </x:c>
      <x:c r="AQ199" t="n">
        <x: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x:f>
        <x:v>2699.550750181976</x:v>
      </x:c>
      <x:c r="AR199" t="n">
        <x:f>Scenario_Data!U199</x:f>
        <x:v>256.79999999999995</x:v>
      </x:c>
      <x:c r="AS199" t="n">
        <x: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x:f>
        <x:v>2198.86700095953</x:v>
      </x:c>
      <x:c r="AT199" t="n">
        <x:f>Scenario_Data!V199</x:f>
        <x:v>513.5999999999999</x:v>
      </x:c>
      <x:c r="AU199" t="n">
        <x: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x:f>
        <x:v>4819.254362723023</x:v>
      </x:c>
      <x:c r="AV199" t="n">
        <x:f>Scenario_Data!W199</x:f>
        <x:v>513.5999999999999</x:v>
      </x:c>
      <x:c r="AW199" t="n">
        <x: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x:f>
        <x:v>4791.291285020115</x:v>
      </x:c>
    </x:row>
    <x:row r="200">
      <x:c r="A200" t="n">
        <x:f>Chart_Data!K200</x:f>
        <x:v>39</x:v>
      </x:c>
      <x:c r="B200" t="n">
        <x:f>Chart_Data!N200-Chart_Data!L200</x:f>
        <x:v>-85.90700470954434</x:v>
      </x:c>
      <x:c r="D200" t="n">
        <x:f>Chart_Data!G200</x:f>
        <x:v>39</x:v>
      </x:c>
      <x:c r="E200" t="n">
        <x:f>Chart_Data!H200</x:f>
        <x:v>302.8435496777789</x:v>
      </x:c>
      <x:c r="F200" t="n">
        <x:f>Chart_Data!I200</x:f>
        <x:v>302.8435496777789</x:v>
      </x:c>
      <x:c r="G200" t="n">
        <x:f>Chart_Data!J200</x:f>
        <x:v>82.75771702731363</x:v>
      </x:c>
      <x:c r="I200" t="n">
        <x:f>Scenario_Data!A200</x:f>
        <x:v>0.65</x:v>
      </x:c>
      <x:c r="J200" t="n">
        <x:f>Scenario_Data!H200-(((SQRT((Inputs!$C$52+(Inputs!$H$6))^2+Inputs!$C$52^2-2*(Inputs!$C$52+(Inputs!$H$6))*Inputs!$C$52*COS(SQRT((Scenario_Data!T200)^2+Inputs!$C$6^2)/Inputs!$C$52)))-(Inputs!$H$6))*1000/Inputs!$C$12)</x:f>
        <x:v>-6.254485391421895</x:v>
      </x:c>
      <x:c r="K200" t="n">
        <x:f>Scenario_Data!I200-(((SQRT((Inputs!$C$52+(Inputs!$H$7))^2+Inputs!$C$52^2-2*(Inputs!$C$52+(Inputs!$H$7))*Inputs!$C$52*COS(SQRT((Scenario_Data!U200)^2+Inputs!$C$6^2)/Inputs!$C$52)))-(Inputs!$H$7))*1000/Inputs!$C$12)</x:f>
        <x:v>-48025.954152811115</x:v>
      </x:c>
      <x:c r="L200" t="n">
        <x:f>Scenario_Data!J200-(((SQRT((Inputs!$C$52+(Inputs!$H$8))^2+Inputs!$C$52^2-2*(Inputs!$C$52+(Inputs!$H$8))*Inputs!$C$52*COS(SQRT((Scenario_Data!V200)^2+Inputs!$C$6^2)/Inputs!$C$52)))-(Inputs!$H$8))*1000/Inputs!$C$12)</x:f>
        <x:v>-110976.85216755129</x:v>
      </x:c>
      <x:c r="M200" t="n">
        <x:f>Scenario_Data!K200-(((SQRT((Inputs!$C$52+(Inputs!$H$9))^2+Inputs!$C$52^2-2*(Inputs!$C$52+(Inputs!$H$9))*Inputs!$C$52*COS(SQRT((Scenario_Data!W200)^2+Inputs!$C$6^2)/Inputs!$C$52)))-(Inputs!$H$9))*1000/Inputs!$C$12)</x:f>
        <x:v>-114433.34492030981</x:v>
      </x:c>
      <x:c r="O200" t="n">
        <x:f>Scenario_Data!T200</x:f>
        <x:v>39</x:v>
      </x:c>
      <x:c r="P200" t="n">
        <x:f>2*(Scenario_Data!B200*1000)/Inputs!$C$21*1000000</x:f>
        <x:v>2679.7872280029137</x:v>
      </x:c>
      <x:c r="Q200" t="n">
        <x:f>Scenario_Data!U200</x:f>
        <x:v>260</x:v>
      </x:c>
      <x:c r="R200" t="n">
        <x:f>2*(Scenario_Data!C200*1000)/Inputs!$C$21*1000000</x:f>
        <x:v>1262.2899272536067</x:v>
      </x:c>
      <x:c r="S200" t="n">
        <x:f>Scenario_Data!V200</x:f>
        <x:v>520</x:v>
      </x:c>
      <x:c r="T200" t="n">
        <x:f>2*(Scenario_Data!D200*1000)/Inputs!$C$21*1000000</x:f>
        <x:v>2953.459889908238</x:v>
      </x:c>
      <x:c r="U200" t="n">
        <x:f>Scenario_Data!W200</x:f>
        <x:v>520</x:v>
      </x:c>
      <x:c r="V200" t="n">
        <x:f>2*(Scenario_Data!E200*1000)/Inputs!$C$21*1000000</x:f>
        <x:v>2914.9332369128515</x:v>
      </x:c>
      <x:c r="X200" t="n">
        <x:f>Scenario_Data!T200</x:f>
        <x:v>39</x:v>
      </x:c>
      <x:c r="Y200" t="n">
        <x: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x:f>
        <x:v>2679.2351279428963</x:v>
      </x:c>
      <x:c r="Z200" t="n">
        <x:f>Scenario_Data!U200</x:f>
        <x:v>260</x:v>
      </x:c>
      <x:c r="AA200" t="n">
        <x: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x:f>
        <x:v>1261.9553443495988</x:v>
      </x:c>
      <x:c r="AB200" t="n">
        <x:f>Scenario_Data!V200</x:f>
        <x:v>520</x:v>
      </x:c>
      <x:c r="AC200" t="n">
        <x: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x:f>
        <x:v>2953.4833326943153</x:v>
      </x:c>
      <x:c r="AD200" t="n">
        <x:f>Scenario_Data!W200</x:f>
        <x:v>520</x:v>
      </x:c>
      <x:c r="AE200" t="n">
        <x: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x:f>
        <x:v>2914.956679698929</x:v>
      </x:c>
      <x:c r="AG200" t="n">
        <x:f>Scenario_Data!T200</x:f>
        <x:v>39</x:v>
      </x:c>
      <x:c r="AH200" t="n">
        <x:f>2*(SQRT((Inputs!$C$52+(Scenario_Data!B200))^2+Inputs!$C$52^2-2*(Inputs!$C$52+(Scenario_Data!B200))*Inputs!$C$52*COS(SQRT((Scenario_Data!T200)^2+Inputs!$C$6^2)/Inputs!$C$52))*1000)/Inputs!$C$21*1000000</x:f>
        <x:v>2702.0994114328023</x:v>
      </x:c>
      <x:c r="AI200" t="n">
        <x:f>Scenario_Data!U200</x:f>
        <x:v>260</x:v>
      </x:c>
      <x:c r="AJ200" t="n">
        <x:f>2*(SQRT((Inputs!$C$52+(Scenario_Data!C200))^2+Inputs!$C$52^2-2*(Inputs!$C$52+(Scenario_Data!C200))*Inputs!$C$52*COS(SQRT((Scenario_Data!U200)^2+Inputs!$C$6^2)/Inputs!$C$52))*1000)/Inputs!$C$21*1000000</x:f>
        <x:v>2233.821564177517</x:v>
      </x:c>
      <x:c r="AK200" t="n">
        <x:f>Scenario_Data!V200</x:f>
        <x:v>520</x:v>
      </x:c>
      <x:c r="AL200" t="n">
        <x:f>2*(SQRT((Inputs!$C$52+(Scenario_Data!D200))^2+Inputs!$C$52^2-2*(Inputs!$C$52+(Scenario_Data!D200))*Inputs!$C$52*COS(SQRT((Scenario_Data!V200)^2+Inputs!$C$6^2)/Inputs!$C$52))*1000)/Inputs!$C$21*1000000</x:f>
        <x:v>4905.459604666784</x:v>
      </x:c>
      <x:c r="AM200" t="n">
        <x:f>Scenario_Data!W200</x:f>
        <x:v>520</x:v>
      </x:c>
      <x:c r="AN200" t="n">
        <x:f>2*(SQRT((Inputs!$C$52+(Scenario_Data!E200))^2+Inputs!$C$52^2-2*(Inputs!$C$52+(Scenario_Data!E200))*Inputs!$C$52*COS(SQRT((Scenario_Data!W200)^2+Inputs!$C$6^2)/Inputs!$C$52))*1000)/Inputs!$C$21*1000000</x:f>
        <x:v>4877.830054285296</x:v>
      </x:c>
      <x:c r="AP200" t="n">
        <x:f>Scenario_Data!T200</x:f>
        <x:v>39</x:v>
      </x:c>
      <x:c r="AQ200" t="n">
        <x: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x:f>
        <x:v>2700.1000665260294</x:v>
      </x:c>
      <x:c r="AR200" t="n">
        <x:f>Scenario_Data!U200</x:f>
        <x:v>260</x:v>
      </x:c>
      <x:c r="AS200" t="n">
        <x: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x:f>
        <x:v>2233.3796452003226</x:v>
      </x:c>
      <x:c r="AT200" t="n">
        <x:f>Scenario_Data!V200</x:f>
        <x:v>520</x:v>
      </x:c>
      <x:c r="AU200" t="n">
        <x: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x:f>
        <x:v>4905.006260578229</x:v>
      </x:c>
      <x:c r="AV200" t="n">
        <x:f>Scenario_Data!W200</x:f>
        <x:v>520</x:v>
      </x:c>
      <x:c r="AW200" t="n">
        <x: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x:f>
        <x:v>4877.381630844184</x:v>
      </x:c>
    </x:row>
    <x:row r="201">
      <x:c r="A201" t="n">
        <x:f>Chart_Data!K201</x:f>
        <x:v>39.5</x:v>
      </x:c>
      <x:c r="B201" t="n">
        <x:f>Chart_Data!N201-Chart_Data!L201</x:f>
        <x:v>-79.47691436011348</x:v>
      </x:c>
      <x:c r="D201" t="n">
        <x:f>Chart_Data!G201</x:f>
        <x:v>39.5</x:v>
      </x:c>
      <x:c r="E201" t="n">
        <x:f>Chart_Data!H201</x:f>
        <x:v>298.92940490783735</x:v>
      </x:c>
      <x:c r="F201" t="n">
        <x:f>Chart_Data!I201</x:f>
        <x:v>298.92940490783735</x:v>
      </x:c>
      <x:c r="G201" t="n">
        <x:f>Chart_Data!J201</x:f>
        <x:v>76.31271490051972</x:v>
      </x:c>
      <x:c r="I201" t="n">
        <x:f>Scenario_Data!A201</x:f>
        <x:v>0.658</x:v>
      </x:c>
      <x:c r="J201" t="n">
        <x:f>Scenario_Data!H201-(((SQRT((Inputs!$C$52+(Inputs!$H$6))^2+Inputs!$C$52^2-2*(Inputs!$C$52+(Inputs!$H$6))*Inputs!$C$52*COS(SQRT((Scenario_Data!T201)^2+Inputs!$C$6^2)/Inputs!$C$52)))-(Inputs!$H$6))*1000/Inputs!$C$12)</x:f>
        <x:v>-6.51967719021377</x:v>
      </x:c>
      <x:c r="K201" t="n">
        <x:f>Scenario_Data!I201-(((SQRT((Inputs!$C$52+(Inputs!$H$7))^2+Inputs!$C$52^2-2*(Inputs!$C$52+(Inputs!$H$7))*Inputs!$C$52*COS(SQRT((Scenario_Data!U201)^2+Inputs!$C$6^2)/Inputs!$C$52)))-(Inputs!$H$7))*1000/Inputs!$C$12)</x:f>
        <x:v>-49046.63482196606</x:v>
      </x:c>
      <x:c r="L201" t="n">
        <x:f>Scenario_Data!J201-(((SQRT((Inputs!$C$52+(Inputs!$H$8))^2+Inputs!$C$52^2-2*(Inputs!$C$52+(Inputs!$H$8))*Inputs!$C$52*COS(SQRT((Scenario_Data!V201)^2+Inputs!$C$6^2)/Inputs!$C$52)))-(Inputs!$H$8))*1000/Inputs!$C$12)</x:f>
        <x:v>-112929.65387596656</x:v>
      </x:c>
      <x:c r="M201" t="n">
        <x:f>Scenario_Data!K201-(((SQRT((Inputs!$C$52+(Inputs!$H$9))^2+Inputs!$C$52^2-2*(Inputs!$C$52+(Inputs!$H$9))*Inputs!$C$52*COS(SQRT((Scenario_Data!W201)^2+Inputs!$C$6^2)/Inputs!$C$52)))-(Inputs!$H$9))*1000/Inputs!$C$12)</x:f>
        <x:v>-116407.86707581836</x:v>
      </x:c>
      <x:c r="O201" t="n">
        <x:f>Scenario_Data!T201</x:f>
        <x:v>39.47999999999999</x:v>
      </x:c>
      <x:c r="P201" t="n">
        <x:f>2*(Scenario_Data!B201*1000)/Inputs!$C$21*1000000</x:f>
        <x:v>2680.0664611782863</x:v>
      </x:c>
      <x:c r="Q201" t="n">
        <x:f>Scenario_Data!U201</x:f>
        <x:v>263.19999999999993</x:v>
      </x:c>
      <x:c r="R201" t="n">
        <x:f>2*(Scenario_Data!C201*1000)/Inputs!$C$21*1000000</x:f>
        <x:v>1287.7699545063265</x:v>
      </x:c>
      <x:c r="S201" t="n">
        <x:f>Scenario_Data!V201</x:f>
        <x:v>526.3999999999999</x:v>
      </x:c>
      <x:c r="T201" t="n">
        <x:f>2*(Scenario_Data!D201*1000)/Inputs!$C$21*1000000</x:f>
        <x:v>3020.8248934667977</x:v>
      </x:c>
      <x:c r="U201" t="n">
        <x:f>Scenario_Data!W201</x:f>
        <x:v>526.3999999999999</x:v>
      </x:c>
      <x:c r="V201" t="n">
        <x:f>2*(Scenario_Data!E201*1000)/Inputs!$C$21*1000000</x:f>
        <x:v>2982.996323409842</x:v>
      </x:c>
      <x:c r="X201" t="n">
        <x:f>Scenario_Data!T201</x:f>
        <x:v>39.47999999999999</x:v>
      </x:c>
      <x:c r="Y201" t="n">
        <x: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x:f>
        <x:v>2679.5429217645637</x:v>
      </x:c>
      <x:c r="Z201" t="n">
        <x:f>Scenario_Data!U201</x:f>
        <x:v>263.19999999999993</x:v>
      </x:c>
      <x:c r="AA201" t="n">
        <x: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x:f>
        <x:v>1287.9071431225977</x:v>
      </x:c>
      <x:c r="AB201" t="n">
        <x:f>Scenario_Data!V201</x:f>
        <x:v>526.3999999999999</x:v>
      </x:c>
      <x:c r="AC201" t="n">
        <x: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x:f>
        <x:v>3020.547672175684</x:v>
      </x:c>
      <x:c r="AD201" t="n">
        <x:f>Scenario_Data!W201</x:f>
        <x:v>526.3999999999999</x:v>
      </x:c>
      <x:c r="AE201" t="n">
        <x: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x:f>
        <x:v>2982.719102118728</x:v>
      </x:c>
      <x:c r="AG201" t="n">
        <x:f>Scenario_Data!T201</x:f>
        <x:v>39.47999999999999</x:v>
      </x:c>
      <x:c r="AH201" t="n">
        <x:f>2*(SQRT((Inputs!$C$52+(Scenario_Data!B201))^2+Inputs!$C$52^2-2*(Inputs!$C$52+(Scenario_Data!B201))*Inputs!$C$52*COS(SQRT((Scenario_Data!T201)^2+Inputs!$C$6^2)/Inputs!$C$52))*1000)/Inputs!$C$21*1000000</x:f>
        <x:v>2702.766769976195</x:v>
      </x:c>
      <x:c r="AI201" t="n">
        <x:f>Scenario_Data!U201</x:f>
        <x:v>263.19999999999993</x:v>
      </x:c>
      <x:c r="AJ201" t="n">
        <x:f>2*(SQRT((Inputs!$C$52+(Scenario_Data!C201))^2+Inputs!$C$52^2-2*(Inputs!$C$52+(Scenario_Data!C201))*Inputs!$C$52*COS(SQRT((Scenario_Data!U201)^2+Inputs!$C$6^2)/Inputs!$C$52))*1000)/Inputs!$C$21*1000000</x:f>
        <x:v>2268.4094634231324</x:v>
      </x:c>
      <x:c r="AK201" t="n">
        <x:f>Scenario_Data!V201</x:f>
        <x:v>526.3999999999999</x:v>
      </x:c>
      <x:c r="AL201" t="n">
        <x:f>2*(SQRT((Inputs!$C$52+(Scenario_Data!D201))^2+Inputs!$C$52^2-2*(Inputs!$C$52+(Scenario_Data!D201))*Inputs!$C$52*COS(SQRT((Scenario_Data!V201)^2+Inputs!$C$6^2)/Inputs!$C$52))*1000)/Inputs!$C$21*1000000</x:f>
        <x:v>4992.0593057230435</x:v>
      </x:c>
      <x:c r="AM201" t="n">
        <x:f>Scenario_Data!W201</x:f>
        <x:v>526.3999999999999</x:v>
      </x:c>
      <x:c r="AN201" t="n">
        <x:f>2*(SQRT((Inputs!$C$52+(Scenario_Data!E201))^2+Inputs!$C$52^2-2*(Inputs!$C$52+(Scenario_Data!E201))*Inputs!$C$52*COS(SQRT((Scenario_Data!W201)^2+Inputs!$C$6^2)/Inputs!$C$52))*1000)/Inputs!$C$21*1000000</x:f>
        <x:v>4964.7820081571645</x:v>
      </x:c>
      <x:c r="AP201" t="n">
        <x:f>Scenario_Data!T201</x:f>
        <x:v>39.47999999999999</x:v>
      </x:c>
      <x:c r="AQ201" t="n">
        <x: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x:f>
        <x:v>2700.798934050626</x:v>
      </x:c>
      <x:c r="AR201" t="n">
        <x:f>Scenario_Data!U201</x:f>
        <x:v>263.19999999999993</x:v>
      </x:c>
      <x:c r="AS201" t="n">
        <x: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x:f>
        <x:v>2268.093572924754</x:v>
      </x:c>
      <x:c r="AT201" t="n">
        <x:f>Scenario_Data!V201</x:f>
        <x:v>526.3999999999999</x:v>
      </x:c>
      <x:c r="AU201" t="n">
        <x: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x:f>
        <x:v>4991.48938144948</x:v>
      </x:c>
      <x:c r="AV201" t="n">
        <x:f>Scenario_Data!W201</x:f>
        <x:v>526.3999999999999</x:v>
      </x:c>
      <x:c r="AW201" t="n">
        <x: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x:f>
        <x:v>4964.217996293782</x:v>
      </x:c>
    </x:row>
    <x:row r="202">
      <x:c r="A202" t="n">
        <x:f>Chart_Data!K202</x:f>
        <x:v>40</x:v>
      </x:c>
      <x:c r="B202" t="n">
        <x:f>Chart_Data!N202-Chart_Data!L202</x:f>
        <x:v>-69.5501227158025</x:v>
      </x:c>
      <x:c r="D202" t="n">
        <x:f>Chart_Data!G202</x:f>
        <x:v>40</x:v>
      </x:c>
      <x:c r="E202" t="n">
        <x:f>Chart_Data!H202</x:f>
        <x:v>304.82117281231683</x:v>
      </x:c>
      <x:c r="F202" t="n">
        <x:f>Chart_Data!I202</x:f>
        <x:v>304.82117281231683</x:v>
      </x:c>
      <x:c r="G202" t="n">
        <x:f>Chart_Data!J202</x:f>
        <x:v>66.26609020115302</x:v>
      </x:c>
      <x:c r="I202" t="n">
        <x:f>Scenario_Data!A202</x:f>
        <x:v>0.667</x:v>
      </x:c>
      <x:c r="J202" t="n">
        <x:f>Scenario_Data!H202-(((SQRT((Inputs!$C$52+(Inputs!$H$6))^2+Inputs!$C$52^2-2*(Inputs!$C$52+(Inputs!$H$6))*Inputs!$C$52*COS(SQRT((Scenario_Data!T202)^2+Inputs!$C$6^2)/Inputs!$C$52)))-(Inputs!$H$6))*1000/Inputs!$C$12)</x:f>
        <x:v>-6.828300748499714</x:v>
      </x:c>
      <x:c r="K202" t="n">
        <x:f>Scenario_Data!I202-(((SQRT((Inputs!$C$52+(Inputs!$H$7))^2+Inputs!$C$52^2-2*(Inputs!$C$52+(Inputs!$H$7))*Inputs!$C$52*COS(SQRT((Scenario_Data!U202)^2+Inputs!$C$6^2)/Inputs!$C$52)))-(Inputs!$H$7))*1000/Inputs!$C$12)</x:f>
        <x:v>-50200.64516336979</x:v>
      </x:c>
      <x:c r="L202" t="n">
        <x:f>Scenario_Data!J202-(((SQRT((Inputs!$C$52+(Inputs!$H$8))^2+Inputs!$C$52^2-2*(Inputs!$C$52+(Inputs!$H$8))*Inputs!$C$52*COS(SQRT((Scenario_Data!V202)^2+Inputs!$C$6^2)/Inputs!$C$52)))-(Inputs!$H$8))*1000/Inputs!$C$12)</x:f>
        <x:v>-115125.04934461691</x:v>
      </x:c>
      <x:c r="M202" t="n">
        <x:f>Scenario_Data!K202-(((SQRT((Inputs!$C$52+(Inputs!$H$9))^2+Inputs!$C$52^2-2*(Inputs!$C$52+(Inputs!$H$9))*Inputs!$C$52*COS(SQRT((Scenario_Data!W202)^2+Inputs!$C$6^2)/Inputs!$C$52)))-(Inputs!$H$9))*1000/Inputs!$C$12)</x:f>
        <x:v>-118627.06266188357</x:v>
      </x:c>
      <x:c r="O202" t="n">
        <x:f>Scenario_Data!T202</x:f>
        <x:v>40.019999999999996</x:v>
      </x:c>
      <x:c r="P202" t="n">
        <x:f>2*(Scenario_Data!B202*1000)/Inputs!$C$21*1000000</x:f>
        <x:v>2680.3846813251052</x:v>
      </x:c>
      <x:c r="Q202" t="n">
        <x:f>Scenario_Data!U202</x:f>
        <x:v>266.80000000000007</x:v>
      </x:c>
      <x:c r="R202" t="n">
        <x:f>2*(Scenario_Data!C202*1000)/Inputs!$C$21*1000000</x:f>
        <x:v>1316.8075429035648</x:v>
      </x:c>
      <x:c r="S202" t="n">
        <x:f>Scenario_Data!V202</x:f>
        <x:v>533.6000000000001</x:v>
      </x:c>
      <x:c r="T202" t="n">
        <x:f>2*(Scenario_Data!D202*1000)/Inputs!$C$21*1000000</x:f>
        <x:v>3097.5955038868938</x:v>
      </x:c>
      <x:c r="U202" t="n">
        <x:f>Scenario_Data!W202</x:f>
        <x:v>533.6000000000001</x:v>
      </x:c>
      <x:c r="V202" t="n">
        <x:f>2*(Scenario_Data!E202*1000)/Inputs!$C$21*1000000</x:f>
        <x:v>3060.562484196985</x:v>
      </x:c>
      <x:c r="X202" t="n">
        <x:f>Scenario_Data!T202</x:f>
        <x:v>40.019999999999996</x:v>
      </x:c>
      <x:c r="Y202" t="n">
        <x: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x:f>
        <x:v>2679.910579902679</x:v>
      </x:c>
      <x:c r="Z202" t="n">
        <x:f>Scenario_Data!U202</x:f>
        <x:v>266.80000000000007</x:v>
      </x:c>
      <x:c r="AA202" t="n">
        <x: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x:f>
        <x:v>1316.7488441310127</x:v>
      </x:c>
      <x:c r="AB202" t="n">
        <x:f>Scenario_Data!V202</x:f>
        <x:v>533.6000000000001</x:v>
      </x:c>
      <x:c r="AC202" t="n">
        <x: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x:f>
        <x:v>3097.7527678159954</x:v>
      </x:c>
      <x:c r="AD202" t="n">
        <x:f>Scenario_Data!W202</x:f>
        <x:v>533.6000000000001</x:v>
      </x:c>
      <x:c r="AE202" t="n">
        <x: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x:f>
        <x:v>3060.7197481260864</x:v>
      </x:c>
      <x:c r="AG202" t="n">
        <x:f>Scenario_Data!T202</x:f>
        <x:v>40.019999999999996</x:v>
      </x:c>
      <x:c r="AH202" t="n">
        <x:f>2*(SQRT((Inputs!$C$52+(Scenario_Data!B202))^2+Inputs!$C$52^2-2*(Inputs!$C$52+(Scenario_Data!B202))*Inputs!$C$52*COS(SQRT((Scenario_Data!T202)^2+Inputs!$C$6^2)/Inputs!$C$52))*1000)/Inputs!$C$21*1000000</x:f>
        <x:v>2703.527159526966</x:v>
      </x:c>
      <x:c r="AI202" t="n">
        <x:f>Scenario_Data!U202</x:f>
        <x:v>266.80000000000007</x:v>
      </x:c>
      <x:c r="AJ202" t="n">
        <x:f>2*(SQRT((Inputs!$C$52+(Scenario_Data!C202))^2+Inputs!$C$52^2-2*(Inputs!$C$52+(Scenario_Data!C202))*Inputs!$C$52*COS(SQRT((Scenario_Data!U202)^2+Inputs!$C$6^2)/Inputs!$C$52))*1000)/Inputs!$C$21*1000000</x:f>
        <x:v>2307.6308927499517</x:v>
      </x:c>
      <x:c r="AK202" t="n">
        <x:f>Scenario_Data!V202</x:f>
        <x:v>533.6000000000001</x:v>
      </x:c>
      <x:c r="AL202" t="n">
        <x:f>2*(SQRT((Inputs!$C$52+(Scenario_Data!D202))^2+Inputs!$C$52^2-2*(Inputs!$C$52+(Scenario_Data!D202))*Inputs!$C$52*COS(SQRT((Scenario_Data!V202)^2+Inputs!$C$6^2)/Inputs!$C$52))*1000)/Inputs!$C$21*1000000</x:f>
        <x:v>5090.473156276304</x:v>
      </x:c>
      <x:c r="AM202" t="n">
        <x:f>Scenario_Data!W202</x:f>
        <x:v>533.6000000000001</x:v>
      </x:c>
      <x:c r="AN202" t="n">
        <x:f>2*(SQRT((Inputs!$C$52+(Scenario_Data!E202))^2+Inputs!$C$52^2-2*(Inputs!$C$52+(Scenario_Data!E202))*Inputs!$C$52*COS(SQRT((Scenario_Data!W202)^2+Inputs!$C$6^2)/Inputs!$C$52))*1000)/Inputs!$C$21*1000000</x:f>
        <x:v>5063.608645679323</x:v>
      </x:c>
      <x:c r="AP202" t="n">
        <x:f>Scenario_Data!T202</x:f>
        <x:v>40.019999999999996</x:v>
      </x:c>
      <x:c r="AQ202" t="n">
        <x: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x:f>
        <x:v>2701.6135071673953</x:v>
      </x:c>
      <x:c r="AR202" t="n">
        <x:f>Scenario_Data!U202</x:f>
        <x:v>266.80000000000007</x:v>
      </x:c>
      <x:c r="AS202" t="n">
        <x: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x:f>
        <x:v>2307.269279658743</x:v>
      </x:c>
      <x:c r="AT202" t="n">
        <x:f>Scenario_Data!V202</x:f>
        <x:v>533.6000000000001</x:v>
      </x:c>
      <x:c r="AU202" t="n">
        <x: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x:f>
        <x:v>5090.147049793061</x:v>
      </x:c>
      <x:c r="AV202" t="n">
        <x:f>Scenario_Data!W202</x:f>
        <x:v>533.6000000000001</x:v>
      </x:c>
      <x:c r="AW202" t="n">
        <x: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x:f>
        <x:v>5063.28575218447</x:v>
      </x:c>
    </x:row>
    <x:row r="203">
      <x:c r="A203" t="n">
        <x:f>Chart_Data!K203</x:f>
        <x:v>40.5</x:v>
      </x:c>
      <x:c r="B203" t="n">
        <x:f>Chart_Data!N203-Chart_Data!L203</x:f>
        <x:v>-63.449089898240885</x:v>
      </x:c>
      <x:c r="D203" t="n">
        <x:f>Chart_Data!G203</x:f>
        <x:v>40.5</x:v>
      </x:c>
      <x:c r="E203" t="n">
        <x:f>Chart_Data!H203</x:f>
        <x:v>300.6975060152245</x:v>
      </x:c>
      <x:c r="F203" t="n">
        <x:f>Chart_Data!I203</x:f>
        <x:v>300.6975060152245</x:v>
      </x:c>
      <x:c r="G203" t="n">
        <x:f>Chart_Data!J203</x:f>
        <x:v>60.152205166209214</x:v>
      </x:c>
      <x:c r="I203" t="n">
        <x:f>Scenario_Data!A203</x:f>
        <x:v>0.675</x:v>
      </x:c>
      <x:c r="J203" t="n">
        <x:f>Scenario_Data!H203-(((SQRT((Inputs!$C$52+(Inputs!$H$6))^2+Inputs!$C$52^2-2*(Inputs!$C$52+(Inputs!$H$6))*Inputs!$C$52*COS(SQRT((Scenario_Data!T203)^2+Inputs!$C$6^2)/Inputs!$C$52)))-(Inputs!$H$6))*1000/Inputs!$C$12)</x:f>
        <x:v>-7.111982920109767</x:v>
      </x:c>
      <x:c r="K203" t="n">
        <x:f>Scenario_Data!I203-(((SQRT((Inputs!$C$52+(Inputs!$H$7))^2+Inputs!$C$52^2-2*(Inputs!$C$52+(Inputs!$H$7))*Inputs!$C$52*COS(SQRT((Scenario_Data!U203)^2+Inputs!$C$6^2)/Inputs!$C$52)))-(Inputs!$H$7))*1000/Inputs!$C$12)</x:f>
        <x:v>-51231.374010913656</x:v>
      </x:c>
      <x:c r="L203" t="n">
        <x:f>Scenario_Data!J203-(((SQRT((Inputs!$C$52+(Inputs!$H$8))^2+Inputs!$C$52^2-2*(Inputs!$C$52+(Inputs!$H$8))*Inputs!$C$52*COS(SQRT((Scenario_Data!V203)^2+Inputs!$C$6^2)/Inputs!$C$52)))-(Inputs!$H$8))*1000/Inputs!$C$12)</x:f>
        <x:v>-117074.83465957025</x:v>
      </x:c>
      <x:c r="M203" t="n">
        <x:f>Scenario_Data!K203-(((SQRT((Inputs!$C$52+(Inputs!$H$9))^2+Inputs!$C$52^2-2*(Inputs!$C$52+(Inputs!$H$9))*Inputs!$C$52*COS(SQRT((Scenario_Data!W203)^2+Inputs!$C$6^2)/Inputs!$C$52)))-(Inputs!$H$9))*1000/Inputs!$C$12)</x:f>
        <x:v>-120597.44652148281</x:v>
      </x:c>
      <x:c r="O203" t="n">
        <x:f>Scenario_Data!T203</x:f>
        <x:v>40.5</x:v>
      </x:c>
      <x:c r="P203" t="n">
        <x:f>2*(Scenario_Data!B203*1000)/Inputs!$C$21*1000000</x:f>
        <x:v>2680.671172855189</x:v>
      </x:c>
      <x:c r="Q203" t="n">
        <x:f>Scenario_Data!U203</x:f>
        <x:v>270</x:v>
      </x:c>
      <x:c r="R203" t="n">
        <x:f>2*(Scenario_Data!C203*1000)/Inputs!$C$21*1000000</x:f>
        <x:v>1342.9498950237103</x:v>
      </x:c>
      <x:c r="S203" t="n">
        <x:f>Scenario_Data!V203</x:f>
        <x:v>540</x:v>
      </x:c>
      <x:c r="T203" t="n">
        <x:f>2*(Scenario_Data!D203*1000)/Inputs!$C$21*1000000</x:f>
        <x:v>3166.7115855196066</x:v>
      </x:c>
      <x:c r="U203" t="n">
        <x:f>Scenario_Data!W203</x:f>
        <x:v>540</x:v>
      </x:c>
      <x:c r="V203" t="n">
        <x:f>2*(Scenario_Data!E203*1000)/Inputs!$C$21*1000000</x:f>
        <x:v>3130.3947946549083</x:v>
      </x:c>
      <x:c r="X203" t="n">
        <x:f>Scenario_Data!T203</x:f>
        <x:v>40.5</x:v>
      </x:c>
      <x:c r="Y203" t="n">
        <x: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x:f>
        <x:v>2680.26988053738</x:v>
      </x:c>
      <x:c r="Z203" t="n">
        <x:f>Scenario_Data!U203</x:f>
        <x:v>270</x:v>
      </x:c>
      <x:c r="AA203" t="n">
        <x: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x:f>
        <x:v>1342.781784912361</x:v>
      </x:c>
      <x:c r="AB203" t="n">
        <x:f>Scenario_Data!V203</x:f>
        <x:v>540</x:v>
      </x:c>
      <x:c r="AC203" t="n">
        <x: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x:f>
        <x:v>3166.73583463882</x:v>
      </x:c>
      <x:c r="AD203" t="n">
        <x:f>Scenario_Data!W203</x:f>
        <x:v>540</x:v>
      </x:c>
      <x:c r="AE203" t="n">
        <x: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x:f>
        <x:v>3130.4190437741213</x:v>
      </x:c>
      <x:c r="AG203" t="n">
        <x:f>Scenario_Data!T203</x:f>
        <x:v>40.5</x:v>
      </x:c>
      <x:c r="AH203" t="n">
        <x:f>2*(SQRT((Inputs!$C$52+(Scenario_Data!B203))^2+Inputs!$C$52^2-2*(Inputs!$C$52+(Scenario_Data!B203))*Inputs!$C$52*COS(SQRT((Scenario_Data!T203)^2+Inputs!$C$6^2)/Inputs!$C$52))*1000)/Inputs!$C$21*1000000</x:f>
        <x:v>2704.2115997852675</x:v>
      </x:c>
      <x:c r="AI203" t="n">
        <x:f>Scenario_Data!U203</x:f>
        <x:v>270</x:v>
      </x:c>
      <x:c r="AJ203" t="n">
        <x:f>2*(SQRT((Inputs!$C$52+(Scenario_Data!C203))^2+Inputs!$C$52^2-2*(Inputs!$C$52+(Scenario_Data!C203))*Inputs!$C$52*COS(SQRT((Scenario_Data!U203)^2+Inputs!$C$6^2)/Inputs!$C$52))*1000)/Inputs!$C$21*1000000</x:f>
        <x:v>2342.7716518918514</x:v>
      </x:c>
      <x:c r="AK203" t="n">
        <x:f>Scenario_Data!V203</x:f>
        <x:v>540</x:v>
      </x:c>
      <x:c r="AL203" t="n">
        <x:f>2*(SQRT((Inputs!$C$52+(Scenario_Data!D203))^2+Inputs!$C$52^2-2*(Inputs!$C$52+(Scenario_Data!D203))*Inputs!$C$52*COS(SQRT((Scenario_Data!V203)^2+Inputs!$C$6^2)/Inputs!$C$52))*1000)/Inputs!$C$21*1000000</x:f>
        <x:v>5178.835096993912</x:v>
      </x:c>
      <x:c r="AM203" t="n">
        <x:f>Scenario_Data!W203</x:f>
        <x:v>540</x:v>
      </x:c>
      <x:c r="AN203" t="n">
        <x:f>2*(SQRT((Inputs!$C$52+(Scenario_Data!E203))^2+Inputs!$C$52^2-2*(Inputs!$C$52+(Scenario_Data!E203))*Inputs!$C$52*COS(SQRT((Scenario_Data!W203)^2+Inputs!$C$6^2)/Inputs!$C$52))*1000)/Inputs!$C$21*1000000</x:f>
        <x:v>5152.352129116699</x:v>
      </x:c>
      <x:c r="AP203" t="n">
        <x:f>Scenario_Data!T203</x:f>
        <x:v>40.5</x:v>
      </x:c>
      <x:c r="AQ203" t="n">
        <x: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x:f>
        <x:v>2702.227556402274</x:v>
      </x:c>
      <x:c r="AR203" t="n">
        <x:f>Scenario_Data!U203</x:f>
        <x:v>270</x:v>
      </x:c>
      <x:c r="AS203" t="n">
        <x: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x:f>
        <x:v>2342.397836711693</x:v>
      </x:c>
      <x:c r="AT203" t="n">
        <x:f>Scenario_Data!V203</x:f>
        <x:v>540</x:v>
      </x:c>
      <x:c r="AU203" t="n">
        <x: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x:f>
        <x:v>5178.508279581122</x:v>
      </x:c>
      <x:c r="AV203" t="n">
        <x:f>Scenario_Data!W203</x:f>
        <x:v>540</x:v>
      </x:c>
      <x:c r="AW203" t="n">
        <x: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x:f>
        <x:v>5152.028386800917</x:v>
      </x:c>
    </x:row>
    <x:row r="204">
      <x:c r="A204" t="n">
        <x:f>Chart_Data!K204</x:f>
        <x:v>41</x:v>
      </x:c>
      <x:c r="B204" t="n">
        <x:f>Chart_Data!N204-Chart_Data!L204</x:f>
        <x:v>-55.6946862509956</x:v>
      </x:c>
      <x:c r="D204" t="n">
        <x:f>Chart_Data!G204</x:f>
        <x:v>41</x:v>
      </x:c>
      <x:c r="E204" t="n">
        <x:f>Chart_Data!H204</x:f>
        <x:v>276.55710773836364</x:v>
      </x:c>
      <x:c r="F204" t="n">
        <x:f>Chart_Data!I204</x:f>
        <x:v>276.55710773836364</x:v>
      </x:c>
      <x:c r="G204" t="n">
        <x:f>Chart_Data!J204</x:f>
        <x:v>52.60933898915909</x:v>
      </x:c>
      <x:c r="I204" t="n">
        <x:f>Scenario_Data!A204</x:f>
        <x:v>0.683</x:v>
      </x:c>
      <x:c r="J204" t="n">
        <x:f>Scenario_Data!H204-(((SQRT((Inputs!$C$52+(Inputs!$H$6))^2+Inputs!$C$52^2-2*(Inputs!$C$52+(Inputs!$H$6))*Inputs!$C$52*COS(SQRT((Scenario_Data!T204)^2+Inputs!$C$6^2)/Inputs!$C$52)))-(Inputs!$H$6))*1000/Inputs!$C$12)</x:f>
        <x:v>-7.404664824446172</x:v>
      </x:c>
      <x:c r="K204" t="n">
        <x:f>Scenario_Data!I204-(((SQRT((Inputs!$C$52+(Inputs!$H$7))^2+Inputs!$C$52^2-2*(Inputs!$C$52+(Inputs!$H$7))*Inputs!$C$52*COS(SQRT((Scenario_Data!U204)^2+Inputs!$C$6^2)/Inputs!$C$52)))-(Inputs!$H$7))*1000/Inputs!$C$12)</x:f>
        <x:v>-52266.60203742246</x:v>
      </x:c>
      <x:c r="L204" t="n">
        <x:f>Scenario_Data!J204-(((SQRT((Inputs!$C$52+(Inputs!$H$8))^2+Inputs!$C$52^2-2*(Inputs!$C$52+(Inputs!$H$8))*Inputs!$C$52*COS(SQRT((Scenario_Data!V204)^2+Inputs!$C$6^2)/Inputs!$C$52)))-(Inputs!$H$8))*1000/Inputs!$C$12)</x:f>
        <x:v>-119022.73194468833</x:v>
      </x:c>
      <x:c r="M204" t="n">
        <x:f>Scenario_Data!K204-(((SQRT((Inputs!$C$52+(Inputs!$H$9))^2+Inputs!$C$52^2-2*(Inputs!$C$52+(Inputs!$H$9))*Inputs!$C$52*COS(SQRT((Scenario_Data!W204)^2+Inputs!$C$6^2)/Inputs!$C$52)))-(Inputs!$H$9))*1000/Inputs!$C$12)</x:f>
        <x:v>-122565.42525707473</x:v>
      </x:c>
      <x:c r="O204" t="n">
        <x:f>Scenario_Data!T204</x:f>
        <x:v>40.980000000000004</x:v>
      </x:c>
      <x:c r="P204" t="n">
        <x:f>2*(Scenario_Data!B204*1000)/Inputs!$C$21*1000000</x:f>
        <x:v>2680.9610800816076</x:v>
      </x:c>
      <x:c r="Q204" t="n">
        <x:f>Scenario_Data!U204</x:f>
        <x:v>273.20000000000005</x:v>
      </x:c>
      <x:c r="R204" t="n">
        <x:f>2*(Scenario_Data!C204*1000)/Inputs!$C$21*1000000</x:f>
        <x:v>1369.4039294344093</x:v>
      </x:c>
      <x:c r="S204" t="n">
        <x:f>Scenario_Data!V204</x:f>
        <x:v>546.4000000000001</x:v>
      </x:c>
      <x:c r="T204" t="n">
        <x:f>2*(Scenario_Data!D204*1000)/Inputs!$C$21*1000000</x:f>
        <x:v>3236.6517038930992</x:v>
      </x:c>
      <x:c r="U204" t="n">
        <x:f>Scenario_Data!W204</x:f>
        <x:v>546.4000000000001</x:v>
      </x:c>
      <x:c r="V204" t="n">
        <x:f>2*(Scenario_Data!E204*1000)/Inputs!$C$21*1000000</x:f>
        <x:v>3201.059681094447</x:v>
      </x:c>
      <x:c r="X204" t="n">
        <x:f>Scenario_Data!T204</x:f>
        <x:v>40.980000000000004</x:v>
      </x:c>
      <x:c r="Y204" t="n">
        <x: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x:f>
        <x:v>2680.6154974151013</x:v>
      </x:c>
      <x:c r="Z204" t="n">
        <x:f>Scenario_Data!U204</x:f>
        <x:v>273.20000000000005</x:v>
      </x:c>
      <x:c r="AA204" t="n">
        <x: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x:f>
        <x:v>1369.0331480409086</x:v>
      </x:c>
      <x:c r="AB204" t="n">
        <x:f>Scenario_Data!V204</x:f>
        <x:v>546.4000000000001</x:v>
      </x:c>
      <x:c r="AC204" t="n">
        <x: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x:f>
        <x:v>3236.505927024445</x:v>
      </x:c>
      <x:c r="AD204" t="n">
        <x:f>Scenario_Data!W204</x:f>
        <x:v>546.4000000000001</x:v>
      </x:c>
      <x:c r="AE204" t="n">
        <x: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x:f>
        <x:v>3200.913904225793</x:v>
      </x:c>
      <x:c r="AG204" t="n">
        <x:f>Scenario_Data!T204</x:f>
        <x:v>40.980000000000004</x:v>
      </x:c>
      <x:c r="AH204" t="n">
        <x:f>2*(SQRT((Inputs!$C$52+(Scenario_Data!B204))^2+Inputs!$C$52^2-2*(Inputs!$C$52+(Scenario_Data!B204))*Inputs!$C$52*COS(SQRT((Scenario_Data!T204)^2+Inputs!$C$6^2)/Inputs!$C$52))*1000)/Inputs!$C$21*1000000</x:f>
        <x:v>2704.9040716081277</x:v>
      </x:c>
      <x:c r="AI204" t="n">
        <x:f>Scenario_Data!U204</x:f>
        <x:v>273.20000000000005</x:v>
      </x:c>
      <x:c r="AJ204" t="n">
        <x:f>2*(SQRT((Inputs!$C$52+(Scenario_Data!C204))^2+Inputs!$C$52^2-2*(Inputs!$C$52+(Scenario_Data!C204))*Inputs!$C$52*COS(SQRT((Scenario_Data!U204)^2+Inputs!$C$6^2)/Inputs!$C$52))*1000)/Inputs!$C$21*1000000</x:f>
        <x:v>2378.1749207105045</x:v>
      </x:c>
      <x:c r="AK204" t="n">
        <x:f>Scenario_Data!V204</x:f>
        <x:v>546.4000000000001</x:v>
      </x:c>
      <x:c r="AL204" t="n">
        <x:f>2*(SQRT((Inputs!$C$52+(Scenario_Data!D204))^2+Inputs!$C$52^2-2*(Inputs!$C$52+(Scenario_Data!D204))*Inputs!$C$52*COS(SQRT((Scenario_Data!V204)^2+Inputs!$C$6^2)/Inputs!$C$52))*1000)/Inputs!$C$21*1000000</x:f>
        <x:v>5268.031429047745</x:v>
      </x:c>
      <x:c r="AM204" t="n">
        <x:f>Scenario_Data!W204</x:f>
        <x:v>546.4000000000001</x:v>
      </x:c>
      <x:c r="AN204" t="n">
        <x:f>2*(SQRT((Inputs!$C$52+(Scenario_Data!E204))^2+Inputs!$C$52^2-2*(Inputs!$C$52+(Scenario_Data!E204))*Inputs!$C$52*COS(SQRT((Scenario_Data!W204)^2+Inputs!$C$6^2)/Inputs!$C$52))*1000)/Inputs!$C$21*1000000</x:f>
        <x:v>5241.943717406506</x:v>
      </x:c>
      <x:c r="AP204" t="n">
        <x:f>Scenario_Data!T204</x:f>
        <x:v>40.980000000000004</x:v>
      </x:c>
      <x:c r="AQ204" t="n">
        <x: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x:f>
        <x:v>2702.9347012405674</x:v>
      </x:c>
      <x:c r="AR204" t="n">
        <x:f>Scenario_Data!U204</x:f>
        <x:v>273.20000000000005</x:v>
      </x:c>
      <x:c r="AS204" t="n">
        <x: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x:f>
        <x:v>2377.586319197082</x:v>
      </x:c>
      <x:c r="AT204" t="n">
        <x:f>Scenario_Data!V204</x:f>
        <x:v>546.4000000000001</x:v>
      </x:c>
      <x:c r="AU204" t="n">
        <x: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x:f>
        <x:v>5267.481291794921</x:v>
      </x:c>
      <x:c r="AV204" t="n">
        <x:f>Scenario_Data!W204</x:f>
        <x:v>546.4000000000001</x:v>
      </x:c>
      <x:c r="AW204" t="n">
        <x: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x:f>
        <x:v>5241.398522516475</x:v>
      </x:c>
    </x:row>
    <x:row r="205">
      <x:c r="A205" t="n">
        <x:f>Chart_Data!K205</x:f>
        <x:v>41.5</x:v>
      </x:c>
      <x:c r="B205" t="n">
        <x:f>Chart_Data!N205-Chart_Data!L205</x:f>
        <x:v>-61.436839734876884</x:v>
      </x:c>
      <x:c r="D205" t="n">
        <x:f>Chart_Data!G205</x:f>
        <x:v>41.5</x:v>
      </x:c>
      <x:c r="E205" t="n">
        <x:f>Chart_Data!H205</x:f>
        <x:v>269.21554101681534</x:v>
      </x:c>
      <x:c r="F205" t="n">
        <x:f>Chart_Data!I205</x:f>
        <x:v>269.21554101681534</x:v>
      </x:c>
      <x:c r="G205" t="n">
        <x:f>Chart_Data!J205</x:f>
        <x:v>58.38095189793533</x:v>
      </x:c>
      <x:c r="I205" t="n">
        <x:f>Scenario_Data!A205</x:f>
        <x:v>0.692</x:v>
      </x:c>
      <x:c r="J205" t="n">
        <x:f>Scenario_Data!H205-(((SQRT((Inputs!$C$52+(Inputs!$H$6))^2+Inputs!$C$52^2-2*(Inputs!$C$52+(Inputs!$H$6))*Inputs!$C$52*COS(SQRT((Scenario_Data!T205)^2+Inputs!$C$6^2)/Inputs!$C$52)))-(Inputs!$H$6))*1000/Inputs!$C$12)</x:f>
        <x:v>-7.744930637363723</x:v>
      </x:c>
      <x:c r="K205" t="n">
        <x:f>Scenario_Data!I205-(((SQRT((Inputs!$C$52+(Inputs!$H$7))^2+Inputs!$C$52^2-2*(Inputs!$C$52+(Inputs!$H$7))*Inputs!$C$52*COS(SQRT((Scenario_Data!U205)^2+Inputs!$C$6^2)/Inputs!$C$52)))-(Inputs!$H$7))*1000/Inputs!$C$12)</x:f>
        <x:v>-53436.43314820457</x:v>
      </x:c>
      <x:c r="L205" t="n">
        <x:f>Scenario_Data!J205-(((SQRT((Inputs!$C$52+(Inputs!$H$8))^2+Inputs!$C$52^2-2*(Inputs!$C$52+(Inputs!$H$8))*Inputs!$C$52*COS(SQRT((Scenario_Data!V205)^2+Inputs!$C$6^2)/Inputs!$C$52)))-(Inputs!$H$8))*1000/Inputs!$C$12)</x:f>
        <x:v>-121211.50058427514</x:v>
      </x:c>
      <x:c r="M205" t="n">
        <x:f>Scenario_Data!K205-(((SQRT((Inputs!$C$52+(Inputs!$H$9))^2+Inputs!$C$52^2-2*(Inputs!$C$52+(Inputs!$H$9))*Inputs!$C$52*COS(SQRT((Scenario_Data!W205)^2+Inputs!$C$6^2)/Inputs!$C$52)))-(Inputs!$H$9))*1000/Inputs!$C$12)</x:f>
        <x:v>-124776.17612891932</x:v>
      </x:c>
      <x:c r="O205" t="n">
        <x:f>Scenario_Data!T205</x:f>
        <x:v>41.519999999999996</x:v>
      </x:c>
      <x:c r="P205" t="n">
        <x:f>2*(Scenario_Data!B205*1000)/Inputs!$C$21*1000000</x:f>
        <x:v>2681.2913085358537</x:v>
      </x:c>
      <x:c r="Q205" t="n">
        <x:f>Scenario_Data!U205</x:f>
        <x:v>276.79999999999995</x:v>
      </x:c>
      <x:c r="R205" t="n">
        <x:f>2*(Scenario_Data!C205*1000)/Inputs!$C$21*1000000</x:f>
        <x:v>1399.5372758843714</x:v>
      </x:c>
      <x:c r="S205" t="n">
        <x:f>Scenario_Data!V205</x:f>
        <x:v>553.5999999999999</x:v>
      </x:c>
      <x:c r="T205" t="n">
        <x:f>2*(Scenario_Data!D205*1000)/Inputs!$C$21*1000000</x:f>
        <x:v>3316.319318479985</x:v>
      </x:c>
      <x:c r="U205" t="n">
        <x:f>Scenario_Data!W205</x:f>
        <x:v>553.5999999999999</x:v>
      </x:c>
      <x:c r="V205" t="n">
        <x:f>2*(Scenario_Data!E205*1000)/Inputs!$C$21*1000000</x:f>
        <x:v>3281.552866816948</x:v>
      </x:c>
      <x:c r="X205" t="n">
        <x:f>Scenario_Data!T205</x:f>
        <x:v>41.519999999999996</x:v>
      </x:c>
      <x:c r="Y205" t="n">
        <x: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x:f>
        <x:v>2681.0146298396603</x:v>
      </x:c>
      <x:c r="Z205" t="n">
        <x:f>Scenario_Data!U205</x:f>
        <x:v>276.79999999999995</x:v>
      </x:c>
      <x:c r="AA205" t="n">
        <x: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x:f>
        <x:v>1399.215260026979</x:v>
      </x:c>
      <x:c r="AB205" t="n">
        <x:f>Scenario_Data!V205</x:f>
        <x:v>553.5999999999999</x:v>
      </x:c>
      <x:c r="AC205" t="n">
        <x: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x:f>
        <x:v>3316.518811792082</x:v>
      </x:c>
      <x:c r="AD205" t="n">
        <x:f>Scenario_Data!W205</x:f>
        <x:v>553.5999999999999</x:v>
      </x:c>
      <x:c r="AE205" t="n">
        <x: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x:f>
        <x:v>3281.7523601290454</x:v>
      </x:c>
      <x:c r="AG205" t="n">
        <x:f>Scenario_Data!T205</x:f>
        <x:v>41.519999999999996</x:v>
      </x:c>
      <x:c r="AH205" t="n">
        <x:f>2*(SQRT((Inputs!$C$52+(Scenario_Data!B205))^2+Inputs!$C$52^2-2*(Inputs!$C$52+(Scenario_Data!B205))*Inputs!$C$52*COS(SQRT((Scenario_Data!T205)^2+Inputs!$C$6^2)/Inputs!$C$52))*1000)/Inputs!$C$21*1000000</x:f>
        <x:v>2705.692697065748</x:v>
      </x:c>
      <x:c r="AI205" t="n">
        <x:f>Scenario_Data!U205</x:f>
        <x:v>276.79999999999995</x:v>
      </x:c>
      <x:c r="AJ205" t="n">
        <x:f>2*(SQRT((Inputs!$C$52+(Scenario_Data!C205))^2+Inputs!$C$52^2-2*(Inputs!$C$52+(Scenario_Data!C205))*Inputs!$C$52*COS(SQRT((Scenario_Data!U205)^2+Inputs!$C$6^2)/Inputs!$C$52))*1000)/Inputs!$C$21*1000000</x:f>
        <x:v>2418.3192089337513</x:v>
      </x:c>
      <x:c r="AK205" t="n">
        <x:f>Scenario_Data!V205</x:f>
        <x:v>553.5999999999999</x:v>
      </x:c>
      <x:c r="AL205" t="n">
        <x:f>2*(SQRT((Inputs!$C$52+(Scenario_Data!D205))^2+Inputs!$C$52^2-2*(Inputs!$C$52+(Scenario_Data!D205))*Inputs!$C$52*COS(SQRT((Scenario_Data!V205)^2+Inputs!$C$6^2)/Inputs!$C$52))*1000)/Inputs!$C$21*1000000</x:f>
        <x:v>5369.3785657395565</x:v>
      </x:c>
      <x:c r="AM205" t="n">
        <x:f>Scenario_Data!W205</x:f>
        <x:v>553.5999999999999</x:v>
      </x:c>
      <x:c r="AN205" t="n">
        <x:f>2*(SQRT((Inputs!$C$52+(Scenario_Data!E205))^2+Inputs!$C$52^2-2*(Inputs!$C$52+(Scenario_Data!E205))*Inputs!$C$52*COS(SQRT((Scenario_Data!W205)^2+Inputs!$C$6^2)/Inputs!$C$52))*1000)/Inputs!$C$21*1000000</x:f>
        <x:v>5343.751850152343</x:v>
      </x:c>
      <x:c r="AP205" t="n">
        <x:f>Scenario_Data!T205</x:f>
        <x:v>41.519999999999996</x:v>
      </x:c>
      <x:c r="AQ205" t="n">
        <x: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x:f>
        <x:v>2703.810254870827</x:v>
      </x:c>
      <x:c r="AR205" t="n">
        <x:f>Scenario_Data!U205</x:f>
        <x:v>276.79999999999995</x:v>
      </x:c>
      <x:c r="AS205" t="n">
        <x: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x:f>
        <x:v>2417.6598864735997</x:v>
      </x:c>
      <x:c r="AT205" t="n">
        <x:f>Scenario_Data!V205</x:f>
        <x:v>553.5999999999999</x:v>
      </x:c>
      <x:c r="AU205" t="n">
        <x: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x:f>
        <x:v>5369.156120221762</x:v>
      </x:c>
      <x:c r="AV205" t="n">
        <x:f>Scenario_Data!W205</x:f>
        <x:v>553.5999999999999</x:v>
      </x:c>
      <x:c r="AW205" t="n">
        <x: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x:f>
        <x:v>5343.531299949264</x:v>
      </x:c>
    </x:row>
    <x:row r="206">
      <x:c r="A206" t="n">
        <x:f>Chart_Data!K206</x:f>
        <x:v>42</x:v>
      </x:c>
      <x:c r="B206" t="n">
        <x:f>Chart_Data!N206-Chart_Data!L206</x:f>
        <x:v>-37.65230230192819</x:v>
      </x:c>
      <x:c r="D206" t="n">
        <x:f>Chart_Data!G206</x:f>
        <x:v>42</x:v>
      </x:c>
      <x:c r="E206" t="n">
        <x:f>Chart_Data!H206</x:f>
        <x:v>271.1262021129023</x:v>
      </x:c>
      <x:c r="F206" t="n">
        <x:f>Chart_Data!I206</x:f>
        <x:v>271.1262021129023</x:v>
      </x:c>
      <x:c r="G206" t="n">
        <x:f>Chart_Data!J206</x:f>
        <x:v>34.52124211278962</x:v>
      </x:c>
      <x:c r="I206" t="n">
        <x:f>Scenario_Data!A206</x:f>
        <x:v>0.7</x:v>
      </x:c>
      <x:c r="J206" t="n">
        <x:f>Scenario_Data!H206-(((SQRT((Inputs!$C$52+(Inputs!$H$6))^2+Inputs!$C$52^2-2*(Inputs!$C$52+(Inputs!$H$6))*Inputs!$C$52*COS(SQRT((Scenario_Data!T206)^2+Inputs!$C$6^2)/Inputs!$C$52)))-(Inputs!$H$6))*1000/Inputs!$C$12)</x:f>
        <x:v>-8.057382321536807</x:v>
      </x:c>
      <x:c r="K206" t="n">
        <x:f>Scenario_Data!I206-(((SQRT((Inputs!$C$52+(Inputs!$H$7))^2+Inputs!$C$52^2-2*(Inputs!$C$52+(Inputs!$H$7))*Inputs!$C$52*COS(SQRT((Scenario_Data!U206)^2+Inputs!$C$6^2)/Inputs!$C$52)))-(Inputs!$H$7))*1000/Inputs!$C$12)</x:f>
        <x:v>-54480.74919119819</x:v>
      </x:c>
      <x:c r="L206" t="n">
        <x:f>Scenario_Data!J206-(((SQRT((Inputs!$C$52+(Inputs!$H$8))^2+Inputs!$C$52^2-2*(Inputs!$C$52+(Inputs!$H$8))*Inputs!$C$52*COS(SQRT((Scenario_Data!V206)^2+Inputs!$C$6^2)/Inputs!$C$52)))-(Inputs!$H$8))*1000/Inputs!$C$12)</x:f>
        <x:v>-123154.43747008915</x:v>
      </x:c>
      <x:c r="M206" t="n">
        <x:f>Scenario_Data!K206-(((SQRT((Inputs!$C$52+(Inputs!$H$9))^2+Inputs!$C$52^2-2*(Inputs!$C$52+(Inputs!$H$9))*Inputs!$C$52*COS(SQRT((Scenario_Data!W206)^2+Inputs!$C$6^2)/Inputs!$C$52)))-(Inputs!$H$9))*1000/Inputs!$C$12)</x:f>
        <x:v>-126738.11882360443</x:v>
      </x:c>
      <x:c r="O206" t="n">
        <x:f>Scenario_Data!T206</x:f>
        <x:v>42</x:v>
      </x:c>
      <x:c r="P206" t="n">
        <x:f>2*(Scenario_Data!B206*1000)/Inputs!$C$21*1000000</x:f>
        <x:v>2681.588474116984</x:v>
      </x:c>
      <x:c r="Q206" t="n">
        <x:f>Scenario_Data!U206</x:f>
        <x:v>280</x:v>
      </x:c>
      <x:c r="R206" t="n">
        <x:f>2*(Scenario_Data!C206*1000)/Inputs!$C$21*1000000</x:f>
        <x:v>1426.6536351624961</x:v>
      </x:c>
      <x:c r="S206" t="n">
        <x:f>Scenario_Data!V206</x:f>
        <x:v>560</x:v>
      </x:c>
      <x:c r="T206" t="n">
        <x:f>2*(Scenario_Data!D206*1000)/Inputs!$C$21*1000000</x:f>
        <x:v>3388.01051492763</x:v>
      </x:c>
      <x:c r="U206" t="n">
        <x:f>Scenario_Data!W206</x:f>
        <x:v>560</x:v>
      </x:c>
      <x:c r="V206" t="n">
        <x:f>2*(Scenario_Data!E206*1000)/Inputs!$C$21*1000000</x:f>
        <x:v>3353.9869772174184</x:v>
      </x:c>
      <x:c r="X206" t="n">
        <x:f>Scenario_Data!T206</x:f>
        <x:v>42</x:v>
      </x:c>
      <x:c r="Y206" t="n">
        <x: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x:f>
        <x:v>2681.3581731791746</x:v>
      </x:c>
      <x:c r="Z206" t="n">
        <x:f>Scenario_Data!U206</x:f>
        <x:v>280</x:v>
      </x:c>
      <x:c r="AA206" t="n">
        <x: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x:f>
        <x:v>1426.519680102296</x:v>
      </x:c>
      <x:c r="AB206" t="n">
        <x:f>Scenario_Data!V206</x:f>
        <x:v>560</x:v>
      </x:c>
      <x:c r="AC206" t="n">
        <x: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x:f>
        <x:v>3387.654474031865</x:v>
      </x:c>
      <x:c r="AD206" t="n">
        <x:f>Scenario_Data!W206</x:f>
        <x:v>560</x:v>
      </x:c>
      <x:c r="AE206" t="n">
        <x: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x:f>
        <x:v>3353.6309363216533</x:v>
      </x:c>
      <x:c r="AG206" t="n">
        <x:f>Scenario_Data!T206</x:f>
        <x:v>42</x:v>
      </x:c>
      <x:c r="AH206" t="n">
        <x:f>2*(SQRT((Inputs!$C$52+(Scenario_Data!B206))^2+Inputs!$C$52^2-2*(Inputs!$C$52+(Scenario_Data!B206))*Inputs!$C$52*COS(SQRT((Scenario_Data!T206)^2+Inputs!$C$6^2)/Inputs!$C$52))*1000)/Inputs!$C$21*1000000</x:f>
        <x:v>2706.402221049479</x:v>
      </x:c>
      <x:c r="AI206" t="n">
        <x:f>Scenario_Data!U206</x:f>
        <x:v>280</x:v>
      </x:c>
      <x:c r="AJ206" t="n">
        <x:f>2*(SQRT((Inputs!$C$52+(Scenario_Data!C206))^2+Inputs!$C$52^2-2*(Inputs!$C$52+(Scenario_Data!C206))*Inputs!$C$52*COS(SQRT((Scenario_Data!U206)^2+Inputs!$C$6^2)/Inputs!$C$52))*1000)/Inputs!$C$21*1000000</x:f>
        <x:v>2454.285166823356</x:v>
      </x:c>
      <x:c r="AK206" t="n">
        <x:f>Scenario_Data!V206</x:f>
        <x:v>560</x:v>
      </x:c>
      <x:c r="AL206" t="n">
        <x:f>2*(SQRT((Inputs!$C$52+(Scenario_Data!D206))^2+Inputs!$C$52^2-2*(Inputs!$C$52+(Scenario_Data!D206))*Inputs!$C$52*COS(SQRT((Scenario_Data!V206)^2+Inputs!$C$6^2)/Inputs!$C$52))*1000)/Inputs!$C$21*1000000</x:f>
        <x:v>5460.3582902555545</x:v>
      </x:c>
      <x:c r="AM206" t="n">
        <x:f>Scenario_Data!W206</x:f>
        <x:v>560</x:v>
      </x:c>
      <x:c r="AN206" t="n">
        <x:f>2*(SQRT((Inputs!$C$52+(Scenario_Data!E206))^2+Inputs!$C$52^2-2*(Inputs!$C$52+(Scenario_Data!E206))*Inputs!$C$52*COS(SQRT((Scenario_Data!W206)^2+Inputs!$C$6^2)/Inputs!$C$52))*1000)/Inputs!$C$21*1000000</x:f>
        <x:v>5435.1558124688245</x:v>
      </x:c>
      <x:c r="AP206" t="n">
        <x:f>Scenario_Data!T206</x:f>
        <x:v>42</x:v>
      </x:c>
      <x:c r="AQ206" t="n">
        <x: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x:f>
        <x:v>2704.614349908813</x:v>
      </x:c>
      <x:c r="AR206" t="n">
        <x:f>Scenario_Data!U206</x:f>
        <x:v>280</x:v>
      </x:c>
      <x:c r="AS206" t="n">
        <x: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x:f>
        <x:v>2453.8264418630224</x:v>
      </x:c>
      <x:c r="AT206" t="n">
        <x:f>Scenario_Data!V206</x:f>
        <x:v>560</x:v>
      </x:c>
      <x:c r="AU206" t="n">
        <x: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x:f>
        <x:v>5459.8605829957</x:v>
      </x:c>
      <x:c r="AV206" t="n">
        <x:f>Scenario_Data!W206</x:f>
        <x:v>560</x:v>
      </x:c>
      <x:c r="AW206" t="n">
        <x: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x:f>
        <x:v>5434.662150530807</x:v>
      </x:c>
    </x:row>
    <x:row r="207">
      <x:c r="A207" t="n">
        <x:f>Chart_Data!K207</x:f>
        <x:v>42.5</x:v>
      </x:c>
      <x:c r="B207" t="n">
        <x:f>Chart_Data!N207-Chart_Data!L207</x:f>
        <x:v>-43.30298834836995</x:v>
      </x:c>
      <x:c r="D207" t="n">
        <x:f>Chart_Data!G207</x:f>
        <x:v>42.5</x:v>
      </x:c>
      <x:c r="E207" t="n">
        <x:f>Chart_Data!H207</x:f>
        <x:v>259.7768551367322</x:v>
      </x:c>
      <x:c r="F207" t="n">
        <x:f>Chart_Data!I207</x:f>
        <x:v>259.7768551367322</x:v>
      </x:c>
      <x:c r="G207" t="n">
        <x:f>Chart_Data!J207</x:f>
        <x:v>40.25127636090155</x:v>
      </x:c>
      <x:c r="I207" t="n">
        <x:f>Scenario_Data!A207</x:f>
        <x:v>0.708</x:v>
      </x:c>
      <x:c r="J207" t="n">
        <x:f>Scenario_Data!H207-(((SQRT((Inputs!$C$52+(Inputs!$H$6))^2+Inputs!$C$52^2-2*(Inputs!$C$52+(Inputs!$H$6))*Inputs!$C$52*COS(SQRT((Scenario_Data!T207)^2+Inputs!$C$6^2)/Inputs!$C$52)))-(Inputs!$H$6))*1000/Inputs!$C$12)</x:f>
        <x:v>-8.379445258978194</x:v>
      </x:c>
      <x:c r="K207" t="n">
        <x:f>Scenario_Data!I207-(((SQRT((Inputs!$C$52+(Inputs!$H$7))^2+Inputs!$C$52^2-2*(Inputs!$C$52+(Inputs!$H$7))*Inputs!$C$52*COS(SQRT((Scenario_Data!U207)^2+Inputs!$C$6^2)/Inputs!$C$52)))-(Inputs!$H$7))*1000/Inputs!$C$12)</x:f>
        <x:v>-55529.124801208076</x:v>
      </x:c>
      <x:c r="L207" t="n">
        <x:f>Scenario_Data!J207-(((SQRT((Inputs!$C$52+(Inputs!$H$8))^2+Inputs!$C$52^2-2*(Inputs!$C$52+(Inputs!$H$8))*Inputs!$C$52*COS(SQRT((Scenario_Data!V207)^2+Inputs!$C$6^2)/Inputs!$C$52)))-(Inputs!$H$8))*1000/Inputs!$C$12)</x:f>
        <x:v>-125094.61059367246</x:v>
      </x:c>
      <x:c r="M207" t="n">
        <x:f>Scenario_Data!K207-(((SQRT((Inputs!$C$52+(Inputs!$H$9))^2+Inputs!$C$52^2-2*(Inputs!$C$52+(Inputs!$H$9))*Inputs!$C$52*COS(SQRT((Scenario_Data!W207)^2+Inputs!$C$6^2)/Inputs!$C$52)))-(Inputs!$H$9))*1000/Inputs!$C$12)</x:f>
        <x:v>-128696.80249462544</x:v>
      </x:c>
      <x:c r="O207" t="n">
        <x:f>Scenario_Data!T207</x:f>
        <x:v>42.480000000000004</x:v>
      </x:c>
      <x:c r="P207" t="n">
        <x:f>2*(Scenario_Data!B207*1000)/Inputs!$C$21*1000000</x:f>
        <x:v>2681.8890553944493</x:v>
      </x:c>
      <x:c r="Q207" t="n">
        <x:f>Scenario_Data!U207</x:f>
        <x:v>283.19999999999993</x:v>
      </x:c>
      <x:c r="R207" t="n">
        <x:f>2*(Scenario_Data!C207*1000)/Inputs!$C$21*1000000</x:f>
        <x:v>1454.0816767311733</x:v>
      </x:c>
      <x:c r="S207" t="n">
        <x:f>Scenario_Data!V207</x:f>
        <x:v>566.3999999999999</x:v>
      </x:c>
      <x:c r="T207" t="n">
        <x:f>2*(Scenario_Data!D207*1000)/Inputs!$C$21*1000000</x:f>
        <x:v>3460.5257481160506</x:v>
      </x:c>
      <x:c r="U207" t="n">
        <x:f>Scenario_Data!W207</x:f>
        <x:v>566.3999999999999</x:v>
      </x:c>
      <x:c r="V207" t="n">
        <x:f>2*(Scenario_Data!E207*1000)/Inputs!$C$21*1000000</x:f>
        <x:v>3427.2536635995016</x:v>
      </x:c>
      <x:c r="X207" t="n">
        <x:f>Scenario_Data!T207</x:f>
        <x:v>42.480000000000004</x:v>
      </x:c>
      <x:c r="Y207" t="n">
        <x: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x:f>
        <x:v>2681.7323374639054</x:v>
      </x:c>
      <x:c r="Z207" t="n">
        <x:f>Scenario_Data!U207</x:f>
        <x:v>283.19999999999993</x:v>
      </x:c>
      <x:c r="AA207" t="n">
        <x: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x:f>
        <x:v>1454.3031298706867</x:v>
      </x:c>
      <x:c r="AB207" t="n">
        <x:f>Scenario_Data!V207</x:f>
        <x:v>566.3999999999999</x:v>
      </x:c>
      <x:c r="AC207" t="n">
        <x: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x:f>
        <x:v>3460.2015967853595</x:v>
      </x:c>
      <x:c r="AD207" t="n">
        <x:f>Scenario_Data!W207</x:f>
        <x:v>566.3999999999999</x:v>
      </x:c>
      <x:c r="AE207" t="n">
        <x: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x:f>
        <x:v>3426.929512268811</x:v>
      </x:c>
      <x:c r="AG207" t="n">
        <x:f>Scenario_Data!T207</x:f>
        <x:v>42.480000000000004</x:v>
      </x:c>
      <x:c r="AH207" t="n">
        <x:f>2*(SQRT((Inputs!$C$52+(Scenario_Data!B207))^2+Inputs!$C$52^2-2*(Inputs!$C$52+(Scenario_Data!B207))*Inputs!$C$52*COS(SQRT((Scenario_Data!T207)^2+Inputs!$C$6^2)/Inputs!$C$52))*1000)/Inputs!$C$21*1000000</x:f>
        <x:v>2707.119762460756</x:v>
      </x:c>
      <x:c r="AI207" t="n">
        <x:f>Scenario_Data!U207</x:f>
        <x:v>283.19999999999993</x:v>
      </x:c>
      <x:c r="AJ207" t="n">
        <x:f>2*(SQRT((Inputs!$C$52+(Scenario_Data!C207))^2+Inputs!$C$52^2-2*(Inputs!$C$52+(Scenario_Data!C207))*Inputs!$C$52*COS(SQRT((Scenario_Data!U207)^2+Inputs!$C$6^2)/Inputs!$C$52))*1000)/Inputs!$C$21*1000000</x:f>
        <x:v>2490.518160948682</x:v>
      </x:c>
      <x:c r="AK207" t="n">
        <x:f>Scenario_Data!V207</x:f>
        <x:v>566.3999999999999</x:v>
      </x:c>
      <x:c r="AL207" t="n">
        <x:f>2*(SQRT((Inputs!$C$52+(Scenario_Data!D207))^2+Inputs!$C$52^2-2*(Inputs!$C$52+(Scenario_Data!D207))*Inputs!$C$52*COS(SQRT((Scenario_Data!V207)^2+Inputs!$C$6^2)/Inputs!$C$52))*1000)/Inputs!$C$21*1000000</x:f>
        <x:v>5552.181921221128</x:v>
      </x:c>
      <x:c r="AM207" t="n">
        <x:f>Scenario_Data!W207</x:f>
        <x:v>566.3999999999999</x:v>
      </x:c>
      <x:c r="AN207" t="n">
        <x:f>2*(SQRT((Inputs!$C$52+(Scenario_Data!E207))^2+Inputs!$C$52^2-2*(Inputs!$C$52+(Scenario_Data!E207))*Inputs!$C$52*COS(SQRT((Scenario_Data!W207)^2+Inputs!$C$6^2)/Inputs!$C$52))*1000)/Inputs!$C$21*1000000</x:f>
        <x:v>5527.4172410510055</x:v>
      </x:c>
      <x:c r="AP207" t="n">
        <x:f>Scenario_Data!T207</x:f>
        <x:v>42.480000000000004</x:v>
      </x:c>
      <x:c r="AQ207" t="n">
        <x: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x:f>
        <x:v>2705.349531148823</x:v>
      </x:c>
      <x:c r="AR207" t="n">
        <x:f>Scenario_Data!U207</x:f>
        <x:v>283.19999999999993</x:v>
      </x:c>
      <x:c r="AS207" t="n">
        <x: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x:f>
        <x:v>2490.2166397829856</x:v>
      </x:c>
      <x:c r="AT207" t="n">
        <x:f>Scenario_Data!V207</x:f>
        <x:v>566.3999999999999</x:v>
      </x:c>
      <x:c r="AU207" t="n">
        <x: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x:f>
        <x:v>5551.638851287593</x:v>
      </x:c>
      <x:c r="AV207" t="n">
        <x:f>Scenario_Data!W207</x:f>
        <x:v>566.3999999999999</x:v>
      </x:c>
      <x:c r="AW207" t="n">
        <x: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x:f>
        <x:v>5526.87837903783</x:v>
      </x:c>
    </x:row>
    <x:row r="208">
      <x:c r="A208" t="n">
        <x:f>Chart_Data!K208</x:f>
        <x:v>43</x:v>
      </x:c>
      <x:c r="B208" t="n">
        <x:f>Chart_Data!N208-Chart_Data!L208</x:f>
        <x:v>-36.28244299194577</x:v>
      </x:c>
      <x:c r="D208" t="n">
        <x:f>Chart_Data!G208</x:f>
        <x:v>43</x:v>
      </x:c>
      <x:c r="E208" t="n">
        <x:f>Chart_Data!H208</x:f>
        <x:v>247.2629698422237</x:v>
      </x:c>
      <x:c r="F208" t="n">
        <x:f>Chart_Data!I208</x:f>
        <x:v>247.2629698422237</x:v>
      </x:c>
      <x:c r="G208" t="n">
        <x:f>Chart_Data!J208</x:f>
        <x:v>33.32797910139238</x:v>
      </x:c>
      <x:c r="I208" t="n">
        <x:f>Scenario_Data!A208</x:f>
        <x:v>0.717</x:v>
      </x:c>
      <x:c r="J208" t="n">
        <x:f>Scenario_Data!H208-(((SQRT((Inputs!$C$52+(Inputs!$H$6))^2+Inputs!$C$52^2-2*(Inputs!$C$52+(Inputs!$H$6))*Inputs!$C$52*COS(SQRT((Scenario_Data!T208)^2+Inputs!$C$6^2)/Inputs!$C$52)))-(Inputs!$H$6))*1000/Inputs!$C$12)</x:f>
        <x:v>-8.753503156986426</x:v>
      </x:c>
      <x:c r="K208" t="n">
        <x:f>Scenario_Data!I208-(((SQRT((Inputs!$C$52+(Inputs!$H$7))^2+Inputs!$C$52^2-2*(Inputs!$C$52+(Inputs!$H$7))*Inputs!$C$52*COS(SQRT((Scenario_Data!U208)^2+Inputs!$C$6^2)/Inputs!$C$52)))-(Inputs!$H$7))*1000/Inputs!$C$12)</x:f>
        <x:v>-56713.231033901524</x:v>
      </x:c>
      <x:c r="L208" t="n">
        <x:f>Scenario_Data!J208-(((SQRT((Inputs!$C$52+(Inputs!$H$8))^2+Inputs!$C$52^2-2*(Inputs!$C$52+(Inputs!$H$8))*Inputs!$C$52*COS(SQRT((Scenario_Data!V208)^2+Inputs!$C$6^2)/Inputs!$C$52)))-(Inputs!$H$8))*1000/Inputs!$C$12)</x:f>
        <x:v>-127273.67283059817</x:v>
      </x:c>
      <x:c r="M208" t="n">
        <x:f>Scenario_Data!K208-(((SQRT((Inputs!$C$52+(Inputs!$H$9))^2+Inputs!$C$52^2-2*(Inputs!$C$52+(Inputs!$H$9))*Inputs!$C$52*COS(SQRT((Scenario_Data!W208)^2+Inputs!$C$6^2)/Inputs!$C$52)))-(Inputs!$H$9))*1000/Inputs!$C$12)</x:f>
        <x:v>-130896.1058035729</x:v>
      </x:c>
      <x:c r="O208" t="n">
        <x:f>Scenario_Data!T208</x:f>
        <x:v>43.02000000000001</x:v>
      </x:c>
      <x:c r="P208" t="n">
        <x:f>2*(Scenario_Data!B208*1000)/Inputs!$C$21*1000000</x:f>
        <x:v>2682.231292156122</x:v>
      </x:c>
      <x:c r="Q208" t="n">
        <x:f>Scenario_Data!U208</x:f>
        <x:v>286.80000000000007</x:v>
      </x:c>
      <x:c r="R208" t="n">
        <x:f>2*(Scenario_Data!C208*1000)/Inputs!$C$21*1000000</x:f>
        <x:v>1485.3107812338633</x:v>
      </x:c>
      <x:c r="S208" t="n">
        <x:f>Scenario_Data!V208</x:f>
        <x:v>573.6000000000001</x:v>
      </x:c>
      <x:c r="T208" t="n">
        <x:f>2*(Scenario_Data!D208*1000)/Inputs!$C$21*1000000</x:f>
        <x:v>3543.090366869737</x:v>
      </x:c>
      <x:c r="U208" t="n">
        <x:f>Scenario_Data!W208</x:f>
        <x:v>573.6000000000001</x:v>
      </x:c>
      <x:c r="V208" t="n">
        <x:f>2*(Scenario_Data!E208*1000)/Inputs!$C$21*1000000</x:f>
        <x:v>3510.673874257372</x:v>
      </x:c>
      <x:c r="X208" t="n">
        <x:f>Scenario_Data!T208</x:f>
        <x:v>43.02000000000001</x:v>
      </x:c>
      <x:c r="Y208" t="n">
        <x: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x:f>
        <x:v>2682.021911892592</x:v>
      </x:c>
      <x:c r="Z208" t="n">
        <x:f>Scenario_Data!U208</x:f>
        <x:v>286.80000000000007</x:v>
      </x:c>
      <x:c r="AA208" t="n">
        <x: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x:f>
        <x:v>1485.1953185400328</x:v>
      </x:c>
      <x:c r="AB208" t="n">
        <x:f>Scenario_Data!V208</x:f>
        <x:v>573.6000000000001</x:v>
      </x:c>
      <x:c r="AC208" t="n">
        <x: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x:f>
        <x:v>3542.824705902011</x:v>
      </x:c>
      <x:c r="AD208" t="n">
        <x:f>Scenario_Data!W208</x:f>
        <x:v>573.6000000000001</x:v>
      </x:c>
      <x:c r="AE208" t="n">
        <x: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x:f>
        <x:v>3510.4082132896456</x:v>
      </x:c>
      <x:c r="AG208" t="n">
        <x:f>Scenario_Data!T208</x:f>
        <x:v>43.02000000000001</x:v>
      </x:c>
      <x:c r="AH208" t="n">
        <x:f>2*(SQRT((Inputs!$C$52+(Scenario_Data!B208))^2+Inputs!$C$52^2-2*(Inputs!$C$52+(Scenario_Data!B208))*Inputs!$C$52*COS(SQRT((Scenario_Data!T208)^2+Inputs!$C$6^2)/Inputs!$C$52))*1000)/Inputs!$C$21*1000000</x:f>
        <x:v>2707.9365741255974</x:v>
      </x:c>
      <x:c r="AI208" t="n">
        <x:f>Scenario_Data!U208</x:f>
        <x:v>286.80000000000007</x:v>
      </x:c>
      <x:c r="AJ208" t="n">
        <x:f>2*(SQRT((Inputs!$C$52+(Scenario_Data!C208))^2+Inputs!$C$52^2-2*(Inputs!$C$52+(Scenario_Data!C208))*Inputs!$C$52*COS(SQRT((Scenario_Data!U208)^2+Inputs!$C$6^2)/Inputs!$C$52))*1000)/Inputs!$C$21*1000000</x:f>
        <x:v>2531.601221281773</x:v>
      </x:c>
      <x:c r="AK208" t="n">
        <x:f>Scenario_Data!V208</x:f>
        <x:v>573.6000000000001</x:v>
      </x:c>
      <x:c r="AL208" t="n">
        <x:f>2*(SQRT((Inputs!$C$52+(Scenario_Data!D208))^2+Inputs!$C$52^2-2*(Inputs!$C$52+(Scenario_Data!D208))*Inputs!$C$52*COS(SQRT((Scenario_Data!V208)^2+Inputs!$C$6^2)/Inputs!$C$52))*1000)/Inputs!$C$21*1000000</x:f>
        <x:v>5656.495804293952</x:v>
      </x:c>
      <x:c r="AM208" t="n">
        <x:f>Scenario_Data!W208</x:f>
        <x:v>573.6000000000001</x:v>
      </x:c>
      <x:c r="AN208" t="n">
        <x:f>2*(SQRT((Inputs!$C$52+(Scenario_Data!E208))^2+Inputs!$C$52^2-2*(Inputs!$C$52+(Scenario_Data!E208))*Inputs!$C$52*COS(SQRT((Scenario_Data!W208)^2+Inputs!$C$6^2)/Inputs!$C$52))*1000)/Inputs!$C$21*1000000</x:f>
        <x:v>5632.239789639232</x:v>
      </x:c>
      <x:c r="AP208" t="n">
        <x:f>Scenario_Data!T208</x:f>
        <x:v>43.02000000000001</x:v>
      </x:c>
      <x:c r="AQ208" t="n">
        <x: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x:f>
        <x:v>2706.4288747660044</x:v>
      </x:c>
      <x:c r="AR208" t="n">
        <x:f>Scenario_Data!U208</x:f>
        <x:v>286.80000000000007</x:v>
      </x:c>
      <x:c r="AS208" t="n">
        <x: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x:f>
        <x:v>2531.154808755311</x:v>
      </x:c>
      <x:c r="AT208" t="n">
        <x:f>Scenario_Data!V208</x:f>
        <x:v>573.6000000000001</x:v>
      </x:c>
      <x:c r="AU208" t="n">
        <x: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x:f>
        <x:v>5656.251189079561</x:v>
      </x:c>
      <x:c r="AV208" t="n">
        <x:f>Scenario_Data!W208</x:f>
        <x:v>573.6000000000001</x:v>
      </x:c>
      <x:c r="AW208" t="n">
        <x: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x:f>
        <x:v>5631.996968936285</x:v>
      </x:c>
    </x:row>
    <x:row r="209">
      <x:c r="A209" t="n">
        <x:f>Chart_Data!K209</x:f>
        <x:v>43.5</x:v>
      </x:c>
      <x:c r="B209" t="n">
        <x:f>Chart_Data!N209-Chart_Data!L209</x:f>
        <x:v>-23.261421172805</x:v>
      </x:c>
      <x:c r="D209" t="n">
        <x:f>Chart_Data!G209</x:f>
        <x:v>43.5</x:v>
      </x:c>
      <x:c r="E209" t="n">
        <x:f>Chart_Data!H209</x:f>
        <x:v>225.35528260314678</x:v>
      </x:c>
      <x:c r="F209" t="n">
        <x:f>Chart_Data!I209</x:f>
        <x:v>225.35528260314678</x:v>
      </x:c>
      <x:c r="G209" t="n">
        <x:f>Chart_Data!J209</x:f>
        <x:v>20.522948331606614</x:v>
      </x:c>
      <x:c r="I209" t="n">
        <x:f>Scenario_Data!A209</x:f>
        <x:v>0.725</x:v>
      </x:c>
      <x:c r="J209" t="n">
        <x:f>Scenario_Data!H209-(((SQRT((Inputs!$C$52+(Inputs!$H$6))^2+Inputs!$C$52^2-2*(Inputs!$C$52+(Inputs!$H$6))*Inputs!$C$52*COS(SQRT((Scenario_Data!T209)^2+Inputs!$C$6^2)/Inputs!$C$52)))-(Inputs!$H$6))*1000/Inputs!$C$12)</x:f>
        <x:v>-9.096655219469085</x:v>
      </x:c>
      <x:c r="K209" t="n">
        <x:f>Scenario_Data!I209-(((SQRT((Inputs!$C$52+(Inputs!$H$7))^2+Inputs!$C$52^2-2*(Inputs!$C$52+(Inputs!$H$7))*Inputs!$C$52*COS(SQRT((Scenario_Data!U209)^2+Inputs!$C$6^2)/Inputs!$C$52)))-(Inputs!$H$7))*1000/Inputs!$C$12)</x:f>
        <x:v>-57769.785871170316</x:v>
      </x:c>
      <x:c r="L209" t="n">
        <x:f>Scenario_Data!J209-(((SQRT((Inputs!$C$52+(Inputs!$H$8))^2+Inputs!$C$52^2-2*(Inputs!$C$52+(Inputs!$H$8))*Inputs!$C$52*COS(SQRT((Scenario_Data!V209)^2+Inputs!$C$6^2)/Inputs!$C$52)))-(Inputs!$H$8))*1000/Inputs!$C$12)</x:f>
        <x:v>-129207.10406628711</x:v>
      </x:c>
      <x:c r="M209" t="n">
        <x:f>Scenario_Data!K209-(((SQRT((Inputs!$C$52+(Inputs!$H$9))^2+Inputs!$C$52^2-2*(Inputs!$C$52+(Inputs!$H$9))*Inputs!$C$52*COS(SQRT((Scenario_Data!W209)^2+Inputs!$C$6^2)/Inputs!$C$52)))-(Inputs!$H$9))*1000/Inputs!$C$12)</x:f>
        <x:v>-132847.0183380536</x:v>
      </x:c>
      <x:c r="O209" t="n">
        <x:f>Scenario_Data!T209</x:f>
        <x:v>43.5</x:v>
      </x:c>
      <x:c r="P209" t="n">
        <x:f>2*(Scenario_Data!B209*1000)/Inputs!$C$21*1000000</x:f>
        <x:v>2682.539131788299</x:v>
      </x:c>
      <x:c r="Q209" t="n">
        <x:f>Scenario_Data!U209</x:f>
        <x:v>290</x:v>
      </x:c>
      <x:c r="R209" t="n">
        <x:f>2*(Scenario_Data!C209*1000)/Inputs!$C$21*1000000</x:f>
        <x:v>1513.401147669966</x:v>
      </x:c>
      <x:c r="S209" t="n">
        <x:f>Scenario_Data!V209</x:f>
        <x:v>580</x:v>
      </x:c>
      <x:c r="T209" t="n">
        <x:f>2*(Scenario_Data!D209*1000)/Inputs!$C$21*1000000</x:f>
        <x:v>3617.3566781323107</x:v>
      </x:c>
      <x:c r="U209" t="n">
        <x:f>Scenario_Data!W209</x:f>
        <x:v>580</x:v>
      </x:c>
      <x:c r="V209" t="n">
        <x:f>2*(Scenario_Data!E209*1000)/Inputs!$C$21*1000000</x:f>
        <x:v>3585.709784600385</x:v>
      </x:c>
      <x:c r="X209" t="n">
        <x:f>Scenario_Data!T209</x:f>
        <x:v>43.5</x:v>
      </x:c>
      <x:c r="Y209" t="n">
        <x: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x:f>
        <x:v>2682.402217414478</x:v>
      </x:c>
      <x:c r="Z209" t="n">
        <x:f>Scenario_Data!U209</x:f>
        <x:v>290</x:v>
      </x:c>
      <x:c r="AA209" t="n">
        <x: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x:f>
        <x:v>1512.9108568074805</x:v>
      </x:c>
      <x:c r="AB209" t="n">
        <x:f>Scenario_Data!V209</x:f>
        <x:v>580</x:v>
      </x:c>
      <x:c r="AC209" t="n">
        <x: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x:f>
        <x:v>3616.803052164902</x:v>
      </x:c>
      <x:c r="AD209" t="n">
        <x:f>Scenario_Data!W209</x:f>
        <x:v>580</x:v>
      </x:c>
      <x:c r="AE209" t="n">
        <x: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x:f>
        <x:v>3585.1561586329767</x:v>
      </x:c>
      <x:c r="AG209" t="n">
        <x:f>Scenario_Data!T209</x:f>
        <x:v>43.5</x:v>
      </x:c>
      <x:c r="AH209" t="n">
        <x:f>2*(SQRT((Inputs!$C$52+(Scenario_Data!B209))^2+Inputs!$C$52^2-2*(Inputs!$C$52+(Scenario_Data!B209))*Inputs!$C$52*COS(SQRT((Scenario_Data!T209)^2+Inputs!$C$6^2)/Inputs!$C$52))*1000)/Inputs!$C$21*1000000</x:f>
        <x:v>2708.6711371730257</x:v>
      </x:c>
      <x:c r="AI209" t="n">
        <x:f>Scenario_Data!U209</x:f>
        <x:v>290</x:v>
      </x:c>
      <x:c r="AJ209" t="n">
        <x:f>2*(SQRT((Inputs!$C$52+(Scenario_Data!C209))^2+Inputs!$C$52^2-2*(Inputs!$C$52+(Scenario_Data!C209))*Inputs!$C$52*COS(SQRT((Scenario_Data!U209)^2+Inputs!$C$6^2)/Inputs!$C$52))*1000)/Inputs!$C$21*1000000</x:f>
        <x:v>2568.4063111009086</x:v>
      </x:c>
      <x:c r="AK209" t="n">
        <x:f>Scenario_Data!V209</x:f>
        <x:v>580</x:v>
      </x:c>
      <x:c r="AL209" t="n">
        <x:f>2*(SQRT((Inputs!$C$52+(Scenario_Data!D209))^2+Inputs!$C$52^2-2*(Inputs!$C$52+(Scenario_Data!D209))*Inputs!$C$52*COS(SQRT((Scenario_Data!V209)^2+Inputs!$C$6^2)/Inputs!$C$52))*1000)/Inputs!$C$21*1000000</x:f>
        <x:v>5750.1221522344285</x:v>
      </x:c>
      <x:c r="AM209" t="n">
        <x:f>Scenario_Data!W209</x:f>
        <x:v>580</x:v>
      </x:c>
      <x:c r="AN209" t="n">
        <x:f>2*(SQRT((Inputs!$C$52+(Scenario_Data!E209))^2+Inputs!$C$52^2-2*(Inputs!$C$52+(Scenario_Data!E209))*Inputs!$C$52*COS(SQRT((Scenario_Data!W209)^2+Inputs!$C$6^2)/Inputs!$C$52))*1000)/Inputs!$C$21*1000000</x:f>
        <x:v>5726.332575075653</x:v>
      </x:c>
      <x:c r="AP209" t="n">
        <x:f>Scenario_Data!T209</x:f>
        <x:v>43.5</x:v>
      </x:c>
      <x:c r="AQ209" t="n">
        <x: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x:f>
        <x:v>2707.1859976785427</x:v>
      </x:c>
      <x:c r="AR209" t="n">
        <x:f>Scenario_Data!U209</x:f>
        <x:v>290</x:v>
      </x:c>
      <x:c r="AS209" t="n">
        <x: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x:f>
        <x:v>2567.7411755466196</x:v>
      </x:c>
      <x:c r="AT209" t="n">
        <x:f>Scenario_Data!V209</x:f>
        <x:v>580</x:v>
      </x:c>
      <x:c r="AU209" t="n">
        <x: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x:f>
        <x:v>5749.3574043712215</x:v>
      </x:c>
      <x:c r="AV209" t="n">
        <x:f>Scenario_Data!W209</x:f>
        <x:v>580</x:v>
      </x:c>
      <x:c r="AW209" t="n">
        <x: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x:f>
        <x:v>5725.5731708500725</x:v>
      </x:c>
    </x:row>
    <x:row r="210">
      <x:c r="A210" t="n">
        <x:f>Chart_Data!K210</x:f>
        <x:v>44</x:v>
      </x:c>
      <x:c r="B210" t="n">
        <x:f>Chart_Data!N210-Chart_Data!L210</x:f>
        <x:v>-9.63259125781883</x:v>
      </x:c>
      <x:c r="D210" t="n">
        <x:f>Chart_Data!G210</x:f>
        <x:v>44</x:v>
      </x:c>
      <x:c r="E210" t="n">
        <x:f>Chart_Data!H210</x:f>
        <x:v>208.84015984832814</x:v>
      </x:c>
      <x:c r="F210" t="n">
        <x:f>Chart_Data!I210</x:f>
        <x:v>208.84015984832814</x:v>
      </x:c>
      <x:c r="G210" t="n">
        <x:f>Chart_Data!J210</x:f>
        <x:v>7.051899638170276</x:v>
      </x:c>
      <x:c r="I210" t="n">
        <x:f>Scenario_Data!A210</x:f>
        <x:v>0.733</x:v>
      </x:c>
      <x:c r="J210" t="n">
        <x:f>Scenario_Data!H210-(((SQRT((Inputs!$C$52+(Inputs!$H$6))^2+Inputs!$C$52^2-2*(Inputs!$C$52+(Inputs!$H$6))*Inputs!$C$52*COS(SQRT((Scenario_Data!T210)^2+Inputs!$C$6^2)/Inputs!$C$52)))-(Inputs!$H$6))*1000/Inputs!$C$12)</x:f>
        <x:v>-9.45004867322723</x:v>
      </x:c>
      <x:c r="K210" t="n">
        <x:f>Scenario_Data!I210-(((SQRT((Inputs!$C$52+(Inputs!$H$7))^2+Inputs!$C$52^2-2*(Inputs!$C$52+(Inputs!$H$7))*Inputs!$C$52*COS(SQRT((Scenario_Data!U210)^2+Inputs!$C$6^2)/Inputs!$C$52)))-(Inputs!$H$7))*1000/Inputs!$C$12)</x:f>
        <x:v>-58829.984333780376</x:v>
      </x:c>
      <x:c r="L210" t="n">
        <x:f>Scenario_Data!J210-(((SQRT((Inputs!$C$52+(Inputs!$H$8))^2+Inputs!$C$52^2-2*(Inputs!$C$52+(Inputs!$H$8))*Inputs!$C$52*COS(SQRT((Scenario_Data!V210)^2+Inputs!$C$6^2)/Inputs!$C$52)))-(Inputs!$H$8))*1000/Inputs!$C$12)</x:f>
        <x:v>-131136.96927609123</x:v>
      </x:c>
      <x:c r="M210" t="n">
        <x:f>Scenario_Data!K210-(((SQRT((Inputs!$C$52+(Inputs!$H$9))^2+Inputs!$C$52^2-2*(Inputs!$C$52+(Inputs!$H$9))*Inputs!$C$52*COS(SQRT((Scenario_Data!W210)^2+Inputs!$C$6^2)/Inputs!$C$52)))-(Inputs!$H$9))*1000/Inputs!$C$12)</x:f>
        <x:v>-134793.8913710381</x:v>
      </x:c>
      <x:c r="O210" t="n">
        <x:f>Scenario_Data!T210</x:f>
        <x:v>43.980000000000004</x:v>
      </x:c>
      <x:c r="P210" t="n">
        <x:f>2*(Scenario_Data!B210*1000)/Inputs!$C$21*1000000</x:f>
        <x:v>2682.85038711681</x:v>
      </x:c>
      <x:c r="Q210" t="n">
        <x:f>Scenario_Data!U210</x:f>
        <x:v>293.20000000000005</x:v>
      </x:c>
      <x:c r="R210" t="n">
        <x:f>2*(Scenario_Data!C210*1000)/Inputs!$C$21*1000000</x:f>
        <x:v>1541.803196396622</x:v>
      </x:c>
      <x:c r="S210" t="n">
        <x:f>Scenario_Data!V210</x:f>
        <x:v>586.4000000000001</x:v>
      </x:c>
      <x:c r="T210" t="n">
        <x:f>2*(Scenario_Data!D210*1000)/Inputs!$C$21*1000000</x:f>
        <x:v>3692.4470261356614</x:v>
      </x:c>
      <x:c r="U210" t="n">
        <x:f>Scenario_Data!W210</x:f>
        <x:v>586.4000000000001</x:v>
      </x:c>
      <x:c r="V210" t="n">
        <x:f>2*(Scenario_Data!E210*1000)/Inputs!$C$21*1000000</x:f>
        <x:v>3661.5782709250157</x:v>
      </x:c>
      <x:c r="X210" t="n">
        <x:f>Scenario_Data!T210</x:f>
        <x:v>43.980000000000004</x:v>
      </x:c>
      <x:c r="Y210" t="n">
        <x: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x:f>
        <x:v>2682.7748799157594</x:v>
      </x:c>
      <x:c r="Z210" t="n">
        <x:f>Scenario_Data!U210</x:f>
        <x:v>293.20000000000005</x:v>
      </x:c>
      <x:c r="AA210" t="n">
        <x: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x:f>
        <x:v>1541.4540654481948</x:v>
      </x:c>
      <x:c r="AB210" t="n">
        <x:f>Scenario_Data!V210</x:f>
        <x:v>586.4000000000001</x:v>
      </x:c>
      <x:c r="AC210" t="n">
        <x: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x:f>
        <x:v>3692.183049402466</x:v>
      </x:c>
      <x:c r="AD210" t="n">
        <x:f>Scenario_Data!W210</x:f>
        <x:v>586.4000000000001</x:v>
      </x:c>
      <x:c r="AE210" t="n">
        <x: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x:f>
        <x:v>3661.3142941918195</x:v>
      </x:c>
      <x:c r="AG210" t="n">
        <x:f>Scenario_Data!T210</x:f>
        <x:v>43.980000000000004</x:v>
      </x:c>
      <x:c r="AH210" t="n">
        <x:f>2*(SQRT((Inputs!$C$52+(Scenario_Data!B210))^2+Inputs!$C$52^2-2*(Inputs!$C$52+(Scenario_Data!B210))*Inputs!$C$52*COS(SQRT((Scenario_Data!T210)^2+Inputs!$C$6^2)/Inputs!$C$52))*1000)/Inputs!$C$21*1000000</x:f>
        <x:v>2709.41370305717</x:v>
      </x:c>
      <x:c r="AI210" t="n">
        <x:f>Scenario_Data!U210</x:f>
        <x:v>293.20000000000005</x:v>
      </x:c>
      <x:c r="AJ210" t="n">
        <x:f>2*(SQRT((Inputs!$C$52+(Scenario_Data!C210))^2+Inputs!$C$52^2-2*(Inputs!$C$52+(Scenario_Data!C210))*Inputs!$C$52*COS(SQRT((Scenario_Data!U210)^2+Inputs!$C$6^2)/Inputs!$C$52))*1000)/Inputs!$C$21*1000000</x:f>
        <x:v>2605.4827634648645</x:v>
      </x:c>
      <x:c r="AK210" t="n">
        <x:f>Scenario_Data!V210</x:f>
        <x:v>586.4000000000001</x:v>
      </x:c>
      <x:c r="AL210" t="n">
        <x:f>2*(SQRT((Inputs!$C$52+(Scenario_Data!D210))^2+Inputs!$C$52^2-2*(Inputs!$C$52+(Scenario_Data!D210))*Inputs!$C$52*COS(SQRT((Scenario_Data!V210)^2+Inputs!$C$6^2)/Inputs!$C$52))*1000)/Inputs!$C$21*1000000</x:f>
        <x:v>5844.601093061466</x:v>
      </x:c>
      <x:c r="AM210" t="n">
        <x:f>Scenario_Data!W210</x:f>
        <x:v>586.4000000000001</x:v>
      </x:c>
      <x:c r="AN210" t="n">
        <x:f>2*(SQRT((Inputs!$C$52+(Scenario_Data!E210))^2+Inputs!$C$52^2-2*(Inputs!$C$52+(Scenario_Data!E210))*Inputs!$C$52*COS(SQRT((Scenario_Data!W210)^2+Inputs!$C$6^2)/Inputs!$C$52))*1000)/Inputs!$C$21*1000000</x:f>
        <x:v>5821.291346397364</x:v>
      </x:c>
      <x:c r="AP210" t="n">
        <x:f>Scenario_Data!T210</x:f>
        <x:v>43.980000000000004</x:v>
      </x:c>
      <x:c r="AQ210" t="n">
        <x: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x:f>
        <x:v>2708.0535136916324</x:v>
      </x:c>
      <x:c r="AR210" t="n">
        <x:f>Scenario_Data!U210</x:f>
        <x:v>293.20000000000005</x:v>
      </x:c>
      <x:c r="AS210" t="n">
        <x: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x:f>
        <x:v>2604.7028372749974</x:v>
      </x:c>
      <x:c r="AT210" t="n">
        <x:f>Scenario_Data!V210</x:f>
        <x:v>586.4000000000001</x:v>
      </x:c>
      <x:c r="AU210" t="n">
        <x: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x:f>
        <x:v>5844.274620092532</x:v>
      </x:c>
      <x:c r="AV210" t="n">
        <x:f>Scenario_Data!W210</x:f>
        <x:v>586.4000000000001</x:v>
      </x:c>
      <x:c r="AW210" t="n">
        <x: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x:f>
        <x:v>5820.9670434296495</x:v>
      </x:c>
    </x:row>
    <x:row r="211">
      <x:c r="A211" t="n">
        <x:f>Chart_Data!K211</x:f>
        <x:v>44.5</x:v>
      </x:c>
      <x:c r="B211" t="n">
        <x:f>Chart_Data!N211-Chart_Data!L211</x:f>
        <x:v>1.0351428006268861</x:v>
      </x:c>
      <x:c r="D211" t="n">
        <x:f>Chart_Data!G211</x:f>
        <x:v>44.5</x:v>
      </x:c>
      <x:c r="E211" t="n">
        <x:f>Chart_Data!H211</x:f>
        <x:v>178.96296340227542</x:v>
      </x:c>
      <x:c r="F211" t="n">
        <x:f>Chart_Data!I211</x:f>
        <x:v>178.96296340227542</x:v>
      </x:c>
      <x:c r="G211" t="n">
        <x:f>Chart_Data!J211</x:f>
        <x:v>-3.283716108943903</x:v>
      </x:c>
      <x:c r="I211" t="n">
        <x:f>Scenario_Data!A211</x:f>
        <x:v>0.742</x:v>
      </x:c>
      <x:c r="J211" t="n">
        <x:f>Scenario_Data!H211-(((SQRT((Inputs!$C$52+(Inputs!$H$6))^2+Inputs!$C$52^2-2*(Inputs!$C$52+(Inputs!$H$6))*Inputs!$C$52*COS(SQRT((Scenario_Data!T211)^2+Inputs!$C$6^2)/Inputs!$C$52)))-(Inputs!$H$6))*1000/Inputs!$C$12)</x:f>
        <x:v>-9.86011393674653</x:v>
      </x:c>
      <x:c r="K211" t="n">
        <x:f>Scenario_Data!I211-(((SQRT((Inputs!$C$52+(Inputs!$H$7))^2+Inputs!$C$52^2-2*(Inputs!$C$52+(Inputs!$H$7))*Inputs!$C$52*COS(SQRT((Scenario_Data!U211)^2+Inputs!$C$6^2)/Inputs!$C$52)))-(Inputs!$H$7))*1000/Inputs!$C$12)</x:f>
        <x:v>-60026.903256236474</x:v>
      </x:c>
      <x:c r="L211" t="n">
        <x:f>Scenario_Data!J211-(((SQRT((Inputs!$C$52+(Inputs!$H$8))^2+Inputs!$C$52^2-2*(Inputs!$C$52+(Inputs!$H$8))*Inputs!$C$52*COS(SQRT((Scenario_Data!V211)^2+Inputs!$C$6^2)/Inputs!$C$52)))-(Inputs!$H$8))*1000/Inputs!$C$12)</x:f>
        <x:v>-133303.50387707388</x:v>
      </x:c>
      <x:c r="M211" t="n">
        <x:f>Scenario_Data!K211-(((SQRT((Inputs!$C$52+(Inputs!$H$9))^2+Inputs!$C$52^2-2*(Inputs!$C$52+(Inputs!$H$9))*Inputs!$C$52*COS(SQRT((Scenario_Data!W211)^2+Inputs!$C$6^2)/Inputs!$C$52)))-(Inputs!$H$9))*1000/Inputs!$C$12)</x:f>
        <x:v>-136979.00244933437</x:v>
      </x:c>
      <x:c r="O211" t="n">
        <x:f>Scenario_Data!T211</x:f>
        <x:v>44.519999999999996</x:v>
      </x:c>
      <x:c r="P211" t="n">
        <x:f>2*(Scenario_Data!B211*1000)/Inputs!$C$21*1000000</x:f>
        <x:v>2683.20463218591</x:v>
      </x:c>
      <x:c r="Q211" t="n">
        <x:f>Scenario_Data!U211</x:f>
        <x:v>296.79999999999995</x:v>
      </x:c>
      <x:c r="R211" t="n">
        <x:f>2*(Scenario_Data!C211*1000)/Inputs!$C$21*1000000</x:f>
        <x:v>1574.1280589520366</x:v>
      </x:c>
      <x:c r="S211" t="n">
        <x:f>Scenario_Data!V211</x:f>
        <x:v>593.5999999999999</x:v>
      </x:c>
      <x:c r="T211" t="n">
        <x:f>2*(Scenario_Data!D211*1000)/Inputs!$C$21*1000000</x:f>
        <x:v>3777.90864905614</x:v>
      </x:c>
      <x:c r="U211" t="n">
        <x:f>Scenario_Data!W211</x:f>
        <x:v>593.5999999999999</x:v>
      </x:c>
      <x:c r="V211" t="n">
        <x:f>2*(Scenario_Data!E211*1000)/Inputs!$C$21*1000000</x:f>
        <x:v>3747.9255065182456</x:v>
      </x:c>
      <x:c r="X211" t="n">
        <x:f>Scenario_Data!T211</x:f>
        <x:v>44.519999999999996</x:v>
      </x:c>
      <x:c r="Y211" t="n">
        <x: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x:f>
        <x:v>2683.2285243627853</x:v>
      </x:c>
      <x:c r="Z211" t="n">
        <x:f>Scenario_Data!U211</x:f>
        <x:v>296.79999999999995</x:v>
      </x:c>
      <x:c r="AA211" t="n">
        <x: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x:f>
        <x:v>1574.197633849197</x:v>
      </x:c>
      <x:c r="AB211" t="n">
        <x:f>Scenario_Data!V211</x:f>
        <x:v>593.5999999999999</x:v>
      </x:c>
      <x:c r="AC211" t="n">
        <x: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x:f>
        <x:v>3777.6203108286313</x:v>
      </x:c>
      <x:c r="AD211" t="n">
        <x:f>Scenario_Data!W211</x:f>
        <x:v>593.5999999999999</x:v>
      </x:c>
      <x:c r="AE211" t="n">
        <x: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x:f>
        <x:v>3747.6371682907366</x:v>
      </x:c>
      <x:c r="AG211" t="n">
        <x:f>Scenario_Data!T211</x:f>
        <x:v>44.519999999999996</x:v>
      </x:c>
      <x:c r="AH211" t="n">
        <x:f>2*(SQRT((Inputs!$C$52+(Scenario_Data!B211))^2+Inputs!$C$52^2-2*(Inputs!$C$52+(Scenario_Data!B211))*Inputs!$C$52*COS(SQRT((Scenario_Data!T211)^2+Inputs!$C$6^2)/Inputs!$C$52))*1000)/Inputs!$C$21*1000000</x:f>
        <x:v>2710.258649634195</x:v>
      </x:c>
      <x:c r="AI211" t="n">
        <x:f>Scenario_Data!U211</x:f>
        <x:v>296.79999999999995</x:v>
      </x:c>
      <x:c r="AJ211" t="n">
        <x:f>2*(SQRT((Inputs!$C$52+(Scenario_Data!C211))^2+Inputs!$C$52^2-2*(Inputs!$C$52+(Scenario_Data!C211))*Inputs!$C$52*COS(SQRT((Scenario_Data!U211)^2+Inputs!$C$6^2)/Inputs!$C$52))*1000)/Inputs!$C$21*1000000</x:f>
        <x:v>2647.519805513155</x:v>
      </x:c>
      <x:c r="AK211" t="n">
        <x:f>Scenario_Data!V211</x:f>
        <x:v>593.5999999999999</x:v>
      </x:c>
      <x:c r="AL211" t="n">
        <x:f>2*(SQRT((Inputs!$C$52+(Scenario_Data!D211))^2+Inputs!$C$52^2-2*(Inputs!$C$52+(Scenario_Data!D211))*Inputs!$C$52*COS(SQRT((Scenario_Data!V211)^2+Inputs!$C$6^2)/Inputs!$C$52))*1000)/Inputs!$C$21*1000000</x:f>
        <x:v>5951.912269047644</x:v>
      </x:c>
      <x:c r="AM211" t="n">
        <x:f>Scenario_Data!W211</x:f>
        <x:v>593.5999999999999</x:v>
      </x:c>
      <x:c r="AN211" t="n">
        <x:f>2*(SQRT((Inputs!$C$52+(Scenario_Data!E211))^2+Inputs!$C$52^2-2*(Inputs!$C$52+(Scenario_Data!E211))*Inputs!$C$52*COS(SQRT((Scenario_Data!W211)^2+Inputs!$C$6^2)/Inputs!$C$52))*1000)/Inputs!$C$21*1000000</x:f>
        <x:v>5929.1582714862625</x:v>
      </x:c>
      <x:c r="AP211" t="n">
        <x:f>Scenario_Data!T211</x:f>
        <x:v>44.519999999999996</x:v>
      </x:c>
      <x:c r="AQ211" t="n">
        <x: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x:f>
        <x:v>2708.9759331232062</x:v>
      </x:c>
      <x:c r="AR211" t="n">
        <x:f>Scenario_Data!U211</x:f>
        <x:v>296.79999999999995</x:v>
      </x:c>
      <x:c r="AS211" t="n">
        <x: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x:f>
        <x:v>2646.979433940708</x:v>
      </x:c>
      <x:c r="AT211" t="n">
        <x:f>Scenario_Data!V211</x:f>
        <x:v>593.5999999999999</x:v>
      </x:c>
      <x:c r="AU211" t="n">
        <x: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x:f>
        <x:v>5951.428965774956</x:v>
      </x:c>
      <x:c r="AV211" t="n">
        <x:f>Scenario_Data!W211</x:f>
        <x:v>593.5999999999999</x:v>
      </x:c>
      <x:c r="AW211" t="n">
        <x: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x:f>
        <x:v>5928.678003819094</x:v>
      </x:c>
    </x:row>
    <x:row r="212">
      <x:c r="A212" t="n">
        <x:f>Chart_Data!K212</x:f>
        <x:v>45</x:v>
      </x:c>
      <x:c r="B212" t="n">
        <x:f>Chart_Data!N212-Chart_Data!L212</x:f>
        <x:v>2.635051893500531</x:v>
      </x:c>
      <x:c r="D212" t="n">
        <x:f>Chart_Data!G212</x:f>
        <x:v>45</x:v>
      </x:c>
      <x:c r="E212" t="n">
        <x:f>Chart_Data!H212</x:f>
        <x:v>165.26573251393552</x:v>
      </x:c>
      <x:c r="F212" t="n">
        <x:f>Chart_Data!I212</x:f>
        <x:v>165.26573251393552</x:v>
      </x:c>
      <x:c r="G212" t="n">
        <x:f>Chart_Data!J212</x:f>
        <x:v>-4.746207968267804</x:v>
      </x:c>
      <x:c r="I212" t="n">
        <x:f>Scenario_Data!A212</x:f>
        <x:v>0.75</x:v>
      </x:c>
      <x:c r="J212" t="n">
        <x:f>Scenario_Data!H212-(((SQRT((Inputs!$C$52+(Inputs!$H$6))^2+Inputs!$C$52^2-2*(Inputs!$C$52+(Inputs!$H$6))*Inputs!$C$52*COS(SQRT((Scenario_Data!T212)^2+Inputs!$C$6^2)/Inputs!$C$52)))-(Inputs!$H$6))*1000/Inputs!$C$12)</x:f>
        <x:v>-10.235955038383963</x:v>
      </x:c>
      <x:c r="K212" t="n">
        <x:f>Scenario_Data!I212-(((SQRT((Inputs!$C$52+(Inputs!$H$7))^2+Inputs!$C$52^2-2*(Inputs!$C$52+(Inputs!$H$7))*Inputs!$C$52*COS(SQRT((Scenario_Data!U212)^2+Inputs!$C$6^2)/Inputs!$C$52)))-(Inputs!$H$7))*1000/Inputs!$C$12)</x:f>
        <x:v>-61094.421380709784</x:v>
      </x:c>
      <x:c r="L212" t="n">
        <x:f>Scenario_Data!J212-(((SQRT((Inputs!$C$52+(Inputs!$H$8))^2+Inputs!$C$52^2-2*(Inputs!$C$52+(Inputs!$H$8))*Inputs!$C$52*COS(SQRT((Scenario_Data!V212)^2+Inputs!$C$6^2)/Inputs!$C$52)))-(Inputs!$H$8))*1000/Inputs!$C$12)</x:f>
        <x:v>-135224.99566257387</x:v>
      </x:c>
      <x:c r="M212" t="n">
        <x:f>Scenario_Data!K212-(((SQRT((Inputs!$C$52+(Inputs!$H$9))^2+Inputs!$C$52^2-2*(Inputs!$C$52+(Inputs!$H$9))*Inputs!$C$52*COS(SQRT((Scenario_Data!W212)^2+Inputs!$C$6^2)/Inputs!$C$52)))-(Inputs!$H$9))*1000/Inputs!$C$12)</x:f>
        <x:v>-138916.5188951826</x:v>
      </x:c>
      <x:c r="O212" t="n">
        <x:f>Scenario_Data!T212</x:f>
        <x:v>45</x:v>
      </x:c>
      <x:c r="P212" t="n">
        <x:f>2*(Scenario_Data!B212*1000)/Inputs!$C$21*1000000</x:f>
        <x:v>2683.5231458691333</x:v>
      </x:c>
      <x:c r="Q212" t="n">
        <x:f>Scenario_Data!U212</x:f>
        <x:v>300</x:v>
      </x:c>
      <x:c r="R212" t="n">
        <x:f>2*(Scenario_Data!C212*1000)/Inputs!$C$21*1000000</x:f>
        <x:v>1603.1924325461182</x:v>
      </x:c>
      <x:c r="S212" t="n">
        <x:f>Scenario_Data!V212</x:f>
        <x:v>600</x:v>
      </x:c>
      <x:c r="T212" t="n">
        <x:f>2*(Scenario_Data!D212*1000)/Inputs!$C$21*1000000</x:f>
        <x:v>3854.7500751336447</x:v>
      </x:c>
      <x:c r="U212" t="n">
        <x:f>Scenario_Data!W212</x:f>
        <x:v>600</x:v>
      </x:c>
      <x:c r="V212" t="n">
        <x:f>2*(Scenario_Data!E212*1000)/Inputs!$C$21*1000000</x:f>
        <x:v>3825.5632168038064</x:v>
      </x:c>
      <x:c r="X212" t="n">
        <x:f>Scenario_Data!T212</x:f>
        <x:v>45</x:v>
      </x:c>
      <x:c r="Y212" t="n">
        <x: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x:f>
        <x:v>2683.554809160464</x:v>
      </x:c>
      <x:c r="Z212" t="n">
        <x:f>Scenario_Data!U212</x:f>
        <x:v>300</x:v>
      </x:c>
      <x:c r="AA212" t="n">
        <x: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x:f>
        <x:v>1603.1443212159713</x:v>
      </x:c>
      <x:c r="AB212" t="n">
        <x:f>Scenario_Data!V212</x:f>
        <x:v>600</x:v>
      </x:c>
      <x:c r="AC212" t="n">
        <x: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x:f>
        <x:v>3854.309398143715</x:v>
      </x:c>
      <x:c r="AD212" t="n">
        <x:f>Scenario_Data!W212</x:f>
        <x:v>600</x:v>
      </x:c>
      <x:c r="AE212" t="n">
        <x: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x:f>
        <x:v>3825.1225398138768</x:v>
      </x:c>
      <x:c r="AG212" t="n">
        <x:f>Scenario_Data!T212</x:f>
        <x:v>45</x:v>
      </x:c>
      <x:c r="AH212" t="n">
        <x:f>2*(SQRT((Inputs!$C$52+(Scenario_Data!B212))^2+Inputs!$C$52^2-2*(Inputs!$C$52+(Scenario_Data!B212))*Inputs!$C$52*COS(SQRT((Scenario_Data!T212)^2+Inputs!$C$6^2)/Inputs!$C$52))*1000)/Inputs!$C$21*1000000</x:f>
        <x:v>2711.018205671868</x:v>
      </x:c>
      <x:c r="AI212" t="n">
        <x:f>Scenario_Data!U212</x:f>
        <x:v>300</x:v>
      </x:c>
      <x:c r="AJ212" t="n">
        <x:f>2*(SQRT((Inputs!$C$52+(Scenario_Data!C212))^2+Inputs!$C$52^2-2*(Inputs!$C$52+(Scenario_Data!C212))*Inputs!$C$52*COS(SQRT((Scenario_Data!U212)^2+Inputs!$C$6^2)/Inputs!$C$52))*1000)/Inputs!$C$21*1000000</x:f>
        <x:v>2685.177333423242</x:v>
      </x:c>
      <x:c r="AK212" t="n">
        <x:f>Scenario_Data!V212</x:f>
        <x:v>600</x:v>
      </x:c>
      <x:c r="AL212" t="n">
        <x:f>2*(SQRT((Inputs!$C$52+(Scenario_Data!D212))^2+Inputs!$C$52^2-2*(Inputs!$C$52+(Scenario_Data!D212))*Inputs!$C$52*COS(SQRT((Scenario_Data!V212)^2+Inputs!$C$6^2)/Inputs!$C$52))*1000)/Inputs!$C$21*1000000</x:f>
        <x:v>6048.211556044975</x:v>
      </x:c>
      <x:c r="AM212" t="n">
        <x:f>Scenario_Data!W212</x:f>
        <x:v>600</x:v>
      </x:c>
      <x:c r="AN212" t="n">
        <x:f>2*(SQRT((Inputs!$C$52+(Scenario_Data!E212))^2+Inputs!$C$52^2-2*(Inputs!$C$52+(Scenario_Data!E212))*Inputs!$C$52*COS(SQRT((Scenario_Data!W212)^2+Inputs!$C$6^2)/Inputs!$C$52))*1000)/Inputs!$C$21*1000000</x:f>
        <x:v>6025.965664177064</x:v>
      </x:c>
      <x:c r="AP212" t="n">
        <x:f>Scenario_Data!T212</x:f>
        <x:v>45</x:v>
      </x:c>
      <x:c r="AQ212" t="n">
        <x: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x:f>
        <x:v>2709.9297554985205</x:v>
      </x:c>
      <x:c r="AR212" t="n">
        <x:f>Scenario_Data!U212</x:f>
        <x:v>300</x:v>
      </x:c>
      <x:c r="AS212" t="n">
        <x: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x:f>
        <x:v>2684.8439175922745</x:v>
      </x:c>
      <x:c r="AT212" t="n">
        <x:f>Scenario_Data!V212</x:f>
        <x:v>600</x:v>
      </x:c>
      <x:c r="AU212" t="n">
        <x: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x:f>
        <x:v>6047.7020502811065</x:v>
      </x:c>
      <x:c r="AV212" t="n">
        <x:f>Scenario_Data!W212</x:f>
        <x:v>600</x:v>
      </x:c>
      <x:c r="AW212" t="n">
        <x: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x:f>
        <x:v>6025.4591988659095</x:v>
      </x:c>
    </x:row>
    <x:row r="213">
      <x:c r="A213" t="n">
        <x:f>Chart_Data!K213</x:f>
        <x:v>45.5</x:v>
      </x:c>
      <x:c r="B213" t="n">
        <x:f>Chart_Data!N213-Chart_Data!L213</x:f>
        <x:v>2.762829766127794</x:v>
      </x:c>
      <x:c r="D213" t="n">
        <x:f>Chart_Data!G213</x:f>
        <x:v>45.5</x:v>
      </x:c>
      <x:c r="E213" t="n">
        <x:f>Chart_Data!H213</x:f>
        <x:v>168.78187987738474</x:v>
      </x:c>
      <x:c r="F213" t="n">
        <x:f>Chart_Data!I213</x:f>
        <x:v>168.78187987738474</x:v>
      </x:c>
      <x:c r="G213" t="n">
        <x:f>Chart_Data!J213</x:f>
        <x:v>-4.954776418919145</x:v>
      </x:c>
      <x:c r="I213" t="n">
        <x:f>Scenario_Data!A213</x:f>
        <x:v>0.758</x:v>
      </x:c>
      <x:c r="J213" t="n">
        <x:f>Scenario_Data!H213-(((SQRT((Inputs!$C$52+(Inputs!$H$6))^2+Inputs!$C$52^2-2*(Inputs!$C$52+(Inputs!$H$6))*Inputs!$C$52*COS(SQRT((Scenario_Data!T213)^2+Inputs!$C$6^2)/Inputs!$C$52)))-(Inputs!$H$6))*1000/Inputs!$C$12)</x:f>
        <x:v>-10.622685923482095</x:v>
      </x:c>
      <x:c r="K213" t="n">
        <x:f>Scenario_Data!I213-(((SQRT((Inputs!$C$52+(Inputs!$H$7))^2+Inputs!$C$52^2-2*(Inputs!$C$52+(Inputs!$H$7))*Inputs!$C$52*COS(SQRT((Scenario_Data!U213)^2+Inputs!$C$6^2)/Inputs!$C$52)))-(Inputs!$H$7))*1000/Inputs!$C$12)</x:f>
        <x:v>-62165.18984686682</x:v>
      </x:c>
      <x:c r="L213" t="n">
        <x:f>Scenario_Data!J213-(((SQRT((Inputs!$C$52+(Inputs!$H$8))^2+Inputs!$C$52^2-2*(Inputs!$C$52+(Inputs!$H$8))*Inputs!$C$52*COS(SQRT((Scenario_Data!V213)^2+Inputs!$C$6^2)/Inputs!$C$52)))-(Inputs!$H$8))*1000/Inputs!$C$12)</x:f>
        <x:v>-137142.1869054522</x:v>
      </x:c>
      <x:c r="M213" t="n">
        <x:f>Scenario_Data!K213-(((SQRT((Inputs!$C$52+(Inputs!$H$9))^2+Inputs!$C$52^2-2*(Inputs!$C$52+(Inputs!$H$9))*Inputs!$C$52*COS(SQRT((Scenario_Data!W213)^2+Inputs!$C$6^2)/Inputs!$C$52)))-(Inputs!$H$9))*1000/Inputs!$C$12)</x:f>
        <x:v>-140849.28287495405</x:v>
      </x:c>
      <x:c r="O213" t="n">
        <x:f>Scenario_Data!T213</x:f>
        <x:v>45.480000000000004</x:v>
      </x:c>
      <x:c r="P213" t="n">
        <x:f>2*(Scenario_Data!B213*1000)/Inputs!$C$21*1000000</x:f>
        <x:v>2683.8450752486906</x:v>
      </x:c>
      <x:c r="Q213" t="n">
        <x:f>Scenario_Data!U213</x:f>
        <x:v>303.20000000000005</x:v>
      </x:c>
      <x:c r="R213" t="n">
        <x:f>2*(Scenario_Data!C213*1000)/Inputs!$C$21*1000000</x:f>
        <x:v>1632.5684884307536</x:v>
      </x:c>
      <x:c r="S213" t="n">
        <x:f>Scenario_Data!V213</x:f>
        <x:v>606.4000000000001</x:v>
      </x:c>
      <x:c r="T213" t="n">
        <x:f>2*(Scenario_Data!D213*1000)/Inputs!$C$21*1000000</x:f>
        <x:v>3932.4155379519266</x:v>
      </x:c>
      <x:c r="U213" t="n">
        <x:f>Scenario_Data!W213</x:f>
        <x:v>606.4000000000001</x:v>
      </x:c>
      <x:c r="V213" t="n">
        <x:f>2*(Scenario_Data!E213*1000)/Inputs!$C$21*1000000</x:f>
        <x:v>3904.0335030709825</x:v>
      </x:c>
      <x:c r="X213" t="n">
        <x:f>Scenario_Data!T213</x:f>
        <x:v>45.480000000000004</x:v>
      </x:c>
      <x:c r="Y213" t="n">
        <x: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x:f>
        <x:v>2683.8975540425167</x:v>
      </x:c>
      <x:c r="Z213" t="n">
        <x:f>Scenario_Data!U213</x:f>
        <x:v>303.20000000000005</x:v>
      </x:c>
      <x:c r="AA213" t="n">
        <x: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x:f>
        <x:v>1632.5427234407928</x:v>
      </x:c>
      <x:c r="AB213" t="n">
        <x:f>Scenario_Data!V213</x:f>
        <x:v>606.4000000000001</x:v>
      </x:c>
      <x:c r="AC213" t="n">
        <x: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x:f>
        <x:v>3932.4165893514773</x:v>
      </x:c>
      <x:c r="AD213" t="n">
        <x:f>Scenario_Data!W213</x:f>
        <x:v>606.4000000000001</x:v>
      </x:c>
      <x:c r="AE213" t="n">
        <x: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x:f>
        <x:v>3904.0345544705324</x:v>
      </x:c>
      <x:c r="AG213" t="n">
        <x:f>Scenario_Data!T213</x:f>
        <x:v>45.480000000000004</x:v>
      </x:c>
      <x:c r="AH213" t="n">
        <x:f>2*(SQRT((Inputs!$C$52+(Scenario_Data!B213))^2+Inputs!$C$52^2-2*(Inputs!$C$52+(Scenario_Data!B213))*Inputs!$C$52*COS(SQRT((Scenario_Data!T213)^2+Inputs!$C$6^2)/Inputs!$C$52))*1000)/Inputs!$C$21*1000000</x:f>
        <x:v>2711.7857495077187</x:v>
      </x:c>
      <x:c r="AI213" t="n">
        <x:f>Scenario_Data!U213</x:f>
        <x:v>303.20000000000005</x:v>
      </x:c>
      <x:c r="AJ213" t="n">
        <x:f>2*(SQRT((Inputs!$C$52+(Scenario_Data!C213))^2+Inputs!$C$52^2-2*(Inputs!$C$52+(Scenario_Data!C213))*Inputs!$C$52*COS(SQRT((Scenario_Data!U213)^2+Inputs!$C$6^2)/Inputs!$C$52))*1000)/Inputs!$C$21*1000000</x:f>
        <x:v>2723.110349333624</x:v>
      </x:c>
      <x:c r="AK213" t="n">
        <x:f>Scenario_Data!V213</x:f>
        <x:v>606.4000000000001</x:v>
      </x:c>
      <x:c r="AL213" t="n">
        <x:f>2*(SQRT((Inputs!$C$52+(Scenario_Data!D213))^2+Inputs!$C$52^2-2*(Inputs!$C$52+(Scenario_Data!D213))*Inputs!$C$52*COS(SQRT((Scenario_Data!V213)^2+Inputs!$C$6^2)/Inputs!$C$52))*1000)/Inputs!$C$21*1000000</x:f>
        <x:v>6145.371354766013</x:v>
      </x:c>
      <x:c r="AM213" t="n">
        <x:f>Scenario_Data!W213</x:f>
        <x:v>606.4000000000001</x:v>
      </x:c>
      <x:c r="AN213" t="n">
        <x:f>2*(SQRT((Inputs!$C$52+(Scenario_Data!E213))^2+Inputs!$C$52^2-2*(Inputs!$C$52+(Scenario_Data!E213))*Inputs!$C$52*COS(SQRT((Scenario_Data!W213)^2+Inputs!$C$6^2)/Inputs!$C$52))*1000)/Inputs!$C$21*1000000</x:f>
        <x:v>6123.6467860475295</x:v>
      </x:c>
      <x:c r="AP213" t="n">
        <x:f>Scenario_Data!T213</x:f>
        <x:v>45.480000000000004</x:v>
      </x:c>
      <x:c r="AQ213" t="n">
        <x: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x:f>
        <x:v>2710.776759778393</x:v>
      </x:c>
      <x:c r="AR213" t="n">
        <x:f>Scenario_Data!U213</x:f>
        <x:v>303.20000000000005</x:v>
      </x:c>
      <x:c r="AS213" t="n">
        <x: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x:f>
        <x:v>2722.7356281270404</x:v>
      </x:c>
      <x:c r="AT213" t="n">
        <x:f>Scenario_Data!V213</x:f>
        <x:v>606.4000000000001</x:v>
      </x:c>
      <x:c r="AU213" t="n">
        <x: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x:f>
        <x:v>6145.111338452737</x:v>
      </x:c>
      <x:c r="AV213" t="n">
        <x:f>Scenario_Data!W213</x:f>
        <x:v>606.4000000000001</x:v>
      </x:c>
      <x:c r="AW213" t="n">
        <x: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x:f>
        <x:v>6123.388242453002</x:v>
      </x:c>
    </x:row>
    <x:row r="214">
      <x:c r="A214" t="n">
        <x:f>Chart_Data!K214</x:f>
        <x:v>46</x:v>
      </x:c>
      <x:c r="B214" t="n">
        <x:f>Chart_Data!N214-Chart_Data!L214</x:f>
        <x:v>-1.8952716670484335</x:v>
      </x:c>
      <x:c r="D214" t="n">
        <x:f>Chart_Data!G214</x:f>
        <x:v>46</x:v>
      </x:c>
      <x:c r="E214" t="n">
        <x:f>Chart_Data!H214</x:f>
        <x:v>147.2236511039814</x:v>
      </x:c>
      <x:c r="F214" t="n">
        <x:f>Chart_Data!I214</x:f>
        <x:v>147.2236511039814</x:v>
      </x:c>
      <x:c r="G214" t="n">
        <x:f>Chart_Data!J214</x:f>
        <x:v>-0.04819256513620118</x:v>
      </x:c>
      <x:c r="I214" t="n">
        <x:f>Scenario_Data!A214</x:f>
        <x:v>0.767</x:v>
      </x:c>
      <x:c r="J214" t="n">
        <x:f>Scenario_Data!H214-(((SQRT((Inputs!$C$52+(Inputs!$H$6))^2+Inputs!$C$52^2-2*(Inputs!$C$52+(Inputs!$H$6))*Inputs!$C$52*COS(SQRT((Scenario_Data!T214)^2+Inputs!$C$6^2)/Inputs!$C$52)))-(Inputs!$H$6))*1000/Inputs!$C$12)</x:f>
        <x:v>-11.071038001998204</x:v>
      </x:c>
      <x:c r="K214" t="n">
        <x:f>Scenario_Data!I214-(((SQRT((Inputs!$C$52+(Inputs!$H$7))^2+Inputs!$C$52^2-2*(Inputs!$C$52+(Inputs!$H$7))*Inputs!$C$52*COS(SQRT((Scenario_Data!U214)^2+Inputs!$C$6^2)/Inputs!$C$52)))-(Inputs!$H$7))*1000/Inputs!$C$12)</x:f>
        <x:v>-63373.53868446988</x:v>
      </x:c>
      <x:c r="L214" t="n">
        <x:f>Scenario_Data!J214-(((SQRT((Inputs!$C$52+(Inputs!$H$8))^2+Inputs!$C$52^2-2*(Inputs!$C$52+(Inputs!$H$8))*Inputs!$C$52*COS(SQRT((Scenario_Data!V214)^2+Inputs!$C$6^2)/Inputs!$C$52)))-(Inputs!$H$8))*1000/Inputs!$C$12)</x:f>
        <x:v>-139293.61086167686</x:v>
      </x:c>
      <x:c r="M214" t="n">
        <x:f>Scenario_Data!K214-(((SQRT((Inputs!$C$52+(Inputs!$H$9))^2+Inputs!$C$52^2-2*(Inputs!$C$52+(Inputs!$H$9))*Inputs!$C$52*COS(SQRT((Scenario_Data!W214)^2+Inputs!$C$6^2)/Inputs!$C$52)))-(Inputs!$H$9))*1000/Inputs!$C$12)</x:f>
        <x:v>-143017.6944627408</x:v>
      </x:c>
      <x:c r="O214" t="n">
        <x:f>Scenario_Data!T214</x:f>
        <x:v>46.019999999999996</x:v>
      </x:c>
      <x:c r="P214" t="n">
        <x:f>2*(Scenario_Data!B214*1000)/Inputs!$C$21*1000000</x:f>
        <x:v>2684.211328625219</x:v>
      </x:c>
      <x:c r="Q214" t="n">
        <x:f>Scenario_Data!U214</x:f>
        <x:v>306.79999999999995</x:v>
      </x:c>
      <x:c r="R214" t="n">
        <x:f>2*(Scenario_Data!C214*1000)/Inputs!$C$21*1000000</x:f>
        <x:v>1665.9891090388933</x:v>
      </x:c>
      <x:c r="S214" t="n">
        <x:f>Scenario_Data!V214</x:f>
        <x:v>613.5999999999999</x:v>
      </x:c>
      <x:c r="T214" t="n">
        <x:f>2*(Scenario_Data!D214*1000)/Inputs!$C$21*1000000</x:f>
        <x:v>4020.7741650392004</x:v>
      </x:c>
      <x:c r="U214" t="n">
        <x:f>Scenario_Data!W214</x:f>
        <x:v>613.5999999999999</x:v>
      </x:c>
      <x:c r="V214" t="n">
        <x:f>2*(Scenario_Data!E214*1000)/Inputs!$C$21*1000000</x:f>
        <x:v>3993.3077635995755</x:v>
      </x:c>
      <x:c r="X214" t="n">
        <x:f>Scenario_Data!T214</x:f>
        <x:v>46.019999999999996</x:v>
      </x:c>
      <x:c r="Y214" t="n">
        <x: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x:f>
        <x:v>2684.276394237561</x:v>
      </x:c>
      <x:c r="Z214" t="n">
        <x:f>Scenario_Data!U214</x:f>
        <x:v>306.79999999999995</x:v>
      </x:c>
      <x:c r="AA214" t="n">
        <x: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x:f>
        <x:v>1665.8157365634884</x:v>
      </x:c>
      <x:c r="AB214" t="n">
        <x:f>Scenario_Data!V214</x:f>
        <x:v>613.5999999999999</x:v>
      </x:c>
      <x:c r="AC214" t="n">
        <x: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x:f>
        <x:v>4020.5820211383852</x:v>
      </x:c>
      <x:c r="AD214" t="n">
        <x:f>Scenario_Data!W214</x:f>
        <x:v>613.5999999999999</x:v>
      </x:c>
      <x:c r="AE214" t="n">
        <x: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x:f>
        <x:v>3993.1156196987613</x:v>
      </x:c>
      <x:c r="AG214" t="n">
        <x:f>Scenario_Data!T214</x:f>
        <x:v>46.019999999999996</x:v>
      </x:c>
      <x:c r="AH214" t="n">
        <x:f>2*(SQRT((Inputs!$C$52+(Scenario_Data!B214))^2+Inputs!$C$52^2-2*(Inputs!$C$52+(Scenario_Data!B214))*Inputs!$C$52*COS(SQRT((Scenario_Data!T214)^2+Inputs!$C$6^2)/Inputs!$C$52))*1000)/Inputs!$C$21*1000000</x:f>
        <x:v>2712.658778127942</x:v>
      </x:c>
      <x:c r="AI214" t="n">
        <x:f>Scenario_Data!U214</x:f>
        <x:v>306.79999999999995</x:v>
      </x:c>
      <x:c r="AJ214" t="n">
        <x:f>2*(SQRT((Inputs!$C$52+(Scenario_Data!C214))^2+Inputs!$C$52^2-2*(Inputs!$C$52+(Scenario_Data!C214))*Inputs!$C$52*COS(SQRT((Scenario_Data!U214)^2+Inputs!$C$6^2)/Inputs!$C$52))*1000)/Inputs!$C$21*1000000</x:f>
        <x:v>2766.1158768793084</x:v>
      </x:c>
      <x:c r="AK214" t="n">
        <x:f>Scenario_Data!V214</x:f>
        <x:v>613.5999999999999</x:v>
      </x:c>
      <x:c r="AL214" t="n">
        <x:f>2*(SQRT((Inputs!$C$52+(Scenario_Data!D214))^2+Inputs!$C$52^2-2*(Inputs!$C$52+(Scenario_Data!D214))*Inputs!$C$52*COS(SQRT((Scenario_Data!V214)^2+Inputs!$C$6^2)/Inputs!$C$52))*1000)/Inputs!$C$21*1000000</x:f>
        <x:v>6255.7076711632635</x:v>
      </x:c>
      <x:c r="AM214" t="n">
        <x:f>Scenario_Data!W214</x:f>
        <x:v>613.5999999999999</x:v>
      </x:c>
      <x:c r="AN214" t="n">
        <x:f>2*(SQRT((Inputs!$C$52+(Scenario_Data!E214))^2+Inputs!$C$52^2-2*(Inputs!$C$52+(Scenario_Data!E214))*Inputs!$C$52*COS(SQRT((Scenario_Data!W214)^2+Inputs!$C$6^2)/Inputs!$C$52))*1000)/Inputs!$C$21*1000000</x:f>
        <x:v>6234.585318473166</x:v>
      </x:c>
      <x:c r="AP214" t="n">
        <x:f>Scenario_Data!T214</x:f>
        <x:v>46.019999999999996</x:v>
      </x:c>
      <x:c r="AQ214" t="n">
        <x: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x:f>
        <x:v>2711.675685734151</x:v>
      </x:c>
      <x:c r="AR214" t="n">
        <x:f>Scenario_Data!U214</x:f>
        <x:v>306.79999999999995</x:v>
      </x:c>
      <x:c r="AS214" t="n">
        <x: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x:f>
        <x:v>2765.514130169189</x:v>
      </x:c>
      <x:c r="AT214" t="n">
        <x:f>Scenario_Data!V214</x:f>
        <x:v>613.5999999999999</x:v>
      </x:c>
      <x:c r="AU214" t="n">
        <x: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x:f>
        <x:v>6255.2175947007745</x:v>
      </x:c>
      <x:c r="AV214" t="n">
        <x:f>Scenario_Data!W214</x:f>
        <x:v>613.5999999999999</x:v>
      </x:c>
      <x:c r="AW214" t="n">
        <x: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x:f>
        <x:v>6234.097857525002</x:v>
      </x:c>
    </x:row>
    <x:row r="215">
      <x:c r="A215" t="n">
        <x:f>Chart_Data!K215</x:f>
        <x:v>46.5</x:v>
      </x:c>
      <x:c r="B215" t="n">
        <x:f>Chart_Data!N215-Chart_Data!L215</x:f>
        <x:v>10.643125662069693</x:v>
      </x:c>
      <x:c r="D215" t="n">
        <x:f>Chart_Data!G215</x:f>
        <x:v>46.5</x:v>
      </x:c>
      <x:c r="E215" t="n">
        <x:f>Chart_Data!H215</x:f>
        <x:v>125.26409736726505</x:v>
      </x:c>
      <x:c r="F215" t="n">
        <x:f>Chart_Data!I215</x:f>
        <x:v>125.26409736726505</x:v>
      </x:c>
      <x:c r="G215" t="n">
        <x:f>Chart_Data!J215</x:f>
        <x:v>-12.32376640540756</x:v>
      </x:c>
      <x:c r="I215" t="n">
        <x:f>Scenario_Data!A215</x:f>
        <x:v>0.775</x:v>
      </x:c>
      <x:c r="J215" t="n">
        <x:f>Scenario_Data!H215-(((SQRT((Inputs!$C$52+(Inputs!$H$6))^2+Inputs!$C$52^2-2*(Inputs!$C$52+(Inputs!$H$6))*Inputs!$C$52*COS(SQRT((Scenario_Data!T215)^2+Inputs!$C$6^2)/Inputs!$C$52)))-(Inputs!$H$6))*1000/Inputs!$C$12)</x:f>
        <x:v>-11.481613456182458</x:v>
      </x:c>
      <x:c r="K215" t="n">
        <x:f>Scenario_Data!I215-(((SQRT((Inputs!$C$52+(Inputs!$H$7))^2+Inputs!$C$52^2-2*(Inputs!$C$52+(Inputs!$H$7))*Inputs!$C$52*COS(SQRT((Scenario_Data!U215)^2+Inputs!$C$6^2)/Inputs!$C$52)))-(Inputs!$H$7))*1000/Inputs!$C$12)</x:f>
        <x:v>-64450.81432177829</x:v>
      </x:c>
      <x:c r="L215" t="n">
        <x:f>Scenario_Data!J215-(((SQRT((Inputs!$C$52+(Inputs!$H$8))^2+Inputs!$C$52^2-2*(Inputs!$C$52+(Inputs!$H$8))*Inputs!$C$52*COS(SQRT((Scenario_Data!V215)^2+Inputs!$C$6^2)/Inputs!$C$52)))-(Inputs!$H$8))*1000/Inputs!$C$12)</x:f>
        <x:v>-141200.9353430962</x:v>
      </x:c>
      <x:c r="M215" t="n">
        <x:f>Scenario_Data!K215-(((SQRT((Inputs!$C$52+(Inputs!$H$9))^2+Inputs!$C$52^2-2*(Inputs!$C$52+(Inputs!$H$9))*Inputs!$C$52*COS(SQRT((Scenario_Data!W215)^2+Inputs!$C$6^2)/Inputs!$C$52)))-(Inputs!$H$9))*1000/Inputs!$C$12)</x:f>
        <x:v>-144939.65393967155</x:v>
      </x:c>
      <x:c r="O215" t="n">
        <x:f>Scenario_Data!T215</x:f>
        <x:v>46.5</x:v>
      </x:c>
      <x:c r="P215" t="n">
        <x:f>2*(Scenario_Data!B215*1000)/Inputs!$C$21*1000000</x:f>
        <x:v>2684.540516359488</x:v>
      </x:c>
      <x:c r="Q215" t="n">
        <x:f>Scenario_Data!U215</x:f>
        <x:v>310</x:v>
      </x:c>
      <x:c r="R215" t="n">
        <x:f>2*(Scenario_Data!C215*1000)/Inputs!$C$21*1000000</x:f>
        <x:v>1696.0274897909542</x:v>
      </x:c>
      <x:c r="S215" t="n">
        <x:f>Scenario_Data!V215</x:f>
        <x:v>620</x:v>
      </x:c>
      <x:c r="T215" t="n">
        <x:f>2*(Scenario_Data!D215*1000)/Inputs!$C$21*1000000</x:f>
        <x:v>4100.190705931635</x:v>
      </x:c>
      <x:c r="U215" t="n">
        <x:f>Scenario_Data!W215</x:f>
        <x:v>620</x:v>
      </x:c>
      <x:c r="V215" t="n">
        <x:f>2*(Scenario_Data!E215*1000)/Inputs!$C$21*1000000</x:f>
        <x:v>4073.547273827683</x:v>
      </x:c>
      <x:c r="X215" t="n">
        <x:f>Scenario_Data!T215</x:f>
        <x:v>46.5</x:v>
      </x:c>
      <x:c r="Y215" t="n">
        <x: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x:f>
        <x:v>2684.622731679297</x:v>
      </x:c>
      <x:c r="Z215" t="n">
        <x:f>Scenario_Data!U215</x:f>
        <x:v>310</x:v>
      </x:c>
      <x:c r="AA215" t="n">
        <x: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x:f>
        <x:v>1695.927154650577</x:v>
      </x:c>
      <x:c r="AB215" t="n">
        <x:f>Scenario_Data!V215</x:f>
        <x:v>620</x:v>
      </x:c>
      <x:c r="AC215" t="n">
        <x: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x:f>
        <x:v>4100.086231470472</x:v>
      </x:c>
      <x:c r="AD215" t="n">
        <x:f>Scenario_Data!W215</x:f>
        <x:v>620</x:v>
      </x:c>
      <x:c r="AE215" t="n">
        <x: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x:f>
        <x:v>4073.442799366519</x:v>
      </x:c>
      <x:c r="AG215" t="n">
        <x:f>Scenario_Data!T215</x:f>
        <x:v>46.5</x:v>
      </x:c>
      <x:c r="AH215" t="n">
        <x:f>2*(SQRT((Inputs!$C$52+(Scenario_Data!B215))^2+Inputs!$C$52^2-2*(Inputs!$C$52+(Scenario_Data!B215))*Inputs!$C$52*COS(SQRT((Scenario_Data!T215)^2+Inputs!$C$6^2)/Inputs!$C$52))*1000)/Inputs!$C$21*1000000</x:f>
        <x:v>2713.4432796899005</x:v>
      </x:c>
      <x:c r="AI215" t="n">
        <x:f>Scenario_Data!U215</x:f>
        <x:v>310</x:v>
      </x:c>
      <x:c r="AJ215" t="n">
        <x:f>2*(SQRT((Inputs!$C$52+(Scenario_Data!C215))^2+Inputs!$C$52^2-2*(Inputs!$C$52+(Scenario_Data!C215))*Inputs!$C$52*COS(SQRT((Scenario_Data!U215)^2+Inputs!$C$6^2)/Inputs!$C$52))*1000)/Inputs!$C$21*1000000</x:f>
        <x:v>2804.638522662561</x:v>
      </x:c>
      <x:c r="AK215" t="n">
        <x:f>Scenario_Data!V215</x:f>
        <x:v>620</x:v>
      </x:c>
      <x:c r="AL215" t="n">
        <x:f>2*(SQRT((Inputs!$C$52+(Scenario_Data!D215))^2+Inputs!$C$52^2-2*(Inputs!$C$52+(Scenario_Data!D215))*Inputs!$C$52*COS(SQRT((Scenario_Data!V215)^2+Inputs!$C$6^2)/Inputs!$C$52))*1000)/Inputs!$C$21*1000000</x:f>
        <x:v>6354.703876330992</x:v>
      </x:c>
      <x:c r="AM215" t="n">
        <x:f>Scenario_Data!W215</x:f>
        <x:v>620</x:v>
      </x:c>
      <x:c r="AN215" t="n">
        <x:f>2*(SQRT((Inputs!$C$52+(Scenario_Data!E215))^2+Inputs!$C$52^2-2*(Inputs!$C$52+(Scenario_Data!E215))*Inputs!$C$52*COS(SQRT((Scenario_Data!W215)^2+Inputs!$C$6^2)/Inputs!$C$52))*1000)/Inputs!$C$21*1000000</x:f>
        <x:v>6334.130742726853</x:v>
      </x:c>
      <x:c r="AP215" t="n">
        <x:f>Scenario_Data!T215</x:f>
        <x:v>46.5</x:v>
      </x:c>
      <x:c r="AQ215" t="n">
        <x: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x:f>
        <x:v>2712.618819612096</x:v>
      </x:c>
      <x:c r="AR215" t="n">
        <x:f>Scenario_Data!U215</x:f>
        <x:v>310</x:v>
      </x:c>
      <x:c r="AS215" t="n">
        <x: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x:f>
        <x:v>2803.976331236653</x:v>
      </x:c>
      <x:c r="AT215" t="n">
        <x:f>Scenario_Data!V215</x:f>
        <x:v>620</x:v>
      </x:c>
      <x:c r="AU215" t="n">
        <x: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x:f>
        <x:v>6354.28082575311</x:v>
      </x:c>
      <x:c r="AV215" t="n">
        <x:f>Scenario_Data!W215</x:f>
        <x:v>620</x:v>
      </x:c>
      <x:c r="AW215" t="n">
        <x: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x:f>
        <x:v>6333.709831112798</x:v>
      </x:c>
    </x:row>
    <x:row r="216">
      <x:c r="A216" t="n">
        <x:f>Chart_Data!K216</x:f>
        <x:v>47</x:v>
      </x:c>
      <x:c r="B216" t="n">
        <x:f>Chart_Data!N216-Chart_Data!L216</x:f>
        <x:v>-7.248372089645926</x:v>
      </x:c>
      <x:c r="D216" t="n">
        <x:f>Chart_Data!G216</x:f>
        <x:v>47</x:v>
      </x:c>
      <x:c r="E216" t="n">
        <x:f>Chart_Data!H216</x:f>
        <x:v>119.07484471636309</x:v>
      </x:c>
      <x:c r="F216" t="n">
        <x:f>Chart_Data!I216</x:f>
        <x:v>119.07484471636309</x:v>
      </x:c>
      <x:c r="G216" t="n">
        <x:f>Chart_Data!J216</x:f>
        <x:v>5.624733438492097</x:v>
      </x:c>
      <x:c r="I216" t="n">
        <x:f>Scenario_Data!A216</x:f>
        <x:v>0.783</x:v>
      </x:c>
      <x:c r="J216" t="n">
        <x:f>Scenario_Data!H216-(((SQRT((Inputs!$C$52+(Inputs!$H$6))^2+Inputs!$C$52^2-2*(Inputs!$C$52+(Inputs!$H$6))*Inputs!$C$52*COS(SQRT((Scenario_Data!T216)^2+Inputs!$C$6^2)/Inputs!$C$52)))-(Inputs!$H$6))*1000/Inputs!$C$12)</x:f>
        <x:v>-11.903744966717568</x:v>
      </x:c>
      <x:c r="K216" t="n">
        <x:f>Scenario_Data!I216-(((SQRT((Inputs!$C$52+(Inputs!$H$7))^2+Inputs!$C$52^2-2*(Inputs!$C$52+(Inputs!$H$7))*Inputs!$C$52*COS(SQRT((Scenario_Data!U216)^2+Inputs!$C$6^2)/Inputs!$C$52)))-(Inputs!$H$7))*1000/Inputs!$C$12)</x:f>
        <x:v>-65530.96866610306</x:v>
      </x:c>
      <x:c r="L216" t="n">
        <x:f>Scenario_Data!J216-(((SQRT((Inputs!$C$52+(Inputs!$H$8))^2+Inputs!$C$52^2-2*(Inputs!$C$52+(Inputs!$H$8))*Inputs!$C$52*COS(SQRT((Scenario_Data!V216)^2+Inputs!$C$6^2)/Inputs!$C$52)))-(Inputs!$H$8))*1000/Inputs!$C$12)</x:f>
        <x:v>-143103.28717150204</x:v>
      </x:c>
      <x:c r="M216" t="n">
        <x:f>Scenario_Data!K216-(((SQRT((Inputs!$C$52+(Inputs!$H$9))^2+Inputs!$C$52^2-2*(Inputs!$C$52+(Inputs!$H$9))*Inputs!$C$52*COS(SQRT((Scenario_Data!W216)^2+Inputs!$C$6^2)/Inputs!$C$52)))-(Inputs!$H$9))*1000/Inputs!$C$12)</x:f>
        <x:v>-146856.2100081469</x:v>
      </x:c>
      <x:c r="O216" t="n">
        <x:f>Scenario_Data!T216</x:f>
        <x:v>46.97999999999999</x:v>
      </x:c>
      <x:c r="P216" t="n">
        <x:f>2*(Scenario_Data!B216*1000)/Inputs!$C$21*1000000</x:f>
        <x:v>2684.873119790092</x:v>
      </x:c>
      <x:c r="Q216" t="n">
        <x:f>Scenario_Data!U216</x:f>
        <x:v>313.19999999999993</x:v>
      </x:c>
      <x:c r="R216" t="n">
        <x:f>2*(Scenario_Data!C216*1000)/Inputs!$C$21*1000000</x:f>
        <x:v>1726.3775528335661</x:v>
      </x:c>
      <x:c r="S216" t="n">
        <x:f>Scenario_Data!V216</x:f>
        <x:v>626.3999999999999</x:v>
      </x:c>
      <x:c r="T216" t="n">
        <x:f>2*(Scenario_Data!D216*1000)/Inputs!$C$21*1000000</x:f>
        <x:v>4180.4312835648425</x:v>
      </x:c>
      <x:c r="U216" t="n">
        <x:f>Scenario_Data!W216</x:f>
        <x:v>626.3999999999999</x:v>
      </x:c>
      <x:c r="V216" t="n">
        <x:f>2*(Scenario_Data!E216*1000)/Inputs!$C$21*1000000</x:f>
        <x:v>4154.619360037401</x:v>
      </x:c>
      <x:c r="X216" t="n">
        <x:f>Scenario_Data!T216</x:f>
        <x:v>46.97999999999999</x:v>
      </x:c>
      <x:c r="Y216" t="n">
        <x: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x:f>
        <x:v>2684.9589026777235</x:v>
      </x:c>
      <x:c r="Z216" t="n">
        <x:f>Scenario_Data!U216</x:f>
        <x:v>313.19999999999993</x:v>
      </x:c>
      <x:c r="AA216" t="n">
        <x: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x:f>
        <x:v>1726.1480175819895</x:v>
      </x:c>
      <x:c r="AB216" t="n">
        <x:f>Scenario_Data!V216</x:f>
        <x:v>626.3999999999999</x:v>
      </x:c>
      <x:c r="AC216" t="n">
        <x: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x:f>
        <x:v>4180.5724957116945</x:v>
      </x:c>
      <x:c r="AD216" t="n">
        <x:f>Scenario_Data!W216</x:f>
        <x:v>626.3999999999999</x:v>
      </x:c>
      <x:c r="AE216" t="n">
        <x: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x:f>
        <x:v>4154.760572184252</x:v>
      </x:c>
      <x:c r="AG216" t="n">
        <x:f>Scenario_Data!T216</x:f>
        <x:v>46.97999999999999</x:v>
      </x:c>
      <x:c r="AH216" t="n">
        <x:f>2*(SQRT((Inputs!$C$52+(Scenario_Data!B216))^2+Inputs!$C$52^2-2*(Inputs!$C$52+(Scenario_Data!B216))*Inputs!$C$52*COS(SQRT((Scenario_Data!T216)^2+Inputs!$C$6^2)/Inputs!$C$52))*1000)/Inputs!$C$21*1000000</x:f>
        <x:v>2714.235753570058</x:v>
      </x:c>
      <x:c r="AI216" t="n">
        <x:f>Scenario_Data!U216</x:f>
        <x:v>313.19999999999993</x:v>
      </x:c>
      <x:c r="AJ216" t="n">
        <x:f>2*(SQRT((Inputs!$C$52+(Scenario_Data!C216))^2+Inputs!$C$52^2-2*(Inputs!$C$52+(Scenario_Data!C216))*Inputs!$C$52*COS(SQRT((Scenario_Data!U216)^2+Inputs!$C$6^2)/Inputs!$C$52))*1000)/Inputs!$C$21*1000000</x:f>
        <x:v>2843.440582690019</x:v>
      </x:c>
      <x:c r="AK216" t="n">
        <x:f>Scenario_Data!V216</x:f>
        <x:v>626.3999999999999</x:v>
      </x:c>
      <x:c r="AL216" t="n">
        <x:f>2*(SQRT((Inputs!$C$52+(Scenario_Data!D216))^2+Inputs!$C$52^2-2*(Inputs!$C$52+(Scenario_Data!D216))*Inputs!$C$52*COS(SQRT((Scenario_Data!V216)^2+Inputs!$C$6^2)/Inputs!$C$52))*1000)/Inputs!$C$21*1000000</x:f>
        <x:v>6454.567802288764</x:v>
      </x:c>
      <x:c r="AM216" t="n">
        <x:f>Scenario_Data!W216</x:f>
        <x:v>626.3999999999999</x:v>
      </x:c>
      <x:c r="AN216" t="n">
        <x:f>2*(SQRT((Inputs!$C$52+(Scenario_Data!E216))^2+Inputs!$C$52^2-2*(Inputs!$C$52+(Scenario_Data!E216))*Inputs!$C$52*COS(SQRT((Scenario_Data!W216)^2+Inputs!$C$6^2)/Inputs!$C$52))*1000)/Inputs!$C$21*1000000</x:f>
        <x:v>6434.556924518235</x:v>
      </x:c>
      <x:c r="AP216" t="n">
        <x:f>Scenario_Data!T216</x:f>
        <x:v>46.97999999999999</x:v>
      </x:c>
      <x:c r="AQ216" t="n">
        <x: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x:f>
        <x:v>2713.403250630905</x:v>
      </x:c>
      <x:c r="AR216" t="n">
        <x:f>Scenario_Data!U216</x:f>
        <x:v>313.19999999999993</x:v>
      </x:c>
      <x:c r="AS216" t="n">
        <x: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x:f>
        <x:v>2842.8304615876677</x:v>
      </x:c>
      <x:c r="AT216" t="n">
        <x:f>Scenario_Data!V216</x:f>
        <x:v>626.3999999999999</x:v>
      </x:c>
      <x:c r="AU216" t="n">
        <x: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x:f>
        <x:v>6454.255793929251</x:v>
      </x:c>
      <x:c r="AV216" t="n">
        <x:f>Scenario_Data!W216</x:f>
        <x:v>626.3999999999999</x:v>
      </x:c>
      <x:c r="AW216" t="n">
        <x: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x:f>
        <x:v>6434.24640902367</x:v>
      </x:c>
    </x:row>
    <x:row r="217">
      <x:c r="A217" t="n">
        <x:f>Chart_Data!K217</x:f>
        <x:v>47.5</x:v>
      </x:c>
      <x:c r="B217" t="n">
        <x:f>Chart_Data!N217-Chart_Data!L217</x:f>
        <x:v>-6.218848981717969</x:v>
      </x:c>
      <x:c r="D217" t="n">
        <x:f>Chart_Data!G217</x:f>
        <x:v>47.5</x:v>
      </x:c>
      <x:c r="E217" t="n">
        <x:f>Chart_Data!H217</x:f>
        <x:v>107.75271022723112</x:v>
      </x:c>
      <x:c r="F217" t="n">
        <x:f>Chart_Data!I217</x:f>
        <x:v>107.75271022723112</x:v>
      </x:c>
      <x:c r="G217" t="n">
        <x:f>Chart_Data!J217</x:f>
        <x:v>4.725819493947935</x:v>
      </x:c>
      <x:c r="I217" t="n">
        <x:f>Scenario_Data!A217</x:f>
        <x:v>0.792</x:v>
      </x:c>
      <x:c r="J217" t="n">
        <x:f>Scenario_Data!H217-(((SQRT((Inputs!$C$52+(Inputs!$H$6))^2+Inputs!$C$52^2-2*(Inputs!$C$52+(Inputs!$H$6))*Inputs!$C$52*COS(SQRT((Scenario_Data!T217)^2+Inputs!$C$6^2)/Inputs!$C$52)))-(Inputs!$H$6))*1000/Inputs!$C$12)</x:f>
        <x:v>-12.392726180069985</x:v>
      </x:c>
      <x:c r="K217" t="n">
        <x:f>Scenario_Data!I217-(((SQRT((Inputs!$C$52+(Inputs!$H$7))^2+Inputs!$C$52^2-2*(Inputs!$C$52+(Inputs!$H$7))*Inputs!$C$52*COS(SQRT((Scenario_Data!U217)^2+Inputs!$C$6^2)/Inputs!$C$52)))-(Inputs!$H$7))*1000/Inputs!$C$12)</x:f>
        <x:v>-66749.44075526152</x:v>
      </x:c>
      <x:c r="L217" t="n">
        <x:f>Scenario_Data!J217-(((SQRT((Inputs!$C$52+(Inputs!$H$8))^2+Inputs!$C$52^2-2*(Inputs!$C$52+(Inputs!$H$8))*Inputs!$C$52*COS(SQRT((Scenario_Data!V217)^2+Inputs!$C$6^2)/Inputs!$C$52)))-(Inputs!$H$8))*1000/Inputs!$C$12)</x:f>
        <x:v>-145237.23692226943</x:v>
      </x:c>
      <x:c r="M217" t="n">
        <x:f>Scenario_Data!K217-(((SQRT((Inputs!$C$52+(Inputs!$H$9))^2+Inputs!$C$52^2-2*(Inputs!$C$52+(Inputs!$H$9))*Inputs!$C$52*COS(SQRT((Scenario_Data!W217)^2+Inputs!$C$6^2)/Inputs!$C$52)))-(Inputs!$H$9))*1000/Inputs!$C$12)</x:f>
        <x:v>-149005.63294747737</x:v>
      </x:c>
      <x:c r="O217" t="n">
        <x:f>Scenario_Data!T217</x:f>
        <x:v>47.519999999999996</x:v>
      </x:c>
      <x:c r="P217" t="n">
        <x:f>2*(Scenario_Data!B217*1000)/Inputs!$C$21*1000000</x:f>
        <x:v>2685.251381474046</x:v>
      </x:c>
      <x:c r="Q217" t="n">
        <x:f>Scenario_Data!U217</x:f>
        <x:v>316.80000000000007</x:v>
      </x:c>
      <x:c r="R217" t="n">
        <x:f>2*(Scenario_Data!C217*1000)/Inputs!$C$21*1000000</x:f>
        <x:v>1760.893931494435</x:v>
      </x:c>
      <x:c r="S217" t="n">
        <x:f>Scenario_Data!V217</x:f>
        <x:v>633.6000000000001</x:v>
      </x:c>
      <x:c r="T217" t="n">
        <x:f>2*(Scenario_Data!D217*1000)/Inputs!$C$21*1000000</x:f>
        <x:v>4271.68691481892</x:v>
      </x:c>
      <x:c r="U217" t="n">
        <x:f>Scenario_Data!W217</x:f>
        <x:v>633.6000000000001</x:v>
      </x:c>
      <x:c r="V217" t="n">
        <x:f>2*(Scenario_Data!E217*1000)/Inputs!$C$21*1000000</x:f>
        <x:v>4246.820645501364</x:v>
      </x:c>
      <x:c r="X217" t="n">
        <x:f>Scenario_Data!T217</x:f>
        <x:v>47.519999999999996</x:v>
      </x:c>
      <x:c r="Y217" t="n">
        <x: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x:f>
        <x:v>2685.301857395654</x:v>
      </x:c>
      <x:c r="Z217" t="n">
        <x:f>Scenario_Data!U217</x:f>
        <x:v>316.80000000000007</x:v>
      </x:c>
      <x:c r="AA217" t="n">
        <x: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x:f>
        <x:v>1760.895237815327</x:v>
      </x:c>
      <x:c r="AB217" t="n">
        <x:f>Scenario_Data!V217</x:f>
        <x:v>633.6000000000001</x:v>
      </x:c>
      <x:c r="AC217" t="n">
        <x: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x:f>
        <x:v>4271.258134863096</x:v>
      </x:c>
      <x:c r="AD217" t="n">
        <x:f>Scenario_Data!W217</x:f>
        <x:v>633.6000000000001</x:v>
      </x:c>
      <x:c r="AE217" t="n">
        <x: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x:f>
        <x:v>4246.391865545539</x:v>
      </x:c>
      <x:c r="AG217" t="n">
        <x:f>Scenario_Data!T217</x:f>
        <x:v>47.519999999999996</x:v>
      </x:c>
      <x:c r="AH217" t="n">
        <x:f>2*(SQRT((Inputs!$C$52+(Scenario_Data!B217))^2+Inputs!$C$52^2-2*(Inputs!$C$52+(Scenario_Data!B217))*Inputs!$C$52*COS(SQRT((Scenario_Data!T217)^2+Inputs!$C$6^2)/Inputs!$C$52))*1000)/Inputs!$C$21*1000000</x:f>
        <x:v>2715.1368098124726</x:v>
      </x:c>
      <x:c r="AI217" t="n">
        <x:f>Scenario_Data!U217</x:f>
        <x:v>316.80000000000007</x:v>
      </x:c>
      <x:c r="AJ217" t="n">
        <x:f>2*(SQRT((Inputs!$C$52+(Scenario_Data!C217))^2+Inputs!$C$52^2-2*(Inputs!$C$52+(Scenario_Data!C217))*Inputs!$C$52*COS(SQRT((Scenario_Data!U217)^2+Inputs!$C$6^2)/Inputs!$C$52))*1000)/Inputs!$C$21*1000000</x:f>
        <x:v>2887.428399392069</x:v>
      </x:c>
      <x:c r="AK217" t="n">
        <x:f>Scenario_Data!V217</x:f>
        <x:v>633.6000000000001</x:v>
      </x:c>
      <x:c r="AL217" t="n">
        <x:f>2*(SQRT((Inputs!$C$52+(Scenario_Data!D217))^2+Inputs!$C$52^2-2*(Inputs!$C$52+(Scenario_Data!D217))*Inputs!$C$52*COS(SQRT((Scenario_Data!V217)^2+Inputs!$C$6^2)/Inputs!$C$52))*1000)/Inputs!$C$21*1000000</x:f>
        <x:v>6567.954610839783</x:v>
      </x:c>
      <x:c r="AM217" t="n">
        <x:f>Scenario_Data!W217</x:f>
        <x:v>633.6000000000001</x:v>
      </x:c>
      <x:c r="AN217" t="n">
        <x:f>2*(SQRT((Inputs!$C$52+(Scenario_Data!E217))^2+Inputs!$C$52^2-2*(Inputs!$C$52+(Scenario_Data!E217))*Inputs!$C$52*COS(SQRT((Scenario_Data!W217)^2+Inputs!$C$6^2)/Inputs!$C$52))*1000)/Inputs!$C$21*1000000</x:f>
        <x:v>6548.591781107734</x:v>
      </x:c>
      <x:c r="AP217" t="n">
        <x:f>Scenario_Data!T217</x:f>
        <x:v>47.519999999999996</x:v>
      </x:c>
      <x:c r="AQ217" t="n">
        <x: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x:f>
        <x:v>2714.430532583016</x:v>
      </x:c>
      <x:c r="AR217" t="n">
        <x:f>Scenario_Data!U217</x:f>
        <x:v>316.80000000000007</x:v>
      </x:c>
      <x:c r="AS217" t="n">
        <x: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x:f>
        <x:v>2886.984046410364</x:v>
      </x:c>
      <x:c r="AT217" t="n">
        <x:f>Scenario_Data!V217</x:f>
        <x:v>633.6000000000001</x:v>
      </x:c>
      <x:c r="AU217" t="n">
        <x: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x:f>
        <x:v>6567.347290290034</x:v>
      </x:c>
      <x:c r="AV217" t="n">
        <x:f>Scenario_Data!W217</x:f>
        <x:v>633.6000000000001</x:v>
      </x:c>
      <x:c r="AW217" t="n">
        <x: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x:f>
        <x:v>6547.987188435632</x:v>
      </x:c>
    </x:row>
    <x:row r="218">
      <x:c r="A218" t="n">
        <x:f>Chart_Data!K218</x:f>
        <x:v>48</x:v>
      </x:c>
      <x:c r="B218" t="n">
        <x:f>Chart_Data!N218-Chart_Data!L218</x:f>
        <x:v>7.316979239076744</x:v>
      </x:c>
      <x:c r="D218" t="n">
        <x:f>Chart_Data!G218</x:f>
        <x:v>48</x:v>
      </x:c>
      <x:c r="E218" t="n">
        <x:f>Chart_Data!H218</x:f>
        <x:v>124.99715373468393</x:v>
      </x:c>
      <x:c r="F218" t="n">
        <x:f>Chart_Data!I218</x:f>
        <x:v>124.99715373468393</x:v>
      </x:c>
      <x:c r="G218" t="n">
        <x:f>Chart_Data!J218</x:f>
        <x:v>-9.076914728959792</x:v>
      </x:c>
      <x:c r="I218" t="n">
        <x:f>Scenario_Data!A218</x:f>
        <x:v>0.8</x:v>
      </x:c>
      <x:c r="J218" t="n">
        <x:f>Scenario_Data!H218-(((SQRT((Inputs!$C$52+(Inputs!$H$6))^2+Inputs!$C$52^2-2*(Inputs!$C$52+(Inputs!$H$6))*Inputs!$C$52*COS(SQRT((Scenario_Data!T218)^2+Inputs!$C$6^2)/Inputs!$C$52)))-(Inputs!$H$6))*1000/Inputs!$C$12)</x:f>
        <x:v>-12.84013677697476</x:v>
      </x:c>
      <x:c r="K218" t="n">
        <x:f>Scenario_Data!I218-(((SQRT((Inputs!$C$52+(Inputs!$H$7))^2+Inputs!$C$52^2-2*(Inputs!$C$52+(Inputs!$H$7))*Inputs!$C$52*COS(SQRT((Scenario_Data!U218)^2+Inputs!$C$6^2)/Inputs!$C$52)))-(Inputs!$H$7))*1000/Inputs!$C$12)</x:f>
        <x:v>-67835.33471918713</x:v>
      </x:c>
      <x:c r="L218" t="n">
        <x:f>Scenario_Data!J218-(((SQRT((Inputs!$C$52+(Inputs!$H$8))^2+Inputs!$C$52^2-2*(Inputs!$C$52+(Inputs!$H$8))*Inputs!$C$52*COS(SQRT((Scenario_Data!V218)^2+Inputs!$C$6^2)/Inputs!$C$52)))-(Inputs!$H$8))*1000/Inputs!$C$12)</x:f>
        <x:v>-147128.35590287362</x:v>
      </x:c>
      <x:c r="M218" t="n">
        <x:f>Scenario_Data!K218-(((SQRT((Inputs!$C$52+(Inputs!$H$9))^2+Inputs!$C$52^2-2*(Inputs!$C$52+(Inputs!$H$9))*Inputs!$C$52*COS(SQRT((Scenario_Data!W218)^2+Inputs!$C$6^2)/Inputs!$C$52)))-(Inputs!$H$9))*1000/Inputs!$C$12)</x:f>
        <x:v>-150910.062898851</x:v>
      </x:c>
      <x:c r="O218" t="n">
        <x:f>Scenario_Data!T218</x:f>
        <x:v>48</x:v>
      </x:c>
      <x:c r="P218" t="n">
        <x:f>2*(Scenario_Data!B218*1000)/Inputs!$C$21*1000000</x:f>
        <x:v>2685.591243259362</x:v>
      </x:c>
      <x:c r="Q218" t="n">
        <x:f>Scenario_Data!U218</x:f>
        <x:v>320</x:v>
      </x:c>
      <x:c r="R218" t="n">
        <x:f>2*(Scenario_Data!C218*1000)/Inputs!$C$21*1000000</x:f>
        <x:v>1791.9063194044727</x:v>
      </x:c>
      <x:c r="S218" t="n">
        <x:f>Scenario_Data!V218</x:f>
        <x:v>640</x:v>
      </x:c>
      <x:c r="T218" t="n">
        <x:f>2*(Scenario_Data!D218*1000)/Inputs!$C$21*1000000</x:f>
        <x:v>4353.678570526281</x:v>
      </x:c>
      <x:c r="U218" t="n">
        <x:f>Scenario_Data!W218</x:f>
        <x:v>640</x:v>
      </x:c>
      <x:c r="V218" t="n">
        <x:f>2*(Scenario_Data!E218*1000)/Inputs!$C$21*1000000</x:f>
        <x:v>4329.661955672014</x:v>
      </x:c>
      <x:c r="X218" t="n">
        <x:f>Scenario_Data!T218</x:f>
        <x:v>48</x:v>
      </x:c>
      <x:c r="Y218" t="n">
        <x: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x:f>
        <x:v>2685.651797916337</x:v>
      </x:c>
      <x:c r="Z218" t="n">
        <x:f>Scenario_Data!U218</x:f>
        <x:v>320</x:v>
      </x:c>
      <x:c r="AA218" t="n">
        <x: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x:f>
        <x:v>1792.1092244281058</x:v>
      </x:c>
      <x:c r="AB218" t="n">
        <x:f>Scenario_Data!V218</x:f>
        <x:v>640</x:v>
      </x:c>
      <x:c r="AC218" t="n">
        <x: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x:f>
        <x:v>4353.623915424463</x:v>
      </x:c>
      <x:c r="AD218" t="n">
        <x:f>Scenario_Data!W218</x:f>
        <x:v>640</x:v>
      </x:c>
      <x:c r="AE218" t="n">
        <x: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x:f>
        <x:v>4329.607300570196</x:v>
      </x:c>
      <x:c r="AG218" t="n">
        <x:f>Scenario_Data!T218</x:f>
        <x:v>48</x:v>
      </x:c>
      <x:c r="AH218" t="n">
        <x:f>2*(SQRT((Inputs!$C$52+(Scenario_Data!B218))^2+Inputs!$C$52^2-2*(Inputs!$C$52+(Scenario_Data!B218))*Inputs!$C$52*COS(SQRT((Scenario_Data!T218)^2+Inputs!$C$6^2)/Inputs!$C$52))*1000)/Inputs!$C$21*1000000</x:f>
        <x:v>2715.9462080599938</x:v>
      </x:c>
      <x:c r="AI218" t="n">
        <x:f>Scenario_Data!U218</x:f>
        <x:v>320</x:v>
      </x:c>
      <x:c r="AJ218" t="n">
        <x:f>2*(SQRT((Inputs!$C$52+(Scenario_Data!C218))^2+Inputs!$C$52^2-2*(Inputs!$C$52+(Scenario_Data!C218))*Inputs!$C$52*COS(SQRT((Scenario_Data!U218)^2+Inputs!$C$6^2)/Inputs!$C$52))*1000)/Inputs!$C$21*1000000</x:f>
        <x:v>2926.8282235073743</x:v>
      </x:c>
      <x:c r="AK218" t="n">
        <x:f>Scenario_Data!V218</x:f>
        <x:v>640</x:v>
      </x:c>
      <x:c r="AL218" t="n">
        <x:f>2*(SQRT((Inputs!$C$52+(Scenario_Data!D218))^2+Inputs!$C$52^2-2*(Inputs!$C$52+(Scenario_Data!D218))*Inputs!$C$52*COS(SQRT((Scenario_Data!V218)^2+Inputs!$C$6^2)/Inputs!$C$52))*1000)/Inputs!$C$21*1000000</x:f>
        <x:v>6669.6695538641015</x:v>
      </x:c>
      <x:c r="AM218" t="n">
        <x:f>Scenario_Data!W218</x:f>
        <x:v>640</x:v>
      </x:c>
      <x:c r="AN218" t="n">
        <x:f>2*(SQRT((Inputs!$C$52+(Scenario_Data!E218))^2+Inputs!$C$52^2-2*(Inputs!$C$52+(Scenario_Data!E218))*Inputs!$C$52*COS(SQRT((Scenario_Data!W218)^2+Inputs!$C$6^2)/Inputs!$C$52))*1000)/Inputs!$C$21*1000000</x:f>
        <x:v>6650.89648885563</x:v>
      </x:c>
      <x:c r="AP218" t="n">
        <x:f>Scenario_Data!T218</x:f>
        <x:v>48</x:v>
      </x:c>
      <x:c r="AQ218" t="n">
        <x: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x:f>
        <x:v>2715.124057836022</x:v>
      </x:c>
      <x:c r="AR218" t="n">
        <x:f>Scenario_Data!U218</x:f>
        <x:v>320</x:v>
      </x:c>
      <x:c r="AS218" t="n">
        <x: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x:f>
        <x:v>2926.6072868304295</x:v>
      </x:c>
      <x:c r="AT218" t="n">
        <x:f>Scenario_Data!V218</x:f>
        <x:v>640</x:v>
      </x:c>
      <x:c r="AU218" t="n">
        <x: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x:f>
        <x:v>6669.157766597429</x:v>
      </x:c>
      <x:c r="AV218" t="n">
        <x:f>Scenario_Data!W218</x:f>
        <x:v>640</x:v>
      </x:c>
      <x:c r="AW218" t="n">
        <x: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x:f>
        <x:v>6650.38687135412</x:v>
      </x:c>
    </x:row>
    <x:row r="219">
      <x:c r="A219" t="n">
        <x:f>Chart_Data!K219</x:f>
        <x:v>48.5</x:v>
      </x:c>
      <x:c r="B219" t="n">
        <x:f>Chart_Data!N219-Chart_Data!L219</x:f>
        <x:v>0.40634772964276067</x:v>
      </x:c>
      <x:c r="D219" t="n">
        <x:f>Chart_Data!G219</x:f>
        <x:v>48.5</x:v>
      </x:c>
      <x:c r="E219" t="n">
        <x:f>Chart_Data!H219</x:f>
        <x:v>114.2648488799635</x:v>
      </x:c>
      <x:c r="F219" t="n">
        <x:f>Chart_Data!I219</x:f>
        <x:v>114.2648488799635</x:v>
      </x:c>
      <x:c r="G219" t="n">
        <x:f>Chart_Data!J219</x:f>
        <x:v>-2.0408727900443155</x:v>
      </x:c>
      <x:c r="I219" t="n">
        <x:f>Scenario_Data!A219</x:f>
        <x:v>0.808</x:v>
      </x:c>
      <x:c r="J219" t="n">
        <x:f>Scenario_Data!H219-(((SQRT((Inputs!$C$52+(Inputs!$H$6))^2+Inputs!$C$52^2-2*(Inputs!$C$52+(Inputs!$H$6))*Inputs!$C$52*COS(SQRT((Scenario_Data!T219)^2+Inputs!$C$6^2)/Inputs!$C$52)))-(Inputs!$H$6))*1000/Inputs!$C$12)</x:f>
        <x:v>-13.299787208880844</x:v>
      </x:c>
      <x:c r="K219" t="n">
        <x:f>Scenario_Data!I219-(((SQRT((Inputs!$C$52+(Inputs!$H$7))^2+Inputs!$C$52^2-2*(Inputs!$C$52+(Inputs!$H$7))*Inputs!$C$52*COS(SQRT((Scenario_Data!U219)^2+Inputs!$C$6^2)/Inputs!$C$52)))-(Inputs!$H$7))*1000/Inputs!$C$12)</x:f>
        <x:v>-68923.75640485117</x:v>
      </x:c>
      <x:c r="L219" t="n">
        <x:f>Scenario_Data!J219-(((SQRT((Inputs!$C$52+(Inputs!$H$8))^2+Inputs!$C$52^2-2*(Inputs!$C$52+(Inputs!$H$8))*Inputs!$C$52*COS(SQRT((Scenario_Data!V219)^2+Inputs!$C$6^2)/Inputs!$C$52)))-(Inputs!$H$8))*1000/Inputs!$C$12)</x:f>
        <x:v>-149013.88756056636</x:v>
      </x:c>
      <x:c r="M219" t="n">
        <x:f>Scenario_Data!K219-(((SQRT((Inputs!$C$52+(Inputs!$H$9))^2+Inputs!$C$52^2-2*(Inputs!$C$52+(Inputs!$H$9))*Inputs!$C$52*COS(SQRT((Scenario_Data!W219)^2+Inputs!$C$6^2)/Inputs!$C$52)))-(Inputs!$H$9))*1000/Inputs!$C$12)</x:f>
        <x:v>-152808.49543699686</x:v>
      </x:c>
      <x:c r="O219" t="n">
        <x:f>Scenario_Data!T219</x:f>
        <x:v>48.480000000000004</x:v>
      </x:c>
      <x:c r="P219" t="n">
        <x:f>2*(Scenario_Data!B219*1000)/Inputs!$C$21*1000000</x:f>
        <x:v>2685.9345207410115</x:v>
      </x:c>
      <x:c r="Q219" t="n">
        <x:f>Scenario_Data!U219</x:f>
        <x:v>323.20000000000005</x:v>
      </x:c>
      <x:c r="R219" t="n">
        <x:f>2*(Scenario_Data!C219*1000)/Inputs!$C$21*1000000</x:f>
        <x:v>1823.2303896050653</x:v>
      </x:c>
      <x:c r="S219" t="n">
        <x:f>Scenario_Data!V219</x:f>
        <x:v>646.4000000000001</x:v>
      </x:c>
      <x:c r="T219" t="n">
        <x:f>2*(Scenario_Data!D219*1000)/Inputs!$C$21*1000000</x:f>
        <x:v>4436.494262974422</x:v>
      </x:c>
      <x:c r="U219" t="n">
        <x:f>Scenario_Data!W219</x:f>
        <x:v>646.4000000000001</x:v>
      </x:c>
      <x:c r="V219" t="n">
        <x:f>2*(Scenario_Data!E219*1000)/Inputs!$C$21*1000000</x:f>
        <x:v>4413.3358418242815</x:v>
      </x:c>
      <x:c r="X219" t="n">
        <x:f>Scenario_Data!T219</x:f>
        <x:v>48.480000000000004</x:v>
      </x:c>
      <x:c r="Y219" t="n">
        <x: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x:f>
        <x:v>2686.01283805853</x:v>
      </x:c>
      <x:c r="Z219" t="n">
        <x:f>Scenario_Data!U219</x:f>
        <x:v>323.20000000000005</x:v>
      </x:c>
      <x:c r="AA219" t="n">
        <x: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x:f>
        <x:v>1823.4048538981938</x:v>
      </x:c>
      <x:c r="AB219" t="n">
        <x:f>Scenario_Data!V219</x:f>
        <x:v>646.4000000000001</x:v>
      </x:c>
      <x:c r="AC219" t="n">
        <x: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x:f>
        <x:v>4436.5284317048545</x:v>
      </x:c>
      <x:c r="AD219" t="n">
        <x:f>Scenario_Data!W219</x:f>
        <x:v>646.4000000000001</x:v>
      </x:c>
      <x:c r="AE219" t="n">
        <x: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x:f>
        <x:v>4413.370010554714</x:v>
      </x:c>
      <x:c r="AG219" t="n">
        <x:f>Scenario_Data!T219</x:f>
        <x:v>48.480000000000004</x:v>
      </x:c>
      <x:c r="AH219" t="n">
        <x:f>2*(SQRT((Inputs!$C$52+(Scenario_Data!B219))^2+Inputs!$C$52^2-2*(Inputs!$C$52+(Scenario_Data!B219))*Inputs!$C$52*COS(SQRT((Scenario_Data!T219)^2+Inputs!$C$6^2)/Inputs!$C$52))*1000)/Inputs!$C$21*1000000</x:f>
        <x:v>2716.763562710639</x:v>
      </x:c>
      <x:c r="AI219" t="n">
        <x:f>Scenario_Data!U219</x:f>
        <x:v>323.20000000000005</x:v>
      </x:c>
      <x:c r="AJ219" t="n">
        <x:f>2*(SQRT((Inputs!$C$52+(Scenario_Data!C219))^2+Inputs!$C$52^2-2*(Inputs!$C$52+(Scenario_Data!C219))*Inputs!$C$52*COS(SQRT((Scenario_Data!U219)^2+Inputs!$C$6^2)/Inputs!$C$52))*1000)/Inputs!$C$21*1000000</x:f>
        <x:v>2966.5111922476426</x:v>
      </x:c>
      <x:c r="AK219" t="n">
        <x:f>Scenario_Data!V219</x:f>
        <x:v>646.4000000000001</x:v>
      </x:c>
      <x:c r="AL219" t="n">
        <x:f>2*(SQRT((Inputs!$C$52+(Scenario_Data!D219))^2+Inputs!$C$52^2-2*(Inputs!$C$52+(Scenario_Data!D219))*Inputs!$C$52*COS(SQRT((Scenario_Data!V219)^2+Inputs!$C$6^2)/Inputs!$C$52))*1000)/Inputs!$C$21*1000000</x:f>
        <x:v>6772.258771364358</x:v>
      </x:c>
      <x:c r="AM219" t="n">
        <x:f>Scenario_Data!W219</x:f>
        <x:v>646.4000000000001</x:v>
      </x:c>
      <x:c r="AN219" t="n">
        <x:f>2*(SQRT((Inputs!$C$52+(Scenario_Data!E219))^2+Inputs!$C$52^2-2*(Inputs!$C$52+(Scenario_Data!E219))*Inputs!$C$52*COS(SQRT((Scenario_Data!W219)^2+Inputs!$C$6^2)/Inputs!$C$52))*1000)/Inputs!$C$21*1000000</x:f>
        <x:v>6754.08832481869</x:v>
      </x:c>
      <x:c r="AP219" t="n">
        <x:f>Scenario_Data!T219</x:f>
        <x:v>48.480000000000004</x:v>
      </x:c>
      <x:c r="AQ219" t="n">
        <x: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x:f>
        <x:v>2716.028847901768</x:v>
      </x:c>
      <x:c r="AR219" t="n">
        <x:f>Scenario_Data!U219</x:f>
        <x:v>323.20000000000005</x:v>
      </x:c>
      <x:c r="AS219" t="n">
        <x: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x:f>
        <x:v>2966.111877040855</x:v>
      </x:c>
      <x:c r="AT219" t="n">
        <x:f>Scenario_Data!V219</x:f>
        <x:v>646.4000000000001</x:v>
      </x:c>
      <x:c r="AU219" t="n">
        <x: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x:f>
        <x:v>6771.9546878484725</x:v>
      </x:c>
      <x:c r="AV219" t="n">
        <x:f>Scenario_Data!W219</x:f>
        <x:v>646.4000000000001</x:v>
      </x:c>
      <x:c r="AW219" t="n">
        <x: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x:f>
        <x:v>6753.785456348162</x:v>
      </x:c>
    </x:row>
    <x:row r="220">
      <x:c r="A220" t="n">
        <x:f>Chart_Data!K220</x:f>
        <x:v>49</x:v>
      </x:c>
      <x:c r="B220" t="n">
        <x:f>Chart_Data!N220-Chart_Data!L220</x:f>
        <x:v>-12.02291335515622</x:v>
      </x:c>
      <x:c r="D220" t="n">
        <x:f>Chart_Data!G220</x:f>
        <x:v>49</x:v>
      </x:c>
      <x:c r="E220" t="n">
        <x:f>Chart_Data!H220</x:f>
        <x:v>109.54402369059221</x:v>
      </x:c>
      <x:c r="F220" t="n">
        <x:f>Chart_Data!I220</x:f>
        <x:v>109.54402369059221</x:v>
      </x:c>
      <x:c r="G220" t="n">
        <x:f>Chart_Data!J220</x:f>
        <x:v>10.43102720072224</x:v>
      </x:c>
      <x:c r="I220" t="n">
        <x:f>Scenario_Data!A220</x:f>
        <x:v>0.817</x:v>
      </x:c>
      <x:c r="J220" t="n">
        <x:f>Scenario_Data!H220-(((SQRT((Inputs!$C$52+(Inputs!$H$6))^2+Inputs!$C$52^2-2*(Inputs!$C$52+(Inputs!$H$6))*Inputs!$C$52*COS(SQRT((Scenario_Data!T220)^2+Inputs!$C$6^2)/Inputs!$C$52)))-(Inputs!$H$6))*1000/Inputs!$C$12)</x:f>
        <x:v>-13.831801402375277</x:v>
      </x:c>
      <x:c r="K220" t="n">
        <x:f>Scenario_Data!I220-(((SQRT((Inputs!$C$52+(Inputs!$H$7))^2+Inputs!$C$52^2-2*(Inputs!$C$52+(Inputs!$H$7))*Inputs!$C$52*COS(SQRT((Scenario_Data!U220)^2+Inputs!$C$6^2)/Inputs!$C$52)))-(Inputs!$H$7))*1000/Inputs!$C$12)</x:f>
        <x:v>-70151.11767949266</x:v>
      </x:c>
      <x:c r="L220" t="n">
        <x:f>Scenario_Data!J220-(((SQRT((Inputs!$C$52+(Inputs!$H$8))^2+Inputs!$C$52^2-2*(Inputs!$C$52+(Inputs!$H$8))*Inputs!$C$52*COS(SQRT((Scenario_Data!V220)^2+Inputs!$C$6^2)/Inputs!$C$52)))-(Inputs!$H$8))*1000/Inputs!$C$12)</x:f>
        <x:v>-151128.20153368788</x:v>
      </x:c>
      <x:c r="M220" t="n">
        <x:f>Scenario_Data!K220-(((SQRT((Inputs!$C$52+(Inputs!$H$9))^2+Inputs!$C$52^2-2*(Inputs!$C$52+(Inputs!$H$9))*Inputs!$C$52*COS(SQRT((Scenario_Data!W220)^2+Inputs!$C$6^2)/Inputs!$C$52)))-(Inputs!$H$9))*1000/Inputs!$C$12)</x:f>
        <x:v>-154936.84079418762</x:v>
      </x:c>
      <x:c r="O220" t="n">
        <x:f>Scenario_Data!T220</x:f>
        <x:v>49.019999999999996</x:v>
      </x:c>
      <x:c r="P220" t="n">
        <x:f>2*(Scenario_Data!B220*1000)/Inputs!$C$21*1000000</x:f>
        <x:v>2686.324790732394</x:v>
      </x:c>
      <x:c r="Q220" t="n">
        <x:f>Scenario_Data!U220</x:f>
        <x:v>326.79999999999995</x:v>
      </x:c>
      <x:c r="R220" t="n">
        <x:f>2*(Scenario_Data!C220*1000)/Inputs!$C$21*1000000</x:f>
        <x:v>1858.8425263186568</x:v>
      </x:c>
      <x:c r="S220" t="n">
        <x:f>Scenario_Data!V220</x:f>
        <x:v>653.5999999999999</x:v>
      </x:c>
      <x:c r="T220" t="n">
        <x:f>2*(Scenario_Data!D220*1000)/Inputs!$C$21*1000000</x:f>
        <x:v>4530.646898395288</x:v>
      </x:c>
      <x:c r="U220" t="n">
        <x:f>Scenario_Data!W220</x:f>
        <x:v>653.5999999999999</x:v>
      </x:c>
      <x:c r="V220" t="n">
        <x:f>2*(Scenario_Data!E220*1000)/Inputs!$C$21*1000000</x:f>
        <x:v>4508.464152223602</x:v>
      </x:c>
      <x:c r="X220" t="n">
        <x:f>Scenario_Data!T220</x:f>
        <x:v>49.019999999999996</x:v>
      </x:c>
      <x:c r="Y220" t="n">
        <x: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x:f>
        <x:v>2686.262030614748</x:v>
      </x:c>
      <x:c r="Z220" t="n">
        <x:f>Scenario_Data!U220</x:f>
        <x:v>326.79999999999995</x:v>
      </x:c>
      <x:c r="AA220" t="n">
        <x: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x:f>
        <x:v>1858.7218553095</x:v>
      </x:c>
      <x:c r="AB220" t="n">
        <x:f>Scenario_Data!V220</x:f>
        <x:v>653.5999999999999</x:v>
      </x:c>
      <x:c r="AC220" t="n">
        <x: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x:f>
        <x:v>4530.328279283201</x:v>
      </x:c>
      <x:c r="AD220" t="n">
        <x:f>Scenario_Data!W220</x:f>
        <x:v>653.5999999999999</x:v>
      </x:c>
      <x:c r="AE220" t="n">
        <x: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x:f>
        <x:v>4508.145533111515</x:v>
      </x:c>
      <x:c r="AG220" t="n">
        <x:f>Scenario_Data!T220</x:f>
        <x:v>49.019999999999996</x:v>
      </x:c>
      <x:c r="AH220" t="n">
        <x:f>2*(SQRT((Inputs!$C$52+(Scenario_Data!B220))^2+Inputs!$C$52^2-2*(Inputs!$C$52+(Scenario_Data!B220))*Inputs!$C$52*COS(SQRT((Scenario_Data!T220)^2+Inputs!$C$6^2)/Inputs!$C$52))*1000)/Inputs!$C$21*1000000</x:f>
        <x:v>2717.692590624826</x:v>
      </x:c>
      <x:c r="AI220" t="n">
        <x:f>Scenario_Data!U220</x:f>
        <x:v>326.79999999999995</x:v>
      </x:c>
      <x:c r="AJ220" t="n">
        <x:f>2*(SQRT((Inputs!$C$52+(Scenario_Data!C220))^2+Inputs!$C$52^2-2*(Inputs!$C$52+(Scenario_Data!C220))*Inputs!$C$52*COS(SQRT((Scenario_Data!U220)^2+Inputs!$C$6^2)/Inputs!$C$52))*1000)/Inputs!$C$21*1000000</x:f>
        <x:v>3011.4944133564245</x:v>
      </x:c>
      <x:c r="AK220" t="n">
        <x:f>Scenario_Data!V220</x:f>
        <x:v>653.5999999999999</x:v>
      </x:c>
      <x:c r="AL220" t="n">
        <x:f>2*(SQRT((Inputs!$C$52+(Scenario_Data!D220))^2+Inputs!$C$52^2-2*(Inputs!$C$52+(Scenario_Data!D220))*Inputs!$C$52*COS(SQRT((Scenario_Data!V220)^2+Inputs!$C$6^2)/Inputs!$C$52))*1000)/Inputs!$C$21*1000000</x:f>
        <x:v>6888.7191192634255</x:v>
      </x:c>
      <x:c r="AM220" t="n">
        <x:f>Scenario_Data!W220</x:f>
        <x:v>653.5999999999999</x:v>
      </x:c>
      <x:c r="AN220" t="n">
        <x:f>2*(SQRT((Inputs!$C$52+(Scenario_Data!E220))^2+Inputs!$C$52^2-2*(Inputs!$C$52+(Scenario_Data!E220))*Inputs!$C$52*COS(SQRT((Scenario_Data!W220)^2+Inputs!$C$6^2)/Inputs!$C$52))*1000)/Inputs!$C$21*1000000</x:f>
        <x:v>6871.241909686075</x:v>
      </x:c>
      <x:c r="AP220" t="n">
        <x:f>Scenario_Data!T220</x:f>
        <x:v>49.019999999999996</x:v>
      </x:c>
      <x:c r="AQ220" t="n">
        <x: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x:f>
        <x:v>2717.001745421667</x:v>
      </x:c>
      <x:c r="AR220" t="n">
        <x:f>Scenario_Data!U220</x:f>
        <x:v>326.79999999999995</x:v>
      </x:c>
      <x:c r="AS220" t="n">
        <x: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x:f>
        <x:v>3010.783980478043</x:v>
      </x:c>
      <x:c r="AT220" t="n">
        <x:f>Scenario_Data!V220</x:f>
        <x:v>653.5999999999999</x:v>
      </x:c>
      <x:c r="AU220" t="n">
        <x: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x:f>
        <x:v>6888.021426206603</x:v>
      </x:c>
      <x:c r="AV220" t="n">
        <x:f>Scenario_Data!W220</x:f>
        <x:v>653.5999999999999</x:v>
      </x:c>
      <x:c r="AW220" t="n">
        <x: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x:f>
        <x:v>6870.546820843922</x:v>
      </x:c>
    </x:row>
    <x:row r="221">
      <x:c r="A221" t="n">
        <x:f>Chart_Data!K221</x:f>
        <x:v>49.5</x:v>
      </x:c>
      <x:c r="B221" t="n">
        <x:f>Chart_Data!N221-Chart_Data!L221</x:f>
        <x:v>0.5602533864366706</x:v>
      </x:c>
      <x:c r="D221" t="n">
        <x:f>Chart_Data!G221</x:f>
        <x:v>49.5</x:v>
      </x:c>
      <x:c r="E221" t="n">
        <x:f>Chart_Data!H221</x:f>
        <x:v>115.81874031490976</x:v>
      </x:c>
      <x:c r="F221" t="n">
        <x:f>Chart_Data!I221</x:f>
        <x:v>115.81874031490976</x:v>
      </x:c>
      <x:c r="G221" t="n">
        <x:f>Chart_Data!J221</x:f>
        <x:v>-2.2699304094542576</x:v>
      </x:c>
      <x:c r="I221" t="n">
        <x:f>Scenario_Data!A221</x:f>
        <x:v>0.825</x:v>
      </x:c>
      <x:c r="J221" t="n">
        <x:f>Scenario_Data!H221-(((SQRT((Inputs!$C$52+(Inputs!$H$6))^2+Inputs!$C$52^2-2*(Inputs!$C$52+(Inputs!$H$6))*Inputs!$C$52*COS(SQRT((Scenario_Data!T221)^2+Inputs!$C$6^2)/Inputs!$C$52)))-(Inputs!$H$6))*1000/Inputs!$C$12)</x:f>
        <x:v>-14.318202220481453</x:v>
      </x:c>
      <x:c r="K221" t="n">
        <x:f>Scenario_Data!I221-(((SQRT((Inputs!$C$52+(Inputs!$H$7))^2+Inputs!$C$52^2-2*(Inputs!$C$52+(Inputs!$H$7))*Inputs!$C$52*COS(SQRT((Scenario_Data!U221)^2+Inputs!$C$6^2)/Inputs!$C$52)))-(Inputs!$H$7))*1000/Inputs!$C$12)</x:f>
        <x:v>-71244.55426280205</x:v>
      </x:c>
      <x:c r="L221" t="n">
        <x:f>Scenario_Data!J221-(((SQRT((Inputs!$C$52+(Inputs!$H$8))^2+Inputs!$C$52^2-2*(Inputs!$C$52+(Inputs!$H$8))*Inputs!$C$52*COS(SQRT((Scenario_Data!V221)^2+Inputs!$C$6^2)/Inputs!$C$52)))-(Inputs!$H$8))*1000/Inputs!$C$12)</x:f>
        <x:v>-153001.25134490427</x:v>
      </x:c>
      <x:c r="M221" t="n">
        <x:f>Scenario_Data!K221-(((SQRT((Inputs!$C$52+(Inputs!$H$9))^2+Inputs!$C$52^2-2*(Inputs!$C$52+(Inputs!$H$9))*Inputs!$C$52*COS(SQRT((Scenario_Data!W221)^2+Inputs!$C$6^2)/Inputs!$C$52)))-(Inputs!$H$9))*1000/Inputs!$C$12)</x:f>
        <x:v>-156821.9415170548</x:v>
      </x:c>
      <x:c r="O221" t="n">
        <x:f>Scenario_Data!T221</x:f>
        <x:v>49.5</x:v>
      </x:c>
      <x:c r="P221" t="n">
        <x:f>2*(Scenario_Data!B221*1000)/Inputs!$C$21*1000000</x:f>
        <x:v>2686.6753265687557</x:v>
      </x:c>
      <x:c r="Q221" t="n">
        <x:f>Scenario_Data!U221</x:f>
        <x:v>330</x:v>
      </x:c>
      <x:c r="R221" t="n">
        <x:f>2*(Scenario_Data!C221*1000)/Inputs!$C$21*1000000</x:f>
        <x:v>1890.8289213866744</x:v>
      </x:c>
      <x:c r="S221" t="n">
        <x:f>Scenario_Data!V221</x:f>
        <x:v>660</x:v>
      </x:c>
      <x:c r="T221" t="n">
        <x:f>2*(Scenario_Data!D221*1000)/Inputs!$C$21*1000000</x:f>
        <x:v>4615.213668917581</x:v>
      </x:c>
      <x:c r="U221" t="n">
        <x:f>Scenario_Data!W221</x:f>
        <x:v>660</x:v>
      </x:c>
      <x:c r="V221" t="n">
        <x:f>2*(Scenario_Data!E221*1000)/Inputs!$C$21*1000000</x:f>
        <x:v>4593.907262336798</x:v>
      </x:c>
      <x:c r="X221" t="n">
        <x:f>Scenario_Data!T221</x:f>
        <x:v>49.5</x:v>
      </x:c>
      <x:c r="Y221" t="n">
        <x: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x:f>
        <x:v>2686.6904699144197</x:v>
      </x:c>
      <x:c r="Z221" t="n">
        <x:f>Scenario_Data!U221</x:f>
        <x:v>330</x:v>
      </x:c>
      <x:c r="AA221" t="n">
        <x: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x:f>
        <x:v>1890.6387614596908</x:v>
      </x:c>
      <x:c r="AB221" t="n">
        <x:f>Scenario_Data!V221</x:f>
        <x:v>660</x:v>
      </x:c>
      <x:c r="AC221" t="n">
        <x: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x:f>
        <x:v>4615.42940669502</x:v>
      </x:c>
      <x:c r="AD221" t="n">
        <x:f>Scenario_Data!W221</x:f>
        <x:v>660</x:v>
      </x:c>
      <x:c r="AE221" t="n">
        <x: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x:f>
        <x:v>4594.123000114238</x:v>
      </x:c>
      <x:c r="AG221" t="n">
        <x:f>Scenario_Data!T221</x:f>
        <x:v>49.5</x:v>
      </x:c>
      <x:c r="AH221" t="n">
        <x:f>2*(SQRT((Inputs!$C$52+(Scenario_Data!B221))^2+Inputs!$C$52^2-2*(Inputs!$C$52+(Scenario_Data!B221))*Inputs!$C$52*COS(SQRT((Scenario_Data!T221)^2+Inputs!$C$6^2)/Inputs!$C$52))*1000)/Inputs!$C$21*1000000</x:f>
        <x:v>2718.5268353664997</x:v>
      </x:c>
      <x:c r="AI221" t="n">
        <x:f>Scenario_Data!U221</x:f>
        <x:v>330</x:v>
      </x:c>
      <x:c r="AJ221" t="n">
        <x:f>2*(SQRT((Inputs!$C$52+(Scenario_Data!C221))^2+Inputs!$C$52^2-2*(Inputs!$C$52+(Scenario_Data!C221))*Inputs!$C$52*COS(SQRT((Scenario_Data!U221)^2+Inputs!$C$6^2)/Inputs!$C$52))*1000)/Inputs!$C$21*1000000</x:f>
        <x:v>3051.7828688525797</x:v>
      </x:c>
      <x:c r="AK221" t="n">
        <x:f>Scenario_Data!V221</x:f>
        <x:v>660</x:v>
      </x:c>
      <x:c r="AL221" t="n">
        <x:f>2*(SQRT((Inputs!$C$52+(Scenario_Data!D221))^2+Inputs!$C$52^2-2*(Inputs!$C$52+(Scenario_Data!D221))*Inputs!$C$52*COS(SQRT((Scenario_Data!V221)^2+Inputs!$C$6^2)/Inputs!$C$52))*1000)/Inputs!$C$21*1000000</x:f>
        <x:v>6993.172626647848</x:v>
      </x:c>
      <x:c r="AM221" t="n">
        <x:f>Scenario_Data!W221</x:f>
        <x:v>660</x:v>
      </x:c>
      <x:c r="AN221" t="n">
        <x:f>2*(SQRT((Inputs!$C$52+(Scenario_Data!E221))^2+Inputs!$C$52^2-2*(Inputs!$C$52+(Scenario_Data!E221))*Inputs!$C$52*COS(SQRT((Scenario_Data!W221)^2+Inputs!$C$6^2)/Inputs!$C$52))*1000)/Inputs!$C$21*1000000</x:f>
        <x:v>6976.325155041407</x:v>
      </x:c>
      <x:c r="AP221" t="n">
        <x:f>Scenario_Data!T221</x:f>
        <x:v>49.5</x:v>
      </x:c>
      <x:c r="AQ221" t="n">
        <x: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x:f>
        <x:v>2717.7655816374827</x:v>
      </x:c>
      <x:c r="AR221" t="n">
        <x:f>Scenario_Data!U221</x:f>
        <x:v>330</x:v>
      </x:c>
      <x:c r="AS221" t="n">
        <x: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x:f>
        <x:v>3051.177959160299</x:v>
      </x:c>
      <x:c r="AT221" t="n">
        <x:f>Scenario_Data!V221</x:f>
        <x:v>660</x:v>
      </x:c>
      <x:c r="AU221" t="n">
        <x: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x:f>
        <x:v>6992.888996566192</x:v>
      </x:c>
      <x:c r="AV221" t="n">
        <x:f>Scenario_Data!W221</x:f>
        <x:v>660</x:v>
      </x:c>
      <x:c r="AW221" t="n">
        <x: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x:f>
        <x:v>6976.042519176204</x:v>
      </x:c>
    </x:row>
    <x:row r="222">
      <x:c r="A222" t="n">
        <x:f>Chart_Data!K222</x:f>
        <x:v>50</x:v>
      </x:c>
      <x:c r="B222" t="n">
        <x:f>Chart_Data!N222-Chart_Data!L222</x:f>
        <x:v>-9.90034021804506</x:v>
      </x:c>
      <x:c r="D222" t="n">
        <x:f>Chart_Data!G222</x:f>
        <x:v>50</x:v>
      </x:c>
      <x:c r="E222" t="n">
        <x:f>Chart_Data!H222</x:f>
        <x:v>115.23525161719914</x:v>
      </x:c>
      <x:c r="F222" t="n">
        <x:f>Chart_Data!I222</x:f>
        <x:v>115.23525161719914</x:v>
      </x:c>
      <x:c r="G222" t="n">
        <x:f>Chart_Data!J222</x:f>
        <x:v>8.17258837755962</x:v>
      </x:c>
      <x:c r="I222" t="n">
        <x:f>Scenario_Data!A222</x:f>
        <x:v>0.833</x:v>
      </x:c>
      <x:c r="J222" t="n">
        <x:f>Scenario_Data!H222-(((SQRT((Inputs!$C$52+(Inputs!$H$6))^2+Inputs!$C$52^2-2*(Inputs!$C$52+(Inputs!$H$6))*Inputs!$C$52*COS(SQRT((Scenario_Data!T222)^2+Inputs!$C$6^2)/Inputs!$C$52)))-(Inputs!$H$6))*1000/Inputs!$C$12)</x:f>
        <x:v>-14.817543761564139</x:v>
      </x:c>
      <x:c r="K222" t="n">
        <x:f>Scenario_Data!I222-(((SQRT((Inputs!$C$52+(Inputs!$H$7))^2+Inputs!$C$52^2-2*(Inputs!$C$52+(Inputs!$H$7))*Inputs!$C$52*COS(SQRT((Scenario_Data!U222)^2+Inputs!$C$6^2)/Inputs!$C$52)))-(Inputs!$H$7))*1000/Inputs!$C$12)</x:f>
        <x:v>-72340.18724720035</x:v>
      </x:c>
      <x:c r="L222" t="n">
        <x:f>Scenario_Data!J222-(((SQRT((Inputs!$C$52+(Inputs!$H$8))^2+Inputs!$C$52^2-2*(Inputs!$C$52+(Inputs!$H$8))*Inputs!$C$52*COS(SQRT((Scenario_Data!V222)^2+Inputs!$C$6^2)/Inputs!$C$52)))-(Inputs!$H$8))*1000/Inputs!$C$12)</x:f>
        <x:v>-154868.1520014535</x:v>
      </x:c>
      <x:c r="M222" t="n">
        <x:f>Scenario_Data!K222-(((SQRT((Inputs!$C$52+(Inputs!$H$9))^2+Inputs!$C$52^2-2*(Inputs!$C$52+(Inputs!$H$9))*Inputs!$C$52*COS(SQRT((Scenario_Data!W222)^2+Inputs!$C$6^2)/Inputs!$C$52)))-(Inputs!$H$9))*1000/Inputs!$C$12)</x:f>
        <x:v>-158700.503065868</x:v>
      </x:c>
      <x:c r="O222" t="n">
        <x:f>Scenario_Data!T222</x:f>
        <x:v>49.980000000000004</x:v>
      </x:c>
      <x:c r="P222" t="n">
        <x:f>2*(Scenario_Data!B222*1000)/Inputs!$C$21*1000000</x:f>
        <x:v>2687.0292781014527</x:v>
      </x:c>
      <x:c r="Q222" t="n">
        <x:f>Scenario_Data!U222</x:f>
        <x:v>333.19999999999993</x:v>
      </x:c>
      <x:c r="R222" t="n">
        <x:f>2*(Scenario_Data!C222*1000)/Inputs!$C$21*1000000</x:f>
        <x:v>1923.1269987452447</x:v>
      </x:c>
      <x:c r="S222" t="n">
        <x:f>Scenario_Data!V222</x:f>
        <x:v>666.3999999999999</x:v>
      </x:c>
      <x:c r="T222" t="n">
        <x:f>2*(Scenario_Data!D222*1000)/Inputs!$C$21*1000000</x:f>
        <x:v>4700.604476180651</x:v>
      </x:c>
      <x:c r="U222" t="n">
        <x:f>Scenario_Data!W222</x:f>
        <x:v>666.3999999999999</x:v>
      </x:c>
      <x:c r="V222" t="n">
        <x:f>2*(Scenario_Data!E222*1000)/Inputs!$C$21*1000000</x:f>
        <x:v>4680.1829484316095</x:v>
      </x:c>
      <x:c r="X222" t="n">
        <x:f>Scenario_Data!T222</x:f>
        <x:v>49.980000000000004</x:v>
      </x:c>
      <x:c r="Y222" t="n">
        <x: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x:f>
        <x:v>2687.075837528585</x:v>
      </x:c>
      <x:c r="Z222" t="n">
        <x:f>Scenario_Data!U222</x:f>
        <x:v>333.19999999999993</x:v>
      </x:c>
      <x:c r="AA222" t="n">
        <x: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x:f>
        <x:v>1923.1125076645908</x:v>
      </x:c>
      <x:c r="AB222" t="n">
        <x:f>Scenario_Data!V222</x:f>
        <x:v>666.3999999999999</x:v>
      </x:c>
      <x:c r="AC222" t="n">
        <x: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x:f>
        <x:v>4700.403112212438</x:v>
      </x:c>
      <x:c r="AD222" t="n">
        <x:f>Scenario_Data!W222</x:f>
        <x:v>666.3999999999999</x:v>
      </x:c>
      <x:c r="AE222" t="n">
        <x: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x:f>
        <x:v>4679.981584463398</x:v>
      </x:c>
      <x:c r="AG222" t="n">
        <x:f>Scenario_Data!T222</x:f>
        <x:v>49.980000000000004</x:v>
      </x:c>
      <x:c r="AH222" t="n">
        <x:f>2*(SQRT((Inputs!$C$52+(Scenario_Data!B222))^2+Inputs!$C$52^2-2*(Inputs!$C$52+(Scenario_Data!B222))*Inputs!$C$52*COS(SQRT((Scenario_Data!T222)^2+Inputs!$C$6^2)/Inputs!$C$52))*1000)/Inputs!$C$21*1000000</x:f>
        <x:v>2719.3690201677696</x:v>
      </x:c>
      <x:c r="AI222" t="n">
        <x:f>Scenario_Data!U222</x:f>
        <x:v>333.19999999999993</x:v>
      </x:c>
      <x:c r="AJ222" t="n">
        <x:f>2*(SQRT((Inputs!$C$52+(Scenario_Data!C222))^2+Inputs!$C$52^2-2*(Inputs!$C$52+(Scenario_Data!C222))*Inputs!$C$52*COS(SQRT((Scenario_Data!U222)^2+Inputs!$C$6^2)/Inputs!$C$52))*1000)/Inputs!$C$21*1000000</x:f>
        <x:v>3092.3580081209293</x:v>
      </x:c>
      <x:c r="AK222" t="n">
        <x:f>Scenario_Data!V222</x:f>
        <x:v>666.3999999999999</x:v>
      </x:c>
      <x:c r="AL222" t="n">
        <x:f>2*(SQRT((Inputs!$C$52+(Scenario_Data!D222))^2+Inputs!$C$52^2-2*(Inputs!$C$52+(Scenario_Data!D222))*Inputs!$C$52*COS(SQRT((Scenario_Data!V222)^2+Inputs!$C$6^2)/Inputs!$C$52))*1000)/Inputs!$C$21*1000000</x:f>
        <x:v>7098.5063576925695</x:v>
      </x:c>
      <x:c r="AM222" t="n">
        <x:f>Scenario_Data!W222</x:f>
        <x:v>666.3999999999999</x:v>
      </x:c>
      <x:c r="AN222" t="n">
        <x:f>2*(SQRT((Inputs!$C$52+(Scenario_Data!E222))^2+Inputs!$C$52^2-2*(Inputs!$C$52+(Scenario_Data!E222))*Inputs!$C$52*COS(SQRT((Scenario_Data!W222)^2+Inputs!$C$6^2)/Inputs!$C$52))*1000)/Inputs!$C$21*1000000</x:f>
        <x:v>7082.30129477401</x:v>
      </x:c>
      <x:c r="AP222" t="n">
        <x:f>Scenario_Data!T222</x:f>
        <x:v>49.980000000000004</x:v>
      </x:c>
      <x:c r="AQ222" t="n">
        <x: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x:f>
        <x:v>2718.562423641157</x:v>
      </x:c>
      <x:c r="AR222" t="n">
        <x:f>Scenario_Data!U222</x:f>
        <x:v>333.19999999999993</x:v>
      </x:c>
      <x:c r="AS222" t="n">
        <x: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x:f>
        <x:v>3091.992984294787</x:v>
      </x:c>
      <x:c r="AT222" t="n">
        <x:f>Scenario_Data!V222</x:f>
        <x:v>666.3999999999999</x:v>
      </x:c>
      <x:c r="AU222" t="n">
        <x: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x:f>
        <x:v>7098.013869852497</x:v>
      </x:c>
      <x:c r="AV222" t="n">
        <x:f>Scenario_Data!W222</x:f>
        <x:v>666.3999999999999</x:v>
      </x:c>
      <x:c r="AW222" t="n">
        <x: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x:f>
        <x:v>7081.81042563662</x:v>
      </x:c>
    </x:row>
    <x:row r="223">
      <x:c r="A223" t="n">
        <x:f>Chart_Data!K223</x:f>
        <x:v>50.5</x:v>
      </x:c>
      <x:c r="B223" t="n">
        <x:f>Chart_Data!N223-Chart_Data!L223</x:f>
        <x:v>-9.261408253825465</x:v>
      </x:c>
      <x:c r="D223" t="n">
        <x:f>Chart_Data!G223</x:f>
        <x:v>50.5</x:v>
      </x:c>
      <x:c r="E223" t="n">
        <x:f>Chart_Data!H223</x:f>
        <x:v>136.98620076238512</x:v>
      </x:c>
      <x:c r="F223" t="n">
        <x:f>Chart_Data!I223</x:f>
        <x:v>136.98620076238512</x:v>
      </x:c>
      <x:c r="G223" t="n">
        <x:f>Chart_Data!J223</x:f>
        <x:v>7.175411887622014</x:v>
      </x:c>
      <x:c r="I223" t="n">
        <x:f>Scenario_Data!A223</x:f>
        <x:v>0.842</x:v>
      </x:c>
      <x:c r="J223" t="n">
        <x:f>Scenario_Data!H223-(((SQRT((Inputs!$C$52+(Inputs!$H$6))^2+Inputs!$C$52^2-2*(Inputs!$C$52+(Inputs!$H$6))*Inputs!$C$52*COS(SQRT((Scenario_Data!T223)^2+Inputs!$C$6^2)/Inputs!$C$52)))-(Inputs!$H$6))*1000/Inputs!$C$12)</x:f>
        <x:v>-15.39505495210642</x:v>
      </x:c>
      <x:c r="K223" t="n">
        <x:f>Scenario_Data!I223-(((SQRT((Inputs!$C$52+(Inputs!$H$7))^2+Inputs!$C$52^2-2*(Inputs!$C$52+(Inputs!$H$7))*Inputs!$C$52*COS(SQRT((Scenario_Data!U223)^2+Inputs!$C$6^2)/Inputs!$C$52)))-(Inputs!$H$7))*1000/Inputs!$C$12)</x:f>
        <x:v>-73575.27277737437</x:v>
      </x:c>
      <x:c r="L223" t="n">
        <x:f>Scenario_Data!J223-(((SQRT((Inputs!$C$52+(Inputs!$H$8))^2+Inputs!$C$52^2-2*(Inputs!$C$52+(Inputs!$H$8))*Inputs!$C$52*COS(SQRT((Scenario_Data!V223)^2+Inputs!$C$6^2)/Inputs!$C$52)))-(Inputs!$H$8))*1000/Inputs!$C$12)</x:f>
        <x:v>-156960.85443111658</x:v>
      </x:c>
      <x:c r="M223" t="n">
        <x:f>Scenario_Data!K223-(((SQRT((Inputs!$C$52+(Inputs!$H$9))^2+Inputs!$C$52^2-2*(Inputs!$C$52+(Inputs!$H$9))*Inputs!$C$52*COS(SQRT((Scenario_Data!W223)^2+Inputs!$C$6^2)/Inputs!$C$52)))-(Inputs!$H$9))*1000/Inputs!$C$12)</x:f>
        <x:v>-160805.86562780722</x:v>
      </x:c>
      <x:c r="O223" t="n">
        <x:f>Scenario_Data!T223</x:f>
        <x:v>50.52000000000001</x:v>
      </x:c>
      <x:c r="P223" t="n">
        <x:f>2*(Scenario_Data!B223*1000)/Inputs!$C$21*1000000</x:f>
        <x:v>2687.431556400261</x:v>
      </x:c>
      <x:c r="Q223" t="n">
        <x:f>Scenario_Data!U223</x:f>
        <x:v>336.80000000000007</x:v>
      </x:c>
      <x:c r="R223" t="n">
        <x:f>2*(Scenario_Data!C223*1000)/Inputs!$C$21*1000000</x:f>
        <x:v>1959.8348935115648</x:v>
      </x:c>
      <x:c r="S223" t="n">
        <x:f>Scenario_Data!V223</x:f>
        <x:v>673.6000000000001</x:v>
      </x:c>
      <x:c r="T223" t="n">
        <x:f>2*(Scenario_Data!D223*1000)/Inputs!$C$21*1000000</x:f>
        <x:v>4797.654115768319</x:v>
      </x:c>
      <x:c r="U223" t="n">
        <x:f>Scenario_Data!W223</x:f>
        <x:v>673.6000000000001</x:v>
      </x:c>
      <x:c r="V223" t="n">
        <x:f>2*(Scenario_Data!E223*1000)/Inputs!$C$21*1000000</x:f>
        <x:v>4778.2382837663</x:v>
      </x:c>
      <x:c r="X223" t="n">
        <x:f>Scenario_Data!T223</x:f>
        <x:v>50.52000000000001</x:v>
      </x:c>
      <x:c r="Y223" t="n">
        <x: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x:f>
        <x:v>2687.5172186847417</x:v>
      </x:c>
      <x:c r="Z223" t="n">
        <x:f>Scenario_Data!U223</x:f>
        <x:v>336.80000000000007</x:v>
      </x:c>
      <x:c r="AA223" t="n">
        <x: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x:f>
        <x:v>1960.0763885223253</x:v>
      </x:c>
      <x:c r="AB223" t="n">
        <x:f>Scenario_Data!V223</x:f>
        <x:v>673.6000000000001</x:v>
      </x:c>
      <x:c r="AC223" t="n">
        <x: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x:f>
        <x:v>4797.536735471792</x:v>
      </x:c>
      <x:c r="AD223" t="n">
        <x:f>Scenario_Data!W223</x:f>
        <x:v>673.6000000000001</x:v>
      </x:c>
      <x:c r="AE223" t="n">
        <x: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x:f>
        <x:v>4778.120903469774</x:v>
      </x:c>
      <x:c r="AG223" t="n">
        <x:f>Scenario_Data!T223</x:f>
        <x:v>50.52000000000001</x:v>
      </x:c>
      <x:c r="AH223" t="n">
        <x:f>2*(SQRT((Inputs!$C$52+(Scenario_Data!B223))^2+Inputs!$C$52^2-2*(Inputs!$C$52+(Scenario_Data!B223))*Inputs!$C$52*COS(SQRT((Scenario_Data!T223)^2+Inputs!$C$6^2)/Inputs!$C$52))*1000)/Inputs!$C$21*1000000</x:f>
        <x:v>2720.3259622967576</x:v>
      </x:c>
      <x:c r="AI223" t="n">
        <x:f>Scenario_Data!U223</x:f>
        <x:v>336.80000000000007</x:v>
      </x:c>
      <x:c r="AJ223" t="n">
        <x:f>2*(SQRT((Inputs!$C$52+(Scenario_Data!C223))^2+Inputs!$C$52^2-2*(Inputs!$C$52+(Scenario_Data!C223))*Inputs!$C$52*COS(SQRT((Scenario_Data!U223)^2+Inputs!$C$6^2)/Inputs!$C$52))*1000)/Inputs!$C$21*1000000</x:f>
        <x:v>3138.34907670858</x:v>
      </x:c>
      <x:c r="AK223" t="n">
        <x:f>Scenario_Data!V223</x:f>
        <x:v>673.6000000000001</x:v>
      </x:c>
      <x:c r="AL223" t="n">
        <x:f>2*(SQRT((Inputs!$C$52+(Scenario_Data!D223))^2+Inputs!$C$52^2-2*(Inputs!$C$52+(Scenario_Data!D223))*Inputs!$C$52*COS(SQRT((Scenario_Data!V223)^2+Inputs!$C$6^2)/Inputs!$C$52))*1000)/Inputs!$C$21*1000000</x:f>
        <x:v>7218.061166458944</x:v>
      </x:c>
      <x:c r="AM223" t="n">
        <x:f>Scenario_Data!W223</x:f>
        <x:v>673.6000000000001</x:v>
      </x:c>
      <x:c r="AN223" t="n">
        <x:f>2*(SQRT((Inputs!$C$52+(Scenario_Data!E223))^2+Inputs!$C$52^2-2*(Inputs!$C$52+(Scenario_Data!E223))*Inputs!$C$52*COS(SQRT((Scenario_Data!W223)^2+Inputs!$C$6^2)/Inputs!$C$52))*1000)/Inputs!$C$21*1000000</x:f>
        <x:v>7202.593886244597</x:v>
      </x:c>
      <x:c r="AP223" t="n">
        <x:f>Scenario_Data!T223</x:f>
        <x:v>50.52000000000001</x:v>
      </x:c>
      <x:c r="AQ223" t="n">
        <x: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x:f>
        <x:v>2719.4600228979743</x:v>
      </x:c>
      <x:c r="AR223" t="n">
        <x:f>Scenario_Data!U223</x:f>
        <x:v>336.80000000000007</x:v>
      </x:c>
      <x:c r="AS223" t="n">
        <x: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x:f>
        <x:v>3137.9971314740387</x:v>
      </x:c>
      <x:c r="AT223" t="n">
        <x:f>Scenario_Data!V223</x:f>
        <x:v>673.6000000000001</x:v>
      </x:c>
      <x:c r="AU223" t="n">
        <x: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x:f>
        <x:v>7217.546480079484</x:v>
      </x:c>
      <x:c r="AV223" t="n">
        <x:f>Scenario_Data!W223</x:f>
        <x:v>673.6000000000001</x:v>
      </x:c>
      <x:c r="AW223" t="n">
        <x: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x:f>
        <x:v>7202.080769171895</x:v>
      </x:c>
    </x:row>
    <x:row r="224">
      <x:c r="A224" t="n">
        <x:f>Chart_Data!K224</x:f>
        <x:v>51</x:v>
      </x:c>
      <x:c r="B224" t="n">
        <x:f>Chart_Data!N224-Chart_Data!L224</x:f>
        <x:v>-13.64503521568463</x:v>
      </x:c>
      <x:c r="D224" t="n">
        <x:f>Chart_Data!G224</x:f>
        <x:v>51</x:v>
      </x:c>
      <x:c r="E224" t="n">
        <x:f>Chart_Data!H224</x:f>
        <x:v>137.08289632779307</x:v>
      </x:c>
      <x:c r="F224" t="n">
        <x:f>Chart_Data!I224</x:f>
        <x:v>137.08289632779307</x:v>
      </x:c>
      <x:c r="G224" t="n">
        <x:f>Chart_Data!J224</x:f>
        <x:v>11.525237738664625</x:v>
      </x:c>
      <x:c r="I224" t="n">
        <x:f>Scenario_Data!A224</x:f>
        <x:v>0.85</x:v>
      </x:c>
      <x:c r="J224" t="n">
        <x:f>Scenario_Data!H224-(((SQRT((Inputs!$C$52+(Inputs!$H$6))^2+Inputs!$C$52^2-2*(Inputs!$C$52+(Inputs!$H$6))*Inputs!$C$52*COS(SQRT((Scenario_Data!T224)^2+Inputs!$C$6^2)/Inputs!$C$52)))-(Inputs!$H$6))*1000/Inputs!$C$12)</x:f>
        <x:v>-15.922654129073635</x:v>
      </x:c>
      <x:c r="K224" t="n">
        <x:f>Scenario_Data!I224-(((SQRT((Inputs!$C$52+(Inputs!$H$7))^2+Inputs!$C$52^2-2*(Inputs!$C$52+(Inputs!$H$7))*Inputs!$C$52*COS(SQRT((Scenario_Data!U224)^2+Inputs!$C$6^2)/Inputs!$C$52)))-(Inputs!$H$7))*1000/Inputs!$C$12)</x:f>
        <x:v>-74675.23669418608</x:v>
      </x:c>
      <x:c r="L224" t="n">
        <x:f>Scenario_Data!J224-(((SQRT((Inputs!$C$52+(Inputs!$H$8))^2+Inputs!$C$52^2-2*(Inputs!$C$52+(Inputs!$H$8))*Inputs!$C$52*COS(SQRT((Scenario_Data!V224)^2+Inputs!$C$6^2)/Inputs!$C$52)))-(Inputs!$H$8))*1000/Inputs!$C$12)</x:f>
        <x:v>-158814.13192459266</x:v>
      </x:c>
      <x:c r="M224" t="n">
        <x:f>Scenario_Data!K224-(((SQRT((Inputs!$C$52+(Inputs!$H$9))^2+Inputs!$C$52^2-2*(Inputs!$C$52+(Inputs!$H$9))*Inputs!$C$52*COS(SQRT((Scenario_Data!W224)^2+Inputs!$C$6^2)/Inputs!$C$52)))-(Inputs!$H$9))*1000/Inputs!$C$12)</x:f>
        <x:v>-162669.9960054315</x:v>
      </x:c>
      <x:c r="O224" t="n">
        <x:f>Scenario_Data!T224</x:f>
        <x:v>51</x:v>
      </x:c>
      <x:c r="P224" t="n">
        <x:f>2*(Scenario_Data!B224*1000)/Inputs!$C$21*1000000</x:f>
        <x:v>2687.7927662876696</x:v>
      </x:c>
      <x:c r="Q224" t="n">
        <x:f>Scenario_Data!U224</x:f>
        <x:v>340</x:v>
      </x:c>
      <x:c r="R224" t="n">
        <x:f>2*(Scenario_Data!C224*1000)/Inputs!$C$21*1000000</x:f>
        <x:v>1992.7952957375599</x:v>
      </x:c>
      <x:c r="S224" t="n">
        <x:f>Scenario_Data!V224</x:f>
        <x:v>680</x:v>
      </x:c>
      <x:c r="T224" t="n">
        <x:f>2*(Scenario_Data!D224*1000)/Inputs!$C$21*1000000</x:f>
        <x:v>4884.7960011055375</x:v>
      </x:c>
      <x:c r="U224" t="n">
        <x:f>Scenario_Data!W224</x:f>
        <x:v>680</x:v>
      </x:c>
      <x:c r="V224" t="n">
        <x:f>2*(Scenario_Data!E224*1000)/Inputs!$C$21*1000000</x:f>
        <x:v>4866.28319382204</x:v>
      </x:c>
      <x:c r="X224" t="n">
        <x:f>Scenario_Data!T224</x:f>
        <x:v>51</x:v>
      </x:c>
      <x:c r="Y224" t="n">
        <x: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x:f>
        <x:v>2687.715878177705</x:v>
      </x:c>
      <x:c r="Z224" t="n">
        <x:f>Scenario_Data!U224</x:f>
        <x:v>340</x:v>
      </x:c>
      <x:c r="AA224" t="n">
        <x: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x:f>
        <x:v>1992.8224473858172</x:v>
      </x:c>
      <x:c r="AB224" t="n">
        <x:f>Scenario_Data!V224</x:f>
        <x:v>680</x:v>
      </x:c>
      <x:c r="AC224" t="n">
        <x: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x:f>
        <x:v>4885.016887178555</x:v>
      </x:c>
      <x:c r="AD224" t="n">
        <x:f>Scenario_Data!W224</x:f>
        <x:v>680</x:v>
      </x:c>
      <x:c r="AE224" t="n">
        <x: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x:f>
        <x:v>4866.504079895057</x:v>
      </x:c>
      <x:c r="AG224" t="n">
        <x:f>Scenario_Data!T224</x:f>
        <x:v>51</x:v>
      </x:c>
      <x:c r="AH224" t="n">
        <x:f>2*(SQRT((Inputs!$C$52+(Scenario_Data!B224))^2+Inputs!$C$52^2-2*(Inputs!$C$52+(Scenario_Data!B224))*Inputs!$C$52*COS(SQRT((Scenario_Data!T224)^2+Inputs!$C$6^2)/Inputs!$C$52))*1000)/Inputs!$C$21*1000000</x:f>
        <x:v>2721.1850020092143</x:v>
      </x:c>
      <x:c r="AI224" t="n">
        <x:f>Scenario_Data!U224</x:f>
        <x:v>340</x:v>
      </x:c>
      <x:c r="AJ224" t="n">
        <x:f>2*(SQRT((Inputs!$C$52+(Scenario_Data!C224))^2+Inputs!$C$52^2-2*(Inputs!$C$52+(Scenario_Data!C224))*Inputs!$C$52*COS(SQRT((Scenario_Data!U224)^2+Inputs!$C$6^2)/Inputs!$C$52))*1000)/Inputs!$C$21*1000000</x:f>
        <x:v>3179.537024764877</x:v>
      </x:c>
      <x:c r="AK224" t="n">
        <x:f>Scenario_Data!V224</x:f>
        <x:v>680</x:v>
      </x:c>
      <x:c r="AL224" t="n">
        <x:f>2*(SQRT((Inputs!$C$52+(Scenario_Data!D224))^2+Inputs!$C$52^2-2*(Inputs!$C$52+(Scenario_Data!D224))*Inputs!$C$52*COS(SQRT((Scenario_Data!V224)^2+Inputs!$C$6^2)/Inputs!$C$52))*1000)/Inputs!$C$21*1000000</x:f>
        <x:v>7325.2712267935</x:v>
      </x:c>
      <x:c r="AM224" t="n">
        <x:f>Scenario_Data!W224</x:f>
        <x:v>680</x:v>
      </x:c>
      <x:c r="AN224" t="n">
        <x:f>2*(SQRT((Inputs!$C$52+(Scenario_Data!E224))^2+Inputs!$C$52^2-2*(Inputs!$C$52+(Scenario_Data!E224))*Inputs!$C$52*COS(SQRT((Scenario_Data!W224)^2+Inputs!$C$6^2)/Inputs!$C$52))*1000)/Inputs!$C$21*1000000</x:f>
        <x:v>7310.473087383565</x:v>
      </x:c>
      <x:c r="AP224" t="n">
        <x:f>Scenario_Data!T224</x:f>
        <x:v>51</x:v>
      </x:c>
      <x:c r="AQ224" t="n">
        <x: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x:f>
        <x:v>2720.284625130148</x:v>
      </x:c>
      <x:c r="AR224" t="n">
        <x:f>Scenario_Data!U224</x:f>
        <x:v>340</x:v>
      </x:c>
      <x:c r="AS224" t="n">
        <x: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x:f>
        <x:v>3179.0930306359223</x:v>
      </x:c>
      <x:c r="AT224" t="n">
        <x:f>Scenario_Data!V224</x:f>
        <x:v>680</x:v>
      </x:c>
      <x:c r="AU224" t="n">
        <x: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x:f>
        <x:v>7325.109272184577</x:v>
      </x:c>
      <x:c r="AV224" t="n">
        <x:f>Scenario_Data!W224</x:f>
        <x:v>680</x:v>
      </x:c>
      <x:c r="AW224" t="n">
        <x: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x:f>
        <x:v>7310.311593445844</x:v>
      </x:c>
    </x:row>
    <x:row r="225">
      <x:c r="A225" t="n">
        <x:f>Chart_Data!K225</x:f>
        <x:v>51.5</x:v>
      </x:c>
      <x:c r="B225" t="n">
        <x:f>Chart_Data!N225-Chart_Data!L225</x:f>
        <x:v>2.0445562852635533</x:v>
      </x:c>
      <x:c r="D225" t="n">
        <x:f>Chart_Data!G225</x:f>
        <x:v>51.5</x:v>
      </x:c>
      <x:c r="E225" t="n">
        <x:f>Chart_Data!H225</x:f>
        <x:v>159.61831316527434</x:v>
      </x:c>
      <x:c r="F225" t="n">
        <x:f>Chart_Data!I225</x:f>
        <x:v>159.61831316527434</x:v>
      </x:c>
      <x:c r="G225" t="n">
        <x:f>Chart_Data!J225</x:f>
        <x:v>-4.550946531934956</x:v>
      </x:c>
      <x:c r="I225" t="n">
        <x:f>Scenario_Data!A225</x:f>
        <x:v>0.858</x:v>
      </x:c>
      <x:c r="J225" t="n">
        <x:f>Scenario_Data!H225-(((SQRT((Inputs!$C$52+(Inputs!$H$6))^2+Inputs!$C$52^2-2*(Inputs!$C$52+(Inputs!$H$6))*Inputs!$C$52*COS(SQRT((Scenario_Data!T225)^2+Inputs!$C$6^2)/Inputs!$C$52)))-(Inputs!$H$6))*1000/Inputs!$C$12)</x:f>
        <x:v>-16.463911639531943</x:v>
      </x:c>
      <x:c r="K225" t="n">
        <x:f>Scenario_Data!I225-(((SQRT((Inputs!$C$52+(Inputs!$H$7))^2+Inputs!$C$52^2-2*(Inputs!$C$52+(Inputs!$H$7))*Inputs!$C$52*COS(SQRT((Scenario_Data!U225)^2+Inputs!$C$6^2)/Inputs!$C$52)))-(Inputs!$H$7))*1000/Inputs!$C$12)</x:f>
        <x:v>-75777.08439083706</x:v>
      </x:c>
      <x:c r="L225" t="n">
        <x:f>Scenario_Data!J225-(((SQRT((Inputs!$C$52+(Inputs!$H$8))^2+Inputs!$C$52^2-2*(Inputs!$C$52+(Inputs!$H$8))*Inputs!$C$52*COS(SQRT((Scenario_Data!V225)^2+Inputs!$C$6^2)/Inputs!$C$52)))-(Inputs!$H$8))*1000/Inputs!$C$12)</x:f>
        <x:v>-160660.74701629803</x:v>
      </x:c>
      <x:c r="M225" t="n">
        <x:f>Scenario_Data!K225-(((SQRT((Inputs!$C$52+(Inputs!$H$9))^2+Inputs!$C$52^2-2*(Inputs!$C$52+(Inputs!$H$9))*Inputs!$C$52*COS(SQRT((Scenario_Data!W225)^2+Inputs!$C$6^2)/Inputs!$C$52)))-(Inputs!$H$9))*1000/Inputs!$C$12)</x:f>
        <x:v>-164527.0933707741</x:v>
      </x:c>
      <x:c r="O225" t="n">
        <x:f>Scenario_Data!T225</x:f>
        <x:v>51.480000000000004</x:v>
      </x:c>
      <x:c r="P225" t="n">
        <x:f>2*(Scenario_Data!B225*1000)/Inputs!$C$21*1000000</x:f>
        <x:v>2688.1573918714125</x:v>
      </x:c>
      <x:c r="Q225" t="n">
        <x:f>Scenario_Data!U225</x:f>
        <x:v>343.20000000000005</x:v>
      </x:c>
      <x:c r="R225" t="n">
        <x:f>2*(Scenario_Data!C225*1000)/Inputs!$C$21*1000000</x:f>
        <x:v>2026.0673802541094</x:v>
      </x:c>
      <x:c r="S225" t="n">
        <x:f>Scenario_Data!V225</x:f>
        <x:v>686.4000000000001</x:v>
      </x:c>
      <x:c r="T225" t="n">
        <x:f>2*(Scenario_Data!D225*1000)/Inputs!$C$21*1000000</x:f>
        <x:v>4972.761923183538</x:v>
      </x:c>
      <x:c r="U225" t="n">
        <x:f>Scenario_Data!W225</x:f>
        <x:v>686.4000000000001</x:v>
      </x:c>
      <x:c r="V225" t="n">
        <x:f>2*(Scenario_Data!E225*1000)/Inputs!$C$21*1000000</x:f>
        <x:v>4955.160679859399</x:v>
      </x:c>
      <x:c r="X225" t="n">
        <x:f>Scenario_Data!T225</x:f>
        <x:v>51.480000000000004</x:v>
      </x:c>
      <x:c r="Y225" t="n">
        <x: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x:f>
        <x:v>2688.2272914906207</x:v>
      </x:c>
      <x:c r="Z225" t="n">
        <x:f>Scenario_Data!U225</x:f>
        <x:v>343.20000000000005</x:v>
      </x:c>
      <x:c r="AA225" t="n">
        <x: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x:f>
        <x:v>2025.9670355035464</x:v>
      </x:c>
      <x:c r="AB225" t="n">
        <x:f>Scenario_Data!V225</x:f>
        <x:v>686.4000000000001</x:v>
      </x:c>
      <x:c r="AC225" t="n">
        <x: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x:f>
        <x:v>4972.44186832919</x:v>
      </x:c>
      <x:c r="AD225" t="n">
        <x:f>Scenario_Data!W225</x:f>
        <x:v>686.4000000000001</x:v>
      </x:c>
      <x:c r="AE225" t="n">
        <x: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x:f>
        <x:v>4954.840625005049</x:v>
      </x:c>
      <x:c r="AG225" t="n">
        <x:f>Scenario_Data!T225</x:f>
        <x:v>51.480000000000004</x:v>
      </x:c>
      <x:c r="AH225" t="n">
        <x:f>2*(SQRT((Inputs!$C$52+(Scenario_Data!B225))^2+Inputs!$C$52^2-2*(Inputs!$C$52+(Scenario_Data!B225))*Inputs!$C$52*COS(SQRT((Scenario_Data!T225)^2+Inputs!$C$6^2)/Inputs!$C$52))*1000)/Inputs!$C$21*1000000</x:f>
        <x:v>2722.0519650158485</x:v>
      </x:c>
      <x:c r="AI225" t="n">
        <x:f>Scenario_Data!U225</x:f>
        <x:v>343.20000000000005</x:v>
      </x:c>
      <x:c r="AJ225" t="n">
        <x:f>2*(SQRT((Inputs!$C$52+(Scenario_Data!C225))^2+Inputs!$C$52^2-2*(Inputs!$C$52+(Scenario_Data!C225))*Inputs!$C$52*COS(SQRT((Scenario_Data!U225)^2+Inputs!$C$6^2)/Inputs!$C$52))*1000)/Inputs!$C$21*1000000</x:f>
        <x:v>3221.015010080671</x:v>
      </x:c>
      <x:c r="AK225" t="n">
        <x:f>Scenario_Data!V225</x:f>
        <x:v>686.4000000000001</x:v>
      </x:c>
      <x:c r="AL225" t="n">
        <x:f>2*(SQRT((Inputs!$C$52+(Scenario_Data!D225))^2+Inputs!$C$52^2-2*(Inputs!$C$52+(Scenario_Data!D225))*Inputs!$C$52*COS(SQRT((Scenario_Data!V225)^2+Inputs!$C$6^2)/Inputs!$C$52))*1000)/Inputs!$C$21*1000000</x:f>
        <x:v>7433.366902852947</x:v>
      </x:c>
      <x:c r="AM225" t="n">
        <x:f>Scenario_Data!W225</x:f>
        <x:v>686.4000000000001</x:v>
      </x:c>
      <x:c r="AN225" t="n">
        <x:f>2*(SQRT((Inputs!$C$52+(Scenario_Data!E225))^2+Inputs!$C$52^2-2*(Inputs!$C$52+(Scenario_Data!E225))*Inputs!$C$52*COS(SQRT((Scenario_Data!W225)^2+Inputs!$C$6^2)/Inputs!$C$52))*1000)/Inputs!$C$21*1000000</x:f>
        <x:v>7419.250393732713</x:v>
      </x:c>
      <x:c r="AP225" t="n">
        <x:f>Scenario_Data!T225</x:f>
        <x:v>51.480000000000004</x:v>
      </x:c>
      <x:c r="AQ225" t="n">
        <x: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x:f>
        <x:v>2721.136694205718</x:v>
      </x:c>
      <x:c r="AR225" t="n">
        <x:f>Scenario_Data!U225</x:f>
        <x:v>343.20000000000005</x:v>
      </x:c>
      <x:c r="AS225" t="n">
        <x: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x:f>
        <x:v>3220.474419904112</x:v>
      </x:c>
      <x:c r="AT225" t="n">
        <x:f>Scenario_Data!V225</x:f>
        <x:v>686.4000000000001</x:v>
      </x:c>
      <x:c r="AU225" t="n">
        <x: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x:f>
        <x:v>7432.782391212268</x:v>
      </x:c>
      <x:c r="AV225" t="n">
        <x:f>Scenario_Data!W225</x:f>
        <x:v>686.4000000000001</x:v>
      </x:c>
      <x:c r="AW225" t="n">
        <x: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x:f>
        <x:v>7418.6674296546635</x:v>
      </x:c>
    </x:row>
    <x:row r="226">
      <x:c r="A226" t="n">
        <x:f>Chart_Data!K226</x:f>
        <x:v>52</x:v>
      </x:c>
      <x:c r="B226" t="n">
        <x:f>Chart_Data!N226-Chart_Data!L226</x:f>
        <x:v>5.188627805829441</x:v>
      </x:c>
      <x:c r="D226" t="n">
        <x:f>Chart_Data!G226</x:f>
        <x:v>52</x:v>
      </x:c>
      <x:c r="E226" t="n">
        <x:f>Chart_Data!H226</x:f>
        <x:v>166.9931224443313</x:v>
      </x:c>
      <x:c r="F226" t="n">
        <x:f>Chart_Data!I226</x:f>
        <x:v>166.9931224443313</x:v>
      </x:c>
      <x:c r="G226" t="n">
        <x:f>Chart_Data!J226</x:f>
        <x:v>-7.85094902162108</x:v>
      </x:c>
      <x:c r="I226" t="n">
        <x:f>Scenario_Data!A226</x:f>
        <x:v>0.867</x:v>
      </x:c>
      <x:c r="J226" t="n">
        <x:f>Scenario_Data!H226-(((SQRT((Inputs!$C$52+(Inputs!$H$6))^2+Inputs!$C$52^2-2*(Inputs!$C$52+(Inputs!$H$6))*Inputs!$C$52*COS(SQRT((Scenario_Data!T226)^2+Inputs!$C$6^2)/Inputs!$C$52)))-(Inputs!$H$6))*1000/Inputs!$C$12)</x:f>
        <x:v>-17.089442616799715</x:v>
      </x:c>
      <x:c r="K226" t="n">
        <x:f>Scenario_Data!I226-(((SQRT((Inputs!$C$52+(Inputs!$H$7))^2+Inputs!$C$52^2-2*(Inputs!$C$52+(Inputs!$H$7))*Inputs!$C$52*COS(SQRT((Scenario_Data!U226)^2+Inputs!$C$6^2)/Inputs!$C$52)))-(Inputs!$H$7))*1000/Inputs!$C$12)</x:f>
        <x:v>-77018.79498984448</x:v>
      </x:c>
      <x:c r="L226" t="n">
        <x:f>Scenario_Data!J226-(((SQRT((Inputs!$C$52+(Inputs!$H$8))^2+Inputs!$C$52^2-2*(Inputs!$C$52+(Inputs!$H$8))*Inputs!$C$52*COS(SQRT((Scenario_Data!V226)^2+Inputs!$C$6^2)/Inputs!$C$52)))-(Inputs!$H$8))*1000/Inputs!$C$12)</x:f>
        <x:v>-162730.03298707728</x:v>
      </x:c>
      <x:c r="M226" t="n">
        <x:f>Scenario_Data!K226-(((SQRT((Inputs!$C$52+(Inputs!$H$9))^2+Inputs!$C$52^2-2*(Inputs!$C$52+(Inputs!$H$9))*Inputs!$C$52*COS(SQRT((Scenario_Data!W226)^2+Inputs!$C$6^2)/Inputs!$C$52)))-(Inputs!$H$9))*1000/Inputs!$C$12)</x:f>
        <x:v>-166607.73644990035</x:v>
      </x:c>
      <x:c r="O226" t="n">
        <x:f>Scenario_Data!T226</x:f>
        <x:v>52.019999999999996</x:v>
      </x:c>
      <x:c r="P226" t="n">
        <x:f>2*(Scenario_Data!B226*1000)/Inputs!$C$21*1000000</x:f>
        <x:v>2688.5716784776487</x:v>
      </x:c>
      <x:c r="Q226" t="n">
        <x:f>Scenario_Data!U226</x:f>
        <x:v>346.79999999999995</x:v>
      </x:c>
      <x:c r="R226" t="n">
        <x:f>2*(Scenario_Data!C226*1000)/Inputs!$C$21*1000000</x:f>
        <x:v>2063.8710330731533</x:v>
      </x:c>
      <x:c r="S226" t="n">
        <x:f>Scenario_Data!V226</x:f>
        <x:v>693.5999999999999</x:v>
      </x:c>
      <x:c r="T226" t="n">
        <x:f>2*(Scenario_Data!D226*1000)/Inputs!$C$21*1000000</x:f>
        <x:v>5072.708566937997</x:v>
      </x:c>
      <x:c r="U226" t="n">
        <x:f>Scenario_Data!W226</x:f>
        <x:v>693.5999999999999</x:v>
      </x:c>
      <x:c r="V226" t="n">
        <x:f>2*(Scenario_Data!E226*1000)/Inputs!$C$21*1000000</x:f>
        <x:v>5056.143040129447</x:v>
      </x:c>
      <x:c r="X226" t="n">
        <x:f>Scenario_Data!T226</x:f>
        <x:v>52.019999999999996</x:v>
      </x:c>
      <x:c r="Y226" t="n">
        <x: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x:f>
        <x:v>2688.510682041781</x:v>
      </x:c>
      <x:c r="Z226" t="n">
        <x:f>Scenario_Data!U226</x:f>
        <x:v>346.79999999999995</x:v>
      </x:c>
      <x:c r="AA226" t="n">
        <x: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x:f>
        <x:v>2063.5225689138206</x:v>
      </x:c>
      <x:c r="AB226" t="n">
        <x:f>Scenario_Data!V226</x:f>
        <x:v>693.5999999999999</x:v>
      </x:c>
      <x:c r="AC226" t="n">
        <x: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x:f>
        <x:v>5072.57993171736</x:v>
      </x:c>
      <x:c r="AD226" t="n">
        <x:f>Scenario_Data!W226</x:f>
        <x:v>693.5999999999999</x:v>
      </x:c>
      <x:c r="AE226" t="n">
        <x: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x:f>
        <x:v>5056.014404908809</x:v>
      </x:c>
      <x:c r="AG226" t="n">
        <x:f>Scenario_Data!T226</x:f>
        <x:v>52.019999999999996</x:v>
      </x:c>
      <x:c r="AH226" t="n">
        <x:f>2*(SQRT((Inputs!$C$52+(Scenario_Data!B226))^2+Inputs!$C$52^2-2*(Inputs!$C$52+(Scenario_Data!B226))*Inputs!$C$52*COS(SQRT((Scenario_Data!T226)^2+Inputs!$C$6^2)/Inputs!$C$52))*1000)/Inputs!$C$21*1000000</x:f>
        <x:v>2723.0367624197406</x:v>
      </x:c>
      <x:c r="AI226" t="n">
        <x:f>Scenario_Data!U226</x:f>
        <x:v>346.79999999999995</x:v>
      </x:c>
      <x:c r="AJ226" t="n">
        <x:f>2*(SQRT((Inputs!$C$52+(Scenario_Data!C226))^2+Inputs!$C$52^2-2*(Inputs!$C$52+(Scenario_Data!C226))*Inputs!$C$52*COS(SQRT((Scenario_Data!U226)^2+Inputs!$C$6^2)/Inputs!$C$52))*1000)/Inputs!$C$21*1000000</x:f>
        <x:v>3268.0257165997627</x:v>
      </x:c>
      <x:c r="AK226" t="n">
        <x:f>Scenario_Data!V226</x:f>
        <x:v>693.5999999999999</x:v>
      </x:c>
      <x:c r="AL226" t="n">
        <x:f>2*(SQRT((Inputs!$C$52+(Scenario_Data!D226))^2+Inputs!$C$52^2-2*(Inputs!$C$52+(Scenario_Data!D226))*Inputs!$C$52*COS(SQRT((Scenario_Data!V226)^2+Inputs!$C$6^2)/Inputs!$C$52))*1000)/Inputs!$C$21*1000000</x:f>
        <x:v>7556.035134917943</x:v>
      </x:c>
      <x:c r="AM226" t="n">
        <x:f>Scenario_Data!W226</x:f>
        <x:v>693.5999999999999</x:v>
      </x:c>
      <x:c r="AN226" t="n">
        <x:f>2*(SQRT((Inputs!$C$52+(Scenario_Data!E226))^2+Inputs!$C$52^2-2*(Inputs!$C$52+(Scenario_Data!E226))*Inputs!$C$52*COS(SQRT((Scenario_Data!W226)^2+Inputs!$C$6^2)/Inputs!$C$52))*1000)/Inputs!$C$21*1000000</x:f>
        <x:v>7542.700317284668</x:v>
      </x:c>
      <x:c r="AP226" t="n">
        <x:f>Scenario_Data!T226</x:f>
        <x:v>52.019999999999996</x:v>
      </x:c>
      <x:c r="AQ226" t="n">
        <x: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x:f>
        <x:v>2722.0161317735797</x:v>
      </x:c>
      <x:c r="AR226" t="n">
        <x:f>Scenario_Data!U226</x:f>
        <x:v>346.79999999999995</x:v>
      </x:c>
      <x:c r="AS226" t="n">
        <x: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x:f>
        <x:v>3267.386848018475</x:v>
      </x:c>
      <x:c r="AT226" t="n">
        <x:f>Scenario_Data!V226</x:f>
        <x:v>693.5999999999999</x:v>
      </x:c>
      <x:c r="AU226" t="n">
        <x: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x:f>
        <x:v>7555.73320099179</x:v>
      </x:c>
      <x:c r="AV226" t="n">
        <x:f>Scenario_Data!W226</x:f>
        <x:v>693.5999999999999</x:v>
      </x:c>
      <x:c r="AW226" t="n">
        <x: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x:f>
        <x:v>7542.399117852137</x:v>
      </x:c>
    </x:row>
    <x:row r="227">
      <x:c r="A227" t="n">
        <x:f>Chart_Data!K227</x:f>
        <x:v>52.5</x:v>
      </x:c>
      <x:c r="B227" t="n">
        <x:f>Chart_Data!N227-Chart_Data!L227</x:f>
        <x:v>-9.24374226905121</x:v>
      </x:c>
      <x:c r="D227" t="n">
        <x:f>Chart_Data!G227</x:f>
        <x:v>52.5</x:v>
      </x:c>
      <x:c r="E227" t="n">
        <x:f>Chart_Data!H227</x:f>
        <x:v>164.06842387185546</x:v>
      </x:c>
      <x:c r="F227" t="n">
        <x:f>Chart_Data!I227</x:f>
        <x:v>164.06842387185546</x:v>
      </x:c>
      <x:c r="G227" t="n">
        <x:f>Chart_Data!J227</x:f>
        <x:v>6.588346931916092</x:v>
      </x:c>
      <x:c r="I227" t="n">
        <x:f>Scenario_Data!A227</x:f>
        <x:v>0.875</x:v>
      </x:c>
      <x:c r="J227" t="n">
        <x:f>Scenario_Data!H227-(((SQRT((Inputs!$C$52+(Inputs!$H$6))^2+Inputs!$C$52^2-2*(Inputs!$C$52+(Inputs!$H$6))*Inputs!$C$52*COS(SQRT((Scenario_Data!T227)^2+Inputs!$C$6^2)/Inputs!$C$52)))-(Inputs!$H$6))*1000/Inputs!$C$12)</x:f>
        <x:v>-17.660500113955095</x:v>
      </x:c>
      <x:c r="K227" t="n">
        <x:f>Scenario_Data!I227-(((SQRT((Inputs!$C$52+(Inputs!$H$7))^2+Inputs!$C$52^2-2*(Inputs!$C$52+(Inputs!$H$7))*Inputs!$C$52*COS(SQRT((Scenario_Data!U227)^2+Inputs!$C$6^2)/Inputs!$C$52)))-(Inputs!$H$7))*1000/Inputs!$C$12)</x:f>
        <x:v>-78124.32838336958</x:v>
      </x:c>
      <x:c r="L227" t="n">
        <x:f>Scenario_Data!J227-(((SQRT((Inputs!$C$52+(Inputs!$H$8))^2+Inputs!$C$52^2-2*(Inputs!$C$52+(Inputs!$H$8))*Inputs!$C$52*COS(SQRT((Scenario_Data!V227)^2+Inputs!$C$6^2)/Inputs!$C$52)))-(Inputs!$H$8))*1000/Inputs!$C$12)</x:f>
        <x:v>-164561.98259931064</x:v>
      </x:c>
      <x:c r="M227" t="n">
        <x:f>Scenario_Data!K227-(((SQRT((Inputs!$C$52+(Inputs!$H$9))^2+Inputs!$C$52^2-2*(Inputs!$C$52+(Inputs!$H$9))*Inputs!$C$52*COS(SQRT((Scenario_Data!W227)^2+Inputs!$C$6^2)/Inputs!$C$52)))-(Inputs!$H$9))*1000/Inputs!$C$12)</x:f>
        <x:v>-168449.4008262297</x:v>
      </x:c>
      <x:c r="O227" t="n">
        <x:f>Scenario_Data!T227</x:f>
        <x:v>52.5</x:v>
      </x:c>
      <x:c r="P227" t="n">
        <x:f>2*(Scenario_Data!B227*1000)/Inputs!$C$21*1000000</x:f>
        <x:v>2688.9435624161033</x:v>
      </x:c>
      <x:c r="Q227" t="n">
        <x:f>Scenario_Data!U227</x:f>
        <x:v>350</x:v>
      </x:c>
      <x:c r="R227" t="n">
        <x:f>2*(Scenario_Data!C227*1000)/Inputs!$C$21*1000000</x:f>
        <x:v>2097.8054424571283</x:v>
      </x:c>
      <x:c r="S227" t="n">
        <x:f>Scenario_Data!V227</x:f>
        <x:v>700</x:v>
      </x:c>
      <x:c r="T227" t="n">
        <x:f>2*(Scenario_Data!D227*1000)/Inputs!$C$21*1000000</x:f>
        <x:v>5162.42556709015</x:v>
      </x:c>
      <x:c r="U227" t="n">
        <x:f>Scenario_Data!W227</x:f>
        <x:v>700</x:v>
      </x:c>
      <x:c r="V227" t="n">
        <x:f>2*(Scenario_Data!E227*1000)/Inputs!$C$21*1000000</x:f>
        <x:v>5146.789750127737</x:v>
      </x:c>
      <x:c r="X227" t="n">
        <x:f>Scenario_Data!T227</x:f>
        <x:v>52.5</x:v>
      </x:c>
      <x:c r="Y227" t="n">
        <x: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x:f>
        <x:v>2688.8996096964393</x:v>
      </x:c>
      <x:c r="Z227" t="n">
        <x:f>Scenario_Data!U227</x:f>
        <x:v>350</x:v>
      </x:c>
      <x:c r="AA227" t="n">
        <x: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x:f>
        <x:v>2097.3953409322794</x:v>
      </x:c>
      <x:c r="AB227" t="n">
        <x:f>Scenario_Data!V227</x:f>
        <x:v>700</x:v>
      </x:c>
      <x:c r="AC227" t="n">
        <x: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x:f>
        <x:v>5162.294064360414</x:v>
      </x:c>
      <x:c r="AD227" t="n">
        <x:f>Scenario_Data!W227</x:f>
        <x:v>700</x:v>
      </x:c>
      <x:c r="AE227" t="n">
        <x: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x:f>
        <x:v>5146.658247398001</x:v>
      </x:c>
      <x:c r="AG227" t="n">
        <x:f>Scenario_Data!T227</x:f>
        <x:v>52.5</x:v>
      </x:c>
      <x:c r="AH227" t="n">
        <x:f>2*(SQRT((Inputs!$C$52+(Scenario_Data!B227))^2+Inputs!$C$52^2-2*(Inputs!$C$52+(Scenario_Data!B227))*Inputs!$C$52*COS(SQRT((Scenario_Data!T227)^2+Inputs!$C$6^2)/Inputs!$C$52))*1000)/Inputs!$C$21*1000000</x:f>
        <x:v>2723.920544268542</x:v>
      </x:c>
      <x:c r="AI227" t="n">
        <x:f>Scenario_Data!U227</x:f>
        <x:v>350</x:v>
      </x:c>
      <x:c r="AJ227" t="n">
        <x:f>2*(SQRT((Inputs!$C$52+(Scenario_Data!C227))^2+Inputs!$C$52^2-2*(Inputs!$C$52+(Scenario_Data!C227))*Inputs!$C$52*COS(SQRT((Scenario_Data!U227)^2+Inputs!$C$6^2)/Inputs!$C$52))*1000)/Inputs!$C$21*1000000</x:f>
        <x:v>3310.123444717516</x:v>
      </x:c>
      <x:c r="AK227" t="n">
        <x:f>Scenario_Data!V227</x:f>
        <x:v>700</x:v>
      </x:c>
      <x:c r="AL227" t="n">
        <x:f>2*(SQRT((Inputs!$C$52+(Scenario_Data!D227))^2+Inputs!$C$52^2-2*(Inputs!$C$52+(Scenario_Data!D227))*Inputs!$C$52*COS(SQRT((Scenario_Data!V227)^2+Inputs!$C$6^2)/Inputs!$C$52))*1000)/Inputs!$C$21*1000000</x:f>
        <x:v>7666.018043289701</x:v>
      </x:c>
      <x:c r="AM227" t="n">
        <x:f>Scenario_Data!W227</x:f>
        <x:v>700</x:v>
      </x:c>
      <x:c r="AN227" t="n">
        <x:f>2*(SQRT((Inputs!$C$52+(Scenario_Data!E227))^2+Inputs!$C$52^2-2*(Inputs!$C$52+(Scenario_Data!E227))*Inputs!$C$52*COS(SQRT((Scenario_Data!W227)^2+Inputs!$C$6^2)/Inputs!$C$52))*1000)/Inputs!$C$21*1000000</x:f>
        <x:v>7653.39120605297</x:v>
      </x:c>
      <x:c r="AP227" t="n">
        <x:f>Scenario_Data!T227</x:f>
        <x:v>52.5</x:v>
      </x:c>
      <x:c r="AQ227" t="n">
        <x: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x:f>
        <x:v>2722.8437124522143</x:v>
      </x:c>
      <x:c r="AR227" t="n">
        <x:f>Scenario_Data!U227</x:f>
        <x:v>350</x:v>
      </x:c>
      <x:c r="AS227" t="n">
        <x: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x:f>
        <x:v>3309.459484632871</x:v>
      </x:c>
      <x:c r="AT227" t="n">
        <x:f>Scenario_Data!V227</x:f>
        <x:v>700</x:v>
      </x:c>
      <x:c r="AU227" t="n">
        <x: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x:f>
        <x:v>7665.636355141929</x:v>
      </x:c>
      <x:c r="AV227" t="n">
        <x:f>Scenario_Data!W227</x:f>
        <x:v>700</x:v>
      </x:c>
      <x:c r="AW227" t="n">
        <x: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x:f>
        <x:v>7653.010376100991</x:v>
      </x:c>
    </x:row>
    <x:row r="228">
      <x:c r="A228" t="n">
        <x:f>Chart_Data!K228</x:f>
        <x:v>53</x:v>
      </x:c>
      <x:c r="B228" t="n">
        <x:f>Chart_Data!N228-Chart_Data!L228</x:f>
        <x:v>-7.523615352549314</x:v>
      </x:c>
      <x:c r="D228" t="n">
        <x:f>Chart_Data!G228</x:f>
        <x:v>53</x:v>
      </x:c>
      <x:c r="E228" t="n">
        <x:f>Chart_Data!H228</x:f>
        <x:v>183.5232809151917</x:v>
      </x:c>
      <x:c r="F228" t="n">
        <x:f>Chart_Data!I228</x:f>
        <x:v>183.5232809151917</x:v>
      </x:c>
      <x:c r="G228" t="n">
        <x:f>Chart_Data!J228</x:f>
        <x:v>4.508396540761183</x:v>
      </x:c>
      <x:c r="I228" t="n">
        <x:f>Scenario_Data!A228</x:f>
        <x:v>0.883</x:v>
      </x:c>
      <x:c r="J228" t="n">
        <x:f>Scenario_Data!H228-(((SQRT((Inputs!$C$52+(Inputs!$H$6))^2+Inputs!$C$52^2-2*(Inputs!$C$52+(Inputs!$H$6))*Inputs!$C$52*COS(SQRT((Scenario_Data!T228)^2+Inputs!$C$6^2)/Inputs!$C$52)))-(Inputs!$H$6))*1000/Inputs!$C$12)</x:f>
        <x:v>-18.245949870930872</x:v>
      </x:c>
      <x:c r="K228" t="n">
        <x:f>Scenario_Data!I228-(((SQRT((Inputs!$C$52+(Inputs!$H$7))^2+Inputs!$C$52^2-2*(Inputs!$C$52+(Inputs!$H$7))*Inputs!$C$52*COS(SQRT((Scenario_Data!U228)^2+Inputs!$C$6^2)/Inputs!$C$52)))-(Inputs!$H$7))*1000/Inputs!$C$12)</x:f>
        <x:v>-79231.45069310427</x:v>
      </x:c>
      <x:c r="L228" t="n">
        <x:f>Scenario_Data!J228-(((SQRT((Inputs!$C$52+(Inputs!$H$8))^2+Inputs!$C$52^2-2*(Inputs!$C$52+(Inputs!$H$8))*Inputs!$C$52*COS(SQRT((Scenario_Data!V228)^2+Inputs!$C$6^2)/Inputs!$C$52)))-(Inputs!$H$8))*1000/Inputs!$C$12)</x:f>
        <x:v>-166386.8012256964</x:v>
      </x:c>
      <x:c r="M228" t="n">
        <x:f>Scenario_Data!K228-(((SQRT((Inputs!$C$52+(Inputs!$H$9))^2+Inputs!$C$52^2-2*(Inputs!$C$52+(Inputs!$H$9))*Inputs!$C$52*COS(SQRT((Scenario_Data!W228)^2+Inputs!$C$6^2)/Inputs!$C$52)))-(Inputs!$H$9))*1000/Inputs!$C$12)</x:f>
        <x:v>-170283.5823050193</x:v>
      </x:c>
      <x:c r="O228" t="n">
        <x:f>Scenario_Data!T228</x:f>
        <x:v>52.980000000000004</x:v>
      </x:c>
      <x:c r="P228" t="n">
        <x:f>2*(Scenario_Data!B228*1000)/Inputs!$C$21*1000000</x:f>
        <x:v>2689.3188620508927</x:v>
      </x:c>
      <x:c r="Q228" t="n">
        <x:f>Scenario_Data!U228</x:f>
        <x:v>353.20000000000005</x:v>
      </x:c>
      <x:c r="R228" t="n">
        <x:f>2*(Scenario_Data!C228*1000)/Inputs!$C$21*1000000</x:f>
        <x:v>2132.051534131657</x:v>
      </x:c>
      <x:c r="S228" t="n">
        <x:f>Scenario_Data!V228</x:f>
        <x:v>706.4000000000001</x:v>
      </x:c>
      <x:c r="T228" t="n">
        <x:f>2*(Scenario_Data!D228*1000)/Inputs!$C$21*1000000</x:f>
        <x:v>5252.96660398308</x:v>
      </x:c>
      <x:c r="U228" t="n">
        <x:f>Scenario_Data!W228</x:f>
        <x:v>706.4000000000001</x:v>
      </x:c>
      <x:c r="V228" t="n">
        <x:f>2*(Scenario_Data!E228*1000)/Inputs!$C$21*1000000</x:f>
        <x:v>5238.269036107641</x:v>
      </x:c>
      <x:c r="X228" t="n">
        <x:f>Scenario_Data!T228</x:f>
        <x:v>52.980000000000004</x:v>
      </x:c>
      <x:c r="Y228" t="n">
        <x: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x:f>
        <x:v>2689.409650581394</x:v>
      </x:c>
      <x:c r="Z228" t="n">
        <x:f>Scenario_Data!U228</x:f>
        <x:v>353.20000000000005</x:v>
      </x:c>
      <x:c r="AA228" t="n">
        <x: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x:f>
        <x:v>2131.89699340424</x:v>
      </x:c>
      <x:c r="AB228" t="n">
        <x:f>Scenario_Data!V228</x:f>
        <x:v>706.4000000000001</x:v>
      </x:c>
      <x:c r="AC228" t="n">
        <x: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x:f>
        <x:v>5252.466158272303</x:v>
      </x:c>
      <x:c r="AD228" t="n">
        <x:f>Scenario_Data!W228</x:f>
        <x:v>706.4000000000001</x:v>
      </x:c>
      <x:c r="AE228" t="n">
        <x: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x:f>
        <x:v>5237.768590396864</x:v>
      </x:c>
      <x:c r="AG228" t="n">
        <x:f>Scenario_Data!T228</x:f>
        <x:v>52.980000000000004</x:v>
      </x:c>
      <x:c r="AH228" t="n">
        <x:f>2*(SQRT((Inputs!$C$52+(Scenario_Data!B228))^2+Inputs!$C$52^2-2*(Inputs!$C$52+(Scenario_Data!B228))*Inputs!$C$52*COS(SQRT((Scenario_Data!T228)^2+Inputs!$C$6^2)/Inputs!$C$52))*1000)/Inputs!$C$21*1000000</x:f>
        <x:v>2724.8122322311165</x:v>
      </x:c>
      <x:c r="AI228" t="n">
        <x:f>Scenario_Data!U228</x:f>
        <x:v>353.20000000000005</x:v>
      </x:c>
      <x:c r="AJ228" t="n">
        <x:f>2*(SQRT((Inputs!$C$52+(Scenario_Data!C228))^2+Inputs!$C$52^2-2*(Inputs!$C$52+(Scenario_Data!C228))*Inputs!$C$52*COS(SQRT((Scenario_Data!U228)^2+Inputs!$C$6^2)/Inputs!$C$52))*1000)/Inputs!$C$21*1000000</x:f>
        <x:v>3352.5143841718163</x:v>
      </x:c>
      <x:c r="AK228" t="n">
        <x:f>Scenario_Data!V228</x:f>
        <x:v>706.4000000000001</x:v>
      </x:c>
      <x:c r="AL228" t="n">
        <x:f>2*(SQRT((Inputs!$C$52+(Scenario_Data!D228))^2+Inputs!$C$52^2-2*(Inputs!$C$52+(Scenario_Data!D228))*Inputs!$C$52*COS(SQRT((Scenario_Data!V228)^2+Inputs!$C$6^2)/Inputs!$C$52))*1000)/Inputs!$C$21*1000000</x:f>
        <x:v>7776.891446293156</x:v>
      </x:c>
      <x:c r="AM228" t="n">
        <x:f>Scenario_Data!W228</x:f>
        <x:v>706.4000000000001</x:v>
      </x:c>
      <x:c r="AN228" t="n">
        <x:f>2*(SQRT((Inputs!$C$52+(Scenario_Data!E228))^2+Inputs!$C$52^2-2*(Inputs!$C$52+(Scenario_Data!E228))*Inputs!$C$52*COS(SQRT((Scenario_Data!W228)^2+Inputs!$C$6^2)/Inputs!$C$52))*1000)/Inputs!$C$21*1000000</x:f>
        <x:v>7764.984900901371</x:v>
      </x:c>
      <x:c r="AP228" t="n">
        <x:f>Scenario_Data!T228</x:f>
        <x:v>52.980000000000004</x:v>
      </x:c>
      <x:c r="AQ228" t="n">
        <x: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x:f>
        <x:v>2723.7535103247137</x:v>
      </x:c>
      <x:c r="AR228" t="n">
        <x:f>Scenario_Data!U228</x:f>
        <x:v>353.20000000000005</x:v>
      </x:c>
      <x:c r="AS228" t="n">
        <x: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x:f>
        <x:v>3352.0649024359104</x:v>
      </x:c>
      <x:c r="AT228" t="n">
        <x:f>Scenario_Data!V228</x:f>
        <x:v>706.4000000000001</x:v>
      </x:c>
      <x:c r="AU228" t="n">
        <x: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x:f>
        <x:v>7776.31348402332</x:v>
      </x:c>
      <x:c r="AV228" t="n">
        <x:f>Scenario_Data!W228</x:f>
        <x:v>706.4000000000001</x:v>
      </x:c>
      <x:c r="AW228" t="n">
        <x: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x:f>
        <x:v>7764.408135091424</x:v>
      </x:c>
    </x:row>
    <x:row r="229">
      <x:c r="A229" t="n">
        <x:f>Chart_Data!K229</x:f>
        <x:v>53.5</x:v>
      </x:c>
      <x:c r="B229" t="n">
        <x:f>Chart_Data!N229-Chart_Data!L229</x:f>
        <x:v>-2.890955997517267</x:v>
      </x:c>
      <x:c r="D229" t="n">
        <x:f>Chart_Data!G229</x:f>
        <x:v>53.5</x:v>
      </x:c>
      <x:c r="E229" t="n">
        <x:f>Chart_Data!H229</x:f>
        <x:v>181.04186719105834</x:v>
      </x:c>
      <x:c r="F229" t="n">
        <x:f>Chart_Data!I229</x:f>
        <x:v>181.04186719105834</x:v>
      </x:c>
      <x:c r="G229" t="n">
        <x:f>Chart_Data!J229</x:f>
        <x:v>-0.1280560890739677</x:v>
      </x:c>
      <x:c r="I229" t="n">
        <x:f>Scenario_Data!A229</x:f>
        <x:v>0.892</x:v>
      </x:c>
      <x:c r="J229" t="n">
        <x:f>Scenario_Data!H229-(((SQRT((Inputs!$C$52+(Inputs!$H$6))^2+Inputs!$C$52^2-2*(Inputs!$C$52+(Inputs!$H$6))*Inputs!$C$52*COS(SQRT((Scenario_Data!T229)^2+Inputs!$C$6^2)/Inputs!$C$52)))-(Inputs!$H$6))*1000/Inputs!$C$12)</x:f>
        <x:v>-18.922080788589938</x:v>
      </x:c>
      <x:c r="K229" t="n">
        <x:f>Scenario_Data!I229-(((SQRT((Inputs!$C$52+(Inputs!$H$7))^2+Inputs!$C$52^2-2*(Inputs!$C$52+(Inputs!$H$7))*Inputs!$C$52*COS(SQRT((Scenario_Data!U229)^2+Inputs!$C$6^2)/Inputs!$C$52)))-(Inputs!$H$7))*1000/Inputs!$C$12)</x:f>
        <x:v>-80478.74960701005</x:v>
      </x:c>
      <x:c r="L229" t="n">
        <x:f>Scenario_Data!J229-(((SQRT((Inputs!$C$52+(Inputs!$H$8))^2+Inputs!$C$52^2-2*(Inputs!$C$52+(Inputs!$H$8))*Inputs!$C$52*COS(SQRT((Scenario_Data!V229)^2+Inputs!$C$6^2)/Inputs!$C$52)))-(Inputs!$H$8))*1000/Inputs!$C$12)</x:f>
        <x:v>-168431.02288308344</x:v>
      </x:c>
      <x:c r="M229" t="n">
        <x:f>Scenario_Data!K229-(((SQRT((Inputs!$C$52+(Inputs!$H$9))^2+Inputs!$C$52^2-2*(Inputs!$C$52+(Inputs!$H$9))*Inputs!$C$52*COS(SQRT((Scenario_Data!W229)^2+Inputs!$C$6^2)/Inputs!$C$52)))-(Inputs!$H$9))*1000/Inputs!$C$12)</x:f>
        <x:v>-172337.92378063095</x:v>
      </x:c>
      <x:c r="O229" t="n">
        <x:f>Scenario_Data!T229</x:f>
        <x:v>53.519999999999996</x:v>
      </x:c>
      <x:c r="P229" t="n">
        <x:f>2*(Scenario_Data!B229*1000)/Inputs!$C$21*1000000</x:f>
        <x:v>2689.745156964556</x:v>
      </x:c>
      <x:c r="Q229" t="n">
        <x:f>Scenario_Data!U229</x:f>
        <x:v>356.79999999999995</x:v>
      </x:c>
      <x:c r="R229" t="n">
        <x:f>2*(Scenario_Data!C229*1000)/Inputs!$C$21*1000000</x:f>
        <x:v>2170.9509450034257</x:v>
      </x:c>
      <x:c r="S229" t="n">
        <x:f>Scenario_Data!V229</x:f>
        <x:v>713.5999999999999</x:v>
      </x:c>
      <x:c r="T229" t="n">
        <x:f>2*(Scenario_Data!D229*1000)/Inputs!$C$21*1000000</x:f>
        <x:v>5355.810251904335</x:v>
      </x:c>
      <x:c r="U229" t="n">
        <x:f>Scenario_Data!W229</x:f>
        <x:v>713.5999999999999</x:v>
      </x:c>
      <x:c r="V229" t="n">
        <x:f>2*(Scenario_Data!E229*1000)/Inputs!$C$21*1000000</x:f>
        <x:v>5342.178421313052</x:v>
      </x:c>
      <x:c r="X229" t="n">
        <x:f>Scenario_Data!T229</x:f>
        <x:v>53.519999999999996</x:v>
      </x:c>
      <x:c r="Y229" t="n">
        <x: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x:f>
        <x:v>2689.777555100149</x:v>
      </x:c>
      <x:c r="Z229" t="n">
        <x:f>Scenario_Data!U229</x:f>
        <x:v>356.79999999999995</x:v>
      </x:c>
      <x:c r="AA229" t="n">
        <x: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x:f>
        <x:v>2170.966183340772</x:v>
      </x:c>
      <x:c r="AB229" t="n">
        <x:f>Scenario_Data!V229</x:f>
        <x:v>713.5999999999999</x:v>
      </x:c>
      <x:c r="AC229" t="n">
        <x: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x:f>
        <x:v>5355.548700407056</x:v>
      </x:c>
      <x:c r="AD229" t="n">
        <x:f>Scenario_Data!W229</x:f>
        <x:v>713.5999999999999</x:v>
      </x:c>
      <x:c r="AE229" t="n">
        <x: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x:f>
        <x:v>5341.916869815773</x:v>
      </x:c>
      <x:c r="AG229" t="n">
        <x:f>Scenario_Data!T229</x:f>
        <x:v>53.519999999999996</x:v>
      </x:c>
      <x:c r="AH229" t="n">
        <x:f>2*(SQRT((Inputs!$C$52+(Scenario_Data!B229))^2+Inputs!$C$52^2-2*(Inputs!$C$52+(Scenario_Data!B229))*Inputs!$C$52*COS(SQRT((Scenario_Data!T229)^2+Inputs!$C$6^2)/Inputs!$C$52))*1000)/Inputs!$C$21*1000000</x:f>
        <x:v>2725.824824510964</x:v>
      </x:c>
      <x:c r="AI229" t="n">
        <x:f>Scenario_Data!U229</x:f>
        <x:v>356.79999999999995</x:v>
      </x:c>
      <x:c r="AJ229" t="n">
        <x:f>2*(SQRT((Inputs!$C$52+(Scenario_Data!C229))^2+Inputs!$C$52^2-2*(Inputs!$C$52+(Scenario_Data!C229))*Inputs!$C$52*COS(SQRT((Scenario_Data!U229)^2+Inputs!$C$6^2)/Inputs!$C$52))*1000)/Inputs!$C$21*1000000</x:f>
        <x:v>3400.5558883978983</x:v>
      </x:c>
      <x:c r="AK229" t="n">
        <x:f>Scenario_Data!V229</x:f>
        <x:v>713.5999999999999</x:v>
      </x:c>
      <x:c r="AL229" t="n">
        <x:f>2*(SQRT((Inputs!$C$52+(Scenario_Data!D229))^2+Inputs!$C$52^2-2*(Inputs!$C$52+(Scenario_Data!D229))*Inputs!$C$52*COS(SQRT((Scenario_Data!V229)^2+Inputs!$C$6^2)/Inputs!$C$52))*1000)/Inputs!$C$21*1000000</x:f>
        <x:v>7902.690259570726</x:v>
      </x:c>
      <x:c r="AM229" t="n">
        <x:f>Scenario_Data!W229</x:f>
        <x:v>713.5999999999999</x:v>
      </x:c>
      <x:c r="AN229" t="n">
        <x:f>2*(SQRT((Inputs!$C$52+(Scenario_Data!E229))^2+Inputs!$C$52^2-2*(Inputs!$C$52+(Scenario_Data!E229))*Inputs!$C$52*COS(SQRT((Scenario_Data!W229)^2+Inputs!$C$6^2)/Inputs!$C$52))*1000)/Inputs!$C$21*1000000</x:f>
        <x:v>7891.608688682572</x:v>
      </x:c>
      <x:c r="AP229" t="n">
        <x:f>Scenario_Data!T229</x:f>
        <x:v>53.519999999999996</x:v>
      </x:c>
      <x:c r="AQ229" t="n">
        <x: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x:f>
        <x:v>2724.6194788259563</x:v>
      </x:c>
      <x:c r="AR229" t="n">
        <x:f>Scenario_Data!U229</x:f>
        <x:v>356.79999999999995</x:v>
      </x:c>
      <x:c r="AS229" t="n">
        <x: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x:f>
        <x:v>3400.2165495983063</x:v>
      </x:c>
      <x:c r="AT229" t="n">
        <x:f>Scenario_Data!V229</x:f>
        <x:v>713.5999999999999</x:v>
      </x:c>
      <x:c r="AU229" t="n">
        <x: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x:f>
        <x:v>7902.234110027593</x:v>
      </x:c>
      <x:c r="AV229" t="n">
        <x:f>Scenario_Data!W229</x:f>
        <x:v>713.5999999999999</x:v>
      </x:c>
      <x:c r="AW229" t="n">
        <x: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x:f>
        <x:v>7891.1533948112265</x:v>
      </x:c>
    </x:row>
    <x:row r="230">
      <x:c r="A230" t="n">
        <x:f>Chart_Data!K230</x:f>
        <x:v>54</x:v>
      </x:c>
      <x:c r="B230" t="n">
        <x:f>Chart_Data!N230-Chart_Data!L230</x:f>
        <x:v>4.780407983842736</x:v>
      </x:c>
      <x:c r="D230" t="n">
        <x:f>Chart_Data!G230</x:f>
        <x:v>54</x:v>
      </x:c>
      <x:c r="E230" t="n">
        <x:f>Chart_Data!H230</x:f>
        <x:v>181.54184215615243</x:v>
      </x:c>
      <x:c r="F230" t="n">
        <x:f>Chart_Data!I230</x:f>
        <x:v>181.54184215615243</x:v>
      </x:c>
      <x:c r="G230" t="n">
        <x:f>Chart_Data!J230</x:f>
        <x:v>-7.852837825142384</x:v>
      </x:c>
      <x:c r="I230" t="n">
        <x:f>Scenario_Data!A230</x:f>
        <x:v>0.9</x:v>
      </x:c>
      <x:c r="J230" t="n">
        <x:f>Scenario_Data!H230-(((SQRT((Inputs!$C$52+(Inputs!$H$6))^2+Inputs!$C$52^2-2*(Inputs!$C$52+(Inputs!$H$6))*Inputs!$C$52*COS(SQRT((Scenario_Data!T230)^2+Inputs!$C$6^2)/Inputs!$C$52)))-(Inputs!$H$6))*1000/Inputs!$C$12)</x:f>
        <x:v>-19.538907124212074</x:v>
      </x:c>
      <x:c r="K230" t="n">
        <x:f>Scenario_Data!I230-(((SQRT((Inputs!$C$52+(Inputs!$H$7))^2+Inputs!$C$52^2-2*(Inputs!$C$52+(Inputs!$H$7))*Inputs!$C$52*COS(SQRT((Scenario_Data!U230)^2+Inputs!$C$6^2)/Inputs!$C$52)))-(Inputs!$H$7))*1000/Inputs!$C$12)</x:f>
        <x:v>-81588.94913418307</x:v>
      </x:c>
      <x:c r="L230" t="n">
        <x:f>Scenario_Data!J230-(((SQRT((Inputs!$C$52+(Inputs!$H$8))^2+Inputs!$C$52^2-2*(Inputs!$C$52+(Inputs!$H$8))*Inputs!$C$52*COS(SQRT((Scenario_Data!V230)^2+Inputs!$C$6^2)/Inputs!$C$52)))-(Inputs!$H$8))*1000/Inputs!$C$12)</x:f>
        <x:v>-170240.22471774745</x:v>
      </x:c>
      <x:c r="M230" t="n">
        <x:f>Scenario_Data!K230-(((SQRT((Inputs!$C$52+(Inputs!$H$9))^2+Inputs!$C$52^2-2*(Inputs!$C$52+(Inputs!$H$9))*Inputs!$C$52*COS(SQRT((Scenario_Data!W230)^2+Inputs!$C$6^2)/Inputs!$C$52)))-(Inputs!$H$9))*1000/Inputs!$C$12)</x:f>
        <x:v>-174155.75991096892</x:v>
      </x:c>
      <x:c r="O230" t="n">
        <x:f>Scenario_Data!T230</x:f>
        <x:v>54</x:v>
      </x:c>
      <x:c r="P230" t="n">
        <x:f>2*(Scenario_Data!B230*1000)/Inputs!$C$21*1000000</x:f>
        <x:v>2690.1277149540565</x:v>
      </x:c>
      <x:c r="Q230" t="n">
        <x:f>Scenario_Data!U230</x:f>
        <x:v>360</x:v>
      </x:c>
      <x:c r="R230" t="n">
        <x:f>2*(Scenario_Data!C230*1000)/Inputs!$C$21*1000000</x:f>
        <x:v>2205.8593615453797</x:v>
      </x:c>
      <x:c r="S230" t="n">
        <x:f>Scenario_Data!V230</x:f>
        <x:v>720</x:v>
      </x:c>
      <x:c r="T230" t="n">
        <x:f>2*(Scenario_Data!D230*1000)/Inputs!$C$21*1000000</x:f>
        <x:v>5448.102366871419</x:v>
      </x:c>
      <x:c r="U230" t="n">
        <x:f>Scenario_Data!W230</x:f>
        <x:v>720</x:v>
      </x:c>
      <x:c r="V230" t="n">
        <x:f>2*(Scenario_Data!E230*1000)/Inputs!$C$21*1000000</x:f>
        <x:v>5435.426931253887</x:v>
      </x:c>
      <x:c r="X230" t="n">
        <x:f>Scenario_Data!T230</x:f>
        <x:v>54</x:v>
      </x:c>
      <x:c r="Y230" t="n">
        <x: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x:f>
        <x:v>2690.180103448934</x:v>
      </x:c>
      <x:c r="Z230" t="n">
        <x:f>Scenario_Data!U230</x:f>
        <x:v>360</x:v>
      </x:c>
      <x:c r="AA230" t="n">
        <x: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x:f>
        <x:v>2205.507336392368</x:v>
      </x:c>
      <x:c r="AB230" t="n">
        <x:f>Scenario_Data!V230</x:f>
        <x:v>720</x:v>
      </x:c>
      <x:c r="AC230" t="n">
        <x: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x:f>
        <x:v>5447.708509483362</x:v>
      </x:c>
      <x:c r="AD230" t="n">
        <x:f>Scenario_Data!W230</x:f>
        <x:v>720</x:v>
      </x:c>
      <x:c r="AE230" t="n">
        <x: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x:f>
        <x:v>5435.033073865831</x:v>
      </x:c>
      <x:c r="AG230" t="n">
        <x:f>Scenario_Data!T230</x:f>
        <x:v>54</x:v>
      </x:c>
      <x:c r="AH230" t="n">
        <x:f>2*(SQRT((Inputs!$C$52+(Scenario_Data!B230))^2+Inputs!$C$52^2-2*(Inputs!$C$52+(Scenario_Data!B230))*Inputs!$C$52*COS(SQRT((Scenario_Data!T230)^2+Inputs!$C$6^2)/Inputs!$C$52))*1000)/Inputs!$C$21*1000000</x:f>
        <x:v>2726.7332943721008</x:v>
      </x:c>
      <x:c r="AI230" t="n">
        <x:f>Scenario_Data!U230</x:f>
        <x:v>360</x:v>
      </x:c>
      <x:c r="AJ230" t="n">
        <x:f>2*(SQRT((Inputs!$C$52+(Scenario_Data!C230))^2+Inputs!$C$52^2-2*(Inputs!$C$52+(Scenario_Data!C230))*Inputs!$C$52*COS(SQRT((Scenario_Data!U230)^2+Inputs!$C$6^2)/Inputs!$C$52))*1000)/Inputs!$C$21*1000000</x:f>
        <x:v>3443.5731304663896</x:v>
      </x:c>
      <x:c r="AK230" t="n">
        <x:f>Scenario_Data!V230</x:f>
        <x:v>720</x:v>
      </x:c>
      <x:c r="AL230" t="n">
        <x:f>2*(SQRT((Inputs!$C$52+(Scenario_Data!D230))^2+Inputs!$C$52^2-2*(Inputs!$C$52+(Scenario_Data!D230))*Inputs!$C$52*COS(SQRT((Scenario_Data!V230)^2+Inputs!$C$6^2)/Inputs!$C$52))*1000)/Inputs!$C$21*1000000</x:f>
        <x:v>8015.460751408424</x:v>
      </x:c>
      <x:c r="AM230" t="n">
        <x:f>Scenario_Data!W230</x:f>
        <x:v>720</x:v>
      </x:c>
      <x:c r="AN230" t="n">
        <x:f>2*(SQRT((Inputs!$C$52+(Scenario_Data!E230))^2+Inputs!$C$52^2-2*(Inputs!$C$52+(Scenario_Data!E230))*Inputs!$C$52*COS(SQRT((Scenario_Data!W230)^2+Inputs!$C$6^2)/Inputs!$C$52))*1000)/Inputs!$C$21*1000000</x:f>
        <x:v>8005.125448461821</x:v>
      </x:c>
      <x:c r="AP230" t="n">
        <x:f>Scenario_Data!T230</x:f>
        <x:v>54</x:v>
      </x:c>
      <x:c r="AQ230" t="n">
        <x: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x:f>
        <x:v>2725.542674611314</x:v>
      </x:c>
      <x:c r="AR230" t="n">
        <x:f>Scenario_Data!U230</x:f>
        <x:v>360</x:v>
      </x:c>
      <x:c r="AS230" t="n">
        <x: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x:f>
        <x:v>3443.039173659275</x:v>
      </x:c>
      <x:c r="AT230" t="n">
        <x:f>Scenario_Data!V230</x:f>
        <x:v>720</x:v>
      </x:c>
      <x:c r="AU230" t="n">
        <x: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x:f>
        <x:v>8014.969432881394</x:v>
      </x:c>
      <x:c r="AV230" t="n">
        <x:f>Scenario_Data!W230</x:f>
        <x:v>720</x:v>
      </x:c>
      <x:c r="AW230" t="n">
        <x: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x:f>
        <x:v>8004.634969601828</x:v>
      </x:c>
    </x:row>
    <x:row r="231">
      <x:c r="A231" t="n">
        <x:f>Chart_Data!K231</x:f>
        <x:v>54.5</x:v>
      </x:c>
      <x:c r="B231" t="n">
        <x:f>Chart_Data!N231-Chart_Data!L231</x:f>
        <x:v>7.851592638265515</x:v>
      </x:c>
      <x:c r="D231" t="n">
        <x:f>Chart_Data!G231</x:f>
        <x:v>54.5</x:v>
      </x:c>
      <x:c r="E231" t="n">
        <x:f>Chart_Data!H231</x:f>
        <x:v>176.67952286630316</x:v>
      </x:c>
      <x:c r="F231" t="n">
        <x:f>Chart_Data!I231</x:f>
        <x:v>176.67952286630316</x:v>
      </x:c>
      <x:c r="G231" t="n">
        <x:f>Chart_Data!J231</x:f>
        <x:v>-10.88592803052483</x:v>
      </x:c>
      <x:c r="I231" t="n">
        <x:f>Scenario_Data!A231</x:f>
        <x:v>0.908</x:v>
      </x:c>
      <x:c r="J231" t="n">
        <x:f>Scenario_Data!H231-(((SQRT((Inputs!$C$52+(Inputs!$H$6))^2+Inputs!$C$52^2-2*(Inputs!$C$52+(Inputs!$H$6))*Inputs!$C$52*COS(SQRT((Scenario_Data!T231)^2+Inputs!$C$6^2)/Inputs!$C$52)))-(Inputs!$H$6))*1000/Inputs!$C$12)</x:f>
        <x:v>-20.17087555141279</x:v>
      </x:c>
      <x:c r="K231" t="n">
        <x:f>Scenario_Data!I231-(((SQRT((Inputs!$C$52+(Inputs!$H$7))^2+Inputs!$C$52^2-2*(Inputs!$C$52+(Inputs!$H$7))*Inputs!$C$52*COS(SQRT((Scenario_Data!U231)^2+Inputs!$C$6^2)/Inputs!$C$52)))-(Inputs!$H$7))*1000/Inputs!$C$12)</x:f>
        <x:v>-82700.45955647714</x:v>
      </x:c>
      <x:c r="L231" t="n">
        <x:f>Scenario_Data!J231-(((SQRT((Inputs!$C$52+(Inputs!$H$8))^2+Inputs!$C$52^2-2*(Inputs!$C$52+(Inputs!$H$8))*Inputs!$C$52*COS(SQRT((Scenario_Data!V231)^2+Inputs!$C$6^2)/Inputs!$C$52)))-(Inputs!$H$8))*1000/Inputs!$C$12)</x:f>
        <x:v>-172041.86803726552</x:v>
      </x:c>
      <x:c r="M231" t="n">
        <x:f>Scenario_Data!K231-(((SQRT((Inputs!$C$52+(Inputs!$H$9))^2+Inputs!$C$52^2-2*(Inputs!$C$52+(Inputs!$H$9))*Inputs!$C$52*COS(SQRT((Scenario_Data!W231)^2+Inputs!$C$6^2)/Inputs!$C$52)))-(Inputs!$H$9))*1000/Inputs!$C$12)</x:f>
        <x:v>-175965.70357183574</x:v>
      </x:c>
      <x:c r="O231" t="n">
        <x:f>Scenario_Data!T231</x:f>
        <x:v>54.47999999999999</x:v>
      </x:c>
      <x:c r="P231" t="n">
        <x:f>2*(Scenario_Data!B231*1000)/Inputs!$C$21*1000000</x:f>
        <x:v>2690.5136886398923</x:v>
      </x:c>
      <x:c r="Q231" t="n">
        <x:f>Scenario_Data!U231</x:f>
        <x:v>363.19999999999993</x:v>
      </x:c>
      <x:c r="R231" t="n">
        <x:f>2*(Scenario_Data!C231*1000)/Inputs!$C$21*1000000</x:f>
        <x:v>2241.079460377885</x:v>
      </x:c>
      <x:c r="S231" t="n">
        <x:f>Scenario_Data!V231</x:f>
        <x:v>726.3999999999999</x:v>
      </x:c>
      <x:c r="T231" t="n">
        <x:f>2*(Scenario_Data!D231*1000)/Inputs!$C$21*1000000</x:f>
        <x:v>5541.218518579275</x:v>
      </x:c>
      <x:c r="U231" t="n">
        <x:f>Scenario_Data!W231</x:f>
        <x:v>726.3999999999999</x:v>
      </x:c>
      <x:c r="V231" t="n">
        <x:f>2*(Scenario_Data!E231*1000)/Inputs!$C$21*1000000</x:f>
        <x:v>5529.508017176334</x:v>
      </x:c>
      <x:c r="X231" t="n">
        <x:f>Scenario_Data!T231</x:f>
        <x:v>54.47999999999999</x:v>
      </x:c>
      <x:c r="Y231" t="n">
        <x: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x:f>
        <x:v>2690.433626931135</x:v>
      </x:c>
      <x:c r="Z231" t="n">
        <x:f>Scenario_Data!U231</x:f>
        <x:v>363.19999999999993</x:v>
      </x:c>
      <x:c r="AA231" t="n">
        <x: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x:f>
        <x:v>2240.251431145491</x:v>
      </x:c>
      <x:c r="AB231" t="n">
        <x:f>Scenario_Data!V231</x:f>
        <x:v>726.3999999999999</x:v>
      </x:c>
      <x:c r="AC231" t="n">
        <x: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x:f>
        <x:v>5540.683579849159</x:v>
      </x:c>
      <x:c r="AD231" t="n">
        <x:f>Scenario_Data!W231</x:f>
        <x:v>726.3999999999999</x:v>
      </x:c>
      <x:c r="AE231" t="n">
        <x: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x:f>
        <x:v>5528.973078446219</x:v>
      </x:c>
      <x:c r="AG231" t="n">
        <x:f>Scenario_Data!T231</x:f>
        <x:v>54.47999999999999</x:v>
      </x:c>
      <x:c r="AH231" t="n">
        <x:f>2*(SQRT((Inputs!$C$52+(Scenario_Data!B231))^2+Inputs!$C$52^2-2*(Inputs!$C$52+(Scenario_Data!B231))*Inputs!$C$52*COS(SQRT((Scenario_Data!T231)^2+Inputs!$C$6^2)/Inputs!$C$52))*1000)/Inputs!$C$21*1000000</x:f>
        <x:v>2727.649652758524</x:v>
      </x:c>
      <x:c r="AI231" t="n">
        <x:f>Scenario_Data!U231</x:f>
        <x:v>363.19999999999993</x:v>
      </x:c>
      <x:c r="AJ231" t="n">
        <x:f>2*(SQRT((Inputs!$C$52+(Scenario_Data!C231))^2+Inputs!$C$52^2-2*(Inputs!$C$52+(Scenario_Data!C231))*Inputs!$C$52*COS(SQRT((Scenario_Data!U231)^2+Inputs!$C$6^2)/Inputs!$C$52))*1000)/Inputs!$C$21*1000000</x:f>
        <x:v>3486.8865852502836</x:v>
      </x:c>
      <x:c r="AK231" t="n">
        <x:f>Scenario_Data!V231</x:f>
        <x:v>726.3999999999999</x:v>
      </x:c>
      <x:c r="AL231" t="n">
        <x:f>2*(SQRT((Inputs!$C$52+(Scenario_Data!D231))^2+Inputs!$C$52^2-2*(Inputs!$C$52+(Scenario_Data!D231))*Inputs!$C$52*COS(SQRT((Scenario_Data!V231)^2+Inputs!$C$6^2)/Inputs!$C$52))*1000)/Inputs!$C$21*1000000</x:f>
        <x:v>8129.12614429087</x:v>
      </x:c>
      <x:c r="AM231" t="n">
        <x:f>Scenario_Data!W231</x:f>
        <x:v>726.3999999999999</x:v>
      </x:c>
      <x:c r="AN231" t="n">
        <x:f>2*(SQRT((Inputs!$C$52+(Scenario_Data!E231))^2+Inputs!$C$52^2-2*(Inputs!$C$52+(Scenario_Data!E231))*Inputs!$C$52*COS(SQRT((Scenario_Data!W231)^2+Inputs!$C$6^2)/Inputs!$C$52))*1000)/Inputs!$C$21*1000000</x:f>
        <x:v>8119.549246965395</x:v>
      </x:c>
      <x:c r="AP231" t="n">
        <x:f>Scenario_Data!T231</x:f>
        <x:v>54.47999999999999</x:v>
      </x:c>
      <x:c r="AQ231" t="n">
        <x: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x:f>
        <x:v>2726.4905339389343</x:v>
      </x:c>
      <x:c r="AR231" t="n">
        <x:f>Scenario_Data!U231</x:f>
        <x:v>363.19999999999993</x:v>
      </x:c>
      <x:c r="AS231" t="n">
        <x: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x:f>
        <x:v>3486.123112704351</x:v>
      </x:c>
      <x:c r="AT231" t="n">
        <x:f>Scenario_Data!V231</x:f>
        <x:v>726.3999999999999</x:v>
      </x:c>
      <x:c r="AU231" t="n">
        <x: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x:f>
        <x:v>8128.406130195014</x:v>
      </x:c>
      <x:c r="AV231" t="n">
        <x:f>Scenario_Data!W231</x:f>
        <x:v>726.3999999999999</x:v>
      </x:c>
      <x:c r="AW231" t="n">
        <x: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x:f>
        <x:v>8118.830347051876</x:v>
      </x:c>
    </x:row>
    <x:row r="232">
      <x:c r="A232" t="n">
        <x:f>Chart_Data!K232</x:f>
        <x:v>55</x:v>
      </x:c>
      <x:c r="B232" t="n">
        <x:f>Chart_Data!N232-Chart_Data!L232</x:f>
        <x:v>-0.5459606869287086</x:v>
      </x:c>
      <x:c r="D232" t="n">
        <x:f>Chart_Data!G232</x:f>
        <x:v>55</x:v>
      </x:c>
      <x:c r="E232" t="n">
        <x:f>Chart_Data!H232</x:f>
        <x:v>188.50605986389118</x:v>
      </x:c>
      <x:c r="F232" t="n">
        <x:f>Chart_Data!I232</x:f>
        <x:v>188.50605986389118</x:v>
      </x:c>
      <x:c r="G232" t="n">
        <x:f>Chart_Data!J232</x:f>
        <x:v>-2.7391578251359494</x:v>
      </x:c>
      <x:c r="I232" t="n">
        <x:f>Scenario_Data!A232</x:f>
        <x:v>0.917</x:v>
      </x:c>
      <x:c r="J232" t="n">
        <x:f>Scenario_Data!H232-(((SQRT((Inputs!$C$52+(Inputs!$H$6))^2+Inputs!$C$52^2-2*(Inputs!$C$52+(Inputs!$H$6))*Inputs!$C$52*COS(SQRT((Scenario_Data!T232)^2+Inputs!$C$6^2)/Inputs!$C$52)))-(Inputs!$H$6))*1000/Inputs!$C$12)</x:f>
        <x:v>-20.90024248669988</x:v>
      </x:c>
      <x:c r="K232" t="n">
        <x:f>Scenario_Data!I232-(((SQRT((Inputs!$C$52+(Inputs!$H$7))^2+Inputs!$C$52^2-2*(Inputs!$C$52+(Inputs!$H$7))*Inputs!$C$52*COS(SQRT((Scenario_Data!U232)^2+Inputs!$C$6^2)/Inputs!$C$52)))-(Inputs!$H$7))*1000/Inputs!$C$12)</x:f>
        <x:v>-83952.36924737085</x:v>
      </x:c>
      <x:c r="L232" t="n">
        <x:f>Scenario_Data!J232-(((SQRT((Inputs!$C$52+(Inputs!$H$8))^2+Inputs!$C$52^2-2*(Inputs!$C$52+(Inputs!$H$8))*Inputs!$C$52*COS(SQRT((Scenario_Data!V232)^2+Inputs!$C$6^2)/Inputs!$C$52)))-(Inputs!$H$8))*1000/Inputs!$C$12)</x:f>
        <x:v>-174059.52189979836</x:v>
      </x:c>
      <x:c r="M232" t="n">
        <x:f>Scenario_Data!K232-(((SQRT((Inputs!$C$52+(Inputs!$H$9))^2+Inputs!$C$52^2-2*(Inputs!$C$52+(Inputs!$H$9))*Inputs!$C$52*COS(SQRT((Scenario_Data!W232)^2+Inputs!$C$6^2)/Inputs!$C$52)))-(Inputs!$H$9))*1000/Inputs!$C$12)</x:f>
        <x:v>-177992.30309147591</x:v>
      </x:c>
      <x:c r="O232" t="n">
        <x:f>Scenario_Data!T232</x:f>
        <x:v>55.019999999999996</x:v>
      </x:c>
      <x:c r="P232" t="n">
        <x:f>2*(Scenario_Data!B232*1000)/Inputs!$C$21*1000000</x:f>
        <x:v>2690.951991860983</x:v>
      </x:c>
      <x:c r="Q232" t="n">
        <x:f>Scenario_Data!U232</x:f>
        <x:v>366.80000000000007</x:v>
      </x:c>
      <x:c r="R232" t="n">
        <x:f>2*(Scenario_Data!C232*1000)/Inputs!$C$21*1000000</x:f>
        <x:v>2281.0746293023826</x:v>
      </x:c>
      <x:c r="S232" t="n">
        <x:f>Scenario_Data!V232</x:f>
        <x:v>733.6000000000001</x:v>
      </x:c>
      <x:c r="T232" t="n">
        <x:f>2*(Scenario_Data!D232*1000)/Inputs!$C$21*1000000</x:f>
        <x:v>5646.95917066733</x:v>
      </x:c>
      <x:c r="U232" t="n">
        <x:f>Scenario_Data!W232</x:f>
        <x:v>733.6000000000001</x:v>
      </x:c>
      <x:c r="V232" t="n">
        <x:f>2*(Scenario_Data!E232*1000)/Inputs!$C$21*1000000</x:f>
        <x:v>5636.344427317115</x:v>
      </x:c>
      <x:c r="X232" t="n">
        <x:f>Scenario_Data!T232</x:f>
        <x:v>55.019999999999996</x:v>
      </x:c>
      <x:c r="Y232" t="n">
        <x: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x:f>
        <x:v>2690.9276507302575</x:v>
      </x:c>
      <x:c r="Z232" t="n">
        <x:f>Scenario_Data!U232</x:f>
        <x:v>366.80000000000007</x:v>
      </x:c>
      <x:c r="AA232" t="n">
        <x: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x:f>
        <x:v>2280.414448325589</x:v>
      </x:c>
      <x:c r="AB232" t="n">
        <x:f>Scenario_Data!V232</x:f>
        <x:v>733.6000000000001</x:v>
      </x:c>
      <x:c r="AC232" t="n">
        <x: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x:f>
        <x:v>5646.961536636373</x:v>
      </x:c>
      <x:c r="AD232" t="n">
        <x:f>Scenario_Data!W232</x:f>
        <x:v>733.6000000000001</x:v>
      </x:c>
      <x:c r="AE232" t="n">
        <x: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x:f>
        <x:v>5636.346793286159</x:v>
      </x:c>
      <x:c r="AG232" t="n">
        <x:f>Scenario_Data!T232</x:f>
        <x:v>55.019999999999996</x:v>
      </x:c>
      <x:c r="AH232" t="n">
        <x:f>2*(SQRT((Inputs!$C$52+(Scenario_Data!B232))^2+Inputs!$C$52^2-2*(Inputs!$C$52+(Scenario_Data!B232))*Inputs!$C$52*COS(SQRT((Scenario_Data!T232)^2+Inputs!$C$6^2)/Inputs!$C$52))*1000)/Inputs!$C$21*1000000</x:f>
        <x:v>2728.689978080741</x:v>
      </x:c>
      <x:c r="AI232" t="n">
        <x:f>Scenario_Data!U232</x:f>
        <x:v>366.80000000000007</x:v>
      </x:c>
      <x:c r="AJ232" t="n">
        <x:f>2*(SQRT((Inputs!$C$52+(Scenario_Data!C232))^2+Inputs!$C$52^2-2*(Inputs!$C$52+(Scenario_Data!C232))*Inputs!$C$52*COS(SQRT((Scenario_Data!U232)^2+Inputs!$C$6^2)/Inputs!$C$52))*1000)/Inputs!$C$21*1000000</x:f>
        <x:v>3535.9694398561164</x:v>
      </x:c>
      <x:c r="AK232" t="n">
        <x:f>Scenario_Data!V232</x:f>
        <x:v>733.6000000000001</x:v>
      </x:c>
      <x:c r="AL232" t="n">
        <x:f>2*(SQRT((Inputs!$C$52+(Scenario_Data!D232))^2+Inputs!$C$52^2-2*(Inputs!$C$52+(Scenario_Data!D232))*Inputs!$C$52*COS(SQRT((Scenario_Data!V232)^2+Inputs!$C$6^2)/Inputs!$C$52))*1000)/Inputs!$C$21*1000000</x:f>
        <x:v>8258.071035157735</x:v>
      </x:c>
      <x:c r="AM232" t="n">
        <x:f>Scenario_Data!W232</x:f>
        <x:v>733.6000000000001</x:v>
      </x:c>
      <x:c r="AN232" t="n">
        <x:f>2*(SQRT((Inputs!$C$52+(Scenario_Data!E232))^2+Inputs!$C$52^2-2*(Inputs!$C$52+(Scenario_Data!E232))*Inputs!$C$52*COS(SQRT((Scenario_Data!W232)^2+Inputs!$C$6^2)/Inputs!$C$52))*1000)/Inputs!$C$21*1000000</x:f>
        <x:v>8249.361784554472</x:v>
      </x:c>
      <x:c r="AP232" t="n">
        <x:f>Scenario_Data!T232</x:f>
        <x:v>55.019999999999996</x:v>
      </x:c>
      <x:c r="AQ232" t="n">
        <x: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x:f>
        <x:v>2727.3660689754033</x:v>
      </x:c>
      <x:c r="AR232" t="n">
        <x:f>Scenario_Data!U232</x:f>
        <x:v>366.80000000000007</x:v>
      </x:c>
      <x:c r="AS232" t="n">
        <x: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x:f>
        <x:v>3535.217216361177</x:v>
      </x:c>
      <x:c r="AT232" t="n">
        <x:f>Scenario_Data!V232</x:f>
        <x:v>733.6000000000001</x:v>
      </x:c>
      <x:c r="AU232" t="n">
        <x: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x:f>
        <x:v>8257.76290026447</x:v>
      </x:c>
      <x:c r="AV232" t="n">
        <x:f>Scenario_Data!W232</x:f>
        <x:v>733.6000000000001</x:v>
      </x:c>
      <x:c r="AW232" t="n">
        <x: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x:f>
        <x:v>8249.054072142984</x:v>
      </x:c>
    </x:row>
    <x:row r="233">
      <x:c r="A233" t="n">
        <x:f>Chart_Data!K233</x:f>
        <x:v>55.5</x:v>
      </x:c>
      <x:c r="B233" t="n">
        <x:f>Chart_Data!N233-Chart_Data!L233</x:f>
        <x:v>3.310332055354735</x:v>
      </x:c>
      <x:c r="D233" t="n">
        <x:f>Chart_Data!G233</x:f>
        <x:v>55.5</x:v>
      </x:c>
      <x:c r="E233" t="n">
        <x:f>Chart_Data!H233</x:f>
        <x:v>182.5522692746181</x:v>
      </x:c>
      <x:c r="F233" t="n">
        <x:f>Chart_Data!I233</x:f>
        <x:v>182.5522692746181</x:v>
      </x:c>
      <x:c r="G233" t="n">
        <x:f>Chart_Data!J233</x:f>
        <x:v>-6.538094280084824</x:v>
      </x:c>
      <x:c r="I233" t="n">
        <x:f>Scenario_Data!A233</x:f>
        <x:v>0.925</x:v>
      </x:c>
      <x:c r="J233" t="n">
        <x:f>Scenario_Data!H233-(((SQRT((Inputs!$C$52+(Inputs!$H$6))^2+Inputs!$C$52^2-2*(Inputs!$C$52+(Inputs!$H$6))*Inputs!$C$52*COS(SQRT((Scenario_Data!T233)^2+Inputs!$C$6^2)/Inputs!$C$52)))-(Inputs!$H$6))*1000/Inputs!$C$12)</x:f>
        <x:v>-21.565197447271657</x:v>
      </x:c>
      <x:c r="K233" t="n">
        <x:f>Scenario_Data!I233-(((SQRT((Inputs!$C$52+(Inputs!$H$7))^2+Inputs!$C$52^2-2*(Inputs!$C$52+(Inputs!$H$7))*Inputs!$C$52*COS(SQRT((Scenario_Data!U233)^2+Inputs!$C$6^2)/Inputs!$C$52)))-(Inputs!$H$7))*1000/Inputs!$C$12)</x:f>
        <x:v>-85066.38324979196</x:v>
      </x:c>
      <x:c r="L233" t="n">
        <x:f>Scenario_Data!J233-(((SQRT((Inputs!$C$52+(Inputs!$H$8))^2+Inputs!$C$52^2-2*(Inputs!$C$52+(Inputs!$H$8))*Inputs!$C$52*COS(SQRT((Scenario_Data!V233)^2+Inputs!$C$6^2)/Inputs!$C$52)))-(Inputs!$H$8))*1000/Inputs!$C$12)</x:f>
        <x:v>-175844.68076899392</x:v>
      </x:c>
      <x:c r="M233" t="n">
        <x:f>Scenario_Data!K233-(((SQRT((Inputs!$C$52+(Inputs!$H$9))^2+Inputs!$C$52^2-2*(Inputs!$C$52+(Inputs!$H$9))*Inputs!$C$52*COS(SQRT((Scenario_Data!W233)^2+Inputs!$C$6^2)/Inputs!$C$52)))-(Inputs!$H$9))*1000/Inputs!$C$12)</x:f>
        <x:v>-179785.07110087413</x:v>
      </x:c>
      <x:c r="O233" t="n">
        <x:f>Scenario_Data!T233</x:f>
        <x:v>55.5</x:v>
      </x:c>
      <x:c r="P233" t="n">
        <x:f>2*(Scenario_Data!B233*1000)/Inputs!$C$21*1000000</x:f>
        <x:v>2691.34522390153</x:v>
      </x:c>
      <x:c r="Q233" t="n">
        <x:f>Scenario_Data!U233</x:f>
        <x:v>370</x:v>
      </x:c>
      <x:c r="R233" t="n">
        <x:f>2*(Scenario_Data!C233*1000)/Inputs!$C$21*1000000</x:f>
        <x:v>2316.957053002314</x:v>
      </x:c>
      <x:c r="S233" t="n">
        <x:f>Scenario_Data!V233</x:f>
        <x:v>740</x:v>
      </x:c>
      <x:c r="T233" t="n">
        <x:f>2*(Scenario_Data!D233*1000)/Inputs!$C$21*1000000</x:f>
        <x:v>5741.82640044934</x:v>
      </x:c>
      <x:c r="U233" t="n">
        <x:f>Scenario_Data!W233</x:f>
        <x:v>740</x:v>
      </x:c>
      <x:c r="V233" t="n">
        <x:f>2*(Scenario_Data!E233*1000)/Inputs!$C$21*1000000</x:f>
        <x:v>5732.194737200494</x:v>
      </x:c>
      <x:c r="X233" t="n">
        <x:f>Scenario_Data!T233</x:f>
        <x:v>55.5</x:v>
      </x:c>
      <x:c r="Y233" t="n">
        <x: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x:f>
        <x:v>2691.388841371587</x:v>
      </x:c>
      <x:c r="Z233" t="n">
        <x:f>Scenario_Data!U233</x:f>
        <x:v>370</x:v>
      </x:c>
      <x:c r="AA233" t="n">
        <x: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x:f>
        <x:v>2316.8487948622887</x:v>
      </x:c>
      <x:c r="AB233" t="n">
        <x:f>Scenario_Data!V233</x:f>
        <x:v>740</x:v>
      </x:c>
      <x:c r="AC233" t="n">
        <x: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x:f>
        <x:v>5741.526745204011</x:v>
      </x:c>
      <x:c r="AD233" t="n">
        <x:f>Scenario_Data!W233</x:f>
        <x:v>740</x:v>
      </x:c>
      <x:c r="AE233" t="n">
        <x: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x:f>
        <x:v>5731.895081955165</x:v>
      </x:c>
      <x:c r="AG233" t="n">
        <x:f>Scenario_Data!T233</x:f>
        <x:v>55.5</x:v>
      </x:c>
      <x:c r="AH233" t="n">
        <x:f>2*(SQRT((Inputs!$C$52+(Scenario_Data!B233))^2+Inputs!$C$52^2-2*(Inputs!$C$52+(Scenario_Data!B233))*Inputs!$C$52*COS(SQRT((Scenario_Data!T233)^2+Inputs!$C$6^2)/Inputs!$C$52))*1000)/Inputs!$C$21*1000000</x:f>
        <x:v>2729.6230805624396</x:v>
      </x:c>
      <x:c r="AI233" t="n">
        <x:f>Scenario_Data!U233</x:f>
        <x:v>370</x:v>
      </x:c>
      <x:c r="AJ233" t="n">
        <x:f>2*(SQRT((Inputs!$C$52+(Scenario_Data!C233))^2+Inputs!$C$52^2-2*(Inputs!$C$52+(Scenario_Data!C233))*Inputs!$C$52*COS(SQRT((Scenario_Data!U233)^2+Inputs!$C$6^2)/Inputs!$C$52))*1000)/Inputs!$C$21*1000000</x:f>
        <x:v>3579.915397473851</x:v>
      </x:c>
      <x:c r="AK233" t="n">
        <x:f>Scenario_Data!V233</x:f>
        <x:v>740</x:v>
      </x:c>
      <x:c r="AL233" t="n">
        <x:f>2*(SQRT((Inputs!$C$52+(Scenario_Data!D233))^2+Inputs!$C$52^2-2*(Inputs!$C$52+(Scenario_Data!D233))*Inputs!$C$52*COS(SQRT((Scenario_Data!V233)^2+Inputs!$C$6^2)/Inputs!$C$52))*1000)/Inputs!$C$21*1000000</x:f>
        <x:v>8373.64240992586</x:v>
      </x:c>
      <x:c r="AM233" t="n">
        <x:f>Scenario_Data!W233</x:f>
        <x:v>740</x:v>
      </x:c>
      <x:c r="AN233" t="n">
        <x:f>2*(SQRT((Inputs!$C$52+(Scenario_Data!E233))^2+Inputs!$C$52^2-2*(Inputs!$C$52+(Scenario_Data!E233))*Inputs!$C$52*COS(SQRT((Scenario_Data!W233)^2+Inputs!$C$6^2)/Inputs!$C$52))*1000)/Inputs!$C$21*1000000</x:f>
        <x:v>8365.717177007828</x:v>
      </x:c>
      <x:c r="AP233" t="n">
        <x:f>Scenario_Data!T233</x:f>
        <x:v>55.5</x:v>
      </x:c>
      <x:c r="AQ233" t="n">
        <x: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x:f>
        <x:v>2728.4267562236205</x:v>
      </x:c>
      <x:c r="AR233" t="n">
        <x:f>Scenario_Data!U233</x:f>
        <x:v>370</x:v>
      </x:c>
      <x:c r="AS233" t="n">
        <x: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x:f>
        <x:v>3579.384617384559</x:v>
      </x:c>
      <x:c r="AT233" t="n">
        <x:f>Scenario_Data!V233</x:f>
        <x:v>740</x:v>
      </x:c>
      <x:c r="AU233" t="n">
        <x: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x:f>
        <x:v>8373.137731591465</x:v>
      </x:c>
      <x:c r="AV233" t="n">
        <x:f>Scenario_Data!W233</x:f>
        <x:v>740</x:v>
      </x:c>
      <x:c r="AW233" t="n">
        <x: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x:f>
        <x:v>8365.213114269161</x:v>
      </x:c>
    </x:row>
    <x:row r="234">
      <x:c r="A234" t="n">
        <x:f>Chart_Data!K234</x:f>
        <x:v>56</x:v>
      </x:c>
      <x:c r="B234" t="n">
        <x:f>Chart_Data!N234-Chart_Data!L234</x:f>
        <x:v>1.0046162125690614</x:v>
      </x:c>
      <x:c r="D234" t="n">
        <x:f>Chart_Data!G234</x:f>
        <x:v>56</x:v>
      </x:c>
      <x:c r="E234" t="n">
        <x:f>Chart_Data!H234</x:f>
        <x:v>186.90390563143987</x:v>
      </x:c>
      <x:c r="F234" t="n">
        <x:f>Chart_Data!I234</x:f>
        <x:v>186.90390563143987</x:v>
      </x:c>
      <x:c r="G234" t="n">
        <x:f>Chart_Data!J234</x:f>
        <x:v>-4.357290177669684</x:v>
      </x:c>
      <x:c r="I234" t="n">
        <x:f>Scenario_Data!A234</x:f>
        <x:v>0.933</x:v>
      </x:c>
      <x:c r="J234" t="n">
        <x:f>Scenario_Data!H234-(((SQRT((Inputs!$C$52+(Inputs!$H$6))^2+Inputs!$C$52^2-2*(Inputs!$C$52+(Inputs!$H$6))*Inputs!$C$52*COS(SQRT((Scenario_Data!T234)^2+Inputs!$C$6^2)/Inputs!$C$52)))-(Inputs!$H$6))*1000/Inputs!$C$12)</x:f>
        <x:v>-22.246059825895372</x:v>
      </x:c>
      <x:c r="K234" t="n">
        <x:f>Scenario_Data!I234-(((SQRT((Inputs!$C$52+(Inputs!$H$7))^2+Inputs!$C$52^2-2*(Inputs!$C$52+(Inputs!$H$7))*Inputs!$C$52*COS(SQRT((Scenario_Data!U234)^2+Inputs!$C$6^2)/Inputs!$C$52)))-(Inputs!$H$7))*1000/Inputs!$C$12)</x:f>
        <x:v>-86181.44608297395</x:v>
      </x:c>
      <x:c r="L234" t="n">
        <x:f>Scenario_Data!J234-(((SQRT((Inputs!$C$52+(Inputs!$H$8))^2+Inputs!$C$52^2-2*(Inputs!$C$52+(Inputs!$H$8))*Inputs!$C$52*COS(SQRT((Scenario_Data!V234)^2+Inputs!$C$6^2)/Inputs!$C$52)))-(Inputs!$H$8))*1000/Inputs!$C$12)</x:f>
        <x:v>-177621.89133436125</x:v>
      </x:c>
      <x:c r="M234" t="n">
        <x:f>Scenario_Data!K234-(((SQRT((Inputs!$C$52+(Inputs!$H$9))^2+Inputs!$C$52^2-2*(Inputs!$C$52+(Inputs!$H$9))*Inputs!$C$52*COS(SQRT((Scenario_Data!W234)^2+Inputs!$C$6^2)/Inputs!$C$52)))-(Inputs!$H$9))*1000/Inputs!$C$12)</x:f>
        <x:v>-181569.57405040326</x:v>
      </x:c>
      <x:c r="O234" t="n">
        <x:f>Scenario_Data!T234</x:f>
        <x:v>55.980000000000004</x:v>
      </x:c>
      <x:c r="P234" t="n">
        <x:f>2*(Scenario_Data!B234*1000)/Inputs!$C$21*1000000</x:f>
        <x:v>2691.7418716384122</x:v>
      </x:c>
      <x:c r="Q234" t="n">
        <x:f>Scenario_Data!U234</x:f>
        <x:v>373.20000000000005</x:v>
      </x:c>
      <x:c r="R234" t="n">
        <x:f>2*(Scenario_Data!C234*1000)/Inputs!$C$21*1000000</x:f>
        <x:v>2353.1511589928</x:v>
      </x:c>
      <x:c r="S234" t="n">
        <x:f>Scenario_Data!V234</x:f>
        <x:v>746.4000000000001</x:v>
      </x:c>
      <x:c r="T234" t="n">
        <x:f>2*(Scenario_Data!D234*1000)/Inputs!$C$21*1000000</x:f>
        <x:v>5837.51766697213</x:v>
      </x:c>
      <x:c r="U234" t="n">
        <x:f>Scenario_Data!W234</x:f>
        <x:v>746.4000000000001</x:v>
      </x:c>
      <x:c r="V234" t="n">
        <x:f>2*(Scenario_Data!E234*1000)/Inputs!$C$21*1000000</x:f>
        <x:v>5828.87762306549</x:v>
      </x:c>
      <x:c r="X234" t="n">
        <x:f>Scenario_Data!T234</x:f>
        <x:v>55.980000000000004</x:v>
      </x:c>
      <x:c r="Y234" t="n">
        <x: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x:f>
        <x:v>2691.6986261121306</x:v>
      </x:c>
      <x:c r="Z234" t="n">
        <x:f>Scenario_Data!U234</x:f>
        <x:v>373.20000000000005</x:v>
      </x:c>
      <x:c r="AA234" t="n">
        <x: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x:f>
        <x:v>2352.9815140756104</x:v>
      </x:c>
      <x:c r="AB234" t="n">
        <x:f>Scenario_Data!V234</x:f>
        <x:v>746.4000000000001</x:v>
      </x:c>
      <x:c r="AC234" t="n">
        <x: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x:f>
        <x:v>5837.535406144047</x:v>
      </x:c>
      <x:c r="AD234" t="n">
        <x:f>Scenario_Data!W234</x:f>
        <x:v>746.4000000000001</x:v>
      </x:c>
      <x:c r="AE234" t="n">
        <x: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x:f>
        <x:v>5828.8953622374065</x:v>
      </x:c>
      <x:c r="AG234" t="n">
        <x:f>Scenario_Data!T234</x:f>
        <x:v>55.980000000000004</x:v>
      </x:c>
      <x:c r="AH234" t="n">
        <x:f>2*(SQRT((Inputs!$C$52+(Scenario_Data!B234))^2+Inputs!$C$52^2-2*(Inputs!$C$52+(Scenario_Data!B234))*Inputs!$C$52*COS(SQRT((Scenario_Data!T234)^2+Inputs!$C$6^2)/Inputs!$C$52))*1000)/Inputs!$C$21*1000000</x:f>
        <x:v>2730.5640535799016</x:v>
      </x:c>
      <x:c r="AI234" t="n">
        <x:f>Scenario_Data!U234</x:f>
        <x:v>373.20000000000005</x:v>
      </x:c>
      <x:c r="AJ234" t="n">
        <x:f>2*(SQRT((Inputs!$C$52+(Scenario_Data!C234))^2+Inputs!$C$52^2-2*(Inputs!$C$52+(Scenario_Data!C234))*Inputs!$C$52*COS(SQRT((Scenario_Data!U234)^2+Inputs!$C$6^2)/Inputs!$C$52))*1000)/Inputs!$C$21*1000000</x:f>
        <x:v>3624.160403492118</x:v>
      </x:c>
      <x:c r="AK234" t="n">
        <x:f>Scenario_Data!V234</x:f>
        <x:v>746.4000000000001</x:v>
      </x:c>
      <x:c r="AL234" t="n">
        <x:f>2*(SQRT((Inputs!$C$52+(Scenario_Data!D234))^2+Inputs!$C$52^2-2*(Inputs!$C$52+(Scenario_Data!D234))*Inputs!$C$52*COS(SQRT((Scenario_Data!V234)^2+Inputs!$C$6^2)/Inputs!$C$52))*1000)/Inputs!$C$21*1000000</x:f>
        <x:v>8490.112657175801</x:v>
      </x:c>
      <x:c r="AM234" t="n">
        <x:f>Scenario_Data!W234</x:f>
        <x:v>746.4000000000001</x:v>
      </x:c>
      <x:c r="AN234" t="n">
        <x:f>2*(SQRT((Inputs!$C$52+(Scenario_Data!E234))^2+Inputs!$C$52^2-2*(Inputs!$C$52+(Scenario_Data!E234))*Inputs!$C$52*COS(SQRT((Scenario_Data!W234)^2+Inputs!$C$6^2)/Inputs!$C$52))*1000)/Inputs!$C$21*1000000</x:f>
        <x:v>8482.983410922227</x:v>
      </x:c>
      <x:c r="AP234" t="n">
        <x:f>Scenario_Data!T234</x:f>
        <x:v>55.980000000000004</x:v>
      </x:c>
      <x:c r="AQ234" t="n">
        <x: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x:f>
        <x:v>2729.345802686525</x:v>
      </x:c>
      <x:c r="AR234" t="n">
        <x:f>Scenario_Data!U234</x:f>
        <x:v>373.20000000000005</x:v>
      </x:c>
      <x:c r="AS234" t="n">
        <x: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x:f>
        <x:v>3623.801339841583</x:v>
      </x:c>
      <x:c r="AT234" t="n">
        <x:f>Scenario_Data!V234</x:f>
        <x:v>746.4000000000001</x:v>
      </x:c>
      <x:c r="AU234" t="n">
        <x: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x:f>
        <x:v>8489.606317132935</x:v>
      </x:c>
      <x:c r="AV234" t="n">
        <x:f>Scenario_Data!W234</x:f>
        <x:v>746.4000000000001</x:v>
      </x:c>
      <x:c r="AW234" t="n">
        <x: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x:f>
        <x:v>8482.477614126423</x:v>
      </x:c>
    </x:row>
    <x:row r="235">
      <x:c r="A235" t="n">
        <x:f>Chart_Data!K235</x:f>
        <x:v>56.5</x:v>
      </x:c>
      <x:c r="B235" t="n">
        <x:f>Chart_Data!N235-Chart_Data!L235</x:f>
        <x:v>-25.174071050032467</x:v>
      </x:c>
      <x:c r="D235" t="n">
        <x:f>Chart_Data!G235</x:f>
        <x:v>56.5</x:v>
      </x:c>
      <x:c r="E235" t="n">
        <x:f>Chart_Data!H235</x:f>
        <x:v>190.07062484954076</x:v>
      </x:c>
      <x:c r="F235" t="n">
        <x:f>Chart_Data!I235</x:f>
        <x:v>190.07062484954076</x:v>
      </x:c>
      <x:c r="G235" t="n">
        <x:f>Chart_Data!J235</x:f>
        <x:v>21.715435034758002</x:v>
      </x:c>
      <x:c r="I235" t="n">
        <x:f>Scenario_Data!A235</x:f>
        <x:v>0.942</x:v>
      </x:c>
      <x:c r="J235" t="n">
        <x:f>Scenario_Data!H235-(((SQRT((Inputs!$C$52+(Inputs!$H$6))^2+Inputs!$C$52^2-2*(Inputs!$C$52+(Inputs!$H$6))*Inputs!$C$52*COS(SQRT((Scenario_Data!T235)^2+Inputs!$C$6^2)/Inputs!$C$52)))-(Inputs!$H$6))*1000/Inputs!$C$12)</x:f>
        <x:v>-23.03135332022248</x:v>
      </x:c>
      <x:c r="K235" t="n">
        <x:f>Scenario_Data!I235-(((SQRT((Inputs!$C$52+(Inputs!$H$7))^2+Inputs!$C$52^2-2*(Inputs!$C$52+(Inputs!$H$7))*Inputs!$C$52*COS(SQRT((Scenario_Data!U235)^2+Inputs!$C$6^2)/Inputs!$C$52)))-(Inputs!$H$7))*1000/Inputs!$C$12)</x:f>
        <x:v>-87437.04511505857</x:v>
      </x:c>
      <x:c r="L235" t="n">
        <x:f>Scenario_Data!J235-(((SQRT((Inputs!$C$52+(Inputs!$H$8))^2+Inputs!$C$52^2-2*(Inputs!$C$52+(Inputs!$H$8))*Inputs!$C$52*COS(SQRT((Scenario_Data!V235)^2+Inputs!$C$6^2)/Inputs!$C$52)))-(Inputs!$H$8))*1000/Inputs!$C$12)</x:f>
        <x:v>-179611.60663962277</x:v>
      </x:c>
      <x:c r="M235" t="n">
        <x:f>Scenario_Data!K235-(((SQRT((Inputs!$C$52+(Inputs!$H$9))^2+Inputs!$C$52^2-2*(Inputs!$C$52+(Inputs!$H$9))*Inputs!$C$52*COS(SQRT((Scenario_Data!W235)^2+Inputs!$C$6^2)/Inputs!$C$52)))-(Inputs!$H$9))*1000/Inputs!$C$12)</x:f>
        <x:v>-183567.12131353328</x:v>
      </x:c>
      <x:c r="O235" t="n">
        <x:f>Scenario_Data!T235</x:f>
        <x:v>56.519999999999996</x:v>
      </x:c>
      <x:c r="P235" t="n">
        <x:f>2*(Scenario_Data!B235*1000)/Inputs!$C$21*1000000</x:f>
        <x:v>2692.1921831669297</x:v>
      </x:c>
      <x:c r="Q235" t="n">
        <x:f>Scenario_Data!U235</x:f>
        <x:v>376.79999999999995</x:v>
      </x:c>
      <x:c r="R235" t="n">
        <x:f>2*(Scenario_Data!C235*1000)/Inputs!$C$21*1000000</x:f>
        <x:v>2394.2420859700205</x:v>
      </x:c>
      <x:c r="S235" t="n">
        <x:f>Scenario_Data!V235</x:f>
        <x:v>753.5999999999999</x:v>
      </x:c>
      <x:c r="T235" t="n">
        <x:f>2*(Scenario_Data!D235*1000)/Inputs!$C$21*1000000</x:f>
        <x:v>5946.155323226975</x:v>
      </x:c>
      <x:c r="U235" t="n">
        <x:f>Scenario_Data!W235</x:f>
        <x:v>753.5999999999999</x:v>
      </x:c>
      <x:c r="V235" t="n">
        <x:f>2*(Scenario_Data!E235*1000)/Inputs!$C$21*1000000</x:f>
        <x:v>5938.6410581416285</x:v>
      </x:c>
      <x:c r="X235" t="n">
        <x:f>Scenario_Data!T235</x:f>
        <x:v>56.519999999999996</x:v>
      </x:c>
      <x:c r="Y235" t="n">
        <x: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x:f>
        <x:v>2692.1773075299916</x:v>
      </x:c>
      <x:c r="Z235" t="n">
        <x:f>Scenario_Data!U235</x:f>
        <x:v>376.79999999999995</x:v>
      </x:c>
      <x:c r="AA235" t="n">
        <x: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x:f>
        <x:v>2393.902932478235</x:v>
      </x:c>
      <x:c r="AB235" t="n">
        <x:f>Scenario_Data!V235</x:f>
        <x:v>753.5999999999999</x:v>
      </x:c>
      <x:c r="AC235" t="n">
        <x: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x:f>
        <x:v>5946.358306967192</x:v>
      </x:c>
      <x:c r="AD235" t="n">
        <x:f>Scenario_Data!W235</x:f>
        <x:v>753.5999999999999</x:v>
      </x:c>
      <x:c r="AE235" t="n">
        <x: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x:f>
        <x:v>5938.844041881844</x:v>
      </x:c>
      <x:c r="AG235" t="n">
        <x:f>Scenario_Data!T235</x:f>
        <x:v>56.519999999999996</x:v>
      </x:c>
      <x:c r="AH235" t="n">
        <x:f>2*(SQRT((Inputs!$C$52+(Scenario_Data!B235))^2+Inputs!$C$52^2-2*(Inputs!$C$52+(Scenario_Data!B235))*Inputs!$C$52*COS(SQRT((Scenario_Data!T235)^2+Inputs!$C$6^2)/Inputs!$C$52))*1000)/Inputs!$C$21*1000000</x:f>
        <x:v>2731.632048701091</x:v>
      </x:c>
      <x:c r="AI235" t="n">
        <x:f>Scenario_Data!U235</x:f>
        <x:v>376.79999999999995</x:v>
      </x:c>
      <x:c r="AJ235" t="n">
        <x:f>2*(SQRT((Inputs!$C$52+(Scenario_Data!C235))^2+Inputs!$C$52^2-2*(Inputs!$C$52+(Scenario_Data!C235))*Inputs!$C$52*COS(SQRT((Scenario_Data!U235)^2+Inputs!$C$6^2)/Inputs!$C$52))*1000)/Inputs!$C$21*1000000</x:f>
        <x:v>3674.294578654452</x:v>
      </x:c>
      <x:c r="AK235" t="n">
        <x:f>Scenario_Data!V235</x:f>
        <x:v>753.5999999999999</x:v>
      </x:c>
      <x:c r="AL235" t="n">
        <x:f>2*(SQRT((Inputs!$C$52+(Scenario_Data!D235))^2+Inputs!$C$52^2-2*(Inputs!$C$52+(Scenario_Data!D235))*Inputs!$C$52*COS(SQRT((Scenario_Data!V235)^2+Inputs!$C$6^2)/Inputs!$C$52))*1000)/Inputs!$C$21*1000000</x:f>
        <x:v>8622.217592392886</x:v>
      </x:c>
      <x:c r="AM235" t="n">
        <x:f>Scenario_Data!W235</x:f>
        <x:v>753.5999999999999</x:v>
      </x:c>
      <x:c r="AN235" t="n">
        <x:f>2*(SQRT((Inputs!$C$52+(Scenario_Data!E235))^2+Inputs!$C$52^2-2*(Inputs!$C$52+(Scenario_Data!E235))*Inputs!$C$52*COS(SQRT((Scenario_Data!W235)^2+Inputs!$C$6^2)/Inputs!$C$52))*1000)/Inputs!$C$21*1000000</x:f>
        <x:v>8615.998072070657</x:v>
      </x:c>
      <x:c r="AP235" t="n">
        <x:f>Scenario_Data!T235</x:f>
        <x:v>56.519999999999996</x:v>
      </x:c>
      <x:c r="AQ235" t="n">
        <x: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x:f>
        <x:v>2730.327377287637</x:v>
      </x:c>
      <x:c r="AR235" t="n">
        <x:f>Scenario_Data!U235</x:f>
        <x:v>376.79999999999995</x:v>
      </x:c>
      <x:c r="AS235" t="n">
        <x: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x:f>
        <x:v>3673.7926080967623</x:v>
      </x:c>
      <x:c r="AT235" t="n">
        <x:f>Scenario_Data!V235</x:f>
        <x:v>753.5999999999999</x:v>
      </x:c>
      <x:c r="AU235" t="n">
        <x: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x:f>
        <x:v>8622.02423942488</x:v>
      </x:c>
      <x:c r="AV235" t="n">
        <x:f>Scenario_Data!W235</x:f>
        <x:v>753.5999999999999</x:v>
      </x:c>
      <x:c r="AW235" t="n">
        <x: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x:f>
        <x:v>8615.80489558329</x:v>
      </x:c>
    </x:row>
    <x:row r="236">
      <x:c r="A236" t="n">
        <x:f>Chart_Data!K236</x:f>
        <x:v>57</x:v>
      </x:c>
      <x:c r="B236" t="n">
        <x:f>Chart_Data!N236-Chart_Data!L236</x:f>
        <x:v>-22.117718757033032</x:v>
      </x:c>
      <x:c r="D236" t="n">
        <x:f>Chart_Data!G236</x:f>
        <x:v>57</x:v>
      </x:c>
      <x:c r="E236" t="n">
        <x:f>Chart_Data!H236</x:f>
        <x:v>200.68454527158707</x:v>
      </x:c>
      <x:c r="F236" t="n">
        <x:f>Chart_Data!I236</x:f>
        <x:v>200.68454527158707</x:v>
      </x:c>
      <x:c r="G236" t="n">
        <x:f>Chart_Data!J236</x:f>
        <x:v>18.4135707545088</x:v>
      </x:c>
      <x:c r="I236" t="n">
        <x:f>Scenario_Data!A236</x:f>
        <x:v>0.95</x:v>
      </x:c>
      <x:c r="J236" t="n">
        <x:f>Scenario_Data!H236-(((SQRT((Inputs!$C$52+(Inputs!$H$6))^2+Inputs!$C$52^2-2*(Inputs!$C$52+(Inputs!$H$6))*Inputs!$C$52*COS(SQRT((Scenario_Data!T236)^2+Inputs!$C$6^2)/Inputs!$C$52)))-(Inputs!$H$6))*1000/Inputs!$C$12)</x:f>
        <x:v>-23.746844660086936</x:v>
      </x:c>
      <x:c r="K236" t="n">
        <x:f>Scenario_Data!I236-(((SQRT((Inputs!$C$52+(Inputs!$H$7))^2+Inputs!$C$52^2-2*(Inputs!$C$52+(Inputs!$H$7))*Inputs!$C$52*COS(SQRT((Scenario_Data!U236)^2+Inputs!$C$6^2)/Inputs!$C$52)))-(Inputs!$H$7))*1000/Inputs!$C$12)</x:f>
        <x:v>-88554.07088364325</x:v>
      </x:c>
      <x:c r="L236" t="n">
        <x:f>Scenario_Data!J236-(((SQRT((Inputs!$C$52+(Inputs!$H$8))^2+Inputs!$C$52^2-2*(Inputs!$C$52+(Inputs!$H$8))*Inputs!$C$52*COS(SQRT((Scenario_Data!V236)^2+Inputs!$C$6^2)/Inputs!$C$52)))-(Inputs!$H$8))*1000/Inputs!$C$12)</x:f>
        <x:v>-181371.54200338566</x:v>
      </x:c>
      <x:c r="M236" t="n">
        <x:f>Scenario_Data!K236-(((SQRT((Inputs!$C$52+(Inputs!$H$9))^2+Inputs!$C$52^2-2*(Inputs!$C$52+(Inputs!$H$9))*Inputs!$C$52*COS(SQRT((Scenario_Data!W236)^2+Inputs!$C$6^2)/Inputs!$C$52)))-(Inputs!$H$9))*1000/Inputs!$C$12)</x:f>
        <x:v>-185333.69359371395</x:v>
      </x:c>
      <x:c r="O236" t="n">
        <x:f>Scenario_Data!T236</x:f>
        <x:v>57</x:v>
      </x:c>
      <x:c r="P236" t="n">
        <x:f>2*(Scenario_Data!B236*1000)/Inputs!$C$21*1000000</x:f>
        <x:v>2692.596089258523</x:v>
      </x:c>
      <x:c r="Q236" t="n">
        <x:f>Scenario_Data!U236</x:f>
        <x:v>380</x:v>
      </x:c>
      <x:c r="R236" t="n">
        <x:f>2*(Scenario_Data!C236*1000)/Inputs!$C$21*1000000</x:f>
        <x:v>2431.0985168279312</x:v>
      </x:c>
      <x:c r="S236" t="n">
        <x:f>Scenario_Data!V236</x:f>
        <x:v>760</x:v>
      </x:c>
      <x:c r="T236" t="n">
        <x:f>2*(Scenario_Data!D236*1000)/Inputs!$C$21*1000000</x:f>
        <x:v>6043.597667823918</x:v>
      </x:c>
      <x:c r="U236" t="n">
        <x:f>Scenario_Data!W236</x:f>
        <x:v>760</x:v>
      </x:c>
      <x:c r="V236" t="n">
        <x:f>2*(Scenario_Data!E236*1000)/Inputs!$C$21*1000000</x:f>
        <x:v>6037.093167967554</x:v>
      </x:c>
      <x:c r="X236" t="n">
        <x:f>Scenario_Data!T236</x:f>
        <x:v>57</x:v>
      </x:c>
      <x:c r="Y236" t="n">
        <x: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x:f>
        <x:v>2692.473247137161</x:v>
      </x:c>
      <x:c r="Z236" t="n">
        <x:f>Scenario_Data!U236</x:f>
        <x:v>380</x:v>
      </x:c>
      <x:c r="AA236" t="n">
        <x: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x:f>
        <x:v>2430.617445290838</x:v>
      </x:c>
      <x:c r="AB236" t="n">
        <x:f>Scenario_Data!V236</x:f>
        <x:v>760</x:v>
      </x:c>
      <x:c r="AC236" t="n">
        <x: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x:f>
        <x:v>6043.438309182107</x:v>
      </x:c>
      <x:c r="AD236" t="n">
        <x:f>Scenario_Data!W236</x:f>
        <x:v>760</x:v>
      </x:c>
      <x:c r="AE236" t="n">
        <x: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x:f>
        <x:v>6036.933809325743</x:v>
      </x:c>
      <x:c r="AG236" t="n">
        <x:f>Scenario_Data!T236</x:f>
        <x:v>57</x:v>
      </x:c>
      <x:c r="AH236" t="n">
        <x:f>2*(SQRT((Inputs!$C$52+(Scenario_Data!B236))^2+Inputs!$C$52^2-2*(Inputs!$C$52+(Scenario_Data!B236))*Inputs!$C$52*COS(SQRT((Scenario_Data!T236)^2+Inputs!$C$6^2)/Inputs!$C$52))*1000)/Inputs!$C$21*1000000</x:f>
        <x:v>2732.589727165975</x:v>
      </x:c>
      <x:c r="AI236" t="n">
        <x:f>Scenario_Data!U236</x:f>
        <x:v>380</x:v>
      </x:c>
      <x:c r="AJ236" t="n">
        <x:f>2*(SQRT((Inputs!$C$52+(Scenario_Data!C236))^2+Inputs!$C$52^2-2*(Inputs!$C$52+(Scenario_Data!C236))*Inputs!$C$52*COS(SQRT((Scenario_Data!U236)^2+Inputs!$C$6^2)/Inputs!$C$52))*1000)/Inputs!$C$21*1000000</x:f>
        <x:v>3719.1779432130656</x:v>
      </x:c>
      <x:c r="AK236" t="n">
        <x:f>Scenario_Data!V236</x:f>
        <x:v>760</x:v>
      </x:c>
      <x:c r="AL236" t="n">
        <x:f>2*(SQRT((Inputs!$C$52+(Scenario_Data!D236))^2+Inputs!$C$52^2-2*(Inputs!$C$52+(Scenario_Data!D236))*Inputs!$C$52*COS(SQRT((Scenario_Data!V236)^2+Inputs!$C$6^2)/Inputs!$C$52))*1000)/Inputs!$C$21*1000000</x:f>
        <x:v>8740.601827631473</x:v>
      </x:c>
      <x:c r="AM236" t="n">
        <x:f>Scenario_Data!W236</x:f>
        <x:v>760</x:v>
      </x:c>
      <x:c r="AN236" t="n">
        <x:f>2*(SQRT((Inputs!$C$52+(Scenario_Data!E236))^2+Inputs!$C$52^2-2*(Inputs!$C$52+(Scenario_Data!E236))*Inputs!$C$52*COS(SQRT((Scenario_Data!W236)^2+Inputs!$C$6^2)/Inputs!$C$52))*1000)/Inputs!$C$21*1000000</x:f>
        <x:v>8735.203553435682</x:v>
      </x:c>
      <x:c r="AP236" t="n">
        <x:f>Scenario_Data!T236</x:f>
        <x:v>57</x:v>
      </x:c>
      <x:c r="AQ236" t="n">
        <x: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x:f>
        <x:v>2731.2756154062386</x:v>
      </x:c>
      <x:c r="AR236" t="n">
        <x:f>Scenario_Data!U236</x:f>
        <x:v>380</x:v>
      </x:c>
      <x:c r="AS236" t="n">
        <x: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x:f>
        <x:v>3718.47695762412</x:v>
      </x:c>
      <x:c r="AT236" t="n">
        <x:f>Scenario_Data!V236</x:f>
        <x:v>760</x:v>
      </x:c>
      <x:c r="AU236" t="n">
        <x: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x:f>
        <x:v>8739.913766874452</x:v>
      </x:c>
      <x:c r="AV236" t="n">
        <x:f>Scenario_Data!W236</x:f>
        <x:v>760</x:v>
      </x:c>
      <x:c r="AW236" t="n">
        <x: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x:f>
        <x:v>8734.516026047717</x:v>
      </x:c>
    </x:row>
    <x:row r="237">
      <x:c r="A237" t="n">
        <x:f>Chart_Data!K237</x:f>
        <x:v>57.5</x:v>
      </x:c>
      <x:c r="B237" t="n">
        <x:f>Chart_Data!N237-Chart_Data!L237</x:f>
        <x:v>-29.305969865231276</x:v>
      </x:c>
      <x:c r="D237" t="n">
        <x:f>Chart_Data!G237</x:f>
        <x:v>57.5</x:v>
      </x:c>
      <x:c r="E237" t="n">
        <x:f>Chart_Data!H237</x:f>
        <x:v>178.2777126906697</x:v>
      </x:c>
      <x:c r="F237" t="n">
        <x:f>Chart_Data!I237</x:f>
        <x:v>178.2777126906697</x:v>
      </x:c>
      <x:c r="G237" t="n">
        <x:f>Chart_Data!J237</x:f>
        <x:v>25.968776223167485</x:v>
      </x:c>
      <x:c r="I237" t="n">
        <x:f>Scenario_Data!A237</x:f>
        <x:v>0.958</x:v>
      </x:c>
      <x:c r="J237" t="n">
        <x:f>Scenario_Data!H237-(((SQRT((Inputs!$C$52+(Inputs!$H$6))^2+Inputs!$C$52^2-2*(Inputs!$C$52+(Inputs!$H$6))*Inputs!$C$52*COS(SQRT((Scenario_Data!T237)^2+Inputs!$C$6^2)/Inputs!$C$52)))-(Inputs!$H$6))*1000/Inputs!$C$12)</x:f>
        <x:v>-24.47902381513677</x:v>
      </x:c>
      <x:c r="K237" t="n">
        <x:f>Scenario_Data!I237-(((SQRT((Inputs!$C$52+(Inputs!$H$7))^2+Inputs!$C$52^2-2*(Inputs!$C$52+(Inputs!$H$7))*Inputs!$C$52*COS(SQRT((Scenario_Data!U237)^2+Inputs!$C$6^2)/Inputs!$C$52)))-(Inputs!$H$7))*1000/Inputs!$C$12)</x:f>
        <x:v>-89671.89852079697</x:v>
      </x:c>
      <x:c r="L237" t="n">
        <x:f>Scenario_Data!J237-(((SQRT((Inputs!$C$52+(Inputs!$H$8))^2+Inputs!$C$52^2-2*(Inputs!$C$52+(Inputs!$H$8))*Inputs!$C$52*COS(SQRT((Scenario_Data!V237)^2+Inputs!$C$6^2)/Inputs!$C$52)))-(Inputs!$H$8))*1000/Inputs!$C$12)</x:f>
        <x:v>-183123.17397563395</x:v>
      </x:c>
      <x:c r="M237" t="n">
        <x:f>Scenario_Data!K237-(((SQRT((Inputs!$C$52+(Inputs!$H$9))^2+Inputs!$C$52^2-2*(Inputs!$C$52+(Inputs!$H$9))*Inputs!$C$52*COS(SQRT((Scenario_Data!W237)^2+Inputs!$C$6^2)/Inputs!$C$52)))-(Inputs!$H$9))*1000/Inputs!$C$12)</x:f>
        <x:v>-187091.6621591744</x:v>
      </x:c>
      <x:c r="O237" t="n">
        <x:f>Scenario_Data!T237</x:f>
        <x:v>57.480000000000004</x:v>
      </x:c>
      <x:c r="P237" t="n">
        <x:f>2*(Scenario_Data!B237*1000)/Inputs!$C$21*1000000</x:f>
        <x:v>2693.0034110464517</x:v>
      </x:c>
      <x:c r="Q237" t="n">
        <x:f>Scenario_Data!U237</x:f>
        <x:v>383.19999999999993</x:v>
      </x:c>
      <x:c r="R237" t="n">
        <x:f>2*(Scenario_Data!C237*1000)/Inputs!$C$21*1000000</x:f>
        <x:v>2468.266629976394</x:v>
      </x:c>
      <x:c r="S237" t="n">
        <x:f>Scenario_Data!V237</x:f>
        <x:v>766.3999999999999</x:v>
      </x:c>
      <x:c r="T237" t="n">
        <x:f>2*(Scenario_Data!D237*1000)/Inputs!$C$21*1000000</x:f>
        <x:v>6141.864049161635</x:v>
      </x:c>
      <x:c r="U237" t="n">
        <x:f>Scenario_Data!W237</x:f>
        <x:v>766.3999999999999</x:v>
      </x:c>
      <x:c r="V237" t="n">
        <x:f>2*(Scenario_Data!E237*1000)/Inputs!$C$21*1000000</x:f>
        <x:v>6136.377853775092</x:v>
      </x:c>
      <x:c r="X237" t="n">
        <x:f>Scenario_Data!T237</x:f>
        <x:v>57.480000000000004</x:v>
      </x:c>
      <x:c r="Y237" t="n">
        <x: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x:f>
        <x:v>2692.8575699494995</x:v>
      </x:c>
      <x:c r="Z237" t="n">
        <x:f>Scenario_Data!U237</x:f>
        <x:v>383.19999999999993</x:v>
      </x:c>
      <x:c r="AA237" t="n">
        <x: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x:f>
        <x:v>2467.706852886448</x:v>
      </x:c>
      <x:c r="AB237" t="n">
        <x:f>Scenario_Data!V237</x:f>
        <x:v>766.3999999999999</x:v>
      </x:c>
      <x:c r="AC237" t="n">
        <x: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x:f>
        <x:v>6142.145466617226</x:v>
      </x:c>
      <x:c r="AD237" t="n">
        <x:f>Scenario_Data!W237</x:f>
        <x:v>766.3999999999999</x:v>
      </x:c>
      <x:c r="AE237" t="n">
        <x: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x:f>
        <x:v>6136.659271230683</x:v>
      </x:c>
      <x:c r="AG237" t="n">
        <x:f>Scenario_Data!T237</x:f>
        <x:v>57.480000000000004</x:v>
      </x:c>
      <x:c r="AH237" t="n">
        <x:f>2*(SQRT((Inputs!$C$52+(Scenario_Data!B237))^2+Inputs!$C$52^2-2*(Inputs!$C$52+(Scenario_Data!B237))*Inputs!$C$52*COS(SQRT((Scenario_Data!T237)^2+Inputs!$C$6^2)/Inputs!$C$52))*1000)/Inputs!$C$21*1000000</x:f>
        <x:v>2733.555257783269</x:v>
      </x:c>
      <x:c r="AI237" t="n">
        <x:f>Scenario_Data!U237</x:f>
        <x:v>383.19999999999993</x:v>
      </x:c>
      <x:c r="AJ237" t="n">
        <x:f>2*(SQRT((Inputs!$C$52+(Scenario_Data!C237))^2+Inputs!$C$52^2-2*(Inputs!$C$52+(Scenario_Data!C237))*Inputs!$C$52*COS(SQRT((Scenario_Data!U237)^2+Inputs!$C$6^2)/Inputs!$C$52))*1000)/Inputs!$C$21*1000000</x:f>
        <x:v>3764.3630333251954</x:v>
      </x:c>
      <x:c r="AK237" t="n">
        <x:f>Scenario_Data!V237</x:f>
        <x:v>766.3999999999999</x:v>
      </x:c>
      <x:c r="AL237" t="n">
        <x:f>2*(SQRT((Inputs!$C$52+(Scenario_Data!D237))^2+Inputs!$C$52^2-2*(Inputs!$C$52+(Scenario_Data!D237))*Inputs!$C$52*COS(SQRT((Scenario_Data!V237)^2+Inputs!$C$6^2)/Inputs!$C$52))*1000)/Inputs!$C$21*1000000</x:f>
        <x:v>8859.888506354831</x:v>
      </x:c>
      <x:c r="AM237" t="n">
        <x:f>Scenario_Data!W237</x:f>
        <x:v>766.3999999999999</x:v>
      </x:c>
      <x:c r="AN237" t="n">
        <x:f>2*(SQRT((Inputs!$C$52+(Scenario_Data!E237))^2+Inputs!$C$52^2-2*(Inputs!$C$52+(Scenario_Data!E237))*Inputs!$C$52*COS(SQRT((Scenario_Data!W237)^2+Inputs!$C$6^2)/Inputs!$C$52))*1000)/Inputs!$C$21*1000000</x:f>
        <x:v>8855.323284209488</x:v>
      </x:c>
      <x:c r="AP237" t="n">
        <x:f>Scenario_Data!T237</x:f>
        <x:v>57.480000000000004</x:v>
      </x:c>
      <x:c r="AQ237" t="n">
        <x: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x:f>
        <x:v>2732.410990361145</x:v>
      </x:c>
      <x:c r="AR237" t="n">
        <x:f>Scenario_Data!U237</x:f>
        <x:v>383.19999999999993</x:v>
      </x:c>
      <x:c r="AS237" t="n">
        <x: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x:f>
        <x:v>3763.561788221822</x:v>
      </x:c>
      <x:c r="AT237" t="n">
        <x:f>Scenario_Data!V237</x:f>
        <x:v>766.3999999999999</x:v>
      </x:c>
      <x:c r="AU237" t="n">
        <x: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x:f>
        <x:v>8859.603644488401</x:v>
      </x:c>
      <x:c r="AV237" t="n">
        <x:f>Scenario_Data!W237</x:f>
        <x:v>766.3999999999999</x:v>
      </x:c>
      <x:c r="AW237" t="n">
        <x: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x:f>
        <x:v>8855.038605032187</x:v>
      </x:c>
    </x:row>
    <x:row r="238">
      <x:c r="A238" t="n">
        <x:f>Chart_Data!K238</x:f>
        <x:v>58</x:v>
      </x:c>
      <x:c r="B238" t="n">
        <x:f>Chart_Data!N238-Chart_Data!L238</x:f>
        <x:v>-33.763162078350604</x:v>
      </x:c>
      <x:c r="D238" t="n">
        <x:f>Chart_Data!G238</x:f>
        <x:v>58</x:v>
      </x:c>
      <x:c r="E238" t="n">
        <x:f>Chart_Data!H238</x:f>
        <x:v>194.52778179385766</x:v>
      </x:c>
      <x:c r="F238" t="n">
        <x:f>Chart_Data!I238</x:f>
        <x:v>194.52778179385766</x:v>
      </x:c>
      <x:c r="G238" t="n">
        <x:f>Chart_Data!J238</x:f>
        <x:v>30.070182113253747</x:v>
      </x:c>
      <x:c r="I238" t="n">
        <x:f>Scenario_Data!A238</x:f>
        <x:v>0.967</x:v>
      </x:c>
      <x:c r="J238" t="n">
        <x:f>Scenario_Data!H238-(((SQRT((Inputs!$C$52+(Inputs!$H$6))^2+Inputs!$C$52^2-2*(Inputs!$C$52+(Inputs!$H$6))*Inputs!$C$52*COS(SQRT((Scenario_Data!T238)^2+Inputs!$C$6^2)/Inputs!$C$52)))-(Inputs!$H$6))*1000/Inputs!$C$12)</x:f>
        <x:v>-25.322987391846254</x:v>
      </x:c>
      <x:c r="K238" t="n">
        <x:f>Scenario_Data!I238-(((SQRT((Inputs!$C$52+(Inputs!$H$7))^2+Inputs!$C$52^2-2*(Inputs!$C$52+(Inputs!$H$7))*Inputs!$C$52*COS(SQRT((Scenario_Data!U238)^2+Inputs!$C$6^2)/Inputs!$C$52)))-(Inputs!$H$7))*1000/Inputs!$C$12)</x:f>
        <x:v>-90930.31855627532</x:v>
      </x:c>
      <x:c r="L238" t="n">
        <x:f>Scenario_Data!J238-(((SQRT((Inputs!$C$52+(Inputs!$H$8))^2+Inputs!$C$52^2-2*(Inputs!$C$52+(Inputs!$H$8))*Inputs!$C$52*COS(SQRT((Scenario_Data!V238)^2+Inputs!$C$6^2)/Inputs!$C$52)))-(Inputs!$H$8))*1000/Inputs!$C$12)</x:f>
        <x:v>-185083.70199145714</x:v>
      </x:c>
      <x:c r="M238" t="n">
        <x:f>Scenario_Data!K238-(((SQRT((Inputs!$C$52+(Inputs!$H$9))^2+Inputs!$C$52^2-2*(Inputs!$C$52+(Inputs!$H$9))*Inputs!$C$52*COS(SQRT((Scenario_Data!W238)^2+Inputs!$C$6^2)/Inputs!$C$52)))-(Inputs!$H$9))*1000/Inputs!$C$12)</x:f>
        <x:v>-189058.9662057004</x:v>
      </x:c>
      <x:c r="O238" t="n">
        <x:f>Scenario_Data!T238</x:f>
        <x:v>58.02000000000001</x:v>
      </x:c>
      <x:c r="P238" t="n">
        <x:f>2*(Scenario_Data!B238*1000)/Inputs!$C$21*1000000</x:f>
        <x:v>2693.465730882396</x:v>
      </x:c>
      <x:c r="Q238" t="n">
        <x:f>Scenario_Data!U238</x:f>
        <x:v>386.80000000000007</x:v>
      </x:c>
      <x:c r="R238" t="n">
        <x:f>2*(Scenario_Data!C238*1000)/Inputs!$C$21*1000000</x:f>
        <x:v>2510.4533150063444</x:v>
      </x:c>
      <x:c r="S238" t="n">
        <x:f>Scenario_Data!V238</x:f>
        <x:v>773.6000000000001</x:v>
      </x:c>
      <x:c r="T238" t="n">
        <x:f>2*(Scenario_Data!D238*1000)/Inputs!$C$21*1000000</x:f>
        <x:v>6253.398709583284</x:v>
      </x:c>
      <x:c r="U238" t="n">
        <x:f>Scenario_Data!W238</x:f>
        <x:v>773.6000000000001</x:v>
      </x:c>
      <x:c r="V238" t="n">
        <x:f>2*(Scenario_Data!E238*1000)/Inputs!$C$21*1000000</x:f>
        <x:v>6249.068313786602</x:v>
      </x:c>
      <x:c r="X238" t="n">
        <x:f>Scenario_Data!T238</x:f>
        <x:v>58.02000000000001</x:v>
      </x:c>
      <x:c r="Y238" t="n">
        <x: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x:f>
        <x:v>2693.24758219057</x:v>
      </x:c>
      <x:c r="Z238" t="n">
        <x:f>Scenario_Data!U238</x:f>
        <x:v>386.80000000000007</x:v>
      </x:c>
      <x:c r="AA238" t="n">
        <x: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x:f>
        <x:v>2510.203743788006</x:v>
      </x:c>
      <x:c r="AB238" t="n">
        <x:f>Scenario_Data!V238</x:f>
        <x:v>773.6000000000001</x:v>
      </x:c>
      <x:c r="AC238" t="n">
        <x: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x:f>
        <x:v>6253.283847964191</x:v>
      </x:c>
      <x:c r="AD238" t="n">
        <x:f>Scenario_Data!W238</x:f>
        <x:v>773.6000000000001</x:v>
      </x:c>
      <x:c r="AE238" t="n">
        <x: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x:f>
        <x:v>6248.95345216751</x:v>
      </x:c>
      <x:c r="AG238" t="n">
        <x:f>Scenario_Data!T238</x:f>
        <x:v>58.02000000000001</x:v>
      </x:c>
      <x:c r="AH238" t="n">
        <x:f>2*(SQRT((Inputs!$C$52+(Scenario_Data!B238))^2+Inputs!$C$52^2-2*(Inputs!$C$52+(Scenario_Data!B238))*Inputs!$C$52*COS(SQRT((Scenario_Data!T238)^2+Inputs!$C$6^2)/Inputs!$C$52))*1000)/Inputs!$C$21*1000000</x:f>
        <x:v>2734.650858075406</x:v>
      </x:c>
      <x:c r="AI238" t="n">
        <x:f>Scenario_Data!U238</x:f>
        <x:v>386.80000000000007</x:v>
      </x:c>
      <x:c r="AJ238" t="n">
        <x:f>2*(SQRT((Inputs!$C$52+(Scenario_Data!C238))^2+Inputs!$C$52^2-2*(Inputs!$C$52+(Scenario_Data!C238))*Inputs!$C$52*COS(SQRT((Scenario_Data!U238)^2+Inputs!$C$6^2)/Inputs!$C$52))*1000)/Inputs!$C$21*1000000</x:f>
        <x:v>3815.557941887678</x:v>
      </x:c>
      <x:c r="AK238" t="n">
        <x:f>Scenario_Data!V238</x:f>
        <x:v>773.6000000000001</x:v>
      </x:c>
      <x:c r="AL238" t="n">
        <x:f>2*(SQRT((Inputs!$C$52+(Scenario_Data!D238))^2+Inputs!$C$52^2-2*(Inputs!$C$52+(Scenario_Data!D238))*Inputs!$C$52*COS(SQRT((Scenario_Data!V238)^2+Inputs!$C$6^2)/Inputs!$C$52))*1000)/Inputs!$C$21*1000000</x:f>
        <x:v>8995.16604452832</x:v>
      </x:c>
      <x:c r="AM238" t="n">
        <x:f>Scenario_Data!W238</x:f>
        <x:v>773.6000000000001</x:v>
      </x:c>
      <x:c r="AN238" t="n">
        <x:f>2*(SQRT((Inputs!$C$52+(Scenario_Data!E238))^2+Inputs!$C$52^2-2*(Inputs!$C$52+(Scenario_Data!E238))*Inputs!$C$52*COS(SQRT((Scenario_Data!W238)^2+Inputs!$C$6^2)/Inputs!$C$52))*1000)/Inputs!$C$21*1000000</x:f>
        <x:v>8991.552054335494</x:v>
      </x:c>
      <x:c r="AP238" t="n">
        <x:f>Scenario_Data!T238</x:f>
        <x:v>58.02000000000001</x:v>
      </x:c>
      <x:c r="AQ238" t="n">
        <x: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x:f>
        <x:v>2733.3737112683802</x:v>
      </x:c>
      <x:c r="AR238" t="n">
        <x:f>Scenario_Data!U238</x:f>
        <x:v>386.80000000000007</x:v>
      </x:c>
      <x:c r="AS238" t="n">
        <x: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x:f>
        <x:v>3814.9348272569846</x:v>
      </x:c>
      <x:c r="AT238" t="n">
        <x:f>Scenario_Data!V238</x:f>
        <x:v>773.6000000000001</x:v>
      </x:c>
      <x:c r="AU238" t="n">
        <x: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x:f>
        <x:v>8994.652022373113</x:v>
      </x:c>
      <x:c r="AV238" t="n">
        <x:f>Scenario_Data!W238</x:f>
        <x:v>773.6000000000001</x:v>
      </x:c>
      <x:c r="AW238" t="n">
        <x: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x:f>
        <x:v>8991.038286933339</x:v>
      </x:c>
    </x:row>
    <x:row r="239">
      <x:c r="A239" t="n">
        <x:f>Chart_Data!K239</x:f>
        <x:v>58.5</x:v>
      </x:c>
      <x:c r="B239" t="n">
        <x:f>Chart_Data!N239-Chart_Data!L239</x:f>
        <x:v>-32.05079854149554</x:v>
      </x:c>
      <x:c r="D239" t="n">
        <x:f>Chart_Data!G239</x:f>
        <x:v>58.5</x:v>
      </x:c>
      <x:c r="E239" t="n">
        <x:f>Chart_Data!H239</x:f>
        <x:v>188.33221875951745</x:v>
      </x:c>
      <x:c r="F239" t="n">
        <x:f>Chart_Data!I239</x:f>
        <x:v>188.33221875951745</x:v>
      </x:c>
      <x:c r="G239" t="n">
        <x:f>Chart_Data!J239</x:f>
        <x:v>28.425297518081656</x:v>
      </x:c>
      <x:c r="I239" t="n">
        <x:f>Scenario_Data!A239</x:f>
        <x:v>0.975</x:v>
      </x:c>
      <x:c r="J239" t="n">
        <x:f>Scenario_Data!H239-(((SQRT((Inputs!$C$52+(Inputs!$H$6))^2+Inputs!$C$52^2-2*(Inputs!$C$52+(Inputs!$H$6))*Inputs!$C$52*COS(SQRT((Scenario_Data!T239)^2+Inputs!$C$6^2)/Inputs!$C$52)))-(Inputs!$H$6))*1000/Inputs!$C$12)</x:f>
        <x:v>-26.091469511469313</x:v>
      </x:c>
      <x:c r="K239" t="n">
        <x:f>Scenario_Data!I239-(((SQRT((Inputs!$C$52+(Inputs!$H$7))^2+Inputs!$C$52^2-2*(Inputs!$C$52+(Inputs!$H$7))*Inputs!$C$52*COS(SQRT((Scenario_Data!U239)^2+Inputs!$C$6^2)/Inputs!$C$52)))-(Inputs!$H$7))*1000/Inputs!$C$12)</x:f>
        <x:v>-92049.59969520803</x:v>
      </x:c>
      <x:c r="L239" t="n">
        <x:f>Scenario_Data!J239-(((SQRT((Inputs!$C$52+(Inputs!$H$8))^2+Inputs!$C$52^2-2*(Inputs!$C$52+(Inputs!$H$8))*Inputs!$C$52*COS(SQRT((Scenario_Data!V239)^2+Inputs!$C$6^2)/Inputs!$C$52)))-(Inputs!$H$8))*1000/Inputs!$C$12)</x:f>
        <x:v>-186817.33873453335</x:v>
      </x:c>
      <x:c r="M239" t="n">
        <x:f>Scenario_Data!K239-(((SQRT((Inputs!$C$52+(Inputs!$H$9))^2+Inputs!$C$52^2-2*(Inputs!$C$52+(Inputs!$H$9))*Inputs!$C$52*COS(SQRT((Scenario_Data!W239)^2+Inputs!$C$6^2)/Inputs!$C$52)))-(Inputs!$H$9))*1000/Inputs!$C$12)</x:f>
        <x:v>-190798.31818207764</x:v>
      </x:c>
      <x:c r="O239" t="n">
        <x:f>Scenario_Data!T239</x:f>
        <x:v>58.5</x:v>
      </x:c>
      <x:c r="P239" t="n">
        <x:f>2*(Scenario_Data!B239*1000)/Inputs!$C$21*1000000</x:f>
        <x:v>2693.8803110250356</x:v>
      </x:c>
      <x:c r="Q239" t="n">
        <x:f>Scenario_Data!U239</x:f>
        <x:v>390</x:v>
      </x:c>
      <x:c r="R239" t="n">
        <x:f>2*(Scenario_Data!C239*1000)/Inputs!$C$21*1000000</x:f>
        <x:v>2548.2837530222323</x:v>
      </x:c>
      <x:c r="S239" t="n">
        <x:f>Scenario_Data!V239</x:f>
        <x:v>780</x:v>
      </x:c>
      <x:c r="T239" t="n">
        <x:f>2*(Scenario_Data!D239*1000)/Inputs!$C$21*1000000</x:f>
        <x:v>6353.416168995152</x:v>
      </x:c>
      <x:c r="U239" t="n">
        <x:f>Scenario_Data!W239</x:f>
        <x:v>780</x:v>
      </x:c>
      <x:c r="V239" t="n">
        <x:f>2*(Scenario_Data!E239*1000)/Inputs!$C$21*1000000</x:f>
        <x:v>6350.12222355507</x:v>
      </x:c>
      <x:c r="X239" t="n">
        <x:f>Scenario_Data!T239</x:f>
        <x:v>58.5</x:v>
      </x:c>
      <x:c r="Y239" t="n">
        <x: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x:f>
        <x:v>2693.6906778520884</x:v>
      </x:c>
      <x:c r="Z239" t="n">
        <x:f>Scenario_Data!U239</x:f>
        <x:v>390</x:v>
      </x:c>
      <x:c r="AA239" t="n">
        <x: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x:f>
        <x:v>2548.3058851808387</x:v>
      </x:c>
      <x:c r="AB239" t="n">
        <x:f>Scenario_Data!V239</x:f>
        <x:v>780</x:v>
      </x:c>
      <x:c r="AC239" t="n">
        <x: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x:f>
        <x:v>6353.093574137483</x:v>
      </x:c>
      <x:c r="AD239" t="n">
        <x:f>Scenario_Data!W239</x:f>
        <x:v>780</x:v>
      </x:c>
      <x:c r="AE239" t="n">
        <x: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x:f>
        <x:v>6349.799628697401</x:v>
      </x:c>
      <x:c r="AG239" t="n">
        <x:f>Scenario_Data!T239</x:f>
        <x:v>58.5</x:v>
      </x:c>
      <x:c r="AH239" t="n">
        <x:f>2*(SQRT((Inputs!$C$52+(Scenario_Data!B239))^2+Inputs!$C$52^2-2*(Inputs!$C$52+(Scenario_Data!B239))*Inputs!$C$52*COS(SQRT((Scenario_Data!T239)^2+Inputs!$C$6^2)/Inputs!$C$52))*1000)/Inputs!$C$21*1000000</x:f>
        <x:v>2735.6330546630293</x:v>
      </x:c>
      <x:c r="AI239" t="n">
        <x:f>Scenario_Data!U239</x:f>
        <x:v>390</x:v>
      </x:c>
      <x:c r="AJ239" t="n">
        <x:f>2*(SQRT((Inputs!$C$52+(Scenario_Data!C239))^2+Inputs!$C$52^2-2*(Inputs!$C$52+(Scenario_Data!C239))*Inputs!$C$52*COS(SQRT((Scenario_Data!U239)^2+Inputs!$C$6^2)/Inputs!$C$52))*1000)/Inputs!$C$21*1000000</x:f>
        <x:v>3861.3869170271155</x:v>
      </x:c>
      <x:c r="AK239" t="n">
        <x:f>Scenario_Data!V239</x:f>
        <x:v>780</x:v>
      </x:c>
      <x:c r="AL239" t="n">
        <x:f>2*(SQRT((Inputs!$C$52+(Scenario_Data!D239))^2+Inputs!$C$52^2-2*(Inputs!$C$52+(Scenario_Data!D239))*Inputs!$C$52*COS(SQRT((Scenario_Data!V239)^2+Inputs!$C$6^2)/Inputs!$C$52))*1000)/Inputs!$C$21*1000000</x:f>
        <x:v>9116.373900783714</x:v>
      </x:c>
      <x:c r="AM239" t="n">
        <x:f>Scenario_Data!W239</x:f>
        <x:v>780</x:v>
      </x:c>
      <x:c r="AN239" t="n">
        <x:f>2*(SQRT((Inputs!$C$52+(Scenario_Data!E239))^2+Inputs!$C$52^2-2*(Inputs!$C$52+(Scenario_Data!E239))*Inputs!$C$52*COS(SQRT((Scenario_Data!W239)^2+Inputs!$C$6^2)/Inputs!$C$52))*1000)/Inputs!$C$21*1000000</x:f>
        <x:v>9113.617881954191</x:v>
      </x:c>
      <x:c r="AP239" t="n">
        <x:f>Scenario_Data!T239</x:f>
        <x:v>58.5</x:v>
      </x:c>
      <x:c r="AQ239" t="n">
        <x: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x:f>
        <x:v>2734.400824079456</x:v>
      </x:c>
      <x:c r="AR239" t="n">
        <x:f>Scenario_Data!U239</x:f>
        <x:v>390</x:v>
      </x:c>
      <x:c r="AS239" t="n">
        <x: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x:f>
        <x:v>3861.0175580175683</x:v>
      </x:c>
      <x:c r="AT239" t="n">
        <x:f>Scenario_Data!V239</x:f>
        <x:v>780</x:v>
      </x:c>
      <x:c r="AU239" t="n">
        <x: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x:f>
        <x:v>9115.781029913565</x:v>
      </x:c>
      <x:c r="AV239" t="n">
        <x:f>Scenario_Data!W239</x:f>
        <x:v>780</x:v>
      </x:c>
      <x:c r="AW239" t="n">
        <x: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x:f>
        <x:v>9113.025230448315</x:v>
      </x:c>
    </x:row>
    <x:row r="240">
      <x:c r="A240" t="n">
        <x:f>Chart_Data!K240</x:f>
        <x:v>59</x:v>
      </x:c>
      <x:c r="B240" t="n">
        <x:f>Chart_Data!N240-Chart_Data!L240</x:f>
        <x:v>-29.468701438210815</x:v>
      </x:c>
      <x:c r="D240" t="n">
        <x:f>Chart_Data!G240</x:f>
        <x:v>59</x:v>
      </x:c>
      <x:c r="E240" t="n">
        <x:f>Chart_Data!H240</x:f>
        <x:v>193.74067782731254</x:v>
      </x:c>
      <x:c r="F240" t="n">
        <x:f>Chart_Data!I240</x:f>
        <x:v>193.74067782731254</x:v>
      </x:c>
      <x:c r="G240" t="n">
        <x:f>Chart_Data!J240</x:f>
        <x:v>25.687015205000044</x:v>
      </x:c>
      <x:c r="I240" t="n">
        <x:f>Scenario_Data!A240</x:f>
        <x:v>0.983</x:v>
      </x:c>
      <x:c r="J240" t="n">
        <x:f>Scenario_Data!H240-(((SQRT((Inputs!$C$52+(Inputs!$H$6))^2+Inputs!$C$52^2-2*(Inputs!$C$52+(Inputs!$H$6))*Inputs!$C$52*COS(SQRT((Scenario_Data!T240)^2+Inputs!$C$6^2)/Inputs!$C$52)))-(Inputs!$H$6))*1000/Inputs!$C$12)</x:f>
        <x:v>-26.877434485224512</x:v>
      </x:c>
      <x:c r="K240" t="n">
        <x:f>Scenario_Data!I240-(((SQRT((Inputs!$C$52+(Inputs!$H$7))^2+Inputs!$C$52^2-2*(Inputs!$C$52+(Inputs!$H$7))*Inputs!$C$52*COS(SQRT((Scenario_Data!U240)^2+Inputs!$C$6^2)/Inputs!$C$52)))-(Inputs!$H$7))*1000/Inputs!$C$12)</x:f>
        <x:v>-93169.45002082353</x:v>
      </x:c>
      <x:c r="L240" t="n">
        <x:f>Scenario_Data!J240-(((SQRT((Inputs!$C$52+(Inputs!$H$8))^2+Inputs!$C$52^2-2*(Inputs!$C$52+(Inputs!$H$8))*Inputs!$C$52*COS(SQRT((Scenario_Data!V240)^2+Inputs!$C$6^2)/Inputs!$C$52)))-(Inputs!$H$8))*1000/Inputs!$C$12)</x:f>
        <x:v>-188542.34891493848</x:v>
      </x:c>
      <x:c r="M240" t="n">
        <x:f>Scenario_Data!K240-(((SQRT((Inputs!$C$52+(Inputs!$H$9))^2+Inputs!$C$52^2-2*(Inputs!$C$52+(Inputs!$H$9))*Inputs!$C$52*COS(SQRT((Scenario_Data!W240)^2+Inputs!$C$6^2)/Inputs!$C$52)))-(Inputs!$H$9))*1000/Inputs!$C$12)</x:f>
        <x:v>-192528.7589427018</x:v>
      </x:c>
      <x:c r="O240" t="n">
        <x:f>Scenario_Data!T240</x:f>
        <x:v>58.980000000000004</x:v>
      </x:c>
      <x:c r="P240" t="n">
        <x:f>2*(Scenario_Data!B240*1000)/Inputs!$C$21*1000000</x:f>
        <x:v>2694.2983068640106</x:v>
      </x:c>
      <x:c r="Q240" t="n">
        <x:f>Scenario_Data!U240</x:f>
        <x:v>393.20000000000005</x:v>
      </x:c>
      <x:c r="R240" t="n">
        <x:f>2*(Scenario_Data!C240*1000)/Inputs!$C$21*1000000</x:f>
        <x:v>2586.425873328675</x:v>
      </x:c>
      <x:c r="S240" t="n">
        <x:f>Scenario_Data!V240</x:f>
        <x:v>786.4000000000001</x:v>
      </x:c>
      <x:c r="T240" t="n">
        <x:f>2*(Scenario_Data!D240*1000)/Inputs!$C$21*1000000</x:f>
        <x:v>6454.257665147801</x:v>
      </x:c>
      <x:c r="U240" t="n">
        <x:f>Scenario_Data!W240</x:f>
        <x:v>786.4000000000001</x:v>
      </x:c>
      <x:c r="V240" t="n">
        <x:f>2*(Scenario_Data!E240*1000)/Inputs!$C$21*1000000</x:f>
        <x:v>6452.008709305157</x:v>
      </x:c>
      <x:c r="X240" t="n">
        <x:f>Scenario_Data!T240</x:f>
        <x:v>58.980000000000004</x:v>
      </x:c>
      <x:c r="Y240" t="n">
        <x: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x:f>
        <x:v>2694.075288283185</x:v>
      </x:c>
      <x:c r="Z240" t="n">
        <x:f>Scenario_Data!U240</x:f>
        <x:v>393.20000000000005</x:v>
      </x:c>
      <x:c r="AA240" t="n">
        <x: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x:f>
        <x:v>2586.4616875610477</x:v>
      </x:c>
      <x:c r="AB240" t="n">
        <x:f>Scenario_Data!V240</x:f>
        <x:v>786.4000000000001</x:v>
      </x:c>
      <x:c r="AC240" t="n">
        <x: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x:f>
        <x:v>6454.213123168584</x:v>
      </x:c>
      <x:c r="AD240" t="n">
        <x:f>Scenario_Data!W240</x:f>
        <x:v>786.4000000000001</x:v>
      </x:c>
      <x:c r="AE240" t="n">
        <x: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x:f>
        <x:v>6451.964167325938</x:v>
      </x:c>
      <x:c r="AG240" t="n">
        <x:f>Scenario_Data!T240</x:f>
        <x:v>58.980000000000004</x:v>
      </x:c>
      <x:c r="AH240" t="n">
        <x:f>2*(SQRT((Inputs!$C$52+(Scenario_Data!B240))^2+Inputs!$C$52^2-2*(Inputs!$C$52+(Scenario_Data!B240))*Inputs!$C$52*COS(SQRT((Scenario_Data!T240)^2+Inputs!$C$6^2)/Inputs!$C$52))*1000)/Inputs!$C$21*1000000</x:f>
        <x:v>2736.623084633149</x:v>
      </x:c>
      <x:c r="AI240" t="n">
        <x:f>Scenario_Data!U240</x:f>
        <x:v>393.20000000000005</x:v>
      </x:c>
      <x:c r="AJ240" t="n">
        <x:f>2*(SQRT((Inputs!$C$52+(Scenario_Data!C240))^2+Inputs!$C$52^2-2*(Inputs!$C$52+(Scenario_Data!C240))*Inputs!$C$52*COS(SQRT((Scenario_Data!U240)^2+Inputs!$C$6^2)/Inputs!$C$52))*1000)/Inputs!$C$21*1000000</x:f>
        <x:v>3907.520143552331</x:v>
      </x:c>
      <x:c r="AK240" t="n">
        <x:f>Scenario_Data!V240</x:f>
        <x:v>786.4000000000001</x:v>
      </x:c>
      <x:c r="AL240" t="n">
        <x:f>2*(SQRT((Inputs!$C$52+(Scenario_Data!D240))^2+Inputs!$C$52^2-2*(Inputs!$C$52+(Scenario_Data!D240))*Inputs!$C$52*COS(SQRT((Scenario_Data!V240)^2+Inputs!$C$6^2)/Inputs!$C$52))*1000)/Inputs!$C$21*1000000</x:f>
        <x:v>9238.487402839648</x:v>
      </x:c>
      <x:c r="AM240" t="n">
        <x:f>Scenario_Data!W240</x:f>
        <x:v>786.4000000000001</x:v>
      </x:c>
      <x:c r="AN240" t="n">
        <x:f>2*(SQRT((Inputs!$C$52+(Scenario_Data!E240))^2+Inputs!$C$52^2-2*(Inputs!$C$52+(Scenario_Data!E240))*Inputs!$C$52*COS(SQRT((Scenario_Data!W240)^2+Inputs!$C$6^2)/Inputs!$C$52))*1000)/Inputs!$C$21*1000000</x:f>
        <x:v>9236.601004281434</x:v>
      </x:c>
      <x:c r="AP240" t="n">
        <x:f>Scenario_Data!T240</x:f>
        <x:v>58.980000000000004</x:v>
      </x:c>
      <x:c r="AQ240" t="n">
        <x: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x:f>
        <x:v>2735.4474657815513</x:v>
      </x:c>
      <x:c r="AR240" t="n">
        <x:f>Scenario_Data!U240</x:f>
        <x:v>393.20000000000005</x:v>
      </x:c>
      <x:c r="AS240" t="n">
        <x: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x:f>
        <x:v>3907.272108473731</x:v>
      </x:c>
      <x:c r="AT240" t="n">
        <x:f>Scenario_Data!V240</x:f>
        <x:v>786.4000000000001</x:v>
      </x:c>
      <x:c r="AU240" t="n">
        <x: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x:f>
        <x:v>9238.143445583908</x:v>
      </x:c>
      <x:c r="AV240" t="n">
        <x:f>Scenario_Data!W240</x:f>
        <x:v>786.4000000000001</x:v>
      </x:c>
      <x:c r="AW240" t="n">
        <x: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x:f>
        <x:v>9236.257132309045</x:v>
      </x:c>
    </x:row>
    <x:row r="241">
      <x:c r="A241" t="n">
        <x:f>Chart_Data!K241</x:f>
        <x:v>59.5</x:v>
      </x:c>
      <x:c r="B241" t="n">
        <x:f>Chart_Data!N241-Chart_Data!L241</x:f>
        <x:v>-49.025439433691346</x:v>
      </x:c>
      <x:c r="D241" t="n">
        <x:f>Chart_Data!G241</x:f>
        <x:v>59.5</x:v>
      </x:c>
      <x:c r="E241" t="n">
        <x:f>Chart_Data!H241</x:f>
        <x:v>168.97901642333537</x:v>
      </x:c>
      <x:c r="F241" t="n">
        <x:f>Chart_Data!I241</x:f>
        <x:v>168.97901642333537</x:v>
      </x:c>
      <x:c r="G241" t="n">
        <x:f>Chart_Data!J241</x:f>
        <x:v>45.681577079364786</x:v>
      </x:c>
      <x:c r="I241" t="n">
        <x:f>Scenario_Data!A241</x:f>
        <x:v>0.992</x:v>
      </x:c>
      <x:c r="J241" t="n">
        <x:f>Scenario_Data!H241-(((SQRT((Inputs!$C$52+(Inputs!$H$6))^2+Inputs!$C$52^2-2*(Inputs!$C$52+(Inputs!$H$6))*Inputs!$C$52*COS(SQRT((Scenario_Data!T241)^2+Inputs!$C$6^2)/Inputs!$C$52)))-(Inputs!$H$6))*1000/Inputs!$C$12)</x:f>
        <x:v>-27.782863149590867</x:v>
      </x:c>
      <x:c r="K241" t="n">
        <x:f>Scenario_Data!I241-(((SQRT((Inputs!$C$52+(Inputs!$H$7))^2+Inputs!$C$52^2-2*(Inputs!$C$52+(Inputs!$H$7))*Inputs!$C$52*COS(SQRT((Scenario_Data!U241)^2+Inputs!$C$6^2)/Inputs!$C$52)))-(Inputs!$H$7))*1000/Inputs!$C$12)</x:f>
        <x:v>-94429.87293064826</x:v>
      </x:c>
      <x:c r="L241" t="n">
        <x:f>Scenario_Data!J241-(((SQRT((Inputs!$C$52+(Inputs!$H$8))^2+Inputs!$C$52^2-2*(Inputs!$C$52+(Inputs!$H$8))*Inputs!$C$52*COS(SQRT((Scenario_Data!V241)^2+Inputs!$C$6^2)/Inputs!$C$52)))-(Inputs!$H$8))*1000/Inputs!$C$12)</x:f>
        <x:v>-190472.5531477006</x:v>
      </x:c>
      <x:c r="M241" t="n">
        <x:f>Scenario_Data!K241-(((SQRT((Inputs!$C$52+(Inputs!$H$9))^2+Inputs!$C$52^2-2*(Inputs!$C$52+(Inputs!$H$9))*Inputs!$C$52*COS(SQRT((Scenario_Data!W241)^2+Inputs!$C$6^2)/Inputs!$C$52)))-(Inputs!$H$9))*1000/Inputs!$C$12)</x:f>
        <x:v>-194464.73837065237</x:v>
      </x:c>
      <x:c r="O241" t="n">
        <x:f>Scenario_Data!T241</x:f>
        <x:v>59.519999999999996</x:v>
      </x:c>
      <x:c r="P241" t="n">
        <x:f>2*(Scenario_Data!B241*1000)/Inputs!$C$21*1000000</x:f>
        <x:v>2694.7726350073826</x:v>
      </x:c>
      <x:c r="Q241" t="n">
        <x:f>Scenario_Data!U241</x:f>
        <x:v>396.79999999999995</x:v>
      </x:c>
      <x:c r="R241" t="n">
        <x:f>2*(Scenario_Data!C241*1000)/Inputs!$C$21*1000000</x:f>
        <x:v>2629.708316411348</x:v>
      </x:c>
      <x:c r="S241" t="n">
        <x:f>Scenario_Data!V241</x:f>
        <x:v>793.5999999999999</x:v>
      </x:c>
      <x:c r="T241" t="n">
        <x:f>2*(Scenario_Data!D241*1000)/Inputs!$C$21*1000000</x:f>
        <x:v>6568.689329736239</x:v>
      </x:c>
      <x:c r="U241" t="n">
        <x:f>Scenario_Data!W241</x:f>
        <x:v>793.5999999999999</x:v>
      </x:c>
      <x:c r="V241" t="n">
        <x:f>2*(Scenario_Data!E241*1000)/Inputs!$C$21*1000000</x:f>
        <x:v>6567.626194252023</x:v>
      </x:c>
      <x:c r="X241" t="n">
        <x:f>Scenario_Data!T241</x:f>
        <x:v>59.519999999999996</x:v>
      </x:c>
      <x:c r="Y241" t="n">
        <x: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x:f>
        <x:v>2694.626380340303</x:v>
      </x:c>
      <x:c r="Z241" t="n">
        <x:f>Scenario_Data!U241</x:f>
        <x:v>396.79999999999995</x:v>
      </x:c>
      <x:c r="AA241" t="n">
        <x: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x:f>
        <x:v>2629.588502569662</x:v>
      </x:c>
      <x:c r="AB241" t="n">
        <x:f>Scenario_Data!V241</x:f>
        <x:v>793.5999999999999</x:v>
      </x:c>
      <x:c r="AC241" t="n">
        <x: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x:f>
        <x:v>6568.286774941212</x:v>
      </x:c>
      <x:c r="AD241" t="n">
        <x:f>Scenario_Data!W241</x:f>
        <x:v>793.5999999999999</x:v>
      </x:c>
      <x:c r="AE241" t="n">
        <x: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x:f>
        <x:v>6567.223639456996</x:v>
      </x:c>
      <x:c r="AG241" t="n">
        <x:f>Scenario_Data!T241</x:f>
        <x:v>59.519999999999996</x:v>
      </x:c>
      <x:c r="AH241" t="n">
        <x:f>2*(SQRT((Inputs!$C$52+(Scenario_Data!B241))^2+Inputs!$C$52^2-2*(Inputs!$C$52+(Scenario_Data!B241))*Inputs!$C$52*COS(SQRT((Scenario_Data!T241)^2+Inputs!$C$6^2)/Inputs!$C$52))*1000)/Inputs!$C$21*1000000</x:f>
        <x:v>2737.746224109234</x:v>
      </x:c>
      <x:c r="AI241" t="n">
        <x:f>Scenario_Data!U241</x:f>
        <x:v>396.79999999999995</x:v>
      </x:c>
      <x:c r="AJ241" t="n">
        <x:f>2*(SQRT((Inputs!$C$52+(Scenario_Data!C241))^2+Inputs!$C$52^2-2*(Inputs!$C$52+(Scenario_Data!C241))*Inputs!$C$52*COS(SQRT((Scenario_Data!U241)^2+Inputs!$C$6^2)/Inputs!$C$52))*1000)/Inputs!$C$21*1000000</x:f>
        <x:v>3959.784666367032</x:v>
      </x:c>
      <x:c r="AK241" t="n">
        <x:f>Scenario_Data!V241</x:f>
        <x:v>793.5999999999999</x:v>
      </x:c>
      <x:c r="AL241" t="n">
        <x:f>2*(SQRT((Inputs!$C$52+(Scenario_Data!D241))^2+Inputs!$C$52^2-2*(Inputs!$C$52+(Scenario_Data!D241))*Inputs!$C$52*COS(SQRT((Scenario_Data!V241)^2+Inputs!$C$6^2)/Inputs!$C$52))*1000)/Inputs!$C$21*1000000</x:f>
        <x:v>9376.948806056138</x:v>
      </x:c>
      <x:c r="AM241" t="n">
        <x:f>Scenario_Data!W241</x:f>
        <x:v>793.5999999999999</x:v>
      </x:c>
      <x:c r="AN241" t="n">
        <x:f>2*(SQRT((Inputs!$C$52+(Scenario_Data!E241))^2+Inputs!$C$52^2-2*(Inputs!$C$52+(Scenario_Data!E241))*Inputs!$C$52*COS(SQRT((Scenario_Data!W241)^2+Inputs!$C$6^2)/Inputs!$C$52))*1000)/Inputs!$C$21*1000000</x:f>
        <x:v>9376.054593495282</x:v>
      </x:c>
      <x:c r="AP241" t="n">
        <x:f>Scenario_Data!T241</x:f>
        <x:v>59.519999999999996</x:v>
      </x:c>
      <x:c r="AQ241" t="n">
        <x: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x:f>
        <x:v>2736.577363887402</x:v>
      </x:c>
      <x:c r="AR241" t="n">
        <x:f>Scenario_Data!U241</x:f>
        <x:v>396.79999999999995</x:v>
      </x:c>
      <x:c r="AS241" t="n">
        <x: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x:f>
        <x:v>3959.1875965265394</x:v>
      </x:c>
      <x:c r="AT241" t="n">
        <x:f>Scenario_Data!V241</x:f>
        <x:v>793.5999999999999</x:v>
      </x:c>
      <x:c r="AU241" t="n">
        <x: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x:f>
        <x:v>9376.367521334943</x:v>
      </x:c>
      <x:c r="AV241" t="n">
        <x:f>Scenario_Data!W241</x:f>
        <x:v>793.5999999999999</x:v>
      </x:c>
      <x:c r="AW241" t="n">
        <x: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x:f>
        <x:v>9375.473375519701</x:v>
      </x:c>
    </x:row>
    <x:row r="242">
      <x:c r="A242" t="n">
        <x:f>Chart_Data!K242</x:f>
        <x:v>60</x:v>
      </x:c>
      <x:c r="B242" t="n">
        <x:f>Chart_Data!N242-Chart_Data!L242</x:f>
        <x:v>-35.49215422910294</x:v>
      </x:c>
      <x:c r="D242" t="n">
        <x:f>Chart_Data!G242</x:f>
        <x:v>60</x:v>
      </x:c>
      <x:c r="E242" t="n">
        <x:f>Chart_Data!H242</x:f>
        <x:v>179.34901119414707</x:v>
      </x:c>
      <x:c r="F242" t="n">
        <x:f>Chart_Data!I242</x:f>
        <x:v>179.34901119414707</x:v>
      </x:c>
      <x:c r="G242" t="n">
        <x:f>Chart_Data!J242</x:f>
        <x:v>31.89413090916895</x:v>
      </x:c>
      <x:c r="I242" t="n">
        <x:f>Scenario_Data!A242</x:f>
        <x:v>1</x:v>
      </x:c>
      <x:c r="J242" t="n">
        <x:f>Scenario_Data!H242-(((SQRT((Inputs!$C$52+(Inputs!$H$6))^2+Inputs!$C$52^2-2*(Inputs!$C$52+(Inputs!$H$6))*Inputs!$C$52*COS(SQRT((Scenario_Data!T242)^2+Inputs!$C$6^2)/Inputs!$C$52)))-(Inputs!$H$6))*1000/Inputs!$C$12)</x:f>
        <x:v>-28.60683575205121</x:v>
      </x:c>
      <x:c r="K242" t="n">
        <x:f>Scenario_Data!I242-(((SQRT((Inputs!$C$52+(Inputs!$H$7))^2+Inputs!$C$52^2-2*(Inputs!$C$52+(Inputs!$H$7))*Inputs!$C$52*COS(SQRT((Scenario_Data!U242)^2+Inputs!$C$6^2)/Inputs!$C$52)))-(Inputs!$H$7))*1000/Inputs!$C$12)</x:f>
        <x:v>-95550.6968246352</x:v>
      </x:c>
      <x:c r="L242" t="n">
        <x:f>Scenario_Data!J242-(((SQRT((Inputs!$C$52+(Inputs!$H$8))^2+Inputs!$C$52^2-2*(Inputs!$C$52+(Inputs!$H$8))*Inputs!$C$52*COS(SQRT((Scenario_Data!V242)^2+Inputs!$C$6^2)/Inputs!$C$52)))-(Inputs!$H$8))*1000/Inputs!$C$12)</x:f>
        <x:v>-192178.91313344726</x:v>
      </x:c>
      <x:c r="M242" t="n">
        <x:f>Scenario_Data!K242-(((SQRT((Inputs!$C$52+(Inputs!$H$9))^2+Inputs!$C$52^2-2*(Inputs!$C$52+(Inputs!$H$9))*Inputs!$C$52*COS(SQRT((Scenario_Data!W242)^2+Inputs!$C$6^2)/Inputs!$C$52)))-(Inputs!$H$9))*1000/Inputs!$C$12)</x:f>
        <x:v>-196175.94007289349</x:v>
      </x:c>
      <x:c r="O242" t="n">
        <x:f>Scenario_Data!T242</x:f>
        <x:v>60</x:v>
      </x:c>
      <x:c r="P242" t="n">
        <x:f>2*(Scenario_Data!B242*1000)/Inputs!$C$21*1000000</x:f>
        <x:v>2695.1978892010684</x:v>
      </x:c>
      <x:c r="Q242" t="n">
        <x:f>Scenario_Data!U242</x:f>
        <x:v>400</x:v>
      </x:c>
      <x:c r="R242" t="n">
        <x:f>2*(Scenario_Data!C242*1000)/Inputs!$C$21*1000000</x:f>
        <x:v>2668.5127615852166</x:v>
      </x:c>
      <x:c r="S242" t="n">
        <x:f>Scenario_Data!V242</x:f>
        <x:v>800</x:v>
      </x:c>
      <x:c r="T242" t="n">
        <x:f>2*(Scenario_Data!D242*1000)/Inputs!$C$21*1000000</x:f>
        <x:v>6671.281903963041</x:v>
      </x:c>
      <x:c r="U242" t="n">
        <x:f>Scenario_Data!W242</x:f>
        <x:v>800</x:v>
      </x:c>
      <x:c r="V242" t="n">
        <x:f>2*(Scenario_Data!E242*1000)/Inputs!$C$21*1000000</x:f>
        <x:v>6671.281903963041</x:v>
      </x:c>
      <x:c r="X242" t="n">
        <x:f>Scenario_Data!T242</x:f>
        <x:v>60</x:v>
      </x:c>
      <x:c r="Y242" t="n">
        <x: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x:f>
        <x:v>2694.9851144626914</x:v>
      </x:c>
      <x:c r="Z242" t="n">
        <x:f>Scenario_Data!U242</x:f>
        <x:v>400</x:v>
      </x:c>
      <x:c r="AA242" t="n">
        <x: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x:f>
        <x:v>2668.3506217177696</x:v>
      </x:c>
      <x:c r="AB242" t="n">
        <x:f>Scenario_Data!V242</x:f>
        <x:v>800</x:v>
      </x:c>
      <x:c r="AC242" t="n">
        <x: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x:f>
        <x:v>6670.970351393162</x:v>
      </x:c>
      <x:c r="AD242" t="n">
        <x:f>Scenario_Data!W242</x:f>
        <x:v>800</x:v>
      </x:c>
      <x:c r="AE242" t="n">
        <x: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x:f>
        <x:v>6670.970351393162</x:v>
      </x:c>
      <x:c r="AG242" t="n">
        <x:f>Scenario_Data!T242</x:f>
        <x:v>60</x:v>
      </x:c>
      <x:c r="AH242" t="n">
        <x:f>2*(SQRT((Inputs!$C$52+(Scenario_Data!B242))^2+Inputs!$C$52^2-2*(Inputs!$C$52+(Scenario_Data!B242))*Inputs!$C$52*COS(SQRT((Scenario_Data!T242)^2+Inputs!$C$6^2)/Inputs!$C$52))*1000)/Inputs!$C$21*1000000</x:f>
        <x:v>2738.7528797589603</x:v>
      </x:c>
      <x:c r="AI242" t="n">
        <x:f>Scenario_Data!U242</x:f>
        <x:v>400</x:v>
      </x:c>
      <x:c r="AJ242" t="n">
        <x:f>2*(SQRT((Inputs!$C$52+(Scenario_Data!C242))^2+Inputs!$C$52^2-2*(Inputs!$C$52+(Scenario_Data!C242))*Inputs!$C$52*COS(SQRT((Scenario_Data!U242)^2+Inputs!$C$6^2)/Inputs!$C$52))*1000)/Inputs!$C$21*1000000</x:f>
        <x:v>4006.5669904921833</x:v>
      </x:c>
      <x:c r="AK242" t="n">
        <x:f>Scenario_Data!V242</x:f>
        <x:v>800</x:v>
      </x:c>
      <x:c r="AL242" t="n">
        <x:f>2*(SQRT((Inputs!$C$52+(Scenario_Data!D242))^2+Inputs!$C$52^2-2*(Inputs!$C$52+(Scenario_Data!D242))*Inputs!$C$52*COS(SQRT((Scenario_Data!V242)^2+Inputs!$C$6^2)/Inputs!$C$52))*1000)/Inputs!$C$21*1000000</x:f>
        <x:v>9500.98992327336</x:v>
      </x:c>
      <x:c r="AM242" t="n">
        <x:f>Scenario_Data!W242</x:f>
        <x:v>800</x:v>
      </x:c>
      <x:c r="AN242" t="n">
        <x:f>2*(SQRT((Inputs!$C$52+(Scenario_Data!E242))^2+Inputs!$C$52^2-2*(Inputs!$C$52+(Scenario_Data!E242))*Inputs!$C$52*COS(SQRT((Scenario_Data!W242)^2+Inputs!$C$6^2)/Inputs!$C$52))*1000)/Inputs!$C$21*1000000</x:f>
        <x:v>9500.98992327336</x:v>
      </x:c>
      <x:c r="AP242" t="n">
        <x:f>Scenario_Data!T242</x:f>
        <x:v>60</x:v>
      </x:c>
      <x:c r="AQ242" t="n">
        <x: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x:f>
        <x:v>2737.580395373951</x:v>
      </x:c>
      <x:c r="AR242" t="n">
        <x:f>Scenario_Data!U242</x:f>
        <x:v>400</x:v>
      </x:c>
      <x:c r="AS242" t="n">
        <x: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x:f>
        <x:v>4005.8185439109393</x:v>
      </x:c>
      <x:c r="AT242" t="n">
        <x:f>Scenario_Data!V242</x:f>
        <x:v>800</x:v>
      </x:c>
      <x:c r="AU242" t="n">
        <x: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x:f>
        <x:v>9500.459003101661</x:v>
      </x:c>
      <x:c r="AV242" t="n">
        <x:f>Scenario_Data!W242</x:f>
        <x:v>800</x:v>
      </x:c>
      <x:c r="AW242" t="n">
        <x: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x:f>
        <x:v>9500.459003101661</x:v>
      </x:c>
    </x:row>
    <x:row r="245">
      <x:c r="A245" t="n">
        <x:f>I2</x:f>
        <x:v>-1</x:v>
      </x:c>
      <x:c r="B245" t="n">
        <x:f>J2</x:f>
        <x:v>-28.60683575205121</x:v>
      </x:c>
      <x:c r="C245" t="n">
        <x:f>K2</x:f>
        <x:v>-95550.6968246352</x:v>
      </x:c>
      <x:c r="D245" t="n">
        <x:f>L2</x:f>
        <x:v>-192178.91313344726</x:v>
      </x:c>
      <x:c r="E245" t="n">
        <x:f>M2</x:f>
        <x:v>-196175.94007289349</x:v>
      </x:c>
    </x:row>
    <x:row r="246">
      <x:c r="A246" t="n">
        <x:f>I3</x:f>
        <x:v>-0.992</x:v>
      </x:c>
      <x:c r="B246" t="n">
        <x:f>J3</x:f>
        <x:v>-27.782863149590867</x:v>
      </x:c>
      <x:c r="C246" t="n">
        <x:f>K3</x:f>
        <x:v>-94429.87293064831</x:v>
      </x:c>
      <x:c r="D246" t="n">
        <x:f>L3</x:f>
        <x:v>-190472.55314770044</x:v>
      </x:c>
      <x:c r="E246" t="n">
        <x:f>M3</x:f>
        <x:v>-194464.73837065272</x:v>
      </x:c>
    </x:row>
    <x:row r="247">
      <x:c r="A247" t="n">
        <x:f>I4</x:f>
        <x:v>-0.983</x:v>
      </x:c>
      <x:c r="B247" t="n">
        <x:f>J4</x:f>
        <x:v>-26.877434485224512</x:v>
      </x:c>
      <x:c r="C247" t="n">
        <x:f>K4</x:f>
        <x:v>-93169.45002082347</x:v>
      </x:c>
      <x:c r="D247" t="n">
        <x:f>L4</x:f>
        <x:v>-188542.34891493866</x:v>
      </x:c>
      <x:c r="E247" t="n">
        <x:f>M4</x:f>
        <x:v>-192528.7589427015</x:v>
      </x:c>
    </x:row>
    <x:row r="248">
      <x:c r="A248" t="n">
        <x:f>I5</x:f>
        <x:v>-0.975</x:v>
      </x:c>
      <x:c r="B248" t="n">
        <x:f>J5</x:f>
        <x:v>-26.091469511469313</x:v>
      </x:c>
      <x:c r="C248" t="n">
        <x:f>K5</x:f>
        <x:v>-92049.59969520803</x:v>
      </x:c>
      <x:c r="D248" t="n">
        <x:f>L5</x:f>
        <x:v>-186817.33873453335</x:v>
      </x:c>
      <x:c r="E248" t="n">
        <x:f>M5</x:f>
        <x:v>-190798.31818207764</x:v>
      </x:c>
    </x:row>
    <x:row r="249">
      <x:c r="A249" t="n">
        <x:f>I6</x:f>
        <x:v>-0.967</x:v>
      </x:c>
      <x:c r="B249" t="n">
        <x:f>J6</x:f>
        <x:v>-25.322987391846254</x:v>
      </x:c>
      <x:c r="C249" t="n">
        <x:f>K6</x:f>
        <x:v>-90930.31855627525</x:v>
      </x:c>
      <x:c r="D249" t="n">
        <x:f>L6</x:f>
        <x:v>-185083.7019914568</x:v>
      </x:c>
      <x:c r="E249" t="n">
        <x:f>M6</x:f>
        <x:v>-189058.96620570074</x:v>
      </x:c>
    </x:row>
    <x:row r="250">
      <x:c r="A250" t="n">
        <x:f>I7</x:f>
        <x:v>-0.958</x:v>
      </x:c>
      <x:c r="B250" t="n">
        <x:f>J7</x:f>
        <x:v>-24.47902381513677</x:v>
      </x:c>
      <x:c r="C250" t="n">
        <x:f>K7</x:f>
        <x:v>-89671.89852079703</x:v>
      </x:c>
      <x:c r="D250" t="n">
        <x:f>L7</x:f>
        <x:v>-183123.17397563407</x:v>
      </x:c>
      <x:c r="E250" t="n">
        <x:f>M7</x:f>
        <x:v>-187091.66215917454</x:v>
      </x:c>
    </x:row>
    <x:row r="251">
      <x:c r="A251" t="n">
        <x:f>I8</x:f>
        <x:v>-0.95</x:v>
      </x:c>
      <x:c r="B251" t="n">
        <x:f>J8</x:f>
        <x:v>-23.746844660086936</x:v>
      </x:c>
      <x:c r="C251" t="n">
        <x:f>K8</x:f>
        <x:v>-88554.07088364325</x:v>
      </x:c>
      <x:c r="D251" t="n">
        <x:f>L8</x:f>
        <x:v>-181371.54200338566</x:v>
      </x:c>
      <x:c r="E251" t="n">
        <x:f>M8</x:f>
        <x:v>-185333.69359371395</x:v>
      </x:c>
    </x:row>
    <x:row r="252">
      <x:c r="A252" t="n">
        <x:f>I9</x:f>
        <x:v>-0.942</x:v>
      </x:c>
      <x:c r="B252" t="n">
        <x:f>J9</x:f>
        <x:v>-23.03135332022248</x:v>
      </x:c>
      <x:c r="C252" t="n">
        <x:f>K9</x:f>
        <x:v>-87437.04511505857</x:v>
      </x:c>
      <x:c r="D252" t="n">
        <x:f>L9</x:f>
        <x:v>-179611.60663962277</x:v>
      </x:c>
      <x:c r="E252" t="n">
        <x:f>M9</x:f>
        <x:v>-183567.12131353328</x:v>
      </x:c>
    </x:row>
    <x:row r="253">
      <x:c r="A253" t="n">
        <x:f>I10</x:f>
        <x:v>-0.933</x:v>
      </x:c>
      <x:c r="B253" t="n">
        <x:f>J10</x:f>
        <x:v>-22.246059825895372</x:v>
      </x:c>
      <x:c r="C253" t="n">
        <x:f>K10</x:f>
        <x:v>-86181.44608297395</x:v>
      </x:c>
      <x:c r="D253" t="n">
        <x:f>L10</x:f>
        <x:v>-177621.89133436125</x:v>
      </x:c>
      <x:c r="E253" t="n">
        <x:f>M10</x:f>
        <x:v>-181569.57405040326</x:v>
      </x:c>
    </x:row>
    <x:row r="254">
      <x:c r="A254" t="n">
        <x:f>I11</x:f>
        <x:v>-0.925</x:v>
      </x:c>
      <x:c r="B254" t="n">
        <x:f>J11</x:f>
        <x:v>-21.565197447271657</x:v>
      </x:c>
      <x:c r="C254" t="n">
        <x:f>K11</x:f>
        <x:v>-85066.38324979196</x:v>
      </x:c>
      <x:c r="D254" t="n">
        <x:f>L11</x:f>
        <x:v>-175844.68076899392</x:v>
      </x:c>
      <x:c r="E254" t="n">
        <x:f>M11</x:f>
        <x:v>-179785.07110087413</x:v>
      </x:c>
    </x:row>
    <x:row r="255">
      <x:c r="A255" t="n">
        <x:f>I12</x:f>
        <x:v>-0.917</x:v>
      </x:c>
      <x:c r="B255" t="n">
        <x:f>J12</x:f>
        <x:v>-20.90024248669988</x:v>
      </x:c>
      <x:c r="C255" t="n">
        <x:f>K12</x:f>
        <x:v>-83952.36924737085</x:v>
      </x:c>
      <x:c r="D255" t="n">
        <x:f>L12</x:f>
        <x:v>-174059.5218997983</x:v>
      </x:c>
      <x:c r="E255" t="n">
        <x:f>M12</x:f>
        <x:v>-177992.30309147586</x:v>
      </x:c>
    </x:row>
    <x:row r="256">
      <x:c r="A256" t="n">
        <x:f>I13</x:f>
        <x:v>-0.908</x:v>
      </x:c>
      <x:c r="B256" t="n">
        <x:f>J13</x:f>
        <x:v>-20.17087555141279</x:v>
      </x:c>
      <x:c r="C256" t="n">
        <x:f>K13</x:f>
        <x:v>-82700.4595564772</x:v>
      </x:c>
      <x:c r="D256" t="n">
        <x:f>L13</x:f>
        <x:v>-172041.86803726538</x:v>
      </x:c>
      <x:c r="E256" t="n">
        <x:f>M13</x:f>
        <x:v>-175965.70357183547</x:v>
      </x:c>
    </x:row>
    <x:row r="257">
      <x:c r="A257" t="n">
        <x:f>I14</x:f>
        <x:v>-0.9</x:v>
      </x:c>
      <x:c r="B257" t="n">
        <x:f>J14</x:f>
        <x:v>-19.538907124212074</x:v>
      </x:c>
      <x:c r="C257" t="n">
        <x:f>K14</x:f>
        <x:v>-81588.94913418307</x:v>
      </x:c>
      <x:c r="D257" t="n">
        <x:f>L14</x:f>
        <x:v>-170240.22471774745</x:v>
      </x:c>
      <x:c r="E257" t="n">
        <x:f>M14</x:f>
        <x:v>-174155.75991096892</x:v>
      </x:c>
    </x:row>
    <x:row r="258">
      <x:c r="A258" t="n">
        <x:f>I15</x:f>
        <x:v>-0.892</x:v>
      </x:c>
      <x:c r="B258" t="n">
        <x:f>J15</x:f>
        <x:v>-18.922080788589938</x:v>
      </x:c>
      <x:c r="C258" t="n">
        <x:f>K15</x:f>
        <x:v>-80478.7496070101</x:v>
      </x:c>
      <x:c r="D258" t="n">
        <x:f>L15</x:f>
        <x:v>-168431.02288308332</x:v>
      </x:c>
      <x:c r="E258" t="n">
        <x:f>M15</x:f>
        <x:v>-172337.9237806311</x:v>
      </x:c>
    </x:row>
    <x:row r="259">
      <x:c r="A259" t="n">
        <x:f>I16</x:f>
        <x:v>-0.883</x:v>
      </x:c>
      <x:c r="B259" t="n">
        <x:f>J16</x:f>
        <x:v>-18.245949870930872</x:v>
      </x:c>
      <x:c r="C259" t="n">
        <x:f>K16</x:f>
        <x:v>-79231.45069310423</x:v>
      </x:c>
      <x:c r="D259" t="n">
        <x:f>L16</x:f>
        <x:v>-166386.80122569614</x:v>
      </x:c>
      <x:c r="E259" t="n">
        <x:f>M16</x:f>
        <x:v>-170283.58230501943</x:v>
      </x:c>
    </x:row>
    <x:row r="260">
      <x:c r="A260" t="n">
        <x:f>I17</x:f>
        <x:v>-0.875</x:v>
      </x:c>
      <x:c r="B260" t="n">
        <x:f>J17</x:f>
        <x:v>-17.660500113955095</x:v>
      </x:c>
      <x:c r="C260" t="n">
        <x:f>K17</x:f>
        <x:v>-78124.32838336958</x:v>
      </x:c>
      <x:c r="D260" t="n">
        <x:f>L17</x:f>
        <x:v>-164561.98259931064</x:v>
      </x:c>
      <x:c r="E260" t="n">
        <x:f>M17</x:f>
        <x:v>-168449.4008262297</x:v>
      </x:c>
    </x:row>
    <x:row r="261">
      <x:c r="A261" t="n">
        <x:f>I18</x:f>
        <x:v>-0.867</x:v>
      </x:c>
      <x:c r="B261" t="n">
        <x:f>J18</x:f>
        <x:v>-17.089442616799715</x:v>
      </x:c>
      <x:c r="C261" t="n">
        <x:f>K18</x:f>
        <x:v>-77018.79498984448</x:v>
      </x:c>
      <x:c r="D261" t="n">
        <x:f>L18</x:f>
        <x:v>-162730.03298707734</x:v>
      </x:c>
      <x:c r="E261" t="n">
        <x:f>M18</x:f>
        <x:v>-166607.7364499004</x:v>
      </x:c>
    </x:row>
    <x:row r="262">
      <x:c r="A262" t="n">
        <x:f>I19</x:f>
        <x:v>-0.858</x:v>
      </x:c>
      <x:c r="B262" t="n">
        <x:f>J19</x:f>
        <x:v>-16.463911639531943</x:v>
      </x:c>
      <x:c r="C262" t="n">
        <x:f>K19</x:f>
        <x:v>-75777.08439083702</x:v>
      </x:c>
      <x:c r="D262" t="n">
        <x:f>L19</x:f>
        <x:v>-160660.7470162979</x:v>
      </x:c>
      <x:c r="E262" t="n">
        <x:f>M19</x:f>
        <x:v>-164527.09337077424</x:v>
      </x:c>
    </x:row>
    <x:row r="263">
      <x:c r="A263" t="n">
        <x:f>I20</x:f>
        <x:v>-0.85</x:v>
      </x:c>
      <x:c r="B263" t="n">
        <x:f>J20</x:f>
        <x:v>-15.922654129073635</x:v>
      </x:c>
      <x:c r="C263" t="n">
        <x:f>K20</x:f>
        <x:v>-74675.23669418608</x:v>
      </x:c>
      <x:c r="D263" t="n">
        <x:f>L20</x:f>
        <x:v>-158814.13192459266</x:v>
      </x:c>
      <x:c r="E263" t="n">
        <x:f>M20</x:f>
        <x:v>-162669.9960054315</x:v>
      </x:c>
    </x:row>
    <x:row r="264">
      <x:c r="A264" t="n">
        <x:f>I21</x:f>
        <x:v>-0.842</x:v>
      </x:c>
      <x:c r="B264" t="n">
        <x:f>J21</x:f>
        <x:v>-15.39505495210642</x:v>
      </x:c>
      <x:c r="C264" t="n">
        <x:f>K21</x:f>
        <x:v>-73575.27277737434</x:v>
      </x:c>
      <x:c r="D264" t="n">
        <x:f>L21</x:f>
        <x:v>-156960.85443111646</x:v>
      </x:c>
      <x:c r="E264" t="n">
        <x:f>M21</x:f>
        <x:v>-160805.86562780707</x:v>
      </x:c>
    </x:row>
    <x:row r="265">
      <x:c r="A265" t="n">
        <x:f>I22</x:f>
        <x:v>-0.833</x:v>
      </x:c>
      <x:c r="B265" t="n">
        <x:f>J22</x:f>
        <x:v>-14.817543761564139</x:v>
      </x:c>
      <x:c r="C265" t="n">
        <x:f>K22</x:f>
        <x:v>-72340.18724720042</x:v>
      </x:c>
      <x:c r="D265" t="n">
        <x:f>L22</x:f>
        <x:v>-154868.15200145353</x:v>
      </x:c>
      <x:c r="E265" t="n">
        <x:f>M22</x:f>
        <x:v>-158700.50306586787</x:v>
      </x:c>
    </x:row>
    <x:row r="266">
      <x:c r="A266" t="n">
        <x:f>I23</x:f>
        <x:v>-0.825</x:v>
      </x:c>
      <x:c r="B266" t="n">
        <x:f>J23</x:f>
        <x:v>-14.318202220481453</x:v>
      </x:c>
      <x:c r="C266" t="n">
        <x:f>K23</x:f>
        <x:v>-71244.55426280205</x:v>
      </x:c>
      <x:c r="D266" t="n">
        <x:f>L23</x:f>
        <x:v>-153001.25134490427</x:v>
      </x:c>
      <x:c r="E266" t="n">
        <x:f>M23</x:f>
        <x:v>-156821.9415170548</x:v>
      </x:c>
    </x:row>
    <x:row r="267">
      <x:c r="A267" t="n">
        <x:f>I24</x:f>
        <x:v>-0.817</x:v>
      </x:c>
      <x:c r="B267" t="n">
        <x:f>J24</x:f>
        <x:v>-13.831801402375277</x:v>
      </x:c>
      <x:c r="C267" t="n">
        <x:f>K24</x:f>
        <x:v>-70151.11767949266</x:v>
      </x:c>
      <x:c r="D267" t="n">
        <x:f>L24</x:f>
        <x:v>-151128.20153368788</x:v>
      </x:c>
      <x:c r="E267" t="n">
        <x:f>M24</x:f>
        <x:v>-154936.84079418762</x:v>
      </x:c>
    </x:row>
    <x:row r="268">
      <x:c r="A268" t="n">
        <x:f>I25</x:f>
        <x:v>-0.808</x:v>
      </x:c>
      <x:c r="B268" t="n">
        <x:f>J25</x:f>
        <x:v>-13.299787208880844</x:v>
      </x:c>
      <x:c r="C268" t="n">
        <x:f>K25</x:f>
        <x:v>-68923.75640485117</x:v>
      </x:c>
      <x:c r="D268" t="n">
        <x:f>L25</x:f>
        <x:v>-149013.88756056636</x:v>
      </x:c>
      <x:c r="E268" t="n">
        <x:f>M25</x:f>
        <x:v>-152808.49543699686</x:v>
      </x:c>
    </x:row>
    <x:row r="269">
      <x:c r="A269" t="n">
        <x:f>I26</x:f>
        <x:v>-0.8</x:v>
      </x:c>
      <x:c r="B269" t="n">
        <x:f>J26</x:f>
        <x:v>-12.84013677697476</x:v>
      </x:c>
      <x:c r="C269" t="n">
        <x:f>K26</x:f>
        <x:v>-67835.33471918713</x:v>
      </x:c>
      <x:c r="D269" t="n">
        <x:f>L26</x:f>
        <x:v>-147128.35590287362</x:v>
      </x:c>
      <x:c r="E269" t="n">
        <x:f>M26</x:f>
        <x:v>-150910.062898851</x:v>
      </x:c>
    </x:row>
    <x:row r="270">
      <x:c r="A270" t="n">
        <x:f>I27</x:f>
        <x:v>-0.792</x:v>
      </x:c>
      <x:c r="B270" t="n">
        <x:f>J27</x:f>
        <x:v>-12.392726180069985</x:v>
      </x:c>
      <x:c r="C270" t="n">
        <x:f>K27</x:f>
        <x:v>-66749.44075526144</x:v>
      </x:c>
      <x:c r="D270" t="n">
        <x:f>L27</x:f>
        <x:v>-145237.23692226937</x:v>
      </x:c>
      <x:c r="E270" t="n">
        <x:f>M27</x:f>
        <x:v>-149005.63294747777</x:v>
      </x:c>
    </x:row>
    <x:row r="271">
      <x:c r="A271" t="n">
        <x:f>I28</x:f>
        <x:v>-0.783</x:v>
      </x:c>
      <x:c r="B271" t="n">
        <x:f>J28</x:f>
        <x:v>-11.903744966717568</x:v>
      </x:c>
      <x:c r="C271" t="n">
        <x:f>K28</x:f>
        <x:v>-65530.96866610383</x:v>
      </x:c>
      <x:c r="D271" t="n">
        <x:f>L28</x:f>
        <x:v>-143103.2871715021</x:v>
      </x:c>
      <x:c r="E271" t="n">
        <x:f>M28</x:f>
        <x:v>-146856.21000814714</x:v>
      </x:c>
    </x:row>
    <x:row r="272">
      <x:c r="A272" t="n">
        <x:f>I29</x:f>
        <x:v>-0.775</x:v>
      </x:c>
      <x:c r="B272" t="n">
        <x:f>J29</x:f>
        <x:v>-11.481613456182458</x:v>
      </x:c>
      <x:c r="C272" t="n">
        <x:f>K29</x:f>
        <x:v>-64450.81432177829</x:v>
      </x:c>
      <x:c r="D272" t="n">
        <x:f>L29</x:f>
        <x:v>-141200.9353430962</x:v>
      </x:c>
      <x:c r="E272" t="n">
        <x:f>M29</x:f>
        <x:v>-144939.65393967155</x:v>
      </x:c>
    </x:row>
    <x:row r="273">
      <x:c r="A273" t="n">
        <x:f>I30</x:f>
        <x:v>-0.767</x:v>
      </x:c>
      <x:c r="B273" t="n">
        <x:f>J30</x:f>
        <x:v>-11.071038001998204</x:v>
      </x:c>
      <x:c r="C273" t="n">
        <x:f>K30</x:f>
        <x:v>-63373.53868446994</x:v>
      </x:c>
      <x:c r="D273" t="n">
        <x:f>L30</x:f>
        <x:v>-139293.61086167698</x:v>
      </x:c>
      <x:c r="E273" t="n">
        <x:f>M30</x:f>
        <x:v>-143017.69446274094</x:v>
      </x:c>
    </x:row>
    <x:row r="274">
      <x:c r="A274" t="n">
        <x:f>I31</x:f>
        <x:v>-0.758</x:v>
      </x:c>
      <x:c r="B274" t="n">
        <x:f>J31</x:f>
        <x:v>-10.622685923482095</x:v>
      </x:c>
      <x:c r="C274" t="n">
        <x:f>K31</x:f>
        <x:v>-62165.189846866764</x:v>
      </x:c>
      <x:c r="D274" t="n">
        <x:f>L31</x:f>
        <x:v>-137142.1869054523</x:v>
      </x:c>
      <x:c r="E274" t="n">
        <x:f>M31</x:f>
        <x:v>-140849.2828749542</x:v>
      </x:c>
    </x:row>
    <x:row r="275">
      <x:c r="A275" t="n">
        <x:f>I32</x:f>
        <x:v>-0.75</x:v>
      </x:c>
      <x:c r="B275" t="n">
        <x:f>J32</x:f>
        <x:v>-10.235955038383963</x:v>
      </x:c>
      <x:c r="C275" t="n">
        <x:f>K32</x:f>
        <x:v>-61094.421380709784</x:v>
      </x:c>
      <x:c r="D275" t="n">
        <x:f>L32</x:f>
        <x:v>-135224.99566257387</x:v>
      </x:c>
      <x:c r="E275" t="n">
        <x:f>M32</x:f>
        <x:v>-138916.5188951826</x:v>
      </x:c>
    </x:row>
    <x:row r="276">
      <x:c r="A276" t="n">
        <x:f>I33</x:f>
        <x:v>-0.742</x:v>
      </x:c>
      <x:c r="B276" t="n">
        <x:f>J33</x:f>
        <x:v>-9.86011393674653</x:v>
      </x:c>
      <x:c r="C276" t="n">
        <x:f>K33</x:f>
        <x:v>-60026.90325623649</x:v>
      </x:c>
      <x:c r="D276" t="n">
        <x:f>L33</x:f>
        <x:v>-133303.50387707393</x:v>
      </x:c>
      <x:c r="E276" t="n">
        <x:f>M33</x:f>
        <x:v>-136979.00244933416</x:v>
      </x:c>
    </x:row>
    <x:row r="277">
      <x:c r="A277" t="n">
        <x:f>I34</x:f>
        <x:v>-0.733</x:v>
      </x:c>
      <x:c r="B277" t="n">
        <x:f>J34</x:f>
        <x:v>-9.45004867322723</x:v>
      </x:c>
      <x:c r="C277" t="n">
        <x:f>K34</x:f>
        <x:v>-58829.98433378036</x:v>
      </x:c>
      <x:c r="D277" t="n">
        <x:f>L34</x:f>
        <x:v>-131136.96927609117</x:v>
      </x:c>
      <x:c r="E277" t="n">
        <x:f>M34</x:f>
        <x:v>-134793.89137103801</x:v>
      </x:c>
    </x:row>
    <x:row r="278">
      <x:c r="A278" t="n">
        <x:f>I35</x:f>
        <x:v>-0.725</x:v>
      </x:c>
      <x:c r="B278" t="n">
        <x:f>J35</x:f>
        <x:v>-9.096655219469085</x:v>
      </x:c>
      <x:c r="C278" t="n">
        <x:f>K35</x:f>
        <x:v>-57769.785871170316</x:v>
      </x:c>
      <x:c r="D278" t="n">
        <x:f>L35</x:f>
        <x:v>-129207.10406628711</x:v>
      </x:c>
      <x:c r="E278" t="n">
        <x:f>M35</x:f>
        <x:v>-132847.0183380536</x:v>
      </x:c>
    </x:row>
    <x:row r="279">
      <x:c r="A279" t="n">
        <x:f>I36</x:f>
        <x:v>-0.717</x:v>
      </x:c>
      <x:c r="B279" t="n">
        <x:f>J36</x:f>
        <x:v>-8.753503156986426</x:v>
      </x:c>
      <x:c r="C279" t="n">
        <x:f>K36</x:f>
        <x:v>-56713.23103390145</x:v>
      </x:c>
      <x:c r="D279" t="n">
        <x:f>L36</x:f>
        <x:v>-127273.6728305979</x:v>
      </x:c>
      <x:c r="E279" t="n">
        <x:f>M36</x:f>
        <x:v>-130896.10580357295</x:v>
      </x:c>
    </x:row>
    <x:row r="280">
      <x:c r="A280" t="n">
        <x:f>I37</x:f>
        <x:v>-0.708</x:v>
      </x:c>
      <x:c r="B280" t="n">
        <x:f>J37</x:f>
        <x:v>-8.379445258978194</x:v>
      </x:c>
      <x:c r="C280" t="n">
        <x:f>K37</x:f>
        <x:v>-55529.124801208105</x:v>
      </x:c>
      <x:c r="D280" t="n">
        <x:f>L37</x:f>
        <x:v>-125094.61059367191</x:v>
      </x:c>
      <x:c r="E280" t="n">
        <x:f>M37</x:f>
        <x:v>-128696.80249462565</x:v>
      </x:c>
    </x:row>
    <x:row r="281">
      <x:c r="A281" t="n">
        <x:f>I38</x:f>
        <x:v>-0.7</x:v>
      </x:c>
      <x:c r="B281" t="n">
        <x:f>J38</x:f>
        <x:v>-8.057382321536807</x:v>
      </x:c>
      <x:c r="C281" t="n">
        <x:f>K38</x:f>
        <x:v>-54480.74919119819</x:v>
      </x:c>
      <x:c r="D281" t="n">
        <x:f>L38</x:f>
        <x:v>-123154.43747008915</x:v>
      </x:c>
      <x:c r="E281" t="n">
        <x:f>M38</x:f>
        <x:v>-126738.11882360443</x:v>
      </x:c>
    </x:row>
    <x:row r="282">
      <x:c r="A282" t="n">
        <x:f>I39</x:f>
        <x:v>-0.692</x:v>
      </x:c>
      <x:c r="B282" t="n">
        <x:f>J39</x:f>
        <x:v>-7.744930637363723</x:v>
      </x:c>
      <x:c r="C282" t="n">
        <x:f>K39</x:f>
        <x:v>-53436.43314820457</x:v>
      </x:c>
      <x:c r="D282" t="n">
        <x:f>L39</x:f>
        <x:v>-121211.50058427514</x:v>
      </x:c>
      <x:c r="E282" t="n">
        <x:f>M39</x:f>
        <x:v>-124776.17612891932</x:v>
      </x:c>
    </x:row>
    <x:row r="283">
      <x:c r="A283" t="n">
        <x:f>I40</x:f>
        <x:v>-0.683</x:v>
      </x:c>
      <x:c r="B283" t="n">
        <x:f>J40</x:f>
        <x:v>-7.404664824446172</x:v>
      </x:c>
      <x:c r="C283" t="n">
        <x:f>K40</x:f>
        <x:v>-52266.60203742246</x:v>
      </x:c>
      <x:c r="D283" t="n">
        <x:f>L40</x:f>
        <x:v>-119022.73194468833</x:v>
      </x:c>
      <x:c r="E283" t="n">
        <x:f>M40</x:f>
        <x:v>-122565.42525707473</x:v>
      </x:c>
    </x:row>
    <x:row r="284">
      <x:c r="A284" t="n">
        <x:f>I41</x:f>
        <x:v>-0.675</x:v>
      </x:c>
      <x:c r="B284" t="n">
        <x:f>J41</x:f>
        <x:v>-7.111982920109767</x:v>
      </x:c>
      <x:c r="C284" t="n">
        <x:f>K41</x:f>
        <x:v>-51231.374010913656</x:v>
      </x:c>
      <x:c r="D284" t="n">
        <x:f>L41</x:f>
        <x:v>-117074.83465957025</x:v>
      </x:c>
      <x:c r="E284" t="n">
        <x:f>M41</x:f>
        <x:v>-120597.44652148281</x:v>
      </x:c>
    </x:row>
    <x:row r="285">
      <x:c r="A285" t="n">
        <x:f>I42</x:f>
        <x:v>-0.667</x:v>
      </x:c>
      <x:c r="B285" t="n">
        <x:f>J42</x:f>
        <x:v>-6.828300748499714</x:v>
      </x:c>
      <x:c r="C285" t="n">
        <x:f>K42</x:f>
        <x:v>-50200.64516336976</x:v>
      </x:c>
      <x:c r="D285" t="n">
        <x:f>L42</x:f>
        <x:v>-115125.04934461683</x:v>
      </x:c>
      <x:c r="E285" t="n">
        <x:f>M42</x:f>
        <x:v>-118627.06266188383</x:v>
      </x:c>
    </x:row>
    <x:row r="286">
      <x:c r="A286" t="n">
        <x:f>I43</x:f>
        <x:v>-0.658</x:v>
      </x:c>
      <x:c r="B286" t="n">
        <x:f>J43</x:f>
        <x:v>-6.51967719021377</x:v>
      </x:c>
      <x:c r="C286" t="n">
        <x:f>K43</x:f>
        <x:v>-49046.63482196539</x:v>
      </x:c>
      <x:c r="D286" t="n">
        <x:f>L43</x:f>
        <x:v>-112929.65387596696</x:v>
      </x:c>
      <x:c r="E286" t="n">
        <x:f>M43</x:f>
        <x:v>-116407.86707581821</x:v>
      </x:c>
    </x:row>
    <x:row r="287">
      <x:c r="A287" t="n">
        <x:f>I44</x:f>
        <x:v>-0.65</x:v>
      </x:c>
      <x:c r="B287" t="n">
        <x:f>J44</x:f>
        <x:v>-6.254485391421895</x:v>
      </x:c>
      <x:c r="C287" t="n">
        <x:f>K44</x:f>
        <x:v>-48025.954152811115</x:v>
      </x:c>
      <x:c r="D287" t="n">
        <x:f>L44</x:f>
        <x:v>-110976.85216755129</x:v>
      </x:c>
      <x:c r="E287" t="n">
        <x:f>M44</x:f>
        <x:v>-114433.34492030981</x:v>
      </x:c>
    </x:row>
    <x:row r="288">
      <x:c r="A288" t="n">
        <x:f>I45</x:f>
        <x:v>-0.642</x:v>
      </x:c>
      <x:c r="B288" t="n">
        <x:f>J45</x:f>
        <x:v>-5.997700776976217</x:v>
      </x:c>
      <x:c r="C288" t="n">
        <x:f>K45</x:f>
        <x:v>-47010.236953450076</x:v>
      </x:c>
      <x:c r="D288" t="n">
        <x:f>L45</x:f>
        <x:v>-109023.11773384287</x:v>
      </x:c>
      <x:c r="E288" t="n">
        <x:f>M45</x:f>
        <x:v>-112457.35129337231</x:v>
      </x:c>
    </x:row>
    <x:row r="289">
      <x:c r="A289" t="n">
        <x:f>I46</x:f>
        <x:v>-0.633</x:v>
      </x:c>
      <x:c r="B289" t="n">
        <x:f>J46</x:f>
        <x:v>-5.718636339065142</x:v>
      </x:c>
      <x:c r="C289" t="n">
        <x:f>K46</x:f>
        <x:v>-45873.67978905515</x:v>
      </x:c>
      <x:c r="D289" t="n">
        <x:f>L46</x:f>
        <x:v>-106824.4548063117</x:v>
      </x:c>
      <x:c r="E289" t="n">
        <x:f>M46</x:f>
        <x:v>-110232.99428005796</x:v>
      </x:c>
    </x:row>
    <x:row r="290">
      <x:c r="A290" t="n">
        <x:f>I47</x:f>
        <x:v>-0.625</x:v>
      </x:c>
      <x:c r="B290" t="n">
        <x:f>J47</x:f>
        <x:v>-5.479103372775171</x:v>
      </x:c>
      <x:c r="C290" t="n">
        <x:f>K47</x:f>
        <x:v>-44869.024435891464</x:v>
      </x:c>
      <x:c r="D290" t="n">
        <x:f>L47</x:f>
        <x:v>-104869.82387216578</x:v>
      </x:c>
      <x:c r="E290" t="n">
        <x:f>M47</x:f>
        <x:v>-108254.93665267841</x:v>
      </x:c>
    </x:row>
    <x:row r="291">
      <x:c r="A291" t="n">
        <x:f>I48</x:f>
        <x:v>-0.617</x:v>
      </x:c>
      <x:c r="B291" t="n">
        <x:f>J48</x:f>
        <x:v>-5.247404357237883</x:v>
      </x:c>
      <x:c r="C291" t="n">
        <x:f>K48</x:f>
        <x:v>-43869.822519638255</x:v>
      </x:c>
      <x:c r="D291" t="n">
        <x:f>L48</x:f>
        <x:v>-102915.30156679498</x:v>
      </x:c>
      <x:c r="E291" t="n">
        <x:f>M48</x:f>
        <x:v>-106276.4277099809</x:v>
      </x:c>
    </x:row>
    <x:row r="292">
      <x:c r="A292" t="n">
        <x:f>I49</x:f>
        <x:v>-0.608</x:v>
      </x:c>
      <x:c r="B292" t="n">
        <x:f>J49</x:f>
        <x:v>-4.995883813084447</x:v>
      </x:c>
      <x:c r="C292" t="n">
        <x:f>K49</x:f>
        <x:v>-42752.44120550476</x:v>
      </x:c>
      <x:c r="D292" t="n">
        <x:f>L49</x:f>
        <x:v>-100717.03311684405</x:v>
      </x:c>
      <x:c r="E292" t="n">
        <x:f>M49</x:f>
        <x:v>-104050.49672552577</x:v>
      </x:c>
    </x:row>
    <x:row r="293">
      <x:c r="A293" t="n">
        <x:f>I50</x:f>
        <x:v>-0.6</x:v>
      </x:c>
      <x:c r="B293" t="n">
        <x:f>J50</x:f>
        <x:v>-4.780239127223922</x:v>
      </x:c>
      <x:c r="C293" t="n">
        <x:f>K50</x:f>
        <x:v>-41765.370410184376</x:v>
      </x:c>
      <x:c r="D293" t="n">
        <x:f>L50</x:f>
        <x:v>-98763.92423983713</x:v>
      </x:c>
      <x:c r="E293" t="n">
        <x:f>M50</x:f>
        <x:v>-102072.18940950758</x:v>
      </x:c>
    </x:row>
    <x:row r="294">
      <x:c r="A294" t="n">
        <x:f>I51</x:f>
        <x:v>-0.592</x:v>
      </x:c>
      <x:c r="B294" t="n">
        <x:f>J51</x:f>
        <x:v>-4.571874809995052</x:v>
      </x:c>
      <x:c r="C294" t="n">
        <x:f>K51</x:f>
        <x:v>-40784.26967339727</x:v>
      </x:c>
      <x:c r="D294" t="n">
        <x:f>L51</x:f>
        <x:v>-96812.05822906003</x:v>
      </x:c>
      <x:c r="E294" t="n">
        <x:f>M51</x:f>
        <x:v>-100094.54459469678</x:v>
      </x:c>
    </x:row>
    <x:row r="295">
      <x:c r="A295" t="n">
        <x:f>I52</x:f>
        <x:v>-0.583</x:v>
      </x:c>
      <x:c r="B295" t="n">
        <x:f>J52</x:f>
        <x:v>-4.3459520128728855</x:v>
      </x:c>
      <x:c r="C295" t="n">
        <x:f>K52</x:f>
        <x:v>-39687.88058628065</x:v>
      </x:c>
      <x:c r="D295" t="n">
        <x:f>L52</x:f>
        <x:v>-94618.1727807392</x:v>
      </x:c>
      <x:c r="E295" t="n">
        <x:f>M52</x:f>
        <x:v>-97870.95642178808</x:v>
      </x:c>
    </x:row>
    <x:row r="296">
      <x:c r="A296" t="n">
        <x:f>I53</x:f>
        <x:v>-0.575</x:v>
      </x:c>
      <x:c r="B296" t="n">
        <x:f>J53</x:f>
        <x:v>-4.152486814658005</x:v>
      </x:c>
      <x:c r="C296" t="n">
        <x:f>K53</x:f>
        <x:v>-38720.03790348412</x:v>
      </x:c>
      <x:c r="D296" t="n">
        <x:f>L53</x:f>
        <x:v>-92670.23504071141</x:v>
      </x:c>
      <x:c r="E296" t="n">
        <x:f>M53</x:f>
        <x:v>-95895.98581265062</x:v>
      </x:c>
    </x:row>
    <x:row r="297">
      <x:c r="A297" t="n">
        <x:f>I54</x:f>
        <x:v>-0.567</x:v>
      </x:c>
      <x:c r="B297" t="n">
        <x:f>J54</x:f>
        <x:v>-3.965768378529674</x:v>
      </x:c>
      <x:c r="C297" t="n">
        <x:f>K54</x:f>
        <x:v>-37758.709506009036</x:v>
      </x:c>
      <x:c r="D297" t="n">
        <x:f>L54</x:f>
        <x:v>-90724.77444856224</x:v>
      </x:c>
      <x:c r="E297" t="n">
        <x:f>M54</x:f>
        <x:v>-93922.89271885809</x:v>
      </x:c>
    </x:row>
    <x:row r="298">
      <x:c r="A298" t="n">
        <x:f>I55</x:f>
        <x:v>-0.558</x:v>
      </x:c>
      <x:c r="B298" t="n">
        <x:f>J55</x:f>
        <x:v>-3.763567414630188</x:v>
      </x:c>
      <x:c r="C298" t="n">
        <x:f>K55</x:f>
        <x:v>-36685.22606722001</x:v>
      </x:c>
      <x:c r="D298" t="n">
        <x:f>L55</x:f>
        <x:v>-88539.61228230709</x:v>
      </x:c>
      <x:c r="E298" t="n">
        <x:f>M55</x:f>
        <x:v>-91705.91995911699</x:v>
      </x:c>
    </x:row>
    <x:row r="299">
      <x:c r="A299" t="n">
        <x:f>I56</x:f>
        <x:v>-0.55</x:v>
      </x:c>
      <x:c r="B299" t="n">
        <x:f>J56</x:f>
        <x:v>-3.590635671074324</x:v>
      </x:c>
      <x:c r="C299" t="n">
        <x:f>K56</x:f>
        <x:v>-35738.342299056225</x:v>
      </x:c>
      <x:c r="D299" t="n">
        <x:f>L56</x:f>
        <x:v>-86600.81524649766</x:v>
      </x:c>
      <x:c r="E299" t="n">
        <x:f>M56</x:f>
        <x:v>-89738.19699014083</x:v>
      </x:c>
    </x:row>
    <x:row r="300">
      <x:c r="A300" t="n">
        <x:f>I57</x:f>
        <x:v>-0.542</x:v>
      </x:c>
      <x:c r="B300" t="n">
        <x:f>J57</x:f>
        <x:v>-3.423937371721422</x:v>
      </x:c>
      <x:c r="C300" t="n">
        <x:f>K57</x:f>
        <x:v>-34798.54556291022</x:v>
      </x:c>
      <x:c r="D300" t="n">
        <x:f>L57</x:f>
        <x:v>-84665.83712834844</x:v>
      </x:c>
      <x:c r="E300" t="n">
        <x:f>M57</x:f>
        <x:v>-87773.67562430885</x:v>
      </x:c>
    </x:row>
    <x:row r="301">
      <x:c r="A301" t="n">
        <x:f>I58</x:f>
        <x:v>-0.533</x:v>
      </x:c>
      <x:c r="B301" t="n">
        <x:f>J58</x:f>
        <x:v>-3.243653659340225</x:v>
      </x:c>
      <x:c r="C301" t="n">
        <x:f>K58</x:f>
        <x:v>-33749.98145308542</x:v>
      </x:c>
      <x:c r="D301" t="n">
        <x:f>L58</x:f>
        <x:v>-82494.11644292489</x:v>
      </x:c>
      <x:c r="E301" t="n">
        <x:f>M58</x:f>
        <x:v>-85567.97437946271</x:v>
      </x:c>
    </x:row>
    <x:row r="302">
      <x:c r="A302" t="n">
        <x:f>I59</x:f>
        <x:v>-0.525</x:v>
      </x:c>
      <x:c r="B302" t="n">
        <x:f>J59</x:f>
        <x:v>-3.089673071670859</x:v>
      </x:c>
      <x:c r="C302" t="n">
        <x:f>K59</x:f>
        <x:v>-32825.87746268808</x:v>
      </x:c>
      <x:c r="D302" t="n">
        <x:f>L59</x:f>
        <x:v>-80568.7736811837</x:v>
      </x:c>
      <x:c r="E302" t="n">
        <x:f>M59</x:f>
        <x:v>-83611.75944718669</x:v>
      </x:c>
    </x:row>
    <x:row r="303">
      <x:c r="A303" t="n">
        <x:f>I60</x:f>
        <x:v>-0.517</x:v>
      </x:c>
      <x:c r="B303" t="n">
        <x:f>J60</x:f>
        <x:v>-2.941433207470027</x:v>
      </x:c>
      <x:c r="C303" t="n">
        <x:f>K60</x:f>
        <x:v>-31909.46264160071</x:v>
      </x:c>
      <x:c r="D303" t="n">
        <x:f>L60</x:f>
        <x:v>-78648.70676173814</x:v>
      </x:c>
      <x:c r="E303" t="n">
        <x:f>M60</x:f>
        <x:v>-81660.18743462116</x:v>
      </x:c>
    </x:row>
    <x:row r="304">
      <x:c r="A304" t="n">
        <x:f>I61</x:f>
        <x:v>-0.508</x:v>
      </x:c>
      <x:c r="B304" t="n">
        <x:f>J61</x:f>
        <x:v>-2.7813345652473345</x:v>
      </x:c>
      <x:c r="C304" t="n">
        <x:f>K61</x:f>
        <x:v>-30887.93486067957</x:v>
      </x:c>
      <x:c r="D304" t="n">
        <x:f>L61</x:f>
        <x:v>-76495.55061689255</x:v>
      </x:c>
      <x:c r="E304" t="n">
        <x:f>M61</x:f>
        <x:v>-79470.82596585053</x:v>
      </x:c>
    </x:row>
    <x:row r="305">
      <x:c r="A305" t="n">
        <x:f>I62</x:f>
        <x:v>-0.5</x:v>
      </x:c>
      <x:c r="B305" t="n">
        <x:f>J62</x:f>
        <x:v>-2.6447875068229223</x:v>
      </x:c>
      <x:c r="C305" t="n">
        <x:f>K62</x:f>
        <x:v>-29988.524239953986</x:v>
      </x:c>
      <x:c r="D305" t="n">
        <x:f>L62</x:f>
        <x:v>-74588.34383380503</x:v>
      </x:c>
      <x:c r="E305" t="n">
        <x:f>M62</x:f>
        <x:v>-77530.75464681152</x:v>
      </x:c>
    </x:row>
    <x:row r="306">
      <x:c r="A306" t="n">
        <x:f>I63</x:f>
        <x:v>-0.492</x:v>
      </x:c>
      <x:c r="B306" t="n">
        <x:f>J63</x:f>
        <x:v>-2.513509340354176</x:v>
      </x:c>
      <x:c r="C306" t="n">
        <x:f>K63</x:f>
        <x:v>-29097.435135520733</x:v>
      </x:c>
      <x:c r="D306" t="n">
        <x:f>L63</x:f>
        <x:v>-72687.99278310628</x:v>
      </x:c>
      <x:c r="E306" t="n">
        <x:f>M63</x:f>
        <x:v>-75596.89314596457</x:v>
      </x:c>
    </x:row>
    <x:row r="307">
      <x:c r="A307" t="n">
        <x:f>I64</x:f>
        <x:v>-0.483</x:v>
      </x:c>
      <x:c r="B307" t="n">
        <x:f>J64</x:f>
        <x:v>-2.371937016364882</x:v>
      </x:c>
      <x:c r="C307" t="n">
        <x:f>K64</x:f>
        <x:v>-28105.166881478122</x:v>
      </x:c>
      <x:c r="D307" t="n">
        <x:f>L64</x:f>
        <x:v>-70558.9565452948</x:v>
      </x:c>
      <x:c r="E307" t="n">
        <x:f>M64</x:f>
        <x:v>-73429.38122625276</x:v>
      </x:c>
    </x:row>
    <x:row r="308">
      <x:c r="A308" t="n">
        <x:f>I65</x:f>
        <x:v>-0.475</x:v>
      </x:c>
      <x:c r="B308" t="n">
        <x:f>J65</x:f>
        <x:v>-2.251371436165755</x:v>
      </x:c>
      <x:c r="C308" t="n">
        <x:f>K65</x:f>
        <x:v>-27232.458450313294</x:v>
      </x:c>
      <x:c r="D308" t="n">
        <x:f>L65</x:f>
        <x:v>-68674.96006151366</x:v>
      </x:c>
      <x:c r="E308" t="n">
        <x:f>M65</x:f>
        <x:v>-71510.49050705163</x:v>
      </x:c>
    </x:row>
    <x:row r="309">
      <x:c r="A309" t="n">
        <x:f>I66</x:f>
        <x:v>-0.467</x:v>
      </x:c>
      <x:c r="B309" t="n">
        <x:f>J66</x:f>
        <x:v>-2.13562408544135</x:v>
      </x:c>
      <x:c r="C309" t="n">
        <x:f>K66</x:f>
        <x:v>-26368.73485292532</x:v>
      </x:c>
      <x:c r="D309" t="n">
        <x:f>L66</x:f>
        <x:v>-66799.53002109205</x:v>
      </x:c>
      <x:c r="E309" t="n">
        <x:f>M66</x:f>
        <x:v>-69599.51053278937</x:v>
      </x:c>
    </x:row>
    <x:row r="310">
      <x:c r="A310" t="n">
        <x:f>I67</x:f>
        <x:v>-0.458</x:v>
      </x:c>
      <x:c r="B310" t="n">
        <x:f>J67</x:f>
        <x:v>-2.0109937508048006</x:v>
      </x:c>
      <x:c r="C310" t="n">
        <x:f>K67</x:f>
        <x:v>-25408.05819572629</x:v>
      </x:c>
      <x:c r="D310" t="n">
        <x:f>L67</x:f>
        <x:v>-64700.62896395361</x:v>
      </x:c>
      <x:c r="E310" t="n">
        <x:f>M67</x:f>
        <x:v>-67459.82912343887</x:v>
      </x:c>
    </x:row>
    <x:row r="311">
      <x:c r="A311" t="n">
        <x:f>I68</x:f>
        <x:v>-0.45</x:v>
      </x:c>
      <x:c r="B311" t="n">
        <x:f>J68</x:f>
        <x:v>-1.9050240415085682</x:v>
      </x:c>
      <x:c r="C311" t="n">
        <x:f>K68</x:f>
        <x:v>-24564.158312691114</x:v>
      </x:c>
      <x:c r="D311" t="n">
        <x:f>L68</x:f>
        <x:v>-62845.33421508742</x:v>
      </x:c>
      <x:c r="E311" t="n">
        <x:f>M68</x:f>
        <x:v>-65567.5837894667</x:v>
      </x:c>
    </x:row>
    <x:row r="312">
      <x:c r="A312" t="n">
        <x:f>I69</x:f>
        <x:v>-0.442</x:v>
      </x:c>
      <x:c r="B312" t="n">
        <x:f>J69</x:f>
        <x:v>-1.8034433360094226</x:v>
      </x:c>
      <x:c r="C312" t="n">
        <x:f>K69</x:f>
        <x:v>-23729.938248077422</x:v>
      </x:c>
      <x:c r="D312" t="n">
        <x:f>L69</x:f>
        <x:v>-61000.45522179082</x:v>
      </x:c>
      <x:c r="E312" t="n">
        <x:f>M69</x:f>
        <x:v>-63685.092564364764</x:v>
      </x:c>
    </x:row>
    <x:row r="313">
      <x:c r="A313" t="n">
        <x:f>I70</x:f>
        <x:v>-0.433</x:v>
      </x:c>
      <x:c r="B313" t="n">
        <x:f>J70</x:f>
        <x:v>-1.6942460296072568</x:v>
      </x:c>
      <x:c r="C313" t="n">
        <x:f>K70</x:f>
        <x:v>-22803.296578072208</x:v>
      </x:c>
      <x:c r="D313" t="n">
        <x:f>L70</x:f>
        <x:v>-58938.19185999589</x:v>
      </x:c>
      <x:c r="E313" t="n">
        <x:f>M70</x:f>
        <x:v>-61579.723356260394</x:v>
      </x:c>
    </x:row>
    <x:row r="314">
      <x:c r="A314" t="n">
        <x:f>I71</x:f>
        <x:v>-0.425</x:v>
      </x:c>
      <x:c r="B314" t="n">
        <x:f>J71</x:f>
        <x:v>-1.601553853415453</x:v>
      </x:c>
      <x:c r="C314" t="n">
        <x:f>K71</x:f>
        <x:v>-21990.41124452041</x:v>
      </x:c>
      <x:c r="D314" t="n">
        <x:f>L71</x:f>
        <x:v>-57117.53151668291</x:v>
      </x:c>
      <x:c r="E314" t="n">
        <x:f>M71</x:f>
        <x:v>-59720.04210248677</x:v>
      </x:c>
    </x:row>
    <x:row r="315">
      <x:c r="A315" t="n">
        <x:f>I72</x:f>
        <x:v>-0.417</x:v>
      </x:c>
      <x:c r="B315" t="n">
        <x:f>J72</x:f>
        <x:v>-1.512843152252799</x:v>
      </x:c>
      <x:c r="C315" t="n">
        <x:f>K72</x:f>
        <x:v>-21187.933007764404</x:v>
      </x:c>
      <x:c r="D315" t="n">
        <x:f>L72</x:f>
        <x:v>-55309.28240772686</x:v>
      </x:c>
      <x:c r="E315" t="n">
        <x:f>M72</x:f>
        <x:v>-57872.108972824644</x:v>
      </x:c>
    </x:row>
    <x:row r="316">
      <x:c r="A316" t="n">
        <x:f>I73</x:f>
        <x:v>-0.408</x:v>
      </x:c>
      <x:c r="B316" t="n">
        <x:f>J73</x:f>
        <x:v>-1.4176461878619193</x:v>
      </x:c>
      <x:c r="C316" t="n">
        <x:f>K73</x:f>
        <x:v>-20297.883237372946</x:v>
      </x:c>
      <x:c r="D316" t="n">
        <x:f>L73</x:f>
        <x:v>-53290.67307252447</x:v>
      </x:c>
      <x:c r="E316" t="n">
        <x:f>M73</x:f>
        <x:v>-55808.06323941442</x:v>
      </x:c>
    </x:row>
    <x:row r="317">
      <x:c r="A317" t="n">
        <x:f>I74</x:f>
        <x:v>-0.4</x:v>
      </x:c>
      <x:c r="B317" t="n">
        <x:f>J74</x:f>
        <x:v>-1.3369812749583616</x:v>
      </x:c>
      <x:c r="C317" t="n">
        <x:f>K74</x:f>
        <x:v>-19518.31997454776</x:v>
      </x:c>
      <x:c r="D317" t="n">
        <x:f>L74</x:f>
        <x:v>-51511.04432508859</x:v>
      </x:c>
      <x:c r="E317" t="n">
        <x:f>M74</x:f>
        <x:v>-53987.34398363595</x:v>
      </x:c>
    </x:row>
    <x:row r="318">
      <x:c r="A318" t="n">
        <x:f>I75</x:f>
        <x:v>-0.392</x:v>
      </x:c>
      <x:c r="B318" t="n">
        <x:f>J75</x:f>
        <x:v>-1.2599122492363222</x:v>
      </x:c>
      <x:c r="C318" t="n">
        <x:f>K75</x:f>
        <x:v>-18749.923928481905</x:v>
      </x:c>
      <x:c r="D318" t="n">
        <x:f>L75</x:f>
        <x:v>-49745.97565061512</x:v>
      </x:c>
      <x:c r="E318" t="n">
        <x:f>M75</x:f>
        <x:v>-52180.525354744386</x:v>
      </x:c>
    </x:row>
    <x:row r="319">
      <x:c r="A319" t="n">
        <x:f>I76</x:f>
        <x:v>-0.383</x:v>
      </x:c>
      <x:c r="B319" t="n">
        <x:f>J76</x:f>
        <x:v>-1.1773600760669751</x:v>
      </x:c>
      <x:c r="C319" t="n">
        <x:f>K76</x:f>
        <x:v>-17899.13841594477</x:v>
      </x:c>
      <x:c r="D319" t="n">
        <x:f>L76</x:f>
        <x:v>-47778.57575572333</x:v>
      </x:c>
      <x:c r="E319" t="n">
        <x:f>M76</x:f>
        <x:v>-50165.37147333971</x:v>
      </x:c>
    </x:row>
    <x:row r="320">
      <x:c r="A320" t="n">
        <x:f>I77</x:f>
        <x:v>-0.375</x:v>
      </x:c>
      <x:c r="B320" t="n">
        <x:f>J77</x:f>
        <x:v>-1.1075409744717035</x:v>
      </x:c>
      <x:c r="C320" t="n">
        <x:f>K77</x:f>
        <x:v>-17155.30788033462</x:v>
      </x:c>
      <x:c r="D320" t="n">
        <x:f>L77</x:f>
        <x:v>-46046.86225919663</x:v>
      </x:c>
      <x:c r="E320" t="n">
        <x:f>M77</x:f>
        <x:v>-48390.51527485564</x:v>
      </x:c>
    </x:row>
    <x:row r="321">
      <x:c r="A321" t="n">
        <x:f>I78</x:f>
        <x:v>-0.367</x:v>
      </x:c>
      <x:c r="B321" t="n">
        <x:f>J78</x:f>
        <x:v>-1.0409543459660426</x:v>
      </x:c>
      <x:c r="C321" t="n">
        <x:f>K78</x:f>
        <x:v>-16423.437974026107</x:v>
      </x:c>
      <x:c r="D321" t="n">
        <x:f>L78</x:f>
        <x:v>-44332.01768741841</x:v>
      </x:c>
      <x:c r="E321" t="n">
        <x:f>M78</x:f>
        <x:v>-46631.87794663328</x:v>
      </x:c>
    </x:row>
    <x:row r="322">
      <x:c r="A322" t="n">
        <x:f>I79</x:f>
        <x:v>-0.358</x:v>
      </x:c>
      <x:c r="B322" t="n">
        <x:f>J79</x:f>
        <x:v>-0.9697693759256936</x:v>
      </x:c>
      <x:c r="C322" t="n">
        <x:f>K79</x:f>
        <x:v>-15614.70610330964</x:v>
      </x:c>
      <x:c r="D322" t="n">
        <x:f>L79</x:f>
        <x:v>-42423.945096951415</x:v>
      </x:c>
      <x:c r="E322" t="n">
        <x:f>M79</x:f>
        <x:v>-44673.766867657614</x:v>
      </x:c>
    </x:row>
    <x:row r="323">
      <x:c r="A323" t="n">
        <x:f>I80</x:f>
        <x:v>-0.35</x:v>
      </x:c>
      <x:c r="B323" t="n">
        <x:f>J80</x:f>
        <x:v>-0.9096841644008009</x:v>
      </x:c>
      <x:c r="C323" t="n">
        <x:f>K80</x:f>
        <x:v>-14909.123361914171</x:v>
      </x:c>
      <x:c r="D323" t="n">
        <x:f>L80</x:f>
        <x:v>-40747.537049505336</x:v>
      </x:c>
      <x:c r="E323" t="n">
        <x:f>M80</x:f>
        <x:v>-42952.19979250127</x:v>
      </x:c>
    </x:row>
    <x:row r="324">
      <x:c r="A324" t="n">
        <x:f>I81</x:f>
        <x:v>-0.342</x:v>
      </x:c>
      <x:c r="B324" t="n">
        <x:f>J81</x:f>
        <x:v>-0.8524904108952569</x:v>
      </x:c>
      <x:c r="C324" t="n">
        <x:f>K81</x:f>
        <x:v>-14216.32826550211</x:v>
      </x:c>
      <x:c r="D324" t="n">
        <x:f>L81</x:f>
        <x:v>-39090.472738230674</x:v>
      </x:c>
      <x:c r="E324" t="n">
        <x:f>M81</x:f>
        <x:v>-41249.342022155164</x:v>
      </x:c>
    </x:row>
    <x:row r="325">
      <x:c r="A325" t="n">
        <x:f>I82</x:f>
        <x:v>-0.333</x:v>
      </x:c>
      <x:c r="B325" t="n">
        <x:f>J82</x:f>
        <x:v>-0.791473780832689</x:v>
      </x:c>
      <x:c r="C325" t="n">
        <x:f>K82</x:f>
        <x:v>-13452.55752473721</x:v>
      </x:c>
      <x:c r="D325" t="n">
        <x:f>L82</x:f>
        <x:v>-37250.42865196269</x:v>
      </x:c>
      <x:c r="E325" t="n">
        <x:f>M82</x:f>
        <x:v>-39357.02991700129</x:v>
      </x:c>
    </x:row>
    <x:row r="326">
      <x:c r="A326" t="n">
        <x:f>I83</x:f>
        <x:v>-0.325</x:v>
      </x:c>
      <x:c r="B326" t="n">
        <x:f>J83</x:f>
        <x:v>-0.7400807499819848</x:v>
      </x:c>
      <x:c r="C326" t="n">
        <x:f>K83</x:f>
        <x:v>-12787.842801368242</x:v>
      </x:c>
      <x:c r="D326" t="n">
        <x:f>L83</x:f>
        <x:v>-35637.24050020533</x:v>
      </x:c>
      <x:c r="E326" t="n">
        <x:f>M83</x:f>
        <x:v>-37696.722160192</x:v>
      </x:c>
    </x:row>
    <x:row r="327">
      <x:c r="A327" t="n">
        <x:f>I84</x:f>
        <x:v>-0.317</x:v>
      </x:c>
      <x:c r="B327" t="n">
        <x:f>J84</x:f>
        <x:v>-0.6912607618419315</x:v>
      </x:c>
      <x:c r="C327" t="n">
        <x:f>K84</x:f>
        <x:v>-12136.776407525518</x:v>
      </x:c>
      <x:c r="D327" t="n">
        <x:f>L84</x:f>
        <x:v>-34046.04194794646</x:v>
      </x:c>
      <x:c r="E327" t="n">
        <x:f>M84</x:f>
        <x:v>-36057.79176290192</x:v>
      </x:c>
    </x:row>
    <x:row r="328">
      <x:c r="A328" t="n">
        <x:f>I85</x:f>
        <x:v>-0.308</x:v>
      </x:c>
      <x:c r="B328" t="n">
        <x:f>J85</x:f>
        <x:v>-0.6392930692547907</x:v>
      </x:c>
      <x:c r="C328" t="n">
        <x:f>K85</x:f>
        <x:v>-11420.992588521869</x:v>
      </x:c>
      <x:c r="D328" t="n">
        <x:f>L85</x:f>
        <x:v>-32283.3287901734</x:v>
      </x:c>
      <x:c r="E328" t="n">
        <x:f>M85</x:f>
        <x:v>-34240.659083493854</x:v>
      </x:c>
    </x:row>
    <x:row r="329">
      <x:c r="A329" t="n">
        <x:f>I86</x:f>
        <x:v>-0.3</x:v>
      </x:c>
      <x:c r="B329" t="n">
        <x:f>J86</x:f>
        <x:v>-0.5956213488765343</x:v>
      </x:c>
      <x:c r="C329" t="n">
        <x:f>K86</x:f>
        <x:v>-10799.871032643307</x:v>
      </x:c>
      <x:c r="D329" t="n">
        <x:f>L86</x:f>
        <x:v>-30741.8141453946</x:v>
      </x:c>
      <x:c r="E329" t="n">
        <x:f>M86</x:f>
        <x:v>-32650.140682705838</x:v>
      </x:c>
    </x:row>
    <x:row r="330">
      <x:c r="A330" t="n">
        <x:f>I87</x:f>
        <x:v>-0.292</x:v>
      </x:c>
      <x:c r="B330" t="n">
        <x:f>J87</x:f>
        <x:v>-0.554227051803764</x:v>
      </x:c>
      <x:c r="C330" t="n">
        <x:f>K87</x:f>
        <x:v>-10193.291736298073</x:v>
      </x:c>
      <x:c r="D330" t="n">
        <x:f>L87</x:f>
        <x:v>-29225.110156037</x:v>
      </x:c>
      <x:c r="E330" t="n">
        <x:f>M87</x:f>
        <x:v>-31083.849529375264</x:v>
      </x:c>
    </x:row>
    <x:row r="331">
      <x:c r="A331" t="n">
        <x:f>I88</x:f>
        <x:v>-0.283</x:v>
      </x:c>
      <x:c r="B331" t="n">
        <x:f>J88</x:f>
        <x:v>-0.5102690384285324</x:v>
      </x:c>
      <x:c r="C331" t="n">
        <x:f>K88</x:f>
        <x:v>-9528.637373909565</x:v>
      </x:c>
      <x:c r="D331" t="n">
        <x:f>L88</x:f>
        <x:v>-27549.64613181504</x:v>
      </x:c>
      <x:c r="E331" t="n">
        <x:f>M88</x:f>
        <x:v>-29351.91580166448</x:v>
      </x:c>
    </x:row>
    <x:row r="332">
      <x:c r="A332" t="n">
        <x:f>I89</x:f>
        <x:v>-0.275</x:v>
      </x:c>
      <x:c r="B332" t="n">
        <x:f>J89</x:f>
        <x:v>-0.4734191912100414</x:v>
      </x:c>
      <x:c r="C332" t="n">
        <x:f>K89</x:f>
        <x:v>-8953.936813090862</x:v>
      </x:c>
      <x:c r="D332" t="n">
        <x:f>L89</x:f>
        <x:v>-26088.809681649203</x:v>
      </x:c>
      <x:c r="E332" t="n">
        <x:f>M89</x:f>
        <x:v>-27840.288392506118</x:v>
      </x:c>
    </x:row>
    <x:row r="333">
      <x:c r="A333" t="n">
        <x:f>I90</x:f>
        <x:v>-0.267</x:v>
      </x:c>
      <x:c r="B333" t="n">
        <x:f>J90</x:f>
        <x:v>-0.43857412502381976</x:v>
      </x:c>
      <x:c r="C333" t="n">
        <x:f>K90</x:f>
        <x:v>-8394.704215810816</x:v>
      </x:c>
      <x:c r="D333" t="n">
        <x:f>L90</x:f>
        <x:v>-24655.783322873118</x:v>
      </x:c>
      <x:c r="E333" t="n">
        <x:f>M90</x:f>
        <x:v>-26355.92282022885</x:v>
      </x:c>
    </x:row>
    <x:row r="334">
      <x:c r="A334" t="n">
        <x:f>I91</x:f>
        <x:v>-0.258</x:v>
      </x:c>
      <x:c r="B334" t="n">
        <x:f>J91</x:f>
        <x:v>-0.4016673031354685</x:v>
      </x:c>
      <x:c r="C334" t="n">
        <x:f>K91</x:f>
        <x:v>-7784.433251420131</x:v>
      </x:c>
      <x:c r="D334" t="n">
        <x:f>L91</x:f>
        <x:v>-23078.113644632846</x:v>
      </x:c>
      <x:c r="E334" t="n">
        <x:f>M91</x:f>
        <x:v>-24719.85672730935</x:v>
      </x:c>
    </x:row>
    <x:row r="335">
      <x:c r="A335" t="n">
        <x:f>I92</x:f>
        <x:v>-0.25</x:v>
      </x:c>
      <x:c r="B335" t="n">
        <x:f>J92</x:f>
        <x:v>-0.37081187517208036</x:v>
      </x:c>
      <x:c r="C335" t="n">
        <x:f>K92</x:f>
        <x:v>-7259.077562381237</x:v>
      </x:c>
      <x:c r="D335" t="n">
        <x:f>L92</x:f>
        <x:v>-21707.520208299306</x:v>
      </x:c>
      <x:c r="E335" t="n">
        <x:f>M92</x:f>
        <x:v>-23296.801058357276</x:v>
      </x:c>
    </x:row>
    <x:row r="336">
      <x:c r="A336" t="n">
        <x:f>I93</x:f>
        <x:v>-0.242</x:v>
      </x:c>
      <x:c r="B336" t="n">
        <x:f>J93</x:f>
        <x:v>-0.3417117286797975</x:v>
      </x:c>
      <x:c r="C336" t="n">
        <x:f>K93</x:f>
        <x:v>-6750.1435304916085</x:v>
      </x:c>
      <x:c r="D336" t="n">
        <x:f>L93</x:f>
        <x:v>-20367.91707237235</x:v>
      </x:c>
      <x:c r="E336" t="n">
        <x:f>M93</x:f>
        <x:v>-21904.22804430117</x:v>
      </x:c>
    </x:row>
    <x:row r="337">
      <x:c r="A337" t="n">
        <x:f>I94</x:f>
        <x:v>-0.233</x:v>
      </x:c>
      <x:c r="B337" t="n">
        <x:f>J94</x:f>
        <x:v>-0.3109789747541072</x:v>
      </x:c>
      <x:c r="C337" t="n">
        <x:f>K94</x:f>
        <x:v>-6197.6076393513285</x:v>
      </x:c>
      <x:c r="D337" t="n">
        <x:f>L94</x:f>
        <x:v>-18899.22242547247</x:v>
      </x:c>
      <x:c r="E337" t="n">
        <x:f>M94</x:f>
        <x:v>-20375.352826851115</x:v>
      </x:c>
    </x:row>
    <x:row r="338">
      <x:c r="A338" t="n">
        <x:f>I95</x:f>
        <x:v>-0.225</x:v>
      </x:c>
      <x:c r="B338" t="n">
        <x:f>J95</x:f>
        <x:v>-0.28536299915617747</x:v>
      </x:c>
      <x:c r="C338" t="n">
        <x:f>K95</x:f>
        <x:v>-5724.600396393598</x:v>
      </x:c>
      <x:c r="D338" t="n">
        <x:f>L95</x:f>
        <x:v>-17629.00388090052</x:v>
      </x:c>
      <x:c r="E338" t="n">
        <x:f>M95</x:f>
        <x:v>-19051.132271649607</x:v>
      </x:c>
    </x:row>
    <x:row r="339">
      <x:c r="A339" t="n">
        <x:f>I96</x:f>
        <x:v>-0.217</x:v>
      </x:c>
      <x:c r="B339" t="n">
        <x:f>J96</x:f>
        <x:v>-0.26127610188143535</x:v>
      </x:c>
      <x:c r="C339" t="n">
        <x:f>K96</x:f>
        <x:v>-5268.987544536823</x:v>
      </x:c>
      <x:c r="D339" t="n">
        <x:f>L96</x:f>
        <x:v>-16393.138607990768</x:v>
      </x:c>
      <x:c r="E339" t="n">
        <x:f>M96</x:f>
        <x:v>-17760.80185039583</x:v>
      </x:c>
    </x:row>
    <x:row r="340">
      <x:c r="A340" t="n">
        <x:f>I97</x:f>
        <x:v>-0.208</x:v>
      </x:c>
      <x:c r="B340" t="n">
        <x:f>J97</x:f>
        <x:v>-0.23592219111435497</x:v>
      </x:c>
      <x:c r="C340" t="n">
        <x:f>K97</x:f>
        <x:v>-4777.603842826582</x:v>
      </x:c>
      <x:c r="D340" t="n">
        <x:f>L97</x:f>
        <x:v>-15045.242230124342</x:v>
      </x:c>
      <x:c r="E340" t="n">
        <x:f>M97</x:f>
        <x:v>-16351.096914099966</x:v>
      </x:c>
    </x:row>
    <x:row r="341">
      <x:c r="A341" t="n">
        <x:f>I98</x:f>
        <x:v>-0.2</x:v>
      </x:c>
      <x:c r="B341" t="n">
        <x:f>J98</x:f>
        <x:v>-0.21486365220766857</x:v>
      </x:c>
      <x:c r="C341" t="n">
        <x:f>K98</x:f>
        <x:v>-4359.990199988479</x:v>
      </x:c>
      <x:c r="D341" t="n">
        <x:f>L98</x:f>
        <x:v>-13886.103797269352</x:v>
      </x:c>
      <x:c r="E341" t="n">
        <x:f>M98</x:f>
        <x:v>-15136.55814203358</x:v>
      </x:c>
    </x:row>
    <x:row r="342">
      <x:c r="A342" t="n">
        <x:f>I99</x:f>
        <x:v>-0.192</x:v>
      </x:c>
      <x:c r="B342" t="n">
        <x:f>J99</x:f>
        <x:v>-0.1951314257202057</x:v>
      </x:c>
      <x:c r="C342" t="n">
        <x:f>K99</x:f>
        <x:v>-3960.742176330219</x:v>
      </x:c>
      <x:c r="D342" t="n">
        <x:f>L99</x:f>
        <x:v>-12764.866565310112</x:v>
      </x:c>
      <x:c r="E342" t="n">
        <x:f>M99</x:f>
        <x:v>-13959.5036406426</x:v>
      </x:c>
    </x:row>
    <x:row r="343">
      <x:c r="A343" t="n">
        <x:f>I100</x:f>
        <x:v>-0.183</x:v>
      </x:c>
      <x:c r="B343" t="n">
        <x:f>J100</x:f>
        <x:v>-0.17444351947665382</x:v>
      </x:c>
      <x:c r="C343" t="n">
        <x:f>K100</x:f>
        <x:v>-3533.9191182778195</x:v>
      </x:c>
      <x:c r="D343" t="n">
        <x:f>L100</x:f>
        <x:v>-11550.242027722496</x:v>
      </x:c>
      <x:c r="E343" t="n">
        <x:f>M100</x:f>
        <x:v>-12681.604714695779</x:v>
      </x:c>
    </x:row>
    <x:row r="344">
      <x:c r="A344" t="n">
        <x:f>I101</x:f>
        <x:v>-0.175</x:v>
      </x:c>
      <x:c r="B344" t="n">
        <x:f>J101</x:f>
        <x:v>-0.15733377440119511</x:v>
      </x:c>
      <x:c r="C344" t="n">
        <x:f>K101</x:f>
        <x:v>-3174.698779983293</x:v>
      </x:c>
      <x:c r="D344" t="n">
        <x:f>L101</x:f>
        <x:v>-10513.46974524825</x:v>
      </x:c>
      <x:c r="E344" t="n">
        <x:f>M101</x:f>
        <x:v>-11588.17818289464</x:v>
      </x:c>
    </x:row>
    <x:row r="345">
      <x:c r="A345" t="n">
        <x:f>I102</x:f>
        <x:v>-0.167</x:v>
      </x:c>
      <x:c r="B345" t="n">
        <x:f>J102</x:f>
        <x:v>-0.14137113236063215</x:v>
      </x:c>
      <x:c r="C345" t="n">
        <x:f>K102</x:f>
        <x:v>-2834.7671819467178</x:v>
      </x:c>
      <x:c r="D345" t="n">
        <x:f>L102</x:f>
        <x:v>-9518.334244312478</x:v>
      </x:c>
      <x:c r="E345" t="n">
        <x:f>M102</x:f>
        <x:v>-10536.017531248719</x:v>
      </x:c>
    </x:row>
    <x:row r="346">
      <x:c r="A346" t="n">
        <x:f>I103</x:f>
        <x:v>-0.158</x:v>
      </x:c>
      <x:c r="B346" t="n">
        <x:f>J103</x:f>
        <x:v>-0.12471921807230046</x:v>
      </x:c>
      <x:c r="C346" t="n">
        <x:f>K103</x:f>
        <x:v>-2475.736579407454</x:v>
      </x:c>
      <x:c r="D346" t="n">
        <x:f>L103</x:f>
        <x:v>-8450.11460672399</x:v>
      </x:c>
      <x:c r="E346" t="n">
        <x:f>M103</x:f>
        <x:v>-9403.219768093775</x:v>
      </x:c>
    </x:row>
    <x:row r="347">
      <x:c r="A347" t="n">
        <x:f>I104</x:f>
        <x:v>-0.15</x:v>
      </x:c>
      <x:c r="B347" t="n">
        <x:f>J104</x:f>
        <x:v>-0.11102336728663431</x:v>
      </x:c>
      <x:c r="C347" t="n">
        <x:f>K104</x:f>
        <x:v>-2177.6671843117474</x:v>
      </x:c>
      <x:c r="D347" t="n">
        <x:f>L104</x:f>
        <x:v>-7547.5826717634845</x:v>
      </x:c>
      <x:c r="E347" t="n">
        <x:f>M104</x:f>
        <x:v>-8442.924503822665</x:v>
      </x:c>
    </x:row>
    <x:row r="348">
      <x:c r="A348" t="n">
        <x:f>I105</x:f>
        <x:v>-0.142</x:v>
      </x:c>
      <x:c r="B348" t="n">
        <x:f>J105</x:f>
        <x:v>-0.09831908205035234</x:v>
      </x:c>
      <x:c r="C348" t="n">
        <x:f>K105</x:f>
        <x:v>-1899.6570192596373</x:v>
      </x:c>
      <x:c r="D348" t="n">
        <x:f>L105</x:f>
        <x:v>-6690.610806332428</x:v>
      </x:c>
      <x:c r="E348" t="n">
        <x:f>M105</x:f>
        <x:v>-7527.867382246135</x:v>
      </x:c>
    </x:row>
    <x:row r="349">
      <x:c r="A349" t="n">
        <x:f>I106</x:f>
        <x:v>-0.133</x:v>
      </x:c>
      <x:c r="B349" t="n">
        <x:f>J106</x:f>
        <x:v>-0.08515635971855318</x:v>
      </x:c>
      <x:c r="C349" t="n">
        <x:f>K106</x:f>
        <x:v>-1611.097851974435</x:v>
      </x:c>
      <x:c r="D349" t="n">
        <x:f>L106</x:f>
        <x:v>-5782.586392976991</x:v>
      </x:c>
      <x:c r="E349" t="n">
        <x:f>M106</x:f>
        <x:v>-6554.136414658264</x:v>
      </x:c>
    </x:row>
    <x:row r="350">
      <x:c r="A350" t="n">
        <x:f>I107</x:f>
        <x:v>-0.125</x:v>
      </x:c>
      <x:c r="B350" t="n">
        <x:f>J107</x:f>
        <x:v>-0.07441357867173792</x:v>
      </x:c>
      <x:c r="C350" t="n">
        <x:f>K107</x:f>
        <x:v>-1376.257653004077</x:v>
      </x:c>
      <x:c r="D350" t="n">
        <x:f>L107</x:f>
        <x:v>-5026.741503405137</x:v>
      </x:c>
      <x:c r="E350" t="n">
        <x:f>M107</x:f>
        <x:v>-5739.591971731104</x:v>
      </x:c>
    </x:row>
    <x:row r="351">
      <x:c r="A351" t="n">
        <x:f>I108</x:f>
        <x:v>-0.117</x:v>
      </x:c>
      <x:c r="B351" t="n">
        <x:f>J108</x:f>
        <x:v>-0.06453059099612801</x:v>
      </x:c>
      <x:c r="C351" t="n">
        <x:f>K108</x:f>
        <x:v>-1161.8662425758666</x:v>
      </x:c>
      <x:c r="D351" t="n">
        <x:f>L108</x:f>
        <x:v>-4320.543295968455</x:v>
      </x:c>
      <x:c r="E351" t="n">
        <x:f>M108</x:f>
        <x:v>-4974.4518534386225</x:v>
      </x:c>
    </x:row>
    <x:row r="352">
      <x:c r="A352" t="n">
        <x:f>I109</x:f>
        <x:v>-0.108</x:v>
      </x:c>
      <x:c r="B352" t="n">
        <x:f>J109</x:f>
        <x:v>-0.05439381022904399</x:v>
      </x:c>
      <x:c r="C352" t="n">
        <x:f>K109</x:f>
        <x:v>-945.0864313584152</x:v>
      </x:c>
      <x:c r="D352" t="n">
        <x:f>L109</x:f>
        <x:v>-3587.063067524843</x:v>
      </x:c>
      <x:c r="E352" t="n">
        <x:f>M109</x:f>
        <x:v>-4174.431723955735</x:v>
      </x:c>
    </x:row>
    <x:row r="353">
      <x:c r="A353" t="n">
        <x:f>I110</x:f>
        <x:v>-0.1</x:v>
      </x:c>
      <x:c r="B353" t="n">
        <x:f>J110</x:f>
        <x:v>-0.04621763118234412</x:v>
      </x:c>
      <x:c r="C353" t="n">
        <x:f>K110</x:f>
        <x:v>-773.9404461593731</x:v>
      </x:c>
      <x:c r="D353" t="n">
        <x:f>L110</x:f>
        <x:v>-2990.7521080161314</x:v>
      </x:c>
      <x:c r="E353" t="n">
        <x:f>M110</x:f>
        <x:v>-3518.8494159470647</x:v>
      </x:c>
    </x:row>
    <x:row r="354">
      <x:c r="A354" t="n">
        <x:f>I111</x:f>
        <x:v>-0.092</x:v>
      </x:c>
      <x:c r="B354" t="n">
        <x:f>J111</x:f>
        <x:v>-0.038793322623632776</x:v>
      </x:c>
      <x:c r="C354" t="n">
        <x:f>K111</x:f>
        <x:v>-622.7876519774909</x:v>
      </x:c>
      <x:c r="D354" t="n">
        <x:f>L111</x:f>
        <x:v>-2448.174221919682</x:v>
      </x:c>
      <x:c r="E354" t="n">
        <x:f>M111</x:f>
        <x:v>-2916.9995331569153</x:v>
      </x:c>
    </x:row>
    <x:row r="355">
      <x:c r="A355" t="n">
        <x:f>I112</x:f>
        <x:v>-0.083</x:v>
      </x:c>
      <x:c r="B355" t="n">
        <x:f>J112</x:f>
        <x:v>-0.031303072409855304</x:v>
      </x:c>
      <x:c r="C355" t="n">
        <x:f>K112</x:f>
        <x:v>-476.0772849904715</x:v>
      </x:c>
      <x:c r="D355" t="n">
        <x:f>L112</x:f>
        <x:v>-1903.505948859045</x:v>
      </x:c>
      <x:c r="E355" t="n">
        <x:f>M112</x:f>
        <x:v>-2305.8725854526674</x:v>
      </x:c>
    </x:row>
    <x:row r="356">
      <x:c r="A356" t="n">
        <x:f>I113</x:f>
        <x:v>-0.075</x:v>
      </x:c>
      <x:c r="B356" t="n">
        <x:f>J113</x:f>
        <x:v>-0.025381627713954913</x:v>
      </x:c>
      <x:c r="C356" t="n">
        <x:f>K113</x:f>
        <x:v>-365.6858715468552</x:v>
      </x:c>
      <x:c r="D356" t="n">
        <x:f>L113</x:f>
        <x:v>-1478.9642244424758</x:v>
      </x:c>
      <x:c r="E356" t="n">
        <x:f>M113</x:f>
        <x:v>-1822.7678078152858</x:v>
      </x:c>
    </x:row>
    <x:row r="357">
      <x:c r="A357" t="n">
        <x:f>I114</x:f>
        <x:v>-0.067</x:v>
      </x:c>
      <x:c r="B357" t="n">
        <x:f>J114</x:f>
        <x:v>-0.02012804017840608</x:v>
      </x:c>
      <x:c r="C357" t="n">
        <x:f>K114</x:f>
        <x:v>-273.20619150514904</x:v>
      </x:c>
      <x:c r="D357" t="n">
        <x:f>L114</x:f>
        <x:v>-1111.366579203488</x:v>
      </x:c>
      <x:c r="E357" t="n">
        <x:f>M114</x:f>
        <x:v>-1397.552072156148</x:v>
      </x:c>
    </x:row>
    <x:row r="358">
      <x:c r="A358" t="n">
        <x:f>I115</x:f>
        <x:v>-0.058</x:v>
      </x:c>
      <x:c r="B358" t="n">
        <x:f>J115</x:f>
        <x:v>-0.014988976835297763</x:v>
      </x:c>
      <x:c r="C358" t="n">
        <x:f>K115</x:f>
        <x:v>-189.13531467878693</x:v>
      </x:c>
      <x:c r="D358" t="n">
        <x:f>L115</x:f>
        <x:v>-766.3118882481267</x:v>
      </x:c>
      <x:c r="E358" t="n">
        <x:f>M115</x:f>
        <x:v>-989.6747178815604</x:v>
      </x:c>
    </x:row>
    <x:row r="359">
      <x:c r="A359" t="n">
        <x:f>I116</x:f>
        <x:v>-0.05</x:v>
      </x:c>
      <x:c r="B359" t="n">
        <x:f>J116</x:f>
        <x:v>-0.011085185236197503</x:v>
      </x:c>
      <x:c r="C359" t="n">
        <x:f>K116</x:f>
        <x:v>-130.5838257490177</x:v>
      </x:c>
      <x:c r="D359" t="n">
        <x:f>L116</x:f>
        <x:v>-520.010223424264</x:v>
      </x:c>
      <x:c r="E359" t="n">
        <x:f>M116</x:f>
        <x:v>-690.4618564313296</x:v>
      </x:c>
    </x:row>
    <x:row r="360">
      <x:c r="A360" t="n">
        <x:f>I117</x:f>
        <x:v>-0.042</x:v>
      </x:c>
      <x:c r="B360" t="n">
        <x:f>J117</x:f>
        <x:v>-0.007789207541122778</x:v>
      </x:c>
      <x:c r="C360" t="n">
        <x:f>K117</x:f>
        <x:v>-85.53253798029891</x:v>
      </x:c>
      <x:c r="D360" t="n">
        <x:f>L117</x:f>
        <x:v>-328.85027552274187</x:v>
      </x:c>
      <x:c r="E360" t="n">
        <x:f>M117</x:f>
        <x:v>-450.68761011315837</x:v>
      </x:c>
    </x:row>
    <x:row r="361">
      <x:c r="A361" t="n">
        <x:f>I118</x:f>
        <x:v>-0.033</x:v>
      </x:c>
      <x:c r="B361" t="n">
        <x:f>J118</x:f>
        <x:v>-0.00479024185108301</x:v>
      </x:c>
      <x:c r="C361" t="n">
        <x:f>K118</x:f>
        <x:v>-48.70715008078969</x:v>
      </x:c>
      <x:c r="D361" t="n">
        <x:f>L118</x:f>
        <x:v>-175.28477054044197</x:v>
      </x:c>
      <x:c r="E361" t="n">
        <x:f>M118</x:f>
        <x:v>-249.93122636938642</x:v>
      </x:c>
    </x:row>
    <x:row r="362">
      <x:c r="A362" t="n">
        <x:f>I119</x:f>
        <x:v>-0.025</x:v>
      </x:c>
      <x:c r="B362" t="n">
        <x:f>J119</x:f>
        <x:v>-0.0027419606900593863</x:v>
      </x:c>
      <x:c r="C362" t="n">
        <x:f>K119</x:f>
        <x:v>-26.20922916708696</x:v>
      </x:c>
      <x:c r="D362" t="n">
        <x:f>L119</x:f>
        <x:v>-86.79473246431189</x:v>
      </x:c>
      <x:c r="E362" t="n">
        <x:f>M119</x:f>
        <x:v>-128.3739092290234</x:v>
      </x:c>
    </x:row>
    <x:row r="363">
      <x:c r="A363" t="n">
        <x:f>I120</x:f>
        <x:v>-0.017</x:v>
      </x:c>
      <x:c r="B363" t="n">
        <x:f>J120</x:f>
        <x:v>-0.0012654526615278883</x:v>
      </x:c>
      <x:c r="C363" t="n">
        <x:f>K120</x:f>
        <x:v>-11.501173772391667</x:v>
      </x:c>
      <x:c r="D363" t="n">
        <x:f>L120</x:f>
        <x:v>-34.56744155919023</x:v>
      </x:c>
      <x:c r="E363" t="n">
        <x:f>M120</x:f>
        <x:v>-52.890554438504296</x:v>
      </x:c>
    </x:row>
    <x:row r="364">
      <x:c r="A364" t="n">
        <x:f>I121</x:f>
        <x:v>-0.008</x:v>
      </x:c>
      <x:c r="B364" t="n">
        <x:f>J121</x:f>
        <x:v>-0.0002798786321136504</x:v>
      </x:c>
      <x:c r="C364" t="n">
        <x:f>K121</x:f>
        <x:v>-2.4515400940208565</x:v>
      </x:c>
      <x:c r="D364" t="n">
        <x:f>L121</x:f>
        <x:v>-6.7016754171791035</x:v>
      </x:c>
      <x:c r="E364" t="n">
        <x:f>M121</x:f>
        <x:v>-10.54136055730396</x:v>
      </x:c>
    </x:row>
    <x:row r="365">
      <x:c r="A365" t="n">
        <x:f>I122</x:f>
        <x:v>0</x:v>
      </x:c>
      <x:c r="B365" t="n">
        <x:f>J122</x:f>
        <x:v>0</x:v>
      </x:c>
      <x:c r="C365" t="n">
        <x:f>K122</x:f>
        <x:v>0</x:v>
      </x:c>
      <x:c r="D365" t="n">
        <x:f>L122</x:f>
        <x:v>0</x:v>
      </x:c>
      <x:c r="E365" t="n">
        <x:f>M122</x:f>
        <x:v>0</x:v>
      </x:c>
    </x:row>
    <x:row r="366">
      <x:c r="A366" t="n">
        <x:f>I123</x:f>
        <x:v>0.008</x:v>
      </x:c>
      <x:c r="B366" t="n">
        <x:f>J123</x:f>
        <x:v>-0.0002798786321136504</x:v>
      </x:c>
      <x:c r="C366" t="n">
        <x:f>K123</x:f>
        <x:v>-2.4515400940208565</x:v>
      </x:c>
      <x:c r="D366" t="n">
        <x:f>L123</x:f>
        <x:v>-6.7016754171791035</x:v>
      </x:c>
      <x:c r="E366" t="n">
        <x:f>M123</x:f>
        <x:v>-10.54136055730396</x:v>
      </x:c>
    </x:row>
    <x:row r="367">
      <x:c r="A367" t="n">
        <x:f>I124</x:f>
        <x:v>0.017</x:v>
      </x:c>
      <x:c r="B367" t="n">
        <x:f>J124</x:f>
        <x:v>-0.0012654526615278883</x:v>
      </x:c>
      <x:c r="C367" t="n">
        <x:f>K124</x:f>
        <x:v>-11.501173772391667</x:v>
      </x:c>
      <x:c r="D367" t="n">
        <x:f>L124</x:f>
        <x:v>-34.56744155918659</x:v>
      </x:c>
      <x:c r="E367" t="n">
        <x:f>M124</x:f>
        <x:v>-52.89055443850248</x:v>
      </x:c>
    </x:row>
    <x:row r="368">
      <x:c r="A368" t="n">
        <x:f>I125</x:f>
        <x:v>0.025</x:v>
      </x:c>
      <x:c r="B368" t="n">
        <x:f>J125</x:f>
        <x:v>-0.0027419606900593863</x:v>
      </x:c>
      <x:c r="C368" t="n">
        <x:f>K125</x:f>
        <x:v>-26.20922916708696</x:v>
      </x:c>
      <x:c r="D368" t="n">
        <x:f>L125</x:f>
        <x:v>-86.79473246430734</x:v>
      </x:c>
      <x:c r="E368" t="n">
        <x:f>M125</x:f>
        <x:v>-128.37390922901977</x:v>
      </x:c>
    </x:row>
    <x:row r="369">
      <x:c r="A369" t="n">
        <x:f>I126</x:f>
        <x:v>0.033</x:v>
      </x:c>
      <x:c r="B369" t="n">
        <x:f>J126</x:f>
        <x:v>-0.00479024185108301</x:v>
      </x:c>
      <x:c r="C369" t="n">
        <x:f>K126</x:f>
        <x:v>-48.70715008078969</x:v>
      </x:c>
      <x:c r="D369" t="n">
        <x:f>L126</x:f>
        <x:v>-175.28477054044197</x:v>
      </x:c>
      <x:c r="E369" t="n">
        <x:f>M126</x:f>
        <x:v>-249.93122636938642</x:v>
      </x:c>
    </x:row>
    <x:row r="370">
      <x:c r="A370" t="n">
        <x:f>I127</x:f>
        <x:v>0.042</x:v>
      </x:c>
      <x:c r="B370" t="n">
        <x:f>J127</x:f>
        <x:v>-0.007789207541122778</x:v>
      </x:c>
      <x:c r="C370" t="n">
        <x:f>K127</x:f>
        <x:v>-85.53253798029891</x:v>
      </x:c>
      <x:c r="D370" t="n">
        <x:f>L127</x:f>
        <x:v>-328.85027552274187</x:v>
      </x:c>
      <x:c r="E370" t="n">
        <x:f>M127</x:f>
        <x:v>-450.68761011315837</x:v>
      </x:c>
    </x:row>
    <x:row r="371">
      <x:c r="A371" t="n">
        <x:f>I128</x:f>
        <x:v>0.05</x:v>
      </x:c>
      <x:c r="B371" t="n">
        <x:f>J128</x:f>
        <x:v>-0.011085185236197503</x:v>
      </x:c>
      <x:c r="C371" t="n">
        <x:f>K128</x:f>
        <x:v>-130.5838257490177</x:v>
      </x:c>
      <x:c r="D371" t="n">
        <x:f>L128</x:f>
        <x:v>-520.010223424264</x:v>
      </x:c>
      <x:c r="E371" t="n">
        <x:f>M128</x:f>
        <x:v>-690.4618564313296</x:v>
      </x:c>
    </x:row>
    <x:row r="372">
      <x:c r="A372" t="n">
        <x:f>I129</x:f>
        <x:v>0.058</x:v>
      </x:c>
      <x:c r="B372" t="n">
        <x:f>J129</x:f>
        <x:v>-0.014988976835297763</x:v>
      </x:c>
      <x:c r="C372" t="n">
        <x:f>K129</x:f>
        <x:v>-189.13531467878693</x:v>
      </x:c>
      <x:c r="D372" t="n">
        <x:f>L129</x:f>
        <x:v>-766.3118882481267</x:v>
      </x:c>
      <x:c r="E372" t="n">
        <x:f>M129</x:f>
        <x:v>-989.6747178815604</x:v>
      </x:c>
    </x:row>
    <x:row r="373">
      <x:c r="A373" t="n">
        <x:f>I130</x:f>
        <x:v>0.067</x:v>
      </x:c>
      <x:c r="B373" t="n">
        <x:f>J130</x:f>
        <x:v>-0.02012804017840608</x:v>
      </x:c>
      <x:c r="C373" t="n">
        <x:f>K130</x:f>
        <x:v>-273.20619150514904</x:v>
      </x:c>
      <x:c r="D373" t="n">
        <x:f>L130</x:f>
        <x:v>-1111.366579203488</x:v>
      </x:c>
      <x:c r="E373" t="n">
        <x:f>M130</x:f>
        <x:v>-1397.552072156148</x:v>
      </x:c>
    </x:row>
    <x:row r="374">
      <x:c r="A374" t="n">
        <x:f>I131</x:f>
        <x:v>0.075</x:v>
      </x:c>
      <x:c r="B374" t="n">
        <x:f>J131</x:f>
        <x:v>-0.025381627713954913</x:v>
      </x:c>
      <x:c r="C374" t="n">
        <x:f>K131</x:f>
        <x:v>-365.6858715468552</x:v>
      </x:c>
      <x:c r="D374" t="n">
        <x:f>L131</x:f>
        <x:v>-1478.9642244424758</x:v>
      </x:c>
      <x:c r="E374" t="n">
        <x:f>M131</x:f>
        <x:v>-1822.7678078152858</x:v>
      </x:c>
    </x:row>
    <x:row r="375">
      <x:c r="A375" t="n">
        <x:f>I132</x:f>
        <x:v>0.083</x:v>
      </x:c>
      <x:c r="B375" t="n">
        <x:f>J132</x:f>
        <x:v>-0.031303072409855304</x:v>
      </x:c>
      <x:c r="C375" t="n">
        <x:f>K132</x:f>
        <x:v>-476.0772849904715</x:v>
      </x:c>
      <x:c r="D375" t="n">
        <x:f>L132</x:f>
        <x:v>-1903.505948859045</x:v>
      </x:c>
      <x:c r="E375" t="n">
        <x:f>M132</x:f>
        <x:v>-2305.8725854526674</x:v>
      </x:c>
    </x:row>
    <x:row r="376">
      <x:c r="A376" t="n">
        <x:f>I133</x:f>
        <x:v>0.092</x:v>
      </x:c>
      <x:c r="B376" t="n">
        <x:f>J133</x:f>
        <x:v>-0.038793322623632776</x:v>
      </x:c>
      <x:c r="C376" t="n">
        <x:f>K133</x:f>
        <x:v>-622.7876519774909</x:v>
      </x:c>
      <x:c r="D376" t="n">
        <x:f>L133</x:f>
        <x:v>-2448.174221919682</x:v>
      </x:c>
      <x:c r="E376" t="n">
        <x:f>M133</x:f>
        <x:v>-2916.9995331569153</x:v>
      </x:c>
    </x:row>
    <x:row r="377">
      <x:c r="A377" t="n">
        <x:f>I134</x:f>
        <x:v>0.1</x:v>
      </x:c>
      <x:c r="B377" t="n">
        <x:f>J134</x:f>
        <x:v>-0.04621763118234412</x:v>
      </x:c>
      <x:c r="C377" t="n">
        <x:f>K134</x:f>
        <x:v>-773.9404461593822</x:v>
      </x:c>
      <x:c r="D377" t="n">
        <x:f>L134</x:f>
        <x:v>-2990.7521080161423</x:v>
      </x:c>
      <x:c r="E377" t="n">
        <x:f>M134</x:f>
        <x:v>-3518.8494159470793</x:v>
      </x:c>
    </x:row>
    <x:row r="378">
      <x:c r="A378" t="n">
        <x:f>I135</x:f>
        <x:v>0.108</x:v>
      </x:c>
      <x:c r="B378" t="n">
        <x:f>J135</x:f>
        <x:v>-0.05439381022904399</x:v>
      </x:c>
      <x:c r="C378" t="n">
        <x:f>K135</x:f>
        <x:v>-945.0864313584188</x:v>
      </x:c>
      <x:c r="D378" t="n">
        <x:f>L135</x:f>
        <x:v>-3587.0630675248613</x:v>
      </x:c>
      <x:c r="E378" t="n">
        <x:f>M135</x:f>
        <x:v>-4174.4317239557495</x:v>
      </x:c>
    </x:row>
    <x:row r="379">
      <x:c r="A379" t="n">
        <x:f>I136</x:f>
        <x:v>0.117</x:v>
      </x:c>
      <x:c r="B379" t="n">
        <x:f>J136</x:f>
        <x:v>-0.06453059099612801</x:v>
      </x:c>
      <x:c r="C379" t="n">
        <x:f>K136</x:f>
        <x:v>-1161.8662425758666</x:v>
      </x:c>
      <x:c r="D379" t="n">
        <x:f>L136</x:f>
        <x:v>-4320.543295968455</x:v>
      </x:c>
      <x:c r="E379" t="n">
        <x:f>M136</x:f>
        <x:v>-4974.4518534386225</x:v>
      </x:c>
    </x:row>
    <x:row r="380">
      <x:c r="A380" t="n">
        <x:f>I137</x:f>
        <x:v>0.125</x:v>
      </x:c>
      <x:c r="B380" t="n">
        <x:f>J137</x:f>
        <x:v>-0.07441357867173792</x:v>
      </x:c>
      <x:c r="C380" t="n">
        <x:f>K137</x:f>
        <x:v>-1376.257653004077</x:v>
      </x:c>
      <x:c r="D380" t="n">
        <x:f>L137</x:f>
        <x:v>-5026.741503405137</x:v>
      </x:c>
      <x:c r="E380" t="n">
        <x:f>M137</x:f>
        <x:v>-5739.591971731104</x:v>
      </x:c>
    </x:row>
    <x:row r="381">
      <x:c r="A381" t="n">
        <x:f>I138</x:f>
        <x:v>0.133</x:v>
      </x:c>
      <x:c r="B381" t="n">
        <x:f>J138</x:f>
        <x:v>-0.08515635971855318</x:v>
      </x:c>
      <x:c r="C381" t="n">
        <x:f>K138</x:f>
        <x:v>-1611.097851974435</x:v>
      </x:c>
      <x:c r="D381" t="n">
        <x:f>L138</x:f>
        <x:v>-5782.586392976991</x:v>
      </x:c>
      <x:c r="E381" t="n">
        <x:f>M138</x:f>
        <x:v>-6554.136414658264</x:v>
      </x:c>
    </x:row>
    <x:row r="382">
      <x:c r="A382" t="n">
        <x:f>I139</x:f>
        <x:v>0.142</x:v>
      </x:c>
      <x:c r="B382" t="n">
        <x:f>J139</x:f>
        <x:v>-0.09831908205035234</x:v>
      </x:c>
      <x:c r="C382" t="n">
        <x:f>K139</x:f>
        <x:v>-1899.6570192596264</x:v>
      </x:c>
      <x:c r="D382" t="n">
        <x:f>L139</x:f>
        <x:v>-6690.6108063344145</x:v>
      </x:c>
      <x:c r="E382" t="n">
        <x:f>M139</x:f>
        <x:v>-7527.867382244032</x:v>
      </x:c>
    </x:row>
    <x:row r="383">
      <x:c r="A383" t="n">
        <x:f>I140</x:f>
        <x:v>0.15</x:v>
      </x:c>
      <x:c r="B383" t="n">
        <x:f>J140</x:f>
        <x:v>-0.11102336728663431</x:v>
      </x:c>
      <x:c r="C383" t="n">
        <x:f>K140</x:f>
        <x:v>-2177.66718431174</x:v>
      </x:c>
      <x:c r="D383" t="n">
        <x:f>L140</x:f>
        <x:v>-7547.58267176729</x:v>
      </x:c>
      <x:c r="E383" t="n">
        <x:f>M140</x:f>
        <x:v>-8442.924503822644</x:v>
      </x:c>
    </x:row>
    <x:row r="384">
      <x:c r="A384" t="n">
        <x:f>I141</x:f>
        <x:v>0.158</x:v>
      </x:c>
      <x:c r="B384" t="n">
        <x:f>J141</x:f>
        <x:v>-0.12471921807230046</x:v>
      </x:c>
      <x:c r="C384" t="n">
        <x:f>K141</x:f>
        <x:v>-2475.736579407454</x:v>
      </x:c>
      <x:c r="D384" t="n">
        <x:f>L141</x:f>
        <x:v>-8450.11460672399</x:v>
      </x:c>
      <x:c r="E384" t="n">
        <x:f>M141</x:f>
        <x:v>-9403.219768093775</x:v>
      </x:c>
    </x:row>
    <x:row r="385">
      <x:c r="A385" t="n">
        <x:f>I142</x:f>
        <x:v>0.167</x:v>
      </x:c>
      <x:c r="B385" t="n">
        <x:f>J142</x:f>
        <x:v>-0.14137113236063215</x:v>
      </x:c>
      <x:c r="C385" t="n">
        <x:f>K142</x:f>
        <x:v>-2834.7671819467178</x:v>
      </x:c>
      <x:c r="D385" t="n">
        <x:f>L142</x:f>
        <x:v>-9518.334244312478</x:v>
      </x:c>
      <x:c r="E385" t="n">
        <x:f>M142</x:f>
        <x:v>-10536.017531248719</x:v>
      </x:c>
    </x:row>
    <x:row r="386">
      <x:c r="A386" t="n">
        <x:f>I143</x:f>
        <x:v>0.175</x:v>
      </x:c>
      <x:c r="B386" t="n">
        <x:f>J143</x:f>
        <x:v>-0.15733377440119511</x:v>
      </x:c>
      <x:c r="C386" t="n">
        <x:f>K143</x:f>
        <x:v>-3174.698779983293</x:v>
      </x:c>
      <x:c r="D386" t="n">
        <x:f>L143</x:f>
        <x:v>-10513.46974524825</x:v>
      </x:c>
      <x:c r="E386" t="n">
        <x:f>M143</x:f>
        <x:v>-11588.17818289464</x:v>
      </x:c>
    </x:row>
    <x:row r="387">
      <x:c r="A387" t="n">
        <x:f>I144</x:f>
        <x:v>0.183</x:v>
      </x:c>
      <x:c r="B387" t="n">
        <x:f>J144</x:f>
        <x:v>-0.17444351947665382</x:v>
      </x:c>
      <x:c r="C387" t="n">
        <x:f>K144</x:f>
        <x:v>-3533.9191182778195</x:v>
      </x:c>
      <x:c r="D387" t="n">
        <x:f>L144</x:f>
        <x:v>-11550.242027722496</x:v>
      </x:c>
      <x:c r="E387" t="n">
        <x:f>M144</x:f>
        <x:v>-12681.604714695779</x:v>
      </x:c>
    </x:row>
    <x:row r="388">
      <x:c r="A388" t="n">
        <x:f>I145</x:f>
        <x:v>0.192</x:v>
      </x:c>
      <x:c r="B388" t="n">
        <x:f>J145</x:f>
        <x:v>-0.1951314257202057</x:v>
      </x:c>
      <x:c r="C388" t="n">
        <x:f>K145</x:f>
        <x:v>-3960.742176330219</x:v>
      </x:c>
      <x:c r="D388" t="n">
        <x:f>L145</x:f>
        <x:v>-12764.866565310112</x:v>
      </x:c>
      <x:c r="E388" t="n">
        <x:f>M145</x:f>
        <x:v>-13959.5036406426</x:v>
      </x:c>
    </x:row>
    <x:row r="389">
      <x:c r="A389" t="n">
        <x:f>I146</x:f>
        <x:v>0.2</x:v>
      </x:c>
      <x:c r="B389" t="n">
        <x:f>J146</x:f>
        <x:v>-0.21486365220766857</x:v>
      </x:c>
      <x:c r="C389" t="n">
        <x:f>K146</x:f>
        <x:v>-4359.990199988479</x:v>
      </x:c>
      <x:c r="D389" t="n">
        <x:f>L146</x:f>
        <x:v>-13886.103797269352</x:v>
      </x:c>
      <x:c r="E389" t="n">
        <x:f>M146</x:f>
        <x:v>-15136.55814203358</x:v>
      </x:c>
    </x:row>
    <x:row r="390">
      <x:c r="A390" t="n">
        <x:f>I147</x:f>
        <x:v>0.208</x:v>
      </x:c>
      <x:c r="B390" t="n">
        <x:f>J147</x:f>
        <x:v>-0.23592219111435497</x:v>
      </x:c>
      <x:c r="C390" t="n">
        <x:f>K147</x:f>
        <x:v>-4777.603842826582</x:v>
      </x:c>
      <x:c r="D390" t="n">
        <x:f>L147</x:f>
        <x:v>-15045.242230124342</x:v>
      </x:c>
      <x:c r="E390" t="n">
        <x:f>M147</x:f>
        <x:v>-16351.096914099966</x:v>
      </x:c>
    </x:row>
    <x:row r="391">
      <x:c r="A391" t="n">
        <x:f>I148</x:f>
        <x:v>0.217</x:v>
      </x:c>
      <x:c r="B391" t="n">
        <x:f>J148</x:f>
        <x:v>-0.26127610188143535</x:v>
      </x:c>
      <x:c r="C391" t="n">
        <x:f>K148</x:f>
        <x:v>-5268.987544536823</x:v>
      </x:c>
      <x:c r="D391" t="n">
        <x:f>L148</x:f>
        <x:v>-16393.138607990768</x:v>
      </x:c>
      <x:c r="E391" t="n">
        <x:f>M148</x:f>
        <x:v>-17760.80185039583</x:v>
      </x:c>
    </x:row>
    <x:row r="392">
      <x:c r="A392" t="n">
        <x:f>I149</x:f>
        <x:v>0.225</x:v>
      </x:c>
      <x:c r="B392" t="n">
        <x:f>J149</x:f>
        <x:v>-0.28536299915617747</x:v>
      </x:c>
      <x:c r="C392" t="n">
        <x:f>K149</x:f>
        <x:v>-5724.6003963936055</x:v>
      </x:c>
      <x:c r="D392" t="n">
        <x:f>L149</x:f>
        <x:v>-17629.00388090196</x:v>
      </x:c>
      <x:c r="E392" t="n">
        <x:f>M149</x:f>
        <x:v>-19051.13227164834</x:v>
      </x:c>
    </x:row>
    <x:row r="393">
      <x:c r="A393" t="n">
        <x:f>I150</x:f>
        <x:v>0.233</x:v>
      </x:c>
      <x:c r="B393" t="n">
        <x:f>J150</x:f>
        <x:v>-0.3109789747541072</x:v>
      </x:c>
      <x:c r="C393" t="n">
        <x:f>K150</x:f>
        <x:v>-6197.607639351343</x:v>
      </x:c>
      <x:c r="D393" t="n">
        <x:f>L150</x:f>
        <x:v>-18899.2224254725</x:v>
      </x:c>
      <x:c r="E393" t="n">
        <x:f>M150</x:f>
        <x:v>-20375.352826851158</x:v>
      </x:c>
    </x:row>
    <x:row r="394">
      <x:c r="A394" t="n">
        <x:f>I151</x:f>
        <x:v>0.242</x:v>
      </x:c>
      <x:c r="B394" t="n">
        <x:f>J151</x:f>
        <x:v>-0.3417117286797975</x:v>
      </x:c>
      <x:c r="C394" t="n">
        <x:f>K151</x:f>
        <x:v>-6750.1435304916085</x:v>
      </x:c>
      <x:c r="D394" t="n">
        <x:f>L151</x:f>
        <x:v>-20367.91707237235</x:v>
      </x:c>
      <x:c r="E394" t="n">
        <x:f>M151</x:f>
        <x:v>-21904.22804430117</x:v>
      </x:c>
    </x:row>
    <x:row r="395">
      <x:c r="A395" t="n">
        <x:f>I152</x:f>
        <x:v>0.25</x:v>
      </x:c>
      <x:c r="B395" t="n">
        <x:f>J152</x:f>
        <x:v>-0.37081187517208036</x:v>
      </x:c>
      <x:c r="C395" t="n">
        <x:f>K152</x:f>
        <x:v>-7259.077562381237</x:v>
      </x:c>
      <x:c r="D395" t="n">
        <x:f>L152</x:f>
        <x:v>-21707.520208299306</x:v>
      </x:c>
      <x:c r="E395" t="n">
        <x:f>M152</x:f>
        <x:v>-23296.801058357276</x:v>
      </x:c>
    </x:row>
    <x:row r="396">
      <x:c r="A396" t="n">
        <x:f>I153</x:f>
        <x:v>0.258</x:v>
      </x:c>
      <x:c r="B396" t="n">
        <x:f>J153</x:f>
        <x:v>-0.4016673031354685</x:v>
      </x:c>
      <x:c r="C396" t="n">
        <x:f>K153</x:f>
        <x:v>-7784.433251420131</x:v>
      </x:c>
      <x:c r="D396" t="n">
        <x:f>L153</x:f>
        <x:v>-23078.113644632846</x:v>
      </x:c>
      <x:c r="E396" t="n">
        <x:f>M153</x:f>
        <x:v>-24719.85672730935</x:v>
      </x:c>
    </x:row>
    <x:row r="397">
      <x:c r="A397" t="n">
        <x:f>I154</x:f>
        <x:v>0.267</x:v>
      </x:c>
      <x:c r="B397" t="n">
        <x:f>J154</x:f>
        <x:v>-0.43857412502381976</x:v>
      </x:c>
      <x:c r="C397" t="n">
        <x:f>K154</x:f>
        <x:v>-8394.704215810802</x:v>
      </x:c>
      <x:c r="D397" t="n">
        <x:f>L154</x:f>
        <x:v>-24655.78332287309</x:v>
      </x:c>
      <x:c r="E397" t="n">
        <x:f>M154</x:f>
        <x:v>-26355.92282022882</x:v>
      </x:c>
    </x:row>
    <x:row r="398">
      <x:c r="A398" t="n">
        <x:f>I155</x:f>
        <x:v>0.275</x:v>
      </x:c>
      <x:c r="B398" t="n">
        <x:f>J155</x:f>
        <x:v>-0.4734191912100414</x:v>
      </x:c>
      <x:c r="C398" t="n">
        <x:f>K155</x:f>
        <x:v>-8953.936813088847</x:v>
      </x:c>
      <x:c r="D398" t="n">
        <x:f>L155</x:f>
        <x:v>-26088.80968164916</x:v>
      </x:c>
      <x:c r="E398" t="n">
        <x:f>M155</x:f>
        <x:v>-27840.28839250606</x:v>
      </x:c>
    </x:row>
    <x:row r="399">
      <x:c r="A399" t="n">
        <x:f>I156</x:f>
        <x:v>0.283</x:v>
      </x:c>
      <x:c r="B399" t="n">
        <x:f>J156</x:f>
        <x:v>-0.5102690384285324</x:v>
      </x:c>
      <x:c r="C399" t="n">
        <x:f>K156</x:f>
        <x:v>-9528.637373909558</x:v>
      </x:c>
      <x:c r="D399" t="n">
        <x:f>L156</x:f>
        <x:v>-27549.646131814996</x:v>
      </x:c>
      <x:c r="E399" t="n">
        <x:f>M156</x:f>
        <x:v>-29351.91580166442</x:v>
      </x:c>
    </x:row>
    <x:row r="400">
      <x:c r="A400" t="n">
        <x:f>I157</x:f>
        <x:v>0.292</x:v>
      </x:c>
      <x:c r="B400" t="n">
        <x:f>J157</x:f>
        <x:v>-0.554227051803764</x:v>
      </x:c>
      <x:c r="C400" t="n">
        <x:f>K157</x:f>
        <x:v>-10193.291736298088</x:v>
      </x:c>
      <x:c r="D400" t="n">
        <x:f>L157</x:f>
        <x:v>-29225.110156036026</x:v>
      </x:c>
      <x:c r="E400" t="n">
        <x:f>M157</x:f>
        <x:v>-31083.84952937637</x:v>
      </x:c>
    </x:row>
    <x:row r="401">
      <x:c r="A401" t="n">
        <x:f>I158</x:f>
        <x:v>0.3</x:v>
      </x:c>
      <x:c r="B401" t="n">
        <x:f>J158</x:f>
        <x:v>-0.5956213488765343</x:v>
      </x:c>
      <x:c r="C401" t="n">
        <x:f>K158</x:f>
        <x:v>-10799.871032643307</x:v>
      </x:c>
      <x:c r="D401" t="n">
        <x:f>L158</x:f>
        <x:v>-30741.8141453946</x:v>
      </x:c>
      <x:c r="E401" t="n">
        <x:f>M158</x:f>
        <x:v>-32650.140682705838</x:v>
      </x:c>
    </x:row>
    <x:row r="402">
      <x:c r="A402" t="n">
        <x:f>I159</x:f>
        <x:v>0.308</x:v>
      </x:c>
      <x:c r="B402" t="n">
        <x:f>J159</x:f>
        <x:v>-0.6392930692547907</x:v>
      </x:c>
      <x:c r="C402" t="n">
        <x:f>K159</x:f>
        <x:v>-11420.992588521869</x:v>
      </x:c>
      <x:c r="D402" t="n">
        <x:f>L159</x:f>
        <x:v>-32283.3287901734</x:v>
      </x:c>
      <x:c r="E402" t="n">
        <x:f>M159</x:f>
        <x:v>-34240.659083493854</x:v>
      </x:c>
    </x:row>
    <x:row r="403">
      <x:c r="A403" t="n">
        <x:f>I160</x:f>
        <x:v>0.317</x:v>
      </x:c>
      <x:c r="B403" t="n">
        <x:f>J160</x:f>
        <x:v>-0.6912607618419315</x:v>
      </x:c>
      <x:c r="C403" t="n">
        <x:f>K160</x:f>
        <x:v>-12136.776407525518</x:v>
      </x:c>
      <x:c r="D403" t="n">
        <x:f>L160</x:f>
        <x:v>-34046.04194794646</x:v>
      </x:c>
      <x:c r="E403" t="n">
        <x:f>M160</x:f>
        <x:v>-36057.79176290192</x:v>
      </x:c>
    </x:row>
    <x:row r="404">
      <x:c r="A404" t="n">
        <x:f>I161</x:f>
        <x:v>0.325</x:v>
      </x:c>
      <x:c r="B404" t="n">
        <x:f>J161</x:f>
        <x:v>-0.7400807499819848</x:v>
      </x:c>
      <x:c r="C404" t="n">
        <x:f>K161</x:f>
        <x:v>-12787.842801368242</x:v>
      </x:c>
      <x:c r="D404" t="n">
        <x:f>L161</x:f>
        <x:v>-35637.24050020533</x:v>
      </x:c>
      <x:c r="E404" t="n">
        <x:f>M161</x:f>
        <x:v>-37696.722160192</x:v>
      </x:c>
    </x:row>
    <x:row r="405">
      <x:c r="A405" t="n">
        <x:f>I162</x:f>
        <x:v>0.333</x:v>
      </x:c>
      <x:c r="B405" t="n">
        <x:f>J162</x:f>
        <x:v>-0.791473780832689</x:v>
      </x:c>
      <x:c r="C405" t="n">
        <x:f>K162</x:f>
        <x:v>-13452.557524737189</x:v>
      </x:c>
      <x:c r="D405" t="n">
        <x:f>L162</x:f>
        <x:v>-37250.42865196265</x:v>
      </x:c>
      <x:c r="E405" t="n">
        <x:f>M162</x:f>
        <x:v>-39357.029917001244</x:v>
      </x:c>
    </x:row>
    <x:row r="406">
      <x:c r="A406" t="n">
        <x:f>I163</x:f>
        <x:v>0.342</x:v>
      </x:c>
      <x:c r="B406" t="n">
        <x:f>J163</x:f>
        <x:v>-0.8524904108952569</x:v>
      </x:c>
      <x:c r="C406" t="n">
        <x:f>K163</x:f>
        <x:v>-14216.328265502132</x:v>
      </x:c>
      <x:c r="D406" t="n">
        <x:f>L163</x:f>
        <x:v>-39090.47273823073</x:v>
      </x:c>
      <x:c r="E406" t="n">
        <x:f>M163</x:f>
        <x:v>-41249.34202215604</x:v>
      </x:c>
    </x:row>
    <x:row r="407">
      <x:c r="A407" t="n">
        <x:f>I164</x:f>
        <x:v>0.35</x:v>
      </x:c>
      <x:c r="B407" t="n">
        <x:f>J164</x:f>
        <x:v>-0.9096841644008009</x:v>
      </x:c>
      <x:c r="C407" t="n">
        <x:f>K164</x:f>
        <x:v>-14909.123361914171</x:v>
      </x:c>
      <x:c r="D407" t="n">
        <x:f>L164</x:f>
        <x:v>-40747.537049505336</x:v>
      </x:c>
      <x:c r="E407" t="n">
        <x:f>M164</x:f>
        <x:v>-42952.19979250127</x:v>
      </x:c>
    </x:row>
    <x:row r="408">
      <x:c r="A408" t="n">
        <x:f>I165</x:f>
        <x:v>0.358</x:v>
      </x:c>
      <x:c r="B408" t="n">
        <x:f>J165</x:f>
        <x:v>-0.9697693759256936</x:v>
      </x:c>
      <x:c r="C408" t="n">
        <x:f>K165</x:f>
        <x:v>-15614.706103309647</x:v>
      </x:c>
      <x:c r="D408" t="n">
        <x:f>L165</x:f>
        <x:v>-42423.945096951444</x:v>
      </x:c>
      <x:c r="E408" t="n">
        <x:f>M165</x:f>
        <x:v>-44673.76686765764</x:v>
      </x:c>
    </x:row>
    <x:row r="409">
      <x:c r="A409" t="n">
        <x:f>I166</x:f>
        <x:v>0.367</x:v>
      </x:c>
      <x:c r="B409" t="n">
        <x:f>J166</x:f>
        <x:v>-1.0409543459660426</x:v>
      </x:c>
      <x:c r="C409" t="n">
        <x:f>K166</x:f>
        <x:v>-16423.437974027576</x:v>
      </x:c>
      <x:c r="D409" t="n">
        <x:f>L166</x:f>
        <x:v>-44332.01768741835</x:v>
      </x:c>
      <x:c r="E409" t="n">
        <x:f>M166</x:f>
        <x:v>-46631.87794663398</x:v>
      </x:c>
    </x:row>
    <x:row r="410">
      <x:c r="A410" t="n">
        <x:f>I167</x:f>
        <x:v>0.375</x:v>
      </x:c>
      <x:c r="B410" t="n">
        <x:f>J167</x:f>
        <x:v>-1.1075409744717035</x:v>
      </x:c>
      <x:c r="C410" t="n">
        <x:f>K167</x:f>
        <x:v>-17155.30788033462</x:v>
      </x:c>
      <x:c r="D410" t="n">
        <x:f>L167</x:f>
        <x:v>-46046.86225919663</x:v>
      </x:c>
      <x:c r="E410" t="n">
        <x:f>M167</x:f>
        <x:v>-48390.51527485564</x:v>
      </x:c>
    </x:row>
    <x:row r="411">
      <x:c r="A411" t="n">
        <x:f>I168</x:f>
        <x:v>0.383</x:v>
      </x:c>
      <x:c r="B411" t="n">
        <x:f>J168</x:f>
        <x:v>-1.1773600760669751</x:v>
      </x:c>
      <x:c r="C411" t="n">
        <x:f>K168</x:f>
        <x:v>-17899.1384159448</x:v>
      </x:c>
      <x:c r="D411" t="n">
        <x:f>L168</x:f>
        <x:v>-47778.5757557234</x:v>
      </x:c>
      <x:c r="E411" t="n">
        <x:f>M168</x:f>
        <x:v>-50165.37147334049</x:v>
      </x:c>
    </x:row>
    <x:row r="412">
      <x:c r="A412" t="n">
        <x:f>I169</x:f>
        <x:v>0.392</x:v>
      </x:c>
      <x:c r="B412" t="n">
        <x:f>J169</x:f>
        <x:v>-1.2599122492363222</x:v>
      </x:c>
      <x:c r="C412" t="n">
        <x:f>K169</x:f>
        <x:v>-18749.92392848187</x:v>
      </x:c>
      <x:c r="D412" t="n">
        <x:f>L169</x:f>
        <x:v>-49745.97565061507</x:v>
      </x:c>
      <x:c r="E412" t="n">
        <x:f>M169</x:f>
        <x:v>-52180.52535474431</x:v>
      </x:c>
    </x:row>
    <x:row r="413">
      <x:c r="A413" t="n">
        <x:f>I170</x:f>
        <x:v>0.4</x:v>
      </x:c>
      <x:c r="B413" t="n">
        <x:f>J170</x:f>
        <x:v>-1.3369812749583616</x:v>
      </x:c>
      <x:c r="C413" t="n">
        <x:f>K170</x:f>
        <x:v>-19518.31997454776</x:v>
      </x:c>
      <x:c r="D413" t="n">
        <x:f>L170</x:f>
        <x:v>-51511.04432508859</x:v>
      </x:c>
      <x:c r="E413" t="n">
        <x:f>M170</x:f>
        <x:v>-53987.34398363595</x:v>
      </x:c>
    </x:row>
    <x:row r="414">
      <x:c r="A414" t="n">
        <x:f>I171</x:f>
        <x:v>0.408</x:v>
      </x:c>
      <x:c r="B414" t="n">
        <x:f>J171</x:f>
        <x:v>-1.4176461878619193</x:v>
      </x:c>
      <x:c r="C414" t="n">
        <x:f>K171</x:f>
        <x:v>-20297.88323737291</x:v>
      </x:c>
      <x:c r="D414" t="n">
        <x:f>L171</x:f>
        <x:v>-53290.67307252441</x:v>
      </x:c>
      <x:c r="E414" t="n">
        <x:f>M171</x:f>
        <x:v>-55808.06323941368</x:v>
      </x:c>
    </x:row>
    <x:row r="415">
      <x:c r="A415" t="n">
        <x:f>I172</x:f>
        <x:v>0.417</x:v>
      </x:c>
      <x:c r="B415" t="n">
        <x:f>J172</x:f>
        <x:v>-1.512843152252799</x:v>
      </x:c>
      <x:c r="C415" t="n">
        <x:f>K172</x:f>
        <x:v>-21187.93300776442</x:v>
      </x:c>
      <x:c r="D415" t="n">
        <x:f>L172</x:f>
        <x:v>-55309.2824077269</x:v>
      </x:c>
      <x:c r="E415" t="n">
        <x:f>M172</x:f>
        <x:v>-57872.10897282533</x:v>
      </x:c>
    </x:row>
    <x:row r="416">
      <x:c r="A416" t="n">
        <x:f>I173</x:f>
        <x:v>0.425</x:v>
      </x:c>
      <x:c r="B416" t="n">
        <x:f>J173</x:f>
        <x:v>-1.601553853415453</x:v>
      </x:c>
      <x:c r="C416" t="n">
        <x:f>K173</x:f>
        <x:v>-21990.4112445204</x:v>
      </x:c>
      <x:c r="D416" t="n">
        <x:f>L173</x:f>
        <x:v>-57117.531516682895</x:v>
      </x:c>
      <x:c r="E416" t="n">
        <x:f>M173</x:f>
        <x:v>-59720.04210248674</x:v>
      </x:c>
    </x:row>
    <x:row r="417">
      <x:c r="A417" t="n">
        <x:f>I174</x:f>
        <x:v>0.433</x:v>
      </x:c>
      <x:c r="B417" t="n">
        <x:f>J174</x:f>
        <x:v>-1.6942460296072568</x:v>
      </x:c>
      <x:c r="C417" t="n">
        <x:f>K174</x:f>
        <x:v>-22803.296578072215</x:v>
      </x:c>
      <x:c r="D417" t="n">
        <x:f>L174</x:f>
        <x:v>-58938.1918599959</x:v>
      </x:c>
      <x:c r="E417" t="n">
        <x:f>M174</x:f>
        <x:v>-61579.72335626042</x:v>
      </x:c>
    </x:row>
    <x:row r="418">
      <x:c r="A418" t="n">
        <x:f>I175</x:f>
        <x:v>0.442</x:v>
      </x:c>
      <x:c r="B418" t="n">
        <x:f>J175</x:f>
        <x:v>-1.8034433360094226</x:v>
      </x:c>
      <x:c r="C418" t="n">
        <x:f>K175</x:f>
        <x:v>-23729.938248077415</x:v>
      </x:c>
      <x:c r="D418" t="n">
        <x:f>L175</x:f>
        <x:v>-61000.45522179079</x:v>
      </x:c>
      <x:c r="E418" t="n">
        <x:f>M175</x:f>
        <x:v>-63685.09256436417</x:v>
      </x:c>
    </x:row>
    <x:row r="419">
      <x:c r="A419" t="n">
        <x:f>I176</x:f>
        <x:v>0.45</x:v>
      </x:c>
      <x:c r="B419" t="n">
        <x:f>J176</x:f>
        <x:v>-1.9050240415085682</x:v>
      </x:c>
      <x:c r="C419" t="n">
        <x:f>K176</x:f>
        <x:v>-24564.15831269113</x:v>
      </x:c>
      <x:c r="D419" t="n">
        <x:f>L176</x:f>
        <x:v>-62845.33421508745</x:v>
      </x:c>
      <x:c r="E419" t="n">
        <x:f>M176</x:f>
        <x:v>-65567.58378946672</x:v>
      </x:c>
    </x:row>
    <x:row r="420">
      <x:c r="A420" t="n">
        <x:f>I177</x:f>
        <x:v>0.458</x:v>
      </x:c>
      <x:c r="B420" t="n">
        <x:f>J177</x:f>
        <x:v>-2.0109937508048006</x:v>
      </x:c>
      <x:c r="C420" t="n">
        <x:f>K177</x:f>
        <x:v>-25408.058195726262</x:v>
      </x:c>
      <x:c r="D420" t="n">
        <x:f>L177</x:f>
        <x:v>-64700.62896395409</x:v>
      </x:c>
      <x:c r="E420" t="n">
        <x:f>M177</x:f>
        <x:v>-67459.8291234388</x:v>
      </x:c>
    </x:row>
    <x:row r="421">
      <x:c r="A421" t="n">
        <x:f>I178</x:f>
        <x:v>0.467</x:v>
      </x:c>
      <x:c r="B421" t="n">
        <x:f>J178</x:f>
        <x:v>-2.13562408544135</x:v>
      </x:c>
      <x:c r="C421" t="n">
        <x:f>K178</x:f>
        <x:v>-26368.734852925336</x:v>
      </x:c>
      <x:c r="D421" t="n">
        <x:f>L178</x:f>
        <x:v>-66799.5300210921</x:v>
      </x:c>
      <x:c r="E421" t="n">
        <x:f>M178</x:f>
        <x:v>-69599.51053278941</x:v>
      </x:c>
    </x:row>
    <x:row r="422">
      <x:c r="A422" t="n">
        <x:f>I179</x:f>
        <x:v>0.475</x:v>
      </x:c>
      <x:c r="B422" t="n">
        <x:f>J179</x:f>
        <x:v>-2.251371436165755</x:v>
      </x:c>
      <x:c r="C422" t="n">
        <x:f>K179</x:f>
        <x:v>-27232.458450313294</x:v>
      </x:c>
      <x:c r="D422" t="n">
        <x:f>L179</x:f>
        <x:v>-68674.96006151366</x:v>
      </x:c>
      <x:c r="E422" t="n">
        <x:f>M179</x:f>
        <x:v>-71510.49050705163</x:v>
      </x:c>
    </x:row>
    <x:row r="423">
      <x:c r="A423" t="n">
        <x:f>I180</x:f>
        <x:v>0.483</x:v>
      </x:c>
      <x:c r="B423" t="n">
        <x:f>J180</x:f>
        <x:v>-2.371937016364882</x:v>
      </x:c>
      <x:c r="C423" t="n">
        <x:f>K180</x:f>
        <x:v>-28105.166881475925</x:v>
      </x:c>
      <x:c r="D423" t="n">
        <x:f>L180</x:f>
        <x:v>-70558.95654529486</x:v>
      </x:c>
      <x:c r="E423" t="n">
        <x:f>M180</x:f>
        <x:v>-73429.38122625335</x:v>
      </x:c>
    </x:row>
    <x:row r="424">
      <x:c r="A424" t="n">
        <x:f>I181</x:f>
        <x:v>0.492</x:v>
      </x:c>
      <x:c r="B424" t="n">
        <x:f>J181</x:f>
        <x:v>-2.513509340354176</x:v>
      </x:c>
      <x:c r="C424" t="n">
        <x:f>K181</x:f>
        <x:v>-29097.435135520704</x:v>
      </x:c>
      <x:c r="D424" t="n">
        <x:f>L181</x:f>
        <x:v>-72687.99278310622</x:v>
      </x:c>
      <x:c r="E424" t="n">
        <x:f>M181</x:f>
        <x:v>-75596.89314596399</x:v>
      </x:c>
    </x:row>
    <x:row r="425">
      <x:c r="A425" t="n">
        <x:f>I182</x:f>
        <x:v>0.5</x:v>
      </x:c>
      <x:c r="B425" t="n">
        <x:f>J182</x:f>
        <x:v>-2.6447875068229223</x:v>
      </x:c>
      <x:c r="C425" t="n">
        <x:f>K182</x:f>
        <x:v>-29988.524239953986</x:v>
      </x:c>
      <x:c r="D425" t="n">
        <x:f>L182</x:f>
        <x:v>-74588.34383380503</x:v>
      </x:c>
      <x:c r="E425" t="n">
        <x:f>M182</x:f>
        <x:v>-77530.75464681152</x:v>
      </x:c>
    </x:row>
    <x:row r="426">
      <x:c r="A426" t="n">
        <x:f>I183</x:f>
        <x:v>0.508</x:v>
      </x:c>
      <x:c r="B426" t="n">
        <x:f>J183</x:f>
        <x:v>-2.7813345652473345</x:v>
      </x:c>
      <x:c r="C426" t="n">
        <x:f>K183</x:f>
        <x:v>-30887.934860679583</x:v>
      </x:c>
      <x:c r="D426" t="n">
        <x:f>L183</x:f>
        <x:v>-76495.55061689264</x:v>
      </x:c>
      <x:c r="E426" t="n">
        <x:f>M183</x:f>
        <x:v>-79470.82596585111</x:v>
      </x:c>
    </x:row>
    <x:row r="427">
      <x:c r="A427" t="n">
        <x:f>I184</x:f>
        <x:v>0.517</x:v>
      </x:c>
      <x:c r="B427" t="n">
        <x:f>J184</x:f>
        <x:v>-2.941433207470027</x:v>
      </x:c>
      <x:c r="C427" t="n">
        <x:f>K184</x:f>
        <x:v>-31909.462641600694</x:v>
      </x:c>
      <x:c r="D427" t="n">
        <x:f>L184</x:f>
        <x:v>-78648.70676173811</x:v>
      </x:c>
      <x:c r="E427" t="n">
        <x:f>M184</x:f>
        <x:v>-81660.1874346211</x:v>
      </x:c>
    </x:row>
    <x:row r="428">
      <x:c r="A428" t="n">
        <x:f>I185</x:f>
        <x:v>0.525</x:v>
      </x:c>
      <x:c r="B428" t="n">
        <x:f>J185</x:f>
        <x:v>-3.089673071670859</x:v>
      </x:c>
      <x:c r="C428" t="n">
        <x:f>K185</x:f>
        <x:v>-32825.87746268808</x:v>
      </x:c>
      <x:c r="D428" t="n">
        <x:f>L185</x:f>
        <x:v>-80568.7736811837</x:v>
      </x:c>
      <x:c r="E428" t="n">
        <x:f>M185</x:f>
        <x:v>-83611.75944718669</x:v>
      </x:c>
    </x:row>
    <x:row r="429">
      <x:c r="A429" t="n">
        <x:f>I186</x:f>
        <x:v>0.533</x:v>
      </x:c>
      <x:c r="B429" t="n">
        <x:f>J186</x:f>
        <x:v>-3.243653659340225</x:v>
      </x:c>
      <x:c r="C429" t="n">
        <x:f>K186</x:f>
        <x:v>-33749.98145308635</x:v>
      </x:c>
      <x:c r="D429" t="n">
        <x:f>L186</x:f>
        <x:v>-82494.11644292518</x:v>
      </x:c>
      <x:c r="E429" t="n">
        <x:f>M186</x:f>
        <x:v>-85567.97437946207</x:v>
      </x:c>
    </x:row>
    <x:row r="430">
      <x:c r="A430" t="n">
        <x:f>I187</x:f>
        <x:v>0.542</x:v>
      </x:c>
      <x:c r="B430" t="n">
        <x:f>J187</x:f>
        <x:v>-3.423937371721422</x:v>
      </x:c>
      <x:c r="C430" t="n">
        <x:f>K187</x:f>
        <x:v>-34798.54556291025</x:v>
      </x:c>
      <x:c r="D430" t="n">
        <x:f>L187</x:f>
        <x:v>-84665.8371283485</x:v>
      </x:c>
      <x:c r="E430" t="n">
        <x:f>M187</x:f>
        <x:v>-87773.67562430893</x:v>
      </x:c>
    </x:row>
    <x:row r="431">
      <x:c r="A431" t="n">
        <x:f>I188</x:f>
        <x:v>0.55</x:v>
      </x:c>
      <x:c r="B431" t="n">
        <x:f>J188</x:f>
        <x:v>-3.590635671074324</x:v>
      </x:c>
      <x:c r="C431" t="n">
        <x:f>K188</x:f>
        <x:v>-35738.342299056225</x:v>
      </x:c>
      <x:c r="D431" t="n">
        <x:f>L188</x:f>
        <x:v>-86600.81524649766</x:v>
      </x:c>
      <x:c r="E431" t="n">
        <x:f>M188</x:f>
        <x:v>-89738.19699014083</x:v>
      </x:c>
    </x:row>
    <x:row r="432">
      <x:c r="A432" t="n">
        <x:f>I189</x:f>
        <x:v>0.558</x:v>
      </x:c>
      <x:c r="B432" t="n">
        <x:f>J189</x:f>
        <x:v>-3.763567414630188</x:v>
      </x:c>
      <x:c r="C432" t="n">
        <x:f>K189</x:f>
        <x:v>-36685.22606722002</x:v>
      </x:c>
      <x:c r="D432" t="n">
        <x:f>L189</x:f>
        <x:v>-88539.61228230715</x:v>
      </x:c>
      <x:c r="E432" t="n">
        <x:f>M189</x:f>
        <x:v>-91705.91995911617</x:v>
      </x:c>
    </x:row>
    <x:row r="433">
      <x:c r="A433" t="n">
        <x:f>I190</x:f>
        <x:v>0.567</x:v>
      </x:c>
      <x:c r="B433" t="n">
        <x:f>J190</x:f>
        <x:v>-3.965768378529674</x:v>
      </x:c>
      <x:c r="C433" t="n">
        <x:f>K190</x:f>
        <x:v>-37758.70950600899</x:v>
      </x:c>
      <x:c r="D433" t="n">
        <x:f>L190</x:f>
        <x:v>-90724.77444856253</x:v>
      </x:c>
      <x:c r="E433" t="n">
        <x:f>M190</x:f>
        <x:v>-93922.89271885797</x:v>
      </x:c>
    </x:row>
    <x:row r="434">
      <x:c r="A434" t="n">
        <x:f>I191</x:f>
        <x:v>0.575</x:v>
      </x:c>
      <x:c r="B434" t="n">
        <x:f>J191</x:f>
        <x:v>-4.152486814658005</x:v>
      </x:c>
      <x:c r="C434" t="n">
        <x:f>K191</x:f>
        <x:v>-38720.0379034832</x:v>
      </x:c>
      <x:c r="D434" t="n">
        <x:f>L191</x:f>
        <x:v>-92670.23504071141</x:v>
      </x:c>
      <x:c r="E434" t="n">
        <x:f>M191</x:f>
        <x:v>-95895.98581265062</x:v>
      </x:c>
    </x:row>
    <x:row r="435">
      <x:c r="A435" t="n">
        <x:f>I192</x:f>
        <x:v>0.583</x:v>
      </x:c>
      <x:c r="B435" t="n">
        <x:f>J192</x:f>
        <x:v>-4.3459520128728855</x:v>
      </x:c>
      <x:c r="C435" t="n">
        <x:f>K192</x:f>
        <x:v>-39687.88058628062</x:v>
      </x:c>
      <x:c r="D435" t="n">
        <x:f>L192</x:f>
        <x:v>-94618.17278073911</x:v>
      </x:c>
      <x:c r="E435" t="n">
        <x:f>M192</x:f>
        <x:v>-97870.95642178803</x:v>
      </x:c>
    </x:row>
    <x:row r="436">
      <x:c r="A436" t="n">
        <x:f>I193</x:f>
        <x:v>0.592</x:v>
      </x:c>
      <x:c r="B436" t="n">
        <x:f>J193</x:f>
        <x:v>-4.571874809995052</x:v>
      </x:c>
      <x:c r="C436" t="n">
        <x:f>K193</x:f>
        <x:v>-40784.26967339731</x:v>
      </x:c>
      <x:c r="D436" t="n">
        <x:f>L193</x:f>
        <x:v>-96812.05822906029</x:v>
      </x:c>
      <x:c r="E436" t="n">
        <x:f>M193</x:f>
        <x:v>-100094.54459469789</x:v>
      </x:c>
    </x:row>
    <x:row r="437">
      <x:c r="A437" t="n">
        <x:f>I194</x:f>
        <x:v>0.6</x:v>
      </x:c>
      <x:c r="B437" t="n">
        <x:f>J194</x:f>
        <x:v>-4.780239127223922</x:v>
      </x:c>
      <x:c r="C437" t="n">
        <x:f>K194</x:f>
        <x:v>-41765.370410184376</x:v>
      </x:c>
      <x:c r="D437" t="n">
        <x:f>L194</x:f>
        <x:v>-98763.92423983713</x:v>
      </x:c>
      <x:c r="E437" t="n">
        <x:f>M194</x:f>
        <x:v>-102072.18940950758</x:v>
      </x:c>
    </x:row>
    <x:row r="438">
      <x:c r="A438" t="n">
        <x:f>I195</x:f>
        <x:v>0.608</x:v>
      </x:c>
      <x:c r="B438" t="n">
        <x:f>J195</x:f>
        <x:v>-4.995883813084447</x:v>
      </x:c>
      <x:c r="C438" t="n">
        <x:f>K195</x:f>
        <x:v>-42752.441205505645</x:v>
      </x:c>
      <x:c r="D438" t="n">
        <x:f>L195</x:f>
        <x:v>-100717.0331168441</x:v>
      </x:c>
      <x:c r="E438" t="n">
        <x:f>M195</x:f>
        <x:v>-104050.49672552545</x:v>
      </x:c>
    </x:row>
    <x:row r="439">
      <x:c r="A439" t="n">
        <x:f>I196</x:f>
        <x:v>0.617</x:v>
      </x:c>
      <x:c r="B439" t="n">
        <x:f>J196</x:f>
        <x:v>-5.247404357237883</x:v>
      </x:c>
      <x:c r="C439" t="n">
        <x:f>K196</x:f>
        <x:v>-43869.822519639056</x:v>
      </x:c>
      <x:c r="D439" t="n">
        <x:f>L196</x:f>
        <x:v>-102915.30156679449</x:v>
      </x:c>
      <x:c r="E439" t="n">
        <x:f>M196</x:f>
        <x:v>-106276.42770998081</x:v>
      </x:c>
    </x:row>
    <x:row r="440">
      <x:c r="A440" t="n">
        <x:f>I197</x:f>
        <x:v>0.625</x:v>
      </x:c>
      <x:c r="B440" t="n">
        <x:f>J197</x:f>
        <x:v>-5.479103372775171</x:v>
      </x:c>
      <x:c r="C440" t="n">
        <x:f>K197</x:f>
        <x:v>-44869.024435891464</x:v>
      </x:c>
      <x:c r="D440" t="n">
        <x:f>L197</x:f>
        <x:v>-104869.82387216578</x:v>
      </x:c>
      <x:c r="E440" t="n">
        <x:f>M197</x:f>
        <x:v>-108254.93665267841</x:v>
      </x:c>
    </x:row>
    <x:row r="441">
      <x:c r="A441" t="n">
        <x:f>I198</x:f>
        <x:v>0.633</x:v>
      </x:c>
      <x:c r="B441" t="n">
        <x:f>J198</x:f>
        <x:v>-5.718636339065142</x:v>
      </x:c>
      <x:c r="C441" t="n">
        <x:f>K198</x:f>
        <x:v>-45873.67978905518</x:v>
      </x:c>
      <x:c r="D441" t="n">
        <x:f>L198</x:f>
        <x:v>-106824.4548063119</x:v>
      </x:c>
      <x:c r="E441" t="n">
        <x:f>M198</x:f>
        <x:v>-110232.99428005761</x:v>
      </x:c>
    </x:row>
    <x:row r="442">
      <x:c r="A442" t="n">
        <x:f>I199</x:f>
        <x:v>0.642</x:v>
      </x:c>
      <x:c r="B442" t="n">
        <x:f>J199</x:f>
        <x:v>-5.997700776976217</x:v>
      </x:c>
      <x:c r="C442" t="n">
        <x:f>K199</x:f>
        <x:v>-47010.23695345006</x:v>
      </x:c>
      <x:c r="D442" t="n">
        <x:f>L199</x:f>
        <x:v>-109023.11773384197</x:v>
      </x:c>
      <x:c r="E442" t="n">
        <x:f>M199</x:f>
        <x:v>-112457.3512933722</x:v>
      </x:c>
    </x:row>
    <x:row r="443">
      <x:c r="A443" t="n">
        <x:f>I200</x:f>
        <x:v>0.65</x:v>
      </x:c>
      <x:c r="B443" t="n">
        <x:f>J200</x:f>
        <x:v>-6.254485391421895</x:v>
      </x:c>
      <x:c r="C443" t="n">
        <x:f>K200</x:f>
        <x:v>-48025.954152811115</x:v>
      </x:c>
      <x:c r="D443" t="n">
        <x:f>L200</x:f>
        <x:v>-110976.85216755129</x:v>
      </x:c>
      <x:c r="E443" t="n">
        <x:f>M200</x:f>
        <x:v>-114433.34492030981</x:v>
      </x:c>
    </x:row>
    <x:row r="444">
      <x:c r="A444" t="n">
        <x:f>I201</x:f>
        <x:v>0.658</x:v>
      </x:c>
      <x:c r="B444" t="n">
        <x:f>J201</x:f>
        <x:v>-6.51967719021377</x:v>
      </x:c>
      <x:c r="C444" t="n">
        <x:f>K201</x:f>
        <x:v>-49046.63482196606</x:v>
      </x:c>
      <x:c r="D444" t="n">
        <x:f>L201</x:f>
        <x:v>-112929.65387596656</x:v>
      </x:c>
      <x:c r="E444" t="n">
        <x:f>M201</x:f>
        <x:v>-116407.86707581836</x:v>
      </x:c>
    </x:row>
    <x:row r="445">
      <x:c r="A445" t="n">
        <x:f>I202</x:f>
        <x:v>0.667</x:v>
      </x:c>
      <x:c r="B445" t="n">
        <x:f>J202</x:f>
        <x:v>-6.828300748499714</x:v>
      </x:c>
      <x:c r="C445" t="n">
        <x:f>K202</x:f>
        <x:v>-50200.64516336979</x:v>
      </x:c>
      <x:c r="D445" t="n">
        <x:f>L202</x:f>
        <x:v>-115125.04934461691</x:v>
      </x:c>
      <x:c r="E445" t="n">
        <x:f>M202</x:f>
        <x:v>-118627.06266188357</x:v>
      </x:c>
    </x:row>
    <x:row r="446">
      <x:c r="A446" t="n">
        <x:f>I203</x:f>
        <x:v>0.675</x:v>
      </x:c>
      <x:c r="B446" t="n">
        <x:f>J203</x:f>
        <x:v>-7.111982920109767</x:v>
      </x:c>
      <x:c r="C446" t="n">
        <x:f>K203</x:f>
        <x:v>-51231.374010913656</x:v>
      </x:c>
      <x:c r="D446" t="n">
        <x:f>L203</x:f>
        <x:v>-117074.83465957025</x:v>
      </x:c>
      <x:c r="E446" t="n">
        <x:f>M203</x:f>
        <x:v>-120597.44652148281</x:v>
      </x:c>
    </x:row>
    <x:row r="447">
      <x:c r="A447" t="n">
        <x:f>I204</x:f>
        <x:v>0.683</x:v>
      </x:c>
      <x:c r="B447" t="n">
        <x:f>J204</x:f>
        <x:v>-7.404664824446172</x:v>
      </x:c>
      <x:c r="C447" t="n">
        <x:f>K204</x:f>
        <x:v>-52266.60203742246</x:v>
      </x:c>
      <x:c r="D447" t="n">
        <x:f>L204</x:f>
        <x:v>-119022.73194468833</x:v>
      </x:c>
      <x:c r="E447" t="n">
        <x:f>M204</x:f>
        <x:v>-122565.42525707473</x:v>
      </x:c>
    </x:row>
    <x:row r="448">
      <x:c r="A448" t="n">
        <x:f>I205</x:f>
        <x:v>0.692</x:v>
      </x:c>
      <x:c r="B448" t="n">
        <x:f>J205</x:f>
        <x:v>-7.744930637363723</x:v>
      </x:c>
      <x:c r="C448" t="n">
        <x:f>K205</x:f>
        <x:v>-53436.43314820457</x:v>
      </x:c>
      <x:c r="D448" t="n">
        <x:f>L205</x:f>
        <x:v>-121211.50058427514</x:v>
      </x:c>
      <x:c r="E448" t="n">
        <x:f>M205</x:f>
        <x:v>-124776.17612891932</x:v>
      </x:c>
    </x:row>
    <x:row r="449">
      <x:c r="A449" t="n">
        <x:f>I206</x:f>
        <x:v>0.7</x:v>
      </x:c>
      <x:c r="B449" t="n">
        <x:f>J206</x:f>
        <x:v>-8.057382321536807</x:v>
      </x:c>
      <x:c r="C449" t="n">
        <x:f>K206</x:f>
        <x:v>-54480.74919119819</x:v>
      </x:c>
      <x:c r="D449" t="n">
        <x:f>L206</x:f>
        <x:v>-123154.43747008915</x:v>
      </x:c>
      <x:c r="E449" t="n">
        <x:f>M206</x:f>
        <x:v>-126738.11882360443</x:v>
      </x:c>
    </x:row>
    <x:row r="450">
      <x:c r="A450" t="n">
        <x:f>I207</x:f>
        <x:v>0.708</x:v>
      </x:c>
      <x:c r="B450" t="n">
        <x:f>J207</x:f>
        <x:v>-8.379445258978194</x:v>
      </x:c>
      <x:c r="C450" t="n">
        <x:f>K207</x:f>
        <x:v>-55529.124801208076</x:v>
      </x:c>
      <x:c r="D450" t="n">
        <x:f>L207</x:f>
        <x:v>-125094.61059367246</x:v>
      </x:c>
      <x:c r="E450" t="n">
        <x:f>M207</x:f>
        <x:v>-128696.80249462544</x:v>
      </x:c>
    </x:row>
    <x:row r="451">
      <x:c r="A451" t="n">
        <x:f>I208</x:f>
        <x:v>0.717</x:v>
      </x:c>
      <x:c r="B451" t="n">
        <x:f>J208</x:f>
        <x:v>-8.753503156986426</x:v>
      </x:c>
      <x:c r="C451" t="n">
        <x:f>K208</x:f>
        <x:v>-56713.231033901524</x:v>
      </x:c>
      <x:c r="D451" t="n">
        <x:f>L208</x:f>
        <x:v>-127273.67283059817</x:v>
      </x:c>
      <x:c r="E451" t="n">
        <x:f>M208</x:f>
        <x:v>-130896.1058035729</x:v>
      </x:c>
    </x:row>
    <x:row r="452">
      <x:c r="A452" t="n">
        <x:f>I209</x:f>
        <x:v>0.725</x:v>
      </x:c>
      <x:c r="B452" t="n">
        <x:f>J209</x:f>
        <x:v>-9.096655219469085</x:v>
      </x:c>
      <x:c r="C452" t="n">
        <x:f>K209</x:f>
        <x:v>-57769.785871170316</x:v>
      </x:c>
      <x:c r="D452" t="n">
        <x:f>L209</x:f>
        <x:v>-129207.10406628711</x:v>
      </x:c>
      <x:c r="E452" t="n">
        <x:f>M209</x:f>
        <x:v>-132847.0183380536</x:v>
      </x:c>
    </x:row>
    <x:row r="453">
      <x:c r="A453" t="n">
        <x:f>I210</x:f>
        <x:v>0.733</x:v>
      </x:c>
      <x:c r="B453" t="n">
        <x:f>J210</x:f>
        <x:v>-9.45004867322723</x:v>
      </x:c>
      <x:c r="C453" t="n">
        <x:f>K210</x:f>
        <x:v>-58829.984333780376</x:v>
      </x:c>
      <x:c r="D453" t="n">
        <x:f>L210</x:f>
        <x:v>-131136.96927609123</x:v>
      </x:c>
      <x:c r="E453" t="n">
        <x:f>M210</x:f>
        <x:v>-134793.8913710381</x:v>
      </x:c>
    </x:row>
    <x:row r="454">
      <x:c r="A454" t="n">
        <x:f>I211</x:f>
        <x:v>0.742</x:v>
      </x:c>
      <x:c r="B454" t="n">
        <x:f>J211</x:f>
        <x:v>-9.86011393674653</x:v>
      </x:c>
      <x:c r="C454" t="n">
        <x:f>K211</x:f>
        <x:v>-60026.903256236474</x:v>
      </x:c>
      <x:c r="D454" t="n">
        <x:f>L211</x:f>
        <x:v>-133303.50387707388</x:v>
      </x:c>
      <x:c r="E454" t="n">
        <x:f>M211</x:f>
        <x:v>-136979.00244933437</x:v>
      </x:c>
    </x:row>
    <x:row r="455">
      <x:c r="A455" t="n">
        <x:f>I212</x:f>
        <x:v>0.75</x:v>
      </x:c>
      <x:c r="B455" t="n">
        <x:f>J212</x:f>
        <x:v>-10.235955038383963</x:v>
      </x:c>
      <x:c r="C455" t="n">
        <x:f>K212</x:f>
        <x:v>-61094.421380709784</x:v>
      </x:c>
      <x:c r="D455" t="n">
        <x:f>L212</x:f>
        <x:v>-135224.99566257387</x:v>
      </x:c>
      <x:c r="E455" t="n">
        <x:f>M212</x:f>
        <x:v>-138916.5188951826</x:v>
      </x:c>
    </x:row>
    <x:row r="456">
      <x:c r="A456" t="n">
        <x:f>I213</x:f>
        <x:v>0.758</x:v>
      </x:c>
      <x:c r="B456" t="n">
        <x:f>J213</x:f>
        <x:v>-10.622685923482095</x:v>
      </x:c>
      <x:c r="C456" t="n">
        <x:f>K213</x:f>
        <x:v>-62165.18984686682</x:v>
      </x:c>
      <x:c r="D456" t="n">
        <x:f>L213</x:f>
        <x:v>-137142.1869054522</x:v>
      </x:c>
      <x:c r="E456" t="n">
        <x:f>M213</x:f>
        <x:v>-140849.28287495405</x:v>
      </x:c>
    </x:row>
    <x:row r="457">
      <x:c r="A457" t="n">
        <x:f>I214</x:f>
        <x:v>0.767</x:v>
      </x:c>
      <x:c r="B457" t="n">
        <x:f>J214</x:f>
        <x:v>-11.071038001998204</x:v>
      </x:c>
      <x:c r="C457" t="n">
        <x:f>K214</x:f>
        <x:v>-63373.53868446988</x:v>
      </x:c>
      <x:c r="D457" t="n">
        <x:f>L214</x:f>
        <x:v>-139293.61086167686</x:v>
      </x:c>
      <x:c r="E457" t="n">
        <x:f>M214</x:f>
        <x:v>-143017.6944627408</x:v>
      </x:c>
    </x:row>
    <x:row r="458">
      <x:c r="A458" t="n">
        <x:f>I215</x:f>
        <x:v>0.775</x:v>
      </x:c>
      <x:c r="B458" t="n">
        <x:f>J215</x:f>
        <x:v>-11.481613456182458</x:v>
      </x:c>
      <x:c r="C458" t="n">
        <x:f>K215</x:f>
        <x:v>-64450.81432177829</x:v>
      </x:c>
      <x:c r="D458" t="n">
        <x:f>L215</x:f>
        <x:v>-141200.9353430962</x:v>
      </x:c>
      <x:c r="E458" t="n">
        <x:f>M215</x:f>
        <x:v>-144939.65393967155</x:v>
      </x:c>
    </x:row>
    <x:row r="459">
      <x:c r="A459" t="n">
        <x:f>I216</x:f>
        <x:v>0.783</x:v>
      </x:c>
      <x:c r="B459" t="n">
        <x:f>J216</x:f>
        <x:v>-11.903744966717568</x:v>
      </x:c>
      <x:c r="C459" t="n">
        <x:f>K216</x:f>
        <x:v>-65530.96866610306</x:v>
      </x:c>
      <x:c r="D459" t="n">
        <x:f>L216</x:f>
        <x:v>-143103.28717150204</x:v>
      </x:c>
      <x:c r="E459" t="n">
        <x:f>M216</x:f>
        <x:v>-146856.2100081469</x:v>
      </x:c>
    </x:row>
    <x:row r="460">
      <x:c r="A460" t="n">
        <x:f>I217</x:f>
        <x:v>0.792</x:v>
      </x:c>
      <x:c r="B460" t="n">
        <x:f>J217</x:f>
        <x:v>-12.392726180069985</x:v>
      </x:c>
      <x:c r="C460" t="n">
        <x:f>K217</x:f>
        <x:v>-66749.44075526152</x:v>
      </x:c>
      <x:c r="D460" t="n">
        <x:f>L217</x:f>
        <x:v>-145237.23692226943</x:v>
      </x:c>
      <x:c r="E460" t="n">
        <x:f>M217</x:f>
        <x:v>-149005.63294747737</x:v>
      </x:c>
    </x:row>
    <x:row r="461">
      <x:c r="A461" t="n">
        <x:f>I218</x:f>
        <x:v>0.8</x:v>
      </x:c>
      <x:c r="B461" t="n">
        <x:f>J218</x:f>
        <x:v>-12.84013677697476</x:v>
      </x:c>
      <x:c r="C461" t="n">
        <x:f>K218</x:f>
        <x:v>-67835.33471918713</x:v>
      </x:c>
      <x:c r="D461" t="n">
        <x:f>L218</x:f>
        <x:v>-147128.35590287362</x:v>
      </x:c>
      <x:c r="E461" t="n">
        <x:f>M218</x:f>
        <x:v>-150910.062898851</x:v>
      </x:c>
    </x:row>
    <x:row r="462">
      <x:c r="A462" t="n">
        <x:f>I219</x:f>
        <x:v>0.808</x:v>
      </x:c>
      <x:c r="B462" t="n">
        <x:f>J219</x:f>
        <x:v>-13.299787208880844</x:v>
      </x:c>
      <x:c r="C462" t="n">
        <x:f>K219</x:f>
        <x:v>-68923.75640485117</x:v>
      </x:c>
      <x:c r="D462" t="n">
        <x:f>L219</x:f>
        <x:v>-149013.88756056636</x:v>
      </x:c>
      <x:c r="E462" t="n">
        <x:f>M219</x:f>
        <x:v>-152808.49543699686</x:v>
      </x:c>
    </x:row>
    <x:row r="463">
      <x:c r="A463" t="n">
        <x:f>I220</x:f>
        <x:v>0.817</x:v>
      </x:c>
      <x:c r="B463" t="n">
        <x:f>J220</x:f>
        <x:v>-13.831801402375277</x:v>
      </x:c>
      <x:c r="C463" t="n">
        <x:f>K220</x:f>
        <x:v>-70151.11767949266</x:v>
      </x:c>
      <x:c r="D463" t="n">
        <x:f>L220</x:f>
        <x:v>-151128.20153368788</x:v>
      </x:c>
      <x:c r="E463" t="n">
        <x:f>M220</x:f>
        <x:v>-154936.84079418762</x:v>
      </x:c>
    </x:row>
    <x:row r="464">
      <x:c r="A464" t="n">
        <x:f>I221</x:f>
        <x:v>0.825</x:v>
      </x:c>
      <x:c r="B464" t="n">
        <x:f>J221</x:f>
        <x:v>-14.318202220481453</x:v>
      </x:c>
      <x:c r="C464" t="n">
        <x:f>K221</x:f>
        <x:v>-71244.55426280205</x:v>
      </x:c>
      <x:c r="D464" t="n">
        <x:f>L221</x:f>
        <x:v>-153001.25134490427</x:v>
      </x:c>
      <x:c r="E464" t="n">
        <x:f>M221</x:f>
        <x:v>-156821.9415170548</x:v>
      </x:c>
    </x:row>
    <x:row r="465">
      <x:c r="A465" t="n">
        <x:f>I222</x:f>
        <x:v>0.833</x:v>
      </x:c>
      <x:c r="B465" t="n">
        <x:f>J222</x:f>
        <x:v>-14.817543761564139</x:v>
      </x:c>
      <x:c r="C465" t="n">
        <x:f>K222</x:f>
        <x:v>-72340.18724720035</x:v>
      </x:c>
      <x:c r="D465" t="n">
        <x:f>L222</x:f>
        <x:v>-154868.1520014535</x:v>
      </x:c>
      <x:c r="E465" t="n">
        <x:f>M222</x:f>
        <x:v>-158700.503065868</x:v>
      </x:c>
    </x:row>
    <x:row r="466">
      <x:c r="A466" t="n">
        <x:f>I223</x:f>
        <x:v>0.842</x:v>
      </x:c>
      <x:c r="B466" t="n">
        <x:f>J223</x:f>
        <x:v>-15.39505495210642</x:v>
      </x:c>
      <x:c r="C466" t="n">
        <x:f>K223</x:f>
        <x:v>-73575.27277737437</x:v>
      </x:c>
      <x:c r="D466" t="n">
        <x:f>L223</x:f>
        <x:v>-156960.85443111658</x:v>
      </x:c>
      <x:c r="E466" t="n">
        <x:f>M223</x:f>
        <x:v>-160805.86562780722</x:v>
      </x:c>
    </x:row>
    <x:row r="467">
      <x:c r="A467" t="n">
        <x:f>I224</x:f>
        <x:v>0.85</x:v>
      </x:c>
      <x:c r="B467" t="n">
        <x:f>J224</x:f>
        <x:v>-15.922654129073635</x:v>
      </x:c>
      <x:c r="C467" t="n">
        <x:f>K224</x:f>
        <x:v>-74675.23669418608</x:v>
      </x:c>
      <x:c r="D467" t="n">
        <x:f>L224</x:f>
        <x:v>-158814.13192459266</x:v>
      </x:c>
      <x:c r="E467" t="n">
        <x:f>M224</x:f>
        <x:v>-162669.9960054315</x:v>
      </x:c>
    </x:row>
    <x:row r="468">
      <x:c r="A468" t="n">
        <x:f>I225</x:f>
        <x:v>0.858</x:v>
      </x:c>
      <x:c r="B468" t="n">
        <x:f>J225</x:f>
        <x:v>-16.463911639531943</x:v>
      </x:c>
      <x:c r="C468" t="n">
        <x:f>K225</x:f>
        <x:v>-75777.08439083706</x:v>
      </x:c>
      <x:c r="D468" t="n">
        <x:f>L225</x:f>
        <x:v>-160660.74701629803</x:v>
      </x:c>
      <x:c r="E468" t="n">
        <x:f>M225</x:f>
        <x:v>-164527.0933707741</x:v>
      </x:c>
    </x:row>
    <x:row r="469">
      <x:c r="A469" t="n">
        <x:f>I226</x:f>
        <x:v>0.867</x:v>
      </x:c>
      <x:c r="B469" t="n">
        <x:f>J226</x:f>
        <x:v>-17.089442616799715</x:v>
      </x:c>
      <x:c r="C469" t="n">
        <x:f>K226</x:f>
        <x:v>-77018.79498984448</x:v>
      </x:c>
      <x:c r="D469" t="n">
        <x:f>L226</x:f>
        <x:v>-162730.03298707728</x:v>
      </x:c>
      <x:c r="E469" t="n">
        <x:f>M226</x:f>
        <x:v>-166607.73644990035</x:v>
      </x:c>
    </x:row>
    <x:row r="470">
      <x:c r="A470" t="n">
        <x:f>I227</x:f>
        <x:v>0.875</x:v>
      </x:c>
      <x:c r="B470" t="n">
        <x:f>J227</x:f>
        <x:v>-17.660500113955095</x:v>
      </x:c>
      <x:c r="C470" t="n">
        <x:f>K227</x:f>
        <x:v>-78124.32838336958</x:v>
      </x:c>
      <x:c r="D470" t="n">
        <x:f>L227</x:f>
        <x:v>-164561.98259931064</x:v>
      </x:c>
      <x:c r="E470" t="n">
        <x:f>M227</x:f>
        <x:v>-168449.4008262297</x:v>
      </x:c>
    </x:row>
    <x:row r="471">
      <x:c r="A471" t="n">
        <x:f>I228</x:f>
        <x:v>0.883</x:v>
      </x:c>
      <x:c r="B471" t="n">
        <x:f>J228</x:f>
        <x:v>-18.245949870930872</x:v>
      </x:c>
      <x:c r="C471" t="n">
        <x:f>K228</x:f>
        <x:v>-79231.45069310427</x:v>
      </x:c>
      <x:c r="D471" t="n">
        <x:f>L228</x:f>
        <x:v>-166386.8012256964</x:v>
      </x:c>
      <x:c r="E471" t="n">
        <x:f>M228</x:f>
        <x:v>-170283.5823050193</x:v>
      </x:c>
    </x:row>
    <x:row r="472">
      <x:c r="A472" t="n">
        <x:f>I229</x:f>
        <x:v>0.892</x:v>
      </x:c>
      <x:c r="B472" t="n">
        <x:f>J229</x:f>
        <x:v>-18.922080788589938</x:v>
      </x:c>
      <x:c r="C472" t="n">
        <x:f>K229</x:f>
        <x:v>-80478.74960701005</x:v>
      </x:c>
      <x:c r="D472" t="n">
        <x:f>L229</x:f>
        <x:v>-168431.02288308344</x:v>
      </x:c>
      <x:c r="E472" t="n">
        <x:f>M229</x:f>
        <x:v>-172337.92378063095</x:v>
      </x:c>
    </x:row>
    <x:row r="473">
      <x:c r="A473" t="n">
        <x:f>I230</x:f>
        <x:v>0.9</x:v>
      </x:c>
      <x:c r="B473" t="n">
        <x:f>J230</x:f>
        <x:v>-19.538907124212074</x:v>
      </x:c>
      <x:c r="C473" t="n">
        <x:f>K230</x:f>
        <x:v>-81588.94913418307</x:v>
      </x:c>
      <x:c r="D473" t="n">
        <x:f>L230</x:f>
        <x:v>-170240.22471774745</x:v>
      </x:c>
      <x:c r="E473" t="n">
        <x:f>M230</x:f>
        <x:v>-174155.75991096892</x:v>
      </x:c>
    </x:row>
    <x:row r="474">
      <x:c r="A474" t="n">
        <x:f>I231</x:f>
        <x:v>0.908</x:v>
      </x:c>
      <x:c r="B474" t="n">
        <x:f>J231</x:f>
        <x:v>-20.17087555141279</x:v>
      </x:c>
      <x:c r="C474" t="n">
        <x:f>K231</x:f>
        <x:v>-82700.45955647714</x:v>
      </x:c>
      <x:c r="D474" t="n">
        <x:f>L231</x:f>
        <x:v>-172041.86803726552</x:v>
      </x:c>
      <x:c r="E474" t="n">
        <x:f>M231</x:f>
        <x:v>-175965.70357183574</x:v>
      </x:c>
    </x:row>
    <x:row r="475">
      <x:c r="A475" t="n">
        <x:f>I232</x:f>
        <x:v>0.917</x:v>
      </x:c>
      <x:c r="B475" t="n">
        <x:f>J232</x:f>
        <x:v>-20.90024248669988</x:v>
      </x:c>
      <x:c r="C475" t="n">
        <x:f>K232</x:f>
        <x:v>-83952.36924737085</x:v>
      </x:c>
      <x:c r="D475" t="n">
        <x:f>L232</x:f>
        <x:v>-174059.52189979836</x:v>
      </x:c>
      <x:c r="E475" t="n">
        <x:f>M232</x:f>
        <x:v>-177992.30309147591</x:v>
      </x:c>
    </x:row>
    <x:row r="476">
      <x:c r="A476" t="n">
        <x:f>I233</x:f>
        <x:v>0.925</x:v>
      </x:c>
      <x:c r="B476" t="n">
        <x:f>J233</x:f>
        <x:v>-21.565197447271657</x:v>
      </x:c>
      <x:c r="C476" t="n">
        <x:f>K233</x:f>
        <x:v>-85066.38324979196</x:v>
      </x:c>
      <x:c r="D476" t="n">
        <x:f>L233</x:f>
        <x:v>-175844.68076899392</x:v>
      </x:c>
      <x:c r="E476" t="n">
        <x:f>M233</x:f>
        <x:v>-179785.07110087413</x:v>
      </x:c>
    </x:row>
    <x:row r="477">
      <x:c r="A477" t="n">
        <x:f>I234</x:f>
        <x:v>0.933</x:v>
      </x:c>
      <x:c r="B477" t="n">
        <x:f>J234</x:f>
        <x:v>-22.246059825895372</x:v>
      </x:c>
      <x:c r="C477" t="n">
        <x:f>K234</x:f>
        <x:v>-86181.44608297395</x:v>
      </x:c>
      <x:c r="D477" t="n">
        <x:f>L234</x:f>
        <x:v>-177621.89133436125</x:v>
      </x:c>
      <x:c r="E477" t="n">
        <x:f>M234</x:f>
        <x:v>-181569.57405040326</x:v>
      </x:c>
    </x:row>
    <x:row r="478">
      <x:c r="A478" t="n">
        <x:f>I235</x:f>
        <x:v>0.942</x:v>
      </x:c>
      <x:c r="B478" t="n">
        <x:f>J235</x:f>
        <x:v>-23.03135332022248</x:v>
      </x:c>
      <x:c r="C478" t="n">
        <x:f>K235</x:f>
        <x:v>-87437.04511505857</x:v>
      </x:c>
      <x:c r="D478" t="n">
        <x:f>L235</x:f>
        <x:v>-179611.60663962277</x:v>
      </x:c>
      <x:c r="E478" t="n">
        <x:f>M235</x:f>
        <x:v>-183567.12131353328</x:v>
      </x:c>
    </x:row>
    <x:row r="479">
      <x:c r="A479" t="n">
        <x:f>I236</x:f>
        <x:v>0.95</x:v>
      </x:c>
      <x:c r="B479" t="n">
        <x:f>J236</x:f>
        <x:v>-23.746844660086936</x:v>
      </x:c>
      <x:c r="C479" t="n">
        <x:f>K236</x:f>
        <x:v>-88554.07088364325</x:v>
      </x:c>
      <x:c r="D479" t="n">
        <x:f>L236</x:f>
        <x:v>-181371.54200338566</x:v>
      </x:c>
      <x:c r="E479" t="n">
        <x:f>M236</x:f>
        <x:v>-185333.69359371395</x:v>
      </x:c>
    </x:row>
    <x:row r="480">
      <x:c r="A480" t="n">
        <x:f>I237</x:f>
        <x:v>0.958</x:v>
      </x:c>
      <x:c r="B480" t="n">
        <x:f>J237</x:f>
        <x:v>-24.47902381513677</x:v>
      </x:c>
      <x:c r="C480" t="n">
        <x:f>K237</x:f>
        <x:v>-89671.89852079697</x:v>
      </x:c>
      <x:c r="D480" t="n">
        <x:f>L237</x:f>
        <x:v>-183123.17397563395</x:v>
      </x:c>
      <x:c r="E480" t="n">
        <x:f>M237</x:f>
        <x:v>-187091.6621591744</x:v>
      </x:c>
    </x:row>
    <x:row r="481">
      <x:c r="A481" t="n">
        <x:f>I238</x:f>
        <x:v>0.967</x:v>
      </x:c>
      <x:c r="B481" t="n">
        <x:f>J238</x:f>
        <x:v>-25.322987391846254</x:v>
      </x:c>
      <x:c r="C481" t="n">
        <x:f>K238</x:f>
        <x:v>-90930.31855627532</x:v>
      </x:c>
      <x:c r="D481" t="n">
        <x:f>L238</x:f>
        <x:v>-185083.70199145714</x:v>
      </x:c>
      <x:c r="E481" t="n">
        <x:f>M238</x:f>
        <x:v>-189058.9662057004</x:v>
      </x:c>
    </x:row>
    <x:row r="482">
      <x:c r="A482" t="n">
        <x:f>I239</x:f>
        <x:v>0.975</x:v>
      </x:c>
      <x:c r="B482" t="n">
        <x:f>J239</x:f>
        <x:v>-26.091469511469313</x:v>
      </x:c>
      <x:c r="C482" t="n">
        <x:f>K239</x:f>
        <x:v>-92049.59969520803</x:v>
      </x:c>
      <x:c r="D482" t="n">
        <x:f>L239</x:f>
        <x:v>-186817.33873453335</x:v>
      </x:c>
      <x:c r="E482" t="n">
        <x:f>M239</x:f>
        <x:v>-190798.31818207764</x:v>
      </x:c>
    </x:row>
    <x:row r="483">
      <x:c r="A483" t="n">
        <x:f>I240</x:f>
        <x:v>0.983</x:v>
      </x:c>
      <x:c r="B483" t="n">
        <x:f>J240</x:f>
        <x:v>-26.877434485224512</x:v>
      </x:c>
      <x:c r="C483" t="n">
        <x:f>K240</x:f>
        <x:v>-93169.45002082353</x:v>
      </x:c>
      <x:c r="D483" t="n">
        <x:f>L240</x:f>
        <x:v>-188542.34891493848</x:v>
      </x:c>
      <x:c r="E483" t="n">
        <x:f>M240</x:f>
        <x:v>-192528.7589427018</x:v>
      </x:c>
    </x:row>
    <x:row r="484">
      <x:c r="A484" t="n">
        <x:f>I241</x:f>
        <x:v>0.992</x:v>
      </x:c>
      <x:c r="B484" t="n">
        <x:f>J241</x:f>
        <x:v>-27.782863149590867</x:v>
      </x:c>
      <x:c r="C484" t="n">
        <x:f>K241</x:f>
        <x:v>-94429.87293064826</x:v>
      </x:c>
      <x:c r="D484" t="n">
        <x:f>L241</x:f>
        <x:v>-190472.5531477006</x:v>
      </x:c>
      <x:c r="E484" t="n">
        <x:f>M241</x:f>
        <x:v>-194464.73837065237</x:v>
      </x:c>
    </x:row>
    <x:row r="485">
      <x:c r="A485" t="n">
        <x:f>I242</x:f>
        <x:v>1</x:v>
      </x:c>
      <x:c r="B485" t="n">
        <x:f>J242</x:f>
        <x:v>-28.60683575205121</x:v>
      </x:c>
      <x:c r="C485" t="n">
        <x:f>K242</x:f>
        <x:v>-95550.6968246352</x:v>
      </x:c>
      <x:c r="D485" t="n">
        <x:f>L242</x:f>
        <x:v>-192178.91313344726</x:v>
      </x:c>
      <x:c r="E485" t="n">
        <x:f>M242</x:f>
        <x:v>-196175.94007289349</x:v>
      </x:c>
    </x:row>
    <x:row r="490">
      <x:c r="A490" t="n">
        <x:f>I2</x:f>
        <x:v>-1</x:v>
      </x:c>
      <x:c r="B490" t="n">
        <x:f>P2</x:f>
        <x:v>2695.1978892010684</x:v>
      </x:c>
      <x:c r="C490" t="n">
        <x:f>R2</x:f>
        <x:v>2668.5127615852166</x:v>
      </x:c>
      <x:c r="D490" t="n">
        <x:f>T2</x:f>
        <x:v>6671.281903963041</x:v>
      </x:c>
      <x:c r="E490" t="n">
        <x:f>V2</x:f>
        <x:v>6671.281903963041</x:v>
      </x:c>
    </x:row>
    <x:row r="491">
      <x:c r="A491" t="n">
        <x:f>I3</x:f>
        <x:v>-0.992</x:v>
      </x:c>
      <x:c r="B491" t="n">
        <x:f>P3</x:f>
        <x:v>2694.7726350073826</x:v>
      </x:c>
      <x:c r="C491" t="n">
        <x:f>R3</x:f>
        <x:v>2629.7083164113487</x:v>
      </x:c>
      <x:c r="D491" t="n">
        <x:f>T3</x:f>
        <x:v>6568.689329736241</x:v>
      </x:c>
      <x:c r="E491" t="n">
        <x:f>V3</x:f>
        <x:v>6567.626194252024</x:v>
      </x:c>
    </x:row>
    <x:row r="492">
      <x:c r="A492" t="n">
        <x:f>I4</x:f>
        <x:v>-0.983</x:v>
      </x:c>
      <x:c r="B492" t="n">
        <x:f>P4</x:f>
        <x:v>2694.2983068640106</x:v>
      </x:c>
      <x:c r="C492" t="n">
        <x:f>R4</x:f>
        <x:v>2586.4258733286742</x:v>
      </x:c>
      <x:c r="D492" t="n">
        <x:f>T4</x:f>
        <x:v>6454.2576651478</x:v>
      </x:c>
      <x:c r="E492" t="n">
        <x:f>V4</x:f>
        <x:v>6452.008709305155</x:v>
      </x:c>
    </x:row>
    <x:row r="493">
      <x:c r="A493" t="n">
        <x:f>I5</x:f>
        <x:v>-0.975</x:v>
      </x:c>
      <x:c r="B493" t="n">
        <x:f>P5</x:f>
        <x:v>2693.8803110250356</x:v>
      </x:c>
      <x:c r="C493" t="n">
        <x:f>R5</x:f>
        <x:v>2548.2837530222323</x:v>
      </x:c>
      <x:c r="D493" t="n">
        <x:f>T5</x:f>
        <x:v>6353.416168995152</x:v>
      </x:c>
      <x:c r="E493" t="n">
        <x:f>V5</x:f>
        <x:v>6350.12222355507</x:v>
      </x:c>
    </x:row>
    <x:row r="494">
      <x:c r="A494" t="n">
        <x:f>I6</x:f>
        <x:v>-0.967</x:v>
      </x:c>
      <x:c r="B494" t="n">
        <x:f>P6</x:f>
        <x:v>2693.465730882396</x:v>
      </x:c>
      <x:c r="C494" t="n">
        <x:f>R6</x:f>
        <x:v>2510.4533150063435</x:v>
      </x:c>
      <x:c r="D494" t="n">
        <x:f>T6</x:f>
        <x:v>6253.398709583282</x:v>
      </x:c>
      <x:c r="E494" t="n">
        <x:f>V6</x:f>
        <x:v>6249.068313786602</x:v>
      </x:c>
    </x:row>
    <x:row r="495">
      <x:c r="A495" t="n">
        <x:f>I7</x:f>
        <x:v>-0.958</x:v>
      </x:c>
      <x:c r="B495" t="n">
        <x:f>P7</x:f>
        <x:v>2693.0034110464517</x:v>
      </x:c>
      <x:c r="C495" t="n">
        <x:f>R7</x:f>
        <x:v>2468.266629976395</x:v>
      </x:c>
      <x:c r="D495" t="n">
        <x:f>T7</x:f>
        <x:v>6141.864049161637</x:v>
      </x:c>
      <x:c r="E495" t="n">
        <x:f>V7</x:f>
        <x:v>6136.377853775093</x:v>
      </x:c>
    </x:row>
    <x:row r="496">
      <x:c r="A496" t="n">
        <x:f>I8</x:f>
        <x:v>-0.95</x:v>
      </x:c>
      <x:c r="B496" t="n">
        <x:f>P8</x:f>
        <x:v>2692.596089258523</x:v>
      </x:c>
      <x:c r="C496" t="n">
        <x:f>R8</x:f>
        <x:v>2431.0985168279312</x:v>
      </x:c>
      <x:c r="D496" t="n">
        <x:f>T8</x:f>
        <x:v>6043.597667823918</x:v>
      </x:c>
      <x:c r="E496" t="n">
        <x:f>V8</x:f>
        <x:v>6037.093167967554</x:v>
      </x:c>
    </x:row>
    <x:row r="497">
      <x:c r="A497" t="n">
        <x:f>I9</x:f>
        <x:v>-0.942</x:v>
      </x:c>
      <x:c r="B497" t="n">
        <x:f>P9</x:f>
        <x:v>2692.1921831669297</x:v>
      </x:c>
      <x:c r="C497" t="n">
        <x:f>R9</x:f>
        <x:v>2394.2420859700205</x:v>
      </x:c>
      <x:c r="D497" t="n">
        <x:f>T9</x:f>
        <x:v>5946.155323226975</x:v>
      </x:c>
      <x:c r="E497" t="n">
        <x:f>V9</x:f>
        <x:v>5938.6410581416285</x:v>
      </x:c>
    </x:row>
    <x:row r="498">
      <x:c r="A498" t="n">
        <x:f>I10</x:f>
        <x:v>-0.933</x:v>
      </x:c>
      <x:c r="B498" t="n">
        <x:f>P10</x:f>
        <x:v>2691.7418716384122</x:v>
      </x:c>
      <x:c r="C498" t="n">
        <x:f>R10</x:f>
        <x:v>2353.1511589928</x:v>
      </x:c>
      <x:c r="D498" t="n">
        <x:f>T10</x:f>
        <x:v>5837.51766697213</x:v>
      </x:c>
      <x:c r="E498" t="n">
        <x:f>V10</x:f>
        <x:v>5828.87762306549</x:v>
      </x:c>
    </x:row>
    <x:row r="499">
      <x:c r="A499" t="n">
        <x:f>I11</x:f>
        <x:v>-0.925</x:v>
      </x:c>
      <x:c r="B499" t="n">
        <x:f>P11</x:f>
        <x:v>2691.34522390153</x:v>
      </x:c>
      <x:c r="C499" t="n">
        <x:f>R11</x:f>
        <x:v>2316.957053002314</x:v>
      </x:c>
      <x:c r="D499" t="n">
        <x:f>T11</x:f>
        <x:v>5741.82640044934</x:v>
      </x:c>
      <x:c r="E499" t="n">
        <x:f>V11</x:f>
        <x:v>5732.194737200494</x:v>
      </x:c>
    </x:row>
    <x:row r="500">
      <x:c r="A500" t="n">
        <x:f>I12</x:f>
        <x:v>-0.917</x:v>
      </x:c>
      <x:c r="B500" t="n">
        <x:f>P12</x:f>
        <x:v>2690.951991860983</x:v>
      </x:c>
      <x:c r="C500" t="n">
        <x:f>R12</x:f>
        <x:v>2281.0746293023826</x:v>
      </x:c>
      <x:c r="D500" t="n">
        <x:f>T12</x:f>
        <x:v>5646.959170667329</x:v>
      </x:c>
      <x:c r="E500" t="n">
        <x:f>V12</x:f>
        <x:v>5636.344427317114</x:v>
      </x:c>
    </x:row>
    <x:row r="501">
      <x:c r="A501" t="n">
        <x:f>I13</x:f>
        <x:v>-0.908</x:v>
      </x:c>
      <x:c r="B501" t="n">
        <x:f>P13</x:f>
        <x:v>2690.5136886398923</x:v>
      </x:c>
      <x:c r="C501" t="n">
        <x:f>R13</x:f>
        <x:v>2241.0794603778854</x:v>
      </x:c>
      <x:c r="D501" t="n">
        <x:f>T13</x:f>
        <x:v>5541.218518579276</x:v>
      </x:c>
      <x:c r="E501" t="n">
        <x:f>V13</x:f>
        <x:v>5529.508017176336</x:v>
      </x:c>
    </x:row>
    <x:row r="502">
      <x:c r="A502" t="n">
        <x:f>I14</x:f>
        <x:v>-0.9</x:v>
      </x:c>
      <x:c r="B502" t="n">
        <x:f>P14</x:f>
        <x:v>2690.1277149540565</x:v>
      </x:c>
      <x:c r="C502" t="n">
        <x:f>R14</x:f>
        <x:v>2205.8593615453797</x:v>
      </x:c>
      <x:c r="D502" t="n">
        <x:f>T14</x:f>
        <x:v>5448.102366871419</x:v>
      </x:c>
      <x:c r="E502" t="n">
        <x:f>V14</x:f>
        <x:v>5435.426931253887</x:v>
      </x:c>
    </x:row>
    <x:row r="503">
      <x:c r="A503" t="n">
        <x:f>I15</x:f>
        <x:v>-0.892</x:v>
      </x:c>
      <x:c r="B503" t="n">
        <x:f>P15</x:f>
        <x:v>2689.745156964556</x:v>
      </x:c>
      <x:c r="C503" t="n">
        <x:f>R15</x:f>
        <x:v>2170.9509450034266</x:v>
      </x:c>
      <x:c r="D503" t="n">
        <x:f>T15</x:f>
        <x:v>5355.810251904337</x:v>
      </x:c>
      <x:c r="E503" t="n">
        <x:f>V15</x:f>
        <x:v>5342.178421313054</x:v>
      </x:c>
    </x:row>
    <x:row r="504">
      <x:c r="A504" t="n">
        <x:f>I16</x:f>
        <x:v>-0.883</x:v>
      </x:c>
      <x:c r="B504" t="n">
        <x:f>P16</x:f>
        <x:v>2689.3188620508927</x:v>
      </x:c>
      <x:c r="C504" t="n">
        <x:f>R16</x:f>
        <x:v>2132.051534131656</x:v>
      </x:c>
      <x:c r="D504" t="n">
        <x:f>T16</x:f>
        <x:v>5252.966603983079</x:v>
      </x:c>
      <x:c r="E504" t="n">
        <x:f>V16</x:f>
        <x:v>5238.269036107639</x:v>
      </x:c>
    </x:row>
    <x:row r="505">
      <x:c r="A505" t="n">
        <x:f>I17</x:f>
        <x:v>-0.875</x:v>
      </x:c>
      <x:c r="B505" t="n">
        <x:f>P17</x:f>
        <x:v>2688.9435624161033</x:v>
      </x:c>
      <x:c r="C505" t="n">
        <x:f>R17</x:f>
        <x:v>2097.8054424571283</x:v>
      </x:c>
      <x:c r="D505" t="n">
        <x:f>T17</x:f>
        <x:v>5162.42556709015</x:v>
      </x:c>
      <x:c r="E505" t="n">
        <x:f>V17</x:f>
        <x:v>5146.789750127737</x:v>
      </x:c>
    </x:row>
    <x:row r="506">
      <x:c r="A506" t="n">
        <x:f>I18</x:f>
        <x:v>-0.867</x:v>
      </x:c>
      <x:c r="B506" t="n">
        <x:f>P18</x:f>
        <x:v>2688.5716784776487</x:v>
      </x:c>
      <x:c r="C506" t="n">
        <x:f>R18</x:f>
        <x:v>2063.8710330731533</x:v>
      </x:c>
      <x:c r="D506" t="n">
        <x:f>T18</x:f>
        <x:v>5072.708566937998</x:v>
      </x:c>
      <x:c r="E506" t="n">
        <x:f>V18</x:f>
        <x:v>5056.143040129448</x:v>
      </x:c>
    </x:row>
    <x:row r="507">
      <x:c r="A507" t="n">
        <x:f>I19</x:f>
        <x:v>-0.858</x:v>
      </x:c>
      <x:c r="B507" t="n">
        <x:f>P19</x:f>
        <x:v>2688.1573918714125</x:v>
      </x:c>
      <x:c r="C507" t="n">
        <x:f>R19</x:f>
        <x:v>2026.067380254109</x:v>
      </x:c>
      <x:c r="D507" t="n">
        <x:f>T19</x:f>
        <x:v>4972.761923183538</x:v>
      </x:c>
      <x:c r="E507" t="n">
        <x:f>V19</x:f>
        <x:v>4955.1606798593975</x:v>
      </x:c>
    </x:row>
    <x:row r="508">
      <x:c r="A508" t="n">
        <x:f>I20</x:f>
        <x:v>-0.85</x:v>
      </x:c>
      <x:c r="B508" t="n">
        <x:f>P20</x:f>
        <x:v>2687.7927662876696</x:v>
      </x:c>
      <x:c r="C508" t="n">
        <x:f>R20</x:f>
        <x:v>1992.7952957375599</x:v>
      </x:c>
      <x:c r="D508" t="n">
        <x:f>T20</x:f>
        <x:v>4884.7960011055375</x:v>
      </x:c>
      <x:c r="E508" t="n">
        <x:f>V20</x:f>
        <x:v>4866.28319382204</x:v>
      </x:c>
    </x:row>
    <x:row r="509">
      <x:c r="A509" t="n">
        <x:f>I21</x:f>
        <x:v>-0.842</x:v>
      </x:c>
      <x:c r="B509" t="n">
        <x:f>P21</x:f>
        <x:v>2687.431556400261</x:v>
      </x:c>
      <x:c r="C509" t="n">
        <x:f>R21</x:f>
        <x:v>1959.8348935115644</x:v>
      </x:c>
      <x:c r="D509" t="n">
        <x:f>T21</x:f>
        <x:v>4797.654115768317</x:v>
      </x:c>
      <x:c r="E509" t="n">
        <x:f>V21</x:f>
        <x:v>4778.238283766299</x:v>
      </x:c>
    </x:row>
    <x:row r="510">
      <x:c r="A510" t="n">
        <x:f>I22</x:f>
        <x:v>-0.833</x:v>
      </x:c>
      <x:c r="B510" t="n">
        <x:f>P22</x:f>
        <x:v>2687.0292781014527</x:v>
      </x:c>
      <x:c r="C510" t="n">
        <x:f>R22</x:f>
        <x:v>1923.1269987452456</x:v>
      </x:c>
      <x:c r="D510" t="n">
        <x:f>T22</x:f>
        <x:v>4700.604476180652</x:v>
      </x:c>
      <x:c r="E510" t="n">
        <x:f>V22</x:f>
        <x:v>4680.182948431611</x:v>
      </x:c>
    </x:row>
    <x:row r="511">
      <x:c r="A511" t="n">
        <x:f>I23</x:f>
        <x:v>-0.825</x:v>
      </x:c>
      <x:c r="B511" t="n">
        <x:f>P23</x:f>
        <x:v>2686.6753265687557</x:v>
      </x:c>
      <x:c r="C511" t="n">
        <x:f>R23</x:f>
        <x:v>1890.8289213866744</x:v>
      </x:c>
      <x:c r="D511" t="n">
        <x:f>T23</x:f>
        <x:v>4615.213668917581</x:v>
      </x:c>
      <x:c r="E511" t="n">
        <x:f>V23</x:f>
        <x:v>4593.907262336798</x:v>
      </x:c>
    </x:row>
    <x:row r="512">
      <x:c r="A512" t="n">
        <x:f>I24</x:f>
        <x:v>-0.817</x:v>
      </x:c>
      <x:c r="B512" t="n">
        <x:f>P24</x:f>
        <x:v>2686.324790732394</x:v>
      </x:c>
      <x:c r="C512" t="n">
        <x:f>R24</x:f>
        <x:v>1858.8425263186568</x:v>
      </x:c>
      <x:c r="D512" t="n">
        <x:f>T24</x:f>
        <x:v>4530.646898395288</x:v>
      </x:c>
      <x:c r="E512" t="n">
        <x:f>V24</x:f>
        <x:v>4508.464152223602</x:v>
      </x:c>
    </x:row>
    <x:row r="513">
      <x:c r="A513" t="n">
        <x:f>I25</x:f>
        <x:v>-0.808</x:v>
      </x:c>
      <x:c r="B513" t="n">
        <x:f>P25</x:f>
        <x:v>2685.9345207410115</x:v>
      </x:c>
      <x:c r="C513" t="n">
        <x:f>R25</x:f>
        <x:v>1823.2303896050653</x:v>
      </x:c>
      <x:c r="D513" t="n">
        <x:f>T25</x:f>
        <x:v>4436.494262974422</x:v>
      </x:c>
      <x:c r="E513" t="n">
        <x:f>V25</x:f>
        <x:v>4413.3358418242815</x:v>
      </x:c>
    </x:row>
    <x:row r="514">
      <x:c r="A514" t="n">
        <x:f>I26</x:f>
        <x:v>-0.8</x:v>
      </x:c>
      <x:c r="B514" t="n">
        <x:f>P26</x:f>
        <x:v>2685.591243259362</x:v>
      </x:c>
      <x:c r="C514" t="n">
        <x:f>R26</x:f>
        <x:v>1791.9063194044727</x:v>
      </x:c>
      <x:c r="D514" t="n">
        <x:f>T26</x:f>
        <x:v>4353.678570526281</x:v>
      </x:c>
      <x:c r="E514" t="n">
        <x:f>V26</x:f>
        <x:v>4329.661955672014</x:v>
      </x:c>
    </x:row>
    <x:row r="515">
      <x:c r="A515" t="n">
        <x:f>I27</x:f>
        <x:v>-0.792</x:v>
      </x:c>
      <x:c r="B515" t="n">
        <x:f>P27</x:f>
        <x:v>2685.251381474046</x:v>
      </x:c>
      <x:c r="C515" t="n">
        <x:f>R27</x:f>
        <x:v>1760.8939314944344</x:v>
      </x:c>
      <x:c r="D515" t="n">
        <x:f>T27</x:f>
        <x:v>4271.686914818919</x:v>
      </x:c>
      <x:c r="E515" t="n">
        <x:f>V27</x:f>
        <x:v>4246.820645501362</x:v>
      </x:c>
    </x:row>
    <x:row r="516">
      <x:c r="A516" t="n">
        <x:f>I28</x:f>
        <x:v>-0.783</x:v>
      </x:c>
      <x:c r="B516" t="n">
        <x:f>P28</x:f>
        <x:v>2684.873119790092</x:v>
      </x:c>
      <x:c r="C516" t="n">
        <x:f>R28</x:f>
        <x:v>1726.3775528335677</x:v>
      </x:c>
      <x:c r="D516" t="n">
        <x:f>T28</x:f>
        <x:v>4180.431283564847</x:v>
      </x:c>
      <x:c r="E516" t="n">
        <x:f>V28</x:f>
        <x:v>4154.619360037404</x:v>
      </x:c>
    </x:row>
    <x:row r="517">
      <x:c r="A517" t="n">
        <x:f>I29</x:f>
        <x:v>-0.775</x:v>
      </x:c>
      <x:c r="B517" t="n">
        <x:f>P29</x:f>
        <x:v>2684.540516359488</x:v>
      </x:c>
      <x:c r="C517" t="n">
        <x:f>R29</x:f>
        <x:v>1696.0274897909542</x:v>
      </x:c>
      <x:c r="D517" t="n">
        <x:f>T29</x:f>
        <x:v>4100.190705931635</x:v>
      </x:c>
      <x:c r="E517" t="n">
        <x:f>V29</x:f>
        <x:v>4073.547273827683</x:v>
      </x:c>
    </x:row>
    <x:row r="518">
      <x:c r="A518" t="n">
        <x:f>I30</x:f>
        <x:v>-0.767</x:v>
      </x:c>
      <x:c r="B518" t="n">
        <x:f>P30</x:f>
        <x:v>2684.211328625219</x:v>
      </x:c>
      <x:c r="C518" t="n">
        <x:f>R30</x:f>
        <x:v>1665.989109038894</x:v>
      </x:c>
      <x:c r="D518" t="n">
        <x:f>T30</x:f>
        <x:v>4020.774165039202</x:v>
      </x:c>
      <x:c r="E518" t="n">
        <x:f>V30</x:f>
        <x:v>3993.3077635995774</x:v>
      </x:c>
    </x:row>
    <x:row r="519">
      <x:c r="A519" t="n">
        <x:f>I31</x:f>
        <x:v>-0.758</x:v>
      </x:c>
      <x:c r="B519" t="n">
        <x:f>P31</x:f>
        <x:v>2683.8450752486906</x:v>
      </x:c>
      <x:c r="C519" t="n">
        <x:f>R31</x:f>
        <x:v>1632.568488430753</x:v>
      </x:c>
      <x:c r="D519" t="n">
        <x:f>T31</x:f>
        <x:v>3932.415537951925</x:v>
      </x:c>
      <x:c r="E519" t="n">
        <x:f>V31</x:f>
        <x:v>3904.0335030709807</x:v>
      </x:c>
    </x:row>
    <x:row r="520">
      <x:c r="A520" t="n">
        <x:f>I32</x:f>
        <x:v>-0.75</x:v>
      </x:c>
      <x:c r="B520" t="n">
        <x:f>P32</x:f>
        <x:v>2683.5231458691333</x:v>
      </x:c>
      <x:c r="C520" t="n">
        <x:f>R32</x:f>
        <x:v>1603.1924325461182</x:v>
      </x:c>
      <x:c r="D520" t="n">
        <x:f>T32</x:f>
        <x:v>3854.7500751336447</x:v>
      </x:c>
      <x:c r="E520" t="n">
        <x:f>V32</x:f>
        <x:v>3825.5632168038064</x:v>
      </x:c>
    </x:row>
    <x:row r="521">
      <x:c r="A521" t="n">
        <x:f>I33</x:f>
        <x:v>-0.742</x:v>
      </x:c>
      <x:c r="B521" t="n">
        <x:f>P33</x:f>
        <x:v>2683.20463218591</x:v>
      </x:c>
      <x:c r="C521" t="n">
        <x:f>R33</x:f>
        <x:v>1574.1280589520366</x:v>
      </x:c>
      <x:c r="D521" t="n">
        <x:f>T33</x:f>
        <x:v>3777.908649056141</x:v>
      </x:c>
      <x:c r="E521" t="n">
        <x:f>V33</x:f>
        <x:v>3747.925506518246</x:v>
      </x:c>
    </x:row>
    <x:row r="522">
      <x:c r="A522" t="n">
        <x:f>I34</x:f>
        <x:v>-0.733</x:v>
      </x:c>
      <x:c r="B522" t="n">
        <x:f>P34</x:f>
        <x:v>2682.85038711681</x:v>
      </x:c>
      <x:c r="C522" t="n">
        <x:f>R34</x:f>
        <x:v>1541.8031963966218</x:v>
      </x:c>
      <x:c r="D522" t="n">
        <x:f>T34</x:f>
        <x:v>3692.447026135661</x:v>
      </x:c>
      <x:c r="E522" t="n">
        <x:f>V34</x:f>
        <x:v>3661.5782709250147</x:v>
      </x:c>
    </x:row>
    <x:row r="523">
      <x:c r="A523" t="n">
        <x:f>I35</x:f>
        <x:v>-0.725</x:v>
      </x:c>
      <x:c r="B523" t="n">
        <x:f>P35</x:f>
        <x:v>2682.539131788299</x:v>
      </x:c>
      <x:c r="C523" t="n">
        <x:f>R35</x:f>
        <x:v>1513.401147669966</x:v>
      </x:c>
      <x:c r="D523" t="n">
        <x:f>T35</x:f>
        <x:v>3617.3566781323107</x:v>
      </x:c>
      <x:c r="E523" t="n">
        <x:f>V35</x:f>
        <x:v>3585.709784600385</x:v>
      </x:c>
    </x:row>
    <x:row r="524">
      <x:c r="A524" t="n">
        <x:f>I36</x:f>
        <x:v>-0.717</x:v>
      </x:c>
      <x:c r="B524" t="n">
        <x:f>P36</x:f>
        <x:v>2682.231292156122</x:v>
      </x:c>
      <x:c r="C524" t="n">
        <x:f>R36</x:f>
        <x:v>1485.3107812338621</x:v>
      </x:c>
      <x:c r="D524" t="n">
        <x:f>T36</x:f>
        <x:v>3543.0903668697347</x:v>
      </x:c>
      <x:c r="E524" t="n">
        <x:f>V36</x:f>
        <x:v>3510.67387425737</x:v>
      </x:c>
    </x:row>
    <x:row r="525">
      <x:c r="A525" t="n">
        <x:f>I37</x:f>
        <x:v>-0.708</x:v>
      </x:c>
      <x:c r="B525" t="n">
        <x:f>P37</x:f>
        <x:v>2681.8890553944493</x:v>
      </x:c>
      <x:c r="C525" t="n">
        <x:f>R37</x:f>
        <x:v>1454.0816767311737</x:v>
      </x:c>
      <x:c r="D525" t="n">
        <x:f>T37</x:f>
        <x:v>3460.525748116051</x:v>
      </x:c>
      <x:c r="E525" t="n">
        <x:f>V37</x:f>
        <x:v>3427.2536635995016</x:v>
      </x:c>
    </x:row>
    <x:row r="526">
      <x:c r="A526" t="n">
        <x:f>I38</x:f>
        <x:v>-0.7</x:v>
      </x:c>
      <x:c r="B526" t="n">
        <x:f>P38</x:f>
        <x:v>2681.588474116984</x:v>
      </x:c>
      <x:c r="C526" t="n">
        <x:f>R38</x:f>
        <x:v>1426.6536351624961</x:v>
      </x:c>
      <x:c r="D526" t="n">
        <x:f>T38</x:f>
        <x:v>3388.01051492763</x:v>
      </x:c>
      <x:c r="E526" t="n">
        <x:f>V38</x:f>
        <x:v>3353.9869772174184</x:v>
      </x:c>
    </x:row>
    <x:row r="527">
      <x:c r="A527" t="n">
        <x:f>I39</x:f>
        <x:v>-0.692</x:v>
      </x:c>
      <x:c r="B527" t="n">
        <x:f>P39</x:f>
        <x:v>2681.2913085358537</x:v>
      </x:c>
      <x:c r="C527" t="n">
        <x:f>R39</x:f>
        <x:v>1399.5372758843714</x:v>
      </x:c>
      <x:c r="D527" t="n">
        <x:f>T39</x:f>
        <x:v>3316.319318479985</x:v>
      </x:c>
      <x:c r="E527" t="n">
        <x:f>V39</x:f>
        <x:v>3281.552866816948</x:v>
      </x:c>
    </x:row>
    <x:row r="528">
      <x:c r="A528" t="n">
        <x:f>I40</x:f>
        <x:v>-0.683</x:v>
      </x:c>
      <x:c r="B528" t="n">
        <x:f>P40</x:f>
        <x:v>2680.9610800816076</x:v>
      </x:c>
      <x:c r="C528" t="n">
        <x:f>R40</x:f>
        <x:v>1369.4039294344093</x:v>
      </x:c>
      <x:c r="D528" t="n">
        <x:f>T40</x:f>
        <x:v>3236.6517038930992</x:v>
      </x:c>
      <x:c r="E528" t="n">
        <x:f>V40</x:f>
        <x:v>3201.059681094447</x:v>
      </x:c>
    </x:row>
    <x:row r="529">
      <x:c r="A529" t="n">
        <x:f>I41</x:f>
        <x:v>-0.675</x:v>
      </x:c>
      <x:c r="B529" t="n">
        <x:f>P41</x:f>
        <x:v>2680.671172855189</x:v>
      </x:c>
      <x:c r="C529" t="n">
        <x:f>R41</x:f>
        <x:v>1342.9498950237103</x:v>
      </x:c>
      <x:c r="D529" t="n">
        <x:f>T41</x:f>
        <x:v>3166.7115855196066</x:v>
      </x:c>
      <x:c r="E529" t="n">
        <x:f>V41</x:f>
        <x:v>3130.3947946549083</x:v>
      </x:c>
    </x:row>
    <x:row r="530">
      <x:c r="A530" t="n">
        <x:f>I42</x:f>
        <x:v>-0.667</x:v>
      </x:c>
      <x:c r="B530" t="n">
        <x:f>P42</x:f>
        <x:v>2680.3846813251052</x:v>
      </x:c>
      <x:c r="C530" t="n">
        <x:f>R42</x:f>
        <x:v>1316.8075429035646</x:v>
      </x:c>
      <x:c r="D530" t="n">
        <x:f>T42</x:f>
        <x:v>3097.5955038868924</x:v>
      </x:c>
      <x:c r="E530" t="n">
        <x:f>V42</x:f>
        <x:v>3060.5624841969843</x:v>
      </x:c>
    </x:row>
    <x:row r="531">
      <x:c r="A531" t="n">
        <x:f>I43</x:f>
        <x:v>-0.658</x:v>
      </x:c>
      <x:c r="B531" t="n">
        <x:f>P43</x:f>
        <x:v>2680.0664611782863</x:v>
      </x:c>
      <x:c r="C531" t="n">
        <x:f>R43</x:f>
        <x:v>1287.7699545063276</x:v>
      </x:c>
      <x:c r="D531" t="n">
        <x:f>T43</x:f>
        <x:v>3020.824893466801</x:v>
      </x:c>
      <x:c r="E531" t="n">
        <x:f>V43</x:f>
        <x:v>2982.9963234098454</x:v>
      </x:c>
    </x:row>
    <x:row r="532">
      <x:c r="A532" t="n">
        <x:f>I44</x:f>
        <x:v>-0.65</x:v>
      </x:c>
      <x:c r="B532" t="n">
        <x:f>P44</x:f>
        <x:v>2679.7872280029137</x:v>
      </x:c>
      <x:c r="C532" t="n">
        <x:f>R44</x:f>
        <x:v>1262.2899272536067</x:v>
      </x:c>
      <x:c r="D532" t="n">
        <x:f>T44</x:f>
        <x:v>2953.459889908238</x:v>
      </x:c>
      <x:c r="E532" t="n">
        <x:f>V44</x:f>
        <x:v>2914.9332369128515</x:v>
      </x:c>
    </x:row>
    <x:row r="533">
      <x:c r="A533" t="n">
        <x:f>I45</x:f>
        <x:v>-0.642</x:v>
      </x:c>
      <x:c r="B533" t="n">
        <x:f>P45</x:f>
        <x:v>2679.5114105238763</x:v>
      </x:c>
      <x:c r="C533" t="n">
        <x:f>R45</x:f>
        <x:v>1237.1215822914398</x:v>
      </x:c>
      <x:c r="D533" t="n">
        <x:f>T45</x:f>
        <x:v>2886.9189230904535</x:v>
      </x:c>
      <x:c r="E533" t="n">
        <x:f>V45</x:f>
        <x:v>2847.7027263974737</x:v>
      </x:c>
    </x:row>
    <x:row r="534">
      <x:c r="A534" t="n">
        <x:f>I46</x:f>
        <x:v>-0.633</x:v>
      </x:c>
      <x:c r="B534" t="n">
        <x:f>P46</x:f>
        <x:v>2679.205198684485</x:v>
      </x:c>
      <x:c r="C534" t="n">
        <x:f>R46</x:f>
        <x:v>1209.1797519469287</x:v>
      </x:c>
      <x:c r="D534" t="n">
        <x:f>T46</x:f>
        <x:v>2813.045316837157</x:v>
      </x:c>
      <x:c r="E534" t="n">
        <x:f>V46</x:f>
        <x:v>2773.063590545697</x:v>
      </x:c>
    </x:row>
    <x:row r="535">
      <x:c r="A535" t="n">
        <x:f>I47</x:f>
        <x:v>-0.625</x:v>
      </x:c>
      <x:c r="B535" t="n">
        <x:f>P47</x:f>
        <x:v>2678.9366395601587</x:v>
      </x:c>
      <x:c r="C535" t="n">
        <x:f>R47</x:f>
        <x:v>1184.6737318521868</x:v>
      </x:c>
      <x:c r="D535" t="n">
        <x:f>T47</x:f>
        <x:v>2748.2554280935246</x:v>
      </x:c>
      <x:c r="E535" t="n">
        <x:f>V47</x:f>
        <x:v>2707.6023039912498</x:v>
      </x:c>
    </x:row>
    <x:row r="536">
      <x:c r="A536" t="n">
        <x:f>I48</x:f>
        <x:v>-0.617</x:v>
      </x:c>
      <x:c r="B536" t="n">
        <x:f>P48</x:f>
        <x:v>2678.6714961321677</x:v>
      </x:c>
      <x:c r="C536" t="n">
        <x:f>R48</x:f>
        <x:v>1160.4793940479983</x:v>
      </x:c>
      <x:c r="D536" t="n">
        <x:f>T48</x:f>
        <x:v>2684.2895760906704</x:v>
      </x:c>
      <x:c r="E536" t="n">
        <x:f>V48</x:f>
        <x:v>2642.9735934184177</x:v>
      </x:c>
    </x:row>
    <x:row r="537">
      <x:c r="A537" t="n">
        <x:f>I49</x:f>
        <x:v>-0.608</x:v>
      </x:c>
      <x:c r="B537" t="n">
        <x:f>P49</x:f>
        <x:v>2678.377292600203</x:v>
      </x:c>
      <x:c r="C537" t="n">
        <x:f>R49</x:f>
        <x:v>1133.633321756213</x:v>
      </x:c>
      <x:c r="D537" t="n">
        <x:f>T49</x:f>
        <x:v>2613.312974004169</x:v>
      </x:c>
      <x:c r="E537" t="n">
        <x:f>V49</x:f>
        <x:v>2571.2614825020046</x:v>
      </x:c>
    </x:row>
    <x:row r="538">
      <x:c r="A538" t="n">
        <x:f>I50</x:f>
        <x:v>-0.6</x:v>
      </x:c>
      <x:c r="B538" t="n">
        <x:f>P50</x:f>
        <x:v>2678.119407526923</x:v>
      </x:c>
      <x:c r="C538" t="n">
        <x:f>R50</x:f>
        <x:v>1110.1013088194502</x:v>
      </x:c>
      <x:c r="D538" t="n">
        <x:f>T50</x:f>
        <x:v>2551.098200075467</x:v>
      </x:c>
      <x:c r="E538" t="n">
        <x:f>V50</x:f>
        <x:v>2508.4019958901035</x:v>
      </x:c>
    </x:row>
    <x:row r="539">
      <x:c r="A539" t="n">
        <x:f>I51</x:f>
        <x:v>-0.592</x:v>
      </x:c>
      <x:c r="B539" t="n">
        <x:f>P51</x:f>
        <x:v>2677.8649381499786</x:v>
      </x:c>
      <x:c r="C539" t="n">
        <x:f>R51</x:f>
        <x:v>1086.88097817324</x:v>
      </x:c>
      <x:c r="D539" t="n">
        <x:f>T51</x:f>
        <x:v>2489.7074628875416</x:v>
      </x:c>
      <x:c r="E539" t="n">
        <x:f>V51</x:f>
        <x:v>2446.3750852598164</x:v>
      </x:c>
    </x:row>
    <x:row r="540">
      <x:c r="A540" t="n">
        <x:f>I52</x:f>
        <x:v>-0.583</x:v>
      </x:c>
      <x:c r="B540" t="n">
        <x:f>P52</x:f>
        <x:v>2677.582742925441</x:v>
      </x:c>
      <x:c r="C540" t="n">
        <x:f>R52</x:f>
        <x:v>1061.1306639341806</x:v>
      </x:c>
      <x:c r="D540" t="n">
        <x:f>T52</x:f>
        <x:v>2421.627864967837</x:v>
      </x:c>
      <x:c r="E540" t="n">
        <x:f>V52</x:f>
        <x:v>2377.5899992787677</x:v>
      </x:c>
    </x:row>
    <x:row r="541">
      <x:c r="A541" t="n">
        <x:f>I53</x:f>
        <x:v>-0.575</x:v>
      </x:c>
      <x:c r="B541" t="n">
        <x:f>P53</x:f>
        <x:v>2677.3355319032075</x:v>
      </x:c>
      <x:c r="C541" t="n">
        <x:f>R53</x:f>
        <x:v>1038.572658155396</x:v>
      </x:c>
      <x:c r="D541" t="n">
        <x:f>T53</x:f>
        <x:v>2361.988205854064</x:v>
      </x:c>
      <x:c r="E541" t="n">
        <x:f>V53</x:f>
        <x:v>2317.3323126094115</x:v>
      </x:c>
    </x:row>
    <x:row r="542">
      <x:c r="A542" t="n">
        <x:f>I54</x:f>
        <x:v>-0.567</x:v>
      </x:c>
      <x:c r="B542" t="n">
        <x:f>P54</x:f>
        <x:v>2677.091736577309</x:v>
      </x:c>
      <x:c r="C542" t="n">
        <x:f>R54</x:f>
        <x:v>1016.3263346671649</x:v>
      </x:c>
      <x:c r="D542" t="n">
        <x:f>T54</x:f>
        <x:v>2303.172583481069</x:v>
      </x:c>
      <x:c r="E542" t="n">
        <x:f>V54</x:f>
        <x:v>2257.9072019216705</x:v>
      </x:c>
    </x:row>
    <x:row r="543">
      <x:c r="A543" t="n">
        <x:f>I55</x:f>
        <x:v>-0.558</x:v>
      </x:c>
      <x:c r="B543" t="n">
        <x:f>P55</x:f>
        <x:v>2676.821549660199</x:v>
      </x:c>
      <x:c r="C543" t="n">
        <x:f>R55</x:f>
        <x:v>991.6717784808318</x:v>
      </x:c>
      <x:c r="D543" t="n">
        <x:f>T55</x:f>
        <x:v>2237.989989728161</x:v>
      </x:c>
      <x:c r="E543" t="n">
        <x:f>V55</x:f>
        <x:v>2192.049140875986</x:v>
      </x:c>
    </x:row>
    <x:row r="544">
      <x:c r="A544" t="n">
        <x:f>I56</x:f>
        <x:v>-0.55</x:v>
      </x:c>
      <x:c r="B544" t="n">
        <x:f>P56</x:f>
        <x:v>2676.585012689012</x:v>
      </x:c>
      <x:c r="C544" t="n">
        <x:f>R56</x:f>
        <x:v>970.0877798600259</x:v>
      </x:c>
      <x:c r="D544" t="n">
        <x:f>T56</x:f>
        <x:v>2180.9254454293177</x:v>
      </x:c>
      <x:c r="E544" t="n">
        <x:f>V56</x:f>
        <x:v>2134.393254149176</x:v>
      </x:c>
    </x:row>
    <x:row r="545">
      <x:c r="A545" t="n">
        <x:f>I57</x:f>
        <x:v>-0.542</x:v>
      </x:c>
      <x:c r="B545" t="n">
        <x:f>P57</x:f>
        <x:v>2676.3518914141596</x:v>
      </x:c>
      <x:c r="C545" t="n">
        <x:f>R57</x:f>
        <x:v>948.8154635297731</x:v>
      </x:c>
      <x:c r="D545" t="n">
        <x:f>T57</x:f>
        <x:v>2124.6849378712523</x:v>
      </x:c>
      <x:c r="E545" t="n">
        <x:f>V57</x:f>
        <x:v>2077.56994340398</x:v>
      </x:c>
    </x:row>
    <x:row r="546">
      <x:c r="A546" t="n">
        <x:f>I58</x:f>
        <x:v>-0.533</x:v>
      </x:c>
      <x:c r="B546" t="n">
        <x:f>P58</x:f>
        <x:v>2676.093712804476</x:v>
      </x:c>
      <x:c r="C546" t="n">
        <x:f>R58</x:f>
        <x:v>925.2566653961659</x:v>
      </x:c>
      <x:c r="D546" t="n">
        <x:f>T58</x:f>
        <x:v>2062.3993482851392</x:v>
      </x:c>
      <x:c r="E546" t="n">
        <x:f>V58</x:f>
        <x:v>2014.6389072936586</x:v>
      </x:c>
    </x:row>
    <x:row r="547">
      <x:c r="A547" t="n">
        <x:f>I59</x:f>
        <x:v>-0.525</x:v>
      </x:c>
      <x:c r="B547" t="n">
        <x:f>P59</x:f>
        <x:v>2675.867849884336</x:v>
      </x:c>
      <x:c r="C547" t="n">
        <x:f>R59</x:f>
        <x:v>904.6466739333382</x:v>
      </x:c>
      <x:c r="D547" t="n">
        <x:f>T59</x:f>
        <x:v>2007.9099188012265</x:v>
      </x:c>
      <x:c r="E547" t="n">
        <x:f>V59</x:f>
        <x:v>1959.584820509394</x:v>
      </x:c>
    </x:row>
    <x:row r="548">
      <x:c r="A548" t="n">
        <x:f>I60</x:f>
        <x:v>-0.517</x:v>
      </x:c>
      <x:c r="B548" t="n">
        <x:f>P60</x:f>
        <x:v>2675.6454026605297</x:v>
      </x:c>
      <x:c r="C548" t="n">
        <x:f>R60</x:f>
        <x:v>884.3483647610641</x:v>
      </x:c>
      <x:c r="D548" t="n">
        <x:f>T60</x:f>
        <x:v>1954.2445260580903</x:v>
      </x:c>
      <x:c r="E548" t="n">
        <x:f>V60</x:f>
        <x:v>1905.3633097067436</x:v>
      </x:c>
    </x:row>
    <x:row r="549">
      <x:c r="A549" t="n">
        <x:f>I61</x:f>
        <x:v>-0.508</x:v>
      </x:c>
      <x:c r="B549" t="n">
        <x:f>P61</x:f>
        <x:v>2675.3992323582734</x:v>
      </x:c>
      <x:c r="C549" t="n">
        <x:f>R61</x:f>
        <x:v>861.8853246801826</x:v>
      </x:c>
      <x:c r="D549" t="n">
        <x:f>T61</x:f>
        <x:v>1894.8559406387737</x:v>
      </x:c>
      <x:c r="E549" t="n">
        <x:f>V61</x:f>
        <x:v>1845.3592985317862</x:v>
      </x:c>
    </x:row>
    <x:row r="550">
      <x:c r="A550" t="n">
        <x:f>I62</x:f>
        <x:v>-0.5</x:v>
      </x:c>
      <x:c r="B550" t="n">
        <x:f>P62</x:f>
        <x:v>2675.184043489179</x:v>
      </x:c>
      <x:c r="C550" t="n">
        <x:f>R62</x:f>
        <x:v>842.2493403753339</x:v>
      </x:c>
      <x:c r="D550" t="n">
        <x:f>T62</x:f>
        <x:v>1842.9416259697903</x:v>
      </x:c>
      <x:c r="E550" t="n">
        <x:f>V62</x:f>
        <x:v>1792.9070116900673</x:v>
      </x:c>
    </x:row>
    <x:row r="551">
      <x:c r="A551" t="n">
        <x:f>I63</x:f>
        <x:v>-0.492</x:v>
      </x:c>
      <x:c r="B551" t="n">
        <x:f>P63</x:f>
        <x:v>2674.9722703164202</x:v>
      </x:c>
      <x:c r="C551" t="n">
        <x:f>R63</x:f>
        <x:v>822.9250383610386</x:v>
      </x:c>
      <x:c r="D551" t="n">
        <x:f>T63</x:f>
        <x:v>1791.851348041584</x:v>
      </x:c>
      <x:c r="E551" t="n">
        <x:f>V63</x:f>
        <x:v>1741.2873008299634</x:v>
      </x:c>
    </x:row>
    <x:row r="552">
      <x:c r="A552" t="n">
        <x:f>I64</x:f>
        <x:v>-0.483</x:v>
      </x:c>
      <x:c r="B552" t="n">
        <x:f>P64</x:f>
        <x:v>2674.738108321591</x:v>
      </x:c>
      <x:c r="C552" t="n">
        <x:f>R64</x:f>
        <x:v>801.5577563328827</x:v>
      </x:c>
      <x:c r="D552" t="n">
        <x:f>T64</x:f>
        <x:v>1735.3597667890629</x:v>
      </x:c>
      <x:c r="E552" t="n">
        <x:f>V64</x:f>
        <x:v>1684.2103145903689</x:v>
      </x:c>
    </x:row>
    <x:row r="553">
      <x:c r="A553" t="n">
        <x:f>I65</x:f>
        <x:v>-0.475</x:v>
      </x:c>
      <x:c r="B553" t="n">
        <x:f>P65</x:f>
        <x:v>2674.5335935035428</x:v>
      </x:c>
      <x:c r="C553" t="n">
        <x:f>R65</x:f>
        <x:v>782.8957791860126</x:v>
      </x:c>
      <x:c r="D553" t="n">
        <x:f>T65</x:f>
        <x:v>1686.0205669350094</x:v>
      </x:c>
      <x:c r="E553" t="n">
        <x:f>V65</x:f>
        <x:v>1634.3598276911957</x:v>
      </x:c>
    </x:row>
    <x:row r="554">
      <x:c r="A554" t="n">
        <x:f>I66</x:f>
        <x:v>-0.467</x:v>
      </x:c>
      <x:c r="B554" t="n">
        <x:f>P66</x:f>
        <x:v>2674.33249438183</x:v>
      </x:c>
      <x:c r="C554" t="n">
        <x:f>R66</x:f>
        <x:v>764.545484329696</x:v>
      </x:c>
      <x:c r="D554" t="n">
        <x:f>T66</x:f>
        <x:v>1637.5054038217336</x:v>
      </x:c>
      <x:c r="E554" t="n">
        <x:f>V66</x:f>
        <x:v>1585.3419167736374</x:v>
      </x:c>
    </x:row>
    <x:row r="555">
      <x:c r="A555" t="n">
        <x:f>I67</x:f>
        <x:v>-0.458</x:v>
      </x:c>
      <x:c r="B555" t="n">
        <x:f>P67</x:f>
        <x:v>2674.1103406944285</x:v>
      </x:c>
      <x:c r="C555" t="n">
        <x:f>R67</x:f>
        <x:v>744.2739603542661</x:v>
      </x:c>
      <x:c r="D555" t="n">
        <x:f>T67</x:f>
        <x:v>1583.910826736008</x:v>
      </x:c>
      <x:c r="E555" t="n">
        <x:f>V67</x:f>
        <x:v>1531.1919554694066</x:v>
      </x:c>
    </x:row>
    <x:row r="556">
      <x:c r="A556" t="n">
        <x:f>I68</x:f>
        <x:v>-0.45</x:v>
      </x:c>
      <x:c r="B556" t="n">
        <x:f>P68</x:f>
        <x:v>2673.9164999274262</x:v>
      </x:c>
      <x:c r="C556" t="n">
        <x:f>R68</x:f>
        <x:v>726.5859903653746</x:v>
      </x:c>
      <x:c r="D556" t="n">
        <x:f>T68</x:f>
        <x:v>1537.146741696884</x:v>
      </x:c>
      <x:c r="E556" t="n">
        <x:f>V68</x:f>
        <x:v>1483.9432685127788</x:v>
      </x:c>
    </x:row>
    <x:row r="557">
      <x:c r="A557" t="n">
        <x:f>I69</x:f>
        <x:v>-0.442</x:v>
      </x:c>
      <x:c r="B557" t="n">
        <x:f>P69</x:f>
        <x:v>2673.7260748567596</x:v>
      </x:c>
      <x:c r="C557" t="n">
        <x:f>R69</x:f>
        <x:v>709.2097026670363</x:v>
      </x:c>
      <x:c r="D557" t="n">
        <x:f>T69</x:f>
        <x:v>1491.2066933985375</x:v>
      </x:c>
      <x:c r="E557" t="n">
        <x:f>V69</x:f>
        <x:v>1437.5271575377656</x:v>
      </x:c>
    </x:row>
    <x:row r="558">
      <x:c r="A558" t="n">
        <x:f>I70</x:f>
        <x:v>-0.433</x:v>
      </x:c>
      <x:c r="B558" t="n">
        <x:f>P70</x:f>
        <x:v>2673.515929476785</x:v>
      </x:c>
      <x:c r="C558" t="n">
        <x:f>R70</x:f>
        <x:v>690.0339367443328</x:v>
      </x:c>
      <x:c r="D558" t="n">
        <x:f>T70</x:f>
        <x:v>1440.509120479609</x:v>
      </x:c>
      <x:c r="E558" t="n">
        <x:f>V70</x:f>
        <x:v>1386.3042211688996</x:v>
      </x:c>
    </x:row>
    <x:row r="559">
      <x:c r="A559" t="n">
        <x:f>I71</x:f>
        <x:v>-0.425</x:v>
      </x:c>
      <x:c r="B559" t="n">
        <x:f>P71</x:f>
        <x:v>2673.3327627608296</x:v>
      </x:c>
      <x:c r="C559" t="n">
        <x:f>R71</x:f>
        <x:v>673.3199739134199</x:v>
      </x:c>
      <x:c r="D559" t="n">
        <x:f>T71</x:f>
        <x:v>1396.3201502554145</x:v>
      </x:c>
      <x:c r="E559" t="n">
        <x:f>V71</x:f>
        <x:v>1341.6573341548174</x:v>
      </x:c>
    </x:row>
    <x:row r="560">
      <x:c r="A560" t="n">
        <x:f>I72</x:f>
        <x:v>-0.417</x:v>
      </x:c>
      <x:c r="B560" t="n">
        <x:f>P72</x:f>
        <x:v>2673.1530117412094</x:v>
      </x:c>
      <x:c r="C560" t="n">
        <x:f>R72</x:f>
        <x:v>656.9176933730602</x:v>
      </x:c>
      <x:c r="D560" t="n">
        <x:f>T72</x:f>
        <x:v>1352.955216771998</x:v>
      </x:c>
      <x:c r="E560" t="n">
        <x:f>V72</x:f>
        <x:v>1297.8430231223497</x:v>
      </x:c>
    </x:row>
    <x:row r="561">
      <x:c r="A561" t="n">
        <x:f>I73</x:f>
        <x:v>-0.408</x:v>
      </x:c>
      <x:c r="B561" t="n">
        <x:f>P73</x:f>
        <x:v>2672.954874668662</x:v>
      </x:c>
      <x:c r="C561" t="n">
        <x:f>R73</x:f>
        <x:v>638.8376855030822</x:v>
      </x:c>
      <x:c r="D561" t="n">
        <x:f>T73</x:f>
        <x:v>1305.154648019864</x:v>
      </x:c>
      <x:c r="E561" t="n">
        <x:f>V73</x:f>
        <x:v>1249.5471116888466</x:v>
      </x:c>
    </x:row>
    <x:row r="562">
      <x:c r="A562" t="n">
        <x:f>I74</x:f>
        <x:v>-0.4</x:v>
      </x:c>
      <x:c r="B562" t="n">
        <x:f>P74</x:f>
        <x:v>2672.782382003753</x:v>
      </x:c>
      <x:c r="C562" t="n">
        <x:f>R74</x:f>
        <x:v>623.097729830148</x:v>
      </x:c>
      <x:c r="D562" t="n">
        <x:f>T74</x:f>
        <x:v>1263.5407926106002</x:v>
      </x:c>
      <x:c r="E562" t="n">
        <x:f>V74</x:f>
        <x:v>1207.5020246173106</x:v>
      </x:c>
    </x:row>
    <x:row r="563">
      <x:c r="A563" t="n">
        <x:f>I75</x:f>
        <x:v>-0.392</x:v>
      </x:c>
      <x:c r="B563" t="n">
        <x:f>P75</x:f>
        <x:v>2672.6133050351787</x:v>
      </x:c>
      <x:c r="C563" t="n">
        <x:f>R75</x:f>
        <x:v>607.6694564477671</x:v>
      </x:c>
      <x:c r="D563" t="n">
        <x:f>T75</x:f>
        <x:v>1222.750973942113</x:v>
      </x:c>
      <x:c r="E563" t="n">
        <x:f>V75</x:f>
        <x:v>1166.2895135273884</x:v>
      </x:c>
    </x:row>
    <x:row r="564">
      <x:c r="A564" t="n">
        <x:f>I76</x:f>
        <x:v>-0.383</x:v>
      </x:c>
      <x:c r="B564" t="n">
        <x:f>P76</x:f>
        <x:v>2672.427176270058</x:v>
      </x:c>
      <x:c r="C564" t="n">
        <x:f>R76</x:f>
        <x:v>590.685206630515</x:v>
      </x:c>
      <x:c r="D564" t="n">
        <x:f>T76</x:f>
        <x:v>1177.8474093567754</x:v>
      </x:c>
      <x:c r="E564" t="n">
        <x:f>V76</x:f>
        <x:v>1120.9206270292493</x:v>
      </x:c>
    </x:row>
    <x:row r="565">
      <x:c r="A565" t="n">
        <x:f>I77</x:f>
        <x:v>-0.375</x:v>
      </x:c>
      <x:c r="B565" t="n">
        <x:f>P77</x:f>
        <x:v>2672.2653576561956</x:v>
      </x:c>
      <x:c r="C565" t="n">
        <x:f>R77</x:f>
        <x:v>575.9192581155594</x:v>
      </x:c>
      <x:c r="D565" t="n">
        <x:f>T77</x:f>
        <x:v>1138.808668762441</x:v>
      </x:c>
      <x:c r="E565" t="n">
        <x:f>V77</x:f>
        <x:v>1081.4773399002586</x:v>
      </x:c>
    </x:row>
    <x:row r="566">
      <x:c r="A566" t="n">
        <x:f>I78</x:f>
        <x:v>-0.367</x:v>
      </x:c>
      <x:c r="B566" t="n">
        <x:f>P78</x:f>
        <x:v>2672.106954738668</x:v>
      </x:c>
      <x:c r="C566" t="n">
        <x:f>R78</x:f>
        <x:v>561.464991891157</x:v>
      </x:c>
      <x:c r="D566" t="n">
        <x:f>T78</x:f>
        <x:v>1100.593964908884</x:v>
      </x:c>
      <x:c r="E566" t="n">
        <x:f>V78</x:f>
        <x:v>1042.8666287528822</x:v>
      </x:c>
    </x:row>
    <x:row r="567">
      <x:c r="A567" t="n">
        <x:f>I79</x:f>
        <x:v>-0.358</x:v>
      </x:c>
      <x:c r="B567" t="n">
        <x:f>P79</x:f>
        <x:v>2671.932834280975</x:v>
      </x:c>
      <x:c r="C567" t="n">
        <x:f>R79</x:f>
        <x:v>545.576500126631</x:v>
      </x:c>
      <x:c r="D567" t="n">
        <x:f>T79</x:f>
        <x:v>1058.5874044903424</x:v>
      </x:c>
      <x:c r="E567" t="n">
        <x:f>V79</x:f>
        <x:v>1000.4247671901072</x:v>
      </x:c>
    </x:row>
    <x:row r="568">
      <x:c r="A568" t="n">
        <x:f>I80</x:f>
        <x:v>-0.35</x:v>
      </x:c>
      <x:c r="B568" t="n">
        <x:f>P80</x:f>
        <x:v>2671.7816897181583</x:v>
      </x:c>
      <x:c r="C568" t="n">
        <x:f>R80</x:f>
        <x:v>531.7845587696538</x:v>
      </x:c>
      <x:c r="D568" t="n">
        <x:f>T80</x:f>
        <x:v>1022.1237787109374</x:v>
      </x:c>
      <x:c r="E568" t="n">
        <x:f>V80</x:f>
        <x:v>963.5832800036617</x:v>
      </x:c>
    </x:row>
    <x:row r="569">
      <x:c r="A569" t="n">
        <x:f>I81</x:f>
        <x:v>-0.342</x:v>
      </x:c>
      <x:c r="B569" t="n">
        <x:f>P81</x:f>
        <x:v>2671.633960851677</x:v>
      </x:c>
      <x:c r="C569" t="n">
        <x:f>R81</x:f>
        <x:v>518.3042997032301</x:v>
      </x:c>
      <x:c r="D569" t="n">
        <x:f>T81</x:f>
        <x:v>986.4841896723101</x:v>
      </x:c>
      <x:c r="E569" t="n">
        <x:f>V81</x:f>
        <x:v>927.574368798831</x:v>
      </x:c>
    </x:row>
    <x:row r="570">
      <x:c r="A570" t="n">
        <x:f>I82</x:f>
        <x:v>-0.333</x:v>
      </x:c>
      <x:c r="B570" t="n">
        <x:f>P82</x:f>
        <x:v>2671.4718487014106</x:v>
      </x:c>
      <x:c r="C570" t="n">
        <x:f>R82</x:f>
        <x:v>503.51156599142996</x:v>
      </x:c>
      <x:c r="D570" t="n">
        <x:f>T82</x:f>
        <x:v>947.3746334205645</x:v>
      </x:c>
      <x:c r="E570" t="n">
        <x:f>V82</x:f>
        <x:v>888.0595321714195</x:v>
      </x:c>
    </x:row>
    <x:row r="571">
      <x:c r="A571" t="n">
        <x:f>I83</x:f>
        <x:v>-0.325</x:v>
      </x:c>
      <x:c r="B571" t="n">
        <x:f>P83</x:f>
        <x:v>2671.331378189641</x:v>
      </x:c>
      <x:c r="C571" t="n">
        <x:f>R83</x:f>
        <x:v>490.6936317924316</x:v>
      </x:c>
      <x:c r="D571" t="n">
        <x:f>T83</x:f>
        <x:v>913.4861224560894</x:v>
      </x:c>
      <x:c r="E571" t="n">
        <x:f>V83</x:f>
        <x:v>853.8198449275199</x:v>
      </x:c>
    </x:row>
    <x:row r="572">
      <x:c r="A572" t="n">
        <x:f>I84</x:f>
        <x:v>-0.317</x:v>
      </x:c>
      <x:c r="B572" t="n">
        <x:f>P84</x:f>
        <x:v>2671.194323374206</x:v>
      </x:c>
      <x:c r="C572" t="n">
        <x:f>R84</x:f>
        <x:v>478.18737988398607</x:v>
      </x:c>
      <x:c r="D572" t="n">
        <x:f>T84</x:f>
        <x:v>880.421648232391</x:v>
      </x:c>
      <x:c r="E572" t="n">
        <x:f>V84</x:f>
        <x:v>820.4127336652341</x:v>
      </x:c>
    </x:row>
    <x:row r="573">
      <x:c r="A573" t="n">
        <x:f>I85</x:f>
        <x:v>-0.308</x:v>
      </x:c>
      <x:c r="B573" t="n">
        <x:f>P85</x:f>
        <x:v>2671.0442195313667</x:v>
      </x:c>
      <x:c r="C573" t="n">
        <x:f>R85</x:f>
        <x:v>464.49040422491237</x:v>
      </x:c>
      <x:c r="D573" t="n">
        <x:f>T85</x:f>
        <x:v>844.2090961474427</x:v>
      </x:c>
      <x:c r="E573" t="n">
        <x:f>V85</x:f>
        <x:v>783.8249219731875</x:v>
      </x:c>
    </x:row>
    <x:row r="574">
      <x:c r="A574" t="n">
        <x:f>I86</x:f>
        <x:v>-0.3</x:v>
      </x:c>
      <x:c r="B574" t="n">
        <x:f>P86</x:f>
        <x:v>2670.914423070643</x:v>
      </x:c>
      <x:c r="C574" t="n">
        <x:f>R86</x:f>
        <x:v>452.64647718389233</x:v>
      </x:c>
      <x:c r="D574" t="n">
        <x:f>T86</x:f>
        <x:v>812.8956999978966</x:v>
      </x:c>
      <x:c r="E574" t="n">
        <x:f>V86</x:f>
        <x:v>752.1870346718329</x:v>
      </x:c>
    </x:row>
    <x:row r="575">
      <x:c r="A575" t="n">
        <x:f>I87</x:f>
        <x:v>-0.292</x:v>
      </x:c>
      <x:c r="B575" t="n">
        <x:f>P87</x:f>
        <x:v>2670.7880423062543</x:v>
      </x:c>
      <x:c r="C575" t="n">
        <x:f>R87</x:f>
        <x:v>441.11423243342574</x:v>
      </x:c>
      <x:c r="D575" t="n">
        <x:f>T87</x:f>
        <x:v>782.4063405891286</x:v>
      </x:c>
      <x:c r="E575" t="n">
        <x:f>V87</x:f>
        <x:v>721.3817233520933</x:v>
      </x:c>
    </x:row>
    <x:row r="576">
      <x:c r="A576" t="n">
        <x:f>I88</x:f>
        <x:v>-0.283</x:v>
      </x:c>
      <x:c r="B576" t="n">
        <x:f>P88</x:f>
        <x:v>2670.6499467708427</x:v>
      </x:c>
      <x:c r="C576" t="n">
        <x:f>R88</x:f>
        <x:v>428.5130148270775</x:v>
      </x:c>
      <x:c r="D576" t="n">
        <x:f>T88</x:f>
        <x:v>749.090792670975</x:v>
      </x:c>
      <x:c r="E576" t="n">
        <x:f>V88</x:f>
        <x:v>687.7209365954095</x:v>
      </x:c>
    </x:row>
    <x:row r="577">
      <x:c r="A577" t="n">
        <x:f>I89</x:f>
        <x:v>-0.275</x:v>
      </x:c>
      <x:c r="B577" t="n">
        <x:f>P89</x:f>
        <x:v>2670.5308243611653</x:v>
      </x:c>
      <x:c r="C577" t="n">
        <x:f>R89</x:f>
        <x:v>417.6430949440363</x:v>
      </x:c>
      <x:c r="D577" t="n">
        <x:f>T89</x:f>
        <x:v>720.3525113363593</x:v>
      </x:c>
      <x:c r="E577" t="n">
        <x:f>V89</x:f>
        <x:v>658.6848492366009</x:v>
      </x:c>
    </x:row>
    <x:row r="578">
      <x:c r="A578" t="n">
        <x:f>I90</x:f>
        <x:v>-0.267</x:v>
      </x:c>
      <x:c r="B578" t="n">
        <x:f>P90</x:f>
        <x:v>2670.4151176478226</x:v>
      </x:c>
      <x:c r="C578" t="n">
        <x:f>R90</x:f>
        <x:v>407.0848573515482</x:v>
      </x:c>
      <x:c r="D578" t="n">
        <x:f>T90</x:f>
        <x:v>692.4382667425209</x:v>
      </x:c>
      <x:c r="E578" t="n">
        <x:f>V90</x:f>
        <x:v>630.4813378594068</x:v>
      </x:c>
    </x:row>
    <x:row r="579">
      <x:c r="A579" t="n">
        <x:f>I91</x:f>
        <x:v>-0.258</x:v>
      </x:c>
      <x:c r="B579" t="n">
        <x:f>P91</x:f>
        <x:v>2670.2890304198377</x:v>
      </x:c>
      <x:c r="C579" t="n">
        <x:f>R91</x:f>
        <x:v>395.5793977979259</x:v>
      </x:c>
      <x:c r="D579" t="n">
        <x:f>T91</x:f>
        <x:v>662.0197229911632</x:v>
      </x:c>
      <x:c r="E579" t="n">
        <x:f>V91</x:f>
        <x:v>599.7475760380869</x:v>
      </x:c>
    </x:row>
    <x:row r="580">
      <x:c r="A580" t="n">
        <x:f>I92</x:f>
        <x:v>-0.25</x:v>
      </x:c>
      <x:c r="B580" t="n">
        <x:f>P92</x:f>
        <x:v>2670.180582061207</x:v>
      </x:c>
      <x:c r="C580" t="n">
        <x:f>R92</x:f>
        <x:v>385.68348507286333</x:v>
      </x:c>
      <x:c r="D580" t="n">
        <x:f>T92</x:f>
        <x:v>635.8565564714773</x:v>
      </x:c>
      <x:c r="E580" t="n">
        <x:f>V92</x:f>
        <x:v>573.3132886218239</x:v>
      </x:c>
    </x:row>
    <x:row r="581">
      <x:c r="A581" t="n">
        <x:f>I93</x:f>
        <x:v>-0.242</x:v>
      </x:c>
      <x:c r="B581" t="n">
        <x:f>P93</x:f>
        <x:v>2670.075549398911</x:v>
      </x:c>
      <x:c r="C581" t="n">
        <x:f>R93</x:f>
        <x:v>376.09925463835384</x:v>
      </x:c>
      <x:c r="D581" t="n">
        <x:f>T93</x:f>
        <x:v>610.5174266925688</x:v>
      </x:c>
      <x:c r="E581" t="n">
        <x:f>V93</x:f>
        <x:v>547.7115771871754</x:v>
      </x:c>
    </x:row>
    <x:row r="582">
      <x:c r="A582" t="n">
        <x:f>I94</x:f>
        <x:v>-0.233</x:v>
      </x:c>
      <x:c r="B582" t="n">
        <x:f>P94</x:f>
        <x:v>2669.9614704783535</x:v>
      </x:c>
      <x:c r="C582" t="n">
        <x:f>R94</x:f>
        <x:v>365.6895531374575</x:v>
      </x:c>
      <x:c r="D582" t="n">
        <x:f>T94</x:f>
        <x:v>582.9958871080072</x:v>
      </x:c>
      <x:c r="E582" t="n">
        <x:f>V94</x:f>
        <x:v>519.9048403012193</x:v>
      </x:c>
    </x:row>
    <x:row r="583">
      <x:c r="A583" t="n">
        <x:f>I95</x:f>
        <x:v>-0.225</x:v>
      </x:c>
      <x:c r="B583" t="n">
        <x:f>P95</x:f>
        <x:v>2669.863696170769</x:v>
      </x:c>
      <x:c r="C583" t="n">
        <x:f>R95</x:f>
        <x:v>356.7676475703735</x:v>
      </x:c>
      <x:c r="D583" t="n">
        <x:f>T95</x:f>
        <x:v>559.4078354032508</x:v>
      </x:c>
      <x:c r="E583" t="n">
        <x:f>V95</x:f>
        <x:v>496.0723528275018</x:v>
      </x:c>
    </x:row>
    <x:row r="584">
      <x:c r="A584" t="n">
        <x:f>I96</x:f>
        <x:v>-0.217</x:v>
      </x:c>
      <x:c r="B584" t="n">
        <x:f>P96</x:f>
        <x:v>2669.769337559519</x:v>
      </x:c>
      <x:c r="C584" t="n">
        <x:f>R96</x:f>
        <x:v>348.1574242938427</x:v>
      </x:c>
      <x:c r="D584" t="n">
        <x:f>T96</x:f>
        <x:v>536.6438204392722</x:v>
      </x:c>
      <x:c r="E584" t="n">
        <x:f>V96</x:f>
        <x:v>473.0724413353988</x:v>
      </x:c>
    </x:row>
    <x:row r="585">
      <x:c r="A585" t="n">
        <x:f>I97</x:f>
        <x:v>-0.208</x:v>
      </x:c>
      <x:c r="B585" t="n">
        <x:f>P97</x:f>
        <x:v>2669.6672669463883</x:v>
      </x:c>
      <x:c r="C585" t="n">
        <x:f>R97</x:f>
        <x:v>338.8434808456722</x:v>
      </x:c>
      <x:c r="D585" t="n">
        <x:f>T97</x:f>
        <x:v>512.0192850215063</x:v>
      </x:c>
      <x:c r="E585" t="n">
        <x:f>V97</x:f>
        <x:v>448.1927293848065</x:v>
      </x:c>
    </x:row>
    <x:row r="586">
      <x:c r="A586" t="n">
        <x:f>I98</x:f>
        <x:v>-0.2</x:v>
      </x:c>
      <x:c r="B586" t="n">
        <x:f>P98</x:f>
        <x:v>2669.5801666898506</x:v>
      </x:c>
      <x:c r="C586" t="n">
        <x:f>R98</x:f>
        <x:v>330.8955824365668</x:v>
      </x:c>
      <x:c r="D586" t="n">
        <x:f>T98</x:f>
        <x:v>491.00634813167994</x:v>
      </x:c>
      <x:c r="E586" t="n">
        <x:f>V98</x:f>
        <x:v>426.9620418536346</x:v>
      </x:c>
    </x:row>
    <x:row r="587">
      <x:c r="A587" t="n">
        <x:f>I99</x:f>
        <x:v>-0.192</x:v>
      </x:c>
      <x:c r="B587" t="n">
        <x:f>P99</x:f>
        <x:v>2669.496482129647</x:v>
      </x:c>
      <x:c r="C587" t="n">
        <x:f>R99</x:f>
        <x:v>323.2593663180145</x:v>
      </x:c>
      <x:c r="D587" t="n">
        <x:f>T99</x:f>
        <x:v>470.8174479826305</x:v>
      </x:c>
      <x:c r="E587" t="n">
        <x:f>V99</x:f>
        <x:v>406.563930304077</x:v>
      </x:c>
    </x:row>
    <x:row r="588">
      <x:c r="A588" t="n">
        <x:f>I100</x:f>
        <x:v>-0.183</x:v>
      </x:c>
      <x:c r="B588" t="n">
        <x:f>P100</x:f>
        <x:v>2669.406419823944</x:v>
      </x:c>
      <x:c r="C588" t="n">
        <x:f>R100</x:f>
        <x:v>315.04118092257016</x:v>
      </x:c>
      <x:c r="D588" t="n">
        <x:f>T100</x:f>
        <x:v>449.08991673166133</x:v>
      </x:c>
      <x:c r="E588" t="n">
        <x:f>V100</x:f>
        <x:v>384.6112432888491</x:v>
      </x:c>
    </x:row>
    <x:row r="589">
      <x:c r="A589" t="n">
        <x:f>I101</x:f>
        <x:v>-0.175</x:v>
      </x:c>
      <x:c r="B589" t="n">
        <x:f>P101</x:f>
        <x:v>2669.329993618452</x:v>
      </x:c>
      <x:c r="C589" t="n">
        <x:f>R101</x:f>
        <x:v>308.0672896714433</x:v>
      </x:c>
      <x:c r="D589" t="n">
        <x:f>T101</x:f>
        <x:v>430.6520946567642</x:v>
      </x:c>
      <x:c r="E589" t="n">
        <x:f>V101</x:f>
        <x:v>365.98235570022246</x:v>
      </x:c>
    </x:row>
    <x:row r="590">
      <x:c r="A590" t="n">
        <x:f>I102</x:f>
        <x:v>-0.167</x:v>
      </x:c>
      <x:c r="B590" t="n">
        <x:f>P102</x:f>
        <x:v>2669.256983109295</x:v>
      </x:c>
      <x:c r="C590" t="n">
        <x:f>R102</x:f>
        <x:v>301.40508071086964</x:v>
      </x:c>
      <x:c r="D590" t="n">
        <x:f>T102</x:f>
        <x:v>413.03830932264486</x:v>
      </x:c>
      <x:c r="E590" t="n">
        <x:f>V102</x:f>
        <x:v>348.1860440932107</x:v>
      </x:c>
    </x:row>
    <x:row r="591">
      <x:c r="A591" t="n">
        <x:f>I103</x:f>
        <x:v>-0.158</x:v>
      </x:c>
      <x:c r="B591" t="n">
        <x:f>P103</x:f>
        <x:v>2669.1789291110185</x:v>
      </x:c>
      <x:c r="C591" t="n">
        <x:f>R103</x:f>
        <x:v>294.2826533681511</x:v>
      </x:c>
      <x:c r="D591" t="n">
        <x:f>T103</x:f>
        <x:v>394.2077822384711</x:v>
      </x:c>
      <x:c r="E591" t="n">
        <x:f>V103</x:f>
        <x:v>329.160382013346</x:v>
      </x:c>
    </x:row>
    <x:row r="592">
      <x:c r="A592" t="n">
        <x:f>I104</x:f>
        <x:v>-0.15</x:v>
      </x:c>
      <x:c r="B592" t="n">
        <x:f>P104</x:f>
        <x:v>2669.113176956573</x:v>
      </x:c>
      <x:c r="C592" t="n">
        <x:f>R104</x:f>
        <x:v>288.2827692750029</x:v>
      </x:c>
      <x:c r="D592" t="n">
        <x:f>T104</x:f>
        <x:v>378.345074978504</x:v>
      </x:c>
      <x:c r="E592" t="n">
        <x:f>V104</x:f>
        <x:v>313.13329436726525</x:v>
      </x:c>
    </x:row>
    <x:row r="593">
      <x:c r="A593" t="n">
        <x:f>I105</x:f>
        <x:v>-0.142</x:v>
      </x:c>
      <x:c r="B593" t="n">
        <x:f>P105</x:f>
        <x:v>2669.050840498462</x:v>
      </x:c>
      <x:c r="C593" t="n">
        <x:f>R105</x:f>
        <x:v>282.5945674724079</x:v>
      </x:c>
      <x:c r="D593" t="n">
        <x:f>T105</x:f>
        <x:v>363.30640445931436</x:v>
      </x:c>
      <x:c r="E593" t="n">
        <x:f>V105</x:f>
        <x:v>297.9387827027991</x:v>
      </x:c>
    </x:row>
    <x:row r="594">
      <x:c r="A594" t="n">
        <x:f>I106</x:f>
        <x:v>-0.133</x:v>
      </x:c>
      <x:c r="B594" t="n">
        <x:f>P106</x:f>
        <x:v>2668.984794807613</x:v>
      </x:c>
      <x:c r="C594" t="n">
        <x:f>R106</x:f>
        <x:v>276.56789818241526</x:v>
      </x:c>
      <x:c r="D594" t="n">
        <x:f>T106</x:f>
        <x:v>347.3728815419365</x:v>
      </x:c>
      <x:c r="E594" t="n">
        <x:f>V106</x:f>
        <x:v>281.84014555829816</x:v>
      </x:c>
    </x:row>
    <x:row r="595">
      <x:c r="A595" t="n">
        <x:f>I107</x:f>
        <x:v>-0.125</x:v>
      </x:c>
      <x:c r="B595" t="n">
        <x:f>P107</x:f>
        <x:v>2668.929716704214</x:v>
      </x:c>
      <x:c r="C595" t="n">
        <x:f>R107</x:f>
        <x:v>271.54202124724566</x:v>
      </x:c>
      <x:c r="D595" t="n">
        <x:f>T107</x:f>
        <x:v>334.08528909689915</x:v>
      </x:c>
      <x:c r="E595" t="n">
        <x:f>V107</x:f>
        <x:v>268.414857854763</x:v>
      </x:c>
    </x:row>
    <x:row r="596">
      <x:c r="A596" t="n">
        <x:f>I108</x:f>
        <x:v>-0.117</x:v>
      </x:c>
      <x:c r="B596" t="n">
        <x:f>P108</x:f>
        <x:v>2668.8780542971494</x:v>
      </x:c>
      <x:c r="C596" t="n">
        <x:f>R108</x:f>
        <x:v>266.8278266026293</x:v>
      </x:c>
      <x:c r="D596" t="n">
        <x:f>T108</x:f>
        <x:v>321.6217333926393</x:v>
      </x:c>
      <x:c r="E596" t="n">
        <x:f>V108</x:f>
        <x:v>255.82214613284236</x:v>
      </x:c>
    </x:row>
    <x:row r="597">
      <x:c r="A597" t="n">
        <x:f>I109</x:f>
        <x:v>-0.108</x:v>
      </x:c>
      <x:c r="B597" t="n">
        <x:f>P109</x:f>
        <x:v>2668.8240169137275</x:v>
      </x:c>
      <x:c r="C597" t="n">
        <x:f>R109</x:f>
        <x:v>261.89691536536253</x:v>
      </x:c>
      <x:c r="D597" t="n">
        <x:f>T109</x:f>
        <x:v>308.58521464205745</x:v>
      </x:c>
      <x:c r="E597" t="n">
        <x:f>V109</x:f>
        <x:v>242.6505339237053</x:v>
      </x:c>
    </x:row>
    <x:row r="598">
      <x:c r="A598" t="n">
        <x:f>I110</x:f>
        <x:v>-0.1</x:v>
      </x:c>
      <x:c r="B598" t="n">
        <x:f>P110</x:f>
        <x:v>2668.779612861375</x:v>
      </x:c>
      <x:c r="C598" t="n">
        <x:f>R110</x:f>
        <x:v>257.8450455881715</x:v>
      </x:c>
      <x:c r="D598" t="n">
        <x:f>T110</x:f>
        <x:v>297.8727370119498</x:v>
      </x:c>
      <x:c r="E598" t="n">
        <x:f>V110</x:f>
        <x:v>231.82704616271567</x:v>
      </x:c>
    </x:row>
    <x:row r="599">
      <x:c r="A599" t="n">
        <x:f>I111</x:f>
        <x:v>-0.092</x:v>
      </x:c>
      <x:c r="B599" t="n">
        <x:f>P111</x:f>
        <x:v>2668.738624505357</x:v>
      </x:c>
      <x:c r="C599" t="n">
        <x:f>R111</x:f>
        <x:v>254.1048581015337</x:v>
      </x:c>
      <x:c r="D599" t="n">
        <x:f>T111</x:f>
        <x:v>287.98429612261964</x:v>
      </x:c>
      <x:c r="E599" t="n">
        <x:f>V111</x:f>
        <x:v>221.8361343833407</x:v>
      </x:c>
    </x:row>
    <x:row r="600">
      <x:c r="A600" t="n">
        <x:f>I112</x:f>
        <x:v>-0.083</x:v>
      </x:c>
      <x:c r="B600" t="n">
        <x:f>P112</x:f>
        <x:v>2668.696595429362</x:v>
      </x:c>
      <x:c r="C600" t="n">
        <x:f>R112</x:f>
        <x:v>250.26970491699296</x:v>
      </x:c>
      <x:c r="D600" t="n">
        <x:f>T112</x:f>
        <x:v>277.84478153883373</x:v>
      </x:c>
      <x:c r="E600" t="n">
        <x:f>V112</x:f>
        <x:v>211.59154710956733</x:v>
      </x:c>
    </x:row>
    <x:row r="601">
      <x:c r="A601" t="n">
        <x:f>I113</x:f>
        <x:v>-0.075</x:v>
      </x:c>
      <x:c r="B601" t="n">
        <x:f>P113</x:f>
        <x:v>2668.6628654280557</x:v>
      </x:c>
      <x:c r="C601" t="n">
        <x:f>R113</x:f>
        <x:v>247.19184229778054</x:v>
      </x:c>
      <x:c r="D601" t="n">
        <x:f>T113</x:f>
        <x:v>269.7074187236558</x:v>
      </x:c>
      <x:c r="E601" t="n">
        <x:f>V113</x:f>
        <x:v>203.36985929112333</x:v>
      </x:c>
    </x:row>
    <x:row r="602">
      <x:c r="A602" t="n">
        <x:f>I114</x:f>
        <x:v>-0.067</x:v>
      </x:c>
      <x:c r="B602" t="n">
        <x:f>P114</x:f>
        <x:v>2668.632551123084</x:v>
      </x:c>
      <x:c r="C602" t="n">
        <x:f>R114</x:f>
        <x:v>244.42566196912128</x:v>
      </x:c>
      <x:c r="D602" t="n">
        <x:f>T114</x:f>
        <x:v>262.3940926492553</x:v>
      </x:c>
      <x:c r="E602" t="n">
        <x:f>V114</x:f>
        <x:v>195.98074745429378</x:v>
      </x:c>
    </x:row>
    <x:row r="603">
      <x:c r="A603" t="n">
        <x:f>I115</x:f>
        <x:v>-0.058</x:v>
      </x:c>
      <x:c r="B603" t="n">
        <x:f>P115</x:f>
        <x:v>2668.602530354516</x:v>
      </x:c>
      <x:c r="C603" t="n">
        <x:f>R115</x:f>
        <x:v>241.68626683730656</x:v>
      </x:c>
      <x:c r="D603" t="n">
        <x:f>T115</x:f>
        <x:v>255.1515822322656</x:v>
      </x:c>
      <x:c r="E603" t="n">
        <x:f>V115</x:f>
        <x:v>188.66318511588446</x:v>
      </x:c>
    </x:row>
    <x:row r="604">
      <x:c r="A604" t="n">
        <x:f>I116</x:f>
        <x:v>-0.05</x:v>
      </x:c>
      <x:c r="B604" t="n">
        <x:f>P116</x:f>
        <x:v>2668.579474404256</x:v>
      </x:c>
      <x:c r="C604" t="n">
        <x:f>R116</x:f>
        <x:v>239.5824113760727</x:v>
      </x:c>
      <x:c r="D604" t="n">
        <x:f>T116</x:f>
        <x:v>249.58933423201725</x:v>
      </x:c>
      <x:c r="E604" t="n">
        <x:f>V116</x:f>
        <x:v>183.04329723998595</x:v>
      </x:c>
    </x:row>
    <x:row r="605">
      <x:c r="A605" t="n">
        <x:f>I117</x:f>
        <x:v>-0.042</x:v>
      </x:c>
      <x:c r="B605" t="n">
        <x:f>P117</x:f>
        <x:v>2668.5598341503305</x:v>
      </x:c>
      <x:c r="C605" t="n">
        <x:f>R117</x:f>
        <x:v>237.7902382053921</x:v>
      </x:c>
      <x:c r="D605" t="n">
        <x:f>T117</x:f>
        <x:v>244.85112297254656</x:v>
      </x:c>
      <x:c r="E605" t="n">
        <x:f>V117</x:f>
        <x:v>178.25598534570207</x:v>
      </x:c>
    </x:row>
    <x:row r="606">
      <x:c r="A606" t="n">
        <x:f>I118</x:f>
        <x:v>-0.033</x:v>
      </x:c>
      <x:c r="B606" t="n">
        <x:f>P118</x:f>
        <x:v>2668.54182168919</x:v>
      </x:c>
      <x:c r="C606" t="n">
        <x:f>R118</x:f>
        <x:v>236.14660112630315</x:v>
      </x:c>
      <x:c r="D606" t="n">
        <x:f>T118</x:f>
        <x:v>240.50561672235264</x:v>
      </x:c>
      <x:c r="E606" t="n">
        <x:f>V118</x:f>
        <x:v>173.86544794265637</x:v>
      </x:c>
    </x:row>
    <x:row r="607">
      <x:c r="A607" t="n">
        <x:f>I119</x:f>
        <x:v>-0.025</x:v>
      </x:c>
      <x:c r="B607" t="n">
        <x:f>P119</x:f>
        <x:v>2668.5294397899765</x:v>
      </x:c>
      <x:c r="C607" t="n">
        <x:f>R119</x:f>
        <x:v>235.01675282304802</x:v>
      </x:c>
      <x:c r="D607" t="n">
        <x:f>T119</x:f>
        <x:v>237.51848353703414</x:v>
      </x:c>
      <x:c r="E607" t="n">
        <x:f>V119</x:f>
        <x:v>170.8473600093035</x:v>
      </x:c>
    </x:row>
    <x:row r="608">
      <x:c r="A608" t="n">
        <x:f>I120</x:f>
        <x:v>-0.017</x:v>
      </x:c>
      <x:c r="B608" t="n">
        <x:f>P120</x:f>
        <x:v>2668.520473587097</x:v>
      </x:c>
      <x:c r="C608" t="n">
        <x:f>R120</x:f>
        <x:v>234.19858681034597</x:v>
      </x:c>
      <x:c r="D608" t="n">
        <x:f>T120</x:f>
        <x:v>235.35538709249317</x:v>
      </x:c>
      <x:c r="E608" t="n">
        <x:f>V120</x:f>
        <x:v>168.6618480575652</x:v>
      </x:c>
    </x:row>
    <x:row r="609">
      <x:c r="A609" t="n">
        <x:f>I121</x:f>
        <x:v>-0.008</x:v>
      </x:c>
      <x:c r="B609" t="n">
        <x:f>P121</x:f>
        <x:v>2668.514469433384</x:v>
      </x:c>
      <x:c r="C609" t="n">
        <x:f>R121</x:f>
        <x:v>233.65070778398297</x:v>
      </x:c>
      <x:c r="D609" t="n">
        <x:f>T121</x:f>
        <x:v>233.9068850090952</x:v>
      </x:c>
      <x:c r="E609" t="n">
        <x:f>V121</x:f>
        <x:v>167.19833558988333</x:v>
      </x:c>
    </x:row>
    <x:row r="610">
      <x:c r="A610" t="n">
        <x:f>I122</x:f>
        <x:v>0</x:v>
      </x:c>
      <x:c r="B610" t="n">
        <x:f>P122</x:f>
        <x:v>2668.5127615852166</x:v>
      </x:c>
      <x:c r="C610" t="n">
        <x:f>R122</x:f>
        <x:v>233.49486663870644</x:v>
      </x:c>
      <x:c r="D610" t="n">
        <x:f>T122</x:f>
        <x:v>233.49486663870644</x:v>
      </x:c>
      <x:c r="E610" t="n">
        <x:f>V122</x:f>
        <x:v>166.78204759907604</x:v>
      </x:c>
    </x:row>
    <x:row r="611">
      <x:c r="A611" t="n">
        <x:f>I123</x:f>
        <x:v>0.008</x:v>
      </x:c>
      <x:c r="B611" t="n">
        <x:f>P123</x:f>
        <x:v>2668.514469433384</x:v>
      </x:c>
      <x:c r="C611" t="n">
        <x:f>R123</x:f>
        <x:v>233.65070778398297</x:v>
      </x:c>
      <x:c r="D611" t="n">
        <x:f>T123</x:f>
        <x:v>233.9068850090952</x:v>
      </x:c>
      <x:c r="E611" t="n">
        <x:f>V123</x:f>
        <x:v>167.19833558988333</x:v>
      </x:c>
    </x:row>
    <x:row r="612">
      <x:c r="A612" t="n">
        <x:f>I124</x:f>
        <x:v>0.017</x:v>
      </x:c>
      <x:c r="B612" t="n">
        <x:f>P124</x:f>
        <x:v>2668.520473587097</x:v>
      </x:c>
      <x:c r="C612" t="n">
        <x:f>R124</x:f>
        <x:v>234.19858681034597</x:v>
      </x:c>
      <x:c r="D612" t="n">
        <x:f>T124</x:f>
        <x:v>235.35538709249312</x:v>
      </x:c>
      <x:c r="E612" t="n">
        <x:f>V124</x:f>
        <x:v>168.66184805756518</x:v>
      </x:c>
    </x:row>
    <x:row r="613">
      <x:c r="A613" t="n">
        <x:f>I125</x:f>
        <x:v>0.025</x:v>
      </x:c>
      <x:c r="B613" t="n">
        <x:f>P125</x:f>
        <x:v>2668.5294397899765</x:v>
      </x:c>
      <x:c r="C613" t="n">
        <x:f>R125</x:f>
        <x:v>235.01675282304802</x:v>
      </x:c>
      <x:c r="D613" t="n">
        <x:f>T125</x:f>
        <x:v>237.51848353703411</x:v>
      </x:c>
      <x:c r="E613" t="n">
        <x:f>V125</x:f>
        <x:v>170.84736000930343</x:v>
      </x:c>
    </x:row>
    <x:row r="614">
      <x:c r="A614" t="n">
        <x:f>I126</x:f>
        <x:v>0.033</x:v>
      </x:c>
      <x:c r="B614" t="n">
        <x:f>P126</x:f>
        <x:v>2668.54182168919</x:v>
      </x:c>
      <x:c r="C614" t="n">
        <x:f>R126</x:f>
        <x:v>236.14660112630315</x:v>
      </x:c>
      <x:c r="D614" t="n">
        <x:f>T126</x:f>
        <x:v>240.50561672235264</x:v>
      </x:c>
      <x:c r="E614" t="n">
        <x:f>V126</x:f>
        <x:v>173.86544794265637</x:v>
      </x:c>
    </x:row>
    <x:row r="615">
      <x:c r="A615" t="n">
        <x:f>I127</x:f>
        <x:v>0.042</x:v>
      </x:c>
      <x:c r="B615" t="n">
        <x:f>P127</x:f>
        <x:v>2668.5598341503305</x:v>
      </x:c>
      <x:c r="C615" t="n">
        <x:f>R127</x:f>
        <x:v>237.7902382053921</x:v>
      </x:c>
      <x:c r="D615" t="n">
        <x:f>T127</x:f>
        <x:v>244.85112297254656</x:v>
      </x:c>
      <x:c r="E615" t="n">
        <x:f>V127</x:f>
        <x:v>178.25598534570207</x:v>
      </x:c>
    </x:row>
    <x:row r="616">
      <x:c r="A616" t="n">
        <x:f>I128</x:f>
        <x:v>0.05</x:v>
      </x:c>
      <x:c r="B616" t="n">
        <x:f>P128</x:f>
        <x:v>2668.579474404256</x:v>
      </x:c>
      <x:c r="C616" t="n">
        <x:f>R128</x:f>
        <x:v>239.5824113760727</x:v>
      </x:c>
      <x:c r="D616" t="n">
        <x:f>T128</x:f>
        <x:v>249.58933423201725</x:v>
      </x:c>
      <x:c r="E616" t="n">
        <x:f>V128</x:f>
        <x:v>183.04329723998595</x:v>
      </x:c>
    </x:row>
    <x:row r="617">
      <x:c r="A617" t="n">
        <x:f>I129</x:f>
        <x:v>0.058</x:v>
      </x:c>
      <x:c r="B617" t="n">
        <x:f>P129</x:f>
        <x:v>2668.602530354516</x:v>
      </x:c>
      <x:c r="C617" t="n">
        <x:f>R129</x:f>
        <x:v>241.68626683730656</x:v>
      </x:c>
      <x:c r="D617" t="n">
        <x:f>T129</x:f>
        <x:v>255.1515822322656</x:v>
      </x:c>
      <x:c r="E617" t="n">
        <x:f>V129</x:f>
        <x:v>188.66318511588446</x:v>
      </x:c>
    </x:row>
    <x:row r="618">
      <x:c r="A618" t="n">
        <x:f>I130</x:f>
        <x:v>0.067</x:v>
      </x:c>
      <x:c r="B618" t="n">
        <x:f>P130</x:f>
        <x:v>2668.632551123084</x:v>
      </x:c>
      <x:c r="C618" t="n">
        <x:f>R130</x:f>
        <x:v>244.42566196912128</x:v>
      </x:c>
      <x:c r="D618" t="n">
        <x:f>T130</x:f>
        <x:v>262.3940926492553</x:v>
      </x:c>
      <x:c r="E618" t="n">
        <x:f>V130</x:f>
        <x:v>195.98074745429378</x:v>
      </x:c>
    </x:row>
    <x:row r="619">
      <x:c r="A619" t="n">
        <x:f>I131</x:f>
        <x:v>0.075</x:v>
      </x:c>
      <x:c r="B619" t="n">
        <x:f>P131</x:f>
        <x:v>2668.6628654280557</x:v>
      </x:c>
      <x:c r="C619" t="n">
        <x:f>R131</x:f>
        <x:v>247.19184229778054</x:v>
      </x:c>
      <x:c r="D619" t="n">
        <x:f>T131</x:f>
        <x:v>269.7074187236558</x:v>
      </x:c>
      <x:c r="E619" t="n">
        <x:f>V131</x:f>
        <x:v>203.36985929112333</x:v>
      </x:c>
    </x:row>
    <x:row r="620">
      <x:c r="A620" t="n">
        <x:f>I132</x:f>
        <x:v>0.083</x:v>
      </x:c>
      <x:c r="B620" t="n">
        <x:f>P132</x:f>
        <x:v>2668.696595429362</x:v>
      </x:c>
      <x:c r="C620" t="n">
        <x:f>R132</x:f>
        <x:v>250.26970491699296</x:v>
      </x:c>
      <x:c r="D620" t="n">
        <x:f>T132</x:f>
        <x:v>277.84478153883373</x:v>
      </x:c>
      <x:c r="E620" t="n">
        <x:f>V132</x:f>
        <x:v>211.59154710956733</x:v>
      </x:c>
    </x:row>
    <x:row r="621">
      <x:c r="A621" t="n">
        <x:f>I133</x:f>
        <x:v>0.092</x:v>
      </x:c>
      <x:c r="B621" t="n">
        <x:f>P133</x:f>
        <x:v>2668.738624505357</x:v>
      </x:c>
      <x:c r="C621" t="n">
        <x:f>R133</x:f>
        <x:v>254.1048581015337</x:v>
      </x:c>
      <x:c r="D621" t="n">
        <x:f>T133</x:f>
        <x:v>287.98429612261964</x:v>
      </x:c>
      <x:c r="E621" t="n">
        <x:f>V133</x:f>
        <x:v>221.8361343833407</x:v>
      </x:c>
    </x:row>
    <x:row r="622">
      <x:c r="A622" t="n">
        <x:f>I134</x:f>
        <x:v>0.1</x:v>
      </x:c>
      <x:c r="B622" t="n">
        <x:f>P134</x:f>
        <x:v>2668.779612861375</x:v>
      </x:c>
      <x:c r="C622" t="n">
        <x:f>R134</x:f>
        <x:v>257.8450455881716</x:v>
      </x:c>
      <x:c r="D622" t="n">
        <x:f>T134</x:f>
        <x:v>297.87273701195</x:v>
      </x:c>
      <x:c r="E622" t="n">
        <x:f>V134</x:f>
        <x:v>231.82704616271587</x:v>
      </x:c>
    </x:row>
    <x:row r="623">
      <x:c r="A623" t="n">
        <x:f>I135</x:f>
        <x:v>0.108</x:v>
      </x:c>
      <x:c r="B623" t="n">
        <x:f>P135</x:f>
        <x:v>2668.8240169137275</x:v>
      </x:c>
      <x:c r="C623" t="n">
        <x:f>R135</x:f>
        <x:v>261.8969153653626</x:v>
      </x:c>
      <x:c r="D623" t="n">
        <x:f>T135</x:f>
        <x:v>308.5852146420577</x:v>
      </x:c>
      <x:c r="E623" t="n">
        <x:f>V135</x:f>
        <x:v>242.65053392370547</x:v>
      </x:c>
    </x:row>
    <x:row r="624">
      <x:c r="A624" t="n">
        <x:f>I136</x:f>
        <x:v>0.117</x:v>
      </x:c>
      <x:c r="B624" t="n">
        <x:f>P136</x:f>
        <x:v>2668.8780542971494</x:v>
      </x:c>
      <x:c r="C624" t="n">
        <x:f>R136</x:f>
        <x:v>266.8278266026293</x:v>
      </x:c>
      <x:c r="D624" t="n">
        <x:f>T136</x:f>
        <x:v>321.6217333926393</x:v>
      </x:c>
      <x:c r="E624" t="n">
        <x:f>V136</x:f>
        <x:v>255.82214613284236</x:v>
      </x:c>
    </x:row>
    <x:row r="625">
      <x:c r="A625" t="n">
        <x:f>I137</x:f>
        <x:v>0.125</x:v>
      </x:c>
      <x:c r="B625" t="n">
        <x:f>P137</x:f>
        <x:v>2668.929716704214</x:v>
      </x:c>
      <x:c r="C625" t="n">
        <x:f>R137</x:f>
        <x:v>271.54202124724566</x:v>
      </x:c>
      <x:c r="D625" t="n">
        <x:f>T137</x:f>
        <x:v>334.08528909689915</x:v>
      </x:c>
      <x:c r="E625" t="n">
        <x:f>V137</x:f>
        <x:v>268.414857854763</x:v>
      </x:c>
    </x:row>
    <x:row r="626">
      <x:c r="A626" t="n">
        <x:f>I138</x:f>
        <x:v>0.133</x:v>
      </x:c>
      <x:c r="B626" t="n">
        <x:f>P138</x:f>
        <x:v>2668.984794807613</x:v>
      </x:c>
      <x:c r="C626" t="n">
        <x:f>R138</x:f>
        <x:v>276.56789818241526</x:v>
      </x:c>
      <x:c r="D626" t="n">
        <x:f>T138</x:f>
        <x:v>347.3728815419365</x:v>
      </x:c>
      <x:c r="E626" t="n">
        <x:f>V138</x:f>
        <x:v>281.84014555829816</x:v>
      </x:c>
    </x:row>
    <x:row r="627">
      <x:c r="A627" t="n">
        <x:f>I139</x:f>
        <x:v>0.142</x:v>
      </x:c>
      <x:c r="B627" t="n">
        <x:f>P139</x:f>
        <x:v>2669.050840498462</x:v>
      </x:c>
      <x:c r="C627" t="n">
        <x:f>R139</x:f>
        <x:v>282.5945674724078</x:v>
      </x:c>
      <x:c r="D627" t="n">
        <x:f>T139</x:f>
        <x:v>363.30640445931414</x:v>
      </x:c>
      <x:c r="E627" t="n">
        <x:f>V139</x:f>
        <x:v>297.9387827027988</x:v>
      </x:c>
    </x:row>
    <x:row r="628">
      <x:c r="A628" t="n">
        <x:f>I140</x:f>
        <x:v>0.15</x:v>
      </x:c>
      <x:c r="B628" t="n">
        <x:f>P140</x:f>
        <x:v>2669.113176956573</x:v>
      </x:c>
      <x:c r="C628" t="n">
        <x:f>R140</x:f>
        <x:v>288.2827692750028</x:v>
      </x:c>
      <x:c r="D628" t="n">
        <x:f>T140</x:f>
        <x:v>378.3450749785037</x:v>
      </x:c>
      <x:c r="E628" t="n">
        <x:f>V140</x:f>
        <x:v>313.1332943672649</x:v>
      </x:c>
    </x:row>
    <x:row r="629">
      <x:c r="A629" t="n">
        <x:f>I141</x:f>
        <x:v>0.158</x:v>
      </x:c>
      <x:c r="B629" t="n">
        <x:f>P141</x:f>
        <x:v>2669.1789291110185</x:v>
      </x:c>
      <x:c r="C629" t="n">
        <x:f>R141</x:f>
        <x:v>294.2826533681511</x:v>
      </x:c>
      <x:c r="D629" t="n">
        <x:f>T141</x:f>
        <x:v>394.2077822384711</x:v>
      </x:c>
      <x:c r="E629" t="n">
        <x:f>V141</x:f>
        <x:v>329.160382013346</x:v>
      </x:c>
    </x:row>
    <x:row r="630">
      <x:c r="A630" t="n">
        <x:f>I142</x:f>
        <x:v>0.167</x:v>
      </x:c>
      <x:c r="B630" t="n">
        <x:f>P142</x:f>
        <x:v>2669.256983109295</x:v>
      </x:c>
      <x:c r="C630" t="n">
        <x:f>R142</x:f>
        <x:v>301.40508071086964</x:v>
      </x:c>
      <x:c r="D630" t="n">
        <x:f>T142</x:f>
        <x:v>413.03830932264486</x:v>
      </x:c>
      <x:c r="E630" t="n">
        <x:f>V142</x:f>
        <x:v>348.1860440932107</x:v>
      </x:c>
    </x:row>
    <x:row r="631">
      <x:c r="A631" t="n">
        <x:f>I143</x:f>
        <x:v>0.175</x:v>
      </x:c>
      <x:c r="B631" t="n">
        <x:f>P143</x:f>
        <x:v>2669.329993618452</x:v>
      </x:c>
      <x:c r="C631" t="n">
        <x:f>R143</x:f>
        <x:v>308.0672896714433</x:v>
      </x:c>
      <x:c r="D631" t="n">
        <x:f>T143</x:f>
        <x:v>430.6520946567642</x:v>
      </x:c>
      <x:c r="E631" t="n">
        <x:f>V143</x:f>
        <x:v>365.98235570022246</x:v>
      </x:c>
    </x:row>
    <x:row r="632">
      <x:c r="A632" t="n">
        <x:f>I144</x:f>
        <x:v>0.183</x:v>
      </x:c>
      <x:c r="B632" t="n">
        <x:f>P144</x:f>
        <x:v>2669.406419823944</x:v>
      </x:c>
      <x:c r="C632" t="n">
        <x:f>R144</x:f>
        <x:v>315.04118092257016</x:v>
      </x:c>
      <x:c r="D632" t="n">
        <x:f>T144</x:f>
        <x:v>449.08991673166133</x:v>
      </x:c>
      <x:c r="E632" t="n">
        <x:f>V144</x:f>
        <x:v>384.6112432888491</x:v>
      </x:c>
    </x:row>
    <x:row r="633">
      <x:c r="A633" t="n">
        <x:f>I145</x:f>
        <x:v>0.192</x:v>
      </x:c>
      <x:c r="B633" t="n">
        <x:f>P145</x:f>
        <x:v>2669.496482129647</x:v>
      </x:c>
      <x:c r="C633" t="n">
        <x:f>R145</x:f>
        <x:v>323.2593663180145</x:v>
      </x:c>
      <x:c r="D633" t="n">
        <x:f>T145</x:f>
        <x:v>470.8174479826305</x:v>
      </x:c>
      <x:c r="E633" t="n">
        <x:f>V145</x:f>
        <x:v>406.563930304077</x:v>
      </x:c>
    </x:row>
    <x:row r="634">
      <x:c r="A634" t="n">
        <x:f>I146</x:f>
        <x:v>0.2</x:v>
      </x:c>
      <x:c r="B634" t="n">
        <x:f>P146</x:f>
        <x:v>2669.5801666898506</x:v>
      </x:c>
      <x:c r="C634" t="n">
        <x:f>R146</x:f>
        <x:v>330.8955824365668</x:v>
      </x:c>
      <x:c r="D634" t="n">
        <x:f>T146</x:f>
        <x:v>491.00634813167994</x:v>
      </x:c>
      <x:c r="E634" t="n">
        <x:f>V146</x:f>
        <x:v>426.9620418536346</x:v>
      </x:c>
    </x:row>
    <x:row r="635">
      <x:c r="A635" t="n">
        <x:f>I147</x:f>
        <x:v>0.208</x:v>
      </x:c>
      <x:c r="B635" t="n">
        <x:f>P147</x:f>
        <x:v>2669.6672669463883</x:v>
      </x:c>
      <x:c r="C635" t="n">
        <x:f>R147</x:f>
        <x:v>338.8434808456722</x:v>
      </x:c>
      <x:c r="D635" t="n">
        <x:f>T147</x:f>
        <x:v>512.0192850215063</x:v>
      </x:c>
      <x:c r="E635" t="n">
        <x:f>V147</x:f>
        <x:v>448.1927293848065</x:v>
      </x:c>
    </x:row>
    <x:row r="636">
      <x:c r="A636" t="n">
        <x:f>I148</x:f>
        <x:v>0.217</x:v>
      </x:c>
      <x:c r="B636" t="n">
        <x:f>P148</x:f>
        <x:v>2669.769337559519</x:v>
      </x:c>
      <x:c r="C636" t="n">
        <x:f>R148</x:f>
        <x:v>348.1574242938427</x:v>
      </x:c>
      <x:c r="D636" t="n">
        <x:f>T148</x:f>
        <x:v>536.6438204392722</x:v>
      </x:c>
      <x:c r="E636" t="n">
        <x:f>V148</x:f>
        <x:v>473.0724413353988</x:v>
      </x:c>
    </x:row>
    <x:row r="637">
      <x:c r="A637" t="n">
        <x:f>I149</x:f>
        <x:v>0.225</x:v>
      </x:c>
      <x:c r="B637" t="n">
        <x:f>P149</x:f>
        <x:v>2669.863696170769</x:v>
      </x:c>
      <x:c r="C637" t="n">
        <x:f>R149</x:f>
        <x:v>356.76764757037364</x:v>
      </x:c>
      <x:c r="D637" t="n">
        <x:f>T149</x:f>
        <x:v>559.4078354032513</x:v>
      </x:c>
      <x:c r="E637" t="n">
        <x:f>V149</x:f>
        <x:v>496.0723528275021</x:v>
      </x:c>
    </x:row>
    <x:row r="638">
      <x:c r="A638" t="n">
        <x:f>I150</x:f>
        <x:v>0.233</x:v>
      </x:c>
      <x:c r="B638" t="n">
        <x:f>P150</x:f>
        <x:v>2669.9614704783535</x:v>
      </x:c>
      <x:c r="C638" t="n">
        <x:f>R150</x:f>
        <x:v>365.68955313745766</x:v>
      </x:c>
      <x:c r="D638" t="n">
        <x:f>T150</x:f>
        <x:v>582.9958871080077</x:v>
      </x:c>
      <x:c r="E638" t="n">
        <x:f>V150</x:f>
        <x:v>519.9048403012197</x:v>
      </x:c>
    </x:row>
    <x:row r="639">
      <x:c r="A639" t="n">
        <x:f>I151</x:f>
        <x:v>0.242</x:v>
      </x:c>
      <x:c r="B639" t="n">
        <x:f>P151</x:f>
        <x:v>2670.075549398911</x:v>
      </x:c>
      <x:c r="C639" t="n">
        <x:f>R151</x:f>
        <x:v>376.09925463835384</x:v>
      </x:c>
      <x:c r="D639" t="n">
        <x:f>T151</x:f>
        <x:v>610.5174266925688</x:v>
      </x:c>
      <x:c r="E639" t="n">
        <x:f>V151</x:f>
        <x:v>547.7115771871754</x:v>
      </x:c>
    </x:row>
    <x:row r="640">
      <x:c r="A640" t="n">
        <x:f>I152</x:f>
        <x:v>0.25</x:v>
      </x:c>
      <x:c r="B640" t="n">
        <x:f>P152</x:f>
        <x:v>2670.180582061207</x:v>
      </x:c>
      <x:c r="C640" t="n">
        <x:f>R152</x:f>
        <x:v>385.68348507286333</x:v>
      </x:c>
      <x:c r="D640" t="n">
        <x:f>T152</x:f>
        <x:v>635.8565564714773</x:v>
      </x:c>
      <x:c r="E640" t="n">
        <x:f>V152</x:f>
        <x:v>573.3132886218239</x:v>
      </x:c>
    </x:row>
    <x:row r="641">
      <x:c r="A641" t="n">
        <x:f>I153</x:f>
        <x:v>0.258</x:v>
      </x:c>
      <x:c r="B641" t="n">
        <x:f>P153</x:f>
        <x:v>2670.2890304198377</x:v>
      </x:c>
      <x:c r="C641" t="n">
        <x:f>R153</x:f>
        <x:v>395.5793977979259</x:v>
      </x:c>
      <x:c r="D641" t="n">
        <x:f>T153</x:f>
        <x:v>662.0197229911632</x:v>
      </x:c>
      <x:c r="E641" t="n">
        <x:f>V153</x:f>
        <x:v>599.7475760380869</x:v>
      </x:c>
    </x:row>
    <x:row r="642">
      <x:c r="A642" t="n">
        <x:f>I154</x:f>
        <x:v>0.267</x:v>
      </x:c>
      <x:c r="B642" t="n">
        <x:f>P154</x:f>
        <x:v>2670.4151176478226</x:v>
      </x:c>
      <x:c r="C642" t="n">
        <x:f>R154</x:f>
        <x:v>407.08485735154807</x:v>
      </x:c>
      <x:c r="D642" t="n">
        <x:f>T154</x:f>
        <x:v>692.4382667425206</x:v>
      </x:c>
      <x:c r="E642" t="n">
        <x:f>V154</x:f>
        <x:v>630.4813378594064</x:v>
      </x:c>
    </x:row>
    <x:row r="643">
      <x:c r="A643" t="n">
        <x:f>I155</x:f>
        <x:v>0.275</x:v>
      </x:c>
      <x:c r="B643" t="n">
        <x:f>P155</x:f>
        <x:v>2670.5308243611653</x:v>
      </x:c>
      <x:c r="C643" t="n">
        <x:f>R155</x:f>
        <x:v>417.6430949440361</x:v>
      </x:c>
      <x:c r="D643" t="n">
        <x:f>T155</x:f>
        <x:v>720.3525113363587</x:v>
      </x:c>
      <x:c r="E643" t="n">
        <x:f>V155</x:f>
        <x:v>658.6848492366003</x:v>
      </x:c>
    </x:row>
    <x:row r="644">
      <x:c r="A644" t="n">
        <x:f>I156</x:f>
        <x:v>0.283</x:v>
      </x:c>
      <x:c r="B644" t="n">
        <x:f>P156</x:f>
        <x:v>2670.6499467708427</x:v>
      </x:c>
      <x:c r="C644" t="n">
        <x:f>R156</x:f>
        <x:v>428.51301482707726</x:v>
      </x:c>
      <x:c r="D644" t="n">
        <x:f>T156</x:f>
        <x:v>749.0907926709743</x:v>
      </x:c>
      <x:c r="E644" t="n">
        <x:f>V156</x:f>
        <x:v>687.7209365954091</x:v>
      </x:c>
    </x:row>
    <x:row r="645">
      <x:c r="A645" t="n">
        <x:f>I157</x:f>
        <x:v>0.292</x:v>
      </x:c>
      <x:c r="B645" t="n">
        <x:f>P157</x:f>
        <x:v>2670.7880423062543</x:v>
      </x:c>
      <x:c r="C645" t="n">
        <x:f>R157</x:f>
        <x:v>441.11423243342597</x:v>
      </x:c>
      <x:c r="D645" t="n">
        <x:f>T157</x:f>
        <x:v>782.4063405891291</x:v>
      </x:c>
      <x:c r="E645" t="n">
        <x:f>V157</x:f>
        <x:v>721.3817233520938</x:v>
      </x:c>
    </x:row>
    <x:row r="646">
      <x:c r="A646" t="n">
        <x:f>I158</x:f>
        <x:v>0.3</x:v>
      </x:c>
      <x:c r="B646" t="n">
        <x:f>P158</x:f>
        <x:v>2670.914423070643</x:v>
      </x:c>
      <x:c r="C646" t="n">
        <x:f>R158</x:f>
        <x:v>452.64647718389233</x:v>
      </x:c>
      <x:c r="D646" t="n">
        <x:f>T158</x:f>
        <x:v>812.8956999978966</x:v>
      </x:c>
      <x:c r="E646" t="n">
        <x:f>V158</x:f>
        <x:v>752.1870346718329</x:v>
      </x:c>
    </x:row>
    <x:row r="647">
      <x:c r="A647" t="n">
        <x:f>I159</x:f>
        <x:v>0.308</x:v>
      </x:c>
      <x:c r="B647" t="n">
        <x:f>P159</x:f>
        <x:v>2671.0442195313667</x:v>
      </x:c>
      <x:c r="C647" t="n">
        <x:f>R159</x:f>
        <x:v>464.49040422491237</x:v>
      </x:c>
      <x:c r="D647" t="n">
        <x:f>T159</x:f>
        <x:v>844.2090961474427</x:v>
      </x:c>
      <x:c r="E647" t="n">
        <x:f>V159</x:f>
        <x:v>783.8249219731875</x:v>
      </x:c>
    </x:row>
    <x:row r="648">
      <x:c r="A648" t="n">
        <x:f>I160</x:f>
        <x:v>0.317</x:v>
      </x:c>
      <x:c r="B648" t="n">
        <x:f>P160</x:f>
        <x:v>2671.194323374206</x:v>
      </x:c>
      <x:c r="C648" t="n">
        <x:f>R160</x:f>
        <x:v>478.18737988398607</x:v>
      </x:c>
      <x:c r="D648" t="n">
        <x:f>T160</x:f>
        <x:v>880.421648232391</x:v>
      </x:c>
      <x:c r="E648" t="n">
        <x:f>V160</x:f>
        <x:v>820.4127336652341</x:v>
      </x:c>
    </x:row>
    <x:row r="649">
      <x:c r="A649" t="n">
        <x:f>I161</x:f>
        <x:v>0.325</x:v>
      </x:c>
      <x:c r="B649" t="n">
        <x:f>P161</x:f>
        <x:v>2671.331378189641</x:v>
      </x:c>
      <x:c r="C649" t="n">
        <x:f>R161</x:f>
        <x:v>490.6936317924316</x:v>
      </x:c>
      <x:c r="D649" t="n">
        <x:f>T161</x:f>
        <x:v>913.4861224560894</x:v>
      </x:c>
      <x:c r="E649" t="n">
        <x:f>V161</x:f>
        <x:v>853.8198449275199</x:v>
      </x:c>
    </x:row>
    <x:row r="650">
      <x:c r="A650" t="n">
        <x:f>I162</x:f>
        <x:v>0.333</x:v>
      </x:c>
      <x:c r="B650" t="n">
        <x:f>P162</x:f>
        <x:v>2671.4718487014106</x:v>
      </x:c>
      <x:c r="C650" t="n">
        <x:f>R162</x:f>
        <x:v>503.51156599142973</x:v>
      </x:c>
      <x:c r="D650" t="n">
        <x:f>T162</x:f>
        <x:v>947.3746334205639</x:v>
      </x:c>
      <x:c r="E650" t="n">
        <x:f>V162</x:f>
        <x:v>888.059532171419</x:v>
      </x:c>
    </x:row>
    <x:row r="651">
      <x:c r="A651" t="n">
        <x:f>I163</x:f>
        <x:v>0.342</x:v>
      </x:c>
      <x:c r="B651" t="n">
        <x:f>P163</x:f>
        <x:v>2671.633960851677</x:v>
      </x:c>
      <x:c r="C651" t="n">
        <x:f>R163</x:f>
        <x:v>518.3042997032304</x:v>
      </x:c>
      <x:c r="D651" t="n">
        <x:f>T163</x:f>
        <x:v>986.484189672311</x:v>
      </x:c>
      <x:c r="E651" t="n">
        <x:f>V163</x:f>
        <x:v>927.5743687988318</x:v>
      </x:c>
    </x:row>
    <x:row r="652">
      <x:c r="A652" t="n">
        <x:f>I164</x:f>
        <x:v>0.35</x:v>
      </x:c>
      <x:c r="B652" t="n">
        <x:f>P164</x:f>
        <x:v>2671.7816897181583</x:v>
      </x:c>
      <x:c r="C652" t="n">
        <x:f>R164</x:f>
        <x:v>531.7845587696538</x:v>
      </x:c>
      <x:c r="D652" t="n">
        <x:f>T164</x:f>
        <x:v>1022.1237787109374</x:v>
      </x:c>
      <x:c r="E652" t="n">
        <x:f>V164</x:f>
        <x:v>963.5832800036617</x:v>
      </x:c>
    </x:row>
    <x:row r="653">
      <x:c r="A653" t="n">
        <x:f>I165</x:f>
        <x:v>0.358</x:v>
      </x:c>
      <x:c r="B653" t="n">
        <x:f>P165</x:f>
        <x:v>2671.932834280975</x:v>
      </x:c>
      <x:c r="C653" t="n">
        <x:f>R165</x:f>
        <x:v>545.5765001266311</x:v>
      </x:c>
      <x:c r="D653" t="n">
        <x:f>T165</x:f>
        <x:v>1058.5874044903426</x:v>
      </x:c>
      <x:c r="E653" t="n">
        <x:f>V165</x:f>
        <x:v>1000.4247671901077</x:v>
      </x:c>
    </x:row>
    <x:row r="654">
      <x:c r="A654" t="n">
        <x:f>I166</x:f>
        <x:v>0.367</x:v>
      </x:c>
      <x:c r="B654" t="n">
        <x:f>P166</x:f>
        <x:v>2672.106954738668</x:v>
      </x:c>
      <x:c r="C654" t="n">
        <x:f>R166</x:f>
        <x:v>561.4649918911567</x:v>
      </x:c>
      <x:c r="D654" t="n">
        <x:f>T166</x:f>
        <x:v>1100.5939649088832</x:v>
      </x:c>
      <x:c r="E654" t="n">
        <x:f>V166</x:f>
        <x:v>1042.8666287528815</x:v>
      </x:c>
    </x:row>
    <x:row r="655">
      <x:c r="A655" t="n">
        <x:f>I167</x:f>
        <x:v>0.375</x:v>
      </x:c>
      <x:c r="B655" t="n">
        <x:f>P167</x:f>
        <x:v>2672.2653576561956</x:v>
      </x:c>
      <x:c r="C655" t="n">
        <x:f>R167</x:f>
        <x:v>575.9192581155594</x:v>
      </x:c>
      <x:c r="D655" t="n">
        <x:f>T167</x:f>
        <x:v>1138.808668762441</x:v>
      </x:c>
      <x:c r="E655" t="n">
        <x:f>V167</x:f>
        <x:v>1081.4773399002586</x:v>
      </x:c>
    </x:row>
    <x:row r="656">
      <x:c r="A656" t="n">
        <x:f>I168</x:f>
        <x:v>0.383</x:v>
      </x:c>
      <x:c r="B656" t="n">
        <x:f>P168</x:f>
        <x:v>2672.427176270058</x:v>
      </x:c>
      <x:c r="C656" t="n">
        <x:f>R168</x:f>
        <x:v>590.6852066305153</x:v>
      </x:c>
      <x:c r="D656" t="n">
        <x:f>T168</x:f>
        <x:v>1177.8474093567763</x:v>
      </x:c>
      <x:c r="E656" t="n">
        <x:f>V168</x:f>
        <x:v>1120.9206270292505</x:v>
      </x:c>
    </x:row>
    <x:row r="657">
      <x:c r="A657" t="n">
        <x:f>I169</x:f>
        <x:v>0.392</x:v>
      </x:c>
      <x:c r="B657" t="n">
        <x:f>P169</x:f>
        <x:v>2672.6133050351787</x:v>
      </x:c>
      <x:c r="C657" t="n">
        <x:f>R169</x:f>
        <x:v>607.6694564477666</x:v>
      </x:c>
      <x:c r="D657" t="n">
        <x:f>T169</x:f>
        <x:v>1222.7509739421123</x:v>
      </x:c>
      <x:c r="E657" t="n">
        <x:f>V169</x:f>
        <x:v>1166.2895135273877</x:v>
      </x:c>
    </x:row>
    <x:row r="658">
      <x:c r="A658" t="n">
        <x:f>I170</x:f>
        <x:v>0.4</x:v>
      </x:c>
      <x:c r="B658" t="n">
        <x:f>P170</x:f>
        <x:v>2672.782382003753</x:v>
      </x:c>
      <x:c r="C658" t="n">
        <x:f>R170</x:f>
        <x:v>623.097729830148</x:v>
      </x:c>
      <x:c r="D658" t="n">
        <x:f>T170</x:f>
        <x:v>1263.5407926106002</x:v>
      </x:c>
      <x:c r="E658" t="n">
        <x:f>V170</x:f>
        <x:v>1207.5020246173106</x:v>
      </x:c>
    </x:row>
    <x:row r="659">
      <x:c r="A659" t="n">
        <x:f>I171</x:f>
        <x:v>0.408</x:v>
      </x:c>
      <x:c r="B659" t="n">
        <x:f>P171</x:f>
        <x:v>2672.954874668662</x:v>
      </x:c>
      <x:c r="C659" t="n">
        <x:f>R171</x:f>
        <x:v>638.8376855030817</x:v>
      </x:c>
      <x:c r="D659" t="n">
        <x:f>T171</x:f>
        <x:v>1305.1546480198635</x:v>
      </x:c>
      <x:c r="E659" t="n">
        <x:f>V171</x:f>
        <x:v>1249.5471116888461</x:v>
      </x:c>
    </x:row>
    <x:row r="660">
      <x:c r="A660" t="n">
        <x:f>I172</x:f>
        <x:v>0.417</x:v>
      </x:c>
      <x:c r="B660" t="n">
        <x:f>P172</x:f>
        <x:v>2673.1530117412094</x:v>
      </x:c>
      <x:c r="C660" t="n">
        <x:f>R172</x:f>
        <x:v>656.9176933730604</x:v>
      </x:c>
      <x:c r="D660" t="n">
        <x:f>T172</x:f>
        <x:v>1352.9552167719985</x:v>
      </x:c>
      <x:c r="E660" t="n">
        <x:f>V172</x:f>
        <x:v>1297.8430231223504</x:v>
      </x:c>
    </x:row>
    <x:row r="661">
      <x:c r="A661" t="n">
        <x:f>I173</x:f>
        <x:v>0.425</x:v>
      </x:c>
      <x:c r="B661" t="n">
        <x:f>P173</x:f>
        <x:v>2673.3327627608296</x:v>
      </x:c>
      <x:c r="C661" t="n">
        <x:f>R173</x:f>
        <x:v>673.3199739134197</x:v>
      </x:c>
      <x:c r="D661" t="n">
        <x:f>T173</x:f>
        <x:v>1396.3201502554143</x:v>
      </x:c>
      <x:c r="E661" t="n">
        <x:f>V173</x:f>
        <x:v>1341.6573341548171</x:v>
      </x:c>
    </x:row>
    <x:row r="662">
      <x:c r="A662" t="n">
        <x:f>I174</x:f>
        <x:v>0.433</x:v>
      </x:c>
      <x:c r="B662" t="n">
        <x:f>P174</x:f>
        <x:v>2673.515929476785</x:v>
      </x:c>
      <x:c r="C662" t="n">
        <x:f>R174</x:f>
        <x:v>690.0339367443329</x:v>
      </x:c>
      <x:c r="D662" t="n">
        <x:f>T174</x:f>
        <x:v>1440.5091204796092</x:v>
      </x:c>
      <x:c r="E662" t="n">
        <x:f>V174</x:f>
        <x:v>1386.3042211689</x:v>
      </x:c>
    </x:row>
    <x:row r="663">
      <x:c r="A663" t="n">
        <x:f>I175</x:f>
        <x:v>0.442</x:v>
      </x:c>
      <x:c r="B663" t="n">
        <x:f>P175</x:f>
        <x:v>2673.7260748567596</x:v>
      </x:c>
      <x:c r="C663" t="n">
        <x:f>R175</x:f>
        <x:v>709.2097026670361</x:v>
      </x:c>
      <x:c r="D663" t="n">
        <x:f>T175</x:f>
        <x:v>1491.206693398537</x:v>
      </x:c>
      <x:c r="E663" t="n">
        <x:f>V175</x:f>
        <x:v>1437.527157537765</x:v>
      </x:c>
    </x:row>
    <x:row r="664">
      <x:c r="A664" t="n">
        <x:f>I176</x:f>
        <x:v>0.45</x:v>
      </x:c>
      <x:c r="B664" t="n">
        <x:f>P176</x:f>
        <x:v>2673.9164999274262</x:v>
      </x:c>
      <x:c r="C664" t="n">
        <x:f>R176</x:f>
        <x:v>726.5859903653748</x:v>
      </x:c>
      <x:c r="D664" t="n">
        <x:f>T176</x:f>
        <x:v>1537.1467416968844</x:v>
      </x:c>
      <x:c r="E664" t="n">
        <x:f>V176</x:f>
        <x:v>1483.943268512779</x:v>
      </x:c>
    </x:row>
    <x:row r="665">
      <x:c r="A665" t="n">
        <x:f>I177</x:f>
        <x:v>0.458</x:v>
      </x:c>
      <x:c r="B665" t="n">
        <x:f>P177</x:f>
        <x:v>2674.1103406944285</x:v>
      </x:c>
      <x:c r="C665" t="n">
        <x:f>R177</x:f>
        <x:v>744.2739603542658</x:v>
      </x:c>
      <x:c r="D665" t="n">
        <x:f>T177</x:f>
        <x:v>1583.9108267360073</x:v>
      </x:c>
      <x:c r="E665" t="n">
        <x:f>V177</x:f>
        <x:v>1531.191955469406</x:v>
      </x:c>
    </x:row>
    <x:row r="666">
      <x:c r="A666" t="n">
        <x:f>I178</x:f>
        <x:v>0.467</x:v>
      </x:c>
      <x:c r="B666" t="n">
        <x:f>P178</x:f>
        <x:v>2674.33249438183</x:v>
      </x:c>
      <x:c r="C666" t="n">
        <x:f>R178</x:f>
        <x:v>764.5454843296961</x:v>
      </x:c>
      <x:c r="D666" t="n">
        <x:f>T178</x:f>
        <x:v>1637.5054038217343</x:v>
      </x:c>
      <x:c r="E666" t="n">
        <x:f>V178</x:f>
        <x:v>1585.341916773638</x:v>
      </x:c>
    </x:row>
    <x:row r="667">
      <x:c r="A667" t="n">
        <x:f>I179</x:f>
        <x:v>0.475</x:v>
      </x:c>
      <x:c r="B667" t="n">
        <x:f>P179</x:f>
        <x:v>2674.5335935035428</x:v>
      </x:c>
      <x:c r="C667" t="n">
        <x:f>R179</x:f>
        <x:v>782.8957791860126</x:v>
      </x:c>
      <x:c r="D667" t="n">
        <x:f>T179</x:f>
        <x:v>1686.0205669350094</x:v>
      </x:c>
      <x:c r="E667" t="n">
        <x:f>V179</x:f>
        <x:v>1634.3598276911957</x:v>
      </x:c>
    </x:row>
    <x:row r="668">
      <x:c r="A668" t="n">
        <x:f>I180</x:f>
        <x:v>0.483</x:v>
      </x:c>
      <x:c r="B668" t="n">
        <x:f>P180</x:f>
        <x:v>2674.738108321591</x:v>
      </x:c>
      <x:c r="C668" t="n">
        <x:f>R180</x:f>
        <x:v>801.557756332883</x:v>
      </x:c>
      <x:c r="D668" t="n">
        <x:f>T180</x:f>
        <x:v>1735.3597667890638</x:v>
      </x:c>
      <x:c r="E668" t="n">
        <x:f>V180</x:f>
        <x:v>1684.2103145903695</x:v>
      </x:c>
    </x:row>
    <x:row r="669">
      <x:c r="A669" t="n">
        <x:f>I181</x:f>
        <x:v>0.492</x:v>
      </x:c>
      <x:c r="B669" t="n">
        <x:f>P181</x:f>
        <x:v>2674.9722703164202</x:v>
      </x:c>
      <x:c r="C669" t="n">
        <x:f>R181</x:f>
        <x:v>822.9250383610382</x:v>
      </x:c>
      <x:c r="D669" t="n">
        <x:f>T181</x:f>
        <x:v>1791.8513480415836</x:v>
      </x:c>
      <x:c r="E669" t="n">
        <x:f>V181</x:f>
        <x:v>1741.2873008299623</x:v>
      </x:c>
    </x:row>
    <x:row r="670">
      <x:c r="A670" t="n">
        <x:f>I182</x:f>
        <x:v>0.5</x:v>
      </x:c>
      <x:c r="B670" t="n">
        <x:f>P182</x:f>
        <x:v>2675.184043489179</x:v>
      </x:c>
      <x:c r="C670" t="n">
        <x:f>R182</x:f>
        <x:v>842.2493403753339</x:v>
      </x:c>
      <x:c r="D670" t="n">
        <x:f>T182</x:f>
        <x:v>1842.9416259697903</x:v>
      </x:c>
      <x:c r="E670" t="n">
        <x:f>V182</x:f>
        <x:v>1792.9070116900673</x:v>
      </x:c>
    </x:row>
    <x:row r="671">
      <x:c r="A671" t="n">
        <x:f>I183</x:f>
        <x:v>0.508</x:v>
      </x:c>
      <x:c r="B671" t="n">
        <x:f>P183</x:f>
        <x:v>2675.3992323582734</x:v>
      </x:c>
      <x:c r="C671" t="n">
        <x:f>R183</x:f>
        <x:v>861.8853246801829</x:v>
      </x:c>
      <x:c r="D671" t="n">
        <x:f>T183</x:f>
        <x:v>1894.8559406387742</x:v>
      </x:c>
      <x:c r="E671" t="n">
        <x:f>V183</x:f>
        <x:v>1845.3592985317866</x:v>
      </x:c>
    </x:row>
    <x:row r="672">
      <x:c r="A672" t="n">
        <x:f>I184</x:f>
        <x:v>0.517</x:v>
      </x:c>
      <x:c r="B672" t="n">
        <x:f>P184</x:f>
        <x:v>2675.6454026605297</x:v>
      </x:c>
      <x:c r="C672" t="n">
        <x:f>R184</x:f>
        <x:v>884.3483647610641</x:v>
      </x:c>
      <x:c r="D672" t="n">
        <x:f>T184</x:f>
        <x:v>1954.2445260580898</x:v>
      </x:c>
      <x:c r="E672" t="n">
        <x:f>V184</x:f>
        <x:v>1905.3633097067434</x:v>
      </x:c>
    </x:row>
    <x:row r="673">
      <x:c r="A673" t="n">
        <x:f>I185</x:f>
        <x:v>0.525</x:v>
      </x:c>
      <x:c r="B673" t="n">
        <x:f>P185</x:f>
        <x:v>2675.867849884336</x:v>
      </x:c>
      <x:c r="C673" t="n">
        <x:f>R185</x:f>
        <x:v>904.6466739333382</x:v>
      </x:c>
      <x:c r="D673" t="n">
        <x:f>T185</x:f>
        <x:v>2007.9099188012265</x:v>
      </x:c>
      <x:c r="E673" t="n">
        <x:f>V185</x:f>
        <x:v>1959.584820509394</x:v>
      </x:c>
    </x:row>
    <x:row r="674">
      <x:c r="A674" t="n">
        <x:f>I186</x:f>
        <x:v>0.533</x:v>
      </x:c>
      <x:c r="B674" t="n">
        <x:f>P186</x:f>
        <x:v>2676.093712804476</x:v>
      </x:c>
      <x:c r="C674" t="n">
        <x:f>R186</x:f>
        <x:v>925.256665396165</x:v>
      </x:c>
      <x:c r="D674" t="n">
        <x:f>T186</x:f>
        <x:v>2062.3993482851374</x:v>
      </x:c>
      <x:c r="E674" t="n">
        <x:f>V186</x:f>
        <x:v>2014.638907293657</x:v>
      </x:c>
    </x:row>
    <x:row r="675">
      <x:c r="A675" t="n">
        <x:f>I187</x:f>
        <x:v>0.542</x:v>
      </x:c>
      <x:c r="B675" t="n">
        <x:f>P187</x:f>
        <x:v>2676.3518914141596</x:v>
      </x:c>
      <x:c r="C675" t="n">
        <x:f>R187</x:f>
        <x:v>948.8154635297733</x:v>
      </x:c>
      <x:c r="D675" t="n">
        <x:f>T187</x:f>
        <x:v>2124.684937871253</x:v>
      </x:c>
      <x:c r="E675" t="n">
        <x:f>V187</x:f>
        <x:v>2077.5699434039807</x:v>
      </x:c>
    </x:row>
    <x:row r="676">
      <x:c r="A676" t="n">
        <x:f>I188</x:f>
        <x:v>0.55</x:v>
      </x:c>
      <x:c r="B676" t="n">
        <x:f>P188</x:f>
        <x:v>2676.585012689012</x:v>
      </x:c>
      <x:c r="C676" t="n">
        <x:f>R188</x:f>
        <x:v>970.0877798600259</x:v>
      </x:c>
      <x:c r="D676" t="n">
        <x:f>T188</x:f>
        <x:v>2180.9254454293177</x:v>
      </x:c>
      <x:c r="E676" t="n">
        <x:f>V188</x:f>
        <x:v>2134.393254149176</x:v>
      </x:c>
    </x:row>
    <x:row r="677">
      <x:c r="A677" t="n">
        <x:f>I189</x:f>
        <x:v>0.558</x:v>
      </x:c>
      <x:c r="B677" t="n">
        <x:f>P189</x:f>
        <x:v>2676.821549660199</x:v>
      </x:c>
      <x:c r="C677" t="n">
        <x:f>R189</x:f>
        <x:v>991.671778480832</x:v>
      </x:c>
      <x:c r="D677" t="n">
        <x:f>T189</x:f>
        <x:v>2237.989989728162</x:v>
      </x:c>
      <x:c r="E677" t="n">
        <x:f>V189</x:f>
        <x:v>2192.0491408759867</x:v>
      </x:c>
    </x:row>
    <x:row r="678">
      <x:c r="A678" t="n">
        <x:f>I190</x:f>
        <x:v>0.567</x:v>
      </x:c>
      <x:c r="B678" t="n">
        <x:f>P190</x:f>
        <x:v>2677.091736577309</x:v>
      </x:c>
      <x:c r="C678" t="n">
        <x:f>R190</x:f>
        <x:v>1016.3263346671646</x:v>
      </x:c>
      <x:c r="D678" t="n">
        <x:f>T190</x:f>
        <x:v>2303.1725834810677</x:v>
      </x:c>
      <x:c r="E678" t="n">
        <x:f>V190</x:f>
        <x:v>2257.90720192167</x:v>
      </x:c>
    </x:row>
    <x:row r="679">
      <x:c r="A679" t="n">
        <x:f>I191</x:f>
        <x:v>0.575</x:v>
      </x:c>
      <x:c r="B679" t="n">
        <x:f>P191</x:f>
        <x:v>2677.3355319032075</x:v>
      </x:c>
      <x:c r="C679" t="n">
        <x:f>R191</x:f>
        <x:v>1038.572658155396</x:v>
      </x:c>
      <x:c r="D679" t="n">
        <x:f>T191</x:f>
        <x:v>2361.988205854064</x:v>
      </x:c>
      <x:c r="E679" t="n">
        <x:f>V191</x:f>
        <x:v>2317.3323126094115</x:v>
      </x:c>
    </x:row>
    <x:row r="680">
      <x:c r="A680" t="n">
        <x:f>I192</x:f>
        <x:v>0.583</x:v>
      </x:c>
      <x:c r="B680" t="n">
        <x:f>P192</x:f>
        <x:v>2677.582742925441</x:v>
      </x:c>
      <x:c r="C680" t="n">
        <x:f>R192</x:f>
        <x:v>1061.1306639341801</x:v>
      </x:c>
      <x:c r="D680" t="n">
        <x:f>T192</x:f>
        <x:v>2421.627864967836</x:v>
      </x:c>
      <x:c r="E680" t="n">
        <x:f>V192</x:f>
        <x:v>2377.5899992787668</x:v>
      </x:c>
    </x:row>
    <x:row r="681">
      <x:c r="A681" t="n">
        <x:f>I193</x:f>
        <x:v>0.592</x:v>
      </x:c>
      <x:c r="B681" t="n">
        <x:f>P193</x:f>
        <x:v>2677.8649381499786</x:v>
      </x:c>
      <x:c r="C681" t="n">
        <x:f>R193</x:f>
        <x:v>1086.8809781732407</x:v>
      </x:c>
      <x:c r="D681" t="n">
        <x:f>T193</x:f>
        <x:v>2489.7074628875434</x:v>
      </x:c>
      <x:c r="E681" t="n">
        <x:f>V193</x:f>
        <x:v>2446.3750852598187</x:v>
      </x:c>
    </x:row>
    <x:row r="682">
      <x:c r="A682" t="n">
        <x:f>I194</x:f>
        <x:v>0.6</x:v>
      </x:c>
      <x:c r="B682" t="n">
        <x:f>P194</x:f>
        <x:v>2678.119407526923</x:v>
      </x:c>
      <x:c r="C682" t="n">
        <x:f>R194</x:f>
        <x:v>1110.1013088194502</x:v>
      </x:c>
      <x:c r="D682" t="n">
        <x:f>T194</x:f>
        <x:v>2551.098200075467</x:v>
      </x:c>
      <x:c r="E682" t="n">
        <x:f>V194</x:f>
        <x:v>2508.4019958901035</x:v>
      </x:c>
    </x:row>
    <x:row r="683">
      <x:c r="A683" t="n">
        <x:f>I195</x:f>
        <x:v>0.608</x:v>
      </x:c>
      <x:c r="B683" t="n">
        <x:f>P195</x:f>
        <x:v>2678.377292600203</x:v>
      </x:c>
      <x:c r="C683" t="n">
        <x:f>R195</x:f>
        <x:v>1133.6333217562135</x:v>
      </x:c>
      <x:c r="D683" t="n">
        <x:f>T195</x:f>
        <x:v>2613.31297400417</x:v>
      </x:c>
      <x:c r="E683" t="n">
        <x:f>V195</x:f>
        <x:v>2571.2614825020055</x:v>
      </x:c>
    </x:row>
    <x:row r="684">
      <x:c r="A684" t="n">
        <x:f>I196</x:f>
        <x:v>0.617</x:v>
      </x:c>
      <x:c r="B684" t="n">
        <x:f>P196</x:f>
        <x:v>2678.6714961321677</x:v>
      </x:c>
      <x:c r="C684" t="n">
        <x:f>R196</x:f>
        <x:v>1160.4793940479979</x:v>
      </x:c>
      <x:c r="D684" t="n">
        <x:f>T196</x:f>
        <x:v>2684.289576090669</x:v>
      </x:c>
      <x:c r="E684" t="n">
        <x:f>V196</x:f>
        <x:v>2642.973593418417</x:v>
      </x:c>
    </x:row>
    <x:row r="685">
      <x:c r="A685" t="n">
        <x:f>I197</x:f>
        <x:v>0.625</x:v>
      </x:c>
      <x:c r="B685" t="n">
        <x:f>P197</x:f>
        <x:v>2678.9366395601587</x:v>
      </x:c>
      <x:c r="C685" t="n">
        <x:f>R197</x:f>
        <x:v>1184.6737318521868</x:v>
      </x:c>
      <x:c r="D685" t="n">
        <x:f>T197</x:f>
        <x:v>2748.2554280935246</x:v>
      </x:c>
      <x:c r="E685" t="n">
        <x:f>V197</x:f>
        <x:v>2707.6023039912498</x:v>
      </x:c>
    </x:row>
    <x:row r="686">
      <x:c r="A686" t="n">
        <x:f>I198</x:f>
        <x:v>0.633</x:v>
      </x:c>
      <x:c r="B686" t="n">
        <x:f>P198</x:f>
        <x:v>2679.205198684485</x:v>
      </x:c>
      <x:c r="C686" t="n">
        <x:f>R198</x:f>
        <x:v>1209.1797519469292</x:v>
      </x:c>
      <x:c r="D686" t="n">
        <x:f>T198</x:f>
        <x:v>2813.0453168371578</x:v>
      </x:c>
      <x:c r="E686" t="n">
        <x:f>V198</x:f>
        <x:v>2773.0635905456975</x:v>
      </x:c>
    </x:row>
    <x:row r="687">
      <x:c r="A687" t="n">
        <x:f>I199</x:f>
        <x:v>0.642</x:v>
      </x:c>
      <x:c r="B687" t="n">
        <x:f>P199</x:f>
        <x:v>2679.5114105238763</x:v>
      </x:c>
      <x:c r="C687" t="n">
        <x:f>R199</x:f>
        <x:v>1237.1215822914396</x:v>
      </x:c>
      <x:c r="D687" t="n">
        <x:f>T199</x:f>
        <x:v>2886.918923090452</x:v>
      </x:c>
      <x:c r="E687" t="n">
        <x:f>V199</x:f>
        <x:v>2847.7027263974724</x:v>
      </x:c>
    </x:row>
    <x:row r="688">
      <x:c r="A688" t="n">
        <x:f>I200</x:f>
        <x:v>0.65</x:v>
      </x:c>
      <x:c r="B688" t="n">
        <x:f>P200</x:f>
        <x:v>2679.7872280029137</x:v>
      </x:c>
      <x:c r="C688" t="n">
        <x:f>R200</x:f>
        <x:v>1262.2899272536067</x:v>
      </x:c>
      <x:c r="D688" t="n">
        <x:f>T200</x:f>
        <x:v>2953.459889908238</x:v>
      </x:c>
      <x:c r="E688" t="n">
        <x:f>V200</x:f>
        <x:v>2914.9332369128515</x:v>
      </x:c>
    </x:row>
    <x:row r="689">
      <x:c r="A689" t="n">
        <x:f>I201</x:f>
        <x:v>0.658</x:v>
      </x:c>
      <x:c r="B689" t="n">
        <x:f>P201</x:f>
        <x:v>2680.0664611782863</x:v>
      </x:c>
      <x:c r="C689" t="n">
        <x:f>R201</x:f>
        <x:v>1287.7699545063265</x:v>
      </x:c>
      <x:c r="D689" t="n">
        <x:f>T201</x:f>
        <x:v>3020.8248934667977</x:v>
      </x:c>
      <x:c r="E689" t="n">
        <x:f>V201</x:f>
        <x:v>2982.996323409842</x:v>
      </x:c>
    </x:row>
    <x:row r="690">
      <x:c r="A690" t="n">
        <x:f>I202</x:f>
        <x:v>0.667</x:v>
      </x:c>
      <x:c r="B690" t="n">
        <x:f>P202</x:f>
        <x:v>2680.3846813251052</x:v>
      </x:c>
      <x:c r="C690" t="n">
        <x:f>R202</x:f>
        <x:v>1316.8075429035648</x:v>
      </x:c>
      <x:c r="D690" t="n">
        <x:f>T202</x:f>
        <x:v>3097.5955038868938</x:v>
      </x:c>
      <x:c r="E690" t="n">
        <x:f>V202</x:f>
        <x:v>3060.562484196985</x:v>
      </x:c>
    </x:row>
    <x:row r="691">
      <x:c r="A691" t="n">
        <x:f>I203</x:f>
        <x:v>0.675</x:v>
      </x:c>
      <x:c r="B691" t="n">
        <x:f>P203</x:f>
        <x:v>2680.671172855189</x:v>
      </x:c>
      <x:c r="C691" t="n">
        <x:f>R203</x:f>
        <x:v>1342.9498950237103</x:v>
      </x:c>
      <x:c r="D691" t="n">
        <x:f>T203</x:f>
        <x:v>3166.7115855196066</x:v>
      </x:c>
      <x:c r="E691" t="n">
        <x:f>V203</x:f>
        <x:v>3130.3947946549083</x:v>
      </x:c>
    </x:row>
    <x:row r="692">
      <x:c r="A692" t="n">
        <x:f>I204</x:f>
        <x:v>0.683</x:v>
      </x:c>
      <x:c r="B692" t="n">
        <x:f>P204</x:f>
        <x:v>2680.9610800816076</x:v>
      </x:c>
      <x:c r="C692" t="n">
        <x:f>R204</x:f>
        <x:v>1369.4039294344093</x:v>
      </x:c>
      <x:c r="D692" t="n">
        <x:f>T204</x:f>
        <x:v>3236.6517038930992</x:v>
      </x:c>
      <x:c r="E692" t="n">
        <x:f>V204</x:f>
        <x:v>3201.059681094447</x:v>
      </x:c>
    </x:row>
    <x:row r="693">
      <x:c r="A693" t="n">
        <x:f>I205</x:f>
        <x:v>0.692</x:v>
      </x:c>
      <x:c r="B693" t="n">
        <x:f>P205</x:f>
        <x:v>2681.2913085358537</x:v>
      </x:c>
      <x:c r="C693" t="n">
        <x:f>R205</x:f>
        <x:v>1399.5372758843714</x:v>
      </x:c>
      <x:c r="D693" t="n">
        <x:f>T205</x:f>
        <x:v>3316.319318479985</x:v>
      </x:c>
      <x:c r="E693" t="n">
        <x:f>V205</x:f>
        <x:v>3281.552866816948</x:v>
      </x:c>
    </x:row>
    <x:row r="694">
      <x:c r="A694" t="n">
        <x:f>I206</x:f>
        <x:v>0.7</x:v>
      </x:c>
      <x:c r="B694" t="n">
        <x:f>P206</x:f>
        <x:v>2681.588474116984</x:v>
      </x:c>
      <x:c r="C694" t="n">
        <x:f>R206</x:f>
        <x:v>1426.6536351624961</x:v>
      </x:c>
      <x:c r="D694" t="n">
        <x:f>T206</x:f>
        <x:v>3388.01051492763</x:v>
      </x:c>
      <x:c r="E694" t="n">
        <x:f>V206</x:f>
        <x:v>3353.9869772174184</x:v>
      </x:c>
    </x:row>
    <x:row r="695">
      <x:c r="A695" t="n">
        <x:f>I207</x:f>
        <x:v>0.708</x:v>
      </x:c>
      <x:c r="B695" t="n">
        <x:f>P207</x:f>
        <x:v>2681.8890553944493</x:v>
      </x:c>
      <x:c r="C695" t="n">
        <x:f>R207</x:f>
        <x:v>1454.0816767311733</x:v>
      </x:c>
      <x:c r="D695" t="n">
        <x:f>T207</x:f>
        <x:v>3460.5257481160506</x:v>
      </x:c>
      <x:c r="E695" t="n">
        <x:f>V207</x:f>
        <x:v>3427.2536635995016</x:v>
      </x:c>
    </x:row>
    <x:row r="696">
      <x:c r="A696" t="n">
        <x:f>I208</x:f>
        <x:v>0.717</x:v>
      </x:c>
      <x:c r="B696" t="n">
        <x:f>P208</x:f>
        <x:v>2682.231292156122</x:v>
      </x:c>
      <x:c r="C696" t="n">
        <x:f>R208</x:f>
        <x:v>1485.3107812338633</x:v>
      </x:c>
      <x:c r="D696" t="n">
        <x:f>T208</x:f>
        <x:v>3543.090366869737</x:v>
      </x:c>
      <x:c r="E696" t="n">
        <x:f>V208</x:f>
        <x:v>3510.673874257372</x:v>
      </x:c>
    </x:row>
    <x:row r="697">
      <x:c r="A697" t="n">
        <x:f>I209</x:f>
        <x:v>0.725</x:v>
      </x:c>
      <x:c r="B697" t="n">
        <x:f>P209</x:f>
        <x:v>2682.539131788299</x:v>
      </x:c>
      <x:c r="C697" t="n">
        <x:f>R209</x:f>
        <x:v>1513.401147669966</x:v>
      </x:c>
      <x:c r="D697" t="n">
        <x:f>T209</x:f>
        <x:v>3617.3566781323107</x:v>
      </x:c>
      <x:c r="E697" t="n">
        <x:f>V209</x:f>
        <x:v>3585.709784600385</x:v>
      </x:c>
    </x:row>
    <x:row r="698">
      <x:c r="A698" t="n">
        <x:f>I210</x:f>
        <x:v>0.733</x:v>
      </x:c>
      <x:c r="B698" t="n">
        <x:f>P210</x:f>
        <x:v>2682.85038711681</x:v>
      </x:c>
      <x:c r="C698" t="n">
        <x:f>R210</x:f>
        <x:v>1541.803196396622</x:v>
      </x:c>
      <x:c r="D698" t="n">
        <x:f>T210</x:f>
        <x:v>3692.4470261356614</x:v>
      </x:c>
      <x:c r="E698" t="n">
        <x:f>V210</x:f>
        <x:v>3661.5782709250157</x:v>
      </x:c>
    </x:row>
    <x:row r="699">
      <x:c r="A699" t="n">
        <x:f>I211</x:f>
        <x:v>0.742</x:v>
      </x:c>
      <x:c r="B699" t="n">
        <x:f>P211</x:f>
        <x:v>2683.20463218591</x:v>
      </x:c>
      <x:c r="C699" t="n">
        <x:f>R211</x:f>
        <x:v>1574.1280589520366</x:v>
      </x:c>
      <x:c r="D699" t="n">
        <x:f>T211</x:f>
        <x:v>3777.90864905614</x:v>
      </x:c>
      <x:c r="E699" t="n">
        <x:f>V211</x:f>
        <x:v>3747.9255065182456</x:v>
      </x:c>
    </x:row>
    <x:row r="700">
      <x:c r="A700" t="n">
        <x:f>I212</x:f>
        <x:v>0.75</x:v>
      </x:c>
      <x:c r="B700" t="n">
        <x:f>P212</x:f>
        <x:v>2683.5231458691333</x:v>
      </x:c>
      <x:c r="C700" t="n">
        <x:f>R212</x:f>
        <x:v>1603.1924325461182</x:v>
      </x:c>
      <x:c r="D700" t="n">
        <x:f>T212</x:f>
        <x:v>3854.7500751336447</x:v>
      </x:c>
      <x:c r="E700" t="n">
        <x:f>V212</x:f>
        <x:v>3825.5632168038064</x:v>
      </x:c>
    </x:row>
    <x:row r="701">
      <x:c r="A701" t="n">
        <x:f>I213</x:f>
        <x:v>0.758</x:v>
      </x:c>
      <x:c r="B701" t="n">
        <x:f>P213</x:f>
        <x:v>2683.8450752486906</x:v>
      </x:c>
      <x:c r="C701" t="n">
        <x:f>R213</x:f>
        <x:v>1632.5684884307536</x:v>
      </x:c>
      <x:c r="D701" t="n">
        <x:f>T213</x:f>
        <x:v>3932.4155379519266</x:v>
      </x:c>
      <x:c r="E701" t="n">
        <x:f>V213</x:f>
        <x:v>3904.0335030709825</x:v>
      </x:c>
    </x:row>
    <x:row r="702">
      <x:c r="A702" t="n">
        <x:f>I214</x:f>
        <x:v>0.767</x:v>
      </x:c>
      <x:c r="B702" t="n">
        <x:f>P214</x:f>
        <x:v>2684.211328625219</x:v>
      </x:c>
      <x:c r="C702" t="n">
        <x:f>R214</x:f>
        <x:v>1665.9891090388933</x:v>
      </x:c>
      <x:c r="D702" t="n">
        <x:f>T214</x:f>
        <x:v>4020.7741650392004</x:v>
      </x:c>
      <x:c r="E702" t="n">
        <x:f>V214</x:f>
        <x:v>3993.3077635995755</x:v>
      </x:c>
    </x:row>
    <x:row r="703">
      <x:c r="A703" t="n">
        <x:f>I215</x:f>
        <x:v>0.775</x:v>
      </x:c>
      <x:c r="B703" t="n">
        <x:f>P215</x:f>
        <x:v>2684.540516359488</x:v>
      </x:c>
      <x:c r="C703" t="n">
        <x:f>R215</x:f>
        <x:v>1696.0274897909542</x:v>
      </x:c>
      <x:c r="D703" t="n">
        <x:f>T215</x:f>
        <x:v>4100.190705931635</x:v>
      </x:c>
      <x:c r="E703" t="n">
        <x:f>V215</x:f>
        <x:v>4073.547273827683</x:v>
      </x:c>
    </x:row>
    <x:row r="704">
      <x:c r="A704" t="n">
        <x:f>I216</x:f>
        <x:v>0.783</x:v>
      </x:c>
      <x:c r="B704" t="n">
        <x:f>P216</x:f>
        <x:v>2684.873119790092</x:v>
      </x:c>
      <x:c r="C704" t="n">
        <x:f>R216</x:f>
        <x:v>1726.3775528335661</x:v>
      </x:c>
      <x:c r="D704" t="n">
        <x:f>T216</x:f>
        <x:v>4180.4312835648425</x:v>
      </x:c>
      <x:c r="E704" t="n">
        <x:f>V216</x:f>
        <x:v>4154.619360037401</x:v>
      </x:c>
    </x:row>
    <x:row r="705">
      <x:c r="A705" t="n">
        <x:f>I217</x:f>
        <x:v>0.792</x:v>
      </x:c>
      <x:c r="B705" t="n">
        <x:f>P217</x:f>
        <x:v>2685.251381474046</x:v>
      </x:c>
      <x:c r="C705" t="n">
        <x:f>R217</x:f>
        <x:v>1760.893931494435</x:v>
      </x:c>
      <x:c r="D705" t="n">
        <x:f>T217</x:f>
        <x:v>4271.68691481892</x:v>
      </x:c>
      <x:c r="E705" t="n">
        <x:f>V217</x:f>
        <x:v>4246.820645501364</x:v>
      </x:c>
    </x:row>
    <x:row r="706">
      <x:c r="A706" t="n">
        <x:f>I218</x:f>
        <x:v>0.8</x:v>
      </x:c>
      <x:c r="B706" t="n">
        <x:f>P218</x:f>
        <x:v>2685.591243259362</x:v>
      </x:c>
      <x:c r="C706" t="n">
        <x:f>R218</x:f>
        <x:v>1791.9063194044727</x:v>
      </x:c>
      <x:c r="D706" t="n">
        <x:f>T218</x:f>
        <x:v>4353.678570526281</x:v>
      </x:c>
      <x:c r="E706" t="n">
        <x:f>V218</x:f>
        <x:v>4329.661955672014</x:v>
      </x:c>
    </x:row>
    <x:row r="707">
      <x:c r="A707" t="n">
        <x:f>I219</x:f>
        <x:v>0.808</x:v>
      </x:c>
      <x:c r="B707" t="n">
        <x:f>P219</x:f>
        <x:v>2685.9345207410115</x:v>
      </x:c>
      <x:c r="C707" t="n">
        <x:f>R219</x:f>
        <x:v>1823.2303896050653</x:v>
      </x:c>
      <x:c r="D707" t="n">
        <x:f>T219</x:f>
        <x:v>4436.494262974422</x:v>
      </x:c>
      <x:c r="E707" t="n">
        <x:f>V219</x:f>
        <x:v>4413.3358418242815</x:v>
      </x:c>
    </x:row>
    <x:row r="708">
      <x:c r="A708" t="n">
        <x:f>I220</x:f>
        <x:v>0.817</x:v>
      </x:c>
      <x:c r="B708" t="n">
        <x:f>P220</x:f>
        <x:v>2686.324790732394</x:v>
      </x:c>
      <x:c r="C708" t="n">
        <x:f>R220</x:f>
        <x:v>1858.8425263186568</x:v>
      </x:c>
      <x:c r="D708" t="n">
        <x:f>T220</x:f>
        <x:v>4530.646898395288</x:v>
      </x:c>
      <x:c r="E708" t="n">
        <x:f>V220</x:f>
        <x:v>4508.464152223602</x:v>
      </x:c>
    </x:row>
    <x:row r="709">
      <x:c r="A709" t="n">
        <x:f>I221</x:f>
        <x:v>0.825</x:v>
      </x:c>
      <x:c r="B709" t="n">
        <x:f>P221</x:f>
        <x:v>2686.6753265687557</x:v>
      </x:c>
      <x:c r="C709" t="n">
        <x:f>R221</x:f>
        <x:v>1890.8289213866744</x:v>
      </x:c>
      <x:c r="D709" t="n">
        <x:f>T221</x:f>
        <x:v>4615.213668917581</x:v>
      </x:c>
      <x:c r="E709" t="n">
        <x:f>V221</x:f>
        <x:v>4593.907262336798</x:v>
      </x:c>
    </x:row>
    <x:row r="710">
      <x:c r="A710" t="n">
        <x:f>I222</x:f>
        <x:v>0.833</x:v>
      </x:c>
      <x:c r="B710" t="n">
        <x:f>P222</x:f>
        <x:v>2687.0292781014527</x:v>
      </x:c>
      <x:c r="C710" t="n">
        <x:f>R222</x:f>
        <x:v>1923.1269987452447</x:v>
      </x:c>
      <x:c r="D710" t="n">
        <x:f>T222</x:f>
        <x:v>4700.604476180651</x:v>
      </x:c>
      <x:c r="E710" t="n">
        <x:f>V222</x:f>
        <x:v>4680.1829484316095</x:v>
      </x:c>
    </x:row>
    <x:row r="711">
      <x:c r="A711" t="n">
        <x:f>I223</x:f>
        <x:v>0.842</x:v>
      </x:c>
      <x:c r="B711" t="n">
        <x:f>P223</x:f>
        <x:v>2687.431556400261</x:v>
      </x:c>
      <x:c r="C711" t="n">
        <x:f>R223</x:f>
        <x:v>1959.8348935115648</x:v>
      </x:c>
      <x:c r="D711" t="n">
        <x:f>T223</x:f>
        <x:v>4797.654115768319</x:v>
      </x:c>
      <x:c r="E711" t="n">
        <x:f>V223</x:f>
        <x:v>4778.2382837663</x:v>
      </x:c>
    </x:row>
    <x:row r="712">
      <x:c r="A712" t="n">
        <x:f>I224</x:f>
        <x:v>0.85</x:v>
      </x:c>
      <x:c r="B712" t="n">
        <x:f>P224</x:f>
        <x:v>2687.7927662876696</x:v>
      </x:c>
      <x:c r="C712" t="n">
        <x:f>R224</x:f>
        <x:v>1992.7952957375599</x:v>
      </x:c>
      <x:c r="D712" t="n">
        <x:f>T224</x:f>
        <x:v>4884.7960011055375</x:v>
      </x:c>
      <x:c r="E712" t="n">
        <x:f>V224</x:f>
        <x:v>4866.28319382204</x:v>
      </x:c>
    </x:row>
    <x:row r="713">
      <x:c r="A713" t="n">
        <x:f>I225</x:f>
        <x:v>0.858</x:v>
      </x:c>
      <x:c r="B713" t="n">
        <x:f>P225</x:f>
        <x:v>2688.1573918714125</x:v>
      </x:c>
      <x:c r="C713" t="n">
        <x:f>R225</x:f>
        <x:v>2026.0673802541094</x:v>
      </x:c>
      <x:c r="D713" t="n">
        <x:f>T225</x:f>
        <x:v>4972.761923183538</x:v>
      </x:c>
      <x:c r="E713" t="n">
        <x:f>V225</x:f>
        <x:v>4955.160679859399</x:v>
      </x:c>
    </x:row>
    <x:row r="714">
      <x:c r="A714" t="n">
        <x:f>I226</x:f>
        <x:v>0.867</x:v>
      </x:c>
      <x:c r="B714" t="n">
        <x:f>P226</x:f>
        <x:v>2688.5716784776487</x:v>
      </x:c>
      <x:c r="C714" t="n">
        <x:f>R226</x:f>
        <x:v>2063.8710330731533</x:v>
      </x:c>
      <x:c r="D714" t="n">
        <x:f>T226</x:f>
        <x:v>5072.708566937997</x:v>
      </x:c>
      <x:c r="E714" t="n">
        <x:f>V226</x:f>
        <x:v>5056.143040129447</x:v>
      </x:c>
    </x:row>
    <x:row r="715">
      <x:c r="A715" t="n">
        <x:f>I227</x:f>
        <x:v>0.875</x:v>
      </x:c>
      <x:c r="B715" t="n">
        <x:f>P227</x:f>
        <x:v>2688.9435624161033</x:v>
      </x:c>
      <x:c r="C715" t="n">
        <x:f>R227</x:f>
        <x:v>2097.8054424571283</x:v>
      </x:c>
      <x:c r="D715" t="n">
        <x:f>T227</x:f>
        <x:v>5162.42556709015</x:v>
      </x:c>
      <x:c r="E715" t="n">
        <x:f>V227</x:f>
        <x:v>5146.789750127737</x:v>
      </x:c>
    </x:row>
    <x:row r="716">
      <x:c r="A716" t="n">
        <x:f>I228</x:f>
        <x:v>0.883</x:v>
      </x:c>
      <x:c r="B716" t="n">
        <x:f>P228</x:f>
        <x:v>2689.3188620508927</x:v>
      </x:c>
      <x:c r="C716" t="n">
        <x:f>R228</x:f>
        <x:v>2132.051534131657</x:v>
      </x:c>
      <x:c r="D716" t="n">
        <x:f>T228</x:f>
        <x:v>5252.96660398308</x:v>
      </x:c>
      <x:c r="E716" t="n">
        <x:f>V228</x:f>
        <x:v>5238.269036107641</x:v>
      </x:c>
    </x:row>
    <x:row r="717">
      <x:c r="A717" t="n">
        <x:f>I229</x:f>
        <x:v>0.892</x:v>
      </x:c>
      <x:c r="B717" t="n">
        <x:f>P229</x:f>
        <x:v>2689.745156964556</x:v>
      </x:c>
      <x:c r="C717" t="n">
        <x:f>R229</x:f>
        <x:v>2170.9509450034257</x:v>
      </x:c>
      <x:c r="D717" t="n">
        <x:f>T229</x:f>
        <x:v>5355.810251904335</x:v>
      </x:c>
      <x:c r="E717" t="n">
        <x:f>V229</x:f>
        <x:v>5342.178421313052</x:v>
      </x:c>
    </x:row>
    <x:row r="718">
      <x:c r="A718" t="n">
        <x:f>I230</x:f>
        <x:v>0.9</x:v>
      </x:c>
      <x:c r="B718" t="n">
        <x:f>P230</x:f>
        <x:v>2690.1277149540565</x:v>
      </x:c>
      <x:c r="C718" t="n">
        <x:f>R230</x:f>
        <x:v>2205.8593615453797</x:v>
      </x:c>
      <x:c r="D718" t="n">
        <x:f>T230</x:f>
        <x:v>5448.102366871419</x:v>
      </x:c>
      <x:c r="E718" t="n">
        <x:f>V230</x:f>
        <x:v>5435.426931253887</x:v>
      </x:c>
    </x:row>
    <x:row r="719">
      <x:c r="A719" t="n">
        <x:f>I231</x:f>
        <x:v>0.908</x:v>
      </x:c>
      <x:c r="B719" t="n">
        <x:f>P231</x:f>
        <x:v>2690.5136886398923</x:v>
      </x:c>
      <x:c r="C719" t="n">
        <x:f>R231</x:f>
        <x:v>2241.079460377885</x:v>
      </x:c>
      <x:c r="D719" t="n">
        <x:f>T231</x:f>
        <x:v>5541.218518579275</x:v>
      </x:c>
      <x:c r="E719" t="n">
        <x:f>V231</x:f>
        <x:v>5529.508017176334</x:v>
      </x:c>
    </x:row>
    <x:row r="720">
      <x:c r="A720" t="n">
        <x:f>I232</x:f>
        <x:v>0.917</x:v>
      </x:c>
      <x:c r="B720" t="n">
        <x:f>P232</x:f>
        <x:v>2690.951991860983</x:v>
      </x:c>
      <x:c r="C720" t="n">
        <x:f>R232</x:f>
        <x:v>2281.0746293023826</x:v>
      </x:c>
      <x:c r="D720" t="n">
        <x:f>T232</x:f>
        <x:v>5646.95917066733</x:v>
      </x:c>
      <x:c r="E720" t="n">
        <x:f>V232</x:f>
        <x:v>5636.344427317115</x:v>
      </x:c>
    </x:row>
    <x:row r="721">
      <x:c r="A721" t="n">
        <x:f>I233</x:f>
        <x:v>0.925</x:v>
      </x:c>
      <x:c r="B721" t="n">
        <x:f>P233</x:f>
        <x:v>2691.34522390153</x:v>
      </x:c>
      <x:c r="C721" t="n">
        <x:f>R233</x:f>
        <x:v>2316.957053002314</x:v>
      </x:c>
      <x:c r="D721" t="n">
        <x:f>T233</x:f>
        <x:v>5741.82640044934</x:v>
      </x:c>
      <x:c r="E721" t="n">
        <x:f>V233</x:f>
        <x:v>5732.194737200494</x:v>
      </x:c>
    </x:row>
    <x:row r="722">
      <x:c r="A722" t="n">
        <x:f>I234</x:f>
        <x:v>0.933</x:v>
      </x:c>
      <x:c r="B722" t="n">
        <x:f>P234</x:f>
        <x:v>2691.7418716384122</x:v>
      </x:c>
      <x:c r="C722" t="n">
        <x:f>R234</x:f>
        <x:v>2353.1511589928</x:v>
      </x:c>
      <x:c r="D722" t="n">
        <x:f>T234</x:f>
        <x:v>5837.51766697213</x:v>
      </x:c>
      <x:c r="E722" t="n">
        <x:f>V234</x:f>
        <x:v>5828.87762306549</x:v>
      </x:c>
    </x:row>
    <x:row r="723">
      <x:c r="A723" t="n">
        <x:f>I235</x:f>
        <x:v>0.942</x:v>
      </x:c>
      <x:c r="B723" t="n">
        <x:f>P235</x:f>
        <x:v>2692.1921831669297</x:v>
      </x:c>
      <x:c r="C723" t="n">
        <x:f>R235</x:f>
        <x:v>2394.2420859700205</x:v>
      </x:c>
      <x:c r="D723" t="n">
        <x:f>T235</x:f>
        <x:v>5946.155323226975</x:v>
      </x:c>
      <x:c r="E723" t="n">
        <x:f>V235</x:f>
        <x:v>5938.6410581416285</x:v>
      </x:c>
    </x:row>
    <x:row r="724">
      <x:c r="A724" t="n">
        <x:f>I236</x:f>
        <x:v>0.95</x:v>
      </x:c>
      <x:c r="B724" t="n">
        <x:f>P236</x:f>
        <x:v>2692.596089258523</x:v>
      </x:c>
      <x:c r="C724" t="n">
        <x:f>R236</x:f>
        <x:v>2431.0985168279312</x:v>
      </x:c>
      <x:c r="D724" t="n">
        <x:f>T236</x:f>
        <x:v>6043.597667823918</x:v>
      </x:c>
      <x:c r="E724" t="n">
        <x:f>V236</x:f>
        <x:v>6037.093167967554</x:v>
      </x:c>
    </x:row>
    <x:row r="725">
      <x:c r="A725" t="n">
        <x:f>I237</x:f>
        <x:v>0.958</x:v>
      </x:c>
      <x:c r="B725" t="n">
        <x:f>P237</x:f>
        <x:v>2693.0034110464517</x:v>
      </x:c>
      <x:c r="C725" t="n">
        <x:f>R237</x:f>
        <x:v>2468.266629976394</x:v>
      </x:c>
      <x:c r="D725" t="n">
        <x:f>T237</x:f>
        <x:v>6141.864049161635</x:v>
      </x:c>
      <x:c r="E725" t="n">
        <x:f>V237</x:f>
        <x:v>6136.377853775092</x:v>
      </x:c>
    </x:row>
    <x:row r="726">
      <x:c r="A726" t="n">
        <x:f>I238</x:f>
        <x:v>0.967</x:v>
      </x:c>
      <x:c r="B726" t="n">
        <x:f>P238</x:f>
        <x:v>2693.465730882396</x:v>
      </x:c>
      <x:c r="C726" t="n">
        <x:f>R238</x:f>
        <x:v>2510.4533150063444</x:v>
      </x:c>
      <x:c r="D726" t="n">
        <x:f>T238</x:f>
        <x:v>6253.398709583284</x:v>
      </x:c>
      <x:c r="E726" t="n">
        <x:f>V238</x:f>
        <x:v>6249.068313786602</x:v>
      </x:c>
    </x:row>
    <x:row r="727">
      <x:c r="A727" t="n">
        <x:f>I239</x:f>
        <x:v>0.975</x:v>
      </x:c>
      <x:c r="B727" t="n">
        <x:f>P239</x:f>
        <x:v>2693.8803110250356</x:v>
      </x:c>
      <x:c r="C727" t="n">
        <x:f>R239</x:f>
        <x:v>2548.2837530222323</x:v>
      </x:c>
      <x:c r="D727" t="n">
        <x:f>T239</x:f>
        <x:v>6353.416168995152</x:v>
      </x:c>
      <x:c r="E727" t="n">
        <x:f>V239</x:f>
        <x:v>6350.12222355507</x:v>
      </x:c>
    </x:row>
    <x:row r="728">
      <x:c r="A728" t="n">
        <x:f>I240</x:f>
        <x:v>0.983</x:v>
      </x:c>
      <x:c r="B728" t="n">
        <x:f>P240</x:f>
        <x:v>2694.2983068640106</x:v>
      </x:c>
      <x:c r="C728" t="n">
        <x:f>R240</x:f>
        <x:v>2586.425873328675</x:v>
      </x:c>
      <x:c r="D728" t="n">
        <x:f>T240</x:f>
        <x:v>6454.257665147801</x:v>
      </x:c>
      <x:c r="E728" t="n">
        <x:f>V240</x:f>
        <x:v>6452.008709305157</x:v>
      </x:c>
    </x:row>
    <x:row r="729">
      <x:c r="A729" t="n">
        <x:f>I241</x:f>
        <x:v>0.992</x:v>
      </x:c>
      <x:c r="B729" t="n">
        <x:f>P241</x:f>
        <x:v>2694.7726350073826</x:v>
      </x:c>
      <x:c r="C729" t="n">
        <x:f>R241</x:f>
        <x:v>2629.708316411348</x:v>
      </x:c>
      <x:c r="D729" t="n">
        <x:f>T241</x:f>
        <x:v>6568.689329736239</x:v>
      </x:c>
      <x:c r="E729" t="n">
        <x:f>V241</x:f>
        <x:v>6567.626194252023</x:v>
      </x:c>
    </x:row>
    <x:row r="730">
      <x:c r="A730" t="n">
        <x:f>I242</x:f>
        <x:v>1</x:v>
      </x:c>
      <x:c r="B730" t="n">
        <x:f>P242</x:f>
        <x:v>2695.1978892010684</x:v>
      </x:c>
      <x:c r="C730" t="n">
        <x:f>R242</x:f>
        <x:v>2668.5127615852166</x:v>
      </x:c>
      <x:c r="D730" t="n">
        <x:f>T242</x:f>
        <x:v>6671.281903963041</x:v>
      </x:c>
      <x:c r="E730" t="n">
        <x:f>V242</x:f>
        <x:v>6671.281903963041</x:v>
      </x:c>
    </x:row>
    <x:row r="735">
      <x:c r="A735" t="n">
        <x:f>I2</x:f>
        <x:v>-1</x:v>
      </x:c>
      <x:c r="B735" t="n">
        <x:f>Y2</x:f>
        <x:v>2695.1794479163473</x:v>
      </x:c>
      <x:c r="C735" t="n">
        <x:f>AA2</x:f>
        <x:v>2668.428145382045</x:v>
      </x:c>
      <x:c r="D735" t="n">
        <x:f>AC2</x:f>
        <x:v>6671.247983955019</x:v>
      </x:c>
      <x:c r="E735" t="n">
        <x:f>AE2</x:f>
        <x:v>6671.247983955019</x:v>
      </x:c>
    </x:row>
    <x:row r="736">
      <x:c r="A736" t="n">
        <x:f>I3</x:f>
        <x:v>-0.992</x:v>
      </x:c>
      <x:c r="B736" t="n">
        <x:f>Y3</x:f>
        <x:v>2694.649504247689</x:v>
      </x:c>
      <x:c r="C736" t="n">
        <x:f>AA3</x:f>
        <x:v>2629.6394627152467</x:v>
      </x:c>
      <x:c r="D736" t="n">
        <x:f>AC3</x:f>
        <x:v>6568.698547910094</x:v>
      </x:c>
      <x:c r="E736" t="n">
        <x:f>AE3</x:f>
        <x:v>6567.635412425879</x:v>
      </x:c>
    </x:row>
    <x:row r="737">
      <x:c r="A737" t="n">
        <x:f>I4</x:f>
        <x:v>-0.983</x:v>
      </x:c>
      <x:c r="B737" t="n">
        <x:f>Y4</x:f>
        <x:v>2694.1888252313724</x:v>
      </x:c>
      <x:c r="C737" t="n">
        <x:f>AA4</x:f>
        <x:v>2585.9914136189823</x:v>
      </x:c>
      <x:c r="D737" t="n">
        <x:f>AC4</x:f>
        <x:v>6453.945176408153</x:v>
      </x:c>
      <x:c r="E737" t="n">
        <x:f>AE4</x:f>
        <x:v>6451.696220565506</x:v>
      </x:c>
    </x:row>
    <x:row r="738">
      <x:c r="A738" t="n">
        <x:f>I5</x:f>
        <x:v>-0.975</x:v>
      </x:c>
      <x:c r="B738" t="n">
        <x:f>Y5</x:f>
        <x:v>2693.7352285655793</x:v>
      </x:c>
      <x:c r="C738" t="n">
        <x:f>AA5</x:f>
        <x:v>2547.8333970113854</x:v>
      </x:c>
      <x:c r="D738" t="n">
        <x:f>AC5</x:f>
        <x:v>6353.461154685279</x:v>
      </x:c>
      <x:c r="E738" t="n">
        <x:f>AE5</x:f>
        <x:v>6350.167209245198</x:v>
      </x:c>
    </x:row>
    <x:row r="739">
      <x:c r="A739" t="n">
        <x:f>I6</x:f>
        <x:v>-0.967</x:v>
      </x:c>
      <x:c r="B739" t="n">
        <x:f>Y6</x:f>
        <x:v>2693.215329991879</x:v>
      </x:c>
      <x:c r="C739" t="n">
        <x:f>AA6</x:f>
        <x:v>2510.4039491819062</x:v>
      </x:c>
      <x:c r="D739" t="n">
        <x:f>AC6</x:f>
        <x:v>6253.070767176094</x:v>
      </x:c>
      <x:c r="E739" t="n">
        <x:f>AE6</x:f>
        <x:v>6248.740371379414</x:v>
      </x:c>
    </x:row>
    <x:row r="740">
      <x:c r="A740" t="n">
        <x:f>I7</x:f>
        <x:v>-0.958</x:v>
      </x:c>
      <x:c r="B740" t="n">
        <x:f>Y7</x:f>
        <x:v>2692.827045062799</x:v>
      </x:c>
      <x:c r="C740" t="n">
        <x:f>AA7</x:f>
        <x:v>2468.416414407845</x:v>
      </x:c>
      <x:c r="D740" t="n">
        <x:f>AC7</x:f>
        <x:v>6141.373980598753</x:v>
      </x:c>
      <x:c r="E740" t="n">
        <x:f>AE7</x:f>
        <x:v>6135.887785212209</x:v>
      </x:c>
    </x:row>
    <x:row r="741">
      <x:c r="A741" t="n">
        <x:f>I8</x:f>
        <x:v>-0.95</x:v>
      </x:c>
      <x:c r="B741" t="n">
        <x:f>Y8</x:f>
        <x:v>2692.226227498772</x:v>
      </x:c>
      <x:c r="C741" t="n">
        <x:f>AA8</x:f>
        <x:v>2431.3222101605993</x:v>
      </x:c>
      <x:c r="D741" t="n">
        <x:f>AC8</x:f>
        <x:v>6043.3407753063475</x:v>
      </x:c>
      <x:c r="E741" t="n">
        <x:f>AE8</x:f>
        <x:v>6036.836275449983</x:v>
      </x:c>
    </x:row>
    <x:row r="742">
      <x:c r="A742" t="n">
        <x:f>I9</x:f>
        <x:v>-0.942</x:v>
      </x:c>
      <x:c r="B742" t="n">
        <x:f>Y9</x:f>
        <x:v>2691.9513345452874</x:v>
      </x:c>
      <x:c r="C742" t="n">
        <x:f>AA9</x:f>
        <x:v>2394.364951188643</x:v>
      </x:c>
      <x:c r="D742" t="n">
        <x:f>AC9</x:f>
        <x:v>5945.633448560879</x:v>
      </x:c>
      <x:c r="E742" t="n">
        <x:f>AE9</x:f>
        <x:v>5938.119183475531</x:v>
      </x:c>
    </x:row>
    <x:row r="743">
      <x:c r="A743" t="n">
        <x:f>I10</x:f>
        <x:v>-0.933</x:v>
      </x:c>
      <x:c r="B743" t="n">
        <x:f>Y10</x:f>
        <x:v>2691.331788094177</x:v>
      </x:c>
      <x:c r="C743" t="n">
        <x:f>AA10</x:f>
        <x:v>2353.0603134471708</x:v>
      </x:c>
      <x:c r="D743" t="n">
        <x:f>AC10</x:f>
        <x:v>5837.185632869483</x:v>
      </x:c>
      <x:c r="E743" t="n">
        <x:f>AE10</x:f>
        <x:v>5828.545588962842</x:v>
      </x:c>
    </x:row>
    <x:row r="744">
      <x:c r="A744" t="n">
        <x:f>I11</x:f>
        <x:v>-0.925</x:v>
      </x:c>
      <x:c r="B744" t="n">
        <x:f>Y11</x:f>
        <x:v>2691.088402349562</x:v>
      </x:c>
      <x:c r="C744" t="n">
        <x:f>AA11</x:f>
        <x:v>2316.8740711674914</x:v>
      </x:c>
      <x:c r="D744" t="n">
        <x:f>AC11</x:f>
        <x:v>5741.729536296609</x:v>
      </x:c>
      <x:c r="E744" t="n">
        <x:f>AE11</x:f>
        <x:v>5732.097873047763</x:v>
      </x:c>
    </x:row>
    <x:row r="745">
      <x:c r="A745" t="n">
        <x:f>I12</x:f>
        <x:v>-0.917</x:v>
      </x:c>
      <x:c r="B745" t="n">
        <x:f>Y12</x:f>
        <x:v>2690.69544749007</x:v>
      </x:c>
      <x:c r="C745" t="n">
        <x:f>AA12</x:f>
        <x:v>2281.42139016595</x:v>
      </x:c>
      <x:c r="D745" t="n">
        <x:f>AC12</x:f>
        <x:v>5646.7277866164695</x:v>
      </x:c>
      <x:c r="E745" t="n">
        <x:f>AE12</x:f>
        <x:v>5636.113043266254</x:v>
      </x:c>
    </x:row>
    <x:row r="746">
      <x:c r="A746" t="n">
        <x:f>I13</x:f>
        <x:v>-0.908</x:v>
      </x:c>
      <x:c r="B746" t="n">
        <x:f>Y13</x:f>
        <x:v>2690.1320799792074</x:v>
      </x:c>
      <x:c r="C746" t="n">
        <x:f>AA13</x:f>
        <x:v>2241.5050146309113</x:v>
      </x:c>
      <x:c r="D746" t="n">
        <x:f>AC13</x:f>
        <x:v>5541.454225810645</x:v>
      </x:c>
      <x:c r="E746" t="n">
        <x:f>AE13</x:f>
        <x:v>5529.743724407704</x:v>
      </x:c>
    </x:row>
    <x:row r="747">
      <x:c r="A747" t="n">
        <x:f>I14</x:f>
        <x:v>-0.9</x:v>
      </x:c>
      <x:c r="B747" t="n">
        <x:f>Y14</x:f>
        <x:v>2689.8747687370624</x:v>
      </x:c>
      <x:c r="C747" t="n">
        <x:f>AA14</x:f>
        <x:v>2205.928237430532</x:v>
      </x:c>
      <x:c r="D747" t="n">
        <x:f>AC14</x:f>
        <x:v>5448.244174117028</x:v>
      </x:c>
      <x:c r="E747" t="n">
        <x:f>AE14</x:f>
        <x:v>5435.568738499498</x:v>
      </x:c>
    </x:row>
    <x:row r="748">
      <x:c r="A748" t="n">
        <x:f>I15</x:f>
        <x:v>-0.892</x:v>
      </x:c>
      <x:c r="B748" t="n">
        <x:f>Y15</x:f>
        <x:v>2689.409732962194</x:v>
      </x:c>
      <x:c r="C748" t="n">
        <x:f>AA15</x:f>
        <x:v>2170.5785179125855</x:v>
      </x:c>
      <x:c r="D748" t="n">
        <x:f>AC15</x:f>
        <x:v>5355.753564055641</x:v>
      </x:c>
      <x:c r="E748" t="n">
        <x:f>AE15</x:f>
        <x:v>5342.121733464359</x:v>
      </x:c>
    </x:row>
    <x:row r="749">
      <x:c r="A749" t="n">
        <x:f>I16</x:f>
        <x:v>-0.883</x:v>
      </x:c>
      <x:c r="B749" t="n">
        <x:f>Y16</x:f>
        <x:v>2688.980515660841</x:v>
      </x:c>
      <x:c r="C749" t="n">
        <x:f>AA16</x:f>
        <x:v>2131.7740125261435</x:v>
      </x:c>
      <x:c r="D749" t="n">
        <x:f>AC16</x:f>
        <x:v>5253.145120344409</x:v>
      </x:c>
      <x:c r="E749" t="n">
        <x:f>AE16</x:f>
        <x:v>5238.447552468971</x:v>
      </x:c>
    </x:row>
    <x:row r="750">
      <x:c r="A750" t="n">
        <x:f>I17</x:f>
        <x:v>-0.875</x:v>
      </x:c>
      <x:c r="B750" t="n">
        <x:f>Y17</x:f>
        <x:v>2688.663945378994</x:v>
      </x:c>
      <x:c r="C750" t="n">
        <x:f>AA17</x:f>
        <x:v>2097.9403231136466</x:v>
      </x:c>
      <x:c r="D750" t="n">
        <x:f>AC17</x:f>
        <x:v>5162.261744423182</x:v>
      </x:c>
      <x:c r="E750" t="n">
        <x:f>AE17</x:f>
        <x:v>5146.625927460768</x:v>
      </x:c>
    </x:row>
    <x:row r="751">
      <x:c r="A751" t="n">
        <x:f>I18</x:f>
        <x:v>-0.867</x:v>
      </x:c>
      <x:c r="B751" t="n">
        <x:f>Y18</x:f>
        <x:v>2688.3599201386814</x:v>
      </x:c>
      <x:c r="C751" t="n">
        <x:f>AA18</x:f>
        <x:v>2064.052827462836</x:v>
      </x:c>
      <x:c r="D751" t="n">
        <x:f>AC18</x:f>
        <x:v>5072.4876261424</x:v>
      </x:c>
      <x:c r="E751" t="n">
        <x:f>AE18</x:f>
        <x:v>5055.92209933385</x:v>
      </x:c>
    </x:row>
    <x:row r="752">
      <x:c r="A752" t="n">
        <x:f>I19</x:f>
        <x:v>-0.858</x:v>
      </x:c>
      <x:c r="B752" t="n">
        <x:f>Y19</x:f>
        <x:v>2687.8899442216875</x:v>
      </x:c>
      <x:c r="C752" t="n">
        <x:f>AA19</x:f>
        <x:v>2025.8824537713756</x:v>
      </x:c>
      <x:c r="D752" t="n">
        <x:f>AC19</x:f>
        <x:v>4972.64948397899</x:v>
      </x:c>
      <x:c r="E752" t="n">
        <x:f>AE19</x:f>
        <x:v>4955.048240654851</x:v>
      </x:c>
    </x:row>
    <x:row r="753">
      <x:c r="A753" t="n">
        <x:f>I20</x:f>
        <x:v>-0.85</x:v>
      </x:c>
      <x:c r="B753" t="n">
        <x:f>Y20</x:f>
        <x:v>2687.531860347289</x:v>
      </x:c>
      <x:c r="C753" t="n">
        <x:f>AA20</x:f>
        <x:v>1992.3821270692197</x:v>
      </x:c>
      <x:c r="D753" t="n">
        <x:f>AC20</x:f>
        <x:v>4884.268557637219</x:v>
      </x:c>
      <x:c r="E753" t="n">
        <x:f>AE20</x:f>
        <x:v>4865.75575035372</x:v>
      </x:c>
    </x:row>
    <x:row r="754">
      <x:c r="A754" t="n">
        <x:f>I21</x:f>
        <x:v>-0.842</x:v>
      </x:c>
      <x:c r="B754" t="n">
        <x:f>Y21</x:f>
        <x:v>2687.2430684507012</x:v>
      </x:c>
      <x:c r="C754" t="n">
        <x:f>AA21</x:f>
        <x:v>1959.478663052429</x:v>
      </x:c>
      <x:c r="D754" t="n">
        <x:f>AC21</x:f>
        <x:v>4797.520252737128</x:v>
      </x:c>
      <x:c r="E754" t="n">
        <x:f>AE21</x:f>
        <x:v>4778.104420735111</x:v>
      </x:c>
    </x:row>
    <x:row r="755">
      <x:c r="A755" t="n">
        <x:f>I22</x:f>
        <x:v>-0.833</x:v>
      </x:c>
      <x:c r="B755" t="n">
        <x:f>Y22</x:f>
        <x:v>2686.8370816958704</x:v>
      </x:c>
      <x:c r="C755" t="n">
        <x:f>AA22</x:f>
        <x:v>1922.8302463603984</x:v>
      </x:c>
      <x:c r="D755" t="n">
        <x:f>AC22</x:f>
        <x:v>4700.389166127263</x:v>
      </x:c>
      <x:c r="E755" t="n">
        <x:f>AE22</x:f>
        <x:v>4679.967638378223</x:v>
      </x:c>
    </x:row>
    <x:row r="756">
      <x:c r="A756" t="n">
        <x:f>I23</x:f>
        <x:v>-0.825</x:v>
      </x:c>
      <x:c r="B756" t="n">
        <x:f>Y23</x:f>
        <x:v>2686.329056234708</x:v>
      </x:c>
      <x:c r="C756" t="n">
        <x:f>AA23</x:f>
        <x:v>1890.6642418919669</x:v>
      </x:c>
      <x:c r="D756" t="n">
        <x:f>AC23</x:f>
        <x:v>4614.846299685641</x:v>
      </x:c>
      <x:c r="E756" t="n">
        <x:f>AE23</x:f>
        <x:v>4593.5398931048585</x:v>
      </x:c>
    </x:row>
    <x:row r="757">
      <x:c r="A757" t="n">
        <x:f>I24</x:f>
        <x:v>-0.817</x:v>
      </x:c>
      <x:c r="B757" t="n">
        <x:f>Y24</x:f>
        <x:v>2685.975086049943</x:v>
      </x:c>
      <x:c r="C757" t="n">
        <x:f>AA24</x:f>
        <x:v>1858.6153385407672</x:v>
      </x:c>
      <x:c r="D757" t="n">
        <x:f>AC24</x:f>
        <x:v>4530.509339233609</x:v>
      </x:c>
      <x:c r="E757" t="n">
        <x:f>AE24</x:f>
        <x:v>4508.326593061924</x:v>
      </x:c>
    </x:row>
    <x:row r="758">
      <x:c r="A758" t="n">
        <x:f>I25</x:f>
        <x:v>-0.808</x:v>
      </x:c>
      <x:c r="B758" t="n">
        <x:f>Y25</x:f>
        <x:v>2685.6117027895602</x:v>
      </x:c>
      <x:c r="C758" t="n">
        <x:f>AA25</x:f>
        <x:v>1822.724543620418</x:v>
      </x:c>
      <x:c r="D758" t="n">
        <x:f>AC25</x:f>
        <x:v>4436.086416176702</x:v>
      </x:c>
      <x:c r="E758" t="n">
        <x:f>AE25</x:f>
        <x:v>4412.927995026562</x:v>
      </x:c>
    </x:row>
    <x:row r="759">
      <x:c r="A759" t="n">
        <x:f>I26</x:f>
        <x:v>-0.8</x:v>
      </x:c>
      <x:c r="B759" t="n">
        <x:f>Y26</x:f>
        <x:v>2685.2198059365082</x:v>
      </x:c>
      <x:c r="C759" t="n">
        <x:f>AA26</x:f>
        <x:v>1791.3103173149907</x:v>
      </x:c>
      <x:c r="D759" t="n">
        <x:f>AC26</x:f>
        <x:v>4353.3618800404865</x:v>
      </x:c>
      <x:c r="E759" t="n">
        <x:f>AE26</x:f>
        <x:v>4329.345265186219</x:v>
      </x:c>
    </x:row>
    <x:row r="760">
      <x:c r="A760" t="n">
        <x:f>I27</x:f>
        <x:v>-0.792</x:v>
      </x:c>
      <x:c r="B760" t="n">
        <x:f>Y27</x:f>
        <x:v>2684.9493444150958</x:v>
      </x:c>
      <x:c r="C760" t="n">
        <x:f>AA27</x:f>
        <x:v>1760.4310673656025</x:v>
      </x:c>
      <x:c r="D760" t="n">
        <x:f>AC27</x:f>
        <x:v>4271.599231277331</x:v>
      </x:c>
      <x:c r="E760" t="n">
        <x:f>AE27</x:f>
        <x:v>4246.732961959774</x:v>
      </x:c>
    </x:row>
    <x:row r="761">
      <x:c r="A761" t="n">
        <x:f>I28</x:f>
        <x:v>-0.783</x:v>
      </x:c>
      <x:c r="B761" t="n">
        <x:f>Y28</x:f>
        <x:v>2684.621726220223</x:v>
      </x:c>
      <x:c r="C761" t="n">
        <x:f>AA28</x:f>
        <x:v>1726.234115716435</x:v>
      </x:c>
      <x:c r="D761" t="n">
        <x:f>AC28</x:f>
        <x:v>4179.935267849889</x:v>
      </x:c>
      <x:c r="E761" t="n">
        <x:f>AE28</x:f>
        <x:v>4154.1233443224455</x:v>
      </x:c>
    </x:row>
    <x:row r="762">
      <x:c r="A762" t="n">
        <x:f>I29</x:f>
        <x:v>-0.775</x:v>
      </x:c>
      <x:c r="B762" t="n">
        <x:f>Y29</x:f>
        <x:v>2684.1567187076917</x:v>
      </x:c>
      <x:c r="C762" t="n">
        <x:f>AA29</x:f>
        <x:v>1695.8586735261722</x:v>
      </x:c>
      <x:c r="D762" t="n">
        <x:f>AC29</x:f>
        <x:v>4099.965897790397</x:v>
      </x:c>
      <x:c r="E762" t="n">
        <x:f>AE29</x:f>
        <x:v>4073.322465686445</x:v>
      </x:c>
    </x:row>
    <x:row r="763">
      <x:c r="A763" t="n">
        <x:f>I30</x:f>
        <x:v>-0.767</x:v>
      </x:c>
      <x:c r="B763" t="n">
        <x:f>Y30</x:f>
        <x:v>2683.845136650238</x:v>
      </x:c>
      <x:c r="C763" t="n">
        <x:f>AA30</x:f>
        <x:v>1665.8212925006906</x:v>
      </x:c>
      <x:c r="D763" t="n">
        <x:f>AC30</x:f>
        <x:v>4020.642850016848</x:v>
      </x:c>
      <x:c r="E763" t="n">
        <x:f>AE30</x:f>
        <x:v>3993.1764485772233</x:v>
      </x:c>
    </x:row>
    <x:row r="764">
      <x:c r="A764" t="n">
        <x:f>I31</x:f>
        <x:v>-0.758</x:v>
      </x:c>
      <x:c r="B764" t="n">
        <x:f>Y31</x:f>
        <x:v>2683.5136176627734</x:v>
      </x:c>
      <x:c r="C764" t="n">
        <x:f>AA31</x:f>
        <x:v>1632.376799481638</x:v>
      </x:c>
      <x:c r="D764" t="n">
        <x:f>AC31</x:f>
        <x:v>3932.122421247776</x:v>
      </x:c>
      <x:c r="E764" t="n">
        <x:f>AE31</x:f>
        <x:v>3903.7403863668314</x:v>
      </x:c>
    </x:row>
    <x:row r="765">
      <x:c r="A765" t="n">
        <x:f>I32</x:f>
        <x:v>-0.75</x:v>
      </x:c>
      <x:c r="B765" t="n">
        <x:f>Y32</x:f>
        <x:v>2683.212269613844</x:v>
      </x:c>
      <x:c r="C765" t="n">
        <x:f>AA32</x:f>
        <x:v>1602.8094295360397</x:v>
      </x:c>
      <x:c r="D765" t="n">
        <x:f>AC32</x:f>
        <x:v>3854.83280751004</x:v>
      </x:c>
      <x:c r="E765" t="n">
        <x:f>AE32</x:f>
        <x:v>3825.645949180202</x:v>
      </x:c>
    </x:row>
    <x:row r="766">
      <x:c r="A766" t="n">
        <x:f>I33</x:f>
        <x:v>-0.742</x:v>
      </x:c>
      <x:c r="B766" t="n">
        <x:f>Y33</x:f>
        <x:v>2682.9899653906477</x:v>
      </x:c>
      <x:c r="C766" t="n">
        <x:f>AA33</x:f>
        <x:v>1573.7599919685726</x:v>
      </x:c>
      <x:c r="D766" t="n">
        <x:f>AC33</x:f>
        <x:v>3777.7390062611753</x:v>
      </x:c>
      <x:c r="E766" t="n">
        <x:f>AE33</x:f>
        <x:v>3747.7558637232805</x:v>
      </x:c>
    </x:row>
    <x:row r="767">
      <x:c r="A767" t="n">
        <x:f>I34</x:f>
        <x:v>-0.733</x:v>
      </x:c>
      <x:c r="B767" t="n">
        <x:f>Y34</x:f>
        <x:v>2682.6790087524896</x:v>
      </x:c>
      <x:c r="C767" t="n">
        <x:f>AA34</x:f>
        <x:v>1541.9632012793968</x:v>
      </x:c>
      <x:c r="D767" t="n">
        <x:f>AC34</x:f>
        <x:v>3692.4898473144344</x:v>
      </x:c>
      <x:c r="E767" t="n">
        <x:f>AE34</x:f>
        <x:v>3661.621092103788</x:v>
      </x:c>
    </x:row>
    <x:row r="768">
      <x:c r="A768" t="n">
        <x:f>I35</x:f>
        <x:v>-0.725</x:v>
      </x:c>
      <x:c r="B768" t="n">
        <x:f>Y35</x:f>
        <x:v>2682.3886623098647</x:v>
      </x:c>
      <x:c r="C768" t="n">
        <x:f>AA35</x:f>
        <x:v>1513.653103462361</x:v>
      </x:c>
      <x:c r="D768" t="n">
        <x:f>AC35</x:f>
        <x:v>3617.6794807622778</x:v>
      </x:c>
      <x:c r="E768" t="n">
        <x:f>AE35</x:f>
        <x:v>3586.032587230352</x:v>
      </x:c>
    </x:row>
    <x:row r="769">
      <x:c r="A769" t="n">
        <x:f>I36</x:f>
        <x:v>-0.717</x:v>
      </x:c>
      <x:c r="B769" t="n">
        <x:f>Y36</x:f>
        <x:v>2682.203202076833</x:v>
      </x:c>
      <x:c r="C769" t="n">
        <x:f>AA36</x:f>
        <x:v>1485.0967429511395</x:v>
      </x:c>
      <x:c r="D769" t="n">
        <x:f>AC36</x:f>
        <x:v>3542.9615560105917</x:v>
      </x:c>
      <x:c r="E769" t="n">
        <x:f>AE36</x:f>
        <x:v>3510.545063398227</x:v>
      </x:c>
    </x:row>
    <x:row r="770">
      <x:c r="A770" t="n">
        <x:f>I37</x:f>
        <x:v>-0.708</x:v>
      </x:c>
      <x:c r="B770" t="n">
        <x:f>Y37</x:f>
        <x:v>2681.7900212837867</x:v>
      </x:c>
      <x:c r="C770" t="n">
        <x:f>AA37</x:f>
        <x:v>1453.6204263071954</x:v>
      </x:c>
      <x:c r="D770" t="n">
        <x:f>AC37</x:f>
        <x:v>3460.5582527761903</x:v>
      </x:c>
      <x:c r="E770" t="n">
        <x:f>AE37</x:f>
        <x:v>3427.2861682596404</x:v>
      </x:c>
    </x:row>
    <x:row r="771">
      <x:c r="A771" t="n">
        <x:f>I38</x:f>
        <x:v>-0.7</x:v>
      </x:c>
      <x:c r="B771" t="n">
        <x:f>Y38</x:f>
        <x:v>2681.646456252919</x:v>
      </x:c>
      <x:c r="C771" t="n">
        <x:f>AA38</x:f>
        <x:v>1426.4451757847892</x:v>
      </x:c>
      <x:c r="D771" t="n">
        <x:f>AC38</x:f>
        <x:v>3387.9425003472197</x:v>
      </x:c>
      <x:c r="E771" t="n">
        <x:f>AE38</x:f>
        <x:v>3353.9189626370085</x:v>
      </x:c>
    </x:row>
    <x:row r="772">
      <x:c r="A772" t="n">
        <x:f>I39</x:f>
        <x:v>-0.692</x:v>
      </x:c>
      <x:c r="B772" t="n">
        <x:f>Y39</x:f>
        <x:v>2681.401843892318</x:v>
      </x:c>
      <x:c r="C772" t="n">
        <x:f>AA39</x:f>
        <x:v>1399.6223178847788</x:v>
      </x:c>
      <x:c r="D772" t="n">
        <x:f>AC39</x:f>
        <x:v>3315.7545835019173</x:v>
      </x:c>
      <x:c r="E772" t="n">
        <x:f>AE39</x:f>
        <x:v>3280.9881318388802</x:v>
      </x:c>
    </x:row>
    <x:row r="773">
      <x:c r="A773" t="n">
        <x:f>I40</x:f>
        <x:v>-0.683</x:v>
      </x:c>
      <x:c r="B773" t="n">
        <x:f>Y40</x:f>
        <x:v>2681.004627160038</x:v>
      </x:c>
      <x:c r="C773" t="n">
        <x:f>AA40</x:f>
        <x:v>1369.53463092272</x:v>
      </x:c>
      <x:c r="D773" t="n">
        <x:f>AC40</x:f>
        <x:v>3236.461382160853</x:v>
      </x:c>
      <x:c r="E773" t="n">
        <x:f>AE40</x:f>
        <x:v>3200.8693593622015</x:v>
      </x:c>
    </x:row>
    <x:row r="774">
      <x:c r="A774" t="n">
        <x:f>I41</x:f>
        <x:v>-0.675</x:v>
      </x:c>
      <x:c r="B774" t="n">
        <x:f>Y41</x:f>
        <x:v>2680.7715287985948</x:v>
      </x:c>
      <x:c r="C774" t="n">
        <x:f>AA41</x:f>
        <x:v>1342.8567868048142</x:v>
      </x:c>
      <x:c r="D774" t="n">
        <x:f>AC41</x:f>
        <x:v>3166.259400612072</x:v>
      </x:c>
      <x:c r="E774" t="n">
        <x:f>AE41</x:f>
        <x:v>3129.9426097473734</x:v>
      </x:c>
    </x:row>
    <x:row r="775">
      <x:c r="A775" t="n">
        <x:f>I42</x:f>
        <x:v>-0.667</x:v>
      </x:c>
      <x:c r="B775" t="n">
        <x:f>Y42</x:f>
        <x:v>2680.6232576705215</x:v>
      </x:c>
      <x:c r="C775" t="n">
        <x:f>AA42</x:f>
        <x:v>1316.381263410234</x:v>
      </x:c>
      <x:c r="D775" t="n">
        <x:f>AC42</x:f>
        <x:v>3096.909291927256</x:v>
      </x:c>
      <x:c r="E775" t="n">
        <x:f>AE42</x:f>
        <x:v>3059.8762722373476</x:v>
      </x:c>
    </x:row>
    <x:row r="776">
      <x:c r="A776" t="n">
        <x:f>I43</x:f>
        <x:v>-0.658</x:v>
      </x:c>
      <x:c r="B776" t="n">
        <x:f>Y43</x:f>
        <x:v>2680.3194831047786</x:v>
      </x:c>
      <x:c r="C776" t="n">
        <x:f>AA43</x:f>
        <x:v>1287.3992463636328</x:v>
      </x:c>
      <x:c r="D776" t="n">
        <x:f>AC43</x:f>
        <x:v>3020.7723219878835</x:v>
      </x:c>
      <x:c r="E776" t="n">
        <x:f>AE43</x:f>
        <x:v>2982.9437519309276</x:v>
      </x:c>
    </x:row>
    <x:row r="777">
      <x:c r="A777" t="n">
        <x:f>I44</x:f>
        <x:v>-0.65</x:v>
      </x:c>
      <x:c r="B777" t="n">
        <x:f>Y44</x:f>
        <x:v>2680.000843792842</x:v>
      </x:c>
      <x:c r="C777" t="n">
        <x:f>AA44</x:f>
        <x:v>1262.192249150471</x:v>
      </x:c>
      <x:c r="D777" t="n">
        <x:f>AC44</x:f>
        <x:v>2953.0454000908217</x:v>
      </x:c>
      <x:c r="E777" t="n">
        <x:f>AE44</x:f>
        <x:v>2914.518747095435</x:v>
      </x:c>
    </x:row>
    <x:row r="778">
      <x:c r="A778" t="n">
        <x:f>I45</x:f>
        <x:v>-0.642</x:v>
      </x:c>
      <x:c r="B778" t="n">
        <x:f>Y45</x:f>
        <x:v>2679.7722655199436</x:v>
      </x:c>
      <x:c r="C778" t="n">
        <x:f>AA45</x:f>
        <x:v>1237.2988669437996</x:v>
      </x:c>
      <x:c r="D778" t="n">
        <x:f>AC45</x:f>
        <x:v>2886.8093182607818</x:v>
      </x:c>
      <x:c r="E778" t="n">
        <x:f>AE45</x:f>
        <x:v>2847.5931215678015</x:v>
      </x:c>
    </x:row>
    <x:row r="779">
      <x:c r="A779" t="n">
        <x:f>I46</x:f>
        <x:v>-0.633</x:v>
      </x:c>
      <x:c r="B779" t="n">
        <x:f>Y46</x:f>
        <x:v>2679.480044723954</x:v>
      </x:c>
      <x:c r="C779" t="n">
        <x:f>AA46</x:f>
        <x:v>1209.275771725714</x:v>
      </x:c>
      <x:c r="D779" t="n">
        <x:f>AC46</x:f>
        <x:v>2813.212575155435</x:v>
      </x:c>
      <x:c r="E779" t="n">
        <x:f>AE46</x:f>
        <x:v>2773.230848863975</x:v>
      </x:c>
    </x:row>
    <x:row r="780">
      <x:c r="A780" t="n">
        <x:f>I47</x:f>
        <x:v>-0.625</x:v>
      </x:c>
      <x:c r="B780" t="n">
        <x:f>Y47</x:f>
        <x:v>2679.061348579185</x:v>
      </x:c>
      <x:c r="C780" t="n">
        <x:f>AA47</x:f>
        <x:v>1184.3076782731637</x:v>
      </x:c>
      <x:c r="D780" t="n">
        <x:f>AC47</x:f>
        <x:v>2747.97840059239</x:v>
      </x:c>
      <x:c r="E780" t="n">
        <x:f>AE47</x:f>
        <x:v>2707.325276490115</x:v>
      </x:c>
    </x:row>
    <x:row r="781">
      <x:c r="A781" t="n">
        <x:f>I48</x:f>
        <x:v>-0.617</x:v>
      </x:c>
      <x:c r="B781" t="n">
        <x:f>Y48</x:f>
        <x:v>2678.852471688513</x:v>
      </x:c>
      <x:c r="C781" t="n">
        <x:f>AA48</x:f>
        <x:v>1160.1745172754654</x:v>
      </x:c>
      <x:c r="D781" t="n">
        <x:f>AC48</x:f>
        <x:v>2684.529948367152</x:v>
      </x:c>
      <x:c r="E781" t="n">
        <x:f>AE48</x:f>
        <x:v>2643.2139656948993</x:v>
      </x:c>
    </x:row>
    <x:row r="782">
      <x:c r="A782" t="n">
        <x:f>I49</x:f>
        <x:v>-0.608</x:v>
      </x:c>
      <x:c r="B782" t="n">
        <x:f>Y49</x:f>
        <x:v>2678.5467573407996</x:v>
      </x:c>
      <x:c r="C782" t="n">
        <x:f>AA49</x:f>
        <x:v>1133.8318204369273</x:v>
      </x:c>
      <x:c r="D782" t="n">
        <x:f>AC49</x:f>
        <x:v>2613.1887828674326</x:v>
      </x:c>
      <x:c r="E782" t="n">
        <x:f>AE49</x:f>
        <x:v>2571.137291365268</x:v>
      </x:c>
    </x:row>
    <x:row r="783">
      <x:c r="A783" t="n">
        <x:f>I50</x:f>
        <x:v>-0.6</x:v>
      </x:c>
      <x:c r="B783" t="n">
        <x:f>Y50</x:f>
        <x:v>2678.134662495121</x:v>
      </x:c>
      <x:c r="C783" t="n">
        <x:f>AA50</x:f>
        <x:v>1110.4114575267997</x:v>
      </x:c>
      <x:c r="D783" t="n">
        <x:f>AC50</x:f>
        <x:v>2550.8882906400845</x:v>
      </x:c>
      <x:c r="E783" t="n">
        <x:f>AE50</x:f>
        <x:v>2508.192086454721</x:v>
      </x:c>
    </x:row>
    <x:row r="784">
      <x:c r="A784" t="n">
        <x:f>I51</x:f>
        <x:v>-0.592</x:v>
      </x:c>
      <x:c r="B784" t="n">
        <x:f>Y51</x:f>
        <x:v>2677.8312038609492</x:v>
      </x:c>
      <x:c r="C784" t="n">
        <x:f>AA51</x:f>
        <x:v>1086.8427303999088</x:v>
      </x:c>
      <x:c r="D784" t="n">
        <x:f>AC51</x:f>
        <x:v>2489.739262947348</x:v>
      </x:c>
      <x:c r="E784" t="n">
        <x:f>AE51</x:f>
        <x:v>2446.4068853196227</x:v>
      </x:c>
    </x:row>
    <x:row r="785">
      <x:c r="A785" t="n">
        <x:f>I52</x:f>
        <x:v>-0.583</x:v>
      </x:c>
      <x:c r="B785" t="n">
        <x:f>Y52</x:f>
        <x:v>2677.591373027257</x:v>
      </x:c>
      <x:c r="C785" t="n">
        <x:f>AA52</x:f>
        <x:v>1061.12543171678</x:v>
      </x:c>
      <x:c r="D785" t="n">
        <x:f>AC52</x:f>
        <x:v>2421.203933680219</x:v>
      </x:c>
      <x:c r="E785" t="n">
        <x:f>AE52</x:f>
        <x:v>2377.1660679911497</x:v>
      </x:c>
    </x:row>
    <x:row r="786">
      <x:c r="A786" t="n">
        <x:f>I53</x:f>
        <x:v>-0.575</x:v>
      </x:c>
      <x:c r="B786" t="n">
        <x:f>Y53</x:f>
        <x:v>2677.4013084133485</x:v>
      </x:c>
      <x:c r="C786" t="n">
        <x:f>AA53</x:f>
        <x:v>1038.5909879836213</x:v>
      </x:c>
      <x:c r="D786" t="n">
        <x:f>AC53</x:f>
        <x:v>2361.7787973155064</x:v>
      </x:c>
      <x:c r="E786" t="n">
        <x:f>AE53</x:f>
        <x:v>2317.1229040708536</x:v>
      </x:c>
    </x:row>
    <x:row r="787">
      <x:c r="A787" t="n">
        <x:f>I54</x:f>
        <x:v>-0.567</x:v>
      </x:c>
      <x:c r="B787" t="n">
        <x:f>Y54</x:f>
        <x:v>2677.108815515032</x:v>
      </x:c>
      <x:c r="C787" t="n">
        <x:f>AA54</x:f>
        <x:v>1016.1344402669544</x:v>
      </x:c>
      <x:c r="D787" t="n">
        <x:f>AC54</x:f>
        <x:v>2303.344286876124</x:v>
      </x:c>
      <x:c r="E787" t="n">
        <x:f>AE54</x:f>
        <x:v>2258.078905316726</x:v>
      </x:c>
    </x:row>
    <x:row r="788">
      <x:c r="A788" t="n">
        <x:f>I55</x:f>
        <x:v>-0.558</x:v>
      </x:c>
      <x:c r="B788" t="n">
        <x:f>Y55</x:f>
        <x:v>2676.694759763543</x:v>
      </x:c>
      <x:c r="C788" t="n">
        <x:f>AA55</x:f>
        <x:v>991.5333258162572</x:v>
      </x:c>
      <x:c r="D788" t="n">
        <x:f>AC55</x:f>
        <x:v>2237.6242728070965</x:v>
      </x:c>
      <x:c r="E788" t="n">
        <x:f>AE55</x:f>
        <x:v>2191.683423954921</x:v>
      </x:c>
    </x:row>
    <x:row r="789">
      <x:c r="A789" t="n">
        <x:f>I56</x:f>
        <x:v>-0.55</x:v>
      </x:c>
      <x:c r="B789" t="n">
        <x:f>Y56</x:f>
        <x:v>2676.499053404357</x:v>
      </x:c>
      <x:c r="C789" t="n">
        <x:f>AA56</x:f>
        <x:v>970.1685104366036</x:v>
      </x:c>
      <x:c r="D789" t="n">
        <x:f>AC56</x:f>
        <x:v>2180.866229244237</x:v>
      </x:c>
      <x:c r="E789" t="n">
        <x:f>AE56</x:f>
        <x:v>2134.334037964095</x:v>
      </x:c>
    </x:row>
    <x:row r="790">
      <x:c r="A790" t="n">
        <x:f>I57</x:f>
        <x:v>-0.542</x:v>
      </x:c>
      <x:c r="B790" t="n">
        <x:f>Y57</x:f>
        <x:v>2676.2200621956567</x:v>
      </x:c>
      <x:c r="C790" t="n">
        <x:f>AA57</x:f>
        <x:v>948.7608368090656</x:v>
      </x:c>
      <x:c r="D790" t="n">
        <x:f>AC57</x:f>
        <x:v>2124.696136137851</x:v>
      </x:c>
      <x:c r="E790" t="n">
        <x:f>AE57</x:f>
        <x:v>2077.5811416705787</x:v>
      </x:c>
    </x:row>
    <x:row r="791">
      <x:c r="A791" t="n">
        <x:f>I58</x:f>
        <x:v>-0.533</x:v>
      </x:c>
      <x:c r="B791" t="n">
        <x:f>Y58</x:f>
        <x:v>2676.1391391812404</x:v>
      </x:c>
      <x:c r="C791" t="n">
        <x:f>AA58</x:f>
        <x:v>924.7601899779155</x:v>
      </x:c>
      <x:c r="D791" t="n">
        <x:f>AC58</x:f>
        <x:v>2061.9306805806204</x:v>
      </x:c>
      <x:c r="E791" t="n">
        <x:f>AE58</x:f>
        <x:v>2014.1702395891398</x:v>
      </x:c>
    </x:row>
    <x:row r="792">
      <x:c r="A792" t="n">
        <x:f>I59</x:f>
        <x:v>-0.525</x:v>
      </x:c>
      <x:c r="B792" t="n">
        <x:f>Y59</x:f>
        <x:v>2675.80583486783</x:v>
      </x:c>
      <x:c r="C792" t="n">
        <x:f>AA59</x:f>
        <x:v>904.2533098821133</x:v>
      </x:c>
      <x:c r="D792" t="n">
        <x:f>AC59</x:f>
        <x:v>2007.8337102011103</x:v>
      </x:c>
      <x:c r="E792" t="n">
        <x:f>AE59</x:f>
        <x:v>1959.5086119092775</x:v>
      </x:c>
    </x:row>
    <x:row r="793">
      <x:c r="A793" t="n">
        <x:f>I60</x:f>
        <x:v>-0.517</x:v>
      </x:c>
      <x:c r="B793" t="n">
        <x:f>Y60</x:f>
        <x:v>2675.70219462797</x:v>
      </x:c>
      <x:c r="C793" t="n">
        <x:f>AA60</x:f>
        <x:v>884.1203916379084</x:v>
      </x:c>
      <x:c r="D793" t="n">
        <x:f>AC60</x:f>
        <x:v>1953.830454243079</x:v>
      </x:c>
      <x:c r="E793" t="n">
        <x:f>AE60</x:f>
        <x:v>1904.9492378917325</x:v>
      </x:c>
    </x:row>
    <x:row r="794">
      <x:c r="A794" t="n">
        <x:f>I61</x:f>
        <x:v>-0.508</x:v>
      </x:c>
      <x:c r="B794" t="n">
        <x:f>Y61</x:f>
        <x:v>2675.4695261018783</x:v>
      </x:c>
      <x:c r="C794" t="n">
        <x:f>AA61</x:f>
        <x:v>861.7139405611684</x:v>
      </x:c>
      <x:c r="D794" t="n">
        <x:f>AC61</x:f>
        <x:v>1894.3114493737276</x:v>
      </x:c>
      <x:c r="E794" t="n">
        <x:f>AE61</x:f>
        <x:v>1844.81480726674</x:v>
      </x:c>
    </x:row>
    <x:row r="795">
      <x:c r="A795" t="n">
        <x:f>I62</x:f>
        <x:v>-0.5</x:v>
      </x:c>
      <x:c r="B795" t="n">
        <x:f>Y62</x:f>
        <x:v>2675.3009110978614</x:v>
      </x:c>
      <x:c r="C795" t="n">
        <x:f>AA62</x:f>
        <x:v>842.0910391477134</x:v>
      </x:c>
      <x:c r="D795" t="n">
        <x:f>AC62</x:f>
        <x:v>1842.8570097666186</x:v>
      </x:c>
      <x:c r="E795" t="n">
        <x:f>AE62</x:f>
        <x:v>1792.8223954868956</x:v>
      </x:c>
    </x:row>
    <x:row r="796">
      <x:c r="A796" t="n">
        <x:f>I63</x:f>
        <x:v>-0.492</x:v>
      </x:c>
      <x:c r="B796" t="n">
        <x:f>Y63</x:f>
        <x:v>2675.1900720308854</x:v>
      </x:c>
      <x:c r="C796" t="n">
        <x:f>AA63</x:f>
        <x:v>822.5520747808995</x:v>
      </x:c>
      <x:c r="D796" t="n">
        <x:f>AC63</x:f>
        <x:v>1791.3583570829956</x:v>
      </x:c>
      <x:c r="E796" t="n">
        <x:f>AE63</x:f>
        <x:v>1740.7943098713745</x:v>
      </x:c>
    </x:row>
    <x:row r="797">
      <x:c r="A797" t="n">
        <x:f>I64</x:f>
        <x:v>-0.483</x:v>
      </x:c>
      <x:c r="B797" t="n">
        <x:f>Y64</x:f>
        <x:v>2674.966604122772</x:v>
      </x:c>
      <x:c r="C797" t="n">
        <x:f>AA64</x:f>
        <x:v>800.788445167925</x:v>
      </x:c>
      <x:c r="D797" t="n">
        <x:f>AC64</x:f>
        <x:v>1735.3520404808078</x:v>
      </x:c>
      <x:c r="E797" t="n">
        <x:f>AE64</x:f>
        <x:v>1684.2025882821138</x:v>
      </x:c>
    </x:row>
    <x:row r="798">
      <x:c r="A798" t="n">
        <x:f>I65</x:f>
        <x:v>-0.475</x:v>
      </x:c>
      <x:c r="B798" t="n">
        <x:f>Y65</x:f>
        <x:v>2674.73193988436</x:v>
      </x:c>
      <x:c r="C798" t="n">
        <x:f>AA65</x:f>
        <x:v>782.182758595004</x:v>
      </x:c>
      <x:c r="D798" t="n">
        <x:f>AC65</x:f>
        <x:v>1686.2442602676774</x:v>
      </x:c>
      <x:c r="E798" t="n">
        <x:f>AE65</x:f>
        <x:v>1634.5835210238636</x:v>
      </x:c>
    </x:row>
    <x:row r="799">
      <x:c r="A799" t="n">
        <x:f>I66</x:f>
        <x:v>-0.467</x:v>
      </x:c>
      <x:c r="B799" t="n">
        <x:f>Y66</x:f>
        <x:v>2674.723922285471</x:v>
      </x:c>
      <x:c r="C799" t="n">
        <x:f>AA66</x:f>
        <x:v>764.2997508213764</x:v>
      </x:c>
      <x:c r="D799" t="n">
        <x:f>AC66</x:f>
        <x:v>1637.3177434988154</x:v>
      </x:c>
      <x:c r="E799" t="n">
        <x:f>AE66</x:f>
        <x:v>1585.154256450719</x:v>
      </x:c>
    </x:row>
    <x:row r="800">
      <x:c r="A800" t="n">
        <x:f>I67</x:f>
        <x:v>-0.458</x:v>
      </x:c>
      <x:c r="B800" t="n">
        <x:f>Y67</x:f>
        <x:v>2674.5566383706246</x:v>
      </x:c>
      <x:c r="C800" t="n">
        <x:f>AA67</x:f>
        <x:v>744.2996706468294</x:v>
      </x:c>
      <x:c r="D800" t="n">
        <x:f>AC67</x:f>
        <x:v>1584.1474784934792</x:v>
      </x:c>
      <x:c r="E800" t="n">
        <x:f>AE67</x:f>
        <x:v>1531.4286072268776</x:v>
      </x:c>
    </x:row>
    <x:row r="801">
      <x:c r="A801" t="n">
        <x:f>I68</x:f>
        <x:v>-0.45</x:v>
      </x:c>
      <x:c r="B801" t="n">
        <x:f>Y68</x:f>
        <x:v>2674.381298406674</x:v>
      </x:c>
      <x:c r="C801" t="n">
        <x:f>AA68</x:f>
        <x:v>726.3902763702735</x:v>
      </x:c>
      <x:c r="D801" t="n">
        <x:f>AC68</x:f>
        <x:v>1537.2156175815205</x:v>
      </x:c>
      <x:c r="E801" t="n">
        <x:f>AE68</x:f>
        <x:v>1484.0121443974156</x:v>
      </x:c>
    </x:row>
    <x:row r="802">
      <x:c r="A802" t="n">
        <x:f>I69</x:f>
        <x:v>-0.442</x:v>
      </x:c>
      <x:c r="B802" t="n">
        <x:f>Y69</x:f>
        <x:v>2674.3335334564645</x:v>
      </x:c>
      <x:c r="C802" t="n">
        <x:f>AA69</x:f>
        <x:v>708.5965223973278</x:v>
      </x:c>
      <x:c r="D802" t="n">
        <x:f>AC69</x:f>
        <x:v>1491.014051093174</x:v>
      </x:c>
      <x:c r="E802" t="n">
        <x:f>AE69</x:f>
        <x:v>1437.3345152324018</x:v>
      </x:c>
    </x:row>
    <x:row r="803">
      <x:c r="A803" t="n">
        <x:f>I70</x:f>
        <x:v>-0.433</x:v>
      </x:c>
      <x:c r="B803" t="n">
        <x:f>Y70</x:f>
        <x:v>2674.121602551275</x:v>
      </x:c>
      <x:c r="C803" t="n">
        <x:f>AA70</x:f>
        <x:v>689.6044707976647</x:v>
      </x:c>
      <x:c r="D803" t="n">
        <x:f>AC70</x:f>
        <x:v>1440.7064420089464</x:v>
      </x:c>
      <x:c r="E803" t="n">
        <x:f>AE70</x:f>
        <x:v>1386.501542698237</x:v>
      </x:c>
    </x:row>
    <x:row r="804">
      <x:c r="A804" t="n">
        <x:f>I71</x:f>
        <x:v>-0.425</x:v>
      </x:c>
      <x:c r="B804" t="n">
        <x:f>Y71</x:f>
        <x:v>2674.028698460582</x:v>
      </x:c>
      <x:c r="C804" t="n">
        <x:f>AA71</x:f>
        <x:v>673.529430210656</x:v>
      </x:c>
      <x:c r="D804" t="n">
        <x:f>AC71</x:f>
        <x:v>1395.9069815926184</x:v>
      </x:c>
      <x:c r="E804" t="n">
        <x:f>AE71</x:f>
        <x:v>1341.2441654920215</x:v>
      </x:c>
    </x:row>
    <x:row r="805">
      <x:c r="A805" t="n">
        <x:f>I72</x:f>
        <x:v>-0.417</x:v>
      </x:c>
      <x:c r="B805" t="n">
        <x:f>Y72</x:f>
        <x:v>2673.836415166981</x:v>
      </x:c>
      <x:c r="C805" t="n">
        <x:f>AA72</x:f>
        <x:v>657.1579289089054</x:v>
      </x:c>
      <x:c r="D805" t="n">
        <x:f>AC72</x:f>
        <x:v>1352.5285718842533</x:v>
      </x:c>
      <x:c r="E805" t="n">
        <x:f>AE72</x:f>
        <x:v>1297.4163782346052</x:v>
      </x:c>
    </x:row>
    <x:row r="806">
      <x:c r="A806" t="n">
        <x:f>I73</x:f>
        <x:v>-0.408</x:v>
      </x:c>
      <x:c r="B806" t="n">
        <x:f>Y73</x:f>
        <x:v>2673.7029376385944</x:v>
      </x:c>
      <x:c r="C806" t="n">
        <x:f>AA73</x:f>
        <x:v>638.7033528513318</x:v>
      </x:c>
      <x:c r="D806" t="n">
        <x:f>AC73</x:f>
        <x:v>1304.9764199784206</x:v>
      </x:c>
      <x:c r="E806" t="n">
        <x:f>AE73</x:f>
        <x:v>1249.3688836474032</x:v>
      </x:c>
    </x:row>
    <x:row r="807">
      <x:c r="A807" t="n">
        <x:f>I74</x:f>
        <x:v>-0.4</x:v>
      </x:c>
      <x:c r="B807" t="n">
        <x:f>Y74</x:f>
        <x:v>2673.5261534625206</x:v>
      </x:c>
      <x:c r="C807" t="n">
        <x:f>AA74</x:f>
        <x:v>622.9558192945855</x:v>
      </x:c>
      <x:c r="D807" t="n">
        <x:f>AC74</x:f>
        <x:v>1262.944790521118</x:v>
      </x:c>
      <x:c r="E807" t="n">
        <x:f>AE74</x:f>
        <x:v>1206.9060225278283</x:v>
      </x:c>
    </x:row>
    <x:row r="808">
      <x:c r="A808" t="n">
        <x:f>I75</x:f>
        <x:v>-0.392</x:v>
      </x:c>
      <x:c r="B808" t="n">
        <x:f>Y75</x:f>
        <x:v>2673.5228751299887</x:v>
      </x:c>
      <x:c r="C808" t="n">
        <x:f>AA75</x:f>
        <x:v>607.6984165072893</x:v>
      </x:c>
      <x:c r="D808" t="n">
        <x:f>AC75</x:f>
        <x:v>1222.5976275941218</x:v>
      </x:c>
      <x:c r="E808" t="n">
        <x:f>AE75</x:f>
        <x:v>1166.1361671793973</x:v>
      </x:c>
    </x:row>
    <x:row r="809">
      <x:c r="A809" t="n">
        <x:f>I76</x:f>
        <x:v>-0.383</x:v>
      </x:c>
      <x:c r="B809" t="n">
        <x:f>Y76</x:f>
        <x:v>2673.292108029348</x:v>
      </x:c>
      <x:c r="C809" t="n">
        <x:f>AA76</x:f>
        <x:v>590.6619711076781</x:v>
      </x:c>
      <x:c r="D809" t="n">
        <x:f>AC76</x:f>
        <x:v>1177.579756144795</x:v>
      </x:c>
      <x:c r="E809" t="n">
        <x:f>AE76</x:f>
        <x:v>1120.6529738172692</x:v>
      </x:c>
    </x:row>
    <x:row r="810">
      <x:c r="A810" t="n">
        <x:f>I77</x:f>
        <x:v>-0.375</x:v>
      </x:c>
      <x:c r="B810" t="n">
        <x:f>Y77</x:f>
        <x:v>2673.18796223142</x:v>
      </x:c>
      <x:c r="C810" t="n">
        <x:f>AA77</x:f>
        <x:v>576.2225881312249</x:v>
      </x:c>
      <x:c r="D810" t="n">
        <x:f>AC77</x:f>
        <x:v>1138.4256657523622</x:v>
      </x:c>
      <x:c r="E810" t="n">
        <x:f>AE77</x:f>
        <x:v>1081.0943368901799</x:v>
      </x:c>
    </x:row>
    <x:row r="811">
      <x:c r="A811" t="n">
        <x:f>I78</x:f>
        <x:v>-0.367</x:v>
      </x:c>
      <x:c r="B811" t="n">
        <x:f>Y78</x:f>
        <x:v>2673.1305400369843</x:v>
      </x:c>
      <x:c r="C811" t="n">
        <x:f>AA78</x:f>
        <x:v>561.8222462323213</x:v>
      </x:c>
      <x:c r="D811" t="n">
        <x:f>AC78</x:f>
        <x:v>1100.5896963997259</x:v>
      </x:c>
      <x:c r="E811" t="n">
        <x:f>AE78</x:f>
        <x:v>1042.862360243724</x:v>
      </x:c>
    </x:row>
    <x:row r="812">
      <x:c r="A812" t="n">
        <x:f>I79</x:f>
        <x:v>-0.358</x:v>
      </x:c>
      <x:c r="B812" t="n">
        <x:f>Y79</x:f>
        <x:v>2672.9477639052798</x:v>
      </x:c>
      <x:c r="C812" t="n">
        <x:f>AA79</x:f>
        <x:v>545.4683845610028</x:v>
      </x:c>
      <x:c r="D812" t="n">
        <x:f>AC79</x:f>
        <x:v>1058.3002345586074</x:v>
      </x:c>
      <x:c r="E812" t="n">
        <x:f>AE79</x:f>
        <x:v>1000.1375972583725</x:v>
      </x:c>
    </x:row>
    <x:row r="813">
      <x:c r="A813" t="n">
        <x:f>I80</x:f>
        <x:v>-0.35</x:v>
      </x:c>
      <x:c r="B813" t="n">
        <x:f>Y80</x:f>
        <x:v>2672.7315331589957</x:v>
      </x:c>
      <x:c r="C813" t="n">
        <x:f>AA80</x:f>
        <x:v>531.4420597563163</x:v>
      </x:c>
      <x:c r="D813" t="n">
        <x:f>AC80</x:f>
        <x:v>1021.9153193332302</x:v>
      </x:c>
      <x:c r="E813" t="n">
        <x:f>AE80</x:f>
        <x:v>963.3748206259548</x:v>
      </x:c>
    </x:row>
    <x:row r="814">
      <x:c r="A814" t="n">
        <x:f>I81</x:f>
        <x:v>-0.342</x:v>
      </x:c>
      <x:c r="B814" t="n">
        <x:f>Y81</x:f>
        <x:v>2672.6976301058958</x:v>
      </x:c>
      <x:c r="C814" t="n">
        <x:f>AA81</x:f>
        <x:v>518.30702957058</x:v>
      </x:c>
      <x:c r="D814" t="n">
        <x:f>AC81</x:f>
        <x:v>986.6455688287625</x:v>
      </x:c>
      <x:c r="E814" t="n">
        <x:f>AE81</x:f>
        <x:v>927.7357479552833</x:v>
      </x:c>
    </x:row>
    <x:row r="815">
      <x:c r="A815" t="n">
        <x:f>I82</x:f>
        <x:v>-0.333</x:v>
      </x:c>
      <x:c r="B815" t="n">
        <x:f>Y82</x:f>
        <x:v>2672.4754623052013</x:v>
      </x:c>
      <x:c r="C815" t="n">
        <x:f>AA82</x:f>
        <x:v>503.5300716509127</x:v>
      </x:c>
      <x:c r="D815" t="n">
        <x:f>AC82</x:f>
        <x:v>946.9302890193869</x:v>
      </x:c>
      <x:c r="E815" t="n">
        <x:f>AE82</x:f>
        <x:v>887.615187770242</x:v>
      </x:c>
    </x:row>
    <x:row r="816">
      <x:c r="A816" t="n">
        <x:f>I83</x:f>
        <x:v>-0.325</x:v>
      </x:c>
      <x:c r="B816" t="n">
        <x:f>Y83</x:f>
        <x:v>2672.265680133479</x:v>
      </x:c>
      <x:c r="C816" t="n">
        <x:f>AA83</x:f>
        <x:v>490.6119523498117</x:v>
      </x:c>
      <x:c r="D816" t="n">
        <x:f>AC83</x:f>
        <x:v>913.3884443529537</x:v>
      </x:c>
      <x:c r="E816" t="n">
        <x:f>AE83</x:f>
        <x:v>853.7221668243841</x:v>
      </x:c>
    </x:row>
    <x:row r="817">
      <x:c r="A817" t="n">
        <x:f>I84</x:f>
        <x:v>-0.317</x:v>
      </x:c>
      <x:c r="B817" t="n">
        <x:f>Y84</x:f>
        <x:v>2672.115565841893</x:v>
      </x:c>
      <x:c r="C817" t="n">
        <x:f>AA84</x:f>
        <x:v>478.15408387641</x:v>
      </x:c>
      <x:c r="D817" t="n">
        <x:f>AC84</x:f>
        <x:v>880.5229562915246</x:v>
      </x:c>
      <x:c r="E817" t="n">
        <x:f>AE84</x:f>
        <x:v>820.5140417243678</x:v>
      </x:c>
    </x:row>
    <x:row r="818">
      <x:c r="A818" t="n">
        <x:f>I85</x:f>
        <x:v>-0.308</x:v>
      </x:c>
      <x:c r="B818" t="n">
        <x:f>Y85</x:f>
        <x:v>2671.975172884264</x:v>
      </x:c>
      <x:c r="C818" t="n">
        <x:f>AA85</x:f>
        <x:v>464.2648822613425</x:v>
      </x:c>
      <x:c r="D818" t="n">
        <x:f>AC85</x:f>
        <x:v>843.8524115089195</x:v>
      </x:c>
      <x:c r="E818" t="n">
        <x:f>AE85</x:f>
        <x:v>783.4682373346647</x:v>
      </x:c>
    </x:row>
    <x:row r="819">
      <x:c r="A819" t="n">
        <x:f>I86</x:f>
        <x:v>-0.3</x:v>
      </x:c>
      <x:c r="B819" t="n">
        <x:f>Y86</x:f>
        <x:v>2671.9092619653225</x:v>
      </x:c>
      <x:c r="C819" t="n">
        <x:f>AA86</x:f>
        <x:v>452.12513673633794</x:v>
      </x:c>
      <x:c r="D819" t="n">
        <x:f>AC86</x:f>
        <x:v>813.2058487052462</x:v>
      </x:c>
      <x:c r="E819" t="n">
        <x:f>AE86</x:f>
        <x:v>752.4971833791826</x:v>
      </x:c>
    </x:row>
    <x:row r="820">
      <x:c r="A820" t="n">
        <x:f>I87</x:f>
        <x:v>-0.292</x:v>
      </x:c>
      <x:c r="B820" t="n">
        <x:f>Y87</x:f>
        <x:v>2671.617255107805</x:v>
      </x:c>
      <x:c r="C820" t="n">
        <x:f>AA87</x:f>
        <x:v>440.789520058493</x:v>
      </x:c>
      <x:c r="D820" t="n">
        <x:f>AC87</x:f>
        <x:v>782.2383189807096</x:v>
      </x:c>
      <x:c r="E820" t="n">
        <x:f>AE87</x:f>
        <x:v>721.2137017436742</x:v>
      </x:c>
    </x:row>
    <x:row r="821">
      <x:c r="A821" t="n">
        <x:f>I88</x:f>
        <x:v>-0.283</x:v>
      </x:c>
      <x:c r="B821" t="n">
        <x:f>Y88</x:f>
        <x:v>2671.4755777744185</x:v>
      </x:c>
      <x:c r="C821" t="n">
        <x:f>AA88</x:f>
        <x:v>428.42468286207804</x:v>
      </x:c>
      <x:c r="D821" t="n">
        <x:f>AC88</x:f>
        <x:v>748.9308676883384</x:v>
      </x:c>
      <x:c r="E821" t="n">
        <x:f>AE88</x:f>
        <x:v>687.5610116127729</x:v>
      </x:c>
    </x:row>
    <x:row r="822">
      <x:c r="A822" t="n">
        <x:f>I89</x:f>
        <x:v>-0.275</x:v>
      </x:c>
      <x:c r="B822" t="n">
        <x:f>Y89</x:f>
        <x:v>2671.3571868013596</x:v>
      </x:c>
      <x:c r="C822" t="n">
        <x:f>AA89</x:f>
        <x:v>417.67037608062077</x:v>
      </x:c>
      <x:c r="D822" t="n">
        <x:f>AC89</x:f>
        <x:v>720.4332419129369</x:v>
      </x:c>
      <x:c r="E822" t="n">
        <x:f>AE89</x:f>
        <x:v>658.7655798131786</x:v>
      </x:c>
    </x:row>
    <x:row r="823">
      <x:c r="A823" t="n">
        <x:f>I90</x:f>
        <x:v>-0.267</x:v>
      </x:c>
      <x:c r="B823" t="n">
        <x:f>Y90</x:f>
        <x:v>2671.224880020979</x:v>
      </x:c>
      <x:c r="C823" t="n">
        <x:f>AA90</x:f>
        <x:v>406.7470273897068</x:v>
      </x:c>
      <x:c r="D823" t="n">
        <x:f>AC90</x:f>
        <x:v>691.9670551954491</x:v>
      </x:c>
      <x:c r="E823" t="n">
        <x:f>AE90</x:f>
        <x:v>630.010126312335</x:v>
      </x:c>
    </x:row>
    <x:row r="824">
      <x:c r="A824" t="n">
        <x:f>I91</x:f>
        <x:v>-0.258</x:v>
      </x:c>
      <x:c r="B824" t="n">
        <x:f>Y91</x:f>
        <x:v>2670.893062133703</x:v>
      </x:c>
      <x:c r="C824" t="n">
        <x:f>AA91</x:f>
        <x:v>395.0892701821094</x:v>
      </x:c>
      <x:c r="D824" t="n">
        <x:f>AC91</x:f>
        <x:v>661.6899994846148</x:v>
      </x:c>
      <x:c r="E824" t="n">
        <x:f>AE91</x:f>
        <x:v>599.4178525315383</x:v>
      </x:c>
    </x:row>
    <x:row r="825">
      <x:c r="A825" t="n">
        <x:f>I92</x:f>
        <x:v>-0.25</x:v>
      </x:c>
      <x:c r="B825" t="n">
        <x:f>Y92</x:f>
        <x:v>2670.784301778729</x:v>
      </x:c>
      <x:c r="C825" t="n">
        <x:f>AA92</x:f>
        <x:v>385.3661380377797</x:v>
      </x:c>
      <x:c r="D825" t="n">
        <x:f>AC92</x:f>
        <x:v>635.6982552438569</x:v>
      </x:c>
      <x:c r="E825" t="n">
        <x:f>AE92</x:f>
        <x:v>573.1549873942034</x:v>
      </x:c>
    </x:row>
    <x:row r="826">
      <x:c r="A826" t="n">
        <x:f>I93</x:f>
        <x:v>-0.242</x:v>
      </x:c>
      <x:c r="B826" t="n">
        <x:f>Y93</x:f>
        <x:v>2670.71087513689</x:v>
      </x:c>
      <x:c r="C826" t="n">
        <x:f>AA93</x:f>
        <x:v>376.13515915351996</x:v>
      </x:c>
      <x:c r="D826" t="n">
        <x:f>AC93</x:f>
        <x:v>609.849884961899</x:v>
      </x:c>
      <x:c r="E826" t="n">
        <x:f>AE93</x:f>
        <x:v>547.0440354565055</x:v>
      </x:c>
    </x:row>
    <x:row r="827">
      <x:c r="A827" t="n">
        <x:f>I94</x:f>
        <x:v>-0.233</x:v>
      </x:c>
      <x:c r="B827" t="n">
        <x:f>Y94</x:f>
        <x:v>2670.5085985921796</x:v>
      </x:c>
      <x:c r="C827" t="n">
        <x:f>AA94</x:f>
        <x:v>365.6912781317871</x:v>
      </x:c>
      <x:c r="D827" t="n">
        <x:f>AC94</x:f>
        <x:v>582.8251281434001</x:v>
      </x:c>
      <x:c r="E827" t="n">
        <x:f>AE94</x:f>
        <x:v>519.7340813366122</x:v>
      </x:c>
    </x:row>
    <x:row r="828">
      <x:c r="A828" t="n">
        <x:f>I95</x:f>
        <x:v>-0.225</x:v>
      </x:c>
      <x:c r="B828" t="n">
        <x:f>Y95</x:f>
        <x:v>2670.2708582144087</x:v>
      </x:c>
      <x:c r="C828" t="n">
        <x:f>AA95</x:f>
        <x:v>356.4473590251376</x:v>
      </x:c>
      <x:c r="D828" t="n">
        <x:f>AC95</x:f>
        <x:v>559.2121214109366</x:v>
      </x:c>
      <x:c r="E828" t="n">
        <x:f>AE95</x:f>
        <x:v>495.87663883518746</x:v>
      </x:c>
    </x:row>
    <x:row r="829">
      <x:c r="A829" t="n">
        <x:f>I96</x:f>
        <x:v>-0.217</x:v>
      </x:c>
      <x:c r="B829" t="n">
        <x:f>Y96</x:f>
        <x:v>2670.1536854385186</x:v>
      </x:c>
      <x:c r="C829" t="n">
        <x:f>AA96</x:f>
        <x:v>347.79823047108033</x:v>
      </x:c>
      <x:c r="D829" t="n">
        <x:f>AC96</x:f>
        <x:v>536.2003689690118</x:v>
      </x:c>
      <x:c r="E829" t="n">
        <x:f>AE96</x:f>
        <x:v>472.6289898651386</x:v>
      </x:c>
    </x:row>
    <x:row r="830">
      <x:c r="A830" t="n">
        <x:f>I97</x:f>
        <x:v>-0.208</x:v>
      </x:c>
      <x:c r="B830" t="n">
        <x:f>Y97</x:f>
        <x:v>2670.140214189564</x:v>
      </x:c>
      <x:c r="C830" t="n">
        <x:f>AA97</x:f>
        <x:v>338.4523662185665</x:v>
      </x:c>
      <x:c r="D830" t="n">
        <x:f>AC97</x:f>
        <x:v>512.3169245672518</x:v>
      </x:c>
      <x:c r="E830" t="n">
        <x:f>AE97</x:f>
        <x:v>448.49036893055205</x:v>
      </x:c>
    </x:row>
    <x:row r="831">
      <x:c r="A831" t="n">
        <x:f>I98</x:f>
        <x:v>-0.2</x:v>
      </x:c>
      <x:c r="B831" t="n">
        <x:f>Y98</x:f>
        <x:v>2669.897439151252</x:v>
      </x:c>
      <x:c r="C831" t="n">
        <x:f>AA98</x:f>
        <x:v>330.8155353836898</x:v>
      </x:c>
      <x:c r="D831" t="n">
        <x:f>AC98</x:f>
        <x:v>490.8644375961172</x:v>
      </x:c>
      <x:c r="E831" t="n">
        <x:f>AE98</x:f>
        <x:v>426.82013131807196</x:v>
      </x:c>
    </x:row>
    <x:row r="832">
      <x:c r="A832" t="n">
        <x:f>I99</x:f>
        <x:v>-0.192</x:v>
      </x:c>
      <x:c r="B832" t="n">
        <x:f>Y99</x:f>
        <x:v>2669.751857556238</x:v>
      </x:c>
      <x:c r="C832" t="n">
        <x:f>AA99</x:f>
        <x:v>323.3793377034027</x:v>
      </x:c>
      <x:c r="D832" t="n">
        <x:f>AC99</x:f>
        <x:v>470.8262366207247</x:v>
      </x:c>
      <x:c r="E832" t="n">
        <x:f>AE99</x:f>
        <x:v>406.5727189421713</x:v>
      </x:c>
    </x:row>
    <x:row r="833">
      <x:c r="A833" t="n">
        <x:f>I100</x:f>
        <x:v>-0.183</x:v>
      </x:c>
      <x:c r="B833" t="n">
        <x:f>Y100</x:f>
        <x:v>2669.6399802909527</x:v>
      </x:c>
      <x:c r="C833" t="n">
        <x:f>AA100</x:f>
        <x:v>314.94112454596194</x:v>
      </x:c>
      <x:c r="D833" t="n">
        <x:f>AC100</x:f>
        <x:v>449.3851411697194</x:v>
      </x:c>
      <x:c r="E833" t="n">
        <x:f>AE100</x:f>
        <x:v>384.90646772690724</x:v>
      </x:c>
    </x:row>
    <x:row r="834">
      <x:c r="A834" t="n">
        <x:f>I101</x:f>
        <x:v>-0.175</x:v>
      </x:c>
      <x:c r="B834" t="n">
        <x:f>Y101</x:f>
        <x:v>2669.6775428195497</x:v>
      </x:c>
      <x:c r="C834" t="n">
        <x:f>AA101</x:f>
        <x:v>307.48456938359294</x:v>
      </x:c>
      <x:c r="D834" t="n">
        <x:f>AC101</x:f>
        <x:v>430.3095956434267</x:v>
      </x:c>
      <x:c r="E834" t="n">
        <x:f>AE101</x:f>
        <x:v>365.639856686885</x:v>
      </x:c>
    </x:row>
    <x:row r="835">
      <x:c r="A835" t="n">
        <x:f>I102</x:f>
        <x:v>-0.167</x:v>
      </x:c>
      <x:c r="B835" t="n">
        <x:f>Y102</x:f>
        <x:v>2669.5329806107666</x:v>
      </x:c>
      <x:c r="C835" t="n">
        <x:f>AA102</x:f>
        <x:v>300.7709446697845</x:v>
      </x:c>
      <x:c r="D835" t="n">
        <x:f>AC102</x:f>
        <x:v>413.13501587361156</x:v>
      </x:c>
      <x:c r="E835" t="n">
        <x:f>AE102</x:f>
        <x:v>348.2827506441774</x:v>
      </x:c>
    </x:row>
    <x:row r="836">
      <x:c r="A836" t="n">
        <x:f>I103</x:f>
        <x:v>-0.158</x:v>
      </x:c>
      <x:c r="B836" t="n">
        <x:f>Y103</x:f>
        <x:v>2669.511245132921</x:v>
      </x:c>
      <x:c r="C836" t="n">
        <x:f>AA103</x:f>
        <x:v>294.23661277989663</x:v>
      </x:c>
      <x:c r="D836" t="n">
        <x:f>AC103</x:f>
        <x:v>394.10574765913475</x:v>
      </x:c>
      <x:c r="E836" t="n">
        <x:f>AE103</x:f>
        <x:v>329.0583474340097</x:v>
      </x:c>
    </x:row>
    <x:row r="837">
      <x:c r="A837" t="n">
        <x:f>I104</x:f>
        <x:v>-0.15</x:v>
      </x:c>
      <x:c r="B837" t="n">
        <x:f>Y104</x:f>
        <x:v>2669.4295389835215</x:v>
      </x:c>
      <x:c r="C837" t="n">
        <x:f>AA104</x:f>
        <x:v>288.2643279902816</x:v>
      </x:c>
      <x:c r="D837" t="n">
        <x:f>AC104</x:f>
        <x:v>377.82373453094965</x:v>
      </x:c>
      <x:c r="E837" t="n">
        <x:f>AE104</x:f>
        <x:v>312.6119539197109</x:v>
      </x:c>
    </x:row>
    <x:row r="838">
      <x:c r="A838" t="n">
        <x:f>I105</x:f>
        <x:v>-0.142</x:v>
      </x:c>
      <x:c r="B838" t="n">
        <x:f>Y105</x:f>
        <x:v>2669.3804992497408</x:v>
      </x:c>
      <x:c r="C838" t="n">
        <x:f>AA105</x:f>
        <x:v>282.2269644534581</x:v>
      </x:c>
      <x:c r="D838" t="n">
        <x:f>AC105</x:f>
        <x:v>363.28651770825104</x:v>
      </x:c>
      <x:c r="E838" t="n">
        <x:f>AE105</x:f>
        <x:v>297.91889595173575</x:v>
      </x:c>
    </x:row>
    <x:row r="839">
      <x:c r="A839" t="n">
        <x:f>I106</x:f>
        <x:v>-0.133</x:v>
      </x:c>
      <x:c r="B839" t="n">
        <x:f>Y106</x:f>
        <x:v>2669.298743883868</x:v>
      </x:c>
      <x:c r="C839" t="n">
        <x:f>AA106</x:f>
        <x:v>276.2837891580153</x:v>
      </x:c>
      <x:c r="D839" t="n">
        <x:f>AC106</x:f>
        <x:v>347.0216034279446</x:v>
      </x:c>
      <x:c r="E839" t="n">
        <x:f>AE106</x:f>
        <x:v>281.48886744430627</x:v>
      </x:c>
    </x:row>
    <x:row r="840">
      <x:c r="A840" t="n">
        <x:f>I107</x:f>
        <x:v>-0.125</x:v>
      </x:c>
      <x:c r="B840" t="n">
        <x:f>Y107</x:f>
        <x:v>2669.218074935372</x:v>
      </x:c>
      <x:c r="C840" t="n">
        <x:f>AA107</x:f>
        <x:v>271.34832444874655</x:v>
      </x:c>
      <x:c r="D840" t="n">
        <x:f>AC107</x:f>
        <x:v>333.7679420618156</x:v>
      </x:c>
      <x:c r="E840" t="n">
        <x:f>AE107</x:f>
        <x:v>268.09751081967937</x:v>
      </x:c>
    </x:row>
    <x:row r="841">
      <x:c r="A841" t="n">
        <x:f>I108</x:f>
        <x:v>-0.117</x:v>
      </x:c>
      <x:c r="B841" t="n">
        <x:f>Y108</x:f>
        <x:v>2669.21282651006</x:v>
      </x:c>
      <x:c r="C841" t="n">
        <x:f>AA108</x:f>
        <x:v>266.4474931554244</x:v>
      </x:c>
      <x:c r="D841" t="n">
        <x:f>AC108</x:f>
        <x:v>321.74541917953087</x:v>
      </x:c>
      <x:c r="E841" t="n">
        <x:f>AE108</x:f>
        <x:v>255.945831919734</x:v>
      </x:c>
    </x:row>
    <x:row r="842">
      <x:c r="A842" t="n">
        <x:f>I109</x:f>
        <x:v>-0.108</x:v>
      </x:c>
      <x:c r="B842" t="n">
        <x:f>Y109</x:f>
        <x:v>2669.153662121398</x:v>
      </x:c>
      <x:c r="C842" t="n">
        <x:f>AA109</x:f>
        <x:v>261.83320614424036</x:v>
      </x:c>
      <x:c r="D842" t="n">
        <x:f>AC109</x:f>
        <x:v>308.0933863732902</x:v>
      </x:c>
      <x:c r="E842" t="n">
        <x:f>AE109</x:f>
        <x:v>242.15870565493802</x:v>
      </x:c>
    </x:row>
    <x:row r="843">
      <x:c r="A843" t="n">
        <x:f>I110</x:f>
        <x:v>-0.1</x:v>
      </x:c>
      <x:c r="B843" t="n">
        <x:f>Y110</x:f>
        <x:v>2669.1872191485268</x:v>
      </x:c>
      <x:c r="C843" t="n">
        <x:f>AA110</x:f>
        <x:v>258.0534011370244</x:v>
      </x:c>
      <x:c r="D843" t="n">
        <x:f>AC110</x:f>
        <x:v>297.7926899590728</x:v>
      </x:c>
      <x:c r="E843" t="n">
        <x:f>AE110</x:f>
        <x:v>231.74699910983864</x:v>
      </x:c>
    </x:row>
    <x:row r="844">
      <x:c r="A844" t="n">
        <x:f>I111</x:f>
        <x:v>-0.092</x:v>
      </x:c>
      <x:c r="B844" t="n">
        <x:f>Y111</x:f>
        <x:v>2669.1819695313984</x:v>
      </x:c>
      <x:c r="C844" t="n">
        <x:f>AA111</x:f>
        <x:v>254.26353690986213</x:v>
      </x:c>
      <x:c r="D844" t="n">
        <x:f>AC111</x:f>
        <x:v>287.9944488822991</x:v>
      </x:c>
      <x:c r="E844" t="n">
        <x:f>AE111</x:f>
        <x:v>221.84628714302016</x:v>
      </x:c>
    </x:row>
    <x:row r="845">
      <x:c r="A845" t="n">
        <x:f>I112</x:f>
        <x:v>-0.083</x:v>
      </x:c>
      <x:c r="B845" t="n">
        <x:f>Y112</x:f>
        <x:v>2669.1403160796563</x:v>
      </x:c>
      <x:c r="C845" t="n">
        <x:f>AA112</x:f>
        <x:v>250.22595087297077</x:v>
      </x:c>
      <x:c r="D845" t="n">
        <x:f>AC112</x:f>
        <x:v>277.34427520472127</x:v>
      </x:c>
      <x:c r="E845" t="n">
        <x:f>AE112</x:f>
        <x:v>211.09104077545487</x:v>
      </x:c>
    </x:row>
    <x:row r="846">
      <x:c r="A846" t="n">
        <x:f>I113</x:f>
        <x:v>-0.075</x:v>
      </x:c>
      <x:c r="B846" t="n">
        <x:f>Y113</x:f>
        <x:v>2669.150465091966</x:v>
      </x:c>
      <x:c r="C846" t="n">
        <x:f>AA113</x:f>
        <x:v>247.30870990646252</x:v>
      </x:c>
      <x:c r="D846" t="n">
        <x:f>AC113</x:f>
        <x:v>269.6889774389345</x:v>
      </x:c>
      <x:c r="E846" t="n">
        <x:f>AE113</x:f>
        <x:v>203.351418006402</x:v>
      </x:c>
    </x:row>
    <x:row r="847">
      <x:c r="A847" t="n">
        <x:f>I114</x:f>
        <x:v>-0.067</x:v>
      </x:c>
      <x:c r="B847" t="n">
        <x:f>Y114</x:f>
        <x:v>2669.116445149462</x:v>
      </x:c>
      <x:c r="C847" t="n">
        <x:f>AA114</x:f>
        <x:v>244.89455924676798</x:v>
      </x:c>
      <x:c r="D847" t="n">
        <x:f>AC114</x:f>
        <x:v>262.1373262830445</x:v>
      </x:c>
      <x:c r="E847" t="n">
        <x:f>AE114</x:f>
        <x:v>195.72398108808298</x:v>
      </x:c>
    </x:row>
    <x:row r="848">
      <x:c r="A848" t="n">
        <x:f>I115</x:f>
        <x:v>-0.058</x:v>
      </x:c>
      <x:c r="B848" t="n">
        <x:f>Y115</x:f>
        <x:v>2669.071127146474</x:v>
      </x:c>
      <x:c r="C848" t="n">
        <x:f>AA115</x:f>
        <x:v>242.50974664246002</x:v>
      </x:c>
      <x:c r="D848" t="n">
        <x:f>AC115</x:f>
        <x:v>254.9051987890375</x:v>
      </x:c>
      <x:c r="E848" t="n">
        <x:f>AE115</x:f>
        <x:v>188.41680167265642</x:v>
      </x:c>
    </x:row>
    <x:row r="849">
      <x:c r="A849" t="n">
        <x:f>I116</x:f>
        <x:v>-0.05</x:v>
      </x:c>
      <x:c r="B849" t="n">
        <x:f>Y116</x:f>
        <x:v>2669.0309999552733</x:v>
      </x:c>
      <x:c r="C849" t="n">
        <x:f>AA116</x:f>
        <x:v>240.55860819468157</x:v>
      </x:c>
      <x:c r="D849" t="n">
        <x:f>AC116</x:f>
        <x:v>249.79768978087017</x:v>
      </x:c>
      <x:c r="E849" t="n">
        <x:f>AE116</x:f>
        <x:v>183.25165278883884</x:v>
      </x:c>
    </x:row>
    <x:row r="850">
      <x:c r="A850" t="n">
        <x:f>I117</x:f>
        <x:v>-0.042</x:v>
      </x:c>
      <x:c r="B850" t="n">
        <x:f>Y117</x:f>
        <x:v>2668.8889151109515</x:v>
      </x:c>
      <x:c r="C850" t="n">
        <x:f>AA117</x:f>
        <x:v>238.60170190557463</x:v>
      </x:c>
      <x:c r="D850" t="n">
        <x:f>AC117</x:f>
        <x:v>244.83703512320048</x:v>
      </x:c>
      <x:c r="E850" t="n">
        <x:f>AE117</x:f>
        <x:v>178.24189749635596</x:v>
      </x:c>
    </x:row>
    <x:row r="851">
      <x:c r="A851" t="n">
        <x:f>I118</x:f>
        <x:v>-0.033</x:v>
      </x:c>
      <x:c r="B851" t="n">
        <x:f>Y118</x:f>
        <x:v>2668.8599671350553</x:v>
      </x:c>
      <x:c r="C851" t="n">
        <x:f>AA118</x:f>
        <x:v>236.54055700599343</x:v>
      </x:c>
      <x:c r="D851" t="n">
        <x:f>AC118</x:f>
        <x:v>241.1070862491305</x:v>
      </x:c>
      <x:c r="E851" t="n">
        <x:f>AE118</x:f>
        <x:v>174.4669174694342</x:v>
      </x:c>
    </x:row>
    <x:row r="852">
      <x:c r="A852" t="n">
        <x:f>I119</x:f>
        <x:v>-0.025</x:v>
      </x:c>
      <x:c r="B852" t="n">
        <x:f>Y119</x:f>
        <x:v>2668.757294422114</x:v>
      </x:c>
      <x:c r="C852" t="n">
        <x:f>AA119</x:f>
        <x:v>235.34646846600202</x:v>
      </x:c>
      <x:c r="D852" t="n">
        <x:f>AC119</x:f>
        <x:v>238.49468035564297</x:v>
      </x:c>
      <x:c r="E852" t="n">
        <x:f>AE119</x:f>
        <x:v>171.82355682791237</x:v>
      </x:c>
    </x:row>
    <x:row r="853">
      <x:c r="A853" t="n">
        <x:f>I120</x:f>
        <x:v>-0.017</x:v>
      </x:c>
      <x:c r="B853" t="n">
        <x:f>Y120</x:f>
        <x:v>2668.624622707822</x:v>
      </x:c>
      <x:c r="C853" t="n">
        <x:f>AA120</x:f>
        <x:v>234.6431742328078</x:v>
      </x:c>
      <x:c r="D853" t="n">
        <x:f>AC120</x:f>
        <x:v>235.9173120128643</x:v>
      </x:c>
      <x:c r="E853" t="n">
        <x:f>AE120</x:f>
        <x:v>169.22377297793633</x:v>
      </x:c>
    </x:row>
    <x:row r="854">
      <x:c r="A854" t="n">
        <x:f>I121</x:f>
        <x:v>-0.008</x:v>
      </x:c>
      <x:c r="B854" t="n">
        <x:f>Y121</x:f>
        <x:v>2668.6746994182126</x:v>
      </x:c>
      <x:c r="C854" t="n">
        <x:f>AA121</x:f>
        <x:v>234.10344532166638</x:v>
      </x:c>
      <x:c r="D854" t="n">
        <x:f>AC121</x:f>
        <x:v>234.34957585937047</x:v>
      </x:c>
      <x:c r="E854" t="n">
        <x:f>AE121</x:f>
        <x:v>167.6410264401586</x:v>
      </x:c>
    </x:row>
    <x:row r="855">
      <x:c r="A855" t="n">
        <x:f>I122</x:f>
        <x:v>0</x:v>
      </x:c>
      <x:c r="B855" t="n">
        <x:f>Y122</x:f>
        <x:v>2668.545771937913</x:v>
      </x:c>
      <x:c r="C855" t="n">
        <x:f>AA122</x:f>
        <x:v>233.52787699140268</x:v>
      </x:c>
      <x:c r="D855" t="n">
        <x:f>AC122</x:f>
        <x:v>233.52787699140268</x:v>
      </x:c>
      <x:c r="E855" t="n">
        <x:f>AE122</x:f>
        <x:v>166.81505795177227</x:v>
      </x:c>
    </x:row>
    <x:row r="856">
      <x:c r="A856" t="n">
        <x:f>I123</x:f>
        <x:v>0.008</x:v>
      </x:c>
      <x:c r="B856" t="n">
        <x:f>Y123</x:f>
        <x:v>2668.422832501423</x:v>
      </x:c>
      <x:c r="C856" t="n">
        <x:f>AA123</x:f>
        <x:v>233.03942030536456</x:v>
      </x:c>
      <x:c r="D856" t="n">
        <x:f>AC123</x:f>
        <x:v>233.45037452297623</x:v>
      </x:c>
      <x:c r="E856" t="n">
        <x:f>AE123</x:f>
        <x:v>166.7418251037643</x:v>
      </x:c>
    </x:row>
    <x:row r="857">
      <x:c r="A857" t="n">
        <x:f>I124</x:f>
        <x:v>0.017</x:v>
      </x:c>
      <x:c r="B857" t="n">
        <x:f>Y124</x:f>
        <x:v>2668.2784457720195</x:v>
      </x:c>
      <x:c r="C857" t="n">
        <x:f>AA124</x:f>
        <x:v>233.69251190455986</x:v>
      </x:c>
      <x:c r="D857" t="n">
        <x:f>AC124</x:f>
        <x:v>235.19841567119786</x:v>
      </x:c>
      <x:c r="E857" t="n">
        <x:f>AE124</x:f>
        <x:v>168.50487663626993</x:v>
      </x:c>
    </x:row>
    <x:row r="858">
      <x:c r="A858" t="n">
        <x:f>I125</x:f>
        <x:v>0.025</x:v>
      </x:c>
      <x:c r="B858" t="n">
        <x:f>Y125</x:f>
        <x:v>2668.2171240293146</x:v>
      </x:c>
      <x:c r="C858" t="n">
        <x:f>AA125</x:f>
        <x:v>235.07392198175725</x:v>
      </x:c>
      <x:c r="D858" t="n">
        <x:f>AC125</x:f>
        <x:v>237.0225960137918</x:v>
      </x:c>
      <x:c r="E858" t="n">
        <x:f>AE125</x:f>
        <x:v>170.3514724860612</x:v>
      </x:c>
    </x:row>
    <x:row r="859">
      <x:c r="A859" t="n">
        <x:f>I126</x:f>
        <x:v>0.033</x:v>
      </x:c>
      <x:c r="B859" t="n">
        <x:f>Y126</x:f>
        <x:v>2668.1155856737228</x:v>
      </x:c>
      <x:c r="C859" t="n">
        <x:f>AA126</x:f>
        <x:v>236.07895498772078</x:v>
      </x:c>
      <x:c r="D859" t="n">
        <x:f>AC126</x:f>
        <x:v>240.0956500649409</x:v>
      </x:c>
      <x:c r="E859" t="n">
        <x:f>AE126</x:f>
        <x:v>173.45548128524464</x:v>
      </x:c>
    </x:row>
    <x:row r="860">
      <x:c r="A860" t="n">
        <x:f>I127</x:f>
        <x:v>0.042</x:v>
      </x:c>
      <x:c r="B860" t="n">
        <x:f>Y127</x:f>
        <x:v>2668.10404084736</x:v>
      </x:c>
      <x:c r="C860" t="n">
        <x:f>AA127</x:f>
        <x:v>237.32784196765127</x:v>
      </x:c>
      <x:c r="D860" t="n">
        <x:f>AC127</x:f>
        <x:v>244.71146714319235</x:v>
      </x:c>
      <x:c r="E860" t="n">
        <x:f>AE127</x:f>
        <x:v>178.1163295163478</x:v>
      </x:c>
    </x:row>
    <x:row r="861">
      <x:c r="A861" t="n">
        <x:f>I128</x:f>
        <x:v>0.05</x:v>
      </x:c>
      <x:c r="B861" t="n">
        <x:f>Y128</x:f>
        <x:v>2668.031622957878</x:v>
      </x:c>
      <x:c r="C861" t="n">
        <x:f>AA128</x:f>
        <x:v>239.08652386019065</x:v>
      </x:c>
      <x:c r="D861" t="n">
        <x:f>AC128</x:f>
        <x:v>249.14725446361194</x:v>
      </x:c>
      <x:c r="E861" t="n">
        <x:f>AE128</x:f>
        <x:v>182.6012174715806</x:v>
      </x:c>
    </x:row>
    <x:row r="862">
      <x:c r="A862" t="n">
        <x:f>I129</x:f>
        <x:v>0.058</x:v>
      </x:c>
      <x:c r="B862" t="n">
        <x:f>Y129</x:f>
        <x:v>2667.9465338834552</x:v>
      </x:c>
      <x:c r="C862" t="n">
        <x:f>AA129</x:f>
        <x:v>241.24252251869171</x:v>
      </x:c>
      <x:c r="D862" t="n">
        <x:f>AC129</x:f>
        <x:v>255.2187398952393</x:v>
      </x:c>
      <x:c r="E862" t="n">
        <x:f>AE129</x:f>
        <x:v>188.73034277885816</x:v>
      </x:c>
    </x:row>
    <x:row r="863">
      <x:c r="A863" t="n">
        <x:f>I130</x:f>
        <x:v>0.067</x:v>
      </x:c>
      <x:c r="B863" t="n">
        <x:f>Y130</x:f>
        <x:v>2668.0413136983166</x:v>
      </x:c>
      <x:c r="C863" t="n">
        <x:f>AA130</x:f>
        <x:v>243.91411166454145</x:v>
      </x:c>
      <x:c r="D863" t="n">
        <x:f>AC130</x:f>
        <x:v>262.3743325123983</x:v>
      </x:c>
      <x:c r="E863" t="n">
        <x:f>AE130</x:f>
        <x:v>195.9609873174368</x:v>
      </x:c>
    </x:row>
    <x:row r="864">
      <x:c r="A864" t="n">
        <x:f>I131</x:f>
        <x:v>0.075</x:v>
      </x:c>
      <x:c r="B864" t="n">
        <x:f>Y131</x:f>
        <x:v>2668.112351339356</x:v>
      </x:c>
      <x:c r="C864" t="n">
        <x:f>AA131</x:f>
        <x:v>247.1125933494017</x:v>
      </x:c>
      <x:c r="D864" t="n">
        <x:f>AC131</x:f>
        <x:v>269.49464398527886</x:v>
      </x:c>
      <x:c r="E864" t="n">
        <x:f>AE131</x:f>
        <x:v>203.15708455274637</x:v>
      </x:c>
    </x:row>
    <x:row r="865">
      <x:c r="A865" t="n">
        <x:f>I132</x:f>
        <x:v>0.083</x:v>
      </x:c>
      <x:c r="B865" t="n">
        <x:f>Y132</x:f>
        <x:v>2668.024044371162</x:v>
      </x:c>
      <x:c r="C865" t="n">
        <x:f>AA132</x:f>
        <x:v>250.2681978626065</x:v>
      </x:c>
      <x:c r="D865" t="n">
        <x:f>AC132</x:f>
        <x:v>278.0034259719433</x:v>
      </x:c>
      <x:c r="E865" t="n">
        <x:f>AE132</x:f>
        <x:v>211.7501915426769</x:v>
      </x:c>
    </x:row>
    <x:row r="866">
      <x:c r="A866" t="n">
        <x:f>I133</x:f>
        <x:v>0.092</x:v>
      </x:c>
      <x:c r="B866" t="n">
        <x:f>Y133</x:f>
        <x:v>2668.1188396643256</x:v>
      </x:c>
      <x:c r="C866" t="n">
        <x:f>AA133</x:f>
        <x:v>253.68974248855739</x:v>
      </x:c>
      <x:c r="D866" t="n">
        <x:f>AC133</x:f>
        <x:v>287.8679845367436</x:v>
      </x:c>
      <x:c r="E866" t="n">
        <x:f>AE133</x:f>
        <x:v>221.71982279746464</x:v>
      </x:c>
    </x:row>
    <x:row r="867">
      <x:c r="A867" t="n">
        <x:f>I134</x:f>
        <x:v>0.1</x:v>
      </x:c>
      <x:c r="B867" t="n">
        <x:f>Y134</x:f>
        <x:v>2668.310337857269</x:v>
      </x:c>
      <x:c r="C867" t="n">
        <x:f>AA134</x:f>
        <x:v>257.40296582102707</x:v>
      </x:c>
      <x:c r="D867" t="n">
        <x:f>AC134</x:f>
        <x:v>297.5514467080143</x:v>
      </x:c>
      <x:c r="E867" t="n">
        <x:f>AE134</x:f>
        <x:v>231.5057558587802</x:v>
      </x:c>
    </x:row>
    <x:row r="868">
      <x:c r="A868" t="n">
        <x:f>I135</x:f>
        <x:v>0.108</x:v>
      </x:c>
      <x:c r="B868" t="n">
        <x:f>Y135</x:f>
        <x:v>2668.3499734017573</x:v>
      </x:c>
      <x:c r="C868" t="n">
        <x:f>AA135</x:f>
        <x:v>261.6567098799098</x:v>
      </x:c>
      <x:c r="D868" t="n">
        <x:f>AC135</x:f>
        <x:v>308.68111860671877</x:v>
      </x:c>
      <x:c r="E868" t="n">
        <x:f>AE135</x:f>
        <x:v>242.74643788836661</x:v>
      </x:c>
    </x:row>
    <x:row r="869">
      <x:c r="A869" t="n">
        <x:f>I136</x:f>
        <x:v>0.117</x:v>
      </x:c>
      <x:c r="B869" t="n">
        <x:f>Y136</x:f>
        <x:v>2668.4165060223545</x:v>
      </x:c>
      <x:c r="C869" t="n">
        <x:f>AA136</x:f>
        <x:v>266.87097786523987</x:v>
      </x:c>
      <x:c r="D869" t="n">
        <x:f>AC136</x:f>
        <x:v>321.2488938952046</x:v>
      </x:c>
      <x:c r="E869" t="n">
        <x:f>AE136</x:f>
        <x:v>255.4493066354077</x:v>
      </x:c>
    </x:row>
    <x:row r="870">
      <x:c r="A870" t="n">
        <x:f>I137</x:f>
        <x:v>0.125</x:v>
      </x:c>
      <x:c r="B870" t="n">
        <x:f>Y137</x:f>
        <x:v>2668.554777068895</x:v>
      </x:c>
      <x:c r="C870" t="n">
        <x:f>AA137</x:f>
        <x:v>271.4874996062939</x:v>
      </x:c>
      <x:c r="D870" t="n">
        <x:f>AC137</x:f>
        <x:v>333.9690786324356</x:v>
      </x:c>
      <x:c r="E870" t="n">
        <x:f>AE137</x:f>
        <x:v>268.2986473902994</x:v>
      </x:c>
    </x:row>
    <x:row r="871">
      <x:c r="A871" t="n">
        <x:f>I138</x:f>
        <x:v>0.133</x:v>
      </x:c>
      <x:c r="B871" t="n">
        <x:f>Y138</x:f>
        <x:v>2668.619160634821</x:v>
      </x:c>
      <x:c r="C871" t="n">
        <x:f>AA138</x:f>
        <x:v>276.56459491862387</x:v>
      </x:c>
      <x:c r="D871" t="n">
        <x:f>AC138</x:f>
        <x:v>347.47422266834957</x:v>
      </x:c>
      <x:c r="E871" t="n">
        <x:f>AE138</x:f>
        <x:v>281.9414866847112</x:v>
      </x:c>
    </x:row>
    <x:row r="872">
      <x:c r="A872" t="n">
        <x:f>I139</x:f>
        <x:v>0.142</x:v>
      </x:c>
      <x:c r="B872" t="n">
        <x:f>Y139</x:f>
        <x:v>2668.93813045976</x:v>
      </x:c>
      <x:c r="C872" t="n">
        <x:f>AA139</x:f>
        <x:v>282.45267503280434</x:v>
      </x:c>
      <x:c r="D872" t="n">
        <x:f>AC139</x:f>
        <x:v>363.0011899782957</x:v>
      </x:c>
      <x:c r="E872" t="n">
        <x:f>AE139</x:f>
        <x:v>297.63356822178037</x:v>
      </x:c>
    </x:row>
    <x:row r="873">
      <x:c r="A873" t="n">
        <x:f>I140</x:f>
        <x:v>0.15</x:v>
      </x:c>
      <x:c r="B873" t="n">
        <x:f>Y140</x:f>
        <x:v>2668.91551921749</x:v>
      </x:c>
      <x:c r="C873" t="n">
        <x:f>AA140</x:f>
        <x:v>288.06999454155164</x:v>
      </x:c>
      <x:c r="D873" t="n">
        <x:f>AC140</x:f>
        <x:v>378.4062789597639</x:v>
      </x:c>
      <x:c r="E873" t="n">
        <x:f>AE140</x:f>
        <x:v>313.19449834852514</x:v>
      </x:c>
    </x:row>
    <x:row r="874">
      <x:c r="A874" t="n">
        <x:f>I141</x:f>
        <x:v>0.158</x:v>
      </x:c>
      <x:c r="B874" t="n">
        <x:f>Y141</x:f>
        <x:v>2669.0410756188267</x:v>
      </x:c>
      <x:c r="C874" t="n">
        <x:f>AA141</x:f>
        <x:v>294.08928666556926</x:v>
      </x:c>
      <x:c r="D874" t="n">
        <x:f>AC141</x:f>
        <x:v>393.9604119847854</x:v>
      </x:c>
      <x:c r="E874" t="n">
        <x:f>AE141</x:f>
        <x:v>328.9130117596604</x:v>
      </x:c>
    </x:row>
    <x:row r="875">
      <x:c r="A875" t="n">
        <x:f>I142</x:f>
        <x:v>0.167</x:v>
      </x:c>
      <x:c r="B875" t="n">
        <x:f>Y142</x:f>
        <x:v>2669.291489917243</x:v>
      </x:c>
      <x:c r="C875" t="n">
        <x:f>AA142</x:f>
        <x:v>301.6540717423815</x:v>
      </x:c>
      <x:c r="D875" t="n">
        <x:f>AC142</x:f>
        <x:v>412.6730671989272</x:v>
      </x:c>
      <x:c r="E875" t="n">
        <x:f>AE142</x:f>
        <x:v>347.82080196949306</x:v>
      </x:c>
    </x:row>
    <x:row r="876">
      <x:c r="A876" t="n">
        <x:f>I143</x:f>
        <x:v>0.175</x:v>
      </x:c>
      <x:c r="B876" t="n">
        <x:f>Y143</x:f>
        <x:v>2669.2970622335815</x:v>
      </x:c>
      <x:c r="C876" t="n">
        <x:f>AA143</x:f>
        <x:v>308.3339924924266</x:v>
      </x:c>
      <x:c r="D876" t="n">
        <x:f>AC143</x:f>
        <x:v>430.4704881029932</x:v>
      </x:c>
      <x:c r="E876" t="n">
        <x:f>AE143</x:f>
        <x:v>365.80074914645155</x:v>
      </x:c>
    </x:row>
    <x:row r="877">
      <x:c r="A877" t="n">
        <x:f>I144</x:f>
        <x:v>0.183</x:v>
      </x:c>
      <x:c r="B877" t="n">
        <x:f>Y144</x:f>
        <x:v>2669.4129477465203</x:v>
      </x:c>
      <x:c r="C877" t="n">
        <x:f>AA144</x:f>
        <x:v>314.94191553996393</x:v>
      </x:c>
      <x:c r="D877" t="n">
        <x:f>AC144</x:f>
        <x:v>448.65774247510933</x:v>
      </x:c>
      <x:c r="E877" t="n">
        <x:f>AE144</x:f>
        <x:v>384.1790690322971</x:v>
      </x:c>
    </x:row>
    <x:row r="878">
      <x:c r="A878" t="n">
        <x:f>I145</x:f>
        <x:v>0.192</x:v>
      </x:c>
      <x:c r="B878" t="n">
        <x:f>Y145</x:f>
        <x:v>2669.607567389517</x:v>
      </x:c>
      <x:c r="C878" t="n">
        <x:f>AA145</x:f>
        <x:v>322.83349393173665</x:v>
      </x:c>
      <x:c r="D878" t="n">
        <x:f>AC145</x:f>
        <x:v>470.3583475486286</x:v>
      </x:c>
      <x:c r="E878" t="n">
        <x:f>AE145</x:f>
        <x:v>406.1048298700752</x:v>
      </x:c>
    </x:row>
    <x:row r="879">
      <x:c r="A879" t="n">
        <x:f>I146</x:f>
        <x:v>0.2</x:v>
      </x:c>
      <x:c r="B879" t="n">
        <x:f>Y146</x:f>
        <x:v>2669.5329747634537</x:v>
      </x:c>
      <x:c r="C879" t="n">
        <x:f>AA146</x:f>
        <x:v>330.5742921234309</x:v>
      </x:c>
      <x:c r="D879" t="n">
        <x:f>AC146</x:f>
        <x:v>490.82527033564</x:v>
      </x:c>
      <x:c r="E879" t="n">
        <x:f>AE146</x:f>
        <x:v>426.78096405759464</x:v>
      </x:c>
    </x:row>
    <x:row r="880">
      <x:c r="A880" t="n">
        <x:f>I147</x:f>
        <x:v>0.208</x:v>
      </x:c>
      <x:c r="B880" t="n">
        <x:f>Y147</x:f>
        <x:v>2669.7418428985843</x:v>
      </x:c>
      <x:c r="C880" t="n">
        <x:f>AA147</x:f>
        <x:v>339.0028806621182</x:v>
      </x:c>
      <x:c r="D880" t="n">
        <x:f>AC147</x:f>
        <x:v>511.5210445892671</x:v>
      </x:c>
      <x:c r="E880" t="n">
        <x:f>AE147</x:f>
        <x:v>447.69448895256727</x:v>
      </x:c>
    </x:row>
    <x:row r="881">
      <x:c r="A881" t="n">
        <x:f>I148</x:f>
        <x:v>0.217</x:v>
      </x:c>
      <x:c r="B881" t="n">
        <x:f>Y148</x:f>
        <x:v>2669.689058927443</x:v>
      </x:c>
      <x:c r="C881" t="n">
        <x:f>AA148</x:f>
        <x:v>348.1803410931297</x:v>
      </x:c>
      <x:c r="D881" t="n">
        <x:f>AC148</x:f>
        <x:v>536.6856283700555</x:v>
      </x:c>
      <x:c r="E881" t="n">
        <x:f>AE148</x:f>
        <x:v>473.11424926618224</x:v>
      </x:c>
    </x:row>
    <x:row r="882">
      <x:c r="A882" t="n">
        <x:f>I149</x:f>
        <x:v>0.225</x:v>
      </x:c>
      <x:c r="B882" t="n">
        <x:f>Y149</x:f>
        <x:v>2669.863390884068</x:v>
      </x:c>
      <x:c r="C882" t="n">
        <x:f>AA149</x:f>
        <x:v>356.5873635970569</x:v>
      </x:c>
      <x:c r="D882" t="n">
        <x:f>AC149</x:f>
        <x:v>559.4378939715417</x:v>
      </x:c>
      <x:c r="E882" t="n">
        <x:f>AE149</x:f>
        <x:v>496.10241139579267</x:v>
      </x:c>
    </x:row>
    <x:row r="883">
      <x:c r="A883" t="n">
        <x:f>I150</x:f>
        <x:v>0.233</x:v>
      </x:c>
      <x:c r="B883" t="n">
        <x:f>Y150</x:f>
        <x:v>2669.8639965508737</x:v>
      </x:c>
      <x:c r="C883" t="n">
        <x:f>AA150</x:f>
        <x:v>365.3275433938103</x:v>
      </x:c>
      <x:c r="D883" t="n">
        <x:f>AC150</x:f>
        <x:v>582.8549827037858</x:v>
      </x:c>
      <x:c r="E883" t="n">
        <x:f>AE150</x:f>
        <x:v>519.763935896998</x:v>
      </x:c>
    </x:row>
    <x:row r="884">
      <x:c r="A884" t="n">
        <x:f>I151</x:f>
        <x:v>0.242</x:v>
      </x:c>
      <x:c r="B884" t="n">
        <x:f>Y151</x:f>
        <x:v>2669.8958574019107</x:v>
      </x:c>
      <x:c r="C884" t="n">
        <x:f>AA151</x:f>
        <x:v>375.71361777908754</x:v>
      </x:c>
      <x:c r="D884" t="n">
        <x:f>AC151</x:f>
        <x:v>610.8989509460198</x:v>
      </x:c>
      <x:c r="E884" t="n">
        <x:f>AE151</x:f>
        <x:v>548.0931014406264</x:v>
      </x:c>
    </x:row>
    <x:row r="885">
      <x:c r="A885" t="n">
        <x:f>I152</x:f>
        <x:v>0.25</x:v>
      </x:c>
      <x:c r="B885" t="n">
        <x:f>Y152</x:f>
        <x:v>2669.877953329705</x:v>
      </x:c>
      <x:c r="C885" t="n">
        <x:f>AA152</x:f>
        <x:v>385.5672746083997</x:v>
      </x:c>
      <x:c r="D885" t="n">
        <x:f>AC152</x:f>
        <x:v>635.8244559490963</x:v>
      </x:c>
      <x:c r="E885" t="n">
        <x:f>AE152</x:f>
        <x:v>573.2811880994428</x:v>
      </x:c>
    </x:row>
    <x:row r="886">
      <x:c r="A886" t="n">
        <x:f>I153</x:f>
        <x:v>0.258</x:v>
      </x:c>
      <x:c r="B886" t="n">
        <x:f>Y153</x:f>
        <x:v>2670.016099440619</x:v>
      </x:c>
      <x:c r="C886" t="n">
        <x:f>AA153</x:f>
        <x:v>395.8608639483147</x:v>
      </x:c>
      <x:c r="D886" t="n">
        <x:f>AC153</x:f>
        <x:v>661.951510687387</x:v>
      </x:c>
      <x:c r="E886" t="n">
        <x:f>AE153</x:f>
        <x:v>599.6793637343105</x:v>
      </x:c>
    </x:row>
    <x:row r="887">
      <x:c r="A887" t="n">
        <x:f>I154</x:f>
        <x:v>0.267</x:v>
      </x:c>
      <x:c r="B887" t="n">
        <x:f>Y154</x:f>
        <x:v>2669.9938584403485</x:v>
      </x:c>
      <x:c r="C887" t="n">
        <x:f>AA154</x:f>
        <x:v>407.20518284516277</x:v>
      </x:c>
      <x:c r="D887" t="n">
        <x:f>AC154</x:f>
        <x:v>692.4932720409962</x:v>
      </x:c>
      <x:c r="E887" t="n">
        <x:f>AE154</x:f>
        <x:v>630.536343157882</x:v>
      </x:c>
    </x:row>
    <x:row r="888">
      <x:c r="A888" t="n">
        <x:f>I155</x:f>
        <x:v>0.275</x:v>
      </x:c>
      <x:c r="B888" t="n">
        <x:f>Y155</x:f>
        <x:v>2670.053766339852</x:v>
      </x:c>
      <x:c r="C888" t="n">
        <x:f>AA155</x:f>
        <x:v>417.1722436975719</x:v>
      </x:c>
      <x:c r="D888" t="n">
        <x:f>AC155</x:f>
        <x:v>719.9887342761264</x:v>
      </x:c>
      <x:c r="E888" t="n">
        <x:f>AE155</x:f>
        <x:v>658.3210721763679</x:v>
      </x:c>
    </x:row>
    <x:row r="889">
      <x:c r="A889" t="n">
        <x:f>I156</x:f>
        <x:v>0.283</x:v>
      </x:c>
      <x:c r="B889" t="n">
        <x:f>Y156</x:f>
        <x:v>2670.213148337437</x:v>
      </x:c>
      <x:c r="C889" t="n">
        <x:f>AA156</x:f>
        <x:v>428.1712603024178</x:v>
      </x:c>
      <x:c r="D889" t="n">
        <x:f>AC156</x:f>
        <x:v>748.8612775855718</x:v>
      </x:c>
      <x:c r="E889" t="n">
        <x:f>AE156</x:f>
        <x:v>687.4914215100064</x:v>
      </x:c>
    </x:row>
    <x:row r="890">
      <x:c r="A890" t="n">
        <x:f>I157</x:f>
        <x:v>0.292</x:v>
      </x:c>
      <x:c r="B890" t="n">
        <x:f>Y157</x:f>
        <x:v>2670.3303197350824</x:v>
      </x:c>
      <x:c r="C890" t="n">
        <x:f>AA157</x:f>
        <x:v>441.15226021313686</x:v>
      </x:c>
      <x:c r="D890" t="n">
        <x:f>AC157</x:f>
        <x:v>782.0432729637541</x:v>
      </x:c>
      <x:c r="E890" t="n">
        <x:f>AE157</x:f>
        <x:v>721.0186557267189</x:v>
      </x:c>
    </x:row>
    <x:row r="891">
      <x:c r="A891" t="n">
        <x:f>I158</x:f>
        <x:v>0.3</x:v>
      </x:c>
      <x:c r="B891" t="n">
        <x:f>Y158</x:f>
        <x:v>2670.444077775051</x:v>
      </x:c>
      <x:c r="C891" t="n">
        <x:f>AA158</x:f>
        <x:v>452.70768115682705</x:v>
      </x:c>
      <x:c r="D891" t="n">
        <x:f>AC158</x:f>
        <x:v>812.3078287201135</x:v>
      </x:c>
      <x:c r="E891" t="n">
        <x:f>AE158</x:f>
        <x:v>751.5991633940498</x:v>
      </x:c>
    </x:row>
    <x:row r="892">
      <x:c r="A892" t="n">
        <x:f>I159</x:f>
        <x:v>0.308</x:v>
      </x:c>
      <x:c r="B892" t="n">
        <x:f>Y159</x:f>
        <x:v>2670.5153353694513</x:v>
      </x:c>
      <x:c r="C892" t="n">
        <x:f>AA159</x:f>
        <x:v>464.3422104497147</x:v>
      </x:c>
      <x:c r="D892" t="n">
        <x:f>AC159</x:f>
        <x:v>843.990239909538</x:v>
      </x:c>
      <x:c r="E892" t="n">
        <x:f>AE159</x:f>
        <x:v>783.6060657352831</x:v>
      </x:c>
    </x:row>
    <x:row r="893">
      <x:c r="A893" t="n">
        <x:f>I160</x:f>
        <x:v>0.317</x:v>
      </x:c>
      <x:c r="B893" t="n">
        <x:f>Y160</x:f>
        <x:v>2670.7374273408423</x:v>
      </x:c>
      <x:c r="C893" t="n">
        <x:f>AA160</x:f>
        <x:v>477.97385498477803</x:v>
      </x:c>
      <x:c r="D893" t="n">
        <x:f>AC160</x:f>
        <x:v>880.1287937053022</x:v>
      </x:c>
      <x:c r="E893" t="n">
        <x:f>AE160</x:f>
        <x:v>820.1198791381454</x:v>
      </x:c>
    </x:row>
    <x:row r="894">
      <x:c r="A894" t="n">
        <x:f>I161</x:f>
        <x:v>0.325</x:v>
      </x:c>
      <x:c r="B894" t="n">
        <x:f>Y161</x:f>
        <x:v>2670.797103322571</x:v>
      </x:c>
      <x:c r="C894" t="n">
        <x:f>AA161</x:f>
        <x:v>490.4820935126106</x:v>
      </x:c>
      <x:c r="D894" t="n">
        <x:f>AC161</x:f>
        <x:v>913.1515395520814</x:v>
      </x:c>
      <x:c r="E894" t="n">
        <x:f>AE161</x:f>
        <x:v>853.485262023512</x:v>
      </x:c>
    </x:row>
    <x:row r="895">
      <x:c r="A895" t="n">
        <x:f>I162</x:f>
        <x:v>0.333</x:v>
      </x:c>
      <x:c r="B895" t="n">
        <x:f>Y162</x:f>
        <x:v>2670.9787828596327</x:v>
      </x:c>
      <x:c r="C895" t="n">
        <x:f>AA162</x:f>
        <x:v>503.19758645294866</x:v>
      </x:c>
      <x:c r="D895" t="n">
        <x:f>AC162</x:f>
        <x:v>947.335274155724</x:v>
      </x:c>
      <x:c r="E895" t="n">
        <x:f>AE162</x:f>
        <x:v>888.0201729065793</x:v>
      </x:c>
    </x:row>
    <x:row r="896">
      <x:c r="A896" t="n">
        <x:f>I163</x:f>
        <x:v>0.342</x:v>
      </x:c>
      <x:c r="B896" t="n">
        <x:f>Y163</x:f>
        <x:v>2671.203786370632</x:v>
      </x:c>
      <x:c r="C896" t="n">
        <x:f>AA163</x:f>
        <x:v>518.040579966203</x:v>
      </x:c>
      <x:c r="D896" t="n">
        <x:f>AC163</x:f>
        <x:v>986.2109894672132</x:v>
      </x:c>
      <x:c r="E896" t="n">
        <x:f>AE163</x:f>
        <x:v>927.3011685937341</x:v>
      </x:c>
    </x:row>
    <x:row r="897">
      <x:c r="A897" t="n">
        <x:f>I164</x:f>
        <x:v>0.35</x:v>
      </x:c>
      <x:c r="B897" t="n">
        <x:f>Y164</x:f>
        <x:v>2671.217258703795</x:v>
      </x:c>
      <x:c r="C897" t="n">
        <x:f>AA164</x:f>
        <x:v>531.602952215883</x:v>
      </x:c>
      <x:c r="D897" t="n">
        <x:f>AC164</x:f>
        <x:v>1021.9898236507371</x:v>
      </x:c>
      <x:c r="E897" t="n">
        <x:f>AE164</x:f>
        <x:v>963.4493249434615</x:v>
      </x:c>
    </x:row>
    <x:row r="898">
      <x:c r="A898" t="n">
        <x:f>I165</x:f>
        <x:v>0.358</x:v>
      </x:c>
      <x:c r="B898" t="n">
        <x:f>Y165</x:f>
        <x:v>2671.3747102286848</x:v>
      </x:c>
      <x:c r="C898" t="n">
        <x:f>AA165</x:f>
        <x:v>545.2847603872583</x:v>
      </x:c>
      <x:c r="D898" t="n">
        <x:f>AC165</x:f>
        <x:v>1058.6458157350023</x:v>
      </x:c>
      <x:c r="E898" t="n">
        <x:f>AE165</x:f>
        <x:v>1000.4831784347671</x:v>
      </x:c>
    </x:row>
    <x:row r="899">
      <x:c r="A899" t="n">
        <x:f>I166</x:f>
        <x:v>0.367</x:v>
      </x:c>
      <x:c r="B899" t="n">
        <x:f>Y166</x:f>
        <x:v>2671.607898305689</x:v>
      </x:c>
      <x:c r="C899" t="n">
        <x:f>AA166</x:f>
        <x:v>560.9838146656962</x:v>
      </x:c>
      <x:c r="D899" t="n">
        <x:f>AC166</x:f>
        <x:v>1100.2228354690478</x:v>
      </x:c>
      <x:c r="E899" t="n">
        <x:f>AE166</x:f>
        <x:v>1042.4954993130461</x:v>
      </x:c>
    </x:row>
    <x:row r="900">
      <x:c r="A900" t="n">
        <x:f>I167</x:f>
        <x:v>0.375</x:v>
      </x:c>
      <x:c r="B900" t="n">
        <x:f>Y167</x:f>
        <x:v>2671.772595292662</x:v>
      </x:c>
      <x:c r="C900" t="n">
        <x:f>AA167</x:f>
        <x:v>575.2592717158128</x:v>
      </x:c>
      <x:c r="D900" t="n">
        <x:f>AC167</x:f>
        <x:v>1138.7605574322938</x:v>
      </x:c>
      <x:c r="E900" t="n">
        <x:f>AE167</x:f>
        <x:v>1081.4292285701115</x:v>
      </x:c>
    </x:row>
    <x:row r="901">
      <x:c r="A901" t="n">
        <x:f>I168</x:f>
        <x:v>0.383</x:v>
      </x:c>
      <x:c r="B901" t="n">
        <x:f>Y168</x:f>
        <x:v>2671.903622796239</x:v>
      </x:c>
      <x:c r="C901" t="n">
        <x:f>AA168</x:f>
        <x:v>590.285607665682</x:v>
      </x:c>
      <x:c r="D901" t="n">
        <x:f>AC168</x:f>
        <x:v>1177.7366521085353</x:v>
      </x:c>
      <x:c r="E901" t="n">
        <x:f>AE168</x:f>
        <x:v>1120.8098697810094</x:v>
      </x:c>
    </x:row>
    <x:row r="902">
      <x:c r="A902" t="n">
        <x:f>I169</x:f>
        <x:v>0.392</x:v>
      </x:c>
      <x:c r="B902" t="n">
        <x:f>Y169</x:f>
        <x:v>2672.186431982876</x:v>
      </x:c>
      <x:c r="C902" t="n">
        <x:f>AA169</x:f>
        <x:v>607.501561535222</x:v>
      </x:c>
      <x:c r="D902" t="n">
        <x:f>AC169</x:f>
        <x:v>1222.6057281367232</x:v>
      </x:c>
      <x:c r="E902" t="n">
        <x:f>AE169</x:f>
        <x:v>1166.1442677219984</x:v>
      </x:c>
    </x:row>
    <x:row r="903">
      <x:c r="A903" t="n">
        <x:f>I170</x:f>
        <x:v>0.4</x:v>
      </x:c>
      <x:c r="B903" t="n">
        <x:f>Y170</x:f>
        <x:v>2672.278912699196</x:v>
      </x:c>
      <x:c r="C903" t="n">
        <x:f>AA170</x:f>
        <x:v>622.9166520341081</x:v>
      </x:c>
      <x:c r="D903" t="n">
        <x:f>AC170</x:f>
        <x:v>1263.7436976342328</x:v>
      </x:c>
      <x:c r="E903" t="n">
        <x:f>AE170</x:f>
        <x:v>1207.7049296409432</x:v>
      </x:c>
    </x:row>
    <x:row r="904">
      <x:c r="A904" t="n">
        <x:f>I171</x:f>
        <x:v>0.408</x:v>
      </x:c>
      <x:c r="B904" t="n">
        <x:f>Y171</x:f>
        <x:v>2672.422684953723</x:v>
      </x:c>
      <x:c r="C904" t="n">
        <x:f>AA171</x:f>
        <x:v>638.4143292101328</x:v>
      </x:c>
      <x:c r="D904" t="n">
        <x:f>AC171</x:f>
        <x:v>1304.993058303427</x:v>
      </x:c>
      <x:c r="E904" t="n">
        <x:f>AE171</x:f>
        <x:v>1249.3855219724098</x:v>
      </x:c>
    </x:row>
    <x:row r="905">
      <x:c r="A905" t="n">
        <x:f>I172</x:f>
        <x:v>0.417</x:v>
      </x:c>
      <x:c r="B905" t="n">
        <x:f>Y172</x:f>
        <x:v>2672.7507541412438</x:v>
      </x:c>
      <x:c r="C905" t="n">
        <x:f>AA172</x:f>
        <x:v>656.4778874083446</x:v>
      </x:c>
      <x:c r="D905" t="n">
        <x:f>AC172</x:f>
        <x:v>1352.9496387434049</x:v>
      </x:c>
      <x:c r="E905" t="n">
        <x:f>AE172</x:f>
        <x:v>1297.8374450937565</x:v>
      </x:c>
    </x:row>
    <x:row r="906">
      <x:c r="A906" t="n">
        <x:f>I173</x:f>
        <x:v>0.425</x:v>
      </x:c>
      <x:c r="B906" t="n">
        <x:f>Y173</x:f>
        <x:v>2672.8797701745452</x:v>
      </x:c>
      <x:c r="C906" t="n">
        <x:f>AA173</x:f>
        <x:v>672.9521582471372</x:v>
      </x:c>
      <x:c r="D906" t="n">
        <x:f>AC173</x:f>
        <x:v>1396.3473019036721</x:v>
      </x:c>
      <x:c r="E906" t="n">
        <x:f>AE173</x:f>
        <x:v>1341.6844858030745</x:v>
      </x:c>
    </x:row>
    <x:row r="907">
      <x:c r="A907" t="n">
        <x:f>I174</x:f>
        <x:v>0.433</x:v>
      </x:c>
      <x:c r="B907" t="n">
        <x:f>Y174</x:f>
        <x:v>2673.023648727582</x:v>
      </x:c>
      <x:c r="C907" t="n">
        <x:f>AA174</x:f>
        <x:v>689.9092702737296</x:v>
      </x:c>
      <x:c r="D907" t="n">
        <x:f>AC174</x:f>
        <x:v>1440.15613079986</x:v>
      </x:c>
      <x:c r="E907" t="n">
        <x:f>AE174</x:f>
        <x:v>1385.951231489151</x:v>
      </x:c>
    </x:row>
    <x:row r="908">
      <x:c r="A908" t="n">
        <x:f>I175</x:f>
        <x:v>0.442</x:v>
      </x:c>
      <x:c r="B908" t="n">
        <x:f>Y175</x:f>
        <x:v>2673.203151441436</x:v>
      </x:c>
      <x:c r="C908" t="n">
        <x:f>AA175</x:f>
        <x:v>709.4713880484527</x:v>
      </x:c>
      <x:c r="D908" t="n">
        <x:f>AC175</x:f>
        <x:v>1491.0284044154105</x:v>
      </x:c>
      <x:c r="E908" t="n">
        <x:f>AE175</x:f>
        <x:v>1437.3488685546383</x:v>
      </x:c>
    </x:row>
    <x:row r="909">
      <x:c r="A909" t="n">
        <x:f>I176</x:f>
        <x:v>0.45</x:v>
      </x:c>
      <x:c r="B909" t="n">
        <x:f>Y176</x:f>
        <x:v>2673.4865059902168</x:v>
      </x:c>
      <x:c r="C909" t="n">
        <x:f>AA176</x:f>
        <x:v>726.6160489398486</x:v>
      </x:c>
      <x:c r="D909" t="n">
        <x:f>AC176</x:f>
        <x:v>1536.7947165438725</x:v>
      </x:c>
      <x:c r="E909" t="n">
        <x:f>AE176</x:f>
        <x:v>1483.5912433597673</x:v>
      </x:c>
    </x:row>
    <x:row r="910">
      <x:c r="A910" t="n">
        <x:f>I177</x:f>
        <x:v>0.458</x:v>
      </x:c>
      <x:c r="B910" t="n">
        <x:f>Y177</x:f>
        <x:v>2673.8136935452526</x:v>
      </x:c>
      <x:c r="C910" t="n">
        <x:f>AA177</x:f>
        <x:v>743.9212040900048</x:v>
      </x:c>
      <x:c r="D910" t="n">
        <x:f>AC177</x:f>
        <x:v>1583.219543020566</x:v>
      </x:c>
      <x:c r="E910" t="n">
        <x:f>AE177</x:f>
        <x:v>1530.5006717539648</x:v>
      </x:c>
    </x:row>
    <x:row r="911">
      <x:c r="A911" t="n">
        <x:f>I178</x:f>
        <x:v>0.467</x:v>
      </x:c>
      <x:c r="B911" t="n">
        <x:f>Y178</x:f>
        <x:v>2674.008990974961</x:v>
      </x:c>
      <x:c r="C911" t="n">
        <x:f>AA178</x:f>
        <x:v>764.4798066752313</x:v>
      </x:c>
      <x:c r="D911" t="n">
        <x:f>AC178</x:f>
        <x:v>1637.3411182670352</x:v>
      </x:c>
      <x:c r="E911" t="n">
        <x:f>AE178</x:f>
        <x:v>1585.1776312189386</x:v>
      </x:c>
    </x:row>
    <x:row r="912">
      <x:c r="A912" t="n">
        <x:f>I179</x:f>
        <x:v>0.475</x:v>
      </x:c>
      <x:c r="B912" t="n">
        <x:f>Y179</x:f>
        <x:v>2674.175165150319</x:v>
      </x:c>
      <x:c r="C912" t="n">
        <x:f>AA179</x:f>
        <x:v>783.3268131486861</x:v>
      </x:c>
      <x:c r="D912" t="n">
        <x:f>AC179</x:f>
        <x:v>1685.5394953979162</x:v>
      </x:c>
      <x:c r="E912" t="n">
        <x:f>AE179</x:f>
        <x:v>1633.8787561541026</x:v>
      </x:c>
    </x:row>
    <x:row r="913">
      <x:c r="A913" t="n">
        <x:f>I180</x:f>
        <x:v>0.483</x:v>
      </x:c>
      <x:c r="B913" t="n">
        <x:f>Y180</x:f>
        <x:v>2674.4235115684287</x:v>
      </x:c>
      <x:c r="C913" t="n">
        <x:f>AA180</x:f>
        <x:v>801.8464832007562</x:v>
      </x:c>
      <x:c r="D913" t="n">
        <x:f>AC180</x:f>
        <x:v>1735.101566695354</x:v>
      </x:c>
      <x:c r="E913" t="n">
        <x:f>AE180</x:f>
        <x:v>1683.9521144966598</x:v>
      </x:c>
    </x:row>
    <x:row r="914">
      <x:c r="A914" t="n">
        <x:f>I181</x:f>
        <x:v>0.492</x:v>
      </x:c>
      <x:c r="B914" t="n">
        <x:f>Y181</x:f>
        <x:v>2674.858320794281</x:v>
      </x:c>
      <x:c r="C914" t="n">
        <x:f>AA181</x:f>
        <x:v>822.967307698896</x:v>
      </x:c>
      <x:c r="D914" t="n">
        <x:f>AC181</x:f>
        <x:v>1791.9512689962028</x:v>
      </x:c>
      <x:c r="E914" t="n">
        <x:f>AE181</x:f>
        <x:v>1741.3872217845812</x:v>
      </x:c>
    </x:row>
    <x:row r="915">
      <x:c r="A915" t="n">
        <x:f>I182</x:f>
        <x:v>0.5</x:v>
      </x:c>
      <x:c r="B915" t="n">
        <x:f>Y182</x:f>
        <x:v>2675.1047945408004</x:v>
      </x:c>
      <x:c r="C915" t="n">
        <x:f>AA182</x:f>
        <x:v>842.217239852953</x:v>
      </x:c>
      <x:c r="D915" t="n">
        <x:f>AC182</x:f>
        <x:v>1842.7794861023433</x:v>
      </x:c>
      <x:c r="E915" t="n">
        <x:f>AE182</x:f>
        <x:v>1792.7448718226206</x:v>
      </x:c>
    </x:row>
    <x:row r="916">
      <x:c r="A916" t="n">
        <x:f>I183</x:f>
        <x:v>0.508</x:v>
      </x:c>
      <x:c r="B916" t="n">
        <x:f>Y183</x:f>
        <x:v>2675.266200681919</x:v>
      </x:c>
      <x:c r="C916" t="n">
        <x:f>AA183</x:f>
        <x:v>861.7927147745436</x:v>
      </x:c>
      <x:c r="D916" t="n">
        <x:f>AC183</x:f>
        <x:v>1894.9471352963021</x:v>
      </x:c>
      <x:c r="E916" t="n">
        <x:f>AE183</x:f>
        <x:v>1845.4504931893146</x:v>
      </x:c>
    </x:row>
    <x:row r="917">
      <x:c r="A917" t="n">
        <x:f>I184</x:f>
        <x:v>0.517</x:v>
      </x:c>
      <x:c r="B917" t="n">
        <x:f>Y184</x:f>
        <x:v>2675.607009709583</x:v>
      </x:c>
      <x:c r="C917" t="n">
        <x:f>AA184</x:f>
        <x:v>884.3474875000024</x:v>
      </x:c>
      <x:c r="D917" t="n">
        <x:f>AC184</x:f>
        <x:v>1954.255429976066</x:v>
      </x:c>
      <x:c r="E917" t="n">
        <x:f>AE184</x:f>
        <x:v>1905.374213624719</x:v>
      </x:c>
    </x:row>
    <x:row r="918">
      <x:c r="A918" t="n">
        <x:f>I185</x:f>
        <x:v>0.525</x:v>
      </x:c>
      <x:c r="B918" t="n">
        <x:f>Y185</x:f>
        <x:v>2675.7438987522546</x:v>
      </x:c>
      <x:c r="C918" t="n">
        <x:f>AA185</x:f>
        <x:v>904.8934348311742</x:v>
      </x:c>
      <x:c r="D918" t="n">
        <x:f>AC185</x:f>
        <x:v>2007.7962312536533</x:v>
      </x:c>
      <x:c r="E918" t="n">
        <x:f>AE185</x:f>
        <x:v>1959.4711329618208</x:v>
      </x:c>
    </x:row>
    <x:row r="919">
      <x:c r="A919" t="n">
        <x:f>I186</x:f>
        <x:v>0.533</x:v>
      </x:c>
      <x:c r="B919" t="n">
        <x:f>Y186</x:f>
        <x:v>2676.0368656583214</x:v>
      </x:c>
      <x:c r="C919" t="n">
        <x:f>AA186</x:f>
        <x:v>925.2961133666385</x:v>
      </x:c>
      <x:c r="D919" t="n">
        <x:f>AC186</x:f>
        <x:v>2062.4558981393748</x:v>
      </x:c>
      <x:c r="E919" t="n">
        <x:f>AE186</x:f>
        <x:v>2014.695457147894</x:v>
      </x:c>
    </x:row>
    <x:row r="920">
      <x:c r="A920" t="n">
        <x:f>I187</x:f>
        <x:v>0.542</x:v>
      </x:c>
      <x:c r="B920" t="n">
        <x:f>Y187</x:f>
        <x:v>2676.2888769199035</x:v>
      </x:c>
      <x:c r="C920" t="n">
        <x:f>AA187</x:f>
        <x:v>948.5491738828646</x:v>
      </x:c>
      <x:c r="D920" t="n">
        <x:f>AC187</x:f>
        <x:v>2124.427620402392</x:v>
      </x:c>
      <x:c r="E920" t="n">
        <x:f>AE187</x:f>
        <x:v>2077.3126259351197</x:v>
      </x:c>
    </x:row>
    <x:row r="921">
      <x:c r="A921" t="n">
        <x:f>I188</x:f>
        <x:v>0.55</x:v>
      </x:c>
      <x:c r="B921" t="n">
        <x:f>Y188</x:f>
        <x:v>2676.60909795797</x:v>
      </x:c>
      <x:c r="C921" t="n">
        <x:f>AA188</x:f>
        <x:v>969.7240027915016</x:v>
      </x:c>
      <x:c r="D921" t="n">
        <x:f>AC188</x:f>
        <x:v>2180.714249526638</x:v>
      </x:c>
      <x:c r="E921" t="n">
        <x:f>AE188</x:f>
        <x:v>2134.182058246496</x:v>
      </x:c>
    </x:row>
    <x:row r="922">
      <x:c r="A922" t="n">
        <x:f>I189</x:f>
        <x:v>0.558</x:v>
      </x:c>
      <x:c r="B922" t="n">
        <x:f>Y189</x:f>
        <x:v>2676.761436837114</x:v>
      </x:c>
      <x:c r="C922" t="n">
        <x:f>AA189</x:f>
        <x:v>991.3044296756246</x:v>
      </x:c>
      <x:c r="D922" t="n">
        <x:f>AC189</x:f>
        <x:v>2237.9762205627926</x:v>
      </x:c>
      <x:c r="E922" t="n">
        <x:f>AE189</x:f>
        <x:v>2192.0353717106177</x:v>
      </x:c>
    </x:row>
    <x:row r="923">
      <x:c r="A923" t="n">
        <x:f>I190</x:f>
        <x:v>0.567</x:v>
      </x:c>
      <x:c r="B923" t="n">
        <x:f>Y190</x:f>
        <x:v>2676.9678952459385</x:v>
      </x:c>
      <x:c r="C923" t="n">
        <x:f>AA190</x:f>
        <x:v>1016.1752855742253</x:v>
      </x:c>
      <x:c r="D923" t="n">
        <x:f>AC190</x:f>
        <x:v>2302.749358961962</x:v>
      </x:c>
      <x:c r="E923" t="n">
        <x:f>AE190</x:f>
        <x:v>2257.4839774025636</x:v>
      </x:c>
    </x:row>
    <x:row r="924">
      <x:c r="A924" t="n">
        <x:f>I191</x:f>
        <x:v>0.575</x:v>
      </x:c>
      <x:c r="B924" t="n">
        <x:f>Y191</x:f>
        <x:v>2677.1867210166747</x:v>
      </x:c>
      <x:c r="C924" t="n">
        <x:f>AA191</x:f>
        <x:v>1038.401723688319</x:v>
      </x:c>
      <x:c r="D924" t="n">
        <x:f>AC191</x:f>
        <x:v>2361.943478253393</x:v>
      </x:c>
      <x:c r="E924" t="n">
        <x:f>AE191</x:f>
        <x:v>2317.2875850087407</x:v>
      </x:c>
    </x:row>
    <x:row r="925">
      <x:c r="A925" t="n">
        <x:f>I192</x:f>
        <x:v>0.583</x:v>
      </x:c>
      <x:c r="B925" t="n">
        <x:f>Y192</x:f>
        <x:v>2677.3815092232917</x:v>
      </x:c>
      <x:c r="C925" t="n">
        <x:f>AA192</x:f>
        <x:v>1060.8081910527985</x:v>
      </x:c>
      <x:c r="D925" t="n">
        <x:f>AC192</x:f>
        <x:v>2421.619819894157</x:v>
      </x:c>
      <x:c r="E925" t="n">
        <x:f>AE192</x:f>
        <x:v>2377.581954205088</x:v>
      </x:c>
    </x:row>
    <x:row r="926">
      <x:c r="A926" t="n">
        <x:f>I193</x:f>
        <x:v>0.592</x:v>
      </x:c>
      <x:c r="B926" t="n">
        <x:f>Y193</x:f>
        <x:v>2677.619339587693</x:v>
      </x:c>
      <x:c r="C926" t="n">
        <x:f>AA193</x:f>
        <x:v>1086.4391980001599</x:v>
      </x:c>
      <x:c r="D926" t="n">
        <x:f>AC193</x:f>
        <x:v>2489.383536065449</x:v>
      </x:c>
      <x:c r="E926" t="n">
        <x:f>AE193</x:f>
        <x:v>2446.0511584377236</x:v>
      </x:c>
    </x:row>
    <x:row r="927">
      <x:c r="A927" t="n">
        <x:f>I194</x:f>
        <x:v>0.6</x:v>
      </x:c>
      <x:c r="B927" t="n">
        <x:f>Y194</x:f>
        <x:v>2677.816380981363</x:v>
      </x:c>
      <x:c r="C927" t="n">
        <x:f>AA194</x:f>
        <x:v>1109.513437541667</x:v>
      </x:c>
      <x:c r="D927" t="n">
        <x:f>AC194</x:f>
        <x:v>2551.1472763301194</x:v>
      </x:c>
      <x:c r="E927" t="n">
        <x:f>AE194</x:f>
        <x:v>2508.451072144756</x:v>
      </x:c>
    </x:row>
    <x:row r="928">
      <x:c r="A928" t="n">
        <x:f>I195</x:f>
        <x:v>0.608</x:v>
      </x:c>
      <x:c r="B928" t="n">
        <x:f>Y195</x:f>
        <x:v>2678.077818920377</x:v>
      </x:c>
      <x:c r="C928" t="n">
        <x:f>AA195</x:f>
        <x:v>1133.2303407408722</x:v>
      </x:c>
      <x:c r="D928" t="n">
        <x:f>AC195</x:f>
        <x:v>2612.9574942317936</x:v>
      </x:c>
      <x:c r="E928" t="n">
        <x:f>AE195</x:f>
        <x:v>2570.906002729629</x:v>
      </x:c>
    </x:row>
    <x:row r="929">
      <x:c r="A929" t="n">
        <x:f>I196</x:f>
        <x:v>0.617</x:v>
      </x:c>
      <x:c r="B929" t="n">
        <x:f>Y196</x:f>
        <x:v>2678.257267408554</x:v>
      </x:c>
      <x:c r="C929" t="n">
        <x:f>AA196</x:f>
        <x:v>1160.442414389766</x:v>
      </x:c>
      <x:c r="D929" t="n">
        <x:f>AC196</x:f>
        <x:v>2683.9185129860057</x:v>
      </x:c>
      <x:c r="E929" t="n">
        <x:f>AE196</x:f>
        <x:v>2642.6025303137535</x:v>
      </x:c>
    </x:row>
    <x:row r="930">
      <x:c r="A930" t="n">
        <x:f>I197</x:f>
        <x:v>0.625</x:v>
      </x:c>
      <x:c r="B930" t="n">
        <x:f>Y197</x:f>
        <x:v>2678.562506834351</x:v>
      </x:c>
      <x:c r="C930" t="n">
        <x:f>AA197</x:f>
        <x:v>1184.7688552263792</x:v>
      </x:c>
      <x:c r="D930" t="n">
        <x:f>AC197</x:f>
        <x:v>2748.1539582175906</x:v>
      </x:c>
      <x:c r="E930" t="n">
        <x:f>AE197</x:f>
        <x:v>2707.5008341153157</x:v>
      </x:c>
    </x:row>
    <x:row r="931">
      <x:c r="A931" t="n">
        <x:f>I198</x:f>
        <x:v>0.633</x:v>
      </x:c>
      <x:c r="B931" t="n">
        <x:f>Y198</x:f>
        <x:v>2678.7296092144975</x:v>
      </x:c>
      <x:c r="C931" t="n">
        <x:f>AA198</x:f>
        <x:v>1208.9011254281424</x:v>
      </x:c>
      <x:c r="D931" t="n">
        <x:f>AC198</x:f>
        <x:v>2812.643021194951</x:v>
      </x:c>
      <x:c r="E931" t="n">
        <x:f>AE198</x:f>
        <x:v>2772.661294903491</x:v>
      </x:c>
    </x:row>
    <x:row r="932">
      <x:c r="A932" t="n">
        <x:f>I199</x:f>
        <x:v>0.642</x:v>
      </x:c>
      <x:c r="B932" t="n">
        <x:f>Y199</x:f>
        <x:v>2678.9468219985</x:v>
      </x:c>
      <x:c r="C932" t="n">
        <x:f>AA199</x:f>
        <x:v>1236.442375381141</x:v>
      </x:c>
      <x:c r="D932" t="n">
        <x:f>AC199</x:f>
        <x:v>2886.745461194615</x:v>
      </x:c>
      <x:c r="E932" t="n">
        <x:f>AE199</x:f>
        <x:v>2847.5292645016348</x:v>
      </x:c>
    </x:row>
    <x:row r="933">
      <x:c r="A933" t="n">
        <x:f>I200</x:f>
        <x:v>0.65</x:v>
      </x:c>
      <x:c r="B933" t="n">
        <x:f>Y200</x:f>
        <x:v>2679.2351279428963</x:v>
      </x:c>
      <x:c r="C933" t="n">
        <x:f>AA200</x:f>
        <x:v>1261.9553443495988</x:v>
      </x:c>
      <x:c r="D933" t="n">
        <x:f>AC200</x:f>
        <x:v>2953.4833326943153</x:v>
      </x:c>
      <x:c r="E933" t="n">
        <x:f>AE200</x:f>
        <x:v>2914.956679698929</x:v>
      </x:c>
    </x:row>
    <x:row r="934">
      <x:c r="A934" t="n">
        <x:f>I201</x:f>
        <x:v>0.658</x:v>
      </x:c>
      <x:c r="B934" t="n">
        <x:f>Y201</x:f>
        <x:v>2679.5429217645637</x:v>
      </x:c>
      <x:c r="C934" t="n">
        <x:f>AA201</x:f>
        <x:v>1287.9071431225977</x:v>
      </x:c>
      <x:c r="D934" t="n">
        <x:f>AC201</x:f>
        <x:v>3020.547672175684</x:v>
      </x:c>
      <x:c r="E934" t="n">
        <x:f>AE201</x:f>
        <x:v>2982.719102118728</x:v>
      </x:c>
    </x:row>
    <x:row r="935">
      <x:c r="A935" t="n">
        <x:f>I202</x:f>
        <x:v>0.667</x:v>
      </x:c>
      <x:c r="B935" t="n">
        <x:f>Y202</x:f>
        <x:v>2679.910579902679</x:v>
      </x:c>
      <x:c r="C935" t="n">
        <x:f>AA202</x:f>
        <x:v>1316.7488441310127</x:v>
      </x:c>
      <x:c r="D935" t="n">
        <x:f>AC202</x:f>
        <x:v>3097.7527678159954</x:v>
      </x:c>
      <x:c r="E935" t="n">
        <x:f>AE202</x:f>
        <x:v>3060.7197481260864</x:v>
      </x:c>
    </x:row>
    <x:row r="936">
      <x:c r="A936" t="n">
        <x:f>I203</x:f>
        <x:v>0.675</x:v>
      </x:c>
      <x:c r="B936" t="n">
        <x:f>Y203</x:f>
        <x:v>2680.26988053738</x:v>
      </x:c>
      <x:c r="C936" t="n">
        <x:f>AA203</x:f>
        <x:v>1342.781784912361</x:v>
      </x:c>
      <x:c r="D936" t="n">
        <x:f>AC203</x:f>
        <x:v>3166.73583463882</x:v>
      </x:c>
      <x:c r="E936" t="n">
        <x:f>AE203</x:f>
        <x:v>3130.4190437741213</x:v>
      </x:c>
    </x:row>
    <x:row r="937">
      <x:c r="A937" t="n">
        <x:f>I204</x:f>
        <x:v>0.683</x:v>
      </x:c>
      <x:c r="B937" t="n">
        <x:f>Y204</x:f>
        <x:v>2680.6154974151013</x:v>
      </x:c>
      <x:c r="C937" t="n">
        <x:f>AA204</x:f>
        <x:v>1369.0331480409086</x:v>
      </x:c>
      <x:c r="D937" t="n">
        <x:f>AC204</x:f>
        <x:v>3236.505927024445</x:v>
      </x:c>
      <x:c r="E937" t="n">
        <x:f>AE204</x:f>
        <x:v>3200.913904225793</x:v>
      </x:c>
    </x:row>
    <x:row r="938">
      <x:c r="A938" t="n">
        <x:f>I205</x:f>
        <x:v>0.692</x:v>
      </x:c>
      <x:c r="B938" t="n">
        <x:f>Y205</x:f>
        <x:v>2681.0146298396603</x:v>
      </x:c>
      <x:c r="C938" t="n">
        <x:f>AA205</x:f>
        <x:v>1399.215260026979</x:v>
      </x:c>
      <x:c r="D938" t="n">
        <x:f>AC205</x:f>
        <x:v>3316.518811792082</x:v>
      </x:c>
      <x:c r="E938" t="n">
        <x:f>AE205</x:f>
        <x:v>3281.7523601290454</x:v>
      </x:c>
    </x:row>
    <x:row r="939">
      <x:c r="A939" t="n">
        <x:f>I206</x:f>
        <x:v>0.7</x:v>
      </x:c>
      <x:c r="B939" t="n">
        <x:f>Y206</x:f>
        <x:v>2681.3581731791746</x:v>
      </x:c>
      <x:c r="C939" t="n">
        <x:f>AA206</x:f>
        <x:v>1426.519680102296</x:v>
      </x:c>
      <x:c r="D939" t="n">
        <x:f>AC206</x:f>
        <x:v>3387.654474031865</x:v>
      </x:c>
      <x:c r="E939" t="n">
        <x:f>AE206</x:f>
        <x:v>3353.6309363216533</x:v>
      </x:c>
    </x:row>
    <x:row r="940">
      <x:c r="A940" t="n">
        <x:f>I207</x:f>
        <x:v>0.708</x:v>
      </x:c>
      <x:c r="B940" t="n">
        <x:f>Y207</x:f>
        <x:v>2681.7323374639054</x:v>
      </x:c>
      <x:c r="C940" t="n">
        <x:f>AA207</x:f>
        <x:v>1454.3031298706867</x:v>
      </x:c>
      <x:c r="D940" t="n">
        <x:f>AC207</x:f>
        <x:v>3460.2015967853595</x:v>
      </x:c>
      <x:c r="E940" t="n">
        <x:f>AE207</x:f>
        <x:v>3426.929512268811</x:v>
      </x:c>
    </x:row>
    <x:row r="941">
      <x:c r="A941" t="n">
        <x:f>I208</x:f>
        <x:v>0.717</x:v>
      </x:c>
      <x:c r="B941" t="n">
        <x:f>Y208</x:f>
        <x:v>2682.021911892592</x:v>
      </x:c>
      <x:c r="C941" t="n">
        <x:f>AA208</x:f>
        <x:v>1485.1953185400328</x:v>
      </x:c>
      <x:c r="D941" t="n">
        <x:f>AC208</x:f>
        <x:v>3542.824705902011</x:v>
      </x:c>
      <x:c r="E941" t="n">
        <x:f>AE208</x:f>
        <x:v>3510.4082132896456</x:v>
      </x:c>
    </x:row>
    <x:row r="942">
      <x:c r="A942" t="n">
        <x:f>I209</x:f>
        <x:v>0.725</x:v>
      </x:c>
      <x:c r="B942" t="n">
        <x:f>Y209</x:f>
        <x:v>2682.402217414478</x:v>
      </x:c>
      <x:c r="C942" t="n">
        <x:f>AA209</x:f>
        <x:v>1512.9108568074805</x:v>
      </x:c>
      <x:c r="D942" t="n">
        <x:f>AC209</x:f>
        <x:v>3616.803052164902</x:v>
      </x:c>
      <x:c r="E942" t="n">
        <x:f>AE209</x:f>
        <x:v>3585.1561586329767</x:v>
      </x:c>
    </x:row>
    <x:row r="943">
      <x:c r="A943" t="n">
        <x:f>I210</x:f>
        <x:v>0.733</x:v>
      </x:c>
      <x:c r="B943" t="n">
        <x:f>Y210</x:f>
        <x:v>2682.7748799157594</x:v>
      </x:c>
      <x:c r="C943" t="n">
        <x:f>AA210</x:f>
        <x:v>1541.4540654481948</x:v>
      </x:c>
      <x:c r="D943" t="n">
        <x:f>AC210</x:f>
        <x:v>3692.183049402466</x:v>
      </x:c>
      <x:c r="E943" t="n">
        <x:f>AE210</x:f>
        <x:v>3661.3142941918195</x:v>
      </x:c>
    </x:row>
    <x:row r="944">
      <x:c r="A944" t="n">
        <x:f>I211</x:f>
        <x:v>0.742</x:v>
      </x:c>
      <x:c r="B944" t="n">
        <x:f>Y211</x:f>
        <x:v>2683.2285243627853</x:v>
      </x:c>
      <x:c r="C944" t="n">
        <x:f>AA211</x:f>
        <x:v>1574.197633849197</x:v>
      </x:c>
      <x:c r="D944" t="n">
        <x:f>AC211</x:f>
        <x:v>3777.6203108286313</x:v>
      </x:c>
      <x:c r="E944" t="n">
        <x:f>AE211</x:f>
        <x:v>3747.6371682907366</x:v>
      </x:c>
    </x:row>
    <x:row r="945">
      <x:c r="A945" t="n">
        <x:f>I212</x:f>
        <x:v>0.75</x:v>
      </x:c>
      <x:c r="B945" t="n">
        <x:f>Y212</x:f>
        <x:v>2683.554809160464</x:v>
      </x:c>
      <x:c r="C945" t="n">
        <x:f>AA212</x:f>
        <x:v>1603.1443212159713</x:v>
      </x:c>
      <x:c r="D945" t="n">
        <x:f>AC212</x:f>
        <x:v>3854.309398143715</x:v>
      </x:c>
      <x:c r="E945" t="n">
        <x:f>AE212</x:f>
        <x:v>3825.1225398138768</x:v>
      </x:c>
    </x:row>
    <x:row r="946">
      <x:c r="A946" t="n">
        <x:f>I213</x:f>
        <x:v>0.758</x:v>
      </x:c>
      <x:c r="B946" t="n">
        <x:f>Y213</x:f>
        <x:v>2683.8975540425167</x:v>
      </x:c>
      <x:c r="C946" t="n">
        <x:f>AA213</x:f>
        <x:v>1632.5427234407928</x:v>
      </x:c>
      <x:c r="D946" t="n">
        <x:f>AC213</x:f>
        <x:v>3932.4165893514773</x:v>
      </x:c>
      <x:c r="E946" t="n">
        <x:f>AE213</x:f>
        <x:v>3904.0345544705324</x:v>
      </x:c>
    </x:row>
    <x:row r="947">
      <x:c r="A947" t="n">
        <x:f>I214</x:f>
        <x:v>0.767</x:v>
      </x:c>
      <x:c r="B947" t="n">
        <x:f>Y214</x:f>
        <x:v>2684.276394237561</x:v>
      </x:c>
      <x:c r="C947" t="n">
        <x:f>AA214</x:f>
        <x:v>1665.8157365634884</x:v>
      </x:c>
      <x:c r="D947" t="n">
        <x:f>AC214</x:f>
        <x:v>4020.5820211383852</x:v>
      </x:c>
      <x:c r="E947" t="n">
        <x:f>AE214</x:f>
        <x:v>3993.1156196987613</x:v>
      </x:c>
    </x:row>
    <x:row r="948">
      <x:c r="A948" t="n">
        <x:f>I215</x:f>
        <x:v>0.775</x:v>
      </x:c>
      <x:c r="B948" t="n">
        <x:f>Y215</x:f>
        <x:v>2684.622731679297</x:v>
      </x:c>
      <x:c r="C948" t="n">
        <x:f>AA215</x:f>
        <x:v>1695.927154650577</x:v>
      </x:c>
      <x:c r="D948" t="n">
        <x:f>AC215</x:f>
        <x:v>4100.086231470472</x:v>
      </x:c>
      <x:c r="E948" t="n">
        <x:f>AE215</x:f>
        <x:v>4073.442799366519</x:v>
      </x:c>
    </x:row>
    <x:row r="949">
      <x:c r="A949" t="n">
        <x:f>I216</x:f>
        <x:v>0.783</x:v>
      </x:c>
      <x:c r="B949" t="n">
        <x:f>Y216</x:f>
        <x:v>2684.9589026777235</x:v>
      </x:c>
      <x:c r="C949" t="n">
        <x:f>AA216</x:f>
        <x:v>1726.1480175819895</x:v>
      </x:c>
      <x:c r="D949" t="n">
        <x:f>AC216</x:f>
        <x:v>4180.5724957116945</x:v>
      </x:c>
      <x:c r="E949" t="n">
        <x:f>AE216</x:f>
        <x:v>4154.760572184252</x:v>
      </x:c>
    </x:row>
    <x:row r="950">
      <x:c r="A950" t="n">
        <x:f>I217</x:f>
        <x:v>0.792</x:v>
      </x:c>
      <x:c r="B950" t="n">
        <x:f>Y217</x:f>
        <x:v>2685.301857395654</x:v>
      </x:c>
      <x:c r="C950" t="n">
        <x:f>AA217</x:f>
        <x:v>1760.895237815327</x:v>
      </x:c>
      <x:c r="D950" t="n">
        <x:f>AC217</x:f>
        <x:v>4271.258134863096</x:v>
      </x:c>
      <x:c r="E950" t="n">
        <x:f>AE217</x:f>
        <x:v>4246.391865545539</x:v>
      </x:c>
    </x:row>
    <x:row r="951">
      <x:c r="A951" t="n">
        <x:f>I218</x:f>
        <x:v>0.8</x:v>
      </x:c>
      <x:c r="B951" t="n">
        <x:f>Y218</x:f>
        <x:v>2685.651797916337</x:v>
      </x:c>
      <x:c r="C951" t="n">
        <x:f>AA218</x:f>
        <x:v>1792.1092244281058</x:v>
      </x:c>
      <x:c r="D951" t="n">
        <x:f>AC218</x:f>
        <x:v>4353.623915424463</x:v>
      </x:c>
      <x:c r="E951" t="n">
        <x:f>AE218</x:f>
        <x:v>4329.607300570196</x:v>
      </x:c>
    </x:row>
    <x:row r="952">
      <x:c r="A952" t="n">
        <x:f>I219</x:f>
        <x:v>0.808</x:v>
      </x:c>
      <x:c r="B952" t="n">
        <x:f>Y219</x:f>
        <x:v>2686.01283805853</x:v>
      </x:c>
      <x:c r="C952" t="n">
        <x:f>AA219</x:f>
        <x:v>1823.4048538981938</x:v>
      </x:c>
      <x:c r="D952" t="n">
        <x:f>AC219</x:f>
        <x:v>4436.5284317048545</x:v>
      </x:c>
      <x:c r="E952" t="n">
        <x:f>AE219</x:f>
        <x:v>4413.370010554714</x:v>
      </x:c>
    </x:row>
    <x:row r="953">
      <x:c r="A953" t="n">
        <x:f>I220</x:f>
        <x:v>0.817</x:v>
      </x:c>
      <x:c r="B953" t="n">
        <x:f>Y220</x:f>
        <x:v>2686.262030614748</x:v>
      </x:c>
      <x:c r="C953" t="n">
        <x:f>AA220</x:f>
        <x:v>1858.7218553095</x:v>
      </x:c>
      <x:c r="D953" t="n">
        <x:f>AC220</x:f>
        <x:v>4530.328279283201</x:v>
      </x:c>
      <x:c r="E953" t="n">
        <x:f>AE220</x:f>
        <x:v>4508.145533111515</x:v>
      </x:c>
    </x:row>
    <x:row r="954">
      <x:c r="A954" t="n">
        <x:f>I221</x:f>
        <x:v>0.825</x:v>
      </x:c>
      <x:c r="B954" t="n">
        <x:f>Y221</x:f>
        <x:v>2686.6904699144197</x:v>
      </x:c>
      <x:c r="C954" t="n">
        <x:f>AA221</x:f>
        <x:v>1890.6387614596908</x:v>
      </x:c>
      <x:c r="D954" t="n">
        <x:f>AC221</x:f>
        <x:v>4615.42940669502</x:v>
      </x:c>
      <x:c r="E954" t="n">
        <x:f>AE221</x:f>
        <x:v>4594.123000114238</x:v>
      </x:c>
    </x:row>
    <x:row r="955">
      <x:c r="A955" t="n">
        <x:f>I222</x:f>
        <x:v>0.833</x:v>
      </x:c>
      <x:c r="B955" t="n">
        <x:f>Y222</x:f>
        <x:v>2687.075837528585</x:v>
      </x:c>
      <x:c r="C955" t="n">
        <x:f>AA222</x:f>
        <x:v>1923.1125076645908</x:v>
      </x:c>
      <x:c r="D955" t="n">
        <x:f>AC222</x:f>
        <x:v>4700.403112212438</x:v>
      </x:c>
      <x:c r="E955" t="n">
        <x:f>AE222</x:f>
        <x:v>4679.981584463398</x:v>
      </x:c>
    </x:row>
    <x:row r="956">
      <x:c r="A956" t="n">
        <x:f>I223</x:f>
        <x:v>0.842</x:v>
      </x:c>
      <x:c r="B956" t="n">
        <x:f>Y223</x:f>
        <x:v>2687.5172186847417</x:v>
      </x:c>
      <x:c r="C956" t="n">
        <x:f>AA223</x:f>
        <x:v>1960.0763885223253</x:v>
      </x:c>
      <x:c r="D956" t="n">
        <x:f>AC223</x:f>
        <x:v>4797.536735471792</x:v>
      </x:c>
      <x:c r="E956" t="n">
        <x:f>AE223</x:f>
        <x:v>4778.120903469774</x:v>
      </x:c>
    </x:row>
    <x:row r="957">
      <x:c r="A957" t="n">
        <x:f>I224</x:f>
        <x:v>0.85</x:v>
      </x:c>
      <x:c r="B957" t="n">
        <x:f>Y224</x:f>
        <x:v>2687.715878177705</x:v>
      </x:c>
      <x:c r="C957" t="n">
        <x:f>AA224</x:f>
        <x:v>1992.8224473858172</x:v>
      </x:c>
      <x:c r="D957" t="n">
        <x:f>AC224</x:f>
        <x:v>4885.016887178555</x:v>
      </x:c>
      <x:c r="E957" t="n">
        <x:f>AE224</x:f>
        <x:v>4866.504079895057</x:v>
      </x:c>
    </x:row>
    <x:row r="958">
      <x:c r="A958" t="n">
        <x:f>I225</x:f>
        <x:v>0.858</x:v>
      </x:c>
      <x:c r="B958" t="n">
        <x:f>Y225</x:f>
        <x:v>2688.2272914906207</x:v>
      </x:c>
      <x:c r="C958" t="n">
        <x:f>AA225</x:f>
        <x:v>2025.9670355035464</x:v>
      </x:c>
      <x:c r="D958" t="n">
        <x:f>AC225</x:f>
        <x:v>4972.44186832919</x:v>
      </x:c>
      <x:c r="E958" t="n">
        <x:f>AE225</x:f>
        <x:v>4954.840625005049</x:v>
      </x:c>
    </x:row>
    <x:row r="959">
      <x:c r="A959" t="n">
        <x:f>I226</x:f>
        <x:v>0.867</x:v>
      </x:c>
      <x:c r="B959" t="n">
        <x:f>Y226</x:f>
        <x:v>2688.510682041781</x:v>
      </x:c>
      <x:c r="C959" t="n">
        <x:f>AA226</x:f>
        <x:v>2063.5225689138206</x:v>
      </x:c>
      <x:c r="D959" t="n">
        <x:f>AC226</x:f>
        <x:v>5072.57993171736</x:v>
      </x:c>
      <x:c r="E959" t="n">
        <x:f>AE226</x:f>
        <x:v>5056.014404908809</x:v>
      </x:c>
    </x:row>
    <x:row r="960">
      <x:c r="A960" t="n">
        <x:f>I227</x:f>
        <x:v>0.875</x:v>
      </x:c>
      <x:c r="B960" t="n">
        <x:f>Y227</x:f>
        <x:v>2688.8996096964393</x:v>
      </x:c>
      <x:c r="C960" t="n">
        <x:f>AA227</x:f>
        <x:v>2097.3953409322794</x:v>
      </x:c>
      <x:c r="D960" t="n">
        <x:f>AC227</x:f>
        <x:v>5162.294064360414</x:v>
      </x:c>
      <x:c r="E960" t="n">
        <x:f>AE227</x:f>
        <x:v>5146.658247398001</x:v>
      </x:c>
    </x:row>
    <x:row r="961">
      <x:c r="A961" t="n">
        <x:f>I228</x:f>
        <x:v>0.883</x:v>
      </x:c>
      <x:c r="B961" t="n">
        <x:f>Y228</x:f>
        <x:v>2689.409650581394</x:v>
      </x:c>
      <x:c r="C961" t="n">
        <x:f>AA228</x:f>
        <x:v>2131.89699340424</x:v>
      </x:c>
      <x:c r="D961" t="n">
        <x:f>AC228</x:f>
        <x:v>5252.466158272303</x:v>
      </x:c>
      <x:c r="E961" t="n">
        <x:f>AE228</x:f>
        <x:v>5237.768590396864</x:v>
      </x:c>
    </x:row>
    <x:row r="962">
      <x:c r="A962" t="n">
        <x:f>I229</x:f>
        <x:v>0.892</x:v>
      </x:c>
      <x:c r="B962" t="n">
        <x:f>Y229</x:f>
        <x:v>2689.777555100149</x:v>
      </x:c>
      <x:c r="C962" t="n">
        <x:f>AA229</x:f>
        <x:v>2170.966183340772</x:v>
      </x:c>
      <x:c r="D962" t="n">
        <x:f>AC229</x:f>
        <x:v>5355.548700407056</x:v>
      </x:c>
      <x:c r="E962" t="n">
        <x:f>AE229</x:f>
        <x:v>5341.916869815773</x:v>
      </x:c>
    </x:row>
    <x:row r="963">
      <x:c r="A963" t="n">
        <x:f>I230</x:f>
        <x:v>0.9</x:v>
      </x:c>
      <x:c r="B963" t="n">
        <x:f>Y230</x:f>
        <x:v>2690.180103448934</x:v>
      </x:c>
      <x:c r="C963" t="n">
        <x:f>AA230</x:f>
        <x:v>2205.507336392368</x:v>
      </x:c>
      <x:c r="D963" t="n">
        <x:f>AC230</x:f>
        <x:v>5447.708509483362</x:v>
      </x:c>
      <x:c r="E963" t="n">
        <x:f>AE230</x:f>
        <x:v>5435.033073865831</x:v>
      </x:c>
    </x:row>
    <x:row r="964">
      <x:c r="A964" t="n">
        <x:f>I231</x:f>
        <x:v>0.908</x:v>
      </x:c>
      <x:c r="B964" t="n">
        <x:f>Y231</x:f>
        <x:v>2690.433626931135</x:v>
      </x:c>
      <x:c r="C964" t="n">
        <x:f>AA231</x:f>
        <x:v>2240.251431145491</x:v>
      </x:c>
      <x:c r="D964" t="n">
        <x:f>AC231</x:f>
        <x:v>5540.683579849159</x:v>
      </x:c>
      <x:c r="E964" t="n">
        <x:f>AE231</x:f>
        <x:v>5528.973078446219</x:v>
      </x:c>
    </x:row>
    <x:row r="965">
      <x:c r="A965" t="n">
        <x:f>I232</x:f>
        <x:v>0.917</x:v>
      </x:c>
      <x:c r="B965" t="n">
        <x:f>Y232</x:f>
        <x:v>2690.9276507302575</x:v>
      </x:c>
      <x:c r="C965" t="n">
        <x:f>AA232</x:f>
        <x:v>2280.414448325589</x:v>
      </x:c>
      <x:c r="D965" t="n">
        <x:f>AC232</x:f>
        <x:v>5646.961536636373</x:v>
      </x:c>
      <x:c r="E965" t="n">
        <x:f>AE232</x:f>
        <x:v>5636.346793286159</x:v>
      </x:c>
    </x:row>
    <x:row r="966">
      <x:c r="A966" t="n">
        <x:f>I233</x:f>
        <x:v>0.925</x:v>
      </x:c>
      <x:c r="B966" t="n">
        <x:f>Y233</x:f>
        <x:v>2691.388841371587</x:v>
      </x:c>
      <x:c r="C966" t="n">
        <x:f>AA233</x:f>
        <x:v>2316.8487948622887</x:v>
      </x:c>
      <x:c r="D966" t="n">
        <x:f>AC233</x:f>
        <x:v>5741.526745204011</x:v>
      </x:c>
      <x:c r="E966" t="n">
        <x:f>AE233</x:f>
        <x:v>5731.895081955165</x:v>
      </x:c>
    </x:row>
    <x:row r="967">
      <x:c r="A967" t="n">
        <x:f>I234</x:f>
        <x:v>0.933</x:v>
      </x:c>
      <x:c r="B967" t="n">
        <x:f>Y234</x:f>
        <x:v>2691.6986261121306</x:v>
      </x:c>
      <x:c r="C967" t="n">
        <x:f>AA234</x:f>
        <x:v>2352.9815140756104</x:v>
      </x:c>
      <x:c r="D967" t="n">
        <x:f>AC234</x:f>
        <x:v>5837.535406144047</x:v>
      </x:c>
      <x:c r="E967" t="n">
        <x:f>AE234</x:f>
        <x:v>5828.8953622374065</x:v>
      </x:c>
    </x:row>
    <x:row r="968">
      <x:c r="A968" t="n">
        <x:f>I235</x:f>
        <x:v>0.942</x:v>
      </x:c>
      <x:c r="B968" t="n">
        <x:f>Y235</x:f>
        <x:v>2692.1773075299916</x:v>
      </x:c>
      <x:c r="C968" t="n">
        <x:f>AA235</x:f>
        <x:v>2393.902932478235</x:v>
      </x:c>
      <x:c r="D968" t="n">
        <x:f>AC235</x:f>
        <x:v>5946.358306967192</x:v>
      </x:c>
      <x:c r="E968" t="n">
        <x:f>AE235</x:f>
        <x:v>5938.844041881844</x:v>
      </x:c>
    </x:row>
    <x:row r="969">
      <x:c r="A969" t="n">
        <x:f>I236</x:f>
        <x:v>0.95</x:v>
      </x:c>
      <x:c r="B969" t="n">
        <x:f>Y236</x:f>
        <x:v>2692.473247137161</x:v>
      </x:c>
      <x:c r="C969" t="n">
        <x:f>AA236</x:f>
        <x:v>2430.617445290838</x:v>
      </x:c>
      <x:c r="D969" t="n">
        <x:f>AC236</x:f>
        <x:v>6043.438309182107</x:v>
      </x:c>
      <x:c r="E969" t="n">
        <x:f>AE236</x:f>
        <x:v>6036.933809325743</x:v>
      </x:c>
    </x:row>
    <x:row r="970">
      <x:c r="A970" t="n">
        <x:f>I237</x:f>
        <x:v>0.958</x:v>
      </x:c>
      <x:c r="B970" t="n">
        <x:f>Y237</x:f>
        <x:v>2692.8575699494995</x:v>
      </x:c>
      <x:c r="C970" t="n">
        <x:f>AA237</x:f>
        <x:v>2467.706852886448</x:v>
      </x:c>
      <x:c r="D970" t="n">
        <x:f>AC237</x:f>
        <x:v>6142.145466617226</x:v>
      </x:c>
      <x:c r="E970" t="n">
        <x:f>AE237</x:f>
        <x:v>6136.659271230683</x:v>
      </x:c>
    </x:row>
    <x:row r="971">
      <x:c r="A971" t="n">
        <x:f>I238</x:f>
        <x:v>0.967</x:v>
      </x:c>
      <x:c r="B971" t="n">
        <x:f>Y238</x:f>
        <x:v>2693.24758219057</x:v>
      </x:c>
      <x:c r="C971" t="n">
        <x:f>AA238</x:f>
        <x:v>2510.203743788006</x:v>
      </x:c>
      <x:c r="D971" t="n">
        <x:f>AC238</x:f>
        <x:v>6253.283847964191</x:v>
      </x:c>
      <x:c r="E971" t="n">
        <x:f>AE238</x:f>
        <x:v>6248.95345216751</x:v>
      </x:c>
    </x:row>
    <x:row r="972">
      <x:c r="A972" t="n">
        <x:f>I239</x:f>
        <x:v>0.975</x:v>
      </x:c>
      <x:c r="B972" t="n">
        <x:f>Y239</x:f>
        <x:v>2693.6906778520884</x:v>
      </x:c>
      <x:c r="C972" t="n">
        <x:f>AA239</x:f>
        <x:v>2548.3058851808387</x:v>
      </x:c>
      <x:c r="D972" t="n">
        <x:f>AC239</x:f>
        <x:v>6353.093574137483</x:v>
      </x:c>
      <x:c r="E972" t="n">
        <x:f>AE239</x:f>
        <x:v>6349.799628697401</x:v>
      </x:c>
    </x:row>
    <x:row r="973">
      <x:c r="A973" t="n">
        <x:f>I240</x:f>
        <x:v>0.983</x:v>
      </x:c>
      <x:c r="B973" t="n">
        <x:f>Y240</x:f>
        <x:v>2694.075288283185</x:v>
      </x:c>
      <x:c r="C973" t="n">
        <x:f>AA240</x:f>
        <x:v>2586.4616875610477</x:v>
      </x:c>
      <x:c r="D973" t="n">
        <x:f>AC240</x:f>
        <x:v>6454.213123168584</x:v>
      </x:c>
      <x:c r="E973" t="n">
        <x:f>AE240</x:f>
        <x:v>6451.964167325938</x:v>
      </x:c>
    </x:row>
    <x:row r="974">
      <x:c r="A974" t="n">
        <x:f>I241</x:f>
        <x:v>0.992</x:v>
      </x:c>
      <x:c r="B974" t="n">
        <x:f>Y241</x:f>
        <x:v>2694.626380340303</x:v>
      </x:c>
      <x:c r="C974" t="n">
        <x:f>AA241</x:f>
        <x:v>2629.588502569662</x:v>
      </x:c>
      <x:c r="D974" t="n">
        <x:f>AC241</x:f>
        <x:v>6568.286774941212</x:v>
      </x:c>
      <x:c r="E974" t="n">
        <x:f>AE241</x:f>
        <x:v>6567.223639456996</x:v>
      </x:c>
    </x:row>
    <x:row r="975">
      <x:c r="A975" t="n">
        <x:f>I242</x:f>
        <x:v>1</x:v>
      </x:c>
      <x:c r="B975" t="n">
        <x:f>Y242</x:f>
        <x:v>2694.9851144626914</x:v>
      </x:c>
      <x:c r="C975" t="n">
        <x:f>AA242</x:f>
        <x:v>2668.3506217177696</x:v>
      </x:c>
      <x:c r="D975" t="n">
        <x:f>AC242</x:f>
        <x:v>6670.970351393162</x:v>
      </x:c>
      <x:c r="E975" t="n">
        <x:f>AE242</x:f>
        <x:v>6670.970351393162</x:v>
      </x:c>
    </x:row>
    <x:row r="980">
      <x:c r="A980" t="n">
        <x:f>I2</x:f>
        <x:v>-1</x:v>
      </x:c>
      <x:c r="B980" t="n">
        <x:f>AH2</x:f>
        <x:v>2738.7528797589603</x:v>
      </x:c>
      <x:c r="C980" t="n">
        <x:f>AJ2</x:f>
        <x:v>4006.5669904921833</x:v>
      </x:c>
      <x:c r="D980" t="n">
        <x:f>AL2</x:f>
        <x:v>9500.98992327336</x:v>
      </x:c>
      <x:c r="E980" t="n">
        <x:f>AN2</x:f>
        <x:v>9500.98992327336</x:v>
      </x:c>
    </x:row>
    <x:row r="981">
      <x:c r="A981" t="n">
        <x:f>I3</x:f>
        <x:v>-0.992</x:v>
      </x:c>
      <x:c r="B981" t="n">
        <x:f>AH3</x:f>
        <x:v>2737.746224109234</x:v>
      </x:c>
      <x:c r="C981" t="n">
        <x:f>AJ3</x:f>
        <x:v>3959.784666367032</x:v>
      </x:c>
      <x:c r="D981" t="n">
        <x:f>AL3</x:f>
        <x:v>9376.948806056145</x:v>
      </x:c>
      <x:c r="E981" t="n">
        <x:f>AN3</x:f>
        <x:v>9376.054593495282</x:v>
      </x:c>
    </x:row>
    <x:row r="982">
      <x:c r="A982" t="n">
        <x:f>I4</x:f>
        <x:v>-0.983</x:v>
      </x:c>
      <x:c r="B982" t="n">
        <x:f>AH4</x:f>
        <x:v>2736.623084633149</x:v>
      </x:c>
      <x:c r="C982" t="n">
        <x:f>AJ4</x:f>
        <x:v>3907.520143552331</x:v>
      </x:c>
      <x:c r="D982" t="n">
        <x:f>AL4</x:f>
        <x:v>9238.487402839646</x:v>
      </x:c>
      <x:c r="E982" t="n">
        <x:f>AN4</x:f>
        <x:v>9236.601004281432</x:v>
      </x:c>
    </x:row>
    <x:row r="983">
      <x:c r="A983" t="n">
        <x:f>I5</x:f>
        <x:v>-0.975</x:v>
      </x:c>
      <x:c r="B983" t="n">
        <x:f>AH5</x:f>
        <x:v>2735.6330546630293</x:v>
      </x:c>
      <x:c r="C983" t="n">
        <x:f>AJ5</x:f>
        <x:v>3861.3869170271155</x:v>
      </x:c>
      <x:c r="D983" t="n">
        <x:f>AL5</x:f>
        <x:v>9116.373900783714</x:v>
      </x:c>
      <x:c r="E983" t="n">
        <x:f>AN5</x:f>
        <x:v>9113.617881954191</x:v>
      </x:c>
    </x:row>
    <x:row r="984">
      <x:c r="A984" t="n">
        <x:f>I6</x:f>
        <x:v>-0.967</x:v>
      </x:c>
      <x:c r="B984" t="n">
        <x:f>AH6</x:f>
        <x:v>2734.650858075406</x:v>
      </x:c>
      <x:c r="C984" t="n">
        <x:f>AJ6</x:f>
        <x:v>3815.557941887678</x:v>
      </x:c>
      <x:c r="D984" t="n">
        <x:f>AL6</x:f>
        <x:v>8995.166044528318</x:v>
      </x:c>
      <x:c r="E984" t="n">
        <x:f>AN6</x:f>
        <x:v>8991.55205433549</x:v>
      </x:c>
    </x:row>
    <x:row r="985">
      <x:c r="A985" t="n">
        <x:f>I7</x:f>
        <x:v>-0.958</x:v>
      </x:c>
      <x:c r="B985" t="n">
        <x:f>AH7</x:f>
        <x:v>2733.555257783269</x:v>
      </x:c>
      <x:c r="C985" t="n">
        <x:f>AJ7</x:f>
        <x:v>3764.3630333251954</x:v>
      </x:c>
      <x:c r="D985" t="n">
        <x:f>AL7</x:f>
        <x:v>8859.888506354831</x:v>
      </x:c>
      <x:c r="E985" t="n">
        <x:f>AN7</x:f>
        <x:v>8855.323284209488</x:v>
      </x:c>
    </x:row>
    <x:row r="986">
      <x:c r="A986" t="n">
        <x:f>I8</x:f>
        <x:v>-0.95</x:v>
      </x:c>
      <x:c r="B986" t="n">
        <x:f>AH8</x:f>
        <x:v>2732.589727165975</x:v>
      </x:c>
      <x:c r="C986" t="n">
        <x:f>AJ8</x:f>
        <x:v>3719.1779432130656</x:v>
      </x:c>
      <x:c r="D986" t="n">
        <x:f>AL8</x:f>
        <x:v>8740.601827631473</x:v>
      </x:c>
      <x:c r="E986" t="n">
        <x:f>AN8</x:f>
        <x:v>8735.203553435682</x:v>
      </x:c>
    </x:row>
    <x:row r="987">
      <x:c r="A987" t="n">
        <x:f>I9</x:f>
        <x:v>-0.942</x:v>
      </x:c>
      <x:c r="B987" t="n">
        <x:f>AH9</x:f>
        <x:v>2731.632048701091</x:v>
      </x:c>
      <x:c r="C987" t="n">
        <x:f>AJ9</x:f>
        <x:v>3674.294578654452</x:v>
      </x:c>
      <x:c r="D987" t="n">
        <x:f>AL9</x:f>
        <x:v>8622.217592392886</x:v>
      </x:c>
      <x:c r="E987" t="n">
        <x:f>AN9</x:f>
        <x:v>8615.998072070657</x:v>
      </x:c>
    </x:row>
    <x:row r="988">
      <x:c r="A988" t="n">
        <x:f>I10</x:f>
        <x:v>-0.933</x:v>
      </x:c>
      <x:c r="B988" t="n">
        <x:f>AH10</x:f>
        <x:v>2730.5640535799016</x:v>
      </x:c>
      <x:c r="C988" t="n">
        <x:f>AJ10</x:f>
        <x:v>3624.160403492118</x:v>
      </x:c>
      <x:c r="D988" t="n">
        <x:f>AL10</x:f>
        <x:v>8490.112657175801</x:v>
      </x:c>
      <x:c r="E988" t="n">
        <x:f>AN10</x:f>
        <x:v>8482.983410922227</x:v>
      </x:c>
    </x:row>
    <x:row r="989">
      <x:c r="A989" t="n">
        <x:f>I11</x:f>
        <x:v>-0.925</x:v>
      </x:c>
      <x:c r="B989" t="n">
        <x:f>AH11</x:f>
        <x:v>2729.6230805624396</x:v>
      </x:c>
      <x:c r="C989" t="n">
        <x:f>AJ11</x:f>
        <x:v>3579.915397473851</x:v>
      </x:c>
      <x:c r="D989" t="n">
        <x:f>AL11</x:f>
        <x:v>8373.64240992586</x:v>
      </x:c>
      <x:c r="E989" t="n">
        <x:f>AN11</x:f>
        <x:v>8365.717177007828</x:v>
      </x:c>
    </x:row>
    <x:row r="990">
      <x:c r="A990" t="n">
        <x:f>I12</x:f>
        <x:v>-0.917</x:v>
      </x:c>
      <x:c r="B990" t="n">
        <x:f>AH12</x:f>
        <x:v>2728.689978080741</x:v>
      </x:c>
      <x:c r="C990" t="n">
        <x:f>AJ12</x:f>
        <x:v>3535.9694398561164</x:v>
      </x:c>
      <x:c r="D990" t="n">
        <x:f>AL12</x:f>
        <x:v>8258.071035157735</x:v>
      </x:c>
      <x:c r="E990" t="n">
        <x:f>AN12</x:f>
        <x:v>8249.361784554472</x:v>
      </x:c>
    </x:row>
    <x:row r="991">
      <x:c r="A991" t="n">
        <x:f>I13</x:f>
        <x:v>-0.908</x:v>
      </x:c>
      <x:c r="B991" t="n">
        <x:f>AH13</x:f>
        <x:v>2727.649652758524</x:v>
      </x:c>
      <x:c r="C991" t="n">
        <x:f>AJ13</x:f>
        <x:v>3486.8865852502836</x:v>
      </x:c>
      <x:c r="D991" t="n">
        <x:f>AL13</x:f>
        <x:v>8129.126144290872</x:v>
      </x:c>
      <x:c r="E991" t="n">
        <x:f>AN13</x:f>
        <x:v>8119.549246965398</x:v>
      </x:c>
    </x:row>
    <x:row r="992">
      <x:c r="A992" t="n">
        <x:f>I14</x:f>
        <x:v>-0.9</x:v>
      </x:c>
      <x:c r="B992" t="n">
        <x:f>AH14</x:f>
        <x:v>2726.7332943721008</x:v>
      </x:c>
      <x:c r="C992" t="n">
        <x:f>AJ14</x:f>
        <x:v>3443.5731304663896</x:v>
      </x:c>
      <x:c r="D992" t="n">
        <x:f>AL14</x:f>
        <x:v>8015.460751408424</x:v>
      </x:c>
      <x:c r="E992" t="n">
        <x:f>AN14</x:f>
        <x:v>8005.125448461821</x:v>
      </x:c>
    </x:row>
    <x:row r="993">
      <x:c r="A993" t="n">
        <x:f>I15</x:f>
        <x:v>-0.892</x:v>
      </x:c>
      <x:c r="B993" t="n">
        <x:f>AH15</x:f>
        <x:v>2725.824824510964</x:v>
      </x:c>
      <x:c r="C993" t="n">
        <x:f>AJ15</x:f>
        <x:v>3400.5558883978983</x:v>
      </x:c>
      <x:c r="D993" t="n">
        <x:f>AL15</x:f>
        <x:v>7902.69025957073</x:v>
      </x:c>
      <x:c r="E993" t="n">
        <x:f>AN15</x:f>
        <x:v>7891.608688682572</x:v>
      </x:c>
    </x:row>
    <x:row r="994">
      <x:c r="A994" t="n">
        <x:f>I16</x:f>
        <x:v>-0.883</x:v>
      </x:c>
      <x:c r="B994" t="n">
        <x:f>AH16</x:f>
        <x:v>2724.8122322311165</x:v>
      </x:c>
      <x:c r="C994" t="n">
        <x:f>AJ16</x:f>
        <x:v>3352.5143841718163</x:v>
      </x:c>
      <x:c r="D994" t="n">
        <x:f>AL16</x:f>
        <x:v>7776.8914462931525</x:v>
      </x:c>
      <x:c r="E994" t="n">
        <x:f>AN16</x:f>
        <x:v>7764.984900901367</x:v>
      </x:c>
    </x:row>
    <x:row r="995">
      <x:c r="A995" t="n">
        <x:f>I17</x:f>
        <x:v>-0.875</x:v>
      </x:c>
      <x:c r="B995" t="n">
        <x:f>AH17</x:f>
        <x:v>2723.920544268542</x:v>
      </x:c>
      <x:c r="C995" t="n">
        <x:f>AJ17</x:f>
        <x:v>3310.123444717516</x:v>
      </x:c>
      <x:c r="D995" t="n">
        <x:f>AL17</x:f>
        <x:v>7666.018043289701</x:v>
      </x:c>
      <x:c r="E995" t="n">
        <x:f>AN17</x:f>
        <x:v>7653.39120605297</x:v>
      </x:c>
    </x:row>
    <x:row r="996">
      <x:c r="A996" t="n">
        <x:f>I18</x:f>
        <x:v>-0.867</x:v>
      </x:c>
      <x:c r="B996" t="n">
        <x:f>AH18</x:f>
        <x:v>2723.0367624197406</x:v>
      </x:c>
      <x:c r="C996" t="n">
        <x:f>AJ18</x:f>
        <x:v>3268.0257165997627</x:v>
      </x:c>
      <x:c r="D996" t="n">
        <x:f>AL18</x:f>
        <x:v>7556.035134917943</x:v>
      </x:c>
      <x:c r="E996" t="n">
        <x:f>AN18</x:f>
        <x:v>7542.700317284668</x:v>
      </x:c>
    </x:row>
    <x:row r="997">
      <x:c r="A997" t="n">
        <x:f>I19</x:f>
        <x:v>-0.858</x:v>
      </x:c>
      <x:c r="B997" t="n">
        <x:f>AH19</x:f>
        <x:v>2722.0519650158485</x:v>
      </x:c>
      <x:c r="C997" t="n">
        <x:f>AJ19</x:f>
        <x:v>3221.015010080671</x:v>
      </x:c>
      <x:c r="D997" t="n">
        <x:f>AL19</x:f>
        <x:v>7433.366902852947</x:v>
      </x:c>
      <x:c r="E997" t="n">
        <x:f>AN19</x:f>
        <x:v>7419.25039373271</x:v>
      </x:c>
    </x:row>
    <x:row r="998">
      <x:c r="A998" t="n">
        <x:f>I20</x:f>
        <x:v>-0.85</x:v>
      </x:c>
      <x:c r="B998" t="n">
        <x:f>AH20</x:f>
        <x:v>2721.1850020092143</x:v>
      </x:c>
      <x:c r="C998" t="n">
        <x:f>AJ20</x:f>
        <x:v>3179.537024764877</x:v>
      </x:c>
      <x:c r="D998" t="n">
        <x:f>AL20</x:f>
        <x:v>7325.2712267935</x:v>
      </x:c>
      <x:c r="E998" t="n">
        <x:f>AN20</x:f>
        <x:v>7310.473087383565</x:v>
      </x:c>
    </x:row>
    <x:row r="999">
      <x:c r="A999" t="n">
        <x:f>I21</x:f>
        <x:v>-0.842</x:v>
      </x:c>
      <x:c r="B999" t="n">
        <x:f>AH21</x:f>
        <x:v>2720.3259622967576</x:v>
      </x:c>
      <x:c r="C999" t="n">
        <x:f>AJ21</x:f>
        <x:v>3138.34907670858</x:v>
      </x:c>
      <x:c r="D999" t="n">
        <x:f>AL21</x:f>
        <x:v>7218.061166458944</x:v>
      </x:c>
      <x:c r="E999" t="n">
        <x:f>AN21</x:f>
        <x:v>7202.593886244597</x:v>
      </x:c>
    </x:row>
    <x:row r="1000">
      <x:c r="A1000" t="n">
        <x:f>I22</x:f>
        <x:v>-0.833</x:v>
      </x:c>
      <x:c r="B1000" t="n">
        <x:f>AH22</x:f>
        <x:v>2719.3690201677696</x:v>
      </x:c>
      <x:c r="C1000" t="n">
        <x:f>AJ22</x:f>
        <x:v>3092.3580081209293</x:v>
      </x:c>
      <x:c r="D1000" t="n">
        <x:f>AL22</x:f>
        <x:v>7098.506357692575</x:v>
      </x:c>
      <x:c r="E1000" t="n">
        <x:f>AN22</x:f>
        <x:v>7082.301294774013</x:v>
      </x:c>
    </x:row>
    <x:row r="1001">
      <x:c r="A1001" t="n">
        <x:f>I23</x:f>
        <x:v>-0.825</x:v>
      </x:c>
      <x:c r="B1001" t="n">
        <x:f>AH23</x:f>
        <x:v>2718.5268353664997</x:v>
      </x:c>
      <x:c r="C1001" t="n">
        <x:f>AJ23</x:f>
        <x:v>3051.7828688525797</x:v>
      </x:c>
      <x:c r="D1001" t="n">
        <x:f>AL23</x:f>
        <x:v>6993.172626647848</x:v>
      </x:c>
      <x:c r="E1001" t="n">
        <x:f>AN23</x:f>
        <x:v>6976.325155041407</x:v>
      </x:c>
    </x:row>
    <x:row r="1002">
      <x:c r="A1002" t="n">
        <x:f>I24</x:f>
        <x:v>-0.817</x:v>
      </x:c>
      <x:c r="B1002" t="n">
        <x:f>AH24</x:f>
        <x:v>2717.692590624826</x:v>
      </x:c>
      <x:c r="C1002" t="n">
        <x:f>AJ24</x:f>
        <x:v>3011.4944133564245</x:v>
      </x:c>
      <x:c r="D1002" t="n">
        <x:f>AL24</x:f>
        <x:v>6888.7191192634255</x:v>
      </x:c>
      <x:c r="E1002" t="n">
        <x:f>AN24</x:f>
        <x:v>6871.241909686075</x:v>
      </x:c>
    </x:row>
    <x:row r="1003">
      <x:c r="A1003" t="n">
        <x:f>I25</x:f>
        <x:v>-0.808</x:v>
      </x:c>
      <x:c r="B1003" t="n">
        <x:f>AH25</x:f>
        <x:v>2716.763562710639</x:v>
      </x:c>
      <x:c r="C1003" t="n">
        <x:f>AJ25</x:f>
        <x:v>2966.5111922476426</x:v>
      </x:c>
      <x:c r="D1003" t="n">
        <x:f>AL25</x:f>
        <x:v>6772.258771364358</x:v>
      </x:c>
      <x:c r="E1003" t="n">
        <x:f>AN25</x:f>
        <x:v>6754.08832481869</x:v>
      </x:c>
    </x:row>
    <x:row r="1004">
      <x:c r="A1004" t="n">
        <x:f>I26</x:f>
        <x:v>-0.8</x:v>
      </x:c>
      <x:c r="B1004" t="n">
        <x:f>AH26</x:f>
        <x:v>2715.9462080599938</x:v>
      </x:c>
      <x:c r="C1004" t="n">
        <x:f>AJ26</x:f>
        <x:v>2926.8282235073743</x:v>
      </x:c>
      <x:c r="D1004" t="n">
        <x:f>AL26</x:f>
        <x:v>6669.6695538641015</x:v>
      </x:c>
      <x:c r="E1004" t="n">
        <x:f>AN26</x:f>
        <x:v>6650.89648885563</x:v>
      </x:c>
    </x:row>
    <x:row r="1005">
      <x:c r="A1005" t="n">
        <x:f>I27</x:f>
        <x:v>-0.792</x:v>
      </x:c>
      <x:c r="B1005" t="n">
        <x:f>AH27</x:f>
        <x:v>2715.1368098124726</x:v>
      </x:c>
      <x:c r="C1005" t="n">
        <x:f>AJ27</x:f>
        <x:v>2887.428399392069</x:v>
      </x:c>
      <x:c r="D1005" t="n">
        <x:f>AL27</x:f>
        <x:v>6567.954610839783</x:v>
      </x:c>
      <x:c r="E1005" t="n">
        <x:f>AN27</x:f>
        <x:v>6548.591781107728</x:v>
      </x:c>
    </x:row>
    <x:row r="1006">
      <x:c r="A1006" t="n">
        <x:f>I28</x:f>
        <x:v>-0.783</x:v>
      </x:c>
      <x:c r="B1006" t="n">
        <x:f>AH28</x:f>
        <x:v>2714.235753570058</x:v>
      </x:c>
      <x:c r="C1006" t="n">
        <x:f>AJ28</x:f>
        <x:v>2843.440582690011</x:v>
      </x:c>
      <x:c r="D1006" t="n">
        <x:f>AL28</x:f>
        <x:v>6454.567802288767</x:v>
      </x:c>
      <x:c r="E1006" t="n">
        <x:f>AN28</x:f>
        <x:v>6434.556924518235</x:v>
      </x:c>
    </x:row>
    <x:row r="1007">
      <x:c r="A1007" t="n">
        <x:f>I29</x:f>
        <x:v>-0.775</x:v>
      </x:c>
      <x:c r="B1007" t="n">
        <x:f>AH29</x:f>
        <x:v>2713.4432796899005</x:v>
      </x:c>
      <x:c r="C1007" t="n">
        <x:f>AJ29</x:f>
        <x:v>2804.638522662561</x:v>
      </x:c>
      <x:c r="D1007" t="n">
        <x:f>AL29</x:f>
        <x:v>6354.703876330992</x:v>
      </x:c>
      <x:c r="E1007" t="n">
        <x:f>AN29</x:f>
        <x:v>6334.130742726853</x:v>
      </x:c>
    </x:row>
    <x:row r="1008">
      <x:c r="A1008" t="n">
        <x:f>I30</x:f>
        <x:v>-0.767</x:v>
      </x:c>
      <x:c r="B1008" t="n">
        <x:f>AH30</x:f>
        <x:v>2712.658778127942</x:v>
      </x:c>
      <x:c r="C1008" t="n">
        <x:f>AJ30</x:f>
        <x:v>2766.1158768793084</x:v>
      </x:c>
      <x:c r="D1008" t="n">
        <x:f>AL30</x:f>
        <x:v>6255.7076711632635</x:v>
      </x:c>
      <x:c r="E1008" t="n">
        <x:f>AN30</x:f>
        <x:v>6234.585318473166</x:v>
      </x:c>
    </x:row>
    <x:row r="1009">
      <x:c r="A1009" t="n">
        <x:f>I31</x:f>
        <x:v>-0.758</x:v>
      </x:c>
      <x:c r="B1009" t="n">
        <x:f>AH31</x:f>
        <x:v>2711.7857495077187</x:v>
      </x:c>
      <x:c r="C1009" t="n">
        <x:f>AJ31</x:f>
        <x:v>2723.110349333624</x:v>
      </x:c>
      <x:c r="D1009" t="n">
        <x:f>AL31</x:f>
        <x:v>6145.371354766009</x:v>
      </x:c>
      <x:c r="E1009" t="n">
        <x:f>AN31</x:f>
        <x:v>6123.646786047526</x:v>
      </x:c>
    </x:row>
    <x:row r="1010">
      <x:c r="A1010" t="n">
        <x:f>I32</x:f>
        <x:v>-0.75</x:v>
      </x:c>
      <x:c r="B1010" t="n">
        <x:f>AH32</x:f>
        <x:v>2711.018205671868</x:v>
      </x:c>
      <x:c r="C1010" t="n">
        <x:f>AJ32</x:f>
        <x:v>2685.177333423242</x:v>
      </x:c>
      <x:c r="D1010" t="n">
        <x:f>AL32</x:f>
        <x:v>6048.211556044975</x:v>
      </x:c>
      <x:c r="E1010" t="n">
        <x:f>AN32</x:f>
        <x:v>6025.965664177064</x:v>
      </x:c>
    </x:row>
    <x:row r="1011">
      <x:c r="A1011" t="n">
        <x:f>I33</x:f>
        <x:v>-0.742</x:v>
      </x:c>
      <x:c r="B1011" t="n">
        <x:f>AH33</x:f>
        <x:v>2710.258649634195</x:v>
      </x:c>
      <x:c r="C1011" t="n">
        <x:f>AJ33</x:f>
        <x:v>2647.519805513155</x:v>
      </x:c>
      <x:c r="D1011" t="n">
        <x:f>AL33</x:f>
        <x:v>5951.912269047644</x:v>
      </x:c>
      <x:c r="E1011" t="n">
        <x:f>AN33</x:f>
        <x:v>5929.158271486265</x:v>
      </x:c>
    </x:row>
    <x:row r="1012">
      <x:c r="A1012" t="n">
        <x:f>I34</x:f>
        <x:v>-0.733</x:v>
      </x:c>
      <x:c r="B1012" t="n">
        <x:f>AH34</x:f>
        <x:v>2709.41370305717</x:v>
      </x:c>
      <x:c r="C1012" t="n">
        <x:f>AJ34</x:f>
        <x:v>2605.4827634648645</x:v>
      </x:c>
      <x:c r="D1012" t="n">
        <x:f>AL34</x:f>
        <x:v>5844.601093061466</x:v>
      </x:c>
      <x:c r="E1012" t="n">
        <x:f>AN34</x:f>
        <x:v>5821.291346397364</x:v>
      </x:c>
    </x:row>
    <x:row r="1013">
      <x:c r="A1013" t="n">
        <x:f>I35</x:f>
        <x:v>-0.725</x:v>
      </x:c>
      <x:c r="B1013" t="n">
        <x:f>AH35</x:f>
        <x:v>2708.6711371730257</x:v>
      </x:c>
      <x:c r="C1013" t="n">
        <x:f>AJ35</x:f>
        <x:v>2568.4063111009086</x:v>
      </x:c>
      <x:c r="D1013" t="n">
        <x:f>AL35</x:f>
        <x:v>5750.1221522344285</x:v>
      </x:c>
      <x:c r="E1013" t="n">
        <x:f>AN35</x:f>
        <x:v>5726.332575075653</x:v>
      </x:c>
    </x:row>
    <x:row r="1014">
      <x:c r="A1014" t="n">
        <x:f>I36</x:f>
        <x:v>-0.717</x:v>
      </x:c>
      <x:c r="B1014" t="n">
        <x:f>AH36</x:f>
        <x:v>2707.9365741255974</x:v>
      </x:c>
      <x:c r="C1014" t="n">
        <x:f>AJ36</x:f>
        <x:v>2531.601221281773</x:v>
      </x:c>
      <x:c r="D1014" t="n">
        <x:f>AL36</x:f>
        <x:v>5656.495804293952</x:v>
      </x:c>
      <x:c r="E1014" t="n">
        <x:f>AN36</x:f>
        <x:v>5632.239789639228</x:v>
      </x:c>
    </x:row>
    <x:row r="1015">
      <x:c r="A1015" t="n">
        <x:f>I37</x:f>
        <x:v>-0.708</x:v>
      </x:c>
      <x:c r="B1015" t="n">
        <x:f>AH37</x:f>
        <x:v>2707.119762460756</x:v>
      </x:c>
      <x:c r="C1015" t="n">
        <x:f>AJ37</x:f>
        <x:v>2490.518160948682</x:v>
      </x:c>
      <x:c r="D1015" t="n">
        <x:f>AL37</x:f>
        <x:v>5552.181921221136</x:v>
      </x:c>
      <x:c r="E1015" t="n">
        <x:f>AN37</x:f>
        <x:v>5527.417241051008</x:v>
      </x:c>
    </x:row>
    <x:row r="1016">
      <x:c r="A1016" t="n">
        <x:f>I38</x:f>
        <x:v>-0.7</x:v>
      </x:c>
      <x:c r="B1016" t="n">
        <x:f>AH38</x:f>
        <x:v>2706.402221049479</x:v>
      </x:c>
      <x:c r="C1016" t="n">
        <x:f>AJ38</x:f>
        <x:v>2454.285166823356</x:v>
      </x:c>
      <x:c r="D1016" t="n">
        <x:f>AL38</x:f>
        <x:v>5460.3582902555545</x:v>
      </x:c>
      <x:c r="E1016" t="n">
        <x:f>AN38</x:f>
        <x:v>5435.1558124688245</x:v>
      </x:c>
    </x:row>
    <x:row r="1017">
      <x:c r="A1017" t="n">
        <x:f>I39</x:f>
        <x:v>-0.692</x:v>
      </x:c>
      <x:c r="B1017" t="n">
        <x:f>AH39</x:f>
        <x:v>2705.692697065748</x:v>
      </x:c>
      <x:c r="C1017" t="n">
        <x:f>AJ39</x:f>
        <x:v>2418.3192089337513</x:v>
      </x:c>
      <x:c r="D1017" t="n">
        <x:f>AL39</x:f>
        <x:v>5369.3785657395565</x:v>
      </x:c>
      <x:c r="E1017" t="n">
        <x:f>AN39</x:f>
        <x:v>5343.751850152343</x:v>
      </x:c>
    </x:row>
    <x:row r="1018">
      <x:c r="A1018" t="n">
        <x:f>I40</x:f>
        <x:v>-0.683</x:v>
      </x:c>
      <x:c r="B1018" t="n">
        <x:f>AH40</x:f>
        <x:v>2704.9040716081277</x:v>
      </x:c>
      <x:c r="C1018" t="n">
        <x:f>AJ40</x:f>
        <x:v>2378.1749207105045</x:v>
      </x:c>
      <x:c r="D1018" t="n">
        <x:f>AL40</x:f>
        <x:v>5268.031429047745</x:v>
      </x:c>
      <x:c r="E1018" t="n">
        <x:f>AN40</x:f>
        <x:v>5241.943717406506</x:v>
      </x:c>
    </x:row>
    <x:row r="1019">
      <x:c r="A1019" t="n">
        <x:f>I41</x:f>
        <x:v>-0.675</x:v>
      </x:c>
      <x:c r="B1019" t="n">
        <x:f>AH41</x:f>
        <x:v>2704.2115997852675</x:v>
      </x:c>
      <x:c r="C1019" t="n">
        <x:f>AJ41</x:f>
        <x:v>2342.7716518918514</x:v>
      </x:c>
      <x:c r="D1019" t="n">
        <x:f>AL41</x:f>
        <x:v>5178.835096993912</x:v>
      </x:c>
      <x:c r="E1019" t="n">
        <x:f>AN41</x:f>
        <x:v>5152.352129116699</x:v>
      </x:c>
    </x:row>
    <x:row r="1020">
      <x:c r="A1020" t="n">
        <x:f>I42</x:f>
        <x:v>-0.667</x:v>
      </x:c>
      <x:c r="B1020" t="n">
        <x:f>AH42</x:f>
        <x:v>2703.527159526966</x:v>
      </x:c>
      <x:c r="C1020" t="n">
        <x:f>AJ42</x:f>
        <x:v>2307.6308927499517</x:v>
      </x:c>
      <x:c r="D1020" t="n">
        <x:f>AL42</x:f>
        <x:v>5090.473156276304</x:v>
      </x:c>
      <x:c r="E1020" t="n">
        <x:f>AN42</x:f>
        <x:v>5063.608645679319</x:v>
      </x:c>
    </x:row>
    <x:row r="1021">
      <x:c r="A1021" t="n">
        <x:f>I43</x:f>
        <x:v>-0.658</x:v>
      </x:c>
      <x:c r="B1021" t="n">
        <x:f>AH43</x:f>
        <x:v>2702.766769976195</x:v>
      </x:c>
      <x:c r="C1021" t="n">
        <x:f>AJ43</x:f>
        <x:v>2268.409463423141</x:v>
      </x:c>
      <x:c r="D1021" t="n">
        <x:f>AL43</x:f>
        <x:v>4992.059305723048</x:v>
      </x:c>
      <x:c r="E1021" t="n">
        <x:f>AN43</x:f>
        <x:v>4964.782008157169</x:v>
      </x:c>
    </x:row>
    <x:row r="1022">
      <x:c r="A1022" t="n">
        <x:f>I44</x:f>
        <x:v>-0.65</x:v>
      </x:c>
      <x:c r="B1022" t="n">
        <x:f>AH44</x:f>
        <x:v>2702.0994114328023</x:v>
      </x:c>
      <x:c r="C1022" t="n">
        <x:f>AJ44</x:f>
        <x:v>2233.821564177517</x:v>
      </x:c>
      <x:c r="D1022" t="n">
        <x:f>AL44</x:f>
        <x:v>4905.459604666784</x:v>
      </x:c>
      <x:c r="E1022" t="n">
        <x:f>AN44</x:f>
        <x:v>4877.830054285296</x:v>
      </x:c>
    </x:row>
    <x:row r="1023">
      <x:c r="A1023" t="n">
        <x:f>I45</x:f>
        <x:v>-0.642</x:v>
      </x:c>
      <x:c r="B1023" t="n">
        <x:f>AH45</x:f>
        <x:v>2701.440098131209</x:v>
      </x:c>
      <x:c r="C1023" t="n">
        <x:f>AJ45</x:f>
        <x:v>2199.4914513372773</x:v>
      </x:c>
      <x:c r="D1023" t="n">
        <x:f>AL45</x:f>
        <x:v>4819.683887182145</x:v>
      </x:c>
      <x:c r="E1023" t="n">
        <x:f>AN45</x:f>
        <x:v>4791.715932694854</x:v>
      </x:c>
    </x:row>
    <x:row r="1024">
      <x:c r="A1024" t="n">
        <x:f>I46</x:f>
        <x:v>-0.633</x:v>
      </x:c>
      <x:c r="B1024" t="n">
        <x:f>AH46</x:f>
        <x:v>2700.7079925706203</x:v>
      </x:c>
      <x:c r="C1024" t="n">
        <x:f>AJ46</x:f>
        <x:v>2161.1762766414804</x:v>
      </x:c>
      <x:c r="D1024" t="n">
        <x:f>AL46</x:f>
        <x:v>4724.166723978402</x:v>
      </x:c>
      <x:c r="E1024" t="n">
        <x:f>AN46</x:f>
        <x:v>4695.834666007484</x:v>
      </x:c>
    </x:row>
    <x:row r="1025">
      <x:c r="A1025" t="n">
        <x:f>I47</x:f>
        <x:v>-0.625</x:v>
      </x:c>
      <x:c r="B1025" t="n">
        <x:f>AH47</x:f>
        <x:v>2700.065789554835</x:v>
      </x:c>
      <x:c r="C1025" t="n">
        <x:f>AJ47</x:f>
        <x:v>2127.3887833117165</x:v>
      </x:c>
      <x:c r="D1025" t="n">
        <x:f>AL47</x:f>
        <x:v>4640.130126474501</x:v>
      </x:c>
      <x:c r="E1025" t="n">
        <x:f>AN47</x:f>
        <x:v>4611.489216623593</x:v>
      </x:c>
    </x:row>
    <x:row r="1026">
      <x:c r="A1026" t="n">
        <x:f>I48</x:f>
        <x:v>-0.617</x:v>
      </x:c>
      <x:c r="B1026" t="n">
        <x:f>AH48</x:f>
        <x:v>2699.43164499259</x:v>
      </x:c>
      <x:c r="C1026" t="n">
        <x:f>AJ48</x:f>
        <x:v>2093.8541637603007</x:v>
      </x:c>
      <x:c r="D1026" t="n">
        <x:f>AL48</x:f>
        <x:v>4556.9061458124115</x:v>
      </x:c>
      <x:c r="E1026" t="n">
        <x:f>AN48</x:f>
        <x:v>4527.970342892097</x:v>
      </x:c>
    </x:row>
    <x:row r="1027">
      <x:c r="A1027" t="n">
        <x:f>I49</x:f>
        <x:v>-0.608</x:v>
      </x:c>
      <x:c r="B1027" t="n">
        <x:f>AH49</x:f>
        <x:v>2698.7278698689106</x:v>
      </x:c>
      <x:c r="C1027" t="n">
        <x:f>AJ49</x:f>
        <x:v>2056.427974395935</x:v>
      </x:c>
      <x:c r="D1027" t="n">
        <x:f>AL49</x:f>
        <x:v>4464.245699599919</x:v>
      </x:c>
      <x:c r="E1027" t="n">
        <x:f>AN49</x:f>
        <x:v>4434.994862669753</x:v>
      </x:c>
    </x:row>
    <x:row r="1028">
      <x:c r="A1028" t="n">
        <x:f>I50</x:f>
        <x:v>-0.6</x:v>
      </x:c>
      <x:c r="B1028" t="n">
        <x:f>AH50</x:f>
        <x:v>2698.110863168117</x:v>
      </x:c>
      <x:c r="C1028" t="n">
        <x:f>AJ50</x:f>
        <x:v>2023.4253433638573</x:v>
      </x:c>
      <x:c r="D1028" t="n">
        <x:f>AL50</x:f>
        <x:v>4382.735609610576</x:v>
      </x:c>
      <x:c r="E1028" t="n">
        <x:f>AN50</x:f>
        <x:v>4353.219632675859</x:v>
      </x:c>
    </x:row>
    <x:row r="1029">
      <x:c r="A1029" t="n">
        <x:f>I51</x:f>
        <x:v>-0.592</x:v>
      </x:c>
      <x:c r="B1029" t="n">
        <x:f>AH51</x:f>
        <x:v>2697.5019276614603</x:v>
      </x:c>
      <x:c r="C1029" t="n">
        <x:f>AJ51</x:f>
        <x:v>1990.6704964522148</x:v>
      </x:c>
      <x:c r="D1029" t="n">
        <x:f>AL51</x:f>
        <x:v>4302.025742951585</x:v>
      </x:c>
      <x:c r="E1029" t="n">
        <x:f>AN51</x:f>
        <x:v>4272.2586618025425</x:v>
      </x:c>
    </x:row>
    <x:row r="1030">
      <x:c r="A1030" t="n">
        <x:f>I52</x:f>
        <x:v>-0.583</x:v>
      </x:c>
      <x:c r="B1030" t="n">
        <x:f>AH52</x:f>
        <x:v>2696.8265277651735</x:v>
      </x:c>
      <x:c r="C1030" t="n">
        <x:f>AJ52</x:f>
        <x:v>1954.1154016181265</x:v>
      </x:c>
      <x:c r="D1030" t="n">
        <x:f>AL52</x:f>
        <x:v>4212.178433547609</x:v>
      </x:c>
      <x:c r="E1030" t="n">
        <x:f>AN52</x:f>
        <x:v>4182.145657173544</x:v>
      </x:c>
    </x:row>
    <x:row r="1031">
      <x:c r="A1031" t="n">
        <x:f>I53</x:f>
        <x:v>-0.575</x:v>
      </x:c>
      <x:c r="B1031" t="n">
        <x:f>AH53</x:f>
        <x:v>2696.234756688648</x:v>
      </x:c>
      <x:c r="C1031" t="n">
        <x:f>AJ53</x:f>
        <x:v>1921.8815542974562</x:v>
      </x:c>
      <x:c r="D1031" t="n">
        <x:f>AL53</x:f>
        <x:v>4133.154973866361</x:v>
      </x:c>
      <x:c r="E1031" t="n">
        <x:f>AN53</x:f>
        <x:v>4102.900966862511</x:v>
      </x:c>
    </x:row>
    <x:row r="1032">
      <x:c r="A1032" t="n">
        <x:f>I54</x:f>
        <x:v>-0.567</x:v>
      </x:c>
      <x:c r="B1032" t="n">
        <x:f>AH54</x:f>
        <x:v>2695.6510690703108</x:v>
      </x:c>
      <x:c r="C1032" t="n">
        <x:f>AJ54</x:f>
        <x:v>1889.8902432096763</x:v>
      </x:c>
      <x:c r="D1032" t="n">
        <x:f>AL54</x:f>
        <x:v>4054.9182491071806</x:v>
      </x:c>
      <x:c r="E1032" t="n">
        <x:f>AN54</x:f>
        <x:v>4024.457081346861</x:v>
      </x:c>
    </x:row>
    <x:row r="1033">
      <x:c r="A1033" t="n">
        <x:f>I55</x:f>
        <x:v>-0.558</x:v>
      </x:c>
      <x:c r="B1033" t="n">
        <x:f>AH55</x:f>
        <x:v>2695.0040875164605</x:v>
      </x:c>
      <x:c r="C1033" t="n">
        <x:f>AJ55</x:f>
        <x:v>1854.1877969704217</x:v>
      </x:c>
      <x:c r="D1033" t="n">
        <x:f>AL55</x:f>
        <x:v>3967.8366472645534</x:v>
      </x:c>
      <x:c r="E1033" t="n">
        <x:f>AN55</x:f>
        <x:v>3937.1592412789855</x:v>
      </x:c>
    </x:row>
    <x:row r="1034">
      <x:c r="A1034" t="n">
        <x:f>I56</x:f>
        <x:v>-0.55</x:v>
      </x:c>
      <x:c r="B1034" t="n">
        <x:f>AH56</x:f>
        <x:v>2694.4375898786375</x:v>
      </x:c>
      <x:c r="C1034" t="n">
        <x:f>AJ56</x:f>
        <x:v>1822.7061870307282</x:v>
      </x:c>
      <x:c r="D1034" t="n">
        <x:f>AL56</x:f>
        <x:v>3891.256447672386</x:v>
      </x:c>
      <x:c r="E1034" t="n">
        <x:f>AN56</x:f>
        <x:v>3860.401771777322</x:v>
      </x:c>
    </x:row>
    <x:row r="1035">
      <x:c r="A1035" t="n">
        <x:f>I57</x:f>
        <x:v>-0.542</x:v>
      </x:c>
      <x:c r="B1035" t="n">
        <x:f>AH57</x:f>
        <x:v>2693.8791874812646</x:v>
      </x:c>
      <x:c r="C1035" t="n">
        <x:f>AJ57</x:f>
        <x:v>1791.4617344869769</x:v>
      </x:c>
      <x:c r="D1035" t="n">
        <x:f>AL57</x:f>
        <x:v>3815.4483329742607</x:v>
      </x:c>
      <x:c r="E1035" t="n">
        <x:f>AN57</x:f>
        <x:v>3784.430436320021</x:v>
      </x:c>
    </x:row>
    <x:row r="1036">
      <x:c r="A1036" t="n">
        <x:f>I58</x:f>
        <x:v>-0.533</x:v>
      </x:c>
      <x:c r="B1036" t="n">
        <x:f>AH58</x:f>
        <x:v>2693.260665691084</x:v>
      </x:c>
      <x:c r="C1036" t="n">
        <x:f>AJ58</x:f>
        <x:v>1756.5930320423254</x:v>
      </x:c>
      <x:c r="D1036" t="n">
        <x:f>AL58</x:f>
        <x:v>3731.0809261239974</x:v>
      </x:c>
      <x:c r="E1036" t="n">
        <x:f>AN58</x:f>
        <x:v>3699.896173425855</x:v>
      </x:c>
    </x:row>
    <x:row r="1037">
      <x:c r="A1037" t="n">
        <x:f>I59</x:f>
        <x:v>-0.525</x:v>
      </x:c>
      <x:c r="B1037" t="n">
        <x:f>AH59</x:f>
        <x:v>2692.7194777953123</x:v>
      </x:c>
      <x:c r="C1037" t="n">
        <x:f>AJ59</x:f>
        <x:v>1725.8467418024873</x:v>
      </x:c>
      <x:c r="D1037" t="n">
        <x:f>AL59</x:f>
        <x:v>3656.896918210815</x:v>
      </x:c>
      <x:c r="E1037" t="n">
        <x:f>AN59</x:f>
        <x:v>3625.578721629772</x:v>
      </x:c>
    </x:row>
    <x:row r="1038">
      <x:c r="A1038" t="n">
        <x:f>I60</x:f>
        <x:v>-0.517</x:v>
      </x:c>
      <x:c r="B1038" t="n">
        <x:f>AH60</x:f>
        <x:v>2692.1863964353583</x:v>
      </x:c>
      <x:c r="C1038" t="n">
        <x:f>AJ60</x:f>
        <x:v>1695.3321376263839</x:v>
      </x:c>
      <x:c r="D1038" t="n">
        <x:f>AL60</x:f>
        <x:v>3583.4691205577215</x:v>
      </x:c>
      <x:c r="E1038" t="n">
        <x:f>AN60</x:f>
        <x:v>3552.0314391676843</x:v>
      </x:c>
    </x:row>
    <x:row r="1039">
      <x:c r="A1039" t="n">
        <x:f>I61</x:f>
        <x:v>-0.508</x:v>
      </x:c>
      <x:c r="B1039" t="n">
        <x:f>AH61</x:f>
        <x:v>2691.596374118459</x:v>
      </x:c>
      <x:c r="C1039" t="n">
        <x:f>AJ61</x:f>
        <x:v>1661.27795099574</x:v>
      </x:c>
      <x:c r="D1039" t="n">
        <x:f>AL61</x:f>
        <x:v>3501.760091807711</x:v>
      </x:c>
      <x:c r="E1039" t="n">
        <x:f>AN61</x:f>
        <x:v>3470.2046174700768</x:v>
      </x:c>
    </x:row>
    <x:row r="1040">
      <x:c r="A1040" t="n">
        <x:f>I62</x:f>
        <x:v>-0.5</x:v>
      </x:c>
      <x:c r="B1040" t="n">
        <x:f>AH62</x:f>
        <x:v>2691.0805307414003</x:v>
      </x:c>
      <x:c r="C1040" t="n">
        <x:f>AJ62</x:f>
        <x:v>1631.2498263703887</x:v>
      </x:c>
      <x:c r="D1040" t="n">
        <x:f>AL62</x:f>
        <x:v>3429.9213186632924</x:v>
      </x:c>
      <x:c r="E1040" t="n">
        <x:f>AN62</x:f>
        <x:v>3398.275856941299</x:v>
      </x:c>
    </x:row>
    <x:row r="1041">
      <x:c r="A1041" t="n">
        <x:f>I63</x:f>
        <x:v>-0.492</x:v>
      </x:c>
      <x:c r="B1041" t="n">
        <x:f>AH63</x:f>
        <x:v>2690.572804703775</x:v>
      </x:c>
      <x:c r="C1041" t="n">
        <x:f>AJ63</x:f>
        <x:v>1601.4478772869256</x:v>
      </x:c>
      <x:c r="D1041" t="n">
        <x:f>AL63</x:f>
        <x:v>3358.8216005216295</x:v>
      </x:c>
      <x:c r="E1041" t="n">
        <x:f>AN63</x:f>
        <x:v>3327.0999332019856</x:v>
      </x:c>
    </x:row>
    <x:row r="1042">
      <x:c r="A1042" t="n">
        <x:f>I64</x:f>
        <x:v>-0.483</x:v>
      </x:c>
      <x:c r="B1042" t="n">
        <x:f>AH64</x:f>
        <x:v>2690.0113198410036</x:v>
      </x:c>
      <x:c r="C1042" t="n">
        <x:f>AJ64</x:f>
        <x:v>1568.18884339574</x:v>
      </x:c>
      <x:c r="D1042" t="n">
        <x:f>AL64</x:f>
        <x:v>3279.710632319749</x:v>
      </x:c>
      <x:c r="E1042" t="n">
        <x:f>AN64</x:f>
        <x:v>3247.9196088934864</x:v>
      </x:c>
    </x:row>
    <x:row r="1043">
      <x:c r="A1043" t="n">
        <x:f>I65</x:f>
        <x:v>-0.475</x:v>
      </x:c>
      <x:c r="B1043" t="n">
        <x:f>AH65</x:f>
        <x:v>2689.520854217586</x:v>
      </x:c>
      <x:c r="C1043" t="n">
        <x:f>AJ65</x:f>
        <x:v>1538.8616802693725</x:v>
      </x:c>
      <x:c r="D1043" t="n">
        <x:f>AL65</x:f>
        <x:v>3210.1620844044405</x:v>
      </x:c>
      <x:c r="E1043" t="n">
        <x:f>AN65</x:f>
        <x:v>3178.323865680885</x:v>
      </x:c>
    </x:row>
    <x:row r="1044">
      <x:c r="A1044" t="n">
        <x:f>I66</x:f>
        <x:v>-0.467</x:v>
      </x:c>
      <x:c r="B1044" t="n">
        <x:f>AH66</x:f>
        <x:v>2689.038516240782</x:v>
      </x:c>
      <x:c r="C1044" t="n">
        <x:f>AJ66</x:f>
        <x:v>1509.7552162254726</x:v>
      </x:c>
      <x:c r="D1044" t="n">
        <x:f>AL66</x:f>
        <x:v>3141.3341110240226</x:v>
      </x:c>
      <x:c r="E1044" t="n">
        <x:f>AN66</x:f>
        <x:v>3109.462192200807</x:v>
      </x:c>
    </x:row>
    <x:row r="1045">
      <x:c r="A1045" t="n">
        <x:f>I67</x:f>
        <x:v>-0.458</x:v>
      </x:c>
      <x:c r="B1045" t="n">
        <x:f>AH67</x:f>
        <x:v>2688.505605067754</x:v>
      </x:c>
      <x:c r="C1045" t="n">
        <x:f>AJ67</x:f>
        <x:v>1477.272095393459</x:v>
      </x:c>
      <x:c r="D1045" t="n">
        <x:f>AL67</x:f>
        <x:v>3064.7562292393345</x:v>
      </x:c>
      <x:c r="E1045" t="n">
        <x:f>AN67</x:f>
        <x:v>3032.8623798858607</x:v>
      </x:c>
    </x:row>
    <x:row r="1046">
      <x:c r="A1046" t="n">
        <x:f>I68</x:f>
        <x:v>-0.45</x:v>
      </x:c>
      <x:c r="B1046" t="n">
        <x:f>AH68</x:f>
        <x:v>2688.0405488767533</x:v>
      </x:c>
      <x:c r="C1046" t="n">
        <x:f>AJ68</x:f>
        <x:v>1448.628895361848</x:v>
      </x:c>
      <x:c r="D1046" t="n">
        <x:f>AL68</x:f>
        <x:v>2997.4387220817075</x:v>
      </x:c>
      <x:c r="E1046" t="n">
        <x:f>AN68</x:f>
        <x:v>2965.539435665303</x:v>
      </x:c>
    </x:row>
    <x:row r="1047">
      <x:c r="A1047" t="n">
        <x:f>I69</x:f>
        <x:v>-0.442</x:v>
      </x:c>
      <x:c r="B1047" t="n">
        <x:f>AH69</x:f>
        <x:v>2687.5836301386457</x:v>
      </x:c>
      <x:c r="C1047" t="n">
        <x:f>AJ69</x:f>
        <x:v>1420.2010523856848</x:v>
      </x:c>
      <x:c r="D1047" t="n">
        <x:f>AL69</x:f>
        <x:v>2930.821956828647</x:v>
      </x:c>
      <x:c r="E1047" t="n">
        <x:f>AN69</x:f>
        <x:v>2898.930305024403</x:v>
      </x:c>
    </x:row>
    <x:row r="1048">
      <x:c r="A1048" t="n">
        <x:f>I70</x:f>
        <x:v>-0.433</x:v>
      </x:c>
      <x:c r="B1048" t="n">
        <x:f>AH70</x:f>
        <x:v>2687.0793271300054</x:v>
      </x:c>
      <x:c r="C1048" t="n">
        <x:f>AJ70</x:f>
        <x:v>1388.4750825653464</x:v>
      </x:c>
      <x:c r="D1048" t="n">
        <x:f>AL70</x:f>
        <x:v>2856.707437171217</x:v>
      </x:c>
      <x:c r="E1048" t="n">
        <x:f>AN70</x:f>
        <x:v>2824.8397867428093</x:v>
      </x:c>
    </x:row>
    <x:row r="1049">
      <x:c r="A1049" t="n">
        <x:f>I71</x:f>
        <x:v>-0.425</x:v>
      </x:c>
      <x:c r="B1049" t="n">
        <x:f>AH71</x:f>
        <x:v>2686.6397104802963</x:v>
      </x:c>
      <x:c r="C1049" t="n">
        <x:f>AJ71</x:f>
        <x:v>1360.4994034490926</x:v>
      </x:c>
      <x:c r="D1049" t="n">
        <x:f>AL71</x:f>
        <x:v>2791.557552752647</x:v>
      </x:c>
      <x:c r="E1049" t="n">
        <x:f>AN71</x:f>
        <x:v>2759.724726481357</x:v>
      </x:c>
    </x:row>
    <x:row r="1050">
      <x:c r="A1050" t="n">
        <x:f>I72</x:f>
        <x:v>-0.417</x:v>
      </x:c>
      <x:c r="B1050" t="n">
        <x:f>AH72</x:f>
        <x:v>2686.2082405845767</x:v>
      </x:c>
      <x:c r="C1050" t="n">
        <x:f>AJ72</x:f>
        <x:v>1332.7340115462373</x:v>
      </x:c>
      <x:c r="D1050" t="n">
        <x:f>AL72</x:f>
        <x:v>2727.0872248769224</x:v>
      </x:c>
      <x:c r="E1050" t="n">
        <x:f>AN72</x:f>
        <x:v>2695.3016989076077</x:v>
      </x:c>
    </x:row>
    <x:row r="1051">
      <x:c r="A1051" t="n">
        <x:f>I73</x:f>
        <x:v>-0.408</x:v>
      </x:c>
      <x:c r="B1051" t="n">
        <x:f>AH73</x:f>
        <x:v>2685.7325784389564</x:v>
      </x:c>
      <x:c r="C1051" t="n">
        <x:f>AJ73</x:f>
        <x:v>1301.7473946103885</x:v>
      </x:c>
      <x:c r="D1051" t="n">
        <x:f>AL73</x:f>
        <x:v>2655.3615925812765</x:v>
      </x:c>
      <x:c r="E1051" t="n">
        <x:f>AN73</x:f>
        <x:v>2623.643900129246</x:v>
      </x:c>
    </x:row>
    <x:row r="1052">
      <x:c r="A1052" t="n">
        <x:f>I74</x:f>
        <x:v>-0.4</x:v>
      </x:c>
      <x:c r="B1052" t="n">
        <x:f>AH74</x:f>
        <x:v>2685.318429856306</x:v>
      </x:c>
      <x:c r="C1052" t="n">
        <x:f>AJ74</x:f>
        <x:v>1274.4238323326915</x:v>
      </x:c>
      <x:c r="D1052" t="n">
        <x:f>AL74</x:f>
        <x:v>2592.311715433615</x:v>
      </x:c>
      <x:c r="E1052" t="n">
        <x:f>AN74</x:f>
        <x:v>2560.6670284536167</x:v>
      </x:c>
    </x:row>
    <x:row r="1053">
      <x:c r="A1053" t="n">
        <x:f>I75</x:f>
        <x:v>-0.392</x:v>
      </x:c>
      <x:c r="B1053" t="n">
        <x:f>AH75</x:f>
        <x:v>2684.9124368195003</x:v>
      </x:c>
      <x:c r="C1053" t="n">
        <x:f>AJ75</x:f>
        <x:v>1247.305949695761</x:v>
      </x:c>
      <x:c r="D1053" t="n">
        <x:f>AL75</x:f>
        <x:v>2529.918895127145</x:v>
      </x:c>
      <x:c r="E1053" t="n">
        <x:f>AN75</x:f>
        <x:v>2498.3588768603126</x:v>
      </x:c>
    </x:row>
    <x:row r="1054">
      <x:c r="A1054" t="n">
        <x:f>I76</x:f>
        <x:v>-0.383</x:v>
      </x:c>
      <x:c r="B1054" t="n">
        <x:f>AH76</x:f>
        <x:v>2684.465446445234</x:v>
      </x:c>
      <x:c r="C1054" t="n">
        <x:f>AJ76</x:f>
        <x:v>1217.0425226665805</x:v>
      </x:c>
      <x:c r="D1054" t="n">
        <x:f>AL76</x:f>
        <x:v>2460.503062399682</x:v>
      </x:c>
      <x:c r="E1054" t="n">
        <x:f>AN76</x:f>
        <x:v>2429.0518438601966</x:v>
      </x:c>
    </x:row>
    <x:row r="1055">
      <x:c r="A1055" t="n">
        <x:f>I77</x:f>
        <x:v>-0.375</x:v>
      </x:c>
      <x:c r="B1055" t="n">
        <x:f>AH77</x:f>
        <x:v>2684.0767928598584</x:v>
      </x:c>
      <x:c r="C1055" t="n">
        <x:f>AJ77</x:f>
        <x:v>1190.3573781400514</x:v>
      </x:c>
      <x:c r="D1055" t="n">
        <x:f>AL77</x:f>
        <x:v>2399.4815554213374</x:v>
      </x:c>
      <x:c r="E1055" t="n">
        <x:f>AN77</x:f>
        <x:v>2368.1387047809635</x:v>
      </x:c>
    </x:row>
    <x:row r="1056">
      <x:c r="A1056" t="n">
        <x:f>I78</x:f>
        <x:v>-0.367</x:v>
      </x:c>
      <x:c r="B1056" t="n">
        <x:f>AH78</x:f>
        <x:v>2683.69630309907</x:v>
      </x:c>
      <x:c r="C1056" t="n">
        <x:f>AJ78</x:f>
        <x:v>1163.8740325347778</x:v>
      </x:c>
      <x:c r="D1056" t="n">
        <x:f>AL78</x:f>
        <x:v>2339.0933871403463</x:v>
      </x:c>
      <x:c r="E1056" t="n">
        <x:f>AN78</x:f>
        <x:v>2307.869477325939</x:v>
      </x:c>
    </x:row>
    <x:row r="1057">
      <x:c r="A1057" t="n">
        <x:f>I79</x:f>
        <x:v>-0.358</x:v>
      </x:c>
      <x:c r="B1057" t="n">
        <x:f>AH79</x:f>
        <x:v>2683.2780136005345</x:v>
      </x:c>
      <x:c r="C1057" t="n">
        <x:f>AJ79</x:f>
        <x:v>1134.320202233334</x:v>
      </x:c>
      <x:c r="D1057" t="n">
        <x:f>AL79</x:f>
        <x:v>2271.9039940577863</x:v>
      </x:c>
      <x:c r="E1057" t="n">
        <x:f>AN79</x:f>
        <x:v>2240.826006094351</x:v>
      </x:c>
    </x:row>
    <x:row r="1058">
      <x:c r="A1058" t="n">
        <x:f>I80</x:f>
        <x:v>-0.35</x:v>
      </x:c>
      <x:c r="B1058" t="n">
        <x:f>AH80</x:f>
        <x:v>2682.914880335254</x:v>
      </x:c>
      <x:c r="C1058" t="n">
        <x:f>AJ80</x:f>
        <x:v>1108.2624133501783</x:v>
      </x:c>
      <x:c r="D1058" t="n">
        <x:f>AL80</x:f>
        <x:v>2212.8355811384035</x:v>
      </x:c>
      <x:c r="E1058" t="n">
        <x:f>AN80</x:f>
        <x:v>2181.897557099264</x:v>
      </x:c>
    </x:row>
    <x:row r="1059">
      <x:c r="A1059" t="n">
        <x:f>I81</x:f>
        <x:v>-0.342</x:v>
      </x:c>
      <x:c r="B1059" t="n">
        <x:f>AH81</x:f>
        <x:v>2682.559918656496</x:v>
      </x:c>
      <x:c r="C1059" t="n">
        <x:f>AJ81</x:f>
        <x:v>1082.4036420950645</x:v>
      </x:c>
      <x:c r="D1059" t="n">
        <x:f>AL81</x:f>
        <x:v>2154.375751929062</x:v>
      </x:c>
      <x:c r="E1059" t="n">
        <x:f>AN81</x:f>
        <x:v>2123.586815394276</x:v>
      </x:c>
    </x:row>
    <x:row r="1060">
      <x:c r="A1060" t="n">
        <x:f>I82</x:f>
        <x:v>-0.333</x:v>
      </x:c>
      <x:c r="B1060" t="n">
        <x:f>AH82</x:f>
        <x:v>2682.170357321432</x:v>
      </x:c>
      <x:c r="C1060" t="n">
        <x:f>AJ82</x:f>
        <x:v>1053.5497018470367</x:v>
      </x:c>
      <x:c r="D1060" t="n">
        <x:f>AL82</x:f>
        <x:v>2089.3258107719435</x:v>
      </x:c>
      <x:c r="E1060" t="n">
        <x:f>AN82</x:f>
        <x:v>2058.7148075309083</x:v>
      </x:c>
    </x:row>
    <x:row r="1061">
      <x:c r="A1061" t="n">
        <x:f>I83</x:f>
        <x:v>-0.325</x:v>
      </x:c>
      <x:c r="B1061" t="n">
        <x:f>AH83</x:f>
        <x:v>2681.8327680804646</x:v>
      </x:c>
      <x:c r="C1061" t="n">
        <x:f>AJ83</x:f>
        <x:v>1028.1121624339564</x:v>
      </x:c>
      <x:c r="D1061" t="n">
        <x:f>AL83</x:f>
        <x:v>2032.132269523135</x:v>
      </x:c>
      <x:c r="E1061" t="n">
        <x:f>AN83</x:f>
        <x:v>2001.6878257232431</x:v>
      </x:c>
    </x:row>
    <x:row r="1062">
      <x:c r="A1062" t="n">
        <x:f>I84</x:f>
        <x:v>-0.317</x:v>
      </x:c>
      <x:c r="B1062" t="n">
        <x:f>AH84</x:f>
        <x:v>2681.5033576678143</x:v>
      </x:c>
      <x:c r="C1062" t="n">
        <x:f>AJ84</x:f>
        <x:v>1002.8724909144175</x:v>
      </x:c>
      <x:c r="D1062" t="n">
        <x:f>AL84</x:f>
        <x:v>1975.5218318440923</x:v>
      </x:c>
      <x:c r="E1062" t="n">
        <x:f>AN84</x:f>
        <x:v>1945.2511482815198</x:v>
      </x:c>
    </x:row>
    <x:row r="1063">
      <x:c r="A1063" t="n">
        <x:f>I85</x:f>
        <x:v>-0.308</x:v>
      </x:c>
      <x:c r="B1063" t="n">
        <x:f>AH85</x:f>
        <x:v>2681.1425499551765</x:v>
      </x:c>
      <x:c r="C1063" t="n">
        <x:f>AJ85</x:f>
        <x:v>974.7145021127182</x:v>
      </x:c>
      <x:c r="D1063" t="n">
        <x:f>AL85</x:f>
        <x:v>1912.5218325119242</x:v>
      </x:c>
      <x:c r="E1063" t="n">
        <x:f>AN85</x:f>
        <x:v>1882.4543117385992</x:v>
      </x:c>
    </x:row>
    <x:row r="1064">
      <x:c r="A1064" t="n">
        <x:f>I86</x:f>
        <x:v>-0.3</x:v>
      </x:c>
      <x:c r="B1064" t="n">
        <x:f>AH86</x:f>
        <x:v>2680.8305268137187</x:v>
      </x:c>
      <x:c r="C1064" t="n">
        <x:f>AJ86</x:f>
        <x:v>949.8959568514337</x:v>
      </x:c>
      <x:c r="D1064" t="n">
        <x:f>AL86</x:f>
        <x:v>1857.1231620816707</x:v>
      </x:c>
      <x:c r="E1064" t="n">
        <x:f>AN86</x:f>
        <x:v>1827.2421550832848</x:v>
      </x:c>
    </x:row>
    <x:row r="1065">
      <x:c r="A1065" t="n">
        <x:f>I87</x:f>
        <x:v>-0.292</x:v>
      </x:c>
      <x:c r="B1065" t="n">
        <x:f>AH87</x:f>
        <x:v>2680.526689218967</x:v>
      </x:c>
      <x:c r="C1065" t="n">
        <x:f>AJ87</x:f>
        <x:v>925.2765339546444</x:v>
      </x:c>
      <x:c r="D1065" t="n">
        <x:f>AL87</x:f>
        <x:v>1802.2819043727304</x:v>
      </x:c>
      <x:c r="E1065" t="n">
        <x:f>AN87</x:f>
        <x:v>1772.5920499108024</x:v>
      </x:c>
    </x:row>
    <x:row r="1066">
      <x:c r="A1066" t="n">
        <x:f>I88</x:f>
        <x:v>-0.283</x:v>
      </x:c>
      <x:c r="B1066" t="n">
        <x:f>AH88</x:f>
        <x:v>2680.1946587476814</x:v>
      </x:c>
      <x:c r="C1066" t="n">
        <x:f>AJ88</x:f>
        <x:v>897.8190596262613</x:v>
      </x:c>
      <x:c r="D1066" t="n">
        <x:f>AL88</x:f>
        <x:v>1741.2416393615815</x:v>
      </x:c>
      <x:c r="E1066" t="n">
        <x:f>AN88</x:f>
        <x:v>1711.7711368171172</x:v>
      </x:c>
    </x:row>
    <x:row r="1067">
      <x:c r="A1067" t="n">
        <x:f>I89</x:f>
        <x:v>-0.275</x:v>
      </x:c>
      <x:c r="B1067" t="n">
        <x:f>AH89</x:f>
        <x:v>2679.9082221420913</x:v>
      </x:c>
      <x:c r="C1067" t="n">
        <x:f>AJ89</x:f>
        <x:v>873.6268737519111</x:v>
      </x:c>
      <x:c r="D1067" t="n">
        <x:f>AL89</x:f>
        <x:v>1687.557977658393</x:v>
      </x:c>
      <x:c r="E1067" t="n">
        <x:f>AN89</x:f>
        <x:v>1658.2850643618456</x:v>
      </x:c>
    </x:row>
    <x:row r="1068">
      <x:c r="A1068" t="n">
        <x:f>I90</x:f>
        <x:v>-0.267</x:v>
      </x:c>
      <x:c r="B1068" t="n">
        <x:f>AH90</x:f>
        <x:v>2679.6299772752322</x:v>
      </x:c>
      <x:c r="C1068" t="n">
        <x:f>AJ90</x:f>
        <x:v>849.6386115770032</x:v>
      </x:c>
      <x:c r="D1068" t="n">
        <x:f>AL90</x:f>
        <x:v>1634.406668398929</x:v>
      </x:c>
      <x:c r="E1068" t="n">
        <x:f>AN90</x:f>
        <x:v>1605.3325327342354</x:v>
      </x:c>
    </x:row>
    <x:row r="1069">
      <x:c r="A1069" t="n">
        <x:f>I91</x:f>
        <x:v>-0.258</x:v>
      </x:c>
      <x:c r="B1069" t="n">
        <x:f>AH91</x:f>
        <x:v>2679.3267458137466</x:v>
      </x:c>
      <x:c r="C1069" t="n">
        <x:f>AJ91</x:f>
        <x:v>822.8987615597109</x:v>
      </x:c>
      <x:c r="D1069" t="n">
        <x:f>AL91</x:f>
        <x:v>1575.2382195812656</x:v>
      </x:c>
      <x:c r="E1069" t="n">
        <x:f>AN91</x:f>
        <x:v>1546.3874430517</x:v>
      </x:c>
    </x:row>
    <x:row r="1070">
      <x:c r="A1070" t="n">
        <x:f>I92</x:f>
        <x:v>-0.25</x:v>
      </x:c>
      <x:c r="B1070" t="n">
        <x:f>AH92</x:f>
        <x:v>2679.065914532494</x:v>
      </x:c>
      <x:c r="C1070" t="n">
        <x:f>AJ92</x:f>
        <x:v>799.3530465257882</x:v>
      </x:c>
      <x:c r="D1070" t="n">
        <x:f>AL92</x:f>
        <x:v>1523.1929864371127</x:v>
      </x:c>
      <x:c r="E1070" t="n">
        <x:f>AN92</x:f>
        <x:v>1494.538848738704</x:v>
      </x:c>
    </x:row>
    <x:row r="1071">
      <x:c r="A1071" t="n">
        <x:f>I93</x:f>
        <x:v>-0.242</x:v>
      </x:c>
      <x:c r="B1071" t="n">
        <x:f>AH93</x:f>
        <x:v>2678.813280652873</x:v>
      </x:c>
      <x:c r="C1071" t="n">
        <x:f>AJ93</x:f>
        <x:v>776.021326811133</x:v>
      </x:c>
      <x:c r="D1071" t="n">
        <x:f>AL93</x:f>
        <x:v>1471.657065923119</x:v>
      </x:c>
      <x:c r="E1071" t="n">
        <x:f>AN93</x:f>
        <x:v>1443.1960281662846</x:v>
      </x:c>
    </x:row>
    <x:row r="1072">
      <x:c r="A1072" t="n">
        <x:f>I94</x:f>
        <x:v>-0.233</x:v>
      </x:c>
      <x:c r="B1072" t="n">
        <x:f>AH94</x:f>
        <x:v>2678.53886810944</x:v>
      </x:c>
      <x:c r="C1072" t="n">
        <x:f>AJ94</x:f>
        <x:v>750.0348628533561</x:v>
      </x:c>
      <x:c r="D1072" t="n">
        <x:f>AL94</x:f>
        <x:v>1414.279745381553</x:v>
      </x:c>
      <x:c r="E1072" t="n">
        <x:f>AN94</x:f>
        <x:v>1386.0293710733336</x:v>
      </x:c>
    </x:row>
    <x:row r="1073">
      <x:c r="A1073" t="n">
        <x:f>I95</x:f>
        <x:v>-0.225</x:v>
      </x:c>
      <x:c r="B1073" t="n">
        <x:f>AH95</x:f>
        <x:v>2678.3036592847507</x:v>
      </x:c>
      <x:c r="C1073" t="n">
        <x:f>AJ95</x:f>
        <x:v>727.1747453672517</x:v>
      </x:c>
      <x:c r="D1073" t="n">
        <x:f>AL95</x:f>
        <x:v>1363.804879466073</x:v>
      </x:c>
      <x:c r="E1073" t="n">
        <x:f>AN95</x:f>
        <x:v>1335.7335814317448</x:v>
      </x:c>
    </x:row>
    <x:row r="1074">
      <x:c r="A1074" t="n">
        <x:f>I96</x:f>
        <x:v>-0.217</x:v>
      </x:c>
      <x:c r="B1074" t="n">
        <x:f>AH96</x:f>
        <x:v>2678.0766529929315</x:v>
      </x:c>
      <x:c r="C1074" t="n">
        <x:f>AJ96</x:f>
        <x:v>704.5466168692386</x:v>
      </x:c>
      <x:c r="D1074" t="n">
        <x:f>AL96</x:f>
        <x:v>1313.820661862484</x:v>
      </x:c>
      <x:c r="E1074" t="n">
        <x:f>AN96</x:f>
        <x:v>1285.9182668026356</x:v>
      </x:c>
    </x:row>
    <x:row r="1075">
      <x:c r="A1075" t="n">
        <x:f>I97</x:f>
        <x:v>-0.208</x:v>
      </x:c>
      <x:c r="B1075" t="n">
        <x:f>AH97</x:f>
        <x:v>2677.8310774067595</x:v>
      </x:c>
      <x:c r="C1075" t="n">
        <x:f>AJ97</x:f>
        <x:v>679.3773518856626</x:v>
      </x:c>
      <x:c r="D1075" t="n">
        <x:f>AL97</x:f>
        <x:v>1258.1693986938863</x:v>
      </x:c>
      <x:c r="E1075" t="n">
        <x:f>AN97</x:f>
        <x:v>1230.4415066288307</x:v>
      </x:c>
    </x:row>
    <x:row r="1076">
      <x:c r="A1076" t="n">
        <x:f>I98</x:f>
        <x:v>-0.2</x:v>
      </x:c>
      <x:c r="B1076" t="n">
        <x:f>AH98</x:f>
        <x:v>2677.621506506962</x:v>
      </x:c>
      <x:c r="C1076" t="n">
        <x:f>AJ98</x:f>
        <x:v>657.2706885164247</x:v>
      </x:c>
      <x:c r="D1076" t="n">
        <x:f>AL98</x:f>
        <x:v>1209.2143519498034</x:v>
      </x:c>
      <x:c r="E1076" t="n">
        <x:f>AN98</x:f>
        <x:v>1181.6244054437507</x:v>
      </x:c>
    </x:row>
    <x:row r="1077">
      <x:c r="A1077" t="n">
        <x:f>I99</x:f>
        <x:v>-0.192</x:v>
      </x:c>
      <x:c r="B1077" t="n">
        <x:f>AH99</x:f>
        <x:v>2677.4201427373237</x:v>
      </x:c>
      <x:c r="C1077" t="n">
        <x:f>AJ99</x:f>
        <x:v>635.426085871894</x:v>
      </x:c>
      <x:c r="D1077" t="n">
        <x:f>AL99</x:f>
        <x:v>1160.7398106982935</x:v>
      </x:c>
      <x:c r="E1077" t="n">
        <x:f>AN99</x:f>
        <x:v>1133.2680310356866</x:v>
      </x:c>
    </x:row>
    <x:row r="1078">
      <x:c r="A1078" t="n">
        <x:f>I100</x:f>
        <x:v>-0.183</x:v>
      </x:c>
      <x:c r="B1078" t="n">
        <x:f>AH100</x:f>
        <x:v>2677.2034202705154</x:v>
      </x:c>
      <x:c r="C1078" t="n">
        <x:f>AJ100</x:f>
        <x:v>611.1806207136659</x:v>
      </x:c>
      <x:c r="D1078" t="n">
        <x:f>AL100</x:f>
        <x:v>1106.77995128393</x:v>
      </x:c>
      <x:c r="E1078" t="n">
        <x:f>AN100</x:f>
        <x:v>1079.4124988914414</x:v>
      </x:c>
    </x:row>
    <x:row r="1079">
      <x:c r="A1079" t="n">
        <x:f>I101</x:f>
        <x:v>-0.175</x:v>
      </x:c>
      <x:c r="B1079" t="n">
        <x:f>AH101</x:f>
        <x:v>2677.019501093122</x:v>
      </x:c>
      <x:c r="C1079" t="n">
        <x:f>AJ101</x:f>
        <x:v>589.9393087491328</x:v>
      </x:c>
      <x:c r="D1079" t="n">
        <x:f>AL101</x:f>
        <x:v>1059.3278163208254</x:v>
      </x:c>
      <x:c r="E1079" t="n">
        <x:f>AN101</x:f>
        <x:v>1032.0225937697833</x:v>
      </x:c>
    </x:row>
    <x:row r="1080">
      <x:c r="A1080" t="n">
        <x:f>I102</x:f>
        <x:v>-0.167</x:v>
      </x:c>
      <x:c r="B1080" t="n">
        <x:f>AH102</x:f>
        <x:v>2676.843793107199</x:v>
      </x:c>
      <x:c r="C1080" t="n">
        <x:f>AJ102</x:f>
        <x:v>569.0088081002975</x:v>
      </x:c>
      <x:c r="D1080" t="n">
        <x:f>AL102</x:f>
        <x:v>1012.362240937457</x:v>
      </x:c>
      <x:c r="E1080" t="n">
        <x:f>AN102</x:f>
        <x:v>985.0850258038517</x:v>
      </x:c>
    </x:row>
    <x:row r="1081">
      <x:c r="A1081" t="n">
        <x:f>I103</x:f>
        <x:v>-0.158</x:v>
      </x:c>
      <x:c r="B1081" t="n">
        <x:f>AH103</x:f>
        <x:v>2676.655938037531</x:v>
      </x:c>
      <x:c r="C1081" t="n">
        <x:f>AJ103</x:f>
        <x:v>545.8599335087318</x:v>
      </x:c>
      <x:c r="D1081" t="n">
        <x:f>AL103</x:f>
        <x:v>960.117033428206</x:v>
      </x:c>
      <x:c r="E1081" t="n">
        <x:f>AN103</x:f>
        <x:v>932.8227451453487</x:v>
      </x:c>
    </x:row>
    <x:row r="1082">
      <x:c r="A1082" t="n">
        <x:f>I104</x:f>
        <x:v>-0.15</x:v>
      </x:c>
      <x:c r="B1082" t="n">
        <x:f>AH104</x:f>
        <x:v>2676.4976827030932</x:v>
      </x:c>
      <x:c r="C1082" t="n">
        <x:f>AJ104</x:f>
        <x:v>525.6642714445533</x:v>
      </x:c>
      <x:c r="D1082" t="n">
        <x:f>AL104</x:f>
        <x:v>914.2150944754102</x:v>
      </x:c>
      <x:c r="E1082" t="n">
        <x:f>AN104</x:f>
        <x:v>886.8544947202699</x:v>
      </x:c>
    </x:row>
    <x:row r="1083">
      <x:c r="A1083" t="n">
        <x:f>I105</x:f>
        <x:v>-0.142</x:v>
      </x:c>
      <x:c r="B1083" t="n">
        <x:f>AH105</x:f>
        <x:v>2676.3476420836173</x:v>
      </x:c>
      <x:c r="C1083" t="n">
        <x:f>AJ105</x:f>
        <x:v>505.85734229616077</x:v>
      </x:c>
      <x:c r="D1083" t="n">
        <x:f>AL105</x:f>
        <x:v>868.8370802822063</x:v>
      </x:c>
      <x:c r="E1083" t="n">
        <x:f>AN105</x:f>
        <x:v>841.3532788829367</x:v>
      </x:c>
    </x:row>
    <x:row r="1084">
      <x:c r="A1084" t="n">
        <x:f>I106</x:f>
        <x:v>-0.133</x:v>
      </x:c>
      <x:c r="B1084" t="n">
        <x:f>AH106</x:f>
        <x:v>2676.188666798151</x:v>
      </x:c>
      <x:c r="C1084" t="n">
        <x:f>AJ106</x:f>
        <x:v>484.08118424505756</x:v>
      </x:c>
      <x:c r="D1084" t="n">
        <x:f>AL106</x:f>
        <x:v>818.4420076699244</x:v>
      </x:c>
      <x:c r="E1084" t="n">
        <x:f>AN106</x:f>
        <x:v>790.7392217429494</x:v>
      </x:c>
    </x:row>
    <x:row r="1085">
      <x:c r="A1085" t="n">
        <x:f>I107</x:f>
        <x:v>-0.125</x:v>
      </x:c>
      <x:c r="B1085" t="n">
        <x:f>AH107</x:f>
        <x:v>2676.0560857448104</x:v>
      </x:c>
      <x:c r="C1085" t="n">
        <x:f>AJ107</x:f>
        <x:v>465.21831918360385</x:v>
      </x:c>
      <x:c r="D1085" t="n">
        <x:f>AL107</x:f>
        <x:v>774.2635773636083</x:v>
      </x:c>
      <x:c r="E1085" t="n">
        <x:f>AN107</x:f>
        <x:v>746.2816902643984</x:v>
      </x:c>
    </x:row>
    <x:row r="1086">
      <x:c r="A1086" t="n">
        <x:f>I108</x:f>
        <x:v>-0.117</x:v>
      </x:c>
      <x:c r="B1086" t="n">
        <x:f>AH108</x:f>
        <x:v>2675.93172239053</x:v>
      </x:c>
      <x:c r="C1086" t="n">
        <x:f>AJ108</x:f>
        <x:v>446.86749403358624</x:v>
      </x:c>
      <x:c r="D1086" t="n">
        <x:f>AL108</x:f>
        <x:v>730.7097325562099</x:v>
      </x:c>
      <x:c r="E1086" t="n">
        <x:f>AN108</x:f>
        <x:v>702.354778608177</x:v>
      </x:c>
    </x:row>
    <x:row r="1087">
      <x:c r="A1087" t="n">
        <x:f>I109</x:f>
        <x:v>-0.108</x:v>
      </x:c>
      <x:c r="B1087" t="n">
        <x:f>AH109</x:f>
        <x:v>2675.801637380072</x:v>
      </x:c>
      <x:c r="C1087" t="n">
        <x:f>AJ109</x:f>
        <x:v>426.90066876687405</x:v>
      </x:c>
      <x:c r="D1087" t="n">
        <x:f>AL109</x:f>
        <x:v>682.5280213875686</x:v>
      </x:c>
      <x:c r="E1087" t="n">
        <x:f>AN109</x:f>
        <x:v>653.6204124325454</x:v>
      </x:c>
    </x:row>
    <x:row r="1088">
      <x:c r="A1088" t="n">
        <x:f>I110</x:f>
        <x:v>-0.1</x:v>
      </x:c>
      <x:c r="B1088" t="n">
        <x:f>AH110</x:f>
        <x:v>2675.6947393589066</x:v>
      </x:c>
      <x:c r="C1088" t="n">
        <x:f>AJ110</x:f>
        <x:v>409.8223646341818</x:v>
      </x:c>
      <x:c r="D1088" t="n">
        <x:f>AL110</x:f>
        <x:v>640.5073835750494</x:v>
      </x:c>
      <x:c r="E1088" t="n">
        <x:f>AN110</x:f>
        <x:v>610.9686237412925</x:v>
      </x:c>
    </x:row>
    <x:row r="1089">
      <x:c r="A1089" t="n">
        <x:f>I111</x:f>
        <x:v>-0.092</x:v>
      </x:c>
      <x:c r="B1089" t="n">
        <x:f>AH111</x:f>
        <x:v>2675.596061480153</x:v>
      </x:c>
      <x:c r="C1089" t="n">
        <x:f>AJ111</x:f>
        <x:v>393.44746490213646</x:v>
      </x:c>
      <x:c r="D1089" t="n">
        <x:f>AL111</x:f>
        <x:v>599.3484103990154</x:v>
      </x:c>
      <x:c r="E1089" t="n">
        <x:f>AN111</x:f>
        <x:v>569.0227686817443</x:v>
      </x:c>
    </x:row>
    <x:row r="1090">
      <x:c r="A1090" t="n">
        <x:f>I112</x:f>
        <x:v>-0.083</x:v>
      </x:c>
      <x:c r="B1090" t="n">
        <x:f>AH112</x:f>
        <x:v>2675.494875334485</x:v>
      </x:c>
      <x:c r="C1090" t="n">
        <x:f>AJ112</x:f>
        <x:v>375.9660695790947</x:v>
      </x:c>
      <x:c r="D1090" t="n">
        <x:f>AL112</x:f>
        <x:v>554.2362316751039</x:v>
      </x:c>
      <x:c r="E1090" t="n">
        <x:f>AN112</x:f>
        <x:v>522.8056693168993</x:v>
      </x:c>
    </x:row>
    <x:row r="1091">
      <x:c r="A1091" t="n">
        <x:f>I113</x:f>
        <x:v>-0.075</x:v>
      </x:c>
      <x:c r="B1091" t="n">
        <x:f>AH113</x:f>
        <x:v>2675.413667405526</x:v>
      </x:c>
      <x:c r="C1091" t="n">
        <x:f>AJ113</x:f>
        <x:v>361.3628330842782</x:v>
      </x:c>
      <x:c r="D1091" t="n">
        <x:f>AL113</x:f>
        <x:v>515.385935947316</x:v>
      </x:c>
      <x:c r="E1091" t="n">
        <x:f>AN113</x:f>
        <x:v>482.7443088432838</x:v>
      </x:c>
    </x:row>
    <x:row r="1092">
      <x:c r="A1092" t="n">
        <x:f>I114</x:f>
        <x:v>-0.067</x:v>
      </x:c>
      <x:c r="B1092" t="n">
        <x:f>AH114</x:f>
        <x:v>2675.340681520537</x:v>
      </x:c>
      <x:c r="C1092" t="n">
        <x:f>AJ114</x:f>
        <x:v>347.7451277079186</x:v>
      </x:c>
      <x:c r="D1092" t="n">
        <x:f>AL114</x:f>
        <x:v>477.9486297496659</x:v>
      </x:c>
      <x:c r="E1092" t="n">
        <x:f>AN114</x:f>
        <x:v>443.8466445893456</x:v>
      </x:c>
    </x:row>
    <x:row r="1093">
      <x:c r="A1093" t="n">
        <x:f>I115</x:f>
        <x:v>-0.058</x:v>
      </x:c>
      <x:c r="B1093" t="n">
        <x:f>AH115</x:f>
        <x:v>2675.2684009246454</x:v>
      </x:c>
      <x:c r="C1093" t="n">
        <x:f>AJ115</x:f>
        <x:v>333.7408733876195</x:v>
      </x:c>
      <x:c r="D1093" t="n">
        <x:f>AL115</x:f>
        <x:v>437.8992973190349</x:v>
      </x:c>
      <x:c r="E1093" t="n">
        <x:f>AN115</x:f>
        <x:v>401.81820551497754</x:v>
      </x:c>
    </x:row>
    <x:row r="1094">
      <x:c r="A1094" t="n">
        <x:f>I116</x:f>
        <x:v>-0.05</x:v>
      </x:c>
      <x:c r="B1094" t="n">
        <x:f>AH116</x:f>
        <x:v>2675.2128884537788</x:v>
      </x:c>
      <x:c r="C1094" t="n">
        <x:f>AJ116</x:f>
        <x:v>322.5932252064959</x:v>
      </x:c>
      <x:c r="D1094" t="n">
        <x:f>AL116</x:f>
        <x:v>404.5820446556752</x:v>
      </x:c>
      <x:c r="E1094" t="n">
        <x:f>AN116</x:f>
        <x:v>366.42028097133147</x:v>
      </x:c>
    </x:row>
    <x:row r="1095">
      <x:c r="A1095" t="n">
        <x:f>I117</x:f>
        <x:v>-0.042</x:v>
      </x:c>
      <x:c r="B1095" t="n">
        <x:f>AH117</x:f>
        <x:v>2675.165599385722</x:v>
      </x:c>
      <x:c r="C1095" t="n">
        <x:f>AJ117</x:f>
        <x:v>312.798084448728</x:v>
      </x:c>
      <x:c r="D1095" t="n">
        <x:f>AL117</x:f>
        <x:v>373.95808704286753</x:v>
      </x:c>
      <x:c r="E1095" t="n">
        <x:f>AN117</x:f>
        <x:v>333.41947696346216</x:v>
      </x:c>
    </x:row>
    <x:row r="1096">
      <x:c r="A1096" t="n">
        <x:f>I118</x:f>
        <x:v>-0.033</x:v>
      </x:c>
      <x:c r="B1096" t="n">
        <x:f>AH118</x:f>
        <x:v>2675.122229116734</x:v>
      </x:c>
      <x:c r="C1096" t="n">
        <x:f>AJ118</x:f>
        <x:v>303.54886988121996</x:v>
      </x:c>
      <x:c r="D1096" t="n">
        <x:f>AL118</x:f>
        <x:v>343.5612623013572</x:v>
      </x:c>
      <x:c r="E1096" t="n">
        <x:f>AN118</x:f>
        <x:v>300.07341715264386</x:v>
      </x:c>
    </x:row>
    <x:row r="1097">
      <x:c r="A1097" t="n">
        <x:f>I119</x:f>
        <x:v>-0.025</x:v>
      </x:c>
      <x:c r="B1097" t="n">
        <x:f>AH119</x:f>
        <x:v>2675.092415773223</x:v>
      </x:c>
      <x:c r="C1097" t="n">
        <x:f>AJ119</x:f>
        <x:v>297.0306183683265</x:v>
      </x:c>
      <x:c r="D1097" t="n">
        <x:f>AL119</x:f>
        <x:v>321.0492876738631</x:v>
      </x:c>
      <x:c r="E1097" t="n">
        <x:f>AN119</x:f>
        <x:v>274.8715173653501</x:v>
      </x:c>
    </x:row>
    <x:row r="1098">
      <x:c r="A1098" t="n">
        <x:f>I120</x:f>
        <x:v>-0.017</x:v>
      </x:c>
      <x:c r="B1098" t="n">
        <x:f>AH120</x:f>
        <x:v>2675.0708266480583</x:v>
      </x:c>
      <x:c r="C1098" t="n">
        <x:f>AJ120</x:f>
        <x:v>292.2232293769202</x:v>
      </x:c>
      <x:c r="D1098" t="n">
        <x:f>AL120</x:f>
        <x:v>303.73346224026676</x:v>
      </x:c>
      <x:c r="E1098" t="n">
        <x:f>AN120</x:f>
        <x:v>255.10349072494134</x:v>
      </x:c>
    </x:row>
    <x:row r="1099">
      <x:c r="A1099" t="n">
        <x:f>I121</x:f>
        <x:v>-0.008</x:v>
      </x:c>
      <x:c r="B1099" t="n">
        <x:f>AH121</x:f>
        <x:v>2675.0563695731153</x:v>
      </x:c>
      <x:c r="C1099" t="n">
        <x:f>AJ121</x:f>
        <x:v>288.96093772220826</x:v>
      </x:c>
      <x:c r="D1099" t="n">
        <x:f>AL121</x:f>
        <x:v>291.57635730626026</x:v>
      </x:c>
      <x:c r="E1099" t="n">
        <x:f>AN121</x:f>
        <x:v>240.97664531965657</x:v>
      </x:c>
    </x:row>
    <x:row r="1100">
      <x:c r="A1100" t="n">
        <x:f>I122</x:f>
        <x:v>0</x:v>
      </x:c>
      <x:c r="B1100" t="n">
        <x:f>AH122</x:f>
        <x:v>2675.0522573279914</x:v>
      </x:c>
      <x:c r="C1100" t="n">
        <x:f>AJ122</x:f>
        <x:v>288.0264897465142</x:v>
      </x:c>
      <x:c r="D1100" t="n">
        <x:f>AL122</x:f>
        <x:v>288.0264897465142</x:v>
      </x:c>
      <x:c r="E1100" t="n">
        <x:f>AN122</x:f>
        <x:v>236.80676373491008</x:v>
      </x:c>
    </x:row>
    <x:row r="1101">
      <x:c r="A1101" t="n">
        <x:f>I123</x:f>
        <x:v>0.008</x:v>
      </x:c>
      <x:c r="B1101" t="n">
        <x:f>AH123</x:f>
        <x:v>2675.0563695731153</x:v>
      </x:c>
      <x:c r="C1101" t="n">
        <x:f>AJ123</x:f>
        <x:v>288.96093772220826</x:v>
      </x:c>
      <x:c r="D1101" t="n">
        <x:f>AL123</x:f>
        <x:v>291.57635730626026</x:v>
      </x:c>
      <x:c r="E1101" t="n">
        <x:f>AN123</x:f>
        <x:v>240.97664531965657</x:v>
      </x:c>
    </x:row>
    <x:row r="1102">
      <x:c r="A1102" t="n">
        <x:f>I124</x:f>
        <x:v>0.017</x:v>
      </x:c>
      <x:c r="B1102" t="n">
        <x:f>AH124</x:f>
        <x:v>2675.0708266480583</x:v>
      </x:c>
      <x:c r="C1102" t="n">
        <x:f>AJ124</x:f>
        <x:v>292.2232293769202</x:v>
      </x:c>
      <x:c r="D1102" t="n">
        <x:f>AL124</x:f>
        <x:v>303.73346224026676</x:v>
      </x:c>
      <x:c r="E1102" t="n">
        <x:f>AN124</x:f>
        <x:v>255.10349072494134</x:v>
      </x:c>
    </x:row>
    <x:row r="1103">
      <x:c r="A1103" t="n">
        <x:f>I125</x:f>
        <x:v>0.025</x:v>
      </x:c>
      <x:c r="B1103" t="n">
        <x:f>AH125</x:f>
        <x:v>2675.092415773223</x:v>
      </x:c>
      <x:c r="C1103" t="n">
        <x:f>AJ125</x:f>
        <x:v>297.0306183683265</x:v>
      </x:c>
      <x:c r="D1103" t="n">
        <x:f>AL125</x:f>
        <x:v>321.0492876738631</x:v>
      </x:c>
      <x:c r="E1103" t="n">
        <x:f>AN125</x:f>
        <x:v>274.8715173653501</x:v>
      </x:c>
    </x:row>
    <x:row r="1104">
      <x:c r="A1104" t="n">
        <x:f>I126</x:f>
        <x:v>0.033</x:v>
      </x:c>
      <x:c r="B1104" t="n">
        <x:f>AH126</x:f>
        <x:v>2675.122229116734</x:v>
      </x:c>
      <x:c r="C1104" t="n">
        <x:f>AJ126</x:f>
        <x:v>303.54886988121996</x:v>
      </x:c>
      <x:c r="D1104" t="n">
        <x:f>AL126</x:f>
        <x:v>343.5612623013572</x:v>
      </x:c>
      <x:c r="E1104" t="n">
        <x:f>AN126</x:f>
        <x:v>300.07341715264386</x:v>
      </x:c>
    </x:row>
    <x:row r="1105">
      <x:c r="A1105" t="n">
        <x:f>I127</x:f>
        <x:v>0.042</x:v>
      </x:c>
      <x:c r="B1105" t="n">
        <x:f>AH127</x:f>
        <x:v>2675.165599385722</x:v>
      </x:c>
      <x:c r="C1105" t="n">
        <x:f>AJ127</x:f>
        <x:v>312.798084448728</x:v>
      </x:c>
      <x:c r="D1105" t="n">
        <x:f>AL127</x:f>
        <x:v>373.95808704286753</x:v>
      </x:c>
      <x:c r="E1105" t="n">
        <x:f>AN127</x:f>
        <x:v>333.41947696346216</x:v>
      </x:c>
    </x:row>
    <x:row r="1106">
      <x:c r="A1106" t="n">
        <x:f>I128</x:f>
        <x:v>0.05</x:v>
      </x:c>
      <x:c r="B1106" t="n">
        <x:f>AH128</x:f>
        <x:v>2675.2128884537788</x:v>
      </x:c>
      <x:c r="C1106" t="n">
        <x:f>AJ128</x:f>
        <x:v>322.5932252064959</x:v>
      </x:c>
      <x:c r="D1106" t="n">
        <x:f>AL128</x:f>
        <x:v>404.5820446556752</x:v>
      </x:c>
      <x:c r="E1106" t="n">
        <x:f>AN128</x:f>
        <x:v>366.42028097133147</x:v>
      </x:c>
    </x:row>
    <x:row r="1107">
      <x:c r="A1107" t="n">
        <x:f>I129</x:f>
        <x:v>0.058</x:v>
      </x:c>
      <x:c r="B1107" t="n">
        <x:f>AH129</x:f>
        <x:v>2675.2684009246454</x:v>
      </x:c>
      <x:c r="C1107" t="n">
        <x:f>AJ129</x:f>
        <x:v>333.7408733876195</x:v>
      </x:c>
      <x:c r="D1107" t="n">
        <x:f>AL129</x:f>
        <x:v>437.8992973190349</x:v>
      </x:c>
      <x:c r="E1107" t="n">
        <x:f>AN129</x:f>
        <x:v>401.81820551497754</x:v>
      </x:c>
    </x:row>
    <x:row r="1108">
      <x:c r="A1108" t="n">
        <x:f>I130</x:f>
        <x:v>0.067</x:v>
      </x:c>
      <x:c r="B1108" t="n">
        <x:f>AH130</x:f>
        <x:v>2675.340681520537</x:v>
      </x:c>
      <x:c r="C1108" t="n">
        <x:f>AJ130</x:f>
        <x:v>347.7451277079186</x:v>
      </x:c>
      <x:c r="D1108" t="n">
        <x:f>AL130</x:f>
        <x:v>477.9486297496659</x:v>
      </x:c>
      <x:c r="E1108" t="n">
        <x:f>AN130</x:f>
        <x:v>443.8466445893456</x:v>
      </x:c>
    </x:row>
    <x:row r="1109">
      <x:c r="A1109" t="n">
        <x:f>I131</x:f>
        <x:v>0.075</x:v>
      </x:c>
      <x:c r="B1109" t="n">
        <x:f>AH131</x:f>
        <x:v>2675.413667405526</x:v>
      </x:c>
      <x:c r="C1109" t="n">
        <x:f>AJ131</x:f>
        <x:v>361.3628330842782</x:v>
      </x:c>
      <x:c r="D1109" t="n">
        <x:f>AL131</x:f>
        <x:v>515.385935947316</x:v>
      </x:c>
      <x:c r="E1109" t="n">
        <x:f>AN131</x:f>
        <x:v>482.7443088432838</x:v>
      </x:c>
    </x:row>
    <x:row r="1110">
      <x:c r="A1110" t="n">
        <x:f>I132</x:f>
        <x:v>0.083</x:v>
      </x:c>
      <x:c r="B1110" t="n">
        <x:f>AH132</x:f>
        <x:v>2675.494875334485</x:v>
      </x:c>
      <x:c r="C1110" t="n">
        <x:f>AJ132</x:f>
        <x:v>375.9660695790947</x:v>
      </x:c>
      <x:c r="D1110" t="n">
        <x:f>AL132</x:f>
        <x:v>554.2362316751039</x:v>
      </x:c>
      <x:c r="E1110" t="n">
        <x:f>AN132</x:f>
        <x:v>522.8056693168993</x:v>
      </x:c>
    </x:row>
    <x:row r="1111">
      <x:c r="A1111" t="n">
        <x:f>I133</x:f>
        <x:v>0.092</x:v>
      </x:c>
      <x:c r="B1111" t="n">
        <x:f>AH133</x:f>
        <x:v>2675.596061480153</x:v>
      </x:c>
      <x:c r="C1111" t="n">
        <x:f>AJ133</x:f>
        <x:v>393.44746490213646</x:v>
      </x:c>
      <x:c r="D1111" t="n">
        <x:f>AL133</x:f>
        <x:v>599.3484103990154</x:v>
      </x:c>
      <x:c r="E1111" t="n">
        <x:f>AN133</x:f>
        <x:v>569.0227686817443</x:v>
      </x:c>
    </x:row>
    <x:row r="1112">
      <x:c r="A1112" t="n">
        <x:f>I134</x:f>
        <x:v>0.1</x:v>
      </x:c>
      <x:c r="B1112" t="n">
        <x:f>AH134</x:f>
        <x:v>2675.6947393589066</x:v>
      </x:c>
      <x:c r="C1112" t="n">
        <x:f>AJ134</x:f>
        <x:v>409.8223646341818</x:v>
      </x:c>
      <x:c r="D1112" t="n">
        <x:f>AL134</x:f>
        <x:v>640.5073835750494</x:v>
      </x:c>
      <x:c r="E1112" t="n">
        <x:f>AN134</x:f>
        <x:v>610.9686237412925</x:v>
      </x:c>
    </x:row>
    <x:row r="1113">
      <x:c r="A1113" t="n">
        <x:f>I135</x:f>
        <x:v>0.108</x:v>
      </x:c>
      <x:c r="B1113" t="n">
        <x:f>AH135</x:f>
        <x:v>2675.801637380072</x:v>
      </x:c>
      <x:c r="C1113" t="n">
        <x:f>AJ135</x:f>
        <x:v>426.90066876687405</x:v>
      </x:c>
      <x:c r="D1113" t="n">
        <x:f>AL135</x:f>
        <x:v>682.5280213875686</x:v>
      </x:c>
      <x:c r="E1113" t="n">
        <x:f>AN135</x:f>
        <x:v>653.6204124325454</x:v>
      </x:c>
    </x:row>
    <x:row r="1114">
      <x:c r="A1114" t="n">
        <x:f>I136</x:f>
        <x:v>0.117</x:v>
      </x:c>
      <x:c r="B1114" t="n">
        <x:f>AH136</x:f>
        <x:v>2675.93172239053</x:v>
      </x:c>
      <x:c r="C1114" t="n">
        <x:f>AJ136</x:f>
        <x:v>446.86749403358624</x:v>
      </x:c>
      <x:c r="D1114" t="n">
        <x:f>AL136</x:f>
        <x:v>730.7097325562099</x:v>
      </x:c>
      <x:c r="E1114" t="n">
        <x:f>AN136</x:f>
        <x:v>702.354778608177</x:v>
      </x:c>
    </x:row>
    <x:row r="1115">
      <x:c r="A1115" t="n">
        <x:f>I137</x:f>
        <x:v>0.125</x:v>
      </x:c>
      <x:c r="B1115" t="n">
        <x:f>AH137</x:f>
        <x:v>2676.0560857448104</x:v>
      </x:c>
      <x:c r="C1115" t="n">
        <x:f>AJ137</x:f>
        <x:v>465.21831918360385</x:v>
      </x:c>
      <x:c r="D1115" t="n">
        <x:f>AL137</x:f>
        <x:v>774.2635773636083</x:v>
      </x:c>
      <x:c r="E1115" t="n">
        <x:f>AN137</x:f>
        <x:v>746.2816902643984</x:v>
      </x:c>
    </x:row>
    <x:row r="1116">
      <x:c r="A1116" t="n">
        <x:f>I138</x:f>
        <x:v>0.133</x:v>
      </x:c>
      <x:c r="B1116" t="n">
        <x:f>AH138</x:f>
        <x:v>2676.188666798151</x:v>
      </x:c>
      <x:c r="C1116" t="n">
        <x:f>AJ138</x:f>
        <x:v>484.08118424505756</x:v>
      </x:c>
      <x:c r="D1116" t="n">
        <x:f>AL138</x:f>
        <x:v>818.4420076699244</x:v>
      </x:c>
      <x:c r="E1116" t="n">
        <x:f>AN138</x:f>
        <x:v>790.7392217429494</x:v>
      </x:c>
    </x:row>
    <x:row r="1117">
      <x:c r="A1117" t="n">
        <x:f>I139</x:f>
        <x:v>0.142</x:v>
      </x:c>
      <x:c r="B1117" t="n">
        <x:f>AH139</x:f>
        <x:v>2676.3476420836173</x:v>
      </x:c>
      <x:c r="C1117" t="n">
        <x:f>AJ139</x:f>
        <x:v>505.85734229616077</x:v>
      </x:c>
      <x:c r="D1117" t="n">
        <x:f>AL139</x:f>
        <x:v>868.8370802821825</x:v>
      </x:c>
      <x:c r="E1117" t="n">
        <x:f>AN139</x:f>
        <x:v>841.3532788829613</x:v>
      </x:c>
    </x:row>
    <x:row r="1118">
      <x:c r="A1118" t="n">
        <x:f>I140</x:f>
        <x:v>0.15</x:v>
      </x:c>
      <x:c r="B1118" t="n">
        <x:f>AH140</x:f>
        <x:v>2676.4976827030932</x:v>
      </x:c>
      <x:c r="C1118" t="n">
        <x:f>AJ140</x:f>
        <x:v>525.6642714445533</x:v>
      </x:c>
      <x:c r="D1118" t="n">
        <x:f>AL140</x:f>
        <x:v>914.2150944753647</x:v>
      </x:c>
      <x:c r="E1118" t="n">
        <x:f>AN140</x:f>
        <x:v>886.8544947202699</x:v>
      </x:c>
    </x:row>
    <x:row r="1119">
      <x:c r="A1119" t="n">
        <x:f>I141</x:f>
        <x:v>0.158</x:v>
      </x:c>
      <x:c r="B1119" t="n">
        <x:f>AH141</x:f>
        <x:v>2676.655938037531</x:v>
      </x:c>
      <x:c r="C1119" t="n">
        <x:f>AJ141</x:f>
        <x:v>545.8599335087318</x:v>
      </x:c>
      <x:c r="D1119" t="n">
        <x:f>AL141</x:f>
        <x:v>960.117033428206</x:v>
      </x:c>
      <x:c r="E1119" t="n">
        <x:f>AN141</x:f>
        <x:v>932.8227451453487</x:v>
      </x:c>
    </x:row>
    <x:row r="1120">
      <x:c r="A1120" t="n">
        <x:f>I142</x:f>
        <x:v>0.167</x:v>
      </x:c>
      <x:c r="B1120" t="n">
        <x:f>AH142</x:f>
        <x:v>2676.843793107199</x:v>
      </x:c>
      <x:c r="C1120" t="n">
        <x:f>AJ142</x:f>
        <x:v>569.0088081002975</x:v>
      </x:c>
      <x:c r="D1120" t="n">
        <x:f>AL142</x:f>
        <x:v>1012.362240937457</x:v>
      </x:c>
      <x:c r="E1120" t="n">
        <x:f>AN142</x:f>
        <x:v>985.0850258038517</x:v>
      </x:c>
    </x:row>
    <x:row r="1121">
      <x:c r="A1121" t="n">
        <x:f>I143</x:f>
        <x:v>0.175</x:v>
      </x:c>
      <x:c r="B1121" t="n">
        <x:f>AH143</x:f>
        <x:v>2677.019501093122</x:v>
      </x:c>
      <x:c r="C1121" t="n">
        <x:f>AJ143</x:f>
        <x:v>589.9393087491328</x:v>
      </x:c>
      <x:c r="D1121" t="n">
        <x:f>AL143</x:f>
        <x:v>1059.3278163208254</x:v>
      </x:c>
      <x:c r="E1121" t="n">
        <x:f>AN143</x:f>
        <x:v>1032.0225937697833</x:v>
      </x:c>
    </x:row>
    <x:row r="1122">
      <x:c r="A1122" t="n">
        <x:f>I144</x:f>
        <x:v>0.183</x:v>
      </x:c>
      <x:c r="B1122" t="n">
        <x:f>AH144</x:f>
        <x:v>2677.2034202705154</x:v>
      </x:c>
      <x:c r="C1122" t="n">
        <x:f>AJ144</x:f>
        <x:v>611.1806207136659</x:v>
      </x:c>
      <x:c r="D1122" t="n">
        <x:f>AL144</x:f>
        <x:v>1106.77995128393</x:v>
      </x:c>
      <x:c r="E1122" t="n">
        <x:f>AN144</x:f>
        <x:v>1079.4124988914414</x:v>
      </x:c>
    </x:row>
    <x:row r="1123">
      <x:c r="A1123" t="n">
        <x:f>I145</x:f>
        <x:v>0.192</x:v>
      </x:c>
      <x:c r="B1123" t="n">
        <x:f>AH145</x:f>
        <x:v>2677.4201427373237</x:v>
      </x:c>
      <x:c r="C1123" t="n">
        <x:f>AJ145</x:f>
        <x:v>635.426085871894</x:v>
      </x:c>
      <x:c r="D1123" t="n">
        <x:f>AL145</x:f>
        <x:v>1160.7398106982935</x:v>
      </x:c>
      <x:c r="E1123" t="n">
        <x:f>AN145</x:f>
        <x:v>1133.2680310356866</x:v>
      </x:c>
    </x:row>
    <x:row r="1124">
      <x:c r="A1124" t="n">
        <x:f>I146</x:f>
        <x:v>0.2</x:v>
      </x:c>
      <x:c r="B1124" t="n">
        <x:f>AH146</x:f>
        <x:v>2677.621506506962</x:v>
      </x:c>
      <x:c r="C1124" t="n">
        <x:f>AJ146</x:f>
        <x:v>657.2706885164247</x:v>
      </x:c>
      <x:c r="D1124" t="n">
        <x:f>AL146</x:f>
        <x:v>1209.2143519498034</x:v>
      </x:c>
      <x:c r="E1124" t="n">
        <x:f>AN146</x:f>
        <x:v>1181.6244054437507</x:v>
      </x:c>
    </x:row>
    <x:row r="1125">
      <x:c r="A1125" t="n">
        <x:f>I147</x:f>
        <x:v>0.208</x:v>
      </x:c>
      <x:c r="B1125" t="n">
        <x:f>AH147</x:f>
        <x:v>2677.8310774067595</x:v>
      </x:c>
      <x:c r="C1125" t="n">
        <x:f>AJ147</x:f>
        <x:v>679.3773518856626</x:v>
      </x:c>
      <x:c r="D1125" t="n">
        <x:f>AL147</x:f>
        <x:v>1258.1693986938863</x:v>
      </x:c>
      <x:c r="E1125" t="n">
        <x:f>AN147</x:f>
        <x:v>1230.4415066288307</x:v>
      </x:c>
    </x:row>
    <x:row r="1126">
      <x:c r="A1126" t="n">
        <x:f>I148</x:f>
        <x:v>0.217</x:v>
      </x:c>
      <x:c r="B1126" t="n">
        <x:f>AH148</x:f>
        <x:v>2678.0766529929315</x:v>
      </x:c>
      <x:c r="C1126" t="n">
        <x:f>AJ148</x:f>
        <x:v>704.5466168692386</x:v>
      </x:c>
      <x:c r="D1126" t="n">
        <x:f>AL148</x:f>
        <x:v>1313.820661862484</x:v>
      </x:c>
      <x:c r="E1126" t="n">
        <x:f>AN148</x:f>
        <x:v>1285.9182668026356</x:v>
      </x:c>
    </x:row>
    <x:row r="1127">
      <x:c r="A1127" t="n">
        <x:f>I149</x:f>
        <x:v>0.225</x:v>
      </x:c>
      <x:c r="B1127" t="n">
        <x:f>AH149</x:f>
        <x:v>2678.3036592847507</x:v>
      </x:c>
      <x:c r="C1127" t="n">
        <x:f>AJ149</x:f>
        <x:v>727.1747453672517</x:v>
      </x:c>
      <x:c r="D1127" t="n">
        <x:f>AL149</x:f>
        <x:v>1363.804879466073</x:v>
      </x:c>
      <x:c r="E1127" t="n">
        <x:f>AN149</x:f>
        <x:v>1335.73358143176</x:v>
      </x:c>
    </x:row>
    <x:row r="1128">
      <x:c r="A1128" t="n">
        <x:f>I150</x:f>
        <x:v>0.233</x:v>
      </x:c>
      <x:c r="B1128" t="n">
        <x:f>AH150</x:f>
        <x:v>2678.53886810944</x:v>
      </x:c>
      <x:c r="C1128" t="n">
        <x:f>AJ150</x:f>
        <x:v>750.0348628533561</x:v>
      </x:c>
      <x:c r="D1128" t="n">
        <x:f>AL150</x:f>
        <x:v>1414.279745381553</x:v>
      </x:c>
      <x:c r="E1128" t="n">
        <x:f>AN150</x:f>
        <x:v>1386.0293710733336</x:v>
      </x:c>
    </x:row>
    <x:row r="1129">
      <x:c r="A1129" t="n">
        <x:f>I151</x:f>
        <x:v>0.242</x:v>
      </x:c>
      <x:c r="B1129" t="n">
        <x:f>AH151</x:f>
        <x:v>2678.813280652873</x:v>
      </x:c>
      <x:c r="C1129" t="n">
        <x:f>AJ151</x:f>
        <x:v>776.021326811133</x:v>
      </x:c>
      <x:c r="D1129" t="n">
        <x:f>AL151</x:f>
        <x:v>1471.657065923119</x:v>
      </x:c>
      <x:c r="E1129" t="n">
        <x:f>AN151</x:f>
        <x:v>1443.1960281662846</x:v>
      </x:c>
    </x:row>
    <x:row r="1130">
      <x:c r="A1130" t="n">
        <x:f>I152</x:f>
        <x:v>0.25</x:v>
      </x:c>
      <x:c r="B1130" t="n">
        <x:f>AH152</x:f>
        <x:v>2679.065914532494</x:v>
      </x:c>
      <x:c r="C1130" t="n">
        <x:f>AJ152</x:f>
        <x:v>799.3530465257882</x:v>
      </x:c>
      <x:c r="D1130" t="n">
        <x:f>AL152</x:f>
        <x:v>1523.1929864371127</x:v>
      </x:c>
      <x:c r="E1130" t="n">
        <x:f>AN152</x:f>
        <x:v>1494.538848738704</x:v>
      </x:c>
    </x:row>
    <x:row r="1131">
      <x:c r="A1131" t="n">
        <x:f>I153</x:f>
        <x:v>0.258</x:v>
      </x:c>
      <x:c r="B1131" t="n">
        <x:f>AH153</x:f>
        <x:v>2679.3267458137466</x:v>
      </x:c>
      <x:c r="C1131" t="n">
        <x:f>AJ153</x:f>
        <x:v>822.8987615597109</x:v>
      </x:c>
      <x:c r="D1131" t="n">
        <x:f>AL153</x:f>
        <x:v>1575.2382195812656</x:v>
      </x:c>
      <x:c r="E1131" t="n">
        <x:f>AN153</x:f>
        <x:v>1546.3874430517</x:v>
      </x:c>
    </x:row>
    <x:row r="1132">
      <x:c r="A1132" t="n">
        <x:f>I154</x:f>
        <x:v>0.267</x:v>
      </x:c>
      <x:c r="B1132" t="n">
        <x:f>AH154</x:f>
        <x:v>2679.6299772752322</x:v>
      </x:c>
      <x:c r="C1132" t="n">
        <x:f>AJ154</x:f>
        <x:v>849.6386115770032</x:v>
      </x:c>
      <x:c r="D1132" t="n">
        <x:f>AL154</x:f>
        <x:v>1634.406668398929</x:v>
      </x:c>
      <x:c r="E1132" t="n">
        <x:f>AN154</x:f>
        <x:v>1605.3325327342354</x:v>
      </x:c>
    </x:row>
    <x:row r="1133">
      <x:c r="A1133" t="n">
        <x:f>I155</x:f>
        <x:v>0.275</x:v>
      </x:c>
      <x:c r="B1133" t="n">
        <x:f>AH155</x:f>
        <x:v>2679.9082221420913</x:v>
      </x:c>
      <x:c r="C1133" t="n">
        <x:f>AJ155</x:f>
        <x:v>873.6268737519348</x:v>
      </x:c>
      <x:c r="D1133" t="n">
        <x:f>AL155</x:f>
        <x:v>1687.557977658393</x:v>
      </x:c>
      <x:c r="E1133" t="n">
        <x:f>AN155</x:f>
        <x:v>1658.2850643618456</x:v>
      </x:c>
    </x:row>
    <x:row r="1134">
      <x:c r="A1134" t="n">
        <x:f>I156</x:f>
        <x:v>0.283</x:v>
      </x:c>
      <x:c r="B1134" t="n">
        <x:f>AH156</x:f>
        <x:v>2680.1946587476814</x:v>
      </x:c>
      <x:c r="C1134" t="n">
        <x:f>AJ156</x:f>
        <x:v>897.8190596262613</x:v>
      </x:c>
      <x:c r="D1134" t="n">
        <x:f>AL156</x:f>
        <x:v>1741.2416393615815</x:v>
      </x:c>
      <x:c r="E1134" t="n">
        <x:f>AN156</x:f>
        <x:v>1711.7711368171172</x:v>
      </x:c>
    </x:row>
    <x:row r="1135">
      <x:c r="A1135" t="n">
        <x:f>I157</x:f>
        <x:v>0.292</x:v>
      </x:c>
      <x:c r="B1135" t="n">
        <x:f>AH157</x:f>
        <x:v>2680.526689218967</x:v>
      </x:c>
      <x:c r="C1135" t="n">
        <x:f>AJ157</x:f>
        <x:v>925.2765339546444</x:v>
      </x:c>
      <x:c r="D1135" t="n">
        <x:f>AL157</x:f>
        <x:v>1802.2819043727418</x:v>
      </x:c>
      <x:c r="E1135" t="n">
        <x:f>AN157</x:f>
        <x:v>1772.5920499108024</x:v>
      </x:c>
    </x:row>
    <x:row r="1136">
      <x:c r="A1136" t="n">
        <x:f>I158</x:f>
        <x:v>0.3</x:v>
      </x:c>
      <x:c r="B1136" t="n">
        <x:f>AH158</x:f>
        <x:v>2680.8305268137187</x:v>
      </x:c>
      <x:c r="C1136" t="n">
        <x:f>AJ158</x:f>
        <x:v>949.8959568514337</x:v>
      </x:c>
      <x:c r="D1136" t="n">
        <x:f>AL158</x:f>
        <x:v>1857.1231620816707</x:v>
      </x:c>
      <x:c r="E1136" t="n">
        <x:f>AN158</x:f>
        <x:v>1827.2421550832848</x:v>
      </x:c>
    </x:row>
    <x:row r="1137">
      <x:c r="A1137" t="n">
        <x:f>I159</x:f>
        <x:v>0.308</x:v>
      </x:c>
      <x:c r="B1137" t="n">
        <x:f>AH159</x:f>
        <x:v>2681.1425499551765</x:v>
      </x:c>
      <x:c r="C1137" t="n">
        <x:f>AJ159</x:f>
        <x:v>974.7145021127182</x:v>
      </x:c>
      <x:c r="D1137" t="n">
        <x:f>AL159</x:f>
        <x:v>1912.5218325119242</x:v>
      </x:c>
      <x:c r="E1137" t="n">
        <x:f>AN159</x:f>
        <x:v>1882.4543117385992</x:v>
      </x:c>
    </x:row>
    <x:row r="1138">
      <x:c r="A1138" t="n">
        <x:f>I160</x:f>
        <x:v>0.317</x:v>
      </x:c>
      <x:c r="B1138" t="n">
        <x:f>AH160</x:f>
        <x:v>2681.5033576678143</x:v>
      </x:c>
      <x:c r="C1138" t="n">
        <x:f>AJ160</x:f>
        <x:v>1002.8724909144175</x:v>
      </x:c>
      <x:c r="D1138" t="n">
        <x:f>AL160</x:f>
        <x:v>1975.5218318440923</x:v>
      </x:c>
      <x:c r="E1138" t="n">
        <x:f>AN160</x:f>
        <x:v>1945.2511482815198</x:v>
      </x:c>
    </x:row>
    <x:row r="1139">
      <x:c r="A1139" t="n">
        <x:f>I161</x:f>
        <x:v>0.325</x:v>
      </x:c>
      <x:c r="B1139" t="n">
        <x:f>AH161</x:f>
        <x:v>2681.8327680804646</x:v>
      </x:c>
      <x:c r="C1139" t="n">
        <x:f>AJ161</x:f>
        <x:v>1028.1121624339564</x:v>
      </x:c>
      <x:c r="D1139" t="n">
        <x:f>AL161</x:f>
        <x:v>2032.132269523135</x:v>
      </x:c>
      <x:c r="E1139" t="n">
        <x:f>AN161</x:f>
        <x:v>2001.6878257232431</x:v>
      </x:c>
    </x:row>
    <x:row r="1140">
      <x:c r="A1140" t="n">
        <x:f>I162</x:f>
        <x:v>0.333</x:v>
      </x:c>
      <x:c r="B1140" t="n">
        <x:f>AH162</x:f>
        <x:v>2682.170357321432</x:v>
      </x:c>
      <x:c r="C1140" t="n">
        <x:f>AJ162</x:f>
        <x:v>1053.5497018470367</x:v>
      </x:c>
      <x:c r="D1140" t="n">
        <x:f>AL162</x:f>
        <x:v>2089.3258107719435</x:v>
      </x:c>
      <x:c r="E1140" t="n">
        <x:f>AN162</x:f>
        <x:v>2058.7148075309083</x:v>
      </x:c>
    </x:row>
    <x:row r="1141">
      <x:c r="A1141" t="n">
        <x:f>I163</x:f>
        <x:v>0.342</x:v>
      </x:c>
      <x:c r="B1141" t="n">
        <x:f>AH163</x:f>
        <x:v>2682.559918656496</x:v>
      </x:c>
      <x:c r="C1141" t="n">
        <x:f>AJ163</x:f>
        <x:v>1082.4036420950645</x:v>
      </x:c>
      <x:c r="D1141" t="n">
        <x:f>AL163</x:f>
        <x:v>2154.375751929062</x:v>
      </x:c>
      <x:c r="E1141" t="n">
        <x:f>AN163</x:f>
        <x:v>2123.5868153942665</x:v>
      </x:c>
    </x:row>
    <x:row r="1142">
      <x:c r="A1142" t="n">
        <x:f>I164</x:f>
        <x:v>0.35</x:v>
      </x:c>
      <x:c r="B1142" t="n">
        <x:f>AH164</x:f>
        <x:v>2682.914880335254</x:v>
      </x:c>
      <x:c r="C1142" t="n">
        <x:f>AJ164</x:f>
        <x:v>1108.2624133501783</x:v>
      </x:c>
      <x:c r="D1142" t="n">
        <x:f>AL164</x:f>
        <x:v>2212.8355811384035</x:v>
      </x:c>
      <x:c r="E1142" t="n">
        <x:f>AN164</x:f>
        <x:v>2181.897557099264</x:v>
      </x:c>
    </x:row>
    <x:row r="1143">
      <x:c r="A1143" t="n">
        <x:f>I165</x:f>
        <x:v>0.358</x:v>
      </x:c>
      <x:c r="B1143" t="n">
        <x:f>AH165</x:f>
        <x:v>2683.2780136005345</x:v>
      </x:c>
      <x:c r="C1143" t="n">
        <x:f>AJ165</x:f>
        <x:v>1134.320202233334</x:v>
      </x:c>
      <x:c r="D1143" t="n">
        <x:f>AL165</x:f>
        <x:v>2271.9039940577863</x:v>
      </x:c>
      <x:c r="E1143" t="n">
        <x:f>AN165</x:f>
        <x:v>2240.826006094351</x:v>
      </x:c>
    </x:row>
    <x:row r="1144">
      <x:c r="A1144" t="n">
        <x:f>I166</x:f>
        <x:v>0.367</x:v>
      </x:c>
      <x:c r="B1144" t="n">
        <x:f>AH166</x:f>
        <x:v>2683.69630309907</x:v>
      </x:c>
      <x:c r="C1144" t="n">
        <x:f>AJ166</x:f>
        <x:v>1163.87403253476</x:v>
      </x:c>
      <x:c r="D1144" t="n">
        <x:f>AL166</x:f>
        <x:v>2339.0933871403463</x:v>
      </x:c>
      <x:c r="E1144" t="n">
        <x:f>AN166</x:f>
        <x:v>2307.86947732593</x:v>
      </x:c>
    </x:row>
    <x:row r="1145">
      <x:c r="A1145" t="n">
        <x:f>I167</x:f>
        <x:v>0.375</x:v>
      </x:c>
      <x:c r="B1145" t="n">
        <x:f>AH167</x:f>
        <x:v>2684.0767928598584</x:v>
      </x:c>
      <x:c r="C1145" t="n">
        <x:f>AJ167</x:f>
        <x:v>1190.3573781400514</x:v>
      </x:c>
      <x:c r="D1145" t="n">
        <x:f>AL167</x:f>
        <x:v>2399.4815554213374</x:v>
      </x:c>
      <x:c r="E1145" t="n">
        <x:f>AN167</x:f>
        <x:v>2368.1387047809635</x:v>
      </x:c>
    </x:row>
    <x:row r="1146">
      <x:c r="A1146" t="n">
        <x:f>I168</x:f>
        <x:v>0.383</x:v>
      </x:c>
      <x:c r="B1146" t="n">
        <x:f>AH168</x:f>
        <x:v>2684.465446445234</x:v>
      </x:c>
      <x:c r="C1146" t="n">
        <x:f>AJ168</x:f>
        <x:v>1217.0425226665805</x:v>
      </x:c>
      <x:c r="D1146" t="n">
        <x:f>AL168</x:f>
        <x:v>2460.503062399682</x:v>
      </x:c>
      <x:c r="E1146" t="n">
        <x:f>AN168</x:f>
        <x:v>2429.051843860189</x:v>
      </x:c>
    </x:row>
    <x:row r="1147">
      <x:c r="A1147" t="n">
        <x:f>I169</x:f>
        <x:v>0.392</x:v>
      </x:c>
      <x:c r="B1147" t="n">
        <x:f>AH169</x:f>
        <x:v>2684.9124368195003</x:v>
      </x:c>
      <x:c r="C1147" t="n">
        <x:f>AJ169</x:f>
        <x:v>1247.305949695761</x:v>
      </x:c>
      <x:c r="D1147" t="n">
        <x:f>AL169</x:f>
        <x:v>2529.918895127145</x:v>
      </x:c>
      <x:c r="E1147" t="n">
        <x:f>AN169</x:f>
        <x:v>2498.3588768603126</x:v>
      </x:c>
    </x:row>
    <x:row r="1148">
      <x:c r="A1148" t="n">
        <x:f>I170</x:f>
        <x:v>0.4</x:v>
      </x:c>
      <x:c r="B1148" t="n">
        <x:f>AH170</x:f>
        <x:v>2685.318429856306</x:v>
      </x:c>
      <x:c r="C1148" t="n">
        <x:f>AJ170</x:f>
        <x:v>1274.4238323326915</x:v>
      </x:c>
      <x:c r="D1148" t="n">
        <x:f>AL170</x:f>
        <x:v>2592.311715433615</x:v>
      </x:c>
      <x:c r="E1148" t="n">
        <x:f>AN170</x:f>
        <x:v>2560.6670284536167</x:v>
      </x:c>
    </x:row>
    <x:row r="1149">
      <x:c r="A1149" t="n">
        <x:f>I171</x:f>
        <x:v>0.408</x:v>
      </x:c>
      <x:c r="B1149" t="n">
        <x:f>AH171</x:f>
        <x:v>2685.7325784389564</x:v>
      </x:c>
      <x:c r="C1149" t="n">
        <x:f>AJ171</x:f>
        <x:v>1301.7473946103885</x:v>
      </x:c>
      <x:c r="D1149" t="n">
        <x:f>AL171</x:f>
        <x:v>2655.3615925812765</x:v>
      </x:c>
      <x:c r="E1149" t="n">
        <x:f>AN171</x:f>
        <x:v>2623.6439001292542</x:v>
      </x:c>
    </x:row>
    <x:row r="1150">
      <x:c r="A1150" t="n">
        <x:f>I172</x:f>
        <x:v>0.417</x:v>
      </x:c>
      <x:c r="B1150" t="n">
        <x:f>AH172</x:f>
        <x:v>2686.2082405845767</x:v>
      </x:c>
      <x:c r="C1150" t="n">
        <x:f>AJ172</x:f>
        <x:v>1332.7340115462373</x:v>
      </x:c>
      <x:c r="D1150" t="n">
        <x:f>AL172</x:f>
        <x:v>2727.0872248769224</x:v>
      </x:c>
      <x:c r="E1150" t="n">
        <x:f>AN172</x:f>
        <x:v>2695.3016989076004</x:v>
      </x:c>
    </x:row>
    <x:row r="1151">
      <x:c r="A1151" t="n">
        <x:f>I173</x:f>
        <x:v>0.425</x:v>
      </x:c>
      <x:c r="B1151" t="n">
        <x:f>AH173</x:f>
        <x:v>2686.6397104802963</x:v>
      </x:c>
      <x:c r="C1151" t="n">
        <x:f>AJ173</x:f>
        <x:v>1360.4994034490926</x:v>
      </x:c>
      <x:c r="D1151" t="n">
        <x:f>AL173</x:f>
        <x:v>2791.557552752647</x:v>
      </x:c>
      <x:c r="E1151" t="n">
        <x:f>AN173</x:f>
        <x:v>2759.724726481357</x:v>
      </x:c>
    </x:row>
    <x:row r="1152">
      <x:c r="A1152" t="n">
        <x:f>I174</x:f>
        <x:v>0.433</x:v>
      </x:c>
      <x:c r="B1152" t="n">
        <x:f>AH174</x:f>
        <x:v>2687.0793271300054</x:v>
      </x:c>
      <x:c r="C1152" t="n">
        <x:f>AJ174</x:f>
        <x:v>1388.4750825653464</x:v>
      </x:c>
      <x:c r="D1152" t="n">
        <x:f>AL174</x:f>
        <x:v>2856.707437171217</x:v>
      </x:c>
      <x:c r="E1152" t="n">
        <x:f>AN174</x:f>
        <x:v>2824.8397867428093</x:v>
      </x:c>
    </x:row>
    <x:row r="1153">
      <x:c r="A1153" t="n">
        <x:f>I175</x:f>
        <x:v>0.442</x:v>
      </x:c>
      <x:c r="B1153" t="n">
        <x:f>AH175</x:f>
        <x:v>2687.5836301386457</x:v>
      </x:c>
      <x:c r="C1153" t="n">
        <x:f>AJ175</x:f>
        <x:v>1420.2010523856848</x:v>
      </x:c>
      <x:c r="D1153" t="n">
        <x:f>AL175</x:f>
        <x:v>2930.821956828647</x:v>
      </x:c>
      <x:c r="E1153" t="n">
        <x:f>AN175</x:f>
        <x:v>2898.93030502441</x:v>
      </x:c>
    </x:row>
    <x:row r="1154">
      <x:c r="A1154" t="n">
        <x:f>I176</x:f>
        <x:v>0.45</x:v>
      </x:c>
      <x:c r="B1154" t="n">
        <x:f>AH176</x:f>
        <x:v>2688.0405488767533</x:v>
      </x:c>
      <x:c r="C1154" t="n">
        <x:f>AJ176</x:f>
        <x:v>1448.628895361848</x:v>
      </x:c>
      <x:c r="D1154" t="n">
        <x:f>AL176</x:f>
        <x:v>2997.4387220817075</x:v>
      </x:c>
      <x:c r="E1154" t="n">
        <x:f>AN176</x:f>
        <x:v>2965.539435665303</x:v>
      </x:c>
    </x:row>
    <x:row r="1155">
      <x:c r="A1155" t="n">
        <x:f>I177</x:f>
        <x:v>0.458</x:v>
      </x:c>
      <x:c r="B1155" t="n">
        <x:f>AH177</x:f>
        <x:v>2688.505605067754</x:v>
      </x:c>
      <x:c r="C1155" t="n">
        <x:f>AJ177</x:f>
        <x:v>1477.272095393459</x:v>
      </x:c>
      <x:c r="D1155" t="n">
        <x:f>AL177</x:f>
        <x:v>3064.756229239328</x:v>
      </x:c>
      <x:c r="E1155" t="n">
        <x:f>AN177</x:f>
        <x:v>3032.8623798858607</x:v>
      </x:c>
    </x:row>
    <x:row r="1156">
      <x:c r="A1156" t="n">
        <x:f>I178</x:f>
        <x:v>0.467</x:v>
      </x:c>
      <x:c r="B1156" t="n">
        <x:f>AH178</x:f>
        <x:v>2689.038516240782</x:v>
      </x:c>
      <x:c r="C1156" t="n">
        <x:f>AJ178</x:f>
        <x:v>1509.7552162254726</x:v>
      </x:c>
      <x:c r="D1156" t="n">
        <x:f>AL178</x:f>
        <x:v>3141.3341110240226</x:v>
      </x:c>
      <x:c r="E1156" t="n">
        <x:f>AN178</x:f>
        <x:v>3109.462192200807</x:v>
      </x:c>
    </x:row>
    <x:row r="1157">
      <x:c r="A1157" t="n">
        <x:f>I179</x:f>
        <x:v>0.475</x:v>
      </x:c>
      <x:c r="B1157" t="n">
        <x:f>AH179</x:f>
        <x:v>2689.520854217586</x:v>
      </x:c>
      <x:c r="C1157" t="n">
        <x:f>AJ179</x:f>
        <x:v>1538.8616802693725</x:v>
      </x:c>
      <x:c r="D1157" t="n">
        <x:f>AL179</x:f>
        <x:v>3210.1620844044405</x:v>
      </x:c>
      <x:c r="E1157" t="n">
        <x:f>AN179</x:f>
        <x:v>3178.323865680885</x:v>
      </x:c>
    </x:row>
    <x:row r="1158">
      <x:c r="A1158" t="n">
        <x:f>I180</x:f>
        <x:v>0.483</x:v>
      </x:c>
      <x:c r="B1158" t="n">
        <x:f>AH180</x:f>
        <x:v>2690.0113198410036</x:v>
      </x:c>
      <x:c r="C1158" t="n">
        <x:f>AJ180</x:f>
        <x:v>1568.188843395766</x:v>
      </x:c>
      <x:c r="D1158" t="n">
        <x:f>AL180</x:f>
        <x:v>3279.710632319749</x:v>
      </x:c>
      <x:c r="E1158" t="n">
        <x:f>AN180</x:f>
        <x:v>3247.91960889348</x:v>
      </x:c>
    </x:row>
    <x:row r="1159">
      <x:c r="A1159" t="n">
        <x:f>I181</x:f>
        <x:v>0.492</x:v>
      </x:c>
      <x:c r="B1159" t="n">
        <x:f>AH181</x:f>
        <x:v>2690.572804703775</x:v>
      </x:c>
      <x:c r="C1159" t="n">
        <x:f>AJ181</x:f>
        <x:v>1601.4478772869256</x:v>
      </x:c>
      <x:c r="D1159" t="n">
        <x:f>AL181</x:f>
        <x:v>3358.8216005216295</x:v>
      </x:c>
      <x:c r="E1159" t="n">
        <x:f>AN181</x:f>
        <x:v>3327.0999332019915</x:v>
      </x:c>
    </x:row>
    <x:row r="1160">
      <x:c r="A1160" t="n">
        <x:f>I182</x:f>
        <x:v>0.5</x:v>
      </x:c>
      <x:c r="B1160" t="n">
        <x:f>AH182</x:f>
        <x:v>2691.0805307414003</x:v>
      </x:c>
      <x:c r="C1160" t="n">
        <x:f>AJ182</x:f>
        <x:v>1631.2498263703887</x:v>
      </x:c>
      <x:c r="D1160" t="n">
        <x:f>AL182</x:f>
        <x:v>3429.9213186632924</x:v>
      </x:c>
      <x:c r="E1160" t="n">
        <x:f>AN182</x:f>
        <x:v>3398.275856941299</x:v>
      </x:c>
    </x:row>
    <x:row r="1161">
      <x:c r="A1161" t="n">
        <x:f>I183</x:f>
        <x:v>0.508</x:v>
      </x:c>
      <x:c r="B1161" t="n">
        <x:f>AH183</x:f>
        <x:v>2691.596374118459</x:v>
      </x:c>
      <x:c r="C1161" t="n">
        <x:f>AJ183</x:f>
        <x:v>1661.27795099574</x:v>
      </x:c>
      <x:c r="D1161" t="n">
        <x:f>AL183</x:f>
        <x:v>3501.760091807711</x:v>
      </x:c>
      <x:c r="E1161" t="n">
        <x:f>AN183</x:f>
        <x:v>3470.2046174700704</x:v>
      </x:c>
    </x:row>
    <x:row r="1162">
      <x:c r="A1162" t="n">
        <x:f>I184</x:f>
        <x:v>0.517</x:v>
      </x:c>
      <x:c r="B1162" t="n">
        <x:f>AH184</x:f>
        <x:v>2692.1863964353583</x:v>
      </x:c>
      <x:c r="C1162" t="n">
        <x:f>AJ184</x:f>
        <x:v>1695.3321376263839</x:v>
      </x:c>
      <x:c r="D1162" t="n">
        <x:f>AL184</x:f>
        <x:v>3583.4691205577215</x:v>
      </x:c>
      <x:c r="E1162" t="n">
        <x:f>AN184</x:f>
        <x:v>3552.0314391676843</x:v>
      </x:c>
    </x:row>
    <x:row r="1163">
      <x:c r="A1163" t="n">
        <x:f>I185</x:f>
        <x:v>0.525</x:v>
      </x:c>
      <x:c r="B1163" t="n">
        <x:f>AH185</x:f>
        <x:v>2692.7194777953123</x:v>
      </x:c>
      <x:c r="C1163" t="n">
        <x:f>AJ185</x:f>
        <x:v>1725.8467418024873</x:v>
      </x:c>
      <x:c r="D1163" t="n">
        <x:f>AL185</x:f>
        <x:v>3656.896918210815</x:v>
      </x:c>
      <x:c r="E1163" t="n">
        <x:f>AN185</x:f>
        <x:v>3625.578721629772</x:v>
      </x:c>
    </x:row>
    <x:row r="1164">
      <x:c r="A1164" t="n">
        <x:f>I186</x:f>
        <x:v>0.533</x:v>
      </x:c>
      <x:c r="B1164" t="n">
        <x:f>AH186</x:f>
        <x:v>2693.260665691084</x:v>
      </x:c>
      <x:c r="C1164" t="n">
        <x:f>AJ186</x:f>
        <x:v>1756.5930320423138</x:v>
      </x:c>
      <x:c r="D1164" t="n">
        <x:f>AL186</x:f>
        <x:v>3731.0809261239924</x:v>
      </x:c>
      <x:c r="E1164" t="n">
        <x:f>AN186</x:f>
        <x:v>3699.896173425861</x:v>
      </x:c>
    </x:row>
    <x:row r="1165">
      <x:c r="A1165" t="n">
        <x:f>I187</x:f>
        <x:v>0.542</x:v>
      </x:c>
      <x:c r="B1165" t="n">
        <x:f>AH187</x:f>
        <x:v>2693.8791874812646</x:v>
      </x:c>
      <x:c r="C1165" t="n">
        <x:f>AJ187</x:f>
        <x:v>1791.4617344869769</x:v>
      </x:c>
      <x:c r="D1165" t="n">
        <x:f>AL187</x:f>
        <x:v>3815.4483329742607</x:v>
      </x:c>
      <x:c r="E1165" t="n">
        <x:f>AN187</x:f>
        <x:v>3784.430436320021</x:v>
      </x:c>
    </x:row>
    <x:row r="1166">
      <x:c r="A1166" t="n">
        <x:f>I188</x:f>
        <x:v>0.55</x:v>
      </x:c>
      <x:c r="B1166" t="n">
        <x:f>AH188</x:f>
        <x:v>2694.4375898786375</x:v>
      </x:c>
      <x:c r="C1166" t="n">
        <x:f>AJ188</x:f>
        <x:v>1822.7061870307282</x:v>
      </x:c>
      <x:c r="D1166" t="n">
        <x:f>AL188</x:f>
        <x:v>3891.256447672386</x:v>
      </x:c>
      <x:c r="E1166" t="n">
        <x:f>AN188</x:f>
        <x:v>3860.401771777322</x:v>
      </x:c>
    </x:row>
    <x:row r="1167">
      <x:c r="A1167" t="n">
        <x:f>I189</x:f>
        <x:v>0.558</x:v>
      </x:c>
      <x:c r="B1167" t="n">
        <x:f>AH189</x:f>
        <x:v>2695.0040875164605</x:v>
      </x:c>
      <x:c r="C1167" t="n">
        <x:f>AJ189</x:f>
        <x:v>1854.1877969704217</x:v>
      </x:c>
      <x:c r="D1167" t="n">
        <x:f>AL189</x:f>
        <x:v>3967.8366472645534</x:v>
      </x:c>
      <x:c r="E1167" t="n">
        <x:f>AN189</x:f>
        <x:v>3937.159241278996</x:v>
      </x:c>
    </x:row>
    <x:row r="1168">
      <x:c r="A1168" t="n">
        <x:f>I190</x:f>
        <x:v>0.567</x:v>
      </x:c>
      <x:c r="B1168" t="n">
        <x:f>AH190</x:f>
        <x:v>2695.6510690703108</x:v>
      </x:c>
      <x:c r="C1168" t="n">
        <x:f>AJ190</x:f>
        <x:v>1889.8902432096763</x:v>
      </x:c>
      <x:c r="D1168" t="n">
        <x:f>AL190</x:f>
        <x:v>4054.918249107175</x:v>
      </x:c>
      <x:c r="E1168" t="n">
        <x:f>AN190</x:f>
        <x:v>4024.457081346861</x:v>
      </x:c>
    </x:row>
    <x:row r="1169">
      <x:c r="A1169" t="n">
        <x:f>I191</x:f>
        <x:v>0.575</x:v>
      </x:c>
      <x:c r="B1169" t="n">
        <x:f>AH191</x:f>
        <x:v>2696.234756688648</x:v>
      </x:c>
      <x:c r="C1169" t="n">
        <x:f>AJ191</x:f>
        <x:v>1921.881554297467</x:v>
      </x:c>
      <x:c r="D1169" t="n">
        <x:f>AL191</x:f>
        <x:v>4133.154973866361</x:v>
      </x:c>
      <x:c r="E1169" t="n">
        <x:f>AN191</x:f>
        <x:v>4102.900966862511</x:v>
      </x:c>
    </x:row>
    <x:row r="1170">
      <x:c r="A1170" t="n">
        <x:f>I192</x:f>
        <x:v>0.583</x:v>
      </x:c>
      <x:c r="B1170" t="n">
        <x:f>AH192</x:f>
        <x:v>2696.8265277651735</x:v>
      </x:c>
      <x:c r="C1170" t="n">
        <x:f>AJ192</x:f>
        <x:v>1954.1154016181265</x:v>
      </x:c>
      <x:c r="D1170" t="n">
        <x:f>AL192</x:f>
        <x:v>4212.178433547609</x:v>
      </x:c>
      <x:c r="E1170" t="n">
        <x:f>AN192</x:f>
        <x:v>4182.145657173544</x:v>
      </x:c>
    </x:row>
    <x:row r="1171">
      <x:c r="A1171" t="n">
        <x:f>I193</x:f>
        <x:v>0.592</x:v>
      </x:c>
      <x:c r="B1171" t="n">
        <x:f>AH193</x:f>
        <x:v>2697.5019276614603</x:v>
      </x:c>
      <x:c r="C1171" t="n">
        <x:f>AJ193</x:f>
        <x:v>1990.6704964522148</x:v>
      </x:c>
      <x:c r="D1171" t="n">
        <x:f>AL193</x:f>
        <x:v>4302.02574295159</x:v>
      </x:c>
      <x:c r="E1171" t="n">
        <x:f>AN193</x:f>
        <x:v>4272.258661802538</x:v>
      </x:c>
    </x:row>
    <x:row r="1172">
      <x:c r="A1172" t="n">
        <x:f>I194</x:f>
        <x:v>0.6</x:v>
      </x:c>
      <x:c r="B1172" t="n">
        <x:f>AH194</x:f>
        <x:v>2698.110863168117</x:v>
      </x:c>
      <x:c r="C1172" t="n">
        <x:f>AJ194</x:f>
        <x:v>2023.4253433638573</x:v>
      </x:c>
      <x:c r="D1172" t="n">
        <x:f>AL194</x:f>
        <x:v>4382.735609610576</x:v>
      </x:c>
      <x:c r="E1172" t="n">
        <x:f>AN194</x:f>
        <x:v>4353.219632675859</x:v>
      </x:c>
    </x:row>
    <x:row r="1173">
      <x:c r="A1173" t="n">
        <x:f>I195</x:f>
        <x:v>0.608</x:v>
      </x:c>
      <x:c r="B1173" t="n">
        <x:f>AH195</x:f>
        <x:v>2698.7278698689106</x:v>
      </x:c>
      <x:c r="C1173" t="n">
        <x:f>AJ195</x:f>
        <x:v>2056.4279743959246</x:v>
      </x:c>
      <x:c r="D1173" t="n">
        <x:f>AL195</x:f>
        <x:v>4464.245699599919</x:v>
      </x:c>
      <x:c r="E1173" t="n">
        <x:f>AN195</x:f>
        <x:v>4434.994862669758</x:v>
      </x:c>
    </x:row>
    <x:row r="1174">
      <x:c r="A1174" t="n">
        <x:f>I196</x:f>
        <x:v>0.617</x:v>
      </x:c>
      <x:c r="B1174" t="n">
        <x:f>AH196</x:f>
        <x:v>2699.43164499259</x:v>
      </x:c>
      <x:c r="C1174" t="n">
        <x:f>AJ196</x:f>
        <x:v>2093.854163760291</x:v>
      </x:c>
      <x:c r="D1174" t="n">
        <x:f>AL196</x:f>
        <x:v>4556.906145812415</x:v>
      </x:c>
      <x:c r="E1174" t="n">
        <x:f>AN196</x:f>
        <x:v>4527.970342892097</x:v>
      </x:c>
    </x:row>
    <x:row r="1175">
      <x:c r="A1175" t="n">
        <x:f>I197</x:f>
        <x:v>0.625</x:v>
      </x:c>
      <x:c r="B1175" t="n">
        <x:f>AH197</x:f>
        <x:v>2700.065789554835</x:v>
      </x:c>
      <x:c r="C1175" t="n">
        <x:f>AJ197</x:f>
        <x:v>2127.3887833117165</x:v>
      </x:c>
      <x:c r="D1175" t="n">
        <x:f>AL197</x:f>
        <x:v>4640.130126474501</x:v>
      </x:c>
      <x:c r="E1175" t="n">
        <x:f>AN197</x:f>
        <x:v>4611.489216623593</x:v>
      </x:c>
    </x:row>
    <x:row r="1176">
      <x:c r="A1176" t="n">
        <x:f>I198</x:f>
        <x:v>0.633</x:v>
      </x:c>
      <x:c r="B1176" t="n">
        <x:f>AH198</x:f>
        <x:v>2700.7079925706203</x:v>
      </x:c>
      <x:c r="C1176" t="n">
        <x:f>AJ198</x:f>
        <x:v>2161.1762766414804</x:v>
      </x:c>
      <x:c r="D1176" t="n">
        <x:f>AL198</x:f>
        <x:v>4724.1667239784065</x:v>
      </x:c>
      <x:c r="E1176" t="n">
        <x:f>AN198</x:f>
        <x:v>4695.8346660074885</x:v>
      </x:c>
    </x:row>
    <x:row r="1177">
      <x:c r="A1177" t="n">
        <x:f>I199</x:f>
        <x:v>0.642</x:v>
      </x:c>
      <x:c r="B1177" t="n">
        <x:f>AH199</x:f>
        <x:v>2701.440098131209</x:v>
      </x:c>
      <x:c r="C1177" t="n">
        <x:f>AJ199</x:f>
        <x:v>2199.4914513372773</x:v>
      </x:c>
      <x:c r="D1177" t="n">
        <x:f>AL199</x:f>
        <x:v>4819.683887182147</x:v>
      </x:c>
      <x:c r="E1177" t="n">
        <x:f>AN199</x:f>
        <x:v>4791.715932694854</x:v>
      </x:c>
    </x:row>
    <x:row r="1178">
      <x:c r="A1178" t="n">
        <x:f>I200</x:f>
        <x:v>0.65</x:v>
      </x:c>
      <x:c r="B1178" t="n">
        <x:f>AH200</x:f>
        <x:v>2702.0994114328023</x:v>
      </x:c>
      <x:c r="C1178" t="n">
        <x:f>AJ200</x:f>
        <x:v>2233.821564177517</x:v>
      </x:c>
      <x:c r="D1178" t="n">
        <x:f>AL200</x:f>
        <x:v>4905.459604666784</x:v>
      </x:c>
      <x:c r="E1178" t="n">
        <x:f>AN200</x:f>
        <x:v>4877.830054285296</x:v>
      </x:c>
    </x:row>
    <x:row r="1179">
      <x:c r="A1179" t="n">
        <x:f>I201</x:f>
        <x:v>0.658</x:v>
      </x:c>
      <x:c r="B1179" t="n">
        <x:f>AH201</x:f>
        <x:v>2702.766769976195</x:v>
      </x:c>
      <x:c r="C1179" t="n">
        <x:f>AJ201</x:f>
        <x:v>2268.4094634231324</x:v>
      </x:c>
      <x:c r="D1179" t="n">
        <x:f>AL201</x:f>
        <x:v>4992.0593057230435</x:v>
      </x:c>
      <x:c r="E1179" t="n">
        <x:f>AN201</x:f>
        <x:v>4964.7820081571645</x:v>
      </x:c>
    </x:row>
    <x:row r="1180">
      <x:c r="A1180" t="n">
        <x:f>I202</x:f>
        <x:v>0.667</x:v>
      </x:c>
      <x:c r="B1180" t="n">
        <x:f>AH202</x:f>
        <x:v>2703.527159526966</x:v>
      </x:c>
      <x:c r="C1180" t="n">
        <x:f>AJ202</x:f>
        <x:v>2307.6308927499517</x:v>
      </x:c>
      <x:c r="D1180" t="n">
        <x:f>AL202</x:f>
        <x:v>5090.473156276304</x:v>
      </x:c>
      <x:c r="E1180" t="n">
        <x:f>AN202</x:f>
        <x:v>5063.608645679323</x:v>
      </x:c>
    </x:row>
    <x:row r="1181">
      <x:c r="A1181" t="n">
        <x:f>I203</x:f>
        <x:v>0.675</x:v>
      </x:c>
      <x:c r="B1181" t="n">
        <x:f>AH203</x:f>
        <x:v>2704.2115997852675</x:v>
      </x:c>
      <x:c r="C1181" t="n">
        <x:f>AJ203</x:f>
        <x:v>2342.7716518918514</x:v>
      </x:c>
      <x:c r="D1181" t="n">
        <x:f>AL203</x:f>
        <x:v>5178.835096993912</x:v>
      </x:c>
      <x:c r="E1181" t="n">
        <x:f>AN203</x:f>
        <x:v>5152.352129116699</x:v>
      </x:c>
    </x:row>
    <x:row r="1182">
      <x:c r="A1182" t="n">
        <x:f>I204</x:f>
        <x:v>0.683</x:v>
      </x:c>
      <x:c r="B1182" t="n">
        <x:f>AH204</x:f>
        <x:v>2704.9040716081277</x:v>
      </x:c>
      <x:c r="C1182" t="n">
        <x:f>AJ204</x:f>
        <x:v>2378.1749207105045</x:v>
      </x:c>
      <x:c r="D1182" t="n">
        <x:f>AL204</x:f>
        <x:v>5268.031429047745</x:v>
      </x:c>
      <x:c r="E1182" t="n">
        <x:f>AN204</x:f>
        <x:v>5241.943717406506</x:v>
      </x:c>
    </x:row>
    <x:row r="1183">
      <x:c r="A1183" t="n">
        <x:f>I205</x:f>
        <x:v>0.692</x:v>
      </x:c>
      <x:c r="B1183" t="n">
        <x:f>AH205</x:f>
        <x:v>2705.692697065748</x:v>
      </x:c>
      <x:c r="C1183" t="n">
        <x:f>AJ205</x:f>
        <x:v>2418.3192089337513</x:v>
      </x:c>
      <x:c r="D1183" t="n">
        <x:f>AL205</x:f>
        <x:v>5369.3785657395565</x:v>
      </x:c>
      <x:c r="E1183" t="n">
        <x:f>AN205</x:f>
        <x:v>5343.751850152343</x:v>
      </x:c>
    </x:row>
    <x:row r="1184">
      <x:c r="A1184" t="n">
        <x:f>I206</x:f>
        <x:v>0.7</x:v>
      </x:c>
      <x:c r="B1184" t="n">
        <x:f>AH206</x:f>
        <x:v>2706.402221049479</x:v>
      </x:c>
      <x:c r="C1184" t="n">
        <x:f>AJ206</x:f>
        <x:v>2454.285166823356</x:v>
      </x:c>
      <x:c r="D1184" t="n">
        <x:f>AL206</x:f>
        <x:v>5460.3582902555545</x:v>
      </x:c>
      <x:c r="E1184" t="n">
        <x:f>AN206</x:f>
        <x:v>5435.1558124688245</x:v>
      </x:c>
    </x:row>
    <x:row r="1185">
      <x:c r="A1185" t="n">
        <x:f>I207</x:f>
        <x:v>0.708</x:v>
      </x:c>
      <x:c r="B1185" t="n">
        <x:f>AH207</x:f>
        <x:v>2707.119762460756</x:v>
      </x:c>
      <x:c r="C1185" t="n">
        <x:f>AJ207</x:f>
        <x:v>2490.518160948682</x:v>
      </x:c>
      <x:c r="D1185" t="n">
        <x:f>AL207</x:f>
        <x:v>5552.181921221128</x:v>
      </x:c>
      <x:c r="E1185" t="n">
        <x:f>AN207</x:f>
        <x:v>5527.4172410510055</x:v>
      </x:c>
    </x:row>
    <x:row r="1186">
      <x:c r="A1186" t="n">
        <x:f>I208</x:f>
        <x:v>0.717</x:v>
      </x:c>
      <x:c r="B1186" t="n">
        <x:f>AH208</x:f>
        <x:v>2707.9365741255974</x:v>
      </x:c>
      <x:c r="C1186" t="n">
        <x:f>AJ208</x:f>
        <x:v>2531.601221281773</x:v>
      </x:c>
      <x:c r="D1186" t="n">
        <x:f>AL208</x:f>
        <x:v>5656.495804293952</x:v>
      </x:c>
      <x:c r="E1186" t="n">
        <x:f>AN208</x:f>
        <x:v>5632.239789639232</x:v>
      </x:c>
    </x:row>
    <x:row r="1187">
      <x:c r="A1187" t="n">
        <x:f>I209</x:f>
        <x:v>0.725</x:v>
      </x:c>
      <x:c r="B1187" t="n">
        <x:f>AH209</x:f>
        <x:v>2708.6711371730257</x:v>
      </x:c>
      <x:c r="C1187" t="n">
        <x:f>AJ209</x:f>
        <x:v>2568.4063111009086</x:v>
      </x:c>
      <x:c r="D1187" t="n">
        <x:f>AL209</x:f>
        <x:v>5750.1221522344285</x:v>
      </x:c>
      <x:c r="E1187" t="n">
        <x:f>AN209</x:f>
        <x:v>5726.332575075653</x:v>
      </x:c>
    </x:row>
    <x:row r="1188">
      <x:c r="A1188" t="n">
        <x:f>I210</x:f>
        <x:v>0.733</x:v>
      </x:c>
      <x:c r="B1188" t="n">
        <x:f>AH210</x:f>
        <x:v>2709.41370305717</x:v>
      </x:c>
      <x:c r="C1188" t="n">
        <x:f>AJ210</x:f>
        <x:v>2605.4827634648645</x:v>
      </x:c>
      <x:c r="D1188" t="n">
        <x:f>AL210</x:f>
        <x:v>5844.601093061466</x:v>
      </x:c>
      <x:c r="E1188" t="n">
        <x:f>AN210</x:f>
        <x:v>5821.291346397364</x:v>
      </x:c>
    </x:row>
    <x:row r="1189">
      <x:c r="A1189" t="n">
        <x:f>I211</x:f>
        <x:v>0.742</x:v>
      </x:c>
      <x:c r="B1189" t="n">
        <x:f>AH211</x:f>
        <x:v>2710.258649634195</x:v>
      </x:c>
      <x:c r="C1189" t="n">
        <x:f>AJ211</x:f>
        <x:v>2647.519805513155</x:v>
      </x:c>
      <x:c r="D1189" t="n">
        <x:f>AL211</x:f>
        <x:v>5951.912269047644</x:v>
      </x:c>
      <x:c r="E1189" t="n">
        <x:f>AN211</x:f>
        <x:v>5929.1582714862625</x:v>
      </x:c>
    </x:row>
    <x:row r="1190">
      <x:c r="A1190" t="n">
        <x:f>I212</x:f>
        <x:v>0.75</x:v>
      </x:c>
      <x:c r="B1190" t="n">
        <x:f>AH212</x:f>
        <x:v>2711.018205671868</x:v>
      </x:c>
      <x:c r="C1190" t="n">
        <x:f>AJ212</x:f>
        <x:v>2685.177333423242</x:v>
      </x:c>
      <x:c r="D1190" t="n">
        <x:f>AL212</x:f>
        <x:v>6048.211556044975</x:v>
      </x:c>
      <x:c r="E1190" t="n">
        <x:f>AN212</x:f>
        <x:v>6025.965664177064</x:v>
      </x:c>
    </x:row>
    <x:row r="1191">
      <x:c r="A1191" t="n">
        <x:f>I213</x:f>
        <x:v>0.758</x:v>
      </x:c>
      <x:c r="B1191" t="n">
        <x:f>AH213</x:f>
        <x:v>2711.7857495077187</x:v>
      </x:c>
      <x:c r="C1191" t="n">
        <x:f>AJ213</x:f>
        <x:v>2723.110349333624</x:v>
      </x:c>
      <x:c r="D1191" t="n">
        <x:f>AL213</x:f>
        <x:v>6145.371354766013</x:v>
      </x:c>
      <x:c r="E1191" t="n">
        <x:f>AN213</x:f>
        <x:v>6123.6467860475295</x:v>
      </x:c>
    </x:row>
    <x:row r="1192">
      <x:c r="A1192" t="n">
        <x:f>I214</x:f>
        <x:v>0.767</x:v>
      </x:c>
      <x:c r="B1192" t="n">
        <x:f>AH214</x:f>
        <x:v>2712.658778127942</x:v>
      </x:c>
      <x:c r="C1192" t="n">
        <x:f>AJ214</x:f>
        <x:v>2766.1158768793084</x:v>
      </x:c>
      <x:c r="D1192" t="n">
        <x:f>AL214</x:f>
        <x:v>6255.7076711632635</x:v>
      </x:c>
      <x:c r="E1192" t="n">
        <x:f>AN214</x:f>
        <x:v>6234.585318473166</x:v>
      </x:c>
    </x:row>
    <x:row r="1193">
      <x:c r="A1193" t="n">
        <x:f>I215</x:f>
        <x:v>0.775</x:v>
      </x:c>
      <x:c r="B1193" t="n">
        <x:f>AH215</x:f>
        <x:v>2713.4432796899005</x:v>
      </x:c>
      <x:c r="C1193" t="n">
        <x:f>AJ215</x:f>
        <x:v>2804.638522662561</x:v>
      </x:c>
      <x:c r="D1193" t="n">
        <x:f>AL215</x:f>
        <x:v>6354.703876330992</x:v>
      </x:c>
      <x:c r="E1193" t="n">
        <x:f>AN215</x:f>
        <x:v>6334.130742726853</x:v>
      </x:c>
    </x:row>
    <x:row r="1194">
      <x:c r="A1194" t="n">
        <x:f>I216</x:f>
        <x:v>0.783</x:v>
      </x:c>
      <x:c r="B1194" t="n">
        <x:f>AH216</x:f>
        <x:v>2714.235753570058</x:v>
      </x:c>
      <x:c r="C1194" t="n">
        <x:f>AJ216</x:f>
        <x:v>2843.440582690019</x:v>
      </x:c>
      <x:c r="D1194" t="n">
        <x:f>AL216</x:f>
        <x:v>6454.567802288764</x:v>
      </x:c>
      <x:c r="E1194" t="n">
        <x:f>AN216</x:f>
        <x:v>6434.556924518235</x:v>
      </x:c>
    </x:row>
    <x:row r="1195">
      <x:c r="A1195" t="n">
        <x:f>I217</x:f>
        <x:v>0.792</x:v>
      </x:c>
      <x:c r="B1195" t="n">
        <x:f>AH217</x:f>
        <x:v>2715.1368098124726</x:v>
      </x:c>
      <x:c r="C1195" t="n">
        <x:f>AJ217</x:f>
        <x:v>2887.428399392069</x:v>
      </x:c>
      <x:c r="D1195" t="n">
        <x:f>AL217</x:f>
        <x:v>6567.954610839783</x:v>
      </x:c>
      <x:c r="E1195" t="n">
        <x:f>AN217</x:f>
        <x:v>6548.591781107734</x:v>
      </x:c>
    </x:row>
    <x:row r="1196">
      <x:c r="A1196" t="n">
        <x:f>I218</x:f>
        <x:v>0.8</x:v>
      </x:c>
      <x:c r="B1196" t="n">
        <x:f>AH218</x:f>
        <x:v>2715.9462080599938</x:v>
      </x:c>
      <x:c r="C1196" t="n">
        <x:f>AJ218</x:f>
        <x:v>2926.8282235073743</x:v>
      </x:c>
      <x:c r="D1196" t="n">
        <x:f>AL218</x:f>
        <x:v>6669.6695538641015</x:v>
      </x:c>
      <x:c r="E1196" t="n">
        <x:f>AN218</x:f>
        <x:v>6650.89648885563</x:v>
      </x:c>
    </x:row>
    <x:row r="1197">
      <x:c r="A1197" t="n">
        <x:f>I219</x:f>
        <x:v>0.808</x:v>
      </x:c>
      <x:c r="B1197" t="n">
        <x:f>AH219</x:f>
        <x:v>2716.763562710639</x:v>
      </x:c>
      <x:c r="C1197" t="n">
        <x:f>AJ219</x:f>
        <x:v>2966.5111922476426</x:v>
      </x:c>
      <x:c r="D1197" t="n">
        <x:f>AL219</x:f>
        <x:v>6772.258771364358</x:v>
      </x:c>
      <x:c r="E1197" t="n">
        <x:f>AN219</x:f>
        <x:v>6754.08832481869</x:v>
      </x:c>
    </x:row>
    <x:row r="1198">
      <x:c r="A1198" t="n">
        <x:f>I220</x:f>
        <x:v>0.817</x:v>
      </x:c>
      <x:c r="B1198" t="n">
        <x:f>AH220</x:f>
        <x:v>2717.692590624826</x:v>
      </x:c>
      <x:c r="C1198" t="n">
        <x:f>AJ220</x:f>
        <x:v>3011.4944133564245</x:v>
      </x:c>
      <x:c r="D1198" t="n">
        <x:f>AL220</x:f>
        <x:v>6888.7191192634255</x:v>
      </x:c>
      <x:c r="E1198" t="n">
        <x:f>AN220</x:f>
        <x:v>6871.241909686075</x:v>
      </x:c>
    </x:row>
    <x:row r="1199">
      <x:c r="A1199" t="n">
        <x:f>I221</x:f>
        <x:v>0.825</x:v>
      </x:c>
      <x:c r="B1199" t="n">
        <x:f>AH221</x:f>
        <x:v>2718.5268353664997</x:v>
      </x:c>
      <x:c r="C1199" t="n">
        <x:f>AJ221</x:f>
        <x:v>3051.7828688525797</x:v>
      </x:c>
      <x:c r="D1199" t="n">
        <x:f>AL221</x:f>
        <x:v>6993.172626647848</x:v>
      </x:c>
      <x:c r="E1199" t="n">
        <x:f>AN221</x:f>
        <x:v>6976.325155041407</x:v>
      </x:c>
    </x:row>
    <x:row r="1200">
      <x:c r="A1200" t="n">
        <x:f>I222</x:f>
        <x:v>0.833</x:v>
      </x:c>
      <x:c r="B1200" t="n">
        <x:f>AH222</x:f>
        <x:v>2719.3690201677696</x:v>
      </x:c>
      <x:c r="C1200" t="n">
        <x:f>AJ222</x:f>
        <x:v>3092.3580081209293</x:v>
      </x:c>
      <x:c r="D1200" t="n">
        <x:f>AL222</x:f>
        <x:v>7098.5063576925695</x:v>
      </x:c>
      <x:c r="E1200" t="n">
        <x:f>AN222</x:f>
        <x:v>7082.30129477401</x:v>
      </x:c>
    </x:row>
    <x:row r="1201">
      <x:c r="A1201" t="n">
        <x:f>I223</x:f>
        <x:v>0.842</x:v>
      </x:c>
      <x:c r="B1201" t="n">
        <x:f>AH223</x:f>
        <x:v>2720.3259622967576</x:v>
      </x:c>
      <x:c r="C1201" t="n">
        <x:f>AJ223</x:f>
        <x:v>3138.34907670858</x:v>
      </x:c>
      <x:c r="D1201" t="n">
        <x:f>AL223</x:f>
        <x:v>7218.061166458944</x:v>
      </x:c>
      <x:c r="E1201" t="n">
        <x:f>AN223</x:f>
        <x:v>7202.593886244597</x:v>
      </x:c>
    </x:row>
    <x:row r="1202">
      <x:c r="A1202" t="n">
        <x:f>I224</x:f>
        <x:v>0.85</x:v>
      </x:c>
      <x:c r="B1202" t="n">
        <x:f>AH224</x:f>
        <x:v>2721.1850020092143</x:v>
      </x:c>
      <x:c r="C1202" t="n">
        <x:f>AJ224</x:f>
        <x:v>3179.537024764877</x:v>
      </x:c>
      <x:c r="D1202" t="n">
        <x:f>AL224</x:f>
        <x:v>7325.2712267935</x:v>
      </x:c>
      <x:c r="E1202" t="n">
        <x:f>AN224</x:f>
        <x:v>7310.473087383565</x:v>
      </x:c>
    </x:row>
    <x:row r="1203">
      <x:c r="A1203" t="n">
        <x:f>I225</x:f>
        <x:v>0.858</x:v>
      </x:c>
      <x:c r="B1203" t="n">
        <x:f>AH225</x:f>
        <x:v>2722.0519650158485</x:v>
      </x:c>
      <x:c r="C1203" t="n">
        <x:f>AJ225</x:f>
        <x:v>3221.015010080671</x:v>
      </x:c>
      <x:c r="D1203" t="n">
        <x:f>AL225</x:f>
        <x:v>7433.366902852947</x:v>
      </x:c>
      <x:c r="E1203" t="n">
        <x:f>AN225</x:f>
        <x:v>7419.250393732713</x:v>
      </x:c>
    </x:row>
    <x:row r="1204">
      <x:c r="A1204" t="n">
        <x:f>I226</x:f>
        <x:v>0.867</x:v>
      </x:c>
      <x:c r="B1204" t="n">
        <x:f>AH226</x:f>
        <x:v>2723.0367624197406</x:v>
      </x:c>
      <x:c r="C1204" t="n">
        <x:f>AJ226</x:f>
        <x:v>3268.0257165997627</x:v>
      </x:c>
      <x:c r="D1204" t="n">
        <x:f>AL226</x:f>
        <x:v>7556.035134917943</x:v>
      </x:c>
      <x:c r="E1204" t="n">
        <x:f>AN226</x:f>
        <x:v>7542.700317284668</x:v>
      </x:c>
    </x:row>
    <x:row r="1205">
      <x:c r="A1205" t="n">
        <x:f>I227</x:f>
        <x:v>0.875</x:v>
      </x:c>
      <x:c r="B1205" t="n">
        <x:f>AH227</x:f>
        <x:v>2723.920544268542</x:v>
      </x:c>
      <x:c r="C1205" t="n">
        <x:f>AJ227</x:f>
        <x:v>3310.123444717516</x:v>
      </x:c>
      <x:c r="D1205" t="n">
        <x:f>AL227</x:f>
        <x:v>7666.018043289701</x:v>
      </x:c>
      <x:c r="E1205" t="n">
        <x:f>AN227</x:f>
        <x:v>7653.39120605297</x:v>
      </x:c>
    </x:row>
    <x:row r="1206">
      <x:c r="A1206" t="n">
        <x:f>I228</x:f>
        <x:v>0.883</x:v>
      </x:c>
      <x:c r="B1206" t="n">
        <x:f>AH228</x:f>
        <x:v>2724.8122322311165</x:v>
      </x:c>
      <x:c r="C1206" t="n">
        <x:f>AJ228</x:f>
        <x:v>3352.5143841718163</x:v>
      </x:c>
      <x:c r="D1206" t="n">
        <x:f>AL228</x:f>
        <x:v>7776.891446293156</x:v>
      </x:c>
      <x:c r="E1206" t="n">
        <x:f>AN228</x:f>
        <x:v>7764.984900901371</x:v>
      </x:c>
    </x:row>
    <x:row r="1207">
      <x:c r="A1207" t="n">
        <x:f>I229</x:f>
        <x:v>0.892</x:v>
      </x:c>
      <x:c r="B1207" t="n">
        <x:f>AH229</x:f>
        <x:v>2725.824824510964</x:v>
      </x:c>
      <x:c r="C1207" t="n">
        <x:f>AJ229</x:f>
        <x:v>3400.5558883978983</x:v>
      </x:c>
      <x:c r="D1207" t="n">
        <x:f>AL229</x:f>
        <x:v>7902.690259570726</x:v>
      </x:c>
      <x:c r="E1207" t="n">
        <x:f>AN229</x:f>
        <x:v>7891.608688682572</x:v>
      </x:c>
    </x:row>
    <x:row r="1208">
      <x:c r="A1208" t="n">
        <x:f>I230</x:f>
        <x:v>0.9</x:v>
      </x:c>
      <x:c r="B1208" t="n">
        <x:f>AH230</x:f>
        <x:v>2726.7332943721008</x:v>
      </x:c>
      <x:c r="C1208" t="n">
        <x:f>AJ230</x:f>
        <x:v>3443.5731304663896</x:v>
      </x:c>
      <x:c r="D1208" t="n">
        <x:f>AL230</x:f>
        <x:v>8015.460751408424</x:v>
      </x:c>
      <x:c r="E1208" t="n">
        <x:f>AN230</x:f>
        <x:v>8005.125448461821</x:v>
      </x:c>
    </x:row>
    <x:row r="1209">
      <x:c r="A1209" t="n">
        <x:f>I231</x:f>
        <x:v>0.908</x:v>
      </x:c>
      <x:c r="B1209" t="n">
        <x:f>AH231</x:f>
        <x:v>2727.649652758524</x:v>
      </x:c>
      <x:c r="C1209" t="n">
        <x:f>AJ231</x:f>
        <x:v>3486.8865852502836</x:v>
      </x:c>
      <x:c r="D1209" t="n">
        <x:f>AL231</x:f>
        <x:v>8129.12614429087</x:v>
      </x:c>
      <x:c r="E1209" t="n">
        <x:f>AN231</x:f>
        <x:v>8119.549246965395</x:v>
      </x:c>
    </x:row>
    <x:row r="1210">
      <x:c r="A1210" t="n">
        <x:f>I232</x:f>
        <x:v>0.917</x:v>
      </x:c>
      <x:c r="B1210" t="n">
        <x:f>AH232</x:f>
        <x:v>2728.689978080741</x:v>
      </x:c>
      <x:c r="C1210" t="n">
        <x:f>AJ232</x:f>
        <x:v>3535.9694398561164</x:v>
      </x:c>
      <x:c r="D1210" t="n">
        <x:f>AL232</x:f>
        <x:v>8258.071035157735</x:v>
      </x:c>
      <x:c r="E1210" t="n">
        <x:f>AN232</x:f>
        <x:v>8249.361784554472</x:v>
      </x:c>
    </x:row>
    <x:row r="1211">
      <x:c r="A1211" t="n">
        <x:f>I233</x:f>
        <x:v>0.925</x:v>
      </x:c>
      <x:c r="B1211" t="n">
        <x:f>AH233</x:f>
        <x:v>2729.6230805624396</x:v>
      </x:c>
      <x:c r="C1211" t="n">
        <x:f>AJ233</x:f>
        <x:v>3579.915397473851</x:v>
      </x:c>
      <x:c r="D1211" t="n">
        <x:f>AL233</x:f>
        <x:v>8373.64240992586</x:v>
      </x:c>
      <x:c r="E1211" t="n">
        <x:f>AN233</x:f>
        <x:v>8365.717177007828</x:v>
      </x:c>
    </x:row>
    <x:row r="1212">
      <x:c r="A1212" t="n">
        <x:f>I234</x:f>
        <x:v>0.933</x:v>
      </x:c>
      <x:c r="B1212" t="n">
        <x:f>AH234</x:f>
        <x:v>2730.5640535799016</x:v>
      </x:c>
      <x:c r="C1212" t="n">
        <x:f>AJ234</x:f>
        <x:v>3624.160403492118</x:v>
      </x:c>
      <x:c r="D1212" t="n">
        <x:f>AL234</x:f>
        <x:v>8490.112657175801</x:v>
      </x:c>
      <x:c r="E1212" t="n">
        <x:f>AN234</x:f>
        <x:v>8482.983410922227</x:v>
      </x:c>
    </x:row>
    <x:row r="1213">
      <x:c r="A1213" t="n">
        <x:f>I235</x:f>
        <x:v>0.942</x:v>
      </x:c>
      <x:c r="B1213" t="n">
        <x:f>AH235</x:f>
        <x:v>2731.632048701091</x:v>
      </x:c>
      <x:c r="C1213" t="n">
        <x:f>AJ235</x:f>
        <x:v>3674.294578654452</x:v>
      </x:c>
      <x:c r="D1213" t="n">
        <x:f>AL235</x:f>
        <x:v>8622.217592392886</x:v>
      </x:c>
      <x:c r="E1213" t="n">
        <x:f>AN235</x:f>
        <x:v>8615.998072070657</x:v>
      </x:c>
    </x:row>
    <x:row r="1214">
      <x:c r="A1214" t="n">
        <x:f>I236</x:f>
        <x:v>0.95</x:v>
      </x:c>
      <x:c r="B1214" t="n">
        <x:f>AH236</x:f>
        <x:v>2732.589727165975</x:v>
      </x:c>
      <x:c r="C1214" t="n">
        <x:f>AJ236</x:f>
        <x:v>3719.1779432130656</x:v>
      </x:c>
      <x:c r="D1214" t="n">
        <x:f>AL236</x:f>
        <x:v>8740.601827631473</x:v>
      </x:c>
      <x:c r="E1214" t="n">
        <x:f>AN236</x:f>
        <x:v>8735.203553435682</x:v>
      </x:c>
    </x:row>
    <x:row r="1215">
      <x:c r="A1215" t="n">
        <x:f>I237</x:f>
        <x:v>0.958</x:v>
      </x:c>
      <x:c r="B1215" t="n">
        <x:f>AH237</x:f>
        <x:v>2733.555257783269</x:v>
      </x:c>
      <x:c r="C1215" t="n">
        <x:f>AJ237</x:f>
        <x:v>3764.3630333251954</x:v>
      </x:c>
      <x:c r="D1215" t="n">
        <x:f>AL237</x:f>
        <x:v>8859.888506354831</x:v>
      </x:c>
      <x:c r="E1215" t="n">
        <x:f>AN237</x:f>
        <x:v>8855.323284209488</x:v>
      </x:c>
    </x:row>
    <x:row r="1216">
      <x:c r="A1216" t="n">
        <x:f>I238</x:f>
        <x:v>0.967</x:v>
      </x:c>
      <x:c r="B1216" t="n">
        <x:f>AH238</x:f>
        <x:v>2734.650858075406</x:v>
      </x:c>
      <x:c r="C1216" t="n">
        <x:f>AJ238</x:f>
        <x:v>3815.557941887678</x:v>
      </x:c>
      <x:c r="D1216" t="n">
        <x:f>AL238</x:f>
        <x:v>8995.16604452832</x:v>
      </x:c>
      <x:c r="E1216" t="n">
        <x:f>AN238</x:f>
        <x:v>8991.552054335494</x:v>
      </x:c>
    </x:row>
    <x:row r="1217">
      <x:c r="A1217" t="n">
        <x:f>I239</x:f>
        <x:v>0.975</x:v>
      </x:c>
      <x:c r="B1217" t="n">
        <x:f>AH239</x:f>
        <x:v>2735.6330546630293</x:v>
      </x:c>
      <x:c r="C1217" t="n">
        <x:f>AJ239</x:f>
        <x:v>3861.3869170271155</x:v>
      </x:c>
      <x:c r="D1217" t="n">
        <x:f>AL239</x:f>
        <x:v>9116.373900783714</x:v>
      </x:c>
      <x:c r="E1217" t="n">
        <x:f>AN239</x:f>
        <x:v>9113.617881954191</x:v>
      </x:c>
    </x:row>
    <x:row r="1218">
      <x:c r="A1218" t="n">
        <x:f>I240</x:f>
        <x:v>0.983</x:v>
      </x:c>
      <x:c r="B1218" t="n">
        <x:f>AH240</x:f>
        <x:v>2736.623084633149</x:v>
      </x:c>
      <x:c r="C1218" t="n">
        <x:f>AJ240</x:f>
        <x:v>3907.520143552331</x:v>
      </x:c>
      <x:c r="D1218" t="n">
        <x:f>AL240</x:f>
        <x:v>9238.487402839648</x:v>
      </x:c>
      <x:c r="E1218" t="n">
        <x:f>AN240</x:f>
        <x:v>9236.601004281434</x:v>
      </x:c>
    </x:row>
    <x:row r="1219">
      <x:c r="A1219" t="n">
        <x:f>I241</x:f>
        <x:v>0.992</x:v>
      </x:c>
      <x:c r="B1219" t="n">
        <x:f>AH241</x:f>
        <x:v>2737.746224109234</x:v>
      </x:c>
      <x:c r="C1219" t="n">
        <x:f>AJ241</x:f>
        <x:v>3959.784666367032</x:v>
      </x:c>
      <x:c r="D1219" t="n">
        <x:f>AL241</x:f>
        <x:v>9376.948806056138</x:v>
      </x:c>
      <x:c r="E1219" t="n">
        <x:f>AN241</x:f>
        <x:v>9376.054593495282</x:v>
      </x:c>
    </x:row>
    <x:row r="1220">
      <x:c r="A1220" t="n">
        <x:f>I242</x:f>
        <x:v>1</x:v>
      </x:c>
      <x:c r="B1220" t="n">
        <x:f>AH242</x:f>
        <x:v>2738.7528797589603</x:v>
      </x:c>
      <x:c r="C1220" t="n">
        <x:f>AJ242</x:f>
        <x:v>4006.5669904921833</x:v>
      </x:c>
      <x:c r="D1220" t="n">
        <x:f>AL242</x:f>
        <x:v>9500.98992327336</x:v>
      </x:c>
      <x:c r="E1220" t="n">
        <x:f>AN242</x:f>
        <x:v>9500.98992327336</x:v>
      </x:c>
    </x:row>
    <x:row r="1225">
      <x:c r="A1225" t="n">
        <x:f>I2</x:f>
        <x:v>-1</x:v>
      </x:c>
      <x:c r="B1225" t="n">
        <x:f>AQ2</x:f>
        <x:v>2737.9721339616262</x:v>
      </x:c>
      <x:c r="C1225" t="n">
        <x:f>AS2</x:f>
        <x:v>4006.1845220388846</x:v>
      </x:c>
      <x:c r="D1225" t="n">
        <x:f>AU2</x:f>
        <x:v>9500.556371343455</x:v>
      </x:c>
      <x:c r="E1225" t="n">
        <x:f>AW2</x:f>
        <x:v>9500.556371343455</x:v>
      </x:c>
    </x:row>
    <x:row r="1226">
      <x:c r="A1226" t="n">
        <x:f>I3</x:f>
        <x:v>-0.992</x:v>
      </x:c>
      <x:c r="B1226" t="n">
        <x:f>AQ3</x:f>
        <x:v>2736.952820139559</x:v>
      </x:c>
      <x:c r="C1226" t="n">
        <x:f>AS3</x:f>
        <x:v>3959.1477374020114</x:v>
      </x:c>
      <x:c r="D1226" t="n">
        <x:f>AU3</x:f>
        <x:v>9376.680634893852</x:v>
      </x:c>
      <x:c r="E1226" t="n">
        <x:f>AW3</x:f>
        <x:v>9375.786453121236</x:v>
      </x:c>
    </x:row>
    <x:row r="1227">
      <x:c r="A1227" t="n">
        <x:f>I4</x:f>
        <x:v>-0.983</x:v>
      </x:c>
      <x:c r="B1227" t="n">
        <x:f>AQ4</x:f>
        <x:v>2735.869392882246</x:v>
      </x:c>
      <x:c r="C1227" t="n">
        <x:f>AS4</x:f>
        <x:v>3906.689980315416</x:v>
      </x:c>
      <x:c r="D1227" t="n">
        <x:f>AU4</x:f>
        <x:v>9237.866936575247</x:v>
      </x:c>
      <x:c r="E1227" t="n">
        <x:f>AW4</x:f>
        <x:v>9235.980691879404</x:v>
      </x:c>
    </x:row>
    <x:row r="1228">
      <x:c r="A1228" t="n">
        <x:f>I5</x:f>
        <x:v>-0.975</x:v>
      </x:c>
      <x:c r="B1228" t="n">
        <x:f>AQ5</x:f>
        <x:v>2734.7537852754253</x:v>
      </x:c>
      <x:c r="C1228" t="n">
        <x:f>AS5</x:f>
        <x:v>3860.6694546054136</x:v>
      </x:c>
      <x:c r="D1228" t="n">
        <x:f>AU5</x:f>
        <x:v>9116.215434885857</x:v>
      </x:c>
      <x:c r="E1228" t="n">
        <x:f>AW5</x:f>
        <x:v>9113.459474677602</x:v>
      </x:c>
    </x:row>
    <x:row r="1229">
      <x:c r="A1229" t="n">
        <x:f>I6</x:f>
        <x:v>-0.967</x:v>
      </x:c>
      <x:c r="B1229" t="n">
        <x:f>AQ6</x:f>
        <x:v>2733.8712853195143</x:v>
      </x:c>
      <x:c r="C1229" t="n">
        <x:f>AS6</x:f>
        <x:v>3815.077300022674</x:v>
      </x:c>
      <x:c r="D1229" t="n">
        <x:f>AU6</x:f>
        <x:v>8994.69701979891</x:v>
      </x:c>
      <x:c r="E1229" t="n">
        <x:f>AW6</x:f>
        <x:v>8991.083262053256</x:v>
      </x:c>
    </x:row>
    <x:row r="1230">
      <x:c r="A1230" t="n">
        <x:f>I7</x:f>
        <x:v>-0.958</x:v>
      </x:c>
      <x:c r="B1230" t="n">
        <x:f>AQ7</x:f>
        <x:v>2732.687149406082</x:v>
      </x:c>
      <x:c r="C1230" t="n">
        <x:f>AS7</x:f>
        <x:v>3764.015425077756</x:v>
      </x:c>
      <x:c r="D1230" t="n">
        <x:f>AU7</x:f>
        <x:v>8859.340160987978</x:v>
      </x:c>
      <x:c r="E1230" t="n">
        <x:f>AW7</x:f>
        <x:v>8854.775290553753</x:v>
      </x:c>
    </x:row>
    <x:row r="1231">
      <x:c r="A1231" t="n">
        <x:f>I8</x:f>
        <x:v>-0.95</x:v>
      </x:c>
      <x:c r="B1231" t="n">
        <x:f>AQ8</x:f>
        <x:v>2731.689576789972</x:v>
      </x:c>
      <x:c r="C1231" t="n">
        <x:f>AS8</x:f>
        <x:v>3718.7207527081573</x:v>
      </x:c>
      <x:c r="D1231" t="n">
        <x:f>AU8</x:f>
        <x:v>8740.331788861331</x:v>
      </x:c>
      <x:c r="E1231" t="n">
        <x:f>AW8</x:f>
        <x:v>8734.93372395211</x:v>
      </x:c>
    </x:row>
    <x:row r="1232">
      <x:c r="A1232" t="n">
        <x:f>I9</x:f>
        <x:v>-0.942</x:v>
      </x:c>
      <x:c r="B1232" t="n">
        <x:f>AQ9</x:f>
        <x:v>2730.708831878115</x:v>
      </x:c>
      <x:c r="C1232" t="n">
        <x:f>AS9</x:f>
        <x:v>3673.7176119881537</x:v>
      </x:c>
      <x:c r="D1232" t="n">
        <x:f>AU9</x:f>
        <x:v>8621.530757474558</x:v>
      </x:c>
      <x:c r="E1232" t="n">
        <x:f>AW9</x:f>
        <x:v>8615.311864200492</x:v>
      </x:c>
    </x:row>
    <x:row r="1233">
      <x:c r="A1233" t="n">
        <x:f>I10</x:f>
        <x:v>-0.933</x:v>
      </x:c>
      <x:c r="B1233" t="n">
        <x:f>AQ10</x:f>
        <x:v>2729.524186781265</x:v>
      </x:c>
      <x:c r="C1233" t="n">
        <x:f>AS10</x:f>
        <x:v>3623.578456931738</x:v>
      </x:c>
      <x:c r="D1233" t="n">
        <x:f>AU10</x:f>
        <x:v>8489.738021557188</x:v>
      </x:c>
      <x:c r="E1233" t="n">
        <x:f>AW10</x:f>
        <x:v>8482.60917722077</x:v>
      </x:c>
    </x:row>
    <x:row r="1234">
      <x:c r="A1234" t="n">
        <x:f>I11</x:f>
        <x:v>-0.925</x:v>
      </x:c>
      <x:c r="B1234" t="n">
        <x:f>AQ11</x:f>
        <x:v>2728.570750363843</x:v>
      </x:c>
      <x:c r="C1234" t="n">
        <x:f>AS11</x:f>
        <x:v>3579.321968781586</x:v>
      </x:c>
      <x:c r="D1234" t="n">
        <x:f>AU11</x:f>
        <x:v>8373.161917250281</x:v>
      </x:c>
      <x:c r="E1234" t="n">
        <x:f>AW11</x:f>
        <x:v>8365.237270419912</x:v>
      </x:c>
    </x:row>
    <x:row r="1235">
      <x:c r="A1235" t="n">
        <x:f>I12</x:f>
        <x:v>-0.917</x:v>
      </x:c>
      <x:c r="B1235" t="n">
        <x:f>AQ12</x:f>
        <x:v>2727.45681982305</x:v>
      </x:c>
      <x:c r="C1235" t="n">
        <x:f>AS12</x:f>
        <x:v>3535.53973919248</x:v>
      </x:c>
      <x:c r="D1235" t="n">
        <x:f>AU12</x:f>
        <x:v>8257.496479709396</x:v>
      </x:c>
      <x:c r="E1235" t="n">
        <x:f>AW12</x:f>
        <x:v>8248.788016979055</x:v>
      </x:c>
    </x:row>
    <x:row r="1236">
      <x:c r="A1236" t="n">
        <x:f>I13</x:f>
        <x:v>-0.908</x:v>
      </x:c>
      <x:c r="B1236" t="n">
        <x:f>AQ13</x:f>
        <x:v>2726.3354650184833</x:v>
      </x:c>
      <x:c r="C1236" t="n">
        <x:f>AS13</x:f>
        <x:v>3486.6311054490343</x:v>
      </x:c>
      <x:c r="D1236" t="n">
        <x:f>AU13</x:f>
        <x:v>8128.795130995124</x:v>
      </x:c>
      <x:c r="E1236" t="n">
        <x:f>AW13</x:f>
        <x:v>8119.218745794955</x:v>
      </x:c>
    </x:row>
    <x:row r="1237">
      <x:c r="A1237" t="n">
        <x:f>I14</x:f>
        <x:v>-0.9</x:v>
      </x:c>
      <x:c r="B1237" t="n">
        <x:f>AQ14</x:f>
        <x:v>2725.4452542994177</x:v>
      </x:c>
      <x:c r="C1237" t="n">
        <x:f>AS14</x:f>
        <x:v>3443.2133979979462</x:v>
      </x:c>
      <x:c r="D1237" t="n">
        <x:f>AU14</x:f>
        <x:v>8015.099169643812</x:v>
      </x:c>
      <x:c r="E1237" t="n">
        <x:f>AW14</x:f>
        <x:v>8004.764484602612</x:v>
      </x:c>
    </x:row>
    <x:row r="1238">
      <x:c r="A1238" t="n">
        <x:f>I15</x:f>
        <x:v>-0.892</x:v>
      </x:c>
      <x:c r="B1238" t="n">
        <x:f>AQ15</x:f>
        <x:v>2724.3586238461326</x:v>
      </x:c>
      <x:c r="C1238" t="n">
        <x:f>AS15</x:f>
        <x:v>3399.895538099978</x:v>
      </x:c>
      <x:c r="D1238" t="n">
        <x:f>AU15</x:f>
        <x:v>7902.130399222024</x:v>
      </x:c>
      <x:c r="E1238" t="n">
        <x:f>AW15</x:f>
        <x:v>7891.049878608124</x:v>
      </x:c>
    </x:row>
    <x:row r="1239">
      <x:c r="A1239" t="n">
        <x:f>I16</x:f>
        <x:v>-0.883</x:v>
      </x:c>
      <x:c r="B1239" t="n">
        <x:f>AQ16</x:f>
        <x:v>2723.262706168718</x:v>
      </x:c>
      <x:c r="C1239" t="n">
        <x:f>AS16</x:f>
        <x:v>3351.834258988057</x:v>
      </x:c>
      <x:c r="D1239" t="n">
        <x:f>AU16</x:f>
        <x:v>7776.6419921566785</x:v>
      </x:c>
      <x:c r="E1239" t="n">
        <x:f>AW16</x:f>
        <x:v>7764.7359630806795</x:v>
      </x:c>
    </x:row>
    <x:row r="1240">
      <x:c r="A1240" t="n">
        <x:f>I17</x:f>
        <x:v>-0.875</x:v>
      </x:c>
      <x:c r="B1240" t="n">
        <x:f>AQ17</x:f>
        <x:v>2722.4209257280004</x:v>
      </x:c>
      <x:c r="C1240" t="n">
        <x:f>AS17</x:f>
        <x:v>3309.70809101759</x:v>
      </x:c>
      <x:c r="D1240" t="n">
        <x:f>AU17</x:f>
        <x:v>7665.4810009588955</x:v>
      </x:c>
      <x:c r="E1240" t="n">
        <x:f>AW17</x:f>
        <x:v>7652.855371318062</x:v>
      </x:c>
    </x:row>
    <x:row r="1241">
      <x:c r="A1241" t="n">
        <x:f>I18</x:f>
        <x:v>-0.867</x:v>
      </x:c>
      <x:c r="B1241" t="n">
        <x:f>AQ18</x:f>
        <x:v>2721.453798788491</x:v>
      </x:c>
      <x:c r="C1241" t="n">
        <x:f>AS18</x:f>
        <x:v>3267.709124542621</x:v>
      </x:c>
      <x:c r="D1241" t="n">
        <x:f>AU18</x:f>
        <x:v>7555.439677176813</x:v>
      </x:c>
      <x:c r="E1241" t="n">
        <x:f>AW18</x:f>
        <x:v>7542.106308297932</x:v>
      </x:c>
    </x:row>
    <x:row r="1242">
      <x:c r="A1242" t="n">
        <x:f>I19</x:f>
        <x:v>-0.858</x:v>
      </x:c>
      <x:c r="B1242" t="n">
        <x:f>AQ19</x:f>
        <x:v>2720.3789439041557</x:v>
      </x:c>
      <x:c r="C1242" t="n">
        <x:f>AS19</x:f>
        <x:v>3220.525348840778</x:v>
      </x:c>
      <x:c r="D1242" t="n">
        <x:f>AU19</x:f>
        <x:v>7433.099881007341</x:v>
      </x:c>
      <x:c r="E1242" t="n">
        <x:f>AW19</x:f>
        <x:v>7418.984078737651</x:v>
      </x:c>
    </x:row>
    <x:row r="1243">
      <x:c r="A1243" t="n">
        <x:f>I20</x:f>
        <x:v>-0.85</x:v>
      </x:c>
      <x:c r="B1243" t="n">
        <x:f>AQ20</x:f>
        <x:v>2719.530057692372</x:v>
      </x:c>
      <x:c r="C1243" t="n">
        <x:f>AS20</x:f>
        <x:v>3178.9032534055073</x:v>
      </x:c>
      <x:c r="D1243" t="n">
        <x:f>AU20</x:f>
        <x:v>7324.546168355662</x:v>
      </x:c>
      <x:c r="E1243" t="n">
        <x:f>AW20</x:f>
        <x:v>7309.750091969138</x:v>
      </x:c>
    </x:row>
    <x:row r="1244">
      <x:c r="A1244" t="n">
        <x:f>I21</x:f>
        <x:v>-0.842</x:v>
      </x:c>
      <x:c r="B1244" t="n">
        <x:f>AQ21</x:f>
        <x:v>2718.6801987581757</x:v>
      </x:c>
      <x:c r="C1244" t="n">
        <x:f>AS21</x:f>
        <x:v>3137.627690080583</x:v>
      </x:c>
      <x:c r="D1244" t="n">
        <x:f>AU21</x:f>
        <x:v>7217.711125746066</x:v>
      </x:c>
      <x:c r="E1244" t="n">
        <x:f>AW21</x:f>
        <x:v>7202.2449127278005</x:v>
      </x:c>
    </x:row>
    <x:row r="1245">
      <x:c r="A1245" t="n">
        <x:f>I22</x:f>
        <x:v>-0.833</x:v>
      </x:c>
      <x:c r="B1245" t="n">
        <x:f>AQ22</x:f>
        <x:v>2717.6974345549215</x:v>
      </x:c>
      <x:c r="C1245" t="n">
        <x:f>AS22</x:f>
        <x:v>3091.684937172292</x:v>
      </x:c>
      <x:c r="D1245" t="n">
        <x:f>AU22</x:f>
        <x:v>7098.019488341909</x:v>
      </x:c>
      <x:c r="E1245" t="n">
        <x:f>AW22</x:f>
        <x:v>7081.816025654208</x:v>
      </x:c>
    </x:row>
    <x:row r="1246">
      <x:c r="A1246" t="n">
        <x:f>I23</x:f>
        <x:v>-0.825</x:v>
      </x:c>
      <x:c r="B1246" t="n">
        <x:f>AQ23</x:f>
        <x:v>2716.8250307204657</x:v>
      </x:c>
      <x:c r="C1246" t="n">
        <x:f>AS23</x:f>
        <x:v>3051.4674905866605</x:v>
      </x:c>
      <x:c r="D1246" t="n">
        <x:f>AU23</x:f>
        <x:v>6992.6479613045</x:v>
      </x:c>
      <x:c r="E1246" t="n">
        <x:f>AW23</x:f>
        <x:v>6975.80232907405</x:v>
      </x:c>
    </x:row>
    <x:row r="1247">
      <x:c r="A1247" t="n">
        <x:f>I24</x:f>
        <x:v>-0.817</x:v>
      </x:c>
      <x:c r="B1247" t="n">
        <x:f>AQ24</x:f>
        <x:v>2716.0170983071607</x:v>
      </x:c>
      <x:c r="C1247" t="n">
        <x:f>AS24</x:f>
        <x:v>3011.205038375484</x:v>
      </x:c>
      <x:c r="D1247" t="n">
        <x:f>AU24</x:f>
        <x:v>6888.445538379483</x:v>
      </x:c>
      <x:c r="E1247" t="n">
        <x:f>AW24</x:f>
        <x:v>6870.9693497228955</x:v>
      </x:c>
    </x:row>
    <x:row r="1248">
      <x:c r="A1248" t="n">
        <x:f>I25</x:f>
        <x:v>-0.808</x:v>
      </x:c>
      <x:c r="B1248" t="n">
        <x:f>AQ25</x:f>
        <x:v>2715.0613483936577</x:v>
      </x:c>
      <x:c r="C1248" t="n">
        <x:f>AS25</x:f>
        <x:v>2965.891539195201</x:v>
      </x:c>
      <x:c r="D1248" t="n">
        <x:f>AU25</x:f>
        <x:v>6771.789850814738</x:v>
      </x:c>
      <x:c r="E1248" t="n">
        <x:f>AW25</x:f>
        <x:v>6753.621278144666</x:v>
      </x:c>
    </x:row>
    <x:row r="1249">
      <x:c r="A1249" t="n">
        <x:f>I26</x:f>
        <x:v>-0.8</x:v>
      </x:c>
      <x:c r="B1249" t="n">
        <x:f>AQ26</x:f>
        <x:v>2714.2779556726477</x:v>
      </x:c>
      <x:c r="C1249" t="n">
        <x:f>AS26</x:f>
        <x:v>2926.020997254117</x:v>
      </x:c>
      <x:c r="D1249" t="n">
        <x:f>AU26</x:f>
        <x:v>6669.242000062811</x:v>
      </x:c>
      <x:c r="E1249" t="n">
        <x:f>AW26</x:f>
        <x:v>6650.47074761406</x:v>
      </x:c>
    </x:row>
    <x:row r="1250">
      <x:c r="A1250" t="n">
        <x:f>I27</x:f>
        <x:v>-0.792</x:v>
      </x:c>
      <x:c r="B1250" t="n">
        <x:f>AQ27</x:f>
        <x:v>2713.5291977559514</x:v>
      </x:c>
      <x:c r="C1250" t="n">
        <x:f>AS27</x:f>
        <x:v>2886.8217574751084</x:v>
      </x:c>
      <x:c r="D1250" t="n">
        <x:f>AU27</x:f>
        <x:v>6567.617122187415</x:v>
      </x:c>
      <x:c r="E1250" t="n">
        <x:f>AW27</x:f>
        <x:v>6548.25580809364</x:v>
      </x:c>
    </x:row>
    <x:row r="1251">
      <x:c r="A1251" t="n">
        <x:f>I28</x:f>
        <x:v>-0.783</x:v>
      </x:c>
      <x:c r="B1251" t="n">
        <x:f>AQ28</x:f>
        <x:v>2712.5601656074723</x:v>
      </x:c>
      <x:c r="C1251" t="n">
        <x:f>AS28</x:f>
        <x:v>2843.1030562454516</x:v>
      </x:c>
      <x:c r="D1251" t="n">
        <x:f>AU28</x:f>
        <x:v>6453.946736401601</x:v>
      </x:c>
      <x:c r="E1251" t="n">
        <x:f>AW28</x:f>
        <x:v>6433.938830803955</x:v>
      </x:c>
    </x:row>
    <x:row r="1252">
      <x:c r="A1252" t="n">
        <x:f>I29</x:f>
        <x:v>-0.775</x:v>
      </x:c>
      <x:c r="B1252" t="n">
        <x:f>AQ29</x:f>
        <x:v>2711.773173063473</x:v>
      </x:c>
      <x:c r="C1252" t="n">
        <x:f>AS29</x:f>
        <x:v>2804.324806344102</x:v>
      </x:c>
      <x:c r="D1252" t="n">
        <x:f>AU29</x:f>
        <x:v>6354.148628359924</x:v>
      </x:c>
      <x:c r="E1252" t="n">
        <x:f>AW29</x:f>
        <x:v>6333.578302346319</x:v>
      </x:c>
    </x:row>
    <x:row r="1253">
      <x:c r="A1253" t="n">
        <x:f>I30</x:f>
        <x:v>-0.767</x:v>
      </x:c>
      <x:c r="B1253" t="n">
        <x:f>AQ30</x:f>
        <x:v>2711.160999256946</x:v>
      </x:c>
      <x:c r="C1253" t="n">
        <x:f>AS30</x:f>
        <x:v>2765.6399481746153</x:v>
      </x:c>
      <x:c r="D1253" t="n">
        <x:f>AU30</x:f>
        <x:v>6255.366172336804</x:v>
      </x:c>
      <x:c r="E1253" t="n">
        <x:f>AW30</x:f>
        <x:v>6234.24564203876</x:v>
      </x:c>
    </x:row>
    <x:row r="1254">
      <x:c r="A1254" t="n">
        <x:f>I31</x:f>
        <x:v>-0.758</x:v>
      </x:c>
      <x:c r="B1254" t="n">
        <x:f>AQ31</x:f>
        <x:v>2710.338289310354</x:v>
      </x:c>
      <x:c r="C1254" t="n">
        <x:f>AS31</x:f>
        <x:v>2722.530866002271</x:v>
      </x:c>
      <x:c r="D1254" t="n">
        <x:f>AU31</x:f>
        <x:v>6144.635133313041</x:v>
      </x:c>
      <x:c r="E1254" t="n">
        <x:f>AW31</x:f>
        <x:v>6122.914735787475</x:v>
      </x:c>
    </x:row>
    <x:row r="1255">
      <x:c r="A1255" t="n">
        <x:f>I32</x:f>
        <x:v>-0.75</x:v>
      </x:c>
      <x:c r="B1255" t="n">
        <x:f>AQ32</x:f>
        <x:v>2709.6428929865006</x:v>
      </x:c>
      <x:c r="C1255" t="n">
        <x:f>AS32</x:f>
        <x:v>2684.585268981876</x:v>
      </x:c>
      <x:c r="D1255" t="n">
        <x:f>AU32</x:f>
        <x:v>6047.970949157087</x:v>
      </x:c>
      <x:c r="E1255" t="n">
        <x:f>AW32</x:f>
        <x:v>6025.726492848604</x:v>
      </x:c>
    </x:row>
    <x:row r="1256">
      <x:c r="A1256" t="n">
        <x:f>I33</x:f>
        <x:v>-0.742</x:v>
      </x:c>
      <x:c r="B1256" t="n">
        <x:f>AQ33</x:f>
        <x:v>2708.85476109416</x:v>
      </x:c>
      <x:c r="C1256" t="n">
        <x:f>AS33</x:f>
        <x:v>2647.0848704043838</x:v>
      </x:c>
      <x:c r="D1256" t="n">
        <x:f>AU33</x:f>
        <x:v>5951.39951323184</x:v>
      </x:c>
      <x:c r="E1256" t="n">
        <x:f>AW33</x:f>
        <x:v>5928.648736328782</x:v>
      </x:c>
    </x:row>
    <x:row r="1257">
      <x:c r="A1257" t="n">
        <x:f>I34</x:f>
        <x:v>-0.733</x:v>
      </x:c>
      <x:c r="B1257" t="n">
        <x:f>AQ34</x:f>
        <x:v>2708.046309396769</x:v>
      </x:c>
      <x:c r="C1257" t="n">
        <x:f>AS34</x:f>
        <x:v>2605.1463027637274</x:v>
      </x:c>
      <x:c r="D1257" t="n">
        <x:f>AU34</x:f>
        <x:v>5844.072163861854</x:v>
      </x:c>
      <x:c r="E1257" t="n">
        <x:f>AW34</x:f>
        <x:v>5820.765933364904</x:v>
      </x:c>
    </x:row>
    <x:row r="1258">
      <x:c r="A1258" t="n">
        <x:f>I35</x:f>
        <x:v>-0.725</x:v>
      </x:c>
      <x:c r="B1258" t="n">
        <x:f>AQ35</x:f>
        <x:v>2707.2816005599116</x:v>
      </x:c>
      <x:c r="C1258" t="n">
        <x:f>AS35</x:f>
        <x:v>2568.019958311417</x:v>
      </x:c>
      <x:c r="D1258" t="n">
        <x:f>AU35</x:f>
        <x:v>5749.953698963689</x:v>
      </x:c>
      <x:c r="E1258" t="n">
        <x:f>AW35</x:f>
        <x:v>5726.165298383326</x:v>
      </x:c>
    </x:row>
    <x:row r="1259">
      <x:c r="A1259" t="n">
        <x:f>I36</x:f>
        <x:v>-0.717</x:v>
      </x:c>
      <x:c r="B1259" t="n">
        <x:f>AQ36</x:f>
        <x:v>2706.6595368359267</x:v>
      </x:c>
      <x:c r="C1259" t="n">
        <x:f>AS36</x:f>
        <x:v>2531.067100407615</x:v>
      </x:c>
      <x:c r="D1259" t="n">
        <x:f>AU36</x:f>
        <x:v>5655.904045000844</x:v>
      </x:c>
      <x:c r="E1259" t="n">
        <x:f>AW36</x:f>
        <x:v>5631.65237257585</x:v>
      </x:c>
    </x:row>
    <x:row r="1260">
      <x:c r="A1260" t="n">
        <x:f>I37</x:f>
        <x:v>-0.708</x:v>
      </x:c>
      <x:c r="B1260" t="n">
        <x:f>AQ37</x:f>
        <x:v>2705.8693463886</x:v>
      </x:c>
      <x:c r="C1260" t="n">
        <x:f>AS37</x:f>
        <x:v>2489.887481598469</x:v>
      </x:c>
      <x:c r="D1260" t="n">
        <x:f>AU37</x:f>
        <x:v>5551.850758749343</x:v>
      </x:c>
      <x:c r="E1260" t="n">
        <x:f>AW37</x:f>
        <x:v>5527.088644171126</x:v>
      </x:c>
    </x:row>
    <x:row r="1261">
      <x:c r="A1261" t="n">
        <x:f>I38</x:f>
        <x:v>-0.7</x:v>
      </x:c>
      <x:c r="B1261" t="n">
        <x:f>AQ38</x:f>
        <x:v>2705.27705475384</x:v>
      </x:c>
      <x:c r="C1261" t="n">
        <x:f>AS38</x:f>
        <x:v>2453.7296576050267</x:v>
      </x:c>
      <x:c r="D1261" t="n">
        <x:f>AU38</x:f>
        <x:v>5459.997895455708</x:v>
      </x:c>
      <x:c r="E1261" t="n">
        <x:f>AW38</x:f>
        <x:v>5434.79834663666</x:v>
      </x:c>
    </x:row>
    <x:row r="1262">
      <x:c r="A1262" t="n">
        <x:f>I39</x:f>
        <x:v>-0.692</x:v>
      </x:c>
      <x:c r="B1262" t="n">
        <x:f>AQ39</x:f>
        <x:v>2704.569325361173</x:v>
      </x:c>
      <x:c r="C1262" t="n">
        <x:f>AS39</x:f>
        <x:v>2417.9520871285163</x:v>
      </x:c>
      <x:c r="D1262" t="n">
        <x:f>AU39</x:f>
        <x:v>5368.7858670736305</x:v>
      </x:c>
      <x:c r="E1262" t="n">
        <x:f>AW39</x:f>
        <x:v>5343.164202862709</x:v>
      </x:c>
    </x:row>
    <x:row r="1263">
      <x:c r="A1263" t="n">
        <x:f>I40</x:f>
        <x:v>-0.683</x:v>
      </x:c>
      <x:c r="B1263" t="n">
        <x:f>AQ40</x:f>
        <x:v>2703.6905678073786</x:v>
      </x:c>
      <x:c r="C1263" t="n">
        <x:f>AS40</x:f>
        <x:v>2377.718715826389</x:v>
      </x:c>
      <x:c r="D1263" t="n">
        <x:f>AU40</x:f>
        <x:v>5267.622993940169</x:v>
      </x:c>
      <x:c r="E1263" t="n">
        <x:f>AW40</x:f>
        <x:v>5241.538951238175</x:v>
      </x:c>
    </x:row>
    <x:row r="1264">
      <x:c r="A1264" t="n">
        <x:f>I41</x:f>
        <x:v>-0.675</x:v>
      </x:c>
      <x:c r="B1264" t="n">
        <x:f>AQ41</x:f>
        <x:v>2702.9497252740853</x:v>
      </x:c>
      <x:c r="C1264" t="n">
        <x:f>AS41</x:f>
        <x:v>2342.268846897384</x:v>
      </x:c>
      <x:c r="D1264" t="n">
        <x:f>AU41</x:f>
        <x:v>5178.40985077925</x:v>
      </x:c>
      <x:c r="E1264" t="n">
        <x:f>AW41</x:f>
        <x:v>5151.930884437782</x:v>
      </x:c>
    </x:row>
    <x:row r="1265">
      <x:c r="A1265" t="n">
        <x:f>I42</x:f>
        <x:v>-0.667</x:v>
      </x:c>
      <x:c r="B1265" t="n">
        <x:f>AQ42</x:f>
        <x:v>2702.342639134389</x:v>
      </x:c>
      <x:c r="C1265" t="n">
        <x:f>AS42</x:f>
        <x:v>2306.9945829969192</x:v>
      </x:c>
      <x:c r="D1265" t="n">
        <x:f>AU42</x:f>
        <x:v>5089.837376029708</x:v>
      </x:c>
      <x:c r="E1265" t="n">
        <x:f>AW42</x:f>
        <x:v>5062.979131012552</x:v>
      </x:c>
    </x:row>
    <x:row r="1266">
      <x:c r="A1266" t="n">
        <x:f>I43</x:f>
        <x:v>-0.658</x:v>
      </x:c>
      <x:c r="B1266" t="n">
        <x:f>AQ43</x:f>
        <x:v>2701.587502760221</x:v>
      </x:c>
      <x:c r="C1266" t="n">
        <x:f>AS43</x:f>
        <x:v>2267.7158327632287</x:v>
      </x:c>
      <x:c r="D1266" t="n">
        <x:f>AU43</x:f>
        <x:v>4991.755684834359</x:v>
      </x:c>
      <x:c r="E1266" t="n">
        <x:f>AW43</x:f>
        <x:v>4964.4815363744</x:v>
      </x:c>
    </x:row>
    <x:row r="1267">
      <x:c r="A1267" t="n">
        <x:f>I44</x:f>
        <x:v>-0.65</x:v>
      </x:c>
      <x:c r="B1267" t="n">
        <x:f>AQ44</x:f>
        <x:v>2700.8810640310994</x:v>
      </x:c>
      <x:c r="C1267" t="n">
        <x:f>AS44</x:f>
        <x:v>2233.2466648870986</x:v>
      </x:c>
      <x:c r="D1267" t="n">
        <x:f>AU44</x:f>
        <x:v>4904.952222315528</x:v>
      </x:c>
      <x:c r="E1267" t="n">
        <x:f>AW44</x:f>
        <x:v>4877.328179359549</x:v>
      </x:c>
    </x:row>
    <x:row r="1268">
      <x:c r="A1268" t="n">
        <x:f>I45</x:f>
        <x:v>-0.642</x:v>
      </x:c>
      <x:c r="B1268" t="n">
        <x:f>AQ45</x:f>
        <x:v>2700.0703913209777</x:v>
      </x:c>
      <x:c r="C1268" t="n">
        <x:f>AS45</x:f>
        <x:v>2199.1466378667237</x:v>
      </x:c>
      <x:c r="D1268" t="n">
        <x:f>AU45</x:f>
        <x:v>4819.191173047067</x:v>
      </x:c>
      <x:c r="E1268" t="n">
        <x:f>AW45</x:f>
        <x:v>4791.228813085901</x:v>
      </x:c>
    </x:row>
    <x:row r="1269">
      <x:c r="A1269" t="n">
        <x:f>I46</x:f>
        <x:v>-0.633</x:v>
      </x:c>
      <x:c r="B1269" t="n">
        <x:f>AQ46</x:f>
        <x:v>2699.2430908261645</x:v>
      </x:c>
      <x:c r="C1269" t="n">
        <x:f>AS46</x:f>
        <x:v>2160.851579664378</x:v>
      </x:c>
      <x:c r="D1269" t="n">
        <x:f>AU46</x:f>
        <x:v>4723.98050134968</x:v>
      </x:c>
      <x:c r="E1269" t="n">
        <x:f>AW46</x:f>
        <x:v>4695.650666460148</x:v>
      </x:c>
    </x:row>
    <x:row r="1270">
      <x:c r="A1270" t="n">
        <x:f>I47</x:f>
        <x:v>-0.625</x:v>
      </x:c>
      <x:c r="B1270" t="n">
        <x:f>AQ47</x:f>
        <x:v>2698.4858261088816</x:v>
      </x:c>
      <x:c r="C1270" t="n">
        <x:f>AS47</x:f>
        <x:v>2126.7530364399495</x:v>
      </x:c>
      <x:c r="D1270" t="n">
        <x:f>AU47</x:f>
        <x:v>4639.4759832506</x:v>
      </x:c>
      <x:c r="E1270" t="n">
        <x:f>AW47</x:f>
        <x:v>4610.84324098783</x:v>
      </x:c>
    </x:row>
    <x:row r="1271">
      <x:c r="A1271" t="n">
        <x:f>I48</x:f>
        <x:v>-0.617</x:v>
      </x:c>
      <x:c r="B1271" t="n">
        <x:f>AQ48</x:f>
        <x:v>2697.912683127855</x:v>
      </x:c>
      <x:c r="C1271" t="n">
        <x:f>AS48</x:f>
        <x:v>2093.169629426536</x:v>
      </x:c>
      <x:c r="D1271" t="n">
        <x:f>AU48</x:f>
        <x:v>4556.60858333567</x:v>
      </x:c>
      <x:c r="E1271" t="n">
        <x:f>AW48</x:f>
        <x:v>4527.676662769074</x:v>
      </x:c>
    </x:row>
    <x:row r="1272">
      <x:c r="A1272" t="n">
        <x:f>I49</x:f>
        <x:v>-0.608</x:v>
      </x:c>
      <x:c r="B1272" t="n">
        <x:f>AQ49</x:f>
        <x:v>2697.0681163678028</x:v>
      </x:c>
      <x:c r="C1272" t="n">
        <x:f>AS49</x:f>
        <x:v>2056.0497159682136</x:v>
      </x:c>
      <x:c r="D1272" t="n">
        <x:f>AU49</x:f>
        <x:v>4463.78426007426</x:v>
      </x:c>
      <x:c r="E1272" t="n">
        <x:f>AW49</x:f>
        <x:v>4434.539750557736</x:v>
      </x:c>
    </x:row>
    <x:row r="1273">
      <x:c r="A1273" t="n">
        <x:f>I50</x:f>
        <x:v>-0.6</x:v>
      </x:c>
      <x:c r="B1273" t="n">
        <x:f>AQ50</x:f>
        <x:v>2696.3049663672955</x:v>
      </x:c>
      <x:c r="C1273" t="n">
        <x:f>AS50</x:f>
        <x:v>2023.202170567554</x:v>
      </x:c>
      <x:c r="D1273" t="n">
        <x:f>AU50</x:f>
        <x:v>4382.161216077137</x:v>
      </x:c>
      <x:c r="E1273" t="n">
        <x:f>AW50</x:f>
        <x:v>4352.65346960581</x:v>
      </x:c>
    </x:row>
    <x:row r="1274">
      <x:c r="A1274" t="n">
        <x:f>I51</x:f>
        <x:v>-0.592</x:v>
      </x:c>
      <x:c r="B1274" t="n">
        <x:f>AQ51</x:f>
        <x:v>2695.6592976495863</x:v>
      </x:c>
      <x:c r="C1274" t="n">
        <x:f>AS51</x:f>
        <x:v>1990.4033581092428</x:v>
      </x:c>
      <x:c r="D1274" t="n">
        <x:f>AU51</x:f>
        <x:v>4301.685868120516</x:v>
      </x:c>
      <x:c r="E1274" t="n">
        <x:f>AW51</x:f>
        <x:v>4271.923873594473</x:v>
      </x:c>
    </x:row>
    <x:row r="1275">
      <x:c r="A1275" t="n">
        <x:f>I52</x:f>
        <x:v>-0.583</x:v>
      </x:c>
      <x:c r="B1275" t="n">
        <x:f>AQ52</x:f>
        <x:v>2694.899956964054</x:v>
      </x:c>
      <x:c r="C1275" t="n">
        <x:f>AS52</x:f>
        <x:v>1953.6477907064188</x:v>
      </x:c>
      <x:c r="D1275" t="n">
        <x:f>AU52</x:f>
        <x:v>4211.604469769382</x:v>
      </x:c>
      <x:c r="E1275" t="n">
        <x:f>AW52</x:f>
        <x:v>4181.580717076413</x:v>
      </x:c>
    </x:row>
    <x:row r="1276">
      <x:c r="A1276" t="n">
        <x:f>I53</x:f>
        <x:v>-0.575</x:v>
      </x:c>
      <x:c r="B1276" t="n">
        <x:f>AQ53</x:f>
        <x:v>2694.143153810637</x:v>
      </x:c>
      <x:c r="C1276" t="n">
        <x:f>AS53</x:f>
        <x:v>1921.2754887707686</x:v>
      </x:c>
      <x:c r="D1276" t="n">
        <x:f>AU53</x:f>
        <x:v>4132.672970012625</x:v>
      </x:c>
      <x:c r="E1276" t="n">
        <x:f>AW53</x:f>
        <x:v>4102.426876759548</x:v>
      </x:c>
    </x:row>
    <x:row r="1277">
      <x:c r="A1277" t="n">
        <x:f>I54</x:f>
        <x:v>-0.567</x:v>
      </x:c>
      <x:c r="B1277" t="n">
        <x:f>AQ54</x:f>
        <x:v>2693.5887701095885</x:v>
      </x:c>
      <x:c r="C1277" t="n">
        <x:f>AS54</x:f>
        <x:v>1889.3707989649024</x:v>
      </x:c>
      <x:c r="D1277" t="n">
        <x:f>AU54</x:f>
        <x:v>4054.616149263494</x:v>
      </x:c>
      <x:c r="E1277" t="n">
        <x:f>AW54</x:f>
        <x:v>4024.1601603091813</x:v>
      </x:c>
    </x:row>
    <x:row r="1278">
      <x:c r="A1278" t="n">
        <x:f>I55</x:f>
        <x:v>-0.558</x:v>
      </x:c>
      <x:c r="B1278" t="n">
        <x:f>AQ55</x:f>
        <x:v>2692.757963165586</x:v>
      </x:c>
      <x:c r="C1278" t="n">
        <x:f>AS55</x:f>
        <x:v>1853.9523697485693</x:v>
      </x:c>
      <x:c r="D1278" t="n">
        <x:f>AU55</x:f>
        <x:v>3967.3646091084047</x:v>
      </x:c>
      <x:c r="E1278" t="n">
        <x:f>AW55</x:f>
        <x:v>3936.6957000760913</x:v>
      </x:c>
    </x:row>
    <x:row r="1279">
      <x:c r="A1279" t="n">
        <x:f>I56</x:f>
        <x:v>-0.55</x:v>
      </x:c>
      <x:c r="B1279" t="n">
        <x:f>AQ56</x:f>
        <x:v>2692.1746655892334</x:v>
      </x:c>
      <x:c r="C1279" t="n">
        <x:f>AS56</x:f>
        <x:v>1822.521136552667</x:v>
      </x:c>
      <x:c r="D1279" t="n">
        <x:f>AU56</x:f>
        <x:v>3890.8212117810226</x:v>
      </x:c>
      <x:c r="E1279" t="n">
        <x:f>AW56</x:f>
        <x:v>3859.9747157263696</x:v>
      </x:c>
    </x:row>
    <x:row r="1280">
      <x:c r="A1280" t="n">
        <x:f>I57</x:f>
        <x:v>-0.542</x:v>
      </x:c>
      <x:c r="B1280" t="n">
        <x:f>AQ57</x:f>
        <x:v>2691.668504525569</x:v>
      </x:c>
      <x:c r="C1280" t="n">
        <x:f>AS57</x:f>
        <x:v>1791.0443942278735</x:v>
      </x:c>
      <x:c r="D1280" t="n">
        <x:f>AU57</x:f>
        <x:v>3815.2605376380343</x:v>
      </x:c>
      <x:c r="E1280" t="n">
        <x:f>AW57</x:f>
        <x:v>3784.2463249330663</x:v>
      </x:c>
    </x:row>
    <x:row r="1281">
      <x:c r="A1281" t="n">
        <x:f>I58</x:f>
        <x:v>-0.533</x:v>
      </x:c>
      <x:c r="B1281" t="n">
        <x:f>AQ58</x:f>
        <x:v>2690.9024159206665</x:v>
      </x:c>
      <x:c r="C1281" t="n">
        <x:f>AS58</x:f>
        <x:v>1756.0232098844801</x:v>
      </x:c>
      <x:c r="D1281" t="n">
        <x:f>AU58</x:f>
        <x:v>3730.4741694394993</x:v>
      </x:c>
      <x:c r="E1281" t="n">
        <x:f>AW58</x:f>
        <x:v>3699.30191597568</x:v>
      </x:c>
    </x:row>
    <x:row r="1282">
      <x:c r="A1282" t="n">
        <x:f>I59</x:f>
        <x:v>-0.525</x:v>
      </x:c>
      <x:c r="B1282" t="n">
        <x:f>AQ59</x:f>
        <x:v>2690.368823941855</x:v>
      </x:c>
      <x:c r="C1282" t="n">
        <x:f>AS59</x:f>
        <x:v>1725.305616464916</x:v>
      </x:c>
      <x:c r="D1282" t="n">
        <x:f>AU59</x:f>
        <x:v>3656.657350395744</x:v>
      </x:c>
      <x:c r="E1282" t="n">
        <x:f>AW59</x:f>
        <x:v>3625.3443038047226</x:v>
      </x:c>
    </x:row>
    <x:row r="1283">
      <x:c r="A1283" t="n">
        <x:f>I60</x:f>
        <x:v>-0.517</x:v>
      </x:c>
      <x:c r="B1283" t="n">
        <x:f>AQ60</x:f>
        <x:v>2689.879981187311</x:v>
      </x:c>
      <x:c r="C1283" t="n">
        <x:f>AS60</x:f>
        <x:v>1694.9715481778403</x:v>
      </x:c>
      <x:c r="D1283" t="n">
        <x:f>AU60</x:f>
        <x:v>3583.025074116563</x:v>
      </x:c>
      <x:c r="E1283" t="n">
        <x:f>AW60</x:f>
        <x:v>3551.5973602312506</x:v>
      </x:c>
    </x:row>
    <x:row r="1284">
      <x:c r="A1284" t="n">
        <x:f>I61</x:f>
        <x:v>-0.508</x:v>
      </x:c>
      <x:c r="B1284" t="n">
        <x:f>AQ61</x:f>
        <x:v>2689.3682686667476</x:v>
      </x:c>
      <x:c r="C1284" t="n">
        <x:f>AS61</x:f>
        <x:v>1660.9821859294339</x:v>
      </x:c>
      <x:c r="D1284" t="n">
        <x:f>AU61</x:f>
        <x:v>3501.228989140432</x:v>
      </x:c>
      <x:c r="E1284" t="n">
        <x:f>AW61</x:f>
        <x:v>3469.686028659542</x:v>
      </x:c>
    </x:row>
    <x:row r="1285">
      <x:c r="A1285" t="n">
        <x:f>I62</x:f>
        <x:v>-0.5</x:v>
      </x:c>
      <x:c r="B1285" t="n">
        <x:f>AQ62</x:f>
        <x:v>2688.849181231688</x:v>
      </x:c>
      <x:c r="C1285" t="n">
        <x:f>AS62</x:f>
        <x:v>1630.7962996352992</x:v>
      </x:c>
      <x:c r="D1285" t="n">
        <x:f>AU62</x:f>
        <x:v>3429.6338635999455</x:v>
      </x:c>
      <x:c r="E1285" t="n">
        <x:f>AW62</x:f>
        <x:v>3397.995470414696</x:v>
      </x:c>
    </x:row>
    <x:row r="1286">
      <x:c r="A1286" t="n">
        <x:f>I63</x:f>
        <x:v>-0.492</x:v>
      </x:c>
      <x:c r="B1286" t="n">
        <x:f>AQ63</x:f>
        <x:v>2688.418530040225</x:v>
      </x:c>
      <x:c r="C1286" t="n">
        <x:f>AS63</x:f>
        <x:v>1600.8913289068564</x:v>
      </x:c>
      <x:c r="D1286" t="n">
        <x:f>AU63</x:f>
        <x:v>3358.2164161547216</x:v>
      </x:c>
      <x:c r="E1286" t="n">
        <x:f>AW63</x:f>
        <x:v>3326.510290593986</x:v>
      </x:c>
    </x:row>
    <x:row r="1287">
      <x:c r="A1287" t="n">
        <x:f>I64</x:f>
        <x:v>-0.483</x:v>
      </x:c>
      <x:c r="B1287" t="n">
        <x:f>AQ64</x:f>
        <x:v>2687.9354849524943</x:v>
      </x:c>
      <x:c r="C1287" t="n">
        <x:f>AS64</x:f>
        <x:v>1567.6371166506372</x:v>
      </x:c>
      <x:c r="D1287" t="n">
        <x:f>AU64</x:f>
        <x:v>3279.379574445211</x:v>
      </x:c>
      <x:c r="E1287" t="n">
        <x:f>AW64</x:f>
        <x:v>3247.597471574157</x:v>
      </x:c>
    </x:row>
    <x:row r="1288">
      <x:c r="A1288" t="n">
        <x:f>I65</x:f>
        <x:v>-0.475</x:v>
      </x:c>
      <x:c r="B1288" t="n">
        <x:f>AQ65</x:f>
        <x:v>2687.4656545086355</x:v>
      </x:c>
      <x:c r="C1288" t="n">
        <x:f>AS65</x:f>
        <x:v>1538.2795008459386</x:v>
      </x:c>
      <x:c r="D1288" t="n">
        <x:f>AU65</x:f>
        <x:v>3209.819190900689</x:v>
      </x:c>
      <x:c r="E1288" t="n">
        <x:f>AW65</x:f>
        <x:v>3177.990618415184</x:v>
      </x:c>
    </x:row>
    <x:row r="1289">
      <x:c r="A1289" t="n">
        <x:f>I66</x:f>
        <x:v>-0.467</x:v>
      </x:c>
      <x:c r="B1289" t="n">
        <x:f>AQ66</x:f>
        <x:v>2686.9865062165222</x:v>
      </x:c>
      <x:c r="C1289" t="n">
        <x:f>AS66</x:f>
        <x:v>1509.2748460225423</x:v>
      </x:c>
      <x:c r="D1289" t="n">
        <x:f>AU66</x:f>
        <x:v>3140.868117715043</x:v>
      </x:c>
      <x:c r="E1289" t="n">
        <x:f>AW66</x:f>
        <x:v>3109.009887937512</x:v>
      </x:c>
    </x:row>
    <x:row r="1290">
      <x:c r="A1290" t="n">
        <x:f>I67</x:f>
        <x:v>-0.458</x:v>
      </x:c>
      <x:c r="B1290" t="n">
        <x:f>AQ67</x:f>
        <x:v>2686.576366733176</x:v>
      </x:c>
      <x:c r="C1290" t="n">
        <x:f>AS67</x:f>
        <x:v>1477.0077782495264</x:v>
      </x:c>
      <x:c r="D1290" t="n">
        <x:f>AU67</x:f>
        <x:v>3064.463120167224</x:v>
      </x:c>
      <x:c r="E1290" t="n">
        <x:f>AW67</x:f>
        <x:v>3032.5783074211417</x:v>
      </x:c>
    </x:row>
    <x:row r="1291">
      <x:c r="A1291" t="n">
        <x:f>I68</x:f>
        <x:v>-0.45</x:v>
      </x:c>
      <x:c r="B1291" t="n">
        <x:f>AQ68</x:f>
        <x:v>2686.1230281089606</x:v>
      </x:c>
      <x:c r="C1291" t="n">
        <x:f>AS68</x:f>
        <x:v>1448.2038804819972</x:v>
      </x:c>
      <x:c r="D1291" t="n">
        <x:f>AU68</x:f>
        <x:v>2997.1693225152612</x:v>
      </x:c>
      <x:c r="E1291" t="n">
        <x:f>AW68</x:f>
        <x:v>2965.278708244999</x:v>
      </x:c>
    </x:row>
    <x:row r="1292">
      <x:c r="A1292" t="n">
        <x:f>I69</x:f>
        <x:v>-0.442</x:v>
      </x:c>
      <x:c r="B1292" t="n">
        <x:f>AQ69</x:f>
        <x:v>2685.7641048695896</x:v>
      </x:c>
      <x:c r="C1292" t="n">
        <x:f>AS69</x:f>
        <x:v>1419.563933171673</x:v>
      </x:c>
      <x:c r="D1292" t="n">
        <x:f>AU69</x:f>
        <x:v>2930.290863262151</x:v>
      </x:c>
      <x:c r="E1292" t="n">
        <x:f>AW69</x:f>
        <x:v>2898.417070837936</x:v>
      </x:c>
    </x:row>
    <x:row r="1293">
      <x:c r="A1293" t="n">
        <x:f>I70</x:f>
        <x:v>-0.433</x:v>
      </x:c>
      <x:c r="B1293" t="n">
        <x:f>AQ70</x:f>
        <x:v>2685.2667592520247</x:v>
      </x:c>
      <x:c r="C1293" t="n">
        <x:f>AS70</x:f>
        <x:v>1387.956266731438</x:v>
      </x:c>
      <x:c r="D1293" t="n">
        <x:f>AU70</x:f>
        <x:v>2856.458663651637</x:v>
      </x:c>
      <x:c r="E1293" t="n">
        <x:f>AW70</x:f>
        <x:v>2824.5997932549617</x:v>
      </x:c>
    </x:row>
    <x:row r="1294">
      <x:c r="A1294" t="n">
        <x:f>I71</x:f>
        <x:v>-0.425</x:v>
      </x:c>
      <x:c r="B1294" t="n">
        <x:f>AQ71</x:f>
        <x:v>2684.8382682822116</x:v>
      </x:c>
      <x:c r="C1294" t="n">
        <x:f>AS71</x:f>
        <x:v>1360.1592081481224</x:v>
      </x:c>
      <x:c r="D1294" t="n">
        <x:f>AU71</x:f>
        <x:v>2791.0833339882856</x:v>
      </x:c>
      <x:c r="E1294" t="n">
        <x:f>AW71</x:f>
        <x:v>2759.2679936296245</x:v>
      </x:c>
    </x:row>
    <x:row r="1295">
      <x:c r="A1295" t="n">
        <x:f>I72</x:f>
        <x:v>-0.417</x:v>
      </x:c>
      <x:c r="B1295" t="n">
        <x:f>AQ72</x:f>
        <x:v>2684.344258811687</x:v>
      </x:c>
      <x:c r="C1295" t="n">
        <x:f>AS72</x:f>
        <x:v>1332.4930771425575</x:v>
      </x:c>
      <x:c r="D1295" t="n">
        <x:f>AU72</x:f>
        <x:v>2726.5981963853515</x:v>
      </x:c>
      <x:c r="E1295" t="n">
        <x:f>AW72</x:f>
        <x:v>2694.8315049743364</x:v>
      </x:c>
    </x:row>
    <x:row r="1296">
      <x:c r="A1296" t="n">
        <x:f>I73</x:f>
        <x:v>-0.408</x:v>
      </x:c>
      <x:c r="B1296" t="n">
        <x:f>AQ73</x:f>
        <x:v>2684.0091118985915</x:v>
      </x:c>
      <x:c r="C1296" t="n">
        <x:f>AS73</x:f>
        <x:v>1301.4430776136699</x:v>
      </x:c>
      <x:c r="D1296" t="n">
        <x:f>AU73</x:f>
        <x:v>2655.133708523069</x:v>
      </x:c>
      <x:c r="E1296" t="n">
        <x:f>AW73</x:f>
        <x:v>2623.425230126642</x:v>
      </x:c>
    </x:row>
    <x:row r="1297">
      <x:c r="A1297" t="n">
        <x:f>I74</x:f>
        <x:v>-0.4</x:v>
      </x:c>
      <x:c r="B1297" t="n">
        <x:f>AQ74</x:f>
        <x:v>2683.537186227637</x:v>
      </x:c>
      <x:c r="C1297" t="n">
        <x:f>AS74</x:f>
        <x:v>1274.0147754263153</x:v>
      </x:c>
      <x:c r="D1297" t="n">
        <x:f>AU74</x:f>
        <x:v>2591.70764324169</x:v>
      </x:c>
      <x:c r="E1297" t="n">
        <x:f>AW74</x:f>
        <x:v>2560.088488449522</x:v>
      </x:c>
    </x:row>
    <x:row r="1298">
      <x:c r="A1298" t="n">
        <x:f>I75</x:f>
        <x:v>-0.392</x:v>
      </x:c>
      <x:c r="B1298" t="n">
        <x:f>AQ75</x:f>
        <x:v>2682.959399881261</x:v>
      </x:c>
      <x:c r="C1298" t="n">
        <x:f>AS75</x:f>
        <x:v>1246.7289435174778</x:v>
      </x:c>
      <x:c r="D1298" t="n">
        <x:f>AU75</x:f>
        <x:v>2529.6567125397137</x:v>
      </x:c>
      <x:c r="E1298" t="n">
        <x:f>AW75</x:f>
        <x:v>2498.1082649566547</x:v>
      </x:c>
    </x:row>
    <x:row r="1299">
      <x:c r="A1299" t="n">
        <x:f>I76</x:f>
        <x:v>-0.383</x:v>
      </x:c>
      <x:c r="B1299" t="n">
        <x:f>AQ76</x:f>
        <x:v>2682.5936759748174</x:v>
      </x:c>
      <x:c r="C1299" t="n">
        <x:f>AS76</x:f>
        <x:v>1216.5900679551614</x:v>
      </x:c>
      <x:c r="D1299" t="n">
        <x:f>AU76</x:f>
        <x:v>2460.1080312741733</x:v>
      </x:c>
      <x:c r="E1299" t="n">
        <x:f>AW76</x:f>
        <x:v>2428.67513320416</x:v>
      </x:c>
    </x:row>
    <x:row r="1300">
      <x:c r="A1300" t="n">
        <x:f>I77</x:f>
        <x:v>-0.375</x:v>
      </x:c>
      <x:c r="B1300" t="n">
        <x:f>AQ77</x:f>
        <x:v>2682.174729680835</x:v>
      </x:c>
      <x:c r="C1300" t="n">
        <x:f>AS77</x:f>
        <x:v>1190.1745889310876</x:v>
      </x:c>
      <x:c r="D1300" t="n">
        <x:f>AU77</x:f>
        <x:v>2399.037857844189</x:v>
      </x:c>
      <x:c r="E1300" t="n">
        <x:f>AW77</x:f>
        <x:v>2367.7165122313922</x:v>
      </x:c>
    </x:row>
    <x:row r="1301">
      <x:c r="A1301" t="n">
        <x:f>I78</x:f>
        <x:v>-0.367</x:v>
      </x:c>
      <x:c r="B1301" t="n">
        <x:f>AQ78</x:f>
        <x:v>2681.633377970777</x:v>
      </x:c>
      <x:c r="C1301" t="n">
        <x:f>AS78</x:f>
        <x:v>1163.6467818706817</x:v>
      </x:c>
      <x:c r="D1301" t="n">
        <x:f>AU78</x:f>
        <x:v>2338.848545673518</x:v>
      </x:c>
      <x:c r="E1301" t="n">
        <x:f>AW78</x:f>
        <x:v>2307.637032802526</x:v>
      </x:c>
    </x:row>
    <x:row r="1302">
      <x:c r="A1302" t="n">
        <x:f>I79</x:f>
        <x:v>-0.358</x:v>
      </x:c>
      <x:c r="B1302" t="n">
        <x:f>AQ79</x:f>
        <x:v>2681.074277895876</x:v>
      </x:c>
      <x:c r="C1302" t="n">
        <x:f>AS79</x:f>
        <x:v>1133.8107705131229</x:v>
      </x:c>
      <x:c r="D1302" t="n">
        <x:f>AU79</x:f>
        <x:v>2271.4757396841865</x:v>
      </x:c>
      <x:c r="E1302" t="n">
        <x:f>AW79</x:f>
        <x:v>2240.4205489602696</x:v>
      </x:c>
    </x:row>
    <x:row r="1303">
      <x:c r="A1303" t="n">
        <x:f>I80</x:f>
        <x:v>-0.35</x:v>
      </x:c>
      <x:c r="B1303" t="n">
        <x:f>AQ80</x:f>
        <x:v>2680.805031719671</x:v>
      </x:c>
      <x:c r="C1303" t="n">
        <x:f>AS80</x:f>
        <x:v>1107.663476732817</x:v>
      </x:c>
      <x:c r="D1303" t="n">
        <x:f>AU80</x:f>
        <x:v>2212.418081073065</x:v>
      </x:c>
      <x:c r="E1303" t="n">
        <x:f>AW80</x:f>
        <x:v>2181.5032877091103</x:v>
      </x:c>
    </x:row>
    <x:row r="1304">
      <x:c r="A1304" t="n">
        <x:f>I81</x:f>
        <x:v>-0.342</x:v>
      </x:c>
      <x:c r="B1304" t="n">
        <x:f>AQ81</x:f>
        <x:v>2680.307213361289</x:v>
      </x:c>
      <x:c r="C1304" t="n">
        <x:f>AS81</x:f>
        <x:v>1081.9289025291496</x:v>
      </x:c>
      <x:c r="D1304" t="n">
        <x:f>AU81</x:f>
        <x:v>2154.069064539017</x:v>
      </x:c>
      <x:c r="E1304" t="n">
        <x:f>AW81</x:f>
        <x:v>2123.297962760579</x:v>
      </x:c>
    </x:row>
    <x:row r="1305">
      <x:c r="A1305" t="n">
        <x:f>I82</x:f>
        <x:v>-0.333</x:v>
      </x:c>
      <x:c r="B1305" t="n">
        <x:f>AQ82</x:f>
        <x:v>2679.910435734186</x:v>
      </x:c>
      <x:c r="C1305" t="n">
        <x:f>AS82</x:f>
        <x:v>1053.2379157384207</x:v>
      </x:c>
      <x:c r="D1305" t="n">
        <x:f>AU82</x:f>
        <x:v>2088.853489351747</x:v>
      </x:c>
      <x:c r="E1305" t="n">
        <x:f>AW82</x:f>
        <x:v>2058.271372657876</x:v>
      </x:c>
    </x:row>
    <x:row r="1306">
      <x:c r="A1306" t="n">
        <x:f>I83</x:f>
        <x:v>-0.325</x:v>
      </x:c>
      <x:c r="B1306" t="n">
        <x:f>AQ83</x:f>
        <x:v>2679.4176164876385</x:v>
      </x:c>
      <x:c r="C1306" t="n">
        <x:f>AS83</x:f>
        <x:v>1027.767895171937</x:v>
      </x:c>
      <x:c r="D1306" t="n">
        <x:f>AU83</x:f>
        <x:v>2031.6981626888248</x:v>
      </x:c>
      <x:c r="E1306" t="n">
        <x:f>AW83</x:f>
        <x:v>2001.281475278257</x:v>
      </x:c>
    </x:row>
    <x:row r="1307">
      <x:c r="A1307" t="n">
        <x:f>I84</x:f>
        <x:v>-0.317</x:v>
      </x:c>
      <x:c r="B1307" t="n">
        <x:f>AQ84</x:f>
        <x:v>2679.101138360728</x:v>
      </x:c>
      <x:c r="C1307" t="n">
        <x:f>AS84</x:f>
        <x:v>1002.3635175983735</x:v>
      </x:c>
      <x:c r="D1307" t="n">
        <x:f>AU84</x:f>
        <x:v>1975.2592929672044</x:v>
      </x:c>
      <x:c r="E1307" t="n">
        <x:f>AW84</x:f>
        <x:v>1945.0061543286497</x:v>
      </x:c>
    </x:row>
    <x:row r="1308">
      <x:c r="A1308" t="n">
        <x:f>I85</x:f>
        <x:v>-0.308</x:v>
      </x:c>
      <x:c r="B1308" t="n">
        <x:f>AQ85</x:f>
        <x:v>2678.620330554761</x:v>
      </x:c>
      <x:c r="C1308" t="n">
        <x:f>AS85</x:f>
        <x:v>974.1534456502709</x:v>
      </x:c>
      <x:c r="D1308" t="n">
        <x:f>AU85</x:f>
        <x:v>1911.982365755576</x:v>
      </x:c>
      <x:c r="E1308" t="n">
        <x:f>AW85</x:f>
        <x:v>1881.9527809601716</x:v>
      </x:c>
    </x:row>
    <x:row r="1309">
      <x:c r="A1309" t="n">
        <x:f>I86</x:f>
        <x:v>-0.3</x:v>
      </x:c>
      <x:c r="B1309" t="n">
        <x:f>AQ86</x:f>
        <x:v>2678.2274086948387</x:v>
      </x:c>
      <x:c r="C1309" t="n">
        <x:f>AS86</x:f>
        <x:v>949.3439263517315</x:v>
      </x:c>
      <x:c r="D1309" t="n">
        <x:f>AU86</x:f>
        <x:v>1856.953435568455</x:v>
      </x:c>
      <x:c r="E1309" t="n">
        <x:f>AW86</x:f>
        <x:v>1827.0848976277111</x:v>
      </x:c>
    </x:row>
    <x:row r="1310">
      <x:c r="A1310" t="n">
        <x:f>I87</x:f>
        <x:v>-0.292</x:v>
      </x:c>
      <x:c r="B1310" t="n">
        <x:f>AQ87</x:f>
        <x:v>2677.901102367137</x:v>
      </x:c>
      <x:c r="C1310" t="n">
        <x:f>AS87</x:f>
        <x:v>924.7866303079909</x:v>
      </x:c>
      <x:c r="D1310" t="n">
        <x:f>AU87</x:f>
        <x:v>1801.9356748527755</x:v>
      </x:c>
      <x:c r="E1310" t="n">
        <x:f>AW87</x:f>
        <x:v>1772.2724325966283</x:v>
      </x:c>
    </x:row>
    <x:row r="1311">
      <x:c r="A1311" t="n">
        <x:f>I88</x:f>
        <x:v>-0.283</x:v>
      </x:c>
      <x:c r="B1311" t="n">
        <x:f>AQ88</x:f>
        <x:v>2677.5923280337583</x:v>
      </x:c>
      <x:c r="C1311" t="n">
        <x:f>AS88</x:f>
        <x:v>897.5024239250529</x:v>
      </x:c>
      <x:c r="D1311" t="n">
        <x:f>AU88</x:f>
        <x:v>1740.8922865861819</x:v>
      </x:c>
      <x:c r="E1311" t="n">
        <x:f>AW88</x:f>
        <x:v>1711.4500227839458</x:v>
      </x:c>
    </x:row>
    <x:row r="1312">
      <x:c r="A1312" t="n">
        <x:f>I89</x:f>
        <x:v>-0.275</x:v>
      </x:c>
      <x:c r="B1312" t="n">
        <x:f>AQ89</x:f>
        <x:v>2677.336851587953</x:v>
      </x:c>
      <x:c r="C1312" t="n">
        <x:f>AS89</x:f>
        <x:v>873.2708000463136</x:v>
      </x:c>
      <x:c r="D1312" t="n">
        <x:f>AU89</x:f>
        <x:v>1687.4158648553757</x:v>
      </x:c>
      <x:c r="E1312" t="n">
        <x:f>AW89</x:f>
        <x:v>1658.1549567841441</x:v>
      </x:c>
    </x:row>
    <x:row r="1313">
      <x:c r="A1313" t="n">
        <x:f>I90</x:f>
        <x:v>-0.267</x:v>
      </x:c>
      <x:c r="B1313" t="n">
        <x:f>AQ90</x:f>
        <x:v>2676.8935781249206</x:v>
      </x:c>
      <x:c r="C1313" t="n">
        <x:f>AS90</x:f>
        <x:v>849.1298418746225</x:v>
      </x:c>
      <x:c r="D1313" t="n">
        <x:f>AU90</x:f>
        <x:v>1633.9682240085044</x:v>
      </x:c>
      <x:c r="E1313" t="n">
        <x:f>AW90</x:f>
        <x:v>1604.932853763352</x:v>
      </x:c>
    </x:row>
    <x:row r="1314">
      <x:c r="A1314" t="n">
        <x:f>I91</x:f>
        <x:v>-0.258</x:v>
      </x:c>
      <x:c r="B1314" t="n">
        <x:f>AQ91</x:f>
        <x:v>2676.6826725277347</x:v>
      </x:c>
      <x:c r="C1314" t="n">
        <x:f>AS91</x:f>
        <x:v>822.3450160213688</x:v>
      </x:c>
      <x:c r="D1314" t="n">
        <x:f>AU91</x:f>
        <x:v>1574.9472856715226</x:v>
      </x:c>
      <x:c r="E1314" t="n">
        <x:f>AW91</x:f>
        <x:v>1546.1235434612527</x:v>
      </x:c>
    </x:row>
    <x:row r="1315">
      <x:c r="A1315" t="n">
        <x:f>I92</x:f>
        <x:v>-0.25</x:v>
      </x:c>
      <x:c r="B1315" t="n">
        <x:f>AQ92</x:f>
        <x:v>2676.298054911225</x:v>
      </x:c>
      <x:c r="C1315" t="n">
        <x:f>AS92</x:f>
        <x:v>798.9000950122506</x:v>
      </x:c>
      <x:c r="D1315" t="n">
        <x:f>AU92</x:f>
        <x:v>1522.8401884505734</x:v>
      </x:c>
      <x:c r="E1315" t="n">
        <x:f>AW92</x:f>
        <x:v>1494.2203317731464</x:v>
      </x:c>
    </x:row>
    <x:row r="1316">
      <x:c r="A1316" t="n">
        <x:f>I93</x:f>
        <x:v>-0.242</x:v>
      </x:c>
      <x:c r="B1316" t="n">
        <x:f>AQ93</x:f>
        <x:v>2676.0772755395565</x:v>
      </x:c>
      <x:c r="C1316" t="n">
        <x:f>AS93</x:f>
        <x:v>775.775665786726</x:v>
      </x:c>
      <x:c r="D1316" t="n">
        <x:f>AU93</x:f>
        <x:v>1471.2359482529555</x:v>
      </x:c>
      <x:c r="E1316" t="n">
        <x:f>AW93</x:f>
        <x:v>1442.817695131121</x:v>
      </x:c>
    </x:row>
    <x:row r="1317">
      <x:c r="A1317" t="n">
        <x:f>I94</x:f>
        <x:v>-0.233</x:v>
      </x:c>
      <x:c r="B1317" t="n">
        <x:f>AQ94</x:f>
        <x:v>2675.7482372623963</x:v>
      </x:c>
      <x:c r="C1317" t="n">
        <x:f>AS94</x:f>
        <x:v>749.72198990354</x:v>
      </x:c>
      <x:c r="D1317" t="n">
        <x:f>AU94</x:f>
        <x:v>1413.9478129220597</x:v>
      </x:c>
      <x:c r="E1317" t="n">
        <x:f>AW94</x:f>
        <x:v>1385.7328673887378</x:v>
      </x:c>
    </x:row>
    <x:row r="1318">
      <x:c r="A1318" t="n">
        <x:f>I95</x:f>
        <x:v>-0.225</x:v>
      </x:c>
      <x:c r="B1318" t="n">
        <x:f>AQ95</x:f>
        <x:v>2675.521002594637</x:v>
      </x:c>
      <x:c r="C1318" t="n">
        <x:f>AS95</x:f>
        <x:v>726.8407684316289</x:v>
      </x:c>
      <x:c r="D1318" t="n">
        <x:f>AU95</x:f>
        <x:v>1363.4686402752502</x:v>
      </x:c>
      <x:c r="E1318" t="n">
        <x:f>AW95</x:f>
        <x:v>1335.4348399633955</x:v>
      </x:c>
    </x:row>
    <x:row r="1319">
      <x:c r="A1319" t="n">
        <x:f>I96</x:f>
        <x:v>-0.217</x:v>
      </x:c>
      <x:c r="B1319" t="n">
        <x:f>AQ96</x:f>
        <x:v>2675.243509673234</x:v>
      </x:c>
      <x:c r="C1319" t="n">
        <x:f>AS96</x:f>
        <x:v>704.1134347722967</x:v>
      </x:c>
      <x:c r="D1319" t="n">
        <x:f>AU96</x:f>
        <x:v>1313.3523256405263</x:v>
      </x:c>
      <x:c r="E1319" t="n">
        <x:f>AW96</x:f>
        <x:v>1285.5045115158039</x:v>
      </x:c>
    </x:row>
    <x:row r="1320">
      <x:c r="A1320" t="n">
        <x:f>I97</x:f>
        <x:v>-0.208</x:v>
      </x:c>
      <x:c r="B1320" t="n">
        <x:f>AQ97</x:f>
        <x:v>2674.8308245474545</x:v>
      </x:c>
      <x:c r="C1320" t="n">
        <x:f>AS97</x:f>
        <x:v>678.7707236721552</x:v>
      </x:c>
      <x:c r="D1320" t="n">
        <x:f>AU97</x:f>
        <x:v>1257.9527051449093</x:v>
      </x:c>
      <x:c r="E1320" t="n">
        <x:f>AW97</x:f>
        <x:v>1230.251296014278</x:v>
      </x:c>
    </x:row>
    <x:row r="1321">
      <x:c r="A1321" t="n">
        <x:f>I98</x:f>
        <x:v>-0.2</x:v>
      </x:c>
      <x:c r="B1321" t="n">
        <x:f>AQ98</x:f>
        <x:v>2674.7105794245053</x:v>
      </x:c>
      <x:c r="C1321" t="n">
        <x:f>AS98</x:f>
        <x:v>656.7701971330839</x:v>
      </x:c>
      <x:c r="D1321" t="n">
        <x:f>AU98</x:f>
        <x:v>1208.883796960501</x:v>
      </x:c>
      <x:c r="E1321" t="n">
        <x:f>AW98</x:f>
        <x:v>1181.3360267787766</x:v>
      </x:c>
    </x:row>
    <x:row r="1322">
      <x:c r="A1322" t="n">
        <x:f>I99</x:f>
        <x:v>-0.192</x:v>
      </x:c>
      <x:c r="B1322" t="n">
        <x:f>AQ99</x:f>
        <x:v>2674.359012410629</x:v>
      </x:c>
      <x:c r="C1322" t="n">
        <x:f>AS99</x:f>
        <x:v>635.1547992334081</x:v>
      </x:c>
      <x:c r="D1322" t="n">
        <x:f>AU99</x:f>
        <x:v>1160.3541102258998</x:v>
      </x:c>
      <x:c r="E1322" t="n">
        <x:f>AW99</x:f>
        <x:v>1132.9336684812708</x:v>
      </x:c>
    </x:row>
    <x:row r="1323">
      <x:c r="A1323" t="n">
        <x:f>I100</x:f>
        <x:v>-0.183</x:v>
      </x:c>
      <x:c r="B1323" t="n">
        <x:f>AQ100</x:f>
        <x:v>2674.190016568398</x:v>
      </x:c>
      <x:c r="C1323" t="n">
        <x:f>AS100</x:f>
        <x:v>610.8510113002076</x:v>
      </x:c>
      <x:c r="D1323" t="n">
        <x:f>AU100</x:f>
        <x:v>1106.563522654145</x:v>
      </x:c>
      <x:c r="E1323" t="n">
        <x:f>AW100</x:f>
        <x:v>1079.2262262421423</x:v>
      </x:c>
    </x:row>
    <x:row r="1324">
      <x:c r="A1324" t="n">
        <x:f>I101</x:f>
        <x:v>-0.175</x:v>
      </x:c>
      <x:c r="B1324" t="n">
        <x:f>AQ101</x:f>
        <x:v>2673.894654942711</x:v>
      </x:c>
      <x:c r="C1324" t="n">
        <x:f>AS101</x:f>
        <x:v>589.2813068975925</x:v>
      </x:c>
      <x:c r="D1324" t="n">
        <x:f>AU101</x:f>
        <x:v>1058.8311599750984</x:v>
      </x:c>
      <x:c r="E1324" t="n">
        <x:f>AW101</x:f>
        <x:v>1031.5980886484233</x:v>
      </x:c>
    </x:row>
    <x:row r="1325">
      <x:c r="A1325" t="n">
        <x:f>I102</x:f>
        <x:v>-0.167</x:v>
      </x:c>
      <x:c r="B1325" t="n">
        <x:f>AQ102</x:f>
        <x:v>2673.759697209001</x:v>
      </x:c>
      <x:c r="C1325" t="n">
        <x:f>AS102</x:f>
        <x:v>568.2671800772529</x:v>
      </x:c>
      <x:c r="D1325" t="n">
        <x:f>AU102</x:f>
        <x:v>1012.0645953546137</x:v>
      </x:c>
      <x:c r="E1325" t="n">
        <x:f>AW102</x:f>
        <x:v>984.8323231675628</x:v>
      </x:c>
    </x:row>
    <x:row r="1326">
      <x:c r="A1326" t="n">
        <x:f>I103</x:f>
        <x:v>-0.158</x:v>
      </x:c>
      <x:c r="B1326" t="n">
        <x:f>AQ103</x:f>
        <x:v>2673.572737760398</x:v>
      </x:c>
      <x:c r="C1326" t="n">
        <x:f>AS103</x:f>
        <x:v>545.3235753259175</x:v>
      </x:c>
      <x:c r="D1326" t="n">
        <x:f>AU103</x:f>
        <x:v>959.6992490366466</x:v>
      </x:c>
      <x:c r="E1326" t="n">
        <x:f>AW103</x:f>
        <x:v>932.4708641756583</x:v>
      </x:c>
    </x:row>
    <x:row r="1327">
      <x:c r="A1327" t="n">
        <x:f>I104</x:f>
        <x:v>-0.15</x:v>
      </x:c>
      <x:c r="B1327" t="n">
        <x:f>AQ104</x:f>
        <x:v>2673.302473071738</x:v>
      </x:c>
      <x:c r="C1327" t="n">
        <x:f>AS104</x:f>
        <x:v>525.2418298323732</x:v>
      </x:c>
      <x:c r="D1327" t="n">
        <x:f>AU104</x:f>
        <x:v>913.7430465581227</x:v>
      </x:c>
      <x:c r="E1327" t="n">
        <x:f>AW104</x:f>
        <x:v>886.4597372531108</x:v>
      </x:c>
    </x:row>
    <x:row r="1328">
      <x:c r="A1328" t="n">
        <x:f>I105</x:f>
        <x:v>-0.142</x:v>
      </x:c>
      <x:c r="B1328" t="n">
        <x:f>AQ105</x:f>
        <x:v>2673.207375269783</x:v>
      </x:c>
      <x:c r="C1328" t="n">
        <x:f>AS105</x:f>
        <x:v>505.3303245017397</x:v>
      </x:c>
      <x:c r="D1328" t="n">
        <x:f>AU105</x:f>
        <x:v>868.5395491003828</x:v>
      </x:c>
      <x:c r="E1328" t="n">
        <x:f>AW105</x:f>
        <x:v>841.1061786695878</x:v>
      </x:c>
    </x:row>
    <x:row r="1329">
      <x:c r="A1329" t="n">
        <x:f>I106</x:f>
        <x:v>-0.133</x:v>
      </x:c>
      <x:c r="B1329" t="n">
        <x:f>AQ106</x:f>
        <x:v>2673.1725556374686</x:v>
      </x:c>
      <x:c r="C1329" t="n">
        <x:f>AS106</x:f>
        <x:v>483.24555653411164</x:v>
      </x:c>
      <x:c r="D1329" t="n">
        <x:f>AU106</x:f>
        <x:v>817.9688649858522</x:v>
      </x:c>
      <x:c r="E1329" t="n">
        <x:f>AW106</x:f>
        <x:v>790.3494390057505</x:v>
      </x:c>
    </x:row>
    <x:row r="1330">
      <x:c r="A1330" t="n">
        <x:f>I107</x:f>
        <x:v>-0.125</x:v>
      </x:c>
      <x:c r="B1330" t="n">
        <x:f>AQ107</x:f>
        <x:v>2672.9293325644585</x:v>
      </x:c>
      <x:c r="C1330" t="n">
        <x:f>AS107</x:f>
        <x:v>464.1818123077337</x:v>
      </x:c>
      <x:c r="D1330" t="n">
        <x:f>AU107</x:f>
        <x:v>773.8625324971048</x:v>
      </x:c>
      <x:c r="E1330" t="n">
        <x:f>AW107</x:f>
        <x:v>745.953527022406</x:v>
      </x:c>
    </x:row>
    <x:row r="1331">
      <x:c r="A1331" t="n">
        <x:f>I108</x:f>
        <x:v>-0.117</x:v>
      </x:c>
      <x:c r="B1331" t="n">
        <x:f>AQ108</x:f>
        <x:v>2672.888297210901</x:v>
      </x:c>
      <x:c r="C1331" t="n">
        <x:f>AS108</x:f>
        <x:v>445.93034998876044</x:v>
      </x:c>
      <x:c r="D1331" t="n">
        <x:f>AU108</x:f>
        <x:v>730.4506475657673</x:v>
      </x:c>
      <x:c r="E1331" t="n">
        <x:f>AW108</x:f>
        <x:v>702.144121054545</x:v>
      </x:c>
    </x:row>
    <x:row r="1332">
      <x:c r="A1332" t="n">
        <x:f>I109</x:f>
        <x:v>-0.108</x:v>
      </x:c>
      <x:c r="B1332" t="n">
        <x:f>AQ109</x:f>
        <x:v>2672.8488768179254</x:v>
      </x:c>
      <x:c r="C1332" t="n">
        <x:f>AS109</x:f>
        <x:v>426.13145439102254</x:v>
      </x:c>
      <x:c r="D1332" t="n">
        <x:f>AU109</x:f>
        <x:v>682.0960655809658</x:v>
      </x:c>
      <x:c r="E1332" t="n">
        <x:f>AW109</x:f>
        <x:v>653.271654028491</x:v>
      </x:c>
    </x:row>
    <x:row r="1333">
      <x:c r="A1333" t="n">
        <x:f>I110</x:f>
        <x:v>-0.1</x:v>
      </x:c>
      <x:c r="B1333" t="n">
        <x:f>AQ110</x:f>
        <x:v>2672.7173618544525</x:v>
      </x:c>
      <x:c r="C1333" t="n">
        <x:f>AS110</x:f>
        <x:v>409.0096923375385</x:v>
      </x:c>
      <x:c r="D1333" t="n">
        <x:f>AU110</x:f>
        <x:v>640.0475870733427</x:v>
      </x:c>
      <x:c r="E1333" t="n">
        <x:f>AW110</x:f>
        <x:v>610.5993837127407</x:v>
      </x:c>
    </x:row>
    <x:row r="1334">
      <x:c r="A1334" t="n">
        <x:f>I111</x:f>
        <x:v>-0.092</x:v>
      </x:c>
      <x:c r="B1334" t="n">
        <x:f>AQ111</x:f>
        <x:v>2672.777044222336</x:v>
      </x:c>
      <x:c r="C1334" t="n">
        <x:f>AS111</x:f>
        <x:v>392.42990322520836</x:v>
      </x:c>
      <x:c r="D1334" t="n">
        <x:f>AU111</x:f>
        <x:v>599.066176193741</x:v>
      </x:c>
      <x:c r="E1334" t="n">
        <x:f>AW111</x:f>
        <x:v>568.797072806705</x:v>
      </x:c>
    </x:row>
    <x:row r="1335">
      <x:c r="A1335" t="n">
        <x:f>I112</x:f>
        <x:v>-0.083</x:v>
      </x:c>
      <x:c r="B1335" t="n">
        <x:f>AQ112</x:f>
        <x:v>2672.720653805265</x:v>
      </x:c>
      <x:c r="C1335" t="n">
        <x:f>AS112</x:f>
        <x:v>374.5318753864321</x:v>
      </x:c>
      <x:c r="D1335" t="n">
        <x:f>AU112</x:f>
        <x:v>553.4978964465374</x:v>
      </x:c>
      <x:c r="E1335" t="n">
        <x:f>AW112</x:f>
        <x:v>522.2177364636578</x:v>
      </x:c>
    </x:row>
    <x:row r="1336">
      <x:c r="A1336" t="n">
        <x:f>I113</x:f>
        <x:v>-0.075</x:v>
      </x:c>
      <x:c r="B1336" t="n">
        <x:f>AQ113</x:f>
        <x:v>2672.598639611109</x:v>
      </x:c>
      <x:c r="C1336" t="n">
        <x:f>AS113</x:f>
        <x:v>359.84961427998934</x:v>
      </x:c>
      <x:c r="D1336" t="n">
        <x:f>AU113</x:f>
        <x:v>514.9837762599814</x:v>
      </x:c>
      <x:c r="E1336" t="n">
        <x:f>AW113</x:f>
        <x:v>482.4244073104283</x:v>
      </x:c>
    </x:row>
    <x:row r="1337">
      <x:c r="A1337" t="n">
        <x:f>I114</x:f>
        <x:v>-0.067</x:v>
      </x:c>
      <x:c r="B1337" t="n">
        <x:f>AQ114</x:f>
        <x:v>2672.6169862341135</x:v>
      </x:c>
      <x:c r="C1337" t="n">
        <x:f>AS114</x:f>
        <x:v>346.3884478023773</x:v>
      </x:c>
      <x:c r="D1337" t="n">
        <x:f>AU114</x:f>
        <x:v>477.1635303185421</x:v>
      </x:c>
      <x:c r="E1337" t="n">
        <x:f>AW114</x:f>
        <x:v>443.22219695033067</x:v>
      </x:c>
    </x:row>
    <x:row r="1338">
      <x:c r="A1338" t="n">
        <x:f>I115</x:f>
        <x:v>-0.058</x:v>
      </x:c>
      <x:c r="B1338" t="n">
        <x:f>AQ115</x:f>
        <x:v>2672.460019122305</x:v>
      </x:c>
      <x:c r="C1338" t="n">
        <x:f>AS115</x:f>
        <x:v>332.3135990985811</x:v>
      </x:c>
      <x:c r="D1338" t="n">
        <x:f>AU115</x:f>
        <x:v>437.0157822838088</x:v>
      </x:c>
      <x:c r="E1338" t="n">
        <x:f>AW115</x:f>
        <x:v>401.113136863523</x:v>
      </x:c>
    </x:row>
    <x:row r="1339">
      <x:c r="A1339" t="n">
        <x:f>I116</x:f>
        <x:v>-0.05</x:v>
      </x:c>
      <x:c r="B1339" t="n">
        <x:f>AQ116</x:f>
        <x:v>2672.4187092220745</x:v>
      </x:c>
      <x:c r="C1339" t="n">
        <x:f>AS116</x:f>
        <x:v>320.93709247243464</x:v>
      </x:c>
      <x:c r="D1339" t="n">
        <x:f>AU116</x:f>
        <x:v>403.78577502859594</x:v>
      </x:c>
      <x:c r="E1339" t="n">
        <x:f>AW116</x:f>
        <x:v>365.78076718889946</x:v>
      </x:c>
    </x:row>
    <x:row r="1340">
      <x:c r="A1340" t="n">
        <x:f>I117</x:f>
        <x:v>-0.042</x:v>
      </x:c>
      <x:c r="B1340" t="n">
        <x:f>AQ117</x:f>
        <x:v>2672.3765444545224</x:v>
      </x:c>
      <x:c r="C1340" t="n">
        <x:f>AS117</x:f>
        <x:v>310.87780289071844</x:v>
      </x:c>
      <x:c r="D1340" t="n">
        <x:f>AU117</x:f>
        <x:v>372.5309517744891</x:v>
      </x:c>
      <x:c r="E1340" t="n">
        <x:f>AW117</x:f>
        <x:v>332.263191455232</x:v>
      </x:c>
    </x:row>
    <x:row r="1341">
      <x:c r="A1341" t="n">
        <x:f>I118</x:f>
        <x:v>-0.033</x:v>
      </x:c>
      <x:c r="B1341" t="n">
        <x:f>AQ118</x:f>
        <x:v>2672.284988766312</x:v>
      </x:c>
      <x:c r="C1341" t="n">
        <x:f>AS118</x:f>
        <x:v>301.3571579191976</x:v>
      </x:c>
      <x:c r="D1341" t="n">
        <x:f>AU118</x:f>
        <x:v>342.2544609165582</x:v>
      </x:c>
      <x:c r="E1341" t="n">
        <x:f>AW118</x:f>
        <x:v>298.9985244554888</x:v>
      </x:c>
    </x:row>
    <x:row r="1342">
      <x:c r="A1342" t="n">
        <x:f>I119</x:f>
        <x:v>-0.025</x:v>
      </x:c>
      <x:c r="B1342" t="n">
        <x:f>AQ119</x:f>
        <x:v>2672.22526340349</x:v>
      </x:c>
      <x:c r="C1342" t="n">
        <x:f>AS119</x:f>
        <x:v>294.56495100596084</x:v>
      </x:c>
      <x:c r="D1342" t="n">
        <x:f>AU119</x:f>
        <x:v>319.39972411695146</x:v>
      </x:c>
      <x:c r="E1342" t="n">
        <x:f>AW119</x:f>
        <x:v>273.4933998987209</x:v>
      </x:c>
    </x:row>
    <x:row r="1343">
      <x:c r="A1343" t="n">
        <x:f>I120</x:f>
        <x:v>-0.017</x:v>
      </x:c>
      <x:c r="B1343" t="n">
        <x:f>AQ120</x:f>
        <x:v>2672.0265961152877</x:v>
      </x:c>
      <x:c r="C1343" t="n">
        <x:f>AS120</x:f>
        <x:v>289.8283648752175</x:v>
      </x:c>
      <x:c r="D1343" t="n">
        <x:f>AU120</x:f>
        <x:v>301.59997247160845</x:v>
      </x:c>
      <x:c r="E1343" t="n">
        <x:f>AW120</x:f>
        <x:v>253.29273098341292</x:v>
      </x:c>
    </x:row>
    <x:row r="1344">
      <x:c r="A1344" t="n">
        <x:f>I121</x:f>
        <x:v>-0.008</x:v>
      </x:c>
      <x:c r="B1344" t="n">
        <x:f>AQ121</x:f>
        <x:v>2671.9704462755117</x:v>
      </x:c>
      <x:c r="C1344" t="n">
        <x:f>AS121</x:f>
        <x:v>286.6768082586119</x:v>
      </x:c>
      <x:c r="D1344" t="n">
        <x:f>AU121</x:f>
        <x:v>289.2412791527174</x:v>
      </x:c>
      <x:c r="E1344" t="n">
        <x:f>AW121</x:f>
        <x:v>238.96678499620614</x:v>
      </x:c>
    </x:row>
    <x:row r="1345">
      <x:c r="A1345" t="n">
        <x:f>I122</x:f>
        <x:v>0</x:v>
      </x:c>
      <x:c r="B1345" t="n">
        <x:f>AQ122</x:f>
        <x:v>2671.8569109380314</x:v>
      </x:c>
      <x:c r="C1345" t="n">
        <x:f>AS122</x:f>
        <x:v>285.44962589236945</x:v>
      </x:c>
      <x:c r="D1345" t="n">
        <x:f>AU122</x:f>
        <x:v>285.44962589236945</x:v>
      </x:c>
      <x:c r="E1345" t="n">
        <x:f>AW122</x:f>
        <x:v>234.57893136334926</x:v>
      </x:c>
    </x:row>
    <x:row r="1346">
      <x:c r="A1346" t="n">
        <x:f>I123</x:f>
        <x:v>0.008</x:v>
      </x:c>
      <x:c r="B1346" t="n">
        <x:f>AQ123</x:f>
        <x:v>2671.734762465316</x:v>
      </x:c>
      <x:c r="C1346" t="n">
        <x:f>AS123</x:f>
        <x:v>285.94379017860734</x:v>
      </x:c>
      <x:c r="D1346" t="n">
        <x:f>AU123</x:f>
        <x:v>288.7955768368026</x:v>
      </x:c>
      <x:c r="E1346" t="n">
        <x:f>AW123</x:f>
        <x:v>238.58427038631453</x:v>
      </x:c>
    </x:row>
    <x:row r="1347">
      <x:c r="A1347" t="n">
        <x:f>I124</x:f>
        <x:v>0.017</x:v>
      </x:c>
      <x:c r="B1347" t="n">
        <x:f>AQ124</x:f>
        <x:v>2671.6247904009706</x:v>
      </x:c>
      <x:c r="C1347" t="n">
        <x:f>AS124</x:f>
        <x:v>289.50463278641934</x:v>
      </x:c>
      <x:c r="D1347" t="n">
        <x:f>AU124</x:f>
        <x:v>301.63298762212946</x:v>
      </x:c>
      <x:c r="E1347" t="n">
        <x:f>AW124</x:f>
        <x:v>253.320686057891</x:v>
      </x:c>
    </x:row>
    <x:row r="1348">
      <x:c r="A1348" t="n">
        <x:f>I125</x:f>
        <x:v>0.025</x:v>
      </x:c>
      <x:c r="B1348" t="n">
        <x:f>AQ125</x:f>
        <x:v>2671.654913496507</x:v>
      </x:c>
      <x:c r="C1348" t="n">
        <x:f>AS125</x:f>
        <x:v>294.65525229787505</x:v>
      </x:c>
      <x:c r="D1348" t="n">
        <x:f>AU125</x:f>
        <x:v>318.9091927078766</x:v>
      </x:c>
      <x:c r="E1348" t="n">
        <x:f>AW125</x:f>
        <x:v>273.0846489801912</x:v>
      </x:c>
    </x:row>
    <x:row r="1349">
      <x:c r="A1349" t="n">
        <x:f>I126</x:f>
        <x:v>0.033</x:v>
      </x:c>
      <x:c r="B1349" t="n">
        <x:f>AQ126</x:f>
        <x:v>2671.55448128243</x:v>
      </x:c>
      <x:c r="C1349" t="n">
        <x:f>AS126</x:f>
        <x:v>301.38085055997664</x:v>
      </x:c>
      <x:c r="D1349" t="n">
        <x:f>AU126</x:f>
        <x:v>341.8770920620382</x:v>
      </x:c>
      <x:c r="E1349" t="n">
        <x:f>AW126</x:f>
        <x:v>298.68879997180886</x:v>
      </x:c>
    </x:row>
    <x:row r="1350">
      <x:c r="A1350" t="n">
        <x:f>I127</x:f>
        <x:v>0.042</x:v>
      </x:c>
      <x:c r="B1350" t="n">
        <x:f>AQ127</x:f>
        <x:v>2671.5552629166887</x:v>
      </x:c>
      <x:c r="C1350" t="n">
        <x:f>AS127</x:f>
        <x:v>310.74079426450356</x:v>
      </x:c>
      <x:c r="D1350" t="n">
        <x:f>AU127</x:f>
        <x:v>372.99975846273446</x:v>
      </x:c>
      <x:c r="E1350" t="n">
        <x:f>AW127</x:f>
        <x:v>332.64252675411603</x:v>
      </x:c>
    </x:row>
    <x:row r="1351">
      <x:c r="A1351" t="n">
        <x:f>I128</x:f>
        <x:v>0.05</x:v>
      </x:c>
      <x:c r="B1351" t="n">
        <x:f>AQ128</x:f>
        <x:v>2671.6426309227986</x:v>
      </x:c>
      <x:c r="C1351" t="n">
        <x:f>AS128</x:f>
        <x:v>320.44458185581664</x:v>
      </x:c>
      <x:c r="D1351" t="n">
        <x:f>AU128</x:f>
        <x:v>403.35525783550514</x:v>
      </x:c>
      <x:c r="E1351" t="n">
        <x:f>AW128</x:f>
        <x:v>365.43560445237125</x:v>
      </x:c>
    </x:row>
    <x:row r="1352">
      <x:c r="A1352" t="n">
        <x:f>I129</x:f>
        <x:v>0.058</x:v>
      </x:c>
      <x:c r="B1352" t="n">
        <x:f>AQ129</x:f>
        <x:v>2671.5287542409565</x:v>
      </x:c>
      <x:c r="C1352" t="n">
        <x:f>AS129</x:f>
        <x:v>331.6458641659622</x:v>
      </x:c>
      <x:c r="D1352" t="n">
        <x:f>AU129</x:f>
        <x:v>437.3422960859125</x:v>
      </x:c>
      <x:c r="E1352" t="n">
        <x:f>AW129</x:f>
        <x:v>401.37349365440116</x:v>
      </x:c>
    </x:row>
    <x:row r="1353">
      <x:c r="A1353" t="n">
        <x:f>I130</x:f>
        <x:v>0.067</x:v>
      </x:c>
      <x:c r="B1353" t="n">
        <x:f>AQ130</x:f>
        <x:v>2671.7164768981124</x:v>
      </x:c>
      <x:c r="C1353" t="n">
        <x:f>AS130</x:f>
        <x:v>346.1259254691169</x:v>
      </x:c>
      <x:c r="D1353" t="n">
        <x:f>AU130</x:f>
        <x:v>477.3110002130046</x:v>
      </x:c>
      <x:c r="E1353" t="n">
        <x:f>AW130</x:f>
        <x:v>443.33938132861306</x:v>
      </x:c>
    </x:row>
    <x:row r="1354">
      <x:c r="A1354" t="n">
        <x:f>I131</x:f>
        <x:v>0.075</x:v>
      </x:c>
      <x:c r="B1354" t="n">
        <x:f>AQ131</x:f>
        <x:v>2671.6321310975477</x:v>
      </x:c>
      <x:c r="C1354" t="n">
        <x:f>AS131</x:f>
        <x:v>360.2018669174499</x:v>
      </x:c>
      <x:c r="D1354" t="n">
        <x:f>AU131</x:f>
        <x:v>514.7823373735504</x:v>
      </x:c>
      <x:c r="E1354" t="n">
        <x:f>AW131</x:f>
        <x:v>482.26431149858644</x:v>
      </x:c>
    </x:row>
    <x:row r="1355">
      <x:c r="A1355" t="n">
        <x:f>I132</x:f>
        <x:v>0.083</x:v>
      </x:c>
      <x:c r="B1355" t="n">
        <x:f>AQ132</x:f>
        <x:v>2671.7859679590338</x:v>
      </x:c>
      <x:c r="C1355" t="n">
        <x:f>AS132</x:f>
        <x:v>374.979174132014</x:v>
      </x:c>
      <x:c r="D1355" t="n">
        <x:f>AU132</x:f>
        <x:v>553.9006055367959</x:v>
      </x:c>
      <x:c r="E1355" t="n">
        <x:f>AW132</x:f>
        <x:v>522.5382572248163</x:v>
      </x:c>
    </x:row>
    <x:row r="1356">
      <x:c r="A1356" t="n">
        <x:f>I133</x:f>
        <x:v>0.092</x:v>
      </x:c>
      <x:c r="B1356" t="n">
        <x:f>AQ133</x:f>
        <x:v>2672.0025883219796</x:v>
      </x:c>
      <x:c r="C1356" t="n">
        <x:f>AS133</x:f>
        <x:v>392.2776829264379</x:v>
      </x:c>
      <x:c r="D1356" t="n">
        <x:f>AU133</x:f>
        <x:v>598.7767662365345</x:v>
      </x:c>
      <x:c r="E1356" t="n">
        <x:f>AW133</x:f>
        <x:v>568.565823552878</x:v>
      </x:c>
    </x:row>
    <x:row r="1357">
      <x:c r="A1357" t="n">
        <x:f>I134</x:f>
        <x:v>0.1</x:v>
      </x:c>
      <x:c r="B1357" t="n">
        <x:f>AQ134</x:f>
        <x:v>2672.145907617792</x:v>
      </x:c>
      <x:c r="C1357" t="n">
        <x:f>AS134</x:f>
        <x:v>408.57024154816395</x:v>
      </x:c>
      <x:c r="D1357" t="n">
        <x:f>AU134</x:f>
        <x:v>640.0379285550378</x:v>
      </x:c>
      <x:c r="E1357" t="n">
        <x:f>AW134</x:f>
        <x:v>610.5916323677442</x:v>
      </x:c>
    </x:row>
    <x:row r="1358">
      <x:c r="A1358" t="n">
        <x:f>I135</x:f>
        <x:v>0.108</x:v>
      </x:c>
      <x:c r="B1358" t="n">
        <x:f>AQ135</x:f>
        <x:v>2672.262088376571</x:v>
      </x:c>
      <x:c r="C1358" t="n">
        <x:f>AS135</x:f>
        <x:v>425.93971816821346</x:v>
      </x:c>
      <x:c r="D1358" t="n">
        <x:f>AU135</x:f>
        <x:v>682.1647345655422</x:v>
      </x:c>
      <x:c r="E1358" t="n">
        <x:f>AW135</x:f>
        <x:v>653.3270706754272</x:v>
      </x:c>
    </x:row>
    <x:row r="1359">
      <x:c r="A1359" t="n">
        <x:f>I136</x:f>
        <x:v>0.117</x:v>
      </x:c>
      <x:c r="B1359" t="n">
        <x:f>AQ136</x:f>
        <x:v>2672.4787069540553</x:v>
      </x:c>
      <x:c r="C1359" t="n">
        <x:f>AS136</x:f>
        <x:v>446.3421213823275</x:v>
      </x:c>
      <x:c r="D1359" t="n">
        <x:f>AU136</x:f>
        <x:v>730.1679277696081</x:v>
      </x:c>
      <x:c r="E1359" t="n">
        <x:f>AW136</x:f>
        <x:v>701.9144007435814</x:v>
      </x:c>
    </x:row>
    <x:row r="1360">
      <x:c r="A1360" t="n">
        <x:f>I137</x:f>
        <x:v>0.125</x:v>
      </x:c>
      <x:c r="B1360" t="n">
        <x:f>AQ137</x:f>
        <x:v>2672.7084579796765</x:v>
      </x:c>
      <x:c r="C1360" t="n">
        <x:f>AS137</x:f>
        <x:v>464.7813525203341</x:v>
      </x:c>
      <x:c r="D1360" t="n">
        <x:f>AU137</x:f>
        <x:v>773.8737899853746</x:v>
      </x:c>
      <x:c r="E1360" t="n">
        <x:f>AW137</x:f>
        <x:v>745.9627344688287</x:v>
      </x:c>
    </x:row>
    <x:row r="1361">
      <x:c r="A1361" t="n">
        <x:f>I138</x:f>
        <x:v>0.133</x:v>
      </x:c>
      <x:c r="B1361" t="n">
        <x:f>AQ138</x:f>
        <x:v>2672.811129833762</x:v>
      </x:c>
      <x:c r="C1361" t="n">
        <x:f>AS138</x:f>
        <x:v>483.4361058635791</x:v>
      </x:c>
      <x:c r="D1361" t="n">
        <x:f>AU138</x:f>
        <x:v>818.2319444740547</x:v>
      </x:c>
      <x:c r="E1361" t="n">
        <x:f>AW138</x:f>
        <x:v>790.5661176236786</x:v>
      </x:c>
    </x:row>
    <x:row r="1362">
      <x:c r="A1362" t="n">
        <x:f>I139</x:f>
        <x:v>0.142</x:v>
      </x:c>
      <x:c r="B1362" t="n">
        <x:f>AQ139</x:f>
        <x:v>2673.0186412762982</x:v>
      </x:c>
      <x:c r="C1362" t="n">
        <x:f>AS139</x:f>
        <x:v>505.1728402834789</x:v>
      </x:c>
      <x:c r="D1362" t="n">
        <x:f>AU139</x:f>
        <x:v>868.33044410973</x:v>
      </x:c>
      <x:c r="E1362" t="n">
        <x:f>AW139</x:f>
        <x:v>840.9326078964309</x:v>
      </x:c>
    </x:row>
    <x:row r="1363">
      <x:c r="A1363" t="n">
        <x:f>I140</x:f>
        <x:v>0.15</x:v>
      </x:c>
      <x:c r="B1363" t="n">
        <x:f>AQ140</x:f>
        <x:v>2673.298433729452</x:v>
      </x:c>
      <x:c r="C1363" t="n">
        <x:f>AS140</x:f>
        <x:v>525.0301956551476</x:v>
      </x:c>
      <x:c r="D1363" t="n">
        <x:f>AU140</x:f>
        <x:v>914.0428007371116</x:v>
      </x:c>
      <x:c r="E1363" t="n">
        <x:f>AW140</x:f>
        <x:v>886.7103694425493</x:v>
      </x:c>
    </x:row>
    <x:row r="1364">
      <x:c r="A1364" t="n">
        <x:f>I141</x:f>
        <x:v>0.158</x:v>
      </x:c>
      <x:c r="B1364" t="n">
        <x:f>AQ141</x:f>
        <x:v>2673.5257336157</x:v>
      </x:c>
      <x:c r="C1364" t="n">
        <x:f>AS141</x:f>
        <x:v>545.294526979861</x:v>
      </x:c>
      <x:c r="D1364" t="n">
        <x:f>AU141</x:f>
        <x:v>959.7681106792701</x:v>
      </x:c>
      <x:c r="E1364" t="n">
        <x:f>AW141</x:f>
        <x:v>932.5288448805254</x:v>
      </x:c>
    </x:row>
    <x:row r="1365">
      <x:c r="A1365" t="n">
        <x:f>I142</x:f>
        <x:v>0.167</x:v>
      </x:c>
      <x:c r="B1365" t="n">
        <x:f>AQ142</x:f>
        <x:v>2673.882119678937</x:v>
      </x:c>
      <x:c r="C1365" t="n">
        <x:f>AS142</x:f>
        <x:v>568.6160000022179</x:v>
      </x:c>
      <x:c r="D1365" t="n">
        <x:f>AU142</x:f>
        <x:v>1011.9614443866486</x:v>
      </x:c>
      <x:c r="E1365" t="n">
        <x:f>AW142</x:f>
        <x:v>984.7447767945712</x:v>
      </x:c>
    </x:row>
    <x:row r="1366">
      <x:c r="A1366" t="n">
        <x:f>I143</x:f>
        <x:v>0.175</x:v>
      </x:c>
      <x:c r="B1366" t="n">
        <x:f>AQ143</x:f>
        <x:v>2674.108450593098</x:v>
      </x:c>
      <x:c r="C1366" t="n">
        <x:f>AS143</x:f>
        <x:v>589.5950730129001</x:v>
      </x:c>
      <x:c r="D1366" t="n">
        <x:f>AU143</x:f>
        <x:v>1059.1278356854446</x:v>
      </x:c>
      <x:c r="E1366" t="n">
        <x:f>AW143</x:f>
        <x:v>1031.851625789072</x:v>
      </x:c>
    </x:row>
    <x:row r="1367">
      <x:c r="A1367" t="n">
        <x:f>I144</x:f>
        <x:v>0.183</x:v>
      </x:c>
      <x:c r="B1367" t="n">
        <x:f>AQ144</x:f>
        <x:v>2674.284219824957</x:v>
      </x:c>
      <x:c r="C1367" t="n">
        <x:f>AS144</x:f>
        <x:v>610.6232752319127</x:v>
      </x:c>
      <x:c r="D1367" t="n">
        <x:f>AU144</x:f>
        <x:v>1106.2320111687281</x:v>
      </x:c>
      <x:c r="E1367" t="n">
        <x:f>AW144</x:f>
        <x:v>1078.9410179985136</x:v>
      </x:c>
    </x:row>
    <x:row r="1368">
      <x:c r="A1368" t="n">
        <x:f>I145</x:f>
        <x:v>0.192</x:v>
      </x:c>
      <x:c r="B1368" t="n">
        <x:f>AQ145</x:f>
        <x:v>2674.619771268388</x:v>
      </x:c>
      <x:c r="C1368" t="n">
        <x:f>AS145</x:f>
        <x:v>634.7142430382997</x:v>
      </x:c>
      <x:c r="D1368" t="n">
        <x:f>AU145</x:f>
        <x:v>1160.4295298230816</x:v>
      </x:c>
      <x:c r="E1368" t="n">
        <x:f>AW145</x:f>
        <x:v>1132.999036177561</x:v>
      </x:c>
    </x:row>
    <x:row r="1369">
      <x:c r="A1369" t="n">
        <x:f>I146</x:f>
        <x:v>0.2</x:v>
      </x:c>
      <x:c r="B1369" t="n">
        <x:f>AQ146</x:f>
        <x:v>2674.811288200135</x:v>
      </x:c>
      <x:c r="C1369" t="n">
        <x:f>AS146</x:f>
        <x:v>656.7596814523544</x:v>
      </x:c>
      <x:c r="D1369" t="n">
        <x:f>AU146</x:f>
        <x:v>1208.8255450611855</x:v>
      </x:c>
      <x:c r="E1369" t="n">
        <x:f>AW146</x:f>
        <x:v>1181.28521935239</x:v>
      </x:c>
    </x:row>
    <x:row r="1370">
      <x:c r="A1370" t="n">
        <x:f>I147</x:f>
        <x:v>0.208</x:v>
      </x:c>
      <x:c r="B1370" t="n">
        <x:f>AQ147</x:f>
        <x:v>2675.095778091706</x:v>
      </x:c>
      <x:c r="C1370" t="n">
        <x:f>AS147</x:f>
        <x:v>678.934378578411</x:v>
      </x:c>
      <x:c r="D1370" t="n">
        <x:f>AU147</x:f>
        <x:v>1257.6964388963677</x:v>
      </x:c>
      <x:c r="E1370" t="n">
        <x:f>AW147</x:f>
        <x:v>1230.026408396081</x:v>
      </x:c>
    </x:row>
    <x:row r="1371">
      <x:c r="A1371" t="n">
        <x:f>I148</x:f>
        <x:v>0.217</x:v>
      </x:c>
      <x:c r="B1371" t="n">
        <x:f>AQ148</x:f>
        <x:v>2675.2952657628025</x:v>
      </x:c>
      <x:c r="C1371" t="n">
        <x:f>AS148</x:f>
        <x:v>704.1449836362386</x:v>
      </x:c>
      <x:c r="D1371" t="n">
        <x:f>AU148</x:f>
        <x:v>1313.5384373341913</x:v>
      </x:c>
      <x:c r="E1371" t="n">
        <x:f>AW148</x:f>
        <x:v>1285.6689097446642</x:v>
      </x:c>
    </x:row>
    <x:row r="1372">
      <x:c r="A1372" t="n">
        <x:f>I149</x:f>
        <x:v>0.225</x:v>
      </x:c>
      <x:c r="B1372" t="n">
        <x:f>AQ149</x:f>
        <x:v>2675.586944487273</x:v>
      </x:c>
      <x:c r="C1372" t="n">
        <x:f>AS149</x:f>
        <x:v>726.6812853306784</x:v>
      </x:c>
      <x:c r="D1372" t="n">
        <x:f>AU149</x:f>
        <x:v>1363.4922501356443</x:v>
      </x:c>
      <x:c r="E1372" t="n">
        <x:f>AW149</x:f>
        <x:v>1335.4558137640058</x:v>
      </x:c>
    </x:row>
    <x:row r="1373">
      <x:c r="A1373" t="n">
        <x:f>I150</x:f>
        <x:v>0.233</x:v>
      </x:c>
      <x:c r="B1373" t="n">
        <x:f>AQ150</x:f>
        <x:v>2675.7284415974937</x:v>
      </x:c>
      <x:c r="C1373" t="n">
        <x:f>AS150</x:f>
        <x:v>749.5015119345261</x:v>
      </x:c>
      <x:c r="D1373" t="n">
        <x:f>AU150</x:f>
        <x:v>1413.8780595568705</x:v>
      </x:c>
      <x:c r="E1373" t="n">
        <x:f>AW150</x:f>
        <x:v>1385.6705698984597</x:v>
      </x:c>
    </x:row>
    <x:row r="1374">
      <x:c r="A1374" t="n">
        <x:f>I151</x:f>
        <x:v>0.242</x:v>
      </x:c>
      <x:c r="B1374" t="n">
        <x:f>AQ151</x:f>
        <x:v>2676.03978450837</x:v>
      </x:c>
      <x:c r="C1374" t="n">
        <x:f>AS151</x:f>
        <x:v>775.4018440048759</x:v>
      </x:c>
      <x:c r="D1374" t="n">
        <x:f>AU151</x:f>
        <x:v>1471.4549088802494</x:v>
      </x:c>
      <x:c r="E1374" t="n">
        <x:f>AW151</x:f>
        <x:v>1443.0143943069845</x:v>
      </x:c>
    </x:row>
    <x:row r="1375">
      <x:c r="A1375" t="n">
        <x:f>I152</x:f>
        <x:v>0.25</x:v>
      </x:c>
      <x:c r="B1375" t="n">
        <x:f>AQ152</x:f>
        <x:v>2676.4128817659403</x:v>
      </x:c>
      <x:c r="C1375" t="n">
        <x:f>AS152</x:f>
        <x:v>798.9128126847422</x:v>
      </x:c>
      <x:c r="D1375" t="n">
        <x:f>AU152</x:f>
        <x:v>1522.8148844349405</x:v>
      </x:c>
      <x:c r="E1375" t="n">
        <x:f>AW152</x:f>
        <x:v>1494.197489623103</x:v>
      </x:c>
    </x:row>
    <x:row r="1376">
      <x:c r="A1376" t="n">
        <x:f>I153</x:f>
        <x:v>0.258</x:v>
      </x:c>
      <x:c r="B1376" t="n">
        <x:f>AQ153</x:f>
        <x:v>2676.700779028285</x:v>
      </x:c>
      <x:c r="C1376" t="n">
        <x:f>AS153</x:f>
        <x:v>822.691392020902</x:v>
      </x:c>
      <x:c r="D1376" t="n">
        <x:f>AU153</x:f>
        <x:v>1574.8772268654202</x:v>
      </x:c>
      <x:c r="E1376" t="n">
        <x:f>AW153</x:f>
        <x:v>1546.060002257067</x:v>
      </x:c>
    </x:row>
    <x:row r="1377">
      <x:c r="A1377" t="n">
        <x:f>I154</x:f>
        <x:v>0.267</x:v>
      </x:c>
      <x:c r="B1377" t="n">
        <x:f>AQ154</x:f>
        <x:v>2676.955320476383</x:v>
      </x:c>
      <x:c r="C1377" t="n">
        <x:f>AS154</x:f>
        <x:v>849.2996394600398</x:v>
      </x:c>
      <x:c r="D1377" t="n">
        <x:f>AU154</x:f>
        <x:v>1634.2100712797871</x:v>
      </x:c>
      <x:c r="E1377" t="n">
        <x:f>AW154</x:f>
        <x:v>1605.1533049308696</x:v>
      </x:c>
    </x:row>
    <x:row r="1378">
      <x:c r="A1378" t="n">
        <x:f>I155</x:f>
        <x:v>0.275</x:v>
      </x:c>
      <x:c r="B1378" t="n">
        <x:f>AQ155</x:f>
        <x:v>2677.210266088246</x:v>
      </x:c>
      <x:c r="C1378" t="n">
        <x:f>AS155</x:f>
        <x:v>873.1094978635793</x:v>
      </x:c>
      <x:c r="D1378" t="n">
        <x:f>AU155</x:f>
        <x:v>1686.9799883696526</x:v>
      </x:c>
      <x:c r="E1378" t="n">
        <x:f>AW155</x:f>
        <x:v>1657.7559651879415</x:v>
      </x:c>
    </x:row>
    <x:row r="1379">
      <x:c r="A1379" t="n">
        <x:f>I156</x:f>
        <x:v>0.283</x:v>
      </x:c>
      <x:c r="B1379" t="n">
        <x:f>AQ156</x:f>
        <x:v>2677.539889282522</x:v>
      </x:c>
      <x:c r="C1379" t="n">
        <x:f>AS156</x:f>
        <x:v>897.2665212613587</x:v>
      </x:c>
      <x:c r="D1379" t="n">
        <x:f>AU156</x:f>
        <x:v>1740.9784489069013</x:v>
      </x:c>
      <x:c r="E1379" t="n">
        <x:f>AW156</x:f>
        <x:v>1711.5292151987658</x:v>
      </x:c>
    </x:row>
    <x:row r="1380">
      <x:c r="A1380" t="n">
        <x:f>I157</x:f>
        <x:v>0.292</x:v>
      </x:c>
      <x:c r="B1380" t="n">
        <x:f>AQ157</x:f>
        <x:v>2677.7716485761302</x:v>
      </x:c>
      <x:c r="C1380" t="n">
        <x:f>AS157</x:f>
        <x:v>924.8641481909997</x:v>
      </x:c>
      <x:c r="D1380" t="n">
        <x:f>AU157</x:f>
        <x:v>1801.873071650149</x:v>
      </x:c>
      <x:c r="E1380" t="n">
        <x:f>AW157</x:f>
        <x:v>1772.2146466917202</x:v>
      </x:c>
    </x:row>
    <x:row r="1381">
      <x:c r="A1381" t="n">
        <x:f>I158</x:f>
        <x:v>0.3</x:v>
      </x:c>
      <x:c r="B1381" t="n">
        <x:f>AQ158</x:f>
        <x:v>2678.0591123143704</x:v>
      </x:c>
      <x:c r="C1381" t="n">
        <x:f>AS158</x:f>
        <x:v>949.6945154062549</x:v>
      </x:c>
      <x:c r="D1381" t="n">
        <x:f>AU158</x:f>
        <x:v>1856.7086148968674</x:v>
      </x:c>
      <x:c r="E1381" t="n">
        <x:f>AW158</x:f>
        <x:v>1826.858082720953</x:v>
      </x:c>
    </x:row>
    <x:row r="1382">
      <x:c r="A1382" t="n">
        <x:f>I159</x:f>
        <x:v>0.308</x:v>
      </x:c>
      <x:c r="B1382" t="n">
        <x:f>AQ159</x:f>
        <x:v>2678.324896242484</x:v>
      </x:c>
      <x:c r="C1382" t="n">
        <x:f>AS159</x:f>
        <x:v>974.4855341929169</x:v>
      </x:c>
      <x:c r="D1382" t="n">
        <x:f>AU159</x:f>
        <x:v>1912.259873742373</x:v>
      </x:c>
      <x:c r="E1382" t="n">
        <x:f>AW159</x:f>
        <x:v>1882.210761089762</x:v>
      </x:c>
    </x:row>
    <x:row r="1383">
      <x:c r="A1383" t="n">
        <x:f>I160</x:f>
        <x:v>0.317</x:v>
      </x:c>
      <x:c r="B1383" t="n">
        <x:f>AQ160</x:f>
        <x:v>2678.760343194256</x:v>
      </x:c>
      <x:c r="C1383" t="n">
        <x:f>AS160</x:f>
        <x:v>1002.4378207984545</x:v>
      </x:c>
      <x:c r="D1383" t="n">
        <x:f>AU160</x:f>
        <x:v>1975.1014147397316</x:v>
      </x:c>
      <x:c r="E1383" t="n">
        <x:f>AW160</x:f>
        <x:v>1944.858837742305</x:v>
      </x:c>
    </x:row>
    <x:row r="1384">
      <x:c r="A1384" t="n">
        <x:f>I161</x:f>
        <x:v>0.325</x:v>
      </x:c>
      <x:c r="B1384" t="n">
        <x:f>AQ161</x:f>
        <x:v>2678.934012540692</x:v>
      </x:c>
      <x:c r="C1384" t="n">
        <x:f>AS161</x:f>
        <x:v>1027.5870587413654</x:v>
      </x:c>
      <x:c r="D1384" t="n">
        <x:f>AU161</x:f>
        <x:v>2031.7985558053063</x:v>
      </x:c>
      <x:c r="E1384" t="n">
        <x:f>AW161</x:f>
        <x:v>2001.3754442363258</x:v>
      </x:c>
    </x:row>
    <x:row r="1385">
      <x:c r="A1385" t="n">
        <x:f>I162</x:f>
        <x:v>0.333</x:v>
      </x:c>
      <x:c r="B1385" t="n">
        <x:f>AQ162</x:f>
        <x:v>2679.273151773947</x:v>
      </x:c>
      <x:c r="C1385" t="n">
        <x:f>AS162</x:f>
        <x:v>1053.0619961686768</x:v>
      </x:c>
      <x:c r="D1385" t="n">
        <x:f>AU162</x:f>
        <x:v>2089.0735031949753</x:v>
      </x:c>
      <x:c r="E1385" t="n">
        <x:f>AW162</x:f>
        <x:v>2058.477922917945</x:v>
      </x:c>
    </x:row>
    <x:row r="1386">
      <x:c r="A1386" t="n">
        <x:f>I163</x:f>
        <x:v>0.342</x:v>
      </x:c>
      <x:c r="B1386" t="n">
        <x:f>AQ163</x:f>
        <x:v>2679.6384849074366</x:v>
      </x:c>
      <x:c r="C1386" t="n">
        <x:f>AS163</x:f>
        <x:v>1082.1146416403806</x:v>
      </x:c>
      <x:c r="D1386" t="n">
        <x:f>AU163</x:f>
        <x:v>2153.951648074589</x:v>
      </x:c>
      <x:c r="E1386" t="n">
        <x:f>AW163</x:f>
        <x:v>2123.187380831997</x:v>
      </x:c>
    </x:row>
    <x:row r="1387">
      <x:c r="A1387" t="n">
        <x:f>I164</x:f>
        <x:v>0.35</x:v>
      </x:c>
      <x:c r="B1387" t="n">
        <x:f>AQ164</x:f>
        <x:v>2679.9865256495527</x:v>
      </x:c>
      <x:c r="C1387" t="n">
        <x:f>AS164</x:f>
        <x:v>1108.021307304762</x:v>
      </x:c>
      <x:c r="D1387" t="n">
        <x:f>AU164</x:f>
        <x:v>2212.4908066079583</x:v>
      </x:c>
      <x:c r="E1387" t="n">
        <x:f>AW164</x:f>
        <x:v>2181.5719636316157</x:v>
      </x:c>
    </x:row>
    <x:row r="1388">
      <x:c r="A1388" t="n">
        <x:f>I165</x:f>
        <x:v>0.358</x:v>
      </x:c>
      <x:c r="B1388" t="n">
        <x:f>AQ165</x:f>
        <x:v>2680.3628439768113</x:v>
      </x:c>
      <x:c r="C1388" t="n">
        <x:f>AS165</x:f>
        <x:v>1133.8978649739838</x:v>
      </x:c>
      <x:c r="D1388" t="n">
        <x:f>AU165</x:f>
        <x:v>2271.6279066061034</x:v>
      </x:c>
      <x:c r="E1388" t="n">
        <x:f>AW165</x:f>
        <x:v>2240.564610948291</x:v>
      </x:c>
    </x:row>
    <x:row r="1389">
      <x:c r="A1389" t="n">
        <x:f>I166</x:f>
        <x:v>0.367</x:v>
      </x:c>
      <x:c r="B1389" t="n">
        <x:f>AQ166</x:f>
        <x:v>2680.656874477047</x:v>
      </x:c>
      <x:c r="C1389" t="n">
        <x:f>AS166</x:f>
        <x:v>1163.204522336932</x:v>
      </x:c>
      <x:c r="D1389" t="n">
        <x:f>AU166</x:f>
        <x:v>2338.4592438207114</x:v>
      </x:c>
      <x:c r="E1389" t="n">
        <x:f>AW166</x:f>
        <x:v>2307.2674673048655</x:v>
      </x:c>
    </x:row>
    <x:row r="1390">
      <x:c r="A1390" t="n">
        <x:f>I167</x:f>
        <x:v>0.375</x:v>
      </x:c>
      <x:c r="B1390" t="n">
        <x:f>AQ167</x:f>
        <x:v>2681.141038946116</x:v>
      </x:c>
      <x:c r="C1390" t="n">
        <x:f>AS167</x:f>
        <x:v>1189.7387412010428</x:v>
      </x:c>
      <x:c r="D1390" t="n">
        <x:f>AU167</x:f>
        <x:v>2399.2316666520933</x:v>
      </x:c>
      <x:c r="E1390" t="n">
        <x:f>AW167</x:f>
        <x:v>2367.9009230173983</x:v>
      </x:c>
    </x:row>
    <x:row r="1391">
      <x:c r="A1391" t="n">
        <x:f>I168</x:f>
        <x:v>0.383</x:v>
      </x:c>
      <x:c r="B1391" t="n">
        <x:f>AQ168</x:f>
        <x:v>2681.4410343801505</x:v>
      </x:c>
      <x:c r="C1391" t="n">
        <x:f>AS168</x:f>
        <x:v>1216.6467476359378</x:v>
      </x:c>
      <x:c r="D1391" t="n">
        <x:f>AU168</x:f>
        <x:v>2460.0404173793613</x:v>
      </x:c>
      <x:c r="E1391" t="n">
        <x:f>AW168</x:f>
        <x:v>2428.610657778259</x:v>
      </x:c>
    </x:row>
    <x:row r="1392">
      <x:c r="A1392" t="n">
        <x:f>I169</x:f>
        <x:v>0.392</x:v>
      </x:c>
      <x:c r="B1392" t="n">
        <x:f>AQ169</x:f>
        <x:v>2681.9939788953425</x:v>
      </x:c>
      <x:c r="C1392" t="n">
        <x:f>AS169</x:f>
        <x:v>1246.8959337465285</x:v>
      </x:c>
      <x:c r="D1392" t="n">
        <x:f>AU169</x:f>
        <x:v>2529.4862966892415</x:v>
      </x:c>
      <x:c r="E1392" t="n">
        <x:f>AW169</x:f>
        <x:v>2497.9453758114487</x:v>
      </x:c>
    </x:row>
    <x:row r="1393">
      <x:c r="A1393" t="n">
        <x:f>I170</x:f>
        <x:v>0.4</x:v>
      </x:c>
      <x:c r="B1393" t="n">
        <x:f>AQ170</x:f>
        <x:v>2682.3919407186913</x:v>
      </x:c>
      <x:c r="C1393" t="n">
        <x:f>AS170</x:f>
        <x:v>1273.942666327713</x:v>
      </x:c>
      <x:c r="D1393" t="n">
        <x:f>AU170</x:f>
        <x:v>2592.146348508657</x:v>
      </x:c>
      <x:c r="E1393" t="n">
        <x:f>AW170</x:f>
        <x:v>2560.508645682442</x:v>
      </x:c>
    </x:row>
    <x:row r="1394">
      <x:c r="A1394" t="n">
        <x:f>I171</x:f>
        <x:v>0.408</x:v>
      </x:c>
      <x:c r="B1394" t="n">
        <x:f>AQ171</x:f>
        <x:v>2682.915880658896</x:v>
      </x:c>
      <x:c r="C1394" t="n">
        <x:f>AS171</x:f>
        <x:v>1301.2535415684738</x:v>
      </x:c>
      <x:c r="D1394" t="n">
        <x:f>AU171</x:f>
        <x:v>2654.889210932727</x:v>
      </x:c>
      <x:c r="E1394" t="n">
        <x:f>AW171</x:f>
        <x:v>2623.190626267785</x:v>
      </x:c>
    </x:row>
    <x:row r="1395">
      <x:c r="A1395" t="n">
        <x:f>I172</x:f>
        <x:v>0.417</x:v>
      </x:c>
      <x:c r="B1395" t="n">
        <x:f>AQ172</x:f>
        <x:v>2683.4438459390726</x:v>
      </x:c>
      <x:c r="C1395" t="n">
        <x:f>AS172</x:f>
        <x:v>1332.2058701793264</x:v>
      </x:c>
      <x:c r="D1395" t="n">
        <x:f>AU172</x:f>
        <x:v>2726.825506113058</x:v>
      </x:c>
      <x:c r="E1395" t="n">
        <x:f>AW172</x:f>
        <x:v>2695.0500562784723</x:v>
      </x:c>
    </x:row>
    <x:row r="1396">
      <x:c r="A1396" t="n">
        <x:f>I173</x:f>
        <x:v>0.425</x:v>
      </x:c>
      <x:c r="B1396" t="n">
        <x:f>AQ173</x:f>
        <x:v>2684.0530894635986</x:v>
      </x:c>
      <x:c r="C1396" t="n">
        <x:f>AS173</x:f>
        <x:v>1359.9452187192626</x:v>
      </x:c>
      <x:c r="D1396" t="n">
        <x:f>AU173</x:f>
        <x:v>2791.225314975836</x:v>
      </x:c>
      <x:c r="E1396" t="n">
        <x:f>AW173</x:f>
        <x:v>2759.4047365661204</x:v>
      </x:c>
    </x:row>
    <x:row r="1397">
      <x:c r="A1397" t="n">
        <x:f>I174</x:f>
        <x:v>0.433</x:v>
      </x:c>
      <x:c r="B1397" t="n">
        <x:f>AQ174</x:f>
        <x:v>2684.4264672966287</x:v>
      </x:c>
      <x:c r="C1397" t="n">
        <x:f>AS174</x:f>
        <x:v>1388.0981650857836</x:v>
      </x:c>
      <x:c r="D1397" t="n">
        <x:f>AU174</x:f>
        <x:v>2856.226033694012</x:v>
      </x:c>
      <x:c r="E1397" t="n">
        <x:f>AW174</x:f>
        <x:v>2824.3753796888404</x:v>
      </x:c>
    </x:row>
    <x:row r="1398">
      <x:c r="A1398" t="n">
        <x:f>I175</x:f>
        <x:v>0.442</x:v>
      </x:c>
      <x:c r="B1398" t="n">
        <x:f>AQ175</x:f>
        <x:v>2685.202148008529</x:v>
      </x:c>
      <x:c r="C1398" t="n">
        <x:f>AS175</x:f>
        <x:v>1419.9573139350396</x:v>
      </x:c>
      <x:c r="D1398" t="n">
        <x:f>AU175</x:f>
        <x:v>2930.4635049360554</x:v>
      </x:c>
      <x:c r="E1398" t="n">
        <x:f>AW175</x:f>
        <x:v>2898.5839038762006</x:v>
      </x:c>
    </x:row>
    <x:row r="1399">
      <x:c r="A1399" t="n">
        <x:f>I176</x:f>
        <x:v>0.45</x:v>
      </x:c>
      <x:c r="B1399" t="n">
        <x:f>AQ176</x:f>
        <x:v>2685.7460339181407</x:v>
      </x:c>
      <x:c r="C1399" t="n">
        <x:f>AS176</x:f>
        <x:v>1448.233731510371</x:v>
      </x:c>
      <x:c r="D1399" t="n">
        <x:f>AU176</x:f>
        <x:v>2997.0388676298153</x:v>
      </x:c>
      <x:c r="E1399" t="n">
        <x:f>AW176</x:f>
        <x:v>2965.1524552312057</x:v>
      </x:c>
    </x:row>
    <x:row r="1400">
      <x:c r="A1400" t="n">
        <x:f>I177</x:f>
        <x:v>0.458</x:v>
      </x:c>
      <x:c r="B1400" t="n">
        <x:f>AQ177</x:f>
        <x:v>2686.2420281089157</x:v>
      </x:c>
      <x:c r="C1400" t="n">
        <x:f>AS177</x:f>
        <x:v>1476.6661603886478</x:v>
      </x:c>
      <x:c r="D1400" t="n">
        <x:f>AU177</x:f>
        <x:v>3064.1595178111925</x:v>
      </x:c>
      <x:c r="E1400" t="n">
        <x:f>AW177</x:f>
        <x:v>3032.284073090573</x:v>
      </x:c>
    </x:row>
    <x:row r="1401">
      <x:c r="A1401" t="n">
        <x:f>I178</x:f>
        <x:v>0.467</x:v>
      </x:c>
      <x:c r="B1401" t="n">
        <x:f>AQ178</x:f>
        <x:v>2686.848274404113</x:v>
      </x:c>
      <x:c r="C1401" t="n">
        <x:f>AS178</x:f>
        <x:v>1509.2529786221405</x:v>
      </x:c>
      <x:c r="D1401" t="n">
        <x:f>AU178</x:f>
        <x:v>3141.0226701663896</x:v>
      </x:c>
      <x:c r="E1401" t="n">
        <x:f>AW178</x:f>
        <x:v>3109.1598983076765</x:v>
      </x:c>
    </x:row>
    <x:row r="1402">
      <x:c r="A1402" t="n">
        <x:f>I179</x:f>
        <x:v>0.475</x:v>
      </x:c>
      <x:c r="B1402" t="n">
        <x:f>AQ179</x:f>
        <x:v>2687.4641738490877</x:v>
      </x:c>
      <x:c r="C1402" t="n">
        <x:f>AS179</x:f>
        <x:v>1538.4831289843698</x:v>
      </x:c>
      <x:c r="D1402" t="n">
        <x:f>AU179</x:f>
        <x:v>3209.636377410934</x:v>
      </x:c>
      <x:c r="E1402" t="n">
        <x:f>AW179</x:f>
        <x:v>3177.812951422256</x:v>
      </x:c>
    </x:row>
    <x:row r="1403">
      <x:c r="A1403" t="n">
        <x:f>I180</x:f>
        <x:v>0.483</x:v>
      </x:c>
      <x:c r="B1403" t="n">
        <x:f>AQ180</x:f>
        <x:v>2688.187625072262</x:v>
      </x:c>
      <x:c r="C1403" t="n">
        <x:f>AS180</x:f>
        <x:v>1567.9590204754618</x:v>
      </x:c>
      <x:c r="D1403" t="n">
        <x:f>AU180</x:f>
        <x:v>3279.232942558983</x:v>
      </x:c>
      <x:c r="E1403" t="n">
        <x:f>AW180</x:f>
        <x:v>3247.4547932261544</x:v>
      </x:c>
    </x:row>
    <x:row r="1404">
      <x:c r="A1404" t="n">
        <x:f>I181</x:f>
        <x:v>0.492</x:v>
      </x:c>
      <x:c r="B1404" t="n">
        <x:f>AQ181</x:f>
        <x:v>2688.722217643149</x:v>
      </x:c>
      <x:c r="C1404" t="n">
        <x:f>AS181</x:f>
        <x:v>1601.1205159498156</x:v>
      </x:c>
      <x:c r="D1404" t="n">
        <x:f>AU181</x:f>
        <x:v>3358.596047655168</x:v>
      </x:c>
      <x:c r="E1404" t="n">
        <x:f>AW181</x:f>
        <x:v>3326.8801699923215</x:v>
      </x:c>
    </x:row>
    <x:row r="1405">
      <x:c r="A1405" t="n">
        <x:f>I182</x:f>
        <x:v>0.5</x:v>
      </x:c>
      <x:c r="B1405" t="n">
        <x:f>AQ182</x:f>
        <x:v>2689.3696122533497</x:v>
      </x:c>
      <x:c r="C1405" t="n">
        <x:f>AS182</x:f>
        <x:v>1630.7637614719622</x:v>
      </x:c>
      <x:c r="D1405" t="n">
        <x:f>AU182</x:f>
        <x:v>3429.3588510465356</x:v>
      </x:c>
      <x:c r="E1405" t="n">
        <x:f>AW182</x:f>
        <x:v>3397.727225112334</x:v>
      </x:c>
    </x:row>
    <x:row r="1406">
      <x:c r="A1406" t="n">
        <x:f>I183</x:f>
        <x:v>0.508</x:v>
      </x:c>
      <x:c r="B1406" t="n">
        <x:f>AQ183</x:f>
        <x:v>2689.9524090049945</x:v>
      </x:c>
      <x:c r="C1406" t="n">
        <x:f>AS183</x:f>
        <x:v>1660.6990177446987</x:v>
      </x:c>
      <x:c r="D1406" t="n">
        <x:f>AU183</x:f>
        <x:v>3501.549494764668</x:v>
      </x:c>
      <x:c r="E1406" t="n">
        <x:f>AW183</x:f>
        <x:v>3469.9989806158574</x:v>
      </x:c>
    </x:row>
    <x:row r="1407">
      <x:c r="A1407" t="n">
        <x:f>I184</x:f>
        <x:v>0.517</x:v>
      </x:c>
      <x:c r="B1407" t="n">
        <x:f>AQ184</x:f>
        <x:v>2690.5667082175996</x:v>
      </x:c>
      <x:c r="C1407" t="n">
        <x:f>AS184</x:f>
        <x:v>1694.822586614646</x:v>
      </x:c>
      <x:c r="D1407" t="n">
        <x:f>AU184</x:f>
        <x:v>3583.0738605817146</x:v>
      </x:c>
      <x:c r="E1407" t="n">
        <x:f>AW184</x:f>
        <x:v>3551.645051083141</x:v>
      </x:c>
    </x:row>
    <x:row r="1408">
      <x:c r="A1408" t="n">
        <x:f>I185</x:f>
        <x:v>0.525</x:v>
      </x:c>
      <x:c r="B1408" t="n">
        <x:f>AQ185</x:f>
        <x:v>2691.286112934711</x:v>
      </x:c>
      <x:c r="C1408" t="n">
        <x:f>AS185</x:f>
        <x:v>1725.5482605386435</x:v>
      </x:c>
      <x:c r="D1408" t="n">
        <x:f>AU185</x:f>
        <x:v>3656.4070068229435</x:v>
      </x:c>
      <x:c r="E1408" t="n">
        <x:f>AW185</x:f>
        <x:v>3625.099344864144</x:v>
      </x:c>
    </x:row>
    <x:row r="1409">
      <x:c r="A1409" t="n">
        <x:f>I186</x:f>
        <x:v>0.533</x:v>
      </x:c>
      <x:c r="B1409" t="n">
        <x:f>AQ186</x:f>
        <x:v>2691.7084514155754</x:v>
      </x:c>
      <x:c r="C1409" t="n">
        <x:f>AS186</x:f>
        <x:v>1756.3205691070345</x:v>
      </x:c>
      <x:c r="D1409" t="n">
        <x:f>AU186</x:f>
        <x:v>3730.743436868081</x:v>
      </x:c>
      <x:c r="E1409" t="n">
        <x:f>AW186</x:f>
        <x:v>3699.56563439895</x:v>
      </x:c>
    </x:row>
    <x:row r="1410">
      <x:c r="A1410" t="n">
        <x:f>I187</x:f>
        <x:v>0.542</x:v>
      </x:c>
      <x:c r="B1410" t="n">
        <x:f>AQ187</x:f>
        <x:v>2692.3320799684448</x:v>
      </x:c>
      <x:c r="C1410" t="n">
        <x:f>AS187</x:f>
        <x:v>1790.9188228799637</x:v>
      </x:c>
      <x:c r="D1410" t="n">
        <x:f>AU187</x:f>
        <x:v>3814.9219703228828</x:v>
      </x:c>
      <x:c r="E1410" t="n">
        <x:f>AW187</x:f>
        <x:v>3783.9144030090297</x:v>
      </x:c>
    </x:row>
    <x:row r="1411">
      <x:c r="A1411" t="n">
        <x:f>I188</x:f>
        <x:v>0.55</x:v>
      </x:c>
      <x:c r="B1411" t="n">
        <x:f>AQ188</x:f>
        <x:v>2692.9418963583466</x:v>
      </x:c>
      <x:c r="C1411" t="n">
        <x:f>AS188</x:f>
        <x:v>1821.953328576106</x:v>
      </x:c>
      <x:c r="D1411" t="n">
        <x:f>AU188</x:f>
        <x:v>3890.7671657116257</x:v>
      </x:c>
      <x:c r="E1411" t="n">
        <x:f>AW188</x:f>
        <x:v>3859.9216859248836</x:v>
      </x:c>
    </x:row>
    <x:row r="1412">
      <x:c r="A1412" t="n">
        <x:f>I189</x:f>
        <x:v>0.558</x:v>
      </x:c>
      <x:c r="B1412" t="n">
        <x:f>AQ189</x:f>
        <x:v>2693.5471794573295</x:v>
      </x:c>
      <x:c r="C1412" t="n">
        <x:f>AS189</x:f>
        <x:v>1853.59624895787</x:v>
      </x:c>
      <x:c r="D1412" t="n">
        <x:f>AU189</x:f>
        <x:v>3967.480748745818</x:v>
      </x:c>
      <x:c r="E1412" t="n">
        <x:f>AW189</x:f>
        <x:v>3936.8097483681768</x:v>
      </x:c>
    </x:row>
    <x:row r="1413">
      <x:c r="A1413" t="n">
        <x:f>I190</x:f>
        <x:v>0.567</x:v>
      </x:c>
      <x:c r="B1413" t="n">
        <x:f>AQ190</x:f>
        <x:v>2694.1066115218923</x:v>
      </x:c>
      <x:c r="C1413" t="n">
        <x:f>AS190</x:f>
        <x:v>1889.5699053140243</x:v>
      </x:c>
      <x:c r="D1413" t="n">
        <x:f>AU190</x:f>
        <x:v>4054.3706512176195</x:v>
      </x:c>
      <x:c r="E1413" t="n">
        <x:f>AW190</x:f>
        <x:v>4023.918873075728</x:v>
      </x:c>
    </x:row>
    <x:row r="1414">
      <x:c r="A1414" t="n">
        <x:f>I191</x:f>
        <x:v>0.575</x:v>
      </x:c>
      <x:c r="B1414" t="n">
        <x:f>AQ191</x:f>
        <x:v>2694.58931326976</x:v>
      </x:c>
      <x:c r="C1414" t="n">
        <x:f>AS191</x:f>
        <x:v>1921.4798302362296</x:v>
      </x:c>
      <x:c r="D1414" t="n">
        <x:f>AU191</x:f>
        <x:v>4132.747732519659</x:v>
      </x:c>
      <x:c r="E1414" t="n">
        <x:f>AW191</x:f>
        <x:v>4102.500411292229</x:v>
      </x:c>
    </x:row>
    <x:row r="1415">
      <x:c r="A1415" t="n">
        <x:f>I192</x:f>
        <x:v>0.583</x:v>
      </x:c>
      <x:c r="B1415" t="n">
        <x:f>AQ192</x:f>
        <x:v>2695.227838941296</x:v>
      </x:c>
      <x:c r="C1415" t="n">
        <x:f>AS192</x:f>
        <x:v>1953.587948364663</x:v>
      </x:c>
      <x:c r="D1415" t="n">
        <x:f>AU192</x:f>
        <x:v>4211.941309035313</x:v>
      </x:c>
      <x:c r="E1415" t="n">
        <x:f>AW192</x:f>
        <x:v>4181.912259453965</x:v>
      </x:c>
    </x:row>
    <x:row r="1416">
      <x:c r="A1416" t="n">
        <x:f>I193</x:f>
        <x:v>0.592</x:v>
      </x:c>
      <x:c r="B1416" t="n">
        <x:f>AQ193</x:f>
        <x:v>2695.8930735840954</x:v>
      </x:c>
      <x:c r="C1416" t="n">
        <x:f>AS193</x:f>
        <x:v>1990.0401318933384</x:v>
      </x:c>
      <x:c r="D1416" t="n">
        <x:f>AU193</x:f>
        <x:v>4301.463511833895</x:v>
      </x:c>
      <x:c r="E1416" t="n">
        <x:f>AW193</x:f>
        <x:v>4271.704846882371</x:v>
      </x:c>
    </x:row>
    <x:row r="1417">
      <x:c r="A1417" t="n">
        <x:f>I194</x:f>
        <x:v>0.6</x:v>
      </x:c>
      <x:c r="B1417" t="n">
        <x:f>AQ194</x:f>
        <x:v>2696.4463864364902</x:v>
      </x:c>
      <x:c r="C1417" t="n">
        <x:f>AS194</x:f>
        <x:v>2022.880167968336</x:v>
      </x:c>
      <x:c r="D1417" t="n">
        <x:f>AU194</x:f>
        <x:v>4382.539155040683</x:v>
      </x:c>
      <x:c r="E1417" t="n">
        <x:f>AW194</x:f>
        <x:v>4353.025992120449</x:v>
      </x:c>
    </x:row>
    <x:row r="1418">
      <x:c r="A1418" t="n">
        <x:f>I195</x:f>
        <x:v>0.608</x:v>
      </x:c>
      <x:c r="B1418" t="n">
        <x:f>AQ195</x:f>
        <x:v>2696.984703352465</x:v>
      </x:c>
      <x:c r="C1418" t="n">
        <x:f>AS195</x:f>
        <x:v>2055.916701140966</x:v>
      </x:c>
      <x:c r="D1418" t="n">
        <x:f>AU195</x:f>
        <x:v>4463.734853187518</x:v>
      </x:c>
      <x:c r="E1418" t="n">
        <x:f>AW195</x:f>
        <x:v>4434.491021465697</x:v>
      </x:c>
    </x:row>
    <x:row r="1419">
      <x:c r="A1419" t="n">
        <x:f>I196</x:f>
        <x:v>0.617</x:v>
      </x:c>
      <x:c r="B1419" t="n">
        <x:f>AQ196</x:f>
        <x:v>2697.5027559631244</x:v>
      </x:c>
      <x:c r="C1419" t="n">
        <x:f>AS196</x:f>
        <x:v>2093.535999451723</x:v>
      </x:c>
      <x:c r="D1419" t="n">
        <x:f>AU196</x:f>
        <x:v>4556.388569519348</x:v>
      </x:c>
      <x:c r="E1419" t="n">
        <x:f>AW196</x:f>
        <x:v>4527.459520818479</x:v>
      </x:c>
    </x:row>
    <x:row r="1420">
      <x:c r="A1420" t="n">
        <x:f>I197</x:f>
        <x:v>0.625</x:v>
      </x:c>
      <x:c r="B1420" t="n">
        <x:f>AQ197</x:f>
        <x:v>2698.211716438776</x:v>
      </x:c>
      <x:c r="C1420" t="n">
        <x:f>AS197</x:f>
        <x:v>2127.089015227387</x:v>
      </x:c>
      <x:c r="D1420" t="n">
        <x:f>AU197</x:f>
        <x:v>4639.808507150277</x:v>
      </x:c>
      <x:c r="E1420" t="n">
        <x:f>AW197</x:f>
        <x:v>4611.171611868267</x:v>
      </x:c>
    </x:row>
    <x:row r="1421">
      <x:c r="A1421" t="n">
        <x:f>I198</x:f>
        <x:v>0.633</x:v>
      </x:c>
      <x:c r="B1421" t="n">
        <x:f>AQ198</x:f>
        <x:v>2698.7445748679534</x:v>
      </x:c>
      <x:c r="C1421" t="n">
        <x:f>AS198</x:f>
        <x:v>2160.681927524224</x:v>
      </x:c>
      <x:c r="D1421" t="n">
        <x:f>AU198</x:f>
        <x:v>4723.475434804295</x:v>
      </x:c>
      <x:c r="E1421" t="n">
        <x:f>AW198</x:f>
        <x:v>4695.15163279323</x:v>
      </x:c>
    </x:row>
    <x:row r="1422">
      <x:c r="A1422" t="n">
        <x:f>I199</x:f>
        <x:v>0.642</x:v>
      </x:c>
      <x:c r="B1422" t="n">
        <x:f>AQ199</x:f>
        <x:v>2699.550750181976</x:v>
      </x:c>
      <x:c r="C1422" t="n">
        <x:f>AS199</x:f>
        <x:v>2198.86700095953</x:v>
      </x:c>
      <x:c r="D1422" t="n">
        <x:f>AU199</x:f>
        <x:v>4819.254362723023</x:v>
      </x:c>
      <x:c r="E1422" t="n">
        <x:f>AW199</x:f>
        <x:v>4791.291285020115</x:v>
      </x:c>
    </x:row>
    <x:row r="1423">
      <x:c r="A1423" t="n">
        <x:f>I200</x:f>
        <x:v>0.65</x:v>
      </x:c>
      <x:c r="B1423" t="n">
        <x:f>AQ200</x:f>
        <x:v>2700.1000665260294</x:v>
      </x:c>
      <x:c r="C1423" t="n">
        <x:f>AS200</x:f>
        <x:v>2233.3796452003226</x:v>
      </x:c>
      <x:c r="D1423" t="n">
        <x:f>AU200</x:f>
        <x:v>4905.006260578229</x:v>
      </x:c>
      <x:c r="E1423" t="n">
        <x:f>AW200</x:f>
        <x:v>4877.381630844184</x:v>
      </x:c>
    </x:row>
    <x:row r="1424">
      <x:c r="A1424" t="n">
        <x:f>I201</x:f>
        <x:v>0.658</x:v>
      </x:c>
      <x:c r="B1424" t="n">
        <x:f>AQ201</x:f>
        <x:v>2700.798934050626</x:v>
      </x:c>
      <x:c r="C1424" t="n">
        <x:f>AS201</x:f>
        <x:v>2268.093572924754</x:v>
      </x:c>
      <x:c r="D1424" t="n">
        <x:f>AU201</x:f>
        <x:v>4991.48938144948</x:v>
      </x:c>
      <x:c r="E1424" t="n">
        <x:f>AW201</x:f>
        <x:v>4964.217996293782</x:v>
      </x:c>
    </x:row>
    <x:row r="1425">
      <x:c r="A1425" t="n">
        <x:f>I202</x:f>
        <x:v>0.667</x:v>
      </x:c>
      <x:c r="B1425" t="n">
        <x:f>AQ202</x:f>
        <x:v>2701.6135071673953</x:v>
      </x:c>
      <x:c r="C1425" t="n">
        <x:f>AS202</x:f>
        <x:v>2307.269279658743</x:v>
      </x:c>
      <x:c r="D1425" t="n">
        <x:f>AU202</x:f>
        <x:v>5090.147049793061</x:v>
      </x:c>
      <x:c r="E1425" t="n">
        <x:f>AW202</x:f>
        <x:v>5063.28575218447</x:v>
      </x:c>
    </x:row>
    <x:row r="1426">
      <x:c r="A1426" t="n">
        <x:f>I203</x:f>
        <x:v>0.675</x:v>
      </x:c>
      <x:c r="B1426" t="n">
        <x:f>AQ203</x:f>
        <x:v>2702.227556402274</x:v>
      </x:c>
      <x:c r="C1426" t="n">
        <x:f>AS203</x:f>
        <x:v>2342.397836711693</x:v>
      </x:c>
      <x:c r="D1426" t="n">
        <x:f>AU203</x:f>
        <x:v>5178.508279581122</x:v>
      </x:c>
      <x:c r="E1426" t="n">
        <x:f>AW203</x:f>
        <x:v>5152.028386800917</x:v>
      </x:c>
    </x:row>
    <x:row r="1427">
      <x:c r="A1427" t="n">
        <x:f>I204</x:f>
        <x:v>0.683</x:v>
      </x:c>
      <x:c r="B1427" t="n">
        <x:f>AQ204</x:f>
        <x:v>2702.9347012405674</x:v>
      </x:c>
      <x:c r="C1427" t="n">
        <x:f>AS204</x:f>
        <x:v>2377.586319197082</x:v>
      </x:c>
      <x:c r="D1427" t="n">
        <x:f>AU204</x:f>
        <x:v>5267.481291794921</x:v>
      </x:c>
      <x:c r="E1427" t="n">
        <x:f>AW204</x:f>
        <x:v>5241.398522516475</x:v>
      </x:c>
    </x:row>
    <x:row r="1428">
      <x:c r="A1428" t="n">
        <x:f>I205</x:f>
        <x:v>0.692</x:v>
      </x:c>
      <x:c r="B1428" t="n">
        <x:f>AQ205</x:f>
        <x:v>2703.810254870827</x:v>
      </x:c>
      <x:c r="C1428" t="n">
        <x:f>AS205</x:f>
        <x:v>2417.6598864735997</x:v>
      </x:c>
      <x:c r="D1428" t="n">
        <x:f>AU205</x:f>
        <x:v>5369.156120221762</x:v>
      </x:c>
      <x:c r="E1428" t="n">
        <x:f>AW205</x:f>
        <x:v>5343.531299949264</x:v>
      </x:c>
    </x:row>
    <x:row r="1429">
      <x:c r="A1429" t="n">
        <x:f>I206</x:f>
        <x:v>0.7</x:v>
      </x:c>
      <x:c r="B1429" t="n">
        <x:f>AQ206</x:f>
        <x:v>2704.614349908813</x:v>
      </x:c>
      <x:c r="C1429" t="n">
        <x:f>AS206</x:f>
        <x:v>2453.8264418630224</x:v>
      </x:c>
      <x:c r="D1429" t="n">
        <x:f>AU206</x:f>
        <x:v>5459.8605829957</x:v>
      </x:c>
      <x:c r="E1429" t="n">
        <x:f>AW206</x:f>
        <x:v>5434.662150530807</x:v>
      </x:c>
    </x:row>
    <x:row r="1430">
      <x:c r="A1430" t="n">
        <x:f>I207</x:f>
        <x:v>0.708</x:v>
      </x:c>
      <x:c r="B1430" t="n">
        <x:f>AQ207</x:f>
        <x:v>2705.349531148823</x:v>
      </x:c>
      <x:c r="C1430" t="n">
        <x:f>AS207</x:f>
        <x:v>2490.2166397829856</x:v>
      </x:c>
      <x:c r="D1430" t="n">
        <x:f>AU207</x:f>
        <x:v>5551.638851287593</x:v>
      </x:c>
      <x:c r="E1430" t="n">
        <x:f>AW207</x:f>
        <x:v>5526.87837903783</x:v>
      </x:c>
    </x:row>
    <x:row r="1431">
      <x:c r="A1431" t="n">
        <x:f>I208</x:f>
        <x:v>0.717</x:v>
      </x:c>
      <x:c r="B1431" t="n">
        <x:f>AQ208</x:f>
        <x:v>2706.4288747660044</x:v>
      </x:c>
      <x:c r="C1431" t="n">
        <x:f>AS208</x:f>
        <x:v>2531.154808755311</x:v>
      </x:c>
      <x:c r="D1431" t="n">
        <x:f>AU208</x:f>
        <x:v>5656.251189079561</x:v>
      </x:c>
      <x:c r="E1431" t="n">
        <x:f>AW208</x:f>
        <x:v>5631.996968936285</x:v>
      </x:c>
    </x:row>
    <x:row r="1432">
      <x:c r="A1432" t="n">
        <x:f>I209</x:f>
        <x:v>0.725</x:v>
      </x:c>
      <x:c r="B1432" t="n">
        <x:f>AQ209</x:f>
        <x:v>2707.1859976785427</x:v>
      </x:c>
      <x:c r="C1432" t="n">
        <x:f>AS209</x:f>
        <x:v>2567.7411755466196</x:v>
      </x:c>
      <x:c r="D1432" t="n">
        <x:f>AU209</x:f>
        <x:v>5749.3574043712215</x:v>
      </x:c>
      <x:c r="E1432" t="n">
        <x:f>AW209</x:f>
        <x:v>5725.5731708500725</x:v>
      </x:c>
    </x:row>
    <x:row r="1433">
      <x:c r="A1433" t="n">
        <x:f>I210</x:f>
        <x:v>0.733</x:v>
      </x:c>
      <x:c r="B1433" t="n">
        <x:f>AQ210</x:f>
        <x:v>2708.0535136916324</x:v>
      </x:c>
      <x:c r="C1433" t="n">
        <x:f>AS210</x:f>
        <x:v>2604.7028372749974</x:v>
      </x:c>
      <x:c r="D1433" t="n">
        <x:f>AU210</x:f>
        <x:v>5844.274620092532</x:v>
      </x:c>
      <x:c r="E1433" t="n">
        <x:f>AW210</x:f>
        <x:v>5820.9670434296495</x:v>
      </x:c>
    </x:row>
    <x:row r="1434">
      <x:c r="A1434" t="n">
        <x:f>I211</x:f>
        <x:v>0.742</x:v>
      </x:c>
      <x:c r="B1434" t="n">
        <x:f>AQ211</x:f>
        <x:v>2708.9759331232062</x:v>
      </x:c>
      <x:c r="C1434" t="n">
        <x:f>AS211</x:f>
        <x:v>2646.979433940708</x:v>
      </x:c>
      <x:c r="D1434" t="n">
        <x:f>AU211</x:f>
        <x:v>5951.428965774956</x:v>
      </x:c>
      <x:c r="E1434" t="n">
        <x:f>AW211</x:f>
        <x:v>5928.678003819094</x:v>
      </x:c>
    </x:row>
    <x:row r="1435">
      <x:c r="A1435" t="n">
        <x:f>I212</x:f>
        <x:v>0.75</x:v>
      </x:c>
      <x:c r="B1435" t="n">
        <x:f>AQ212</x:f>
        <x:v>2709.9297554985205</x:v>
      </x:c>
      <x:c r="C1435" t="n">
        <x:f>AS212</x:f>
        <x:v>2684.8439175922745</x:v>
      </x:c>
      <x:c r="D1435" t="n">
        <x:f>AU212</x:f>
        <x:v>6047.7020502811065</x:v>
      </x:c>
      <x:c r="E1435" t="n">
        <x:f>AW212</x:f>
        <x:v>6025.4591988659095</x:v>
      </x:c>
    </x:row>
    <x:row r="1436">
      <x:c r="A1436" t="n">
        <x:f>I213</x:f>
        <x:v>0.758</x:v>
      </x:c>
      <x:c r="B1436" t="n">
        <x:f>AQ213</x:f>
        <x:v>2710.776759778393</x:v>
      </x:c>
      <x:c r="C1436" t="n">
        <x:f>AS213</x:f>
        <x:v>2722.7356281270404</x:v>
      </x:c>
      <x:c r="D1436" t="n">
        <x:f>AU213</x:f>
        <x:v>6145.111338452737</x:v>
      </x:c>
      <x:c r="E1436" t="n">
        <x:f>AW213</x:f>
        <x:v>6123.388242453002</x:v>
      </x:c>
    </x:row>
    <x:row r="1437">
      <x:c r="A1437" t="n">
        <x:f>I214</x:f>
        <x:v>0.767</x:v>
      </x:c>
      <x:c r="B1437" t="n">
        <x:f>AQ214</x:f>
        <x:v>2711.675685734151</x:v>
      </x:c>
      <x:c r="C1437" t="n">
        <x:f>AS214</x:f>
        <x:v>2765.514130169189</x:v>
      </x:c>
      <x:c r="D1437" t="n">
        <x:f>AU214</x:f>
        <x:v>6255.2175947007745</x:v>
      </x:c>
      <x:c r="E1437" t="n">
        <x:f>AW214</x:f>
        <x:v>6234.097857525002</x:v>
      </x:c>
    </x:row>
    <x:row r="1438">
      <x:c r="A1438" t="n">
        <x:f>I215</x:f>
        <x:v>0.775</x:v>
      </x:c>
      <x:c r="B1438" t="n">
        <x:f>AQ215</x:f>
        <x:v>2712.618819612096</x:v>
      </x:c>
      <x:c r="C1438" t="n">
        <x:f>AS215</x:f>
        <x:v>2803.976331236653</x:v>
      </x:c>
      <x:c r="D1438" t="n">
        <x:f>AU215</x:f>
        <x:v>6354.28082575311</x:v>
      </x:c>
      <x:c r="E1438" t="n">
        <x:f>AW215</x:f>
        <x:v>6333.709831112798</x:v>
      </x:c>
    </x:row>
    <x:row r="1439">
      <x:c r="A1439" t="n">
        <x:f>I216</x:f>
        <x:v>0.783</x:v>
      </x:c>
      <x:c r="B1439" t="n">
        <x:f>AQ216</x:f>
        <x:v>2713.403250630905</x:v>
      </x:c>
      <x:c r="C1439" t="n">
        <x:f>AS216</x:f>
        <x:v>2842.8304615876677</x:v>
      </x:c>
      <x:c r="D1439" t="n">
        <x:f>AU216</x:f>
        <x:v>6454.255793929251</x:v>
      </x:c>
      <x:c r="E1439" t="n">
        <x:f>AW216</x:f>
        <x:v>6434.24640902367</x:v>
      </x:c>
    </x:row>
    <x:row r="1440">
      <x:c r="A1440" t="n">
        <x:f>I217</x:f>
        <x:v>0.792</x:v>
      </x:c>
      <x:c r="B1440" t="n">
        <x:f>AQ217</x:f>
        <x:v>2714.430532583016</x:v>
      </x:c>
      <x:c r="C1440" t="n">
        <x:f>AS217</x:f>
        <x:v>2886.984046410364</x:v>
      </x:c>
      <x:c r="D1440" t="n">
        <x:f>AU217</x:f>
        <x:v>6567.347290290034</x:v>
      </x:c>
      <x:c r="E1440" t="n">
        <x:f>AW217</x:f>
        <x:v>6547.987188435632</x:v>
      </x:c>
    </x:row>
    <x:row r="1441">
      <x:c r="A1441" t="n">
        <x:f>I218</x:f>
        <x:v>0.8</x:v>
      </x:c>
      <x:c r="B1441" t="n">
        <x:f>AQ218</x:f>
        <x:v>2715.124057836022</x:v>
      </x:c>
      <x:c r="C1441" t="n">
        <x:f>AS218</x:f>
        <x:v>2926.6072868304295</x:v>
      </x:c>
      <x:c r="D1441" t="n">
        <x:f>AU218</x:f>
        <x:v>6669.157766597429</x:v>
      </x:c>
      <x:c r="E1441" t="n">
        <x:f>AW218</x:f>
        <x:v>6650.38687135412</x:v>
      </x:c>
    </x:row>
    <x:row r="1442">
      <x:c r="A1442" t="n">
        <x:f>I219</x:f>
        <x:v>0.808</x:v>
      </x:c>
      <x:c r="B1442" t="n">
        <x:f>AQ219</x:f>
        <x:v>2716.028847901768</x:v>
      </x:c>
      <x:c r="C1442" t="n">
        <x:f>AS219</x:f>
        <x:v>2966.111877040855</x:v>
      </x:c>
      <x:c r="D1442" t="n">
        <x:f>AU219</x:f>
        <x:v>6771.9546878484725</x:v>
      </x:c>
      <x:c r="E1442" t="n">
        <x:f>AW219</x:f>
        <x:v>6753.785456348162</x:v>
      </x:c>
    </x:row>
    <x:row r="1443">
      <x:c r="A1443" t="n">
        <x:f>I220</x:f>
        <x:v>0.817</x:v>
      </x:c>
      <x:c r="B1443" t="n">
        <x:f>AQ220</x:f>
        <x:v>2717.001745421667</x:v>
      </x:c>
      <x:c r="C1443" t="n">
        <x:f>AS220</x:f>
        <x:v>3010.783980478043</x:v>
      </x:c>
      <x:c r="D1443" t="n">
        <x:f>AU220</x:f>
        <x:v>6888.021426206603</x:v>
      </x:c>
      <x:c r="E1443" t="n">
        <x:f>AW220</x:f>
        <x:v>6870.546820843922</x:v>
      </x:c>
    </x:row>
    <x:row r="1444">
      <x:c r="A1444" t="n">
        <x:f>I221</x:f>
        <x:v>0.825</x:v>
      </x:c>
      <x:c r="B1444" t="n">
        <x:f>AQ221</x:f>
        <x:v>2717.7655816374827</x:v>
      </x:c>
      <x:c r="C1444" t="n">
        <x:f>AS221</x:f>
        <x:v>3051.177959160299</x:v>
      </x:c>
      <x:c r="D1444" t="n">
        <x:f>AU221</x:f>
        <x:v>6992.888996566192</x:v>
      </x:c>
      <x:c r="E1444" t="n">
        <x:f>AW221</x:f>
        <x:v>6976.042519176204</x:v>
      </x:c>
    </x:row>
    <x:row r="1445">
      <x:c r="A1445" t="n">
        <x:f>I222</x:f>
        <x:v>0.833</x:v>
      </x:c>
      <x:c r="B1445" t="n">
        <x:f>AQ222</x:f>
        <x:v>2718.562423641157</x:v>
      </x:c>
      <x:c r="C1445" t="n">
        <x:f>AS222</x:f>
        <x:v>3091.992984294787</x:v>
      </x:c>
      <x:c r="D1445" t="n">
        <x:f>AU222</x:f>
        <x:v>7098.013869852497</x:v>
      </x:c>
      <x:c r="E1445" t="n">
        <x:f>AW222</x:f>
        <x:v>7081.81042563662</x:v>
      </x:c>
    </x:row>
    <x:row r="1446">
      <x:c r="A1446" t="n">
        <x:f>I223</x:f>
        <x:v>0.842</x:v>
      </x:c>
      <x:c r="B1446" t="n">
        <x:f>AQ223</x:f>
        <x:v>2719.4600228979743</x:v>
      </x:c>
      <x:c r="C1446" t="n">
        <x:f>AS223</x:f>
        <x:v>3137.9971314740387</x:v>
      </x:c>
      <x:c r="D1446" t="n">
        <x:f>AU223</x:f>
        <x:v>7217.546480079484</x:v>
      </x:c>
      <x:c r="E1446" t="n">
        <x:f>AW223</x:f>
        <x:v>7202.080769171895</x:v>
      </x:c>
    </x:row>
    <x:row r="1447">
      <x:c r="A1447" t="n">
        <x:f>I224</x:f>
        <x:v>0.85</x:v>
      </x:c>
      <x:c r="B1447" t="n">
        <x:f>AQ224</x:f>
        <x:v>2720.284625130148</x:v>
      </x:c>
      <x:c r="C1447" t="n">
        <x:f>AS224</x:f>
        <x:v>3179.0930306359223</x:v>
      </x:c>
      <x:c r="D1447" t="n">
        <x:f>AU224</x:f>
        <x:v>7325.109272184577</x:v>
      </x:c>
      <x:c r="E1447" t="n">
        <x:f>AW224</x:f>
        <x:v>7310.311593445844</x:v>
      </x:c>
    </x:row>
    <x:row r="1448">
      <x:c r="A1448" t="n">
        <x:f>I225</x:f>
        <x:v>0.858</x:v>
      </x:c>
      <x:c r="B1448" t="n">
        <x:f>AQ225</x:f>
        <x:v>2721.136694205718</x:v>
      </x:c>
      <x:c r="C1448" t="n">
        <x:f>AS225</x:f>
        <x:v>3220.474419904112</x:v>
      </x:c>
      <x:c r="D1448" t="n">
        <x:f>AU225</x:f>
        <x:v>7432.782391212268</x:v>
      </x:c>
      <x:c r="E1448" t="n">
        <x:f>AW225</x:f>
        <x:v>7418.6674296546635</x:v>
      </x:c>
    </x:row>
    <x:row r="1449">
      <x:c r="A1449" t="n">
        <x:f>I226</x:f>
        <x:v>0.867</x:v>
      </x:c>
      <x:c r="B1449" t="n">
        <x:f>AQ226</x:f>
        <x:v>2722.0161317735797</x:v>
      </x:c>
      <x:c r="C1449" t="n">
        <x:f>AS226</x:f>
        <x:v>3267.386848018475</x:v>
      </x:c>
      <x:c r="D1449" t="n">
        <x:f>AU226</x:f>
        <x:v>7555.73320099179</x:v>
      </x:c>
      <x:c r="E1449" t="n">
        <x:f>AW226</x:f>
        <x:v>7542.399117852137</x:v>
      </x:c>
    </x:row>
    <x:row r="1450">
      <x:c r="A1450" t="n">
        <x:f>I227</x:f>
        <x:v>0.875</x:v>
      </x:c>
      <x:c r="B1450" t="n">
        <x:f>AQ227</x:f>
        <x:v>2722.8437124522143</x:v>
      </x:c>
      <x:c r="C1450" t="n">
        <x:f>AS227</x:f>
        <x:v>3309.459484632871</x:v>
      </x:c>
      <x:c r="D1450" t="n">
        <x:f>AU227</x:f>
        <x:v>7665.636355141929</x:v>
      </x:c>
      <x:c r="E1450" t="n">
        <x:f>AW227</x:f>
        <x:v>7653.010376100991</x:v>
      </x:c>
    </x:row>
    <x:row r="1451">
      <x:c r="A1451" t="n">
        <x:f>I228</x:f>
        <x:v>0.883</x:v>
      </x:c>
      <x:c r="B1451" t="n">
        <x:f>AQ228</x:f>
        <x:v>2723.7535103247137</x:v>
      </x:c>
      <x:c r="C1451" t="n">
        <x:f>AS228</x:f>
        <x:v>3352.0649024359104</x:v>
      </x:c>
      <x:c r="D1451" t="n">
        <x:f>AU228</x:f>
        <x:v>7776.31348402332</x:v>
      </x:c>
      <x:c r="E1451" t="n">
        <x:f>AW228</x:f>
        <x:v>7764.408135091424</x:v>
      </x:c>
    </x:row>
    <x:row r="1452">
      <x:c r="A1452" t="n">
        <x:f>I229</x:f>
        <x:v>0.892</x:v>
      </x:c>
      <x:c r="B1452" t="n">
        <x:f>AQ229</x:f>
        <x:v>2724.6194788259563</x:v>
      </x:c>
      <x:c r="C1452" t="n">
        <x:f>AS229</x:f>
        <x:v>3400.2165495983063</x:v>
      </x:c>
      <x:c r="D1452" t="n">
        <x:f>AU229</x:f>
        <x:v>7902.234110027593</x:v>
      </x:c>
      <x:c r="E1452" t="n">
        <x:f>AW229</x:f>
        <x:v>7891.1533948112265</x:v>
      </x:c>
    </x:row>
    <x:row r="1453">
      <x:c r="A1453" t="n">
        <x:f>I230</x:f>
        <x:v>0.9</x:v>
      </x:c>
      <x:c r="B1453" t="n">
        <x:f>AQ230</x:f>
        <x:v>2725.542674611314</x:v>
      </x:c>
      <x:c r="C1453" t="n">
        <x:f>AS230</x:f>
        <x:v>3443.039173659275</x:v>
      </x:c>
      <x:c r="D1453" t="n">
        <x:f>AU230</x:f>
        <x:v>8014.969432881394</x:v>
      </x:c>
      <x:c r="E1453" t="n">
        <x:f>AW230</x:f>
        <x:v>8004.634969601828</x:v>
      </x:c>
    </x:row>
    <x:row r="1454">
      <x:c r="A1454" t="n">
        <x:f>I231</x:f>
        <x:v>0.908</x:v>
      </x:c>
      <x:c r="B1454" t="n">
        <x:f>AQ231</x:f>
        <x:v>2726.4905339389343</x:v>
      </x:c>
      <x:c r="C1454" t="n">
        <x:f>AS231</x:f>
        <x:v>3486.123112704351</x:v>
      </x:c>
      <x:c r="D1454" t="n">
        <x:f>AU231</x:f>
        <x:v>8128.406130195014</x:v>
      </x:c>
      <x:c r="E1454" t="n">
        <x:f>AW231</x:f>
        <x:v>8118.830347051876</x:v>
      </x:c>
    </x:row>
    <x:row r="1455">
      <x:c r="A1455" t="n">
        <x:f>I232</x:f>
        <x:v>0.917</x:v>
      </x:c>
      <x:c r="B1455" t="n">
        <x:f>AQ232</x:f>
        <x:v>2727.3660689754033</x:v>
      </x:c>
      <x:c r="C1455" t="n">
        <x:f>AS232</x:f>
        <x:v>3535.217216361177</x:v>
      </x:c>
      <x:c r="D1455" t="n">
        <x:f>AU232</x:f>
        <x:v>8257.76290026447</x:v>
      </x:c>
      <x:c r="E1455" t="n">
        <x:f>AW232</x:f>
        <x:v>8249.054072142984</x:v>
      </x:c>
    </x:row>
    <x:row r="1456">
      <x:c r="A1456" t="n">
        <x:f>I233</x:f>
        <x:v>0.925</x:v>
      </x:c>
      <x:c r="B1456" t="n">
        <x:f>AQ233</x:f>
        <x:v>2728.4267562236205</x:v>
      </x:c>
      <x:c r="C1456" t="n">
        <x:f>AS233</x:f>
        <x:v>3579.384617384559</x:v>
      </x:c>
      <x:c r="D1456" t="n">
        <x:f>AU233</x:f>
        <x:v>8373.137731591465</x:v>
      </x:c>
      <x:c r="E1456" t="n">
        <x:f>AW233</x:f>
        <x:v>8365.213114269161</x:v>
      </x:c>
    </x:row>
    <x:row r="1457">
      <x:c r="A1457" t="n">
        <x:f>I234</x:f>
        <x:v>0.933</x:v>
      </x:c>
      <x:c r="B1457" t="n">
        <x:f>AQ234</x:f>
        <x:v>2729.345802686525</x:v>
      </x:c>
      <x:c r="C1457" t="n">
        <x:f>AS234</x:f>
        <x:v>3623.801339841583</x:v>
      </x:c>
      <x:c r="D1457" t="n">
        <x:f>AU234</x:f>
        <x:v>8489.606317132935</x:v>
      </x:c>
      <x:c r="E1457" t="n">
        <x:f>AW234</x:f>
        <x:v>8482.477614126423</x:v>
      </x:c>
    </x:row>
    <x:row r="1458">
      <x:c r="A1458" t="n">
        <x:f>I235</x:f>
        <x:v>0.942</x:v>
      </x:c>
      <x:c r="B1458" t="n">
        <x:f>AQ235</x:f>
        <x:v>2730.327377287637</x:v>
      </x:c>
      <x:c r="C1458" t="n">
        <x:f>AS235</x:f>
        <x:v>3673.7926080967623</x:v>
      </x:c>
      <x:c r="D1458" t="n">
        <x:f>AU235</x:f>
        <x:v>8622.02423942488</x:v>
      </x:c>
      <x:c r="E1458" t="n">
        <x:f>AW235</x:f>
        <x:v>8615.80489558329</x:v>
      </x:c>
    </x:row>
    <x:row r="1459">
      <x:c r="A1459" t="n">
        <x:f>I236</x:f>
        <x:v>0.95</x:v>
      </x:c>
      <x:c r="B1459" t="n">
        <x:f>AQ236</x:f>
        <x:v>2731.2756154062386</x:v>
      </x:c>
      <x:c r="C1459" t="n">
        <x:f>AS236</x:f>
        <x:v>3718.47695762412</x:v>
      </x:c>
      <x:c r="D1459" t="n">
        <x:f>AU236</x:f>
        <x:v>8739.913766874452</x:v>
      </x:c>
      <x:c r="E1459" t="n">
        <x:f>AW236</x:f>
        <x:v>8734.516026047717</x:v>
      </x:c>
    </x:row>
    <x:row r="1460">
      <x:c r="A1460" t="n">
        <x:f>I237</x:f>
        <x:v>0.958</x:v>
      </x:c>
      <x:c r="B1460" t="n">
        <x:f>AQ237</x:f>
        <x:v>2732.410990361145</x:v>
      </x:c>
      <x:c r="C1460" t="n">
        <x:f>AS237</x:f>
        <x:v>3763.561788221822</x:v>
      </x:c>
      <x:c r="D1460" t="n">
        <x:f>AU237</x:f>
        <x:v>8859.603644488401</x:v>
      </x:c>
      <x:c r="E1460" t="n">
        <x:f>AW237</x:f>
        <x:v>8855.038605032187</x:v>
      </x:c>
    </x:row>
    <x:row r="1461">
      <x:c r="A1461" t="n">
        <x:f>I238</x:f>
        <x:v>0.967</x:v>
      </x:c>
      <x:c r="B1461" t="n">
        <x:f>AQ238</x:f>
        <x:v>2733.3737112683802</x:v>
      </x:c>
      <x:c r="C1461" t="n">
        <x:f>AS238</x:f>
        <x:v>3814.9348272569846</x:v>
      </x:c>
      <x:c r="D1461" t="n">
        <x:f>AU238</x:f>
        <x:v>8994.652022373113</x:v>
      </x:c>
      <x:c r="E1461" t="n">
        <x:f>AW238</x:f>
        <x:v>8991.038286933339</x:v>
      </x:c>
    </x:row>
    <x:row r="1462">
      <x:c r="A1462" t="n">
        <x:f>I239</x:f>
        <x:v>0.975</x:v>
      </x:c>
      <x:c r="B1462" t="n">
        <x:f>AQ239</x:f>
        <x:v>2734.400824079456</x:v>
      </x:c>
      <x:c r="C1462" t="n">
        <x:f>AS239</x:f>
        <x:v>3861.0175580175683</x:v>
      </x:c>
      <x:c r="D1462" t="n">
        <x:f>AU239</x:f>
        <x:v>9115.781029913565</x:v>
      </x:c>
      <x:c r="E1462" t="n">
        <x:f>AW239</x:f>
        <x:v>9113.025230448315</x:v>
      </x:c>
    </x:row>
    <x:row r="1463">
      <x:c r="A1463" t="n">
        <x:f>I240</x:f>
        <x:v>0.983</x:v>
      </x:c>
      <x:c r="B1463" t="n">
        <x:f>AQ240</x:f>
        <x:v>2735.4474657815513</x:v>
      </x:c>
      <x:c r="C1463" t="n">
        <x:f>AS240</x:f>
        <x:v>3907.272108473731</x:v>
      </x:c>
      <x:c r="D1463" t="n">
        <x:f>AU240</x:f>
        <x:v>9238.143445583908</x:v>
      </x:c>
      <x:c r="E1463" t="n">
        <x:f>AW240</x:f>
        <x:v>9236.257132309045</x:v>
      </x:c>
    </x:row>
    <x:row r="1464">
      <x:c r="A1464" t="n">
        <x:f>I241</x:f>
        <x:v>0.992</x:v>
      </x:c>
      <x:c r="B1464" t="n">
        <x:f>AQ241</x:f>
        <x:v>2736.577363887402</x:v>
      </x:c>
      <x:c r="C1464" t="n">
        <x:f>AS241</x:f>
        <x:v>3959.1875965265394</x:v>
      </x:c>
      <x:c r="D1464" t="n">
        <x:f>AU241</x:f>
        <x:v>9376.367521334943</x:v>
      </x:c>
      <x:c r="E1464" t="n">
        <x:f>AW241</x:f>
        <x:v>9375.473375519701</x:v>
      </x:c>
    </x:row>
    <x:row r="1465">
      <x:c r="A1465" t="n">
        <x:f>I242</x:f>
        <x:v>1</x:v>
      </x:c>
      <x:c r="B1465" t="n">
        <x:f>AQ242</x:f>
        <x:v>2737.580395373951</x:v>
      </x:c>
      <x:c r="C1465" t="n">
        <x:f>AS242</x:f>
        <x:v>4005.8185439109393</x:v>
      </x:c>
      <x:c r="D1465" t="n">
        <x:f>AU242</x:f>
        <x:v>9500.459003101661</x:v>
      </x:c>
      <x:c r="E1465" t="n">
        <x:f>AW242</x:f>
        <x:v>9500.459003101661</x:v>
      </x:c>
    </x:row>
  </x:sheetData>
  <x:pageMargins left="0.7" right="0.7" top="0.75" bottom="0.75" header="0.3" footer="0.3"/>
</x:worksheet>
</file>

<file path=xl/worksheets/sheet21.xml><?xml version="1.0" encoding="utf-8"?>
<x:worksheet xmlns:x="http://schemas.openxmlformats.org/spreadsheetml/2006/main">
  <x:sheetFormatPr baseColWidth="8" defaultRowHeight="13.800000190734863"/>
  <x:cols>
    <x:col min="1" max="8" width="18" style="73" customWidth="1"/>
  </x:cols>
  <x:sheetData>
    <x:row r="1">
      <x:c r="A1" t="inlineStr">
        <x:is>
          <x:t xml:space="preserve">Surface Height: Generated Topography Reference Floor, Target, and Nadir</x:t>
        </x:is>
      </x:c>
    </x:row>
    <x:row r="2">
      <x:c r="A2" t="inlineStr">
        <x:is>
          <x:t xml:space="preserve">Reference floor = generated topography x</x:t>
        </x:is>
      </x:c>
      <x:c r="B2" t="inlineStr">
        <x:is>
          <x:t xml:space="preserve">Reference floor = generated topography</x:t>
        </x:is>
      </x:c>
      <x:c r="C2" t="inlineStr">
        <x:is>
          <x:t xml:space="preserve">Off-nadir target terrain x</x:t>
        </x:is>
      </x:c>
      <x:c r="D2" t="inlineStr">
        <x:is>
          <x:t xml:space="preserve">Off-nadir target terrain</x:t>
        </x:is>
      </x:c>
      <x:c r="E2" t="inlineStr">
        <x:is>
          <x:t xml:space="preserve">Nadir terrain x</x:t>
        </x:is>
      </x:c>
      <x:c r="F2" t="inlineStr">
        <x:is>
          <x:t xml:space="preserve">Nadir terrain</x:t>
        </x:is>
      </x:c>
    </x:row>
    <x:row r="3">
      <x:c r="A3" t="n">
        <x:f>Dashboard_Live_Data!D2</x:f>
        <x:v>-60</x:v>
      </x:c>
      <x:c r="B3" t="n">
        <x:f>Dashboard_Live_Data!E2</x:f>
        <x:v>119.42638570504096</x:v>
      </x:c>
      <x:c r="C3" t="n">
        <x:f>Dashboard_Live_Data!D2</x:f>
        <x:v>-60</x:v>
      </x:c>
      <x:c r="D3" t="n">
        <x:f>Dashboard_Live_Data!F2</x:f>
        <x:v>119.42638570504096</x:v>
      </x:c>
      <x:c r="E3" t="n">
        <x:f>Dashboard_Live_Data!D2</x:f>
        <x:v>-60</x:v>
      </x:c>
      <x:c r="F3" t="n">
        <x:f>Dashboard_Live_Data!G2</x:f>
        <x:v>2.7642790376402013</x:v>
      </x:c>
    </x:row>
    <x:row r="4">
      <x:c r="A4" t="n">
        <x:f>Dashboard_Live_Data!D3</x:f>
        <x:v>-59.5</x:v>
      </x:c>
      <x:c r="B4" t="n">
        <x:f>Dashboard_Live_Data!E3</x:f>
        <x:v>110.69606493723512</x:v>
      </x:c>
      <x:c r="C4" t="n">
        <x:f>Dashboard_Live_Data!D3</x:f>
        <x:v>-59.5</x:v>
      </x:c>
      <x:c r="D4" t="n">
        <x:f>Dashboard_Live_Data!F3</x:f>
        <x:v>110.69606493723512</x:v>
      </x:c>
      <x:c r="E4" t="n">
        <x:f>Dashboard_Live_Data!D3</x:f>
        <x:v>-59.5</x:v>
      </x:c>
      <x:c r="F4" t="n">
        <x:f>Dashboard_Live_Data!G3</x:f>
        <x:v>19.645117006397193</x:v>
      </x:c>
    </x:row>
    <x:row r="5">
      <x:c r="A5" t="n">
        <x:f>Dashboard_Live_Data!D4</x:f>
        <x:v>-59</x:v>
      </x:c>
      <x:c r="B5" t="n">
        <x:f>Dashboard_Live_Data!E4</x:f>
        <x:v>112.99219424849355</x:v>
      </x:c>
      <x:c r="C5" t="n">
        <x:f>Dashboard_Live_Data!D4</x:f>
        <x:v>-59</x:v>
      </x:c>
      <x:c r="D5" t="n">
        <x:f>Dashboard_Live_Data!F4</x:f>
        <x:v>112.99219424849355</x:v>
      </x:c>
      <x:c r="E5" t="n">
        <x:f>Dashboard_Live_Data!D4</x:f>
        <x:v>-59</x:v>
      </x:c>
      <x:c r="F5" t="n">
        <x:f>Dashboard_Live_Data!G4</x:f>
        <x:v>7.970448353767724</x:v>
      </x:c>
    </x:row>
    <x:row r="6">
      <x:c r="A6" t="n">
        <x:f>Dashboard_Live_Data!D5</x:f>
        <x:v>-58.5</x:v>
      </x:c>
      <x:c r="B6" t="n">
        <x:f>Dashboard_Live_Data!E5</x:f>
        <x:v>134.3858310571132</x:v>
      </x:c>
      <x:c r="C6" t="n">
        <x:f>Dashboard_Live_Data!D5</x:f>
        <x:v>-58.5</x:v>
      </x:c>
      <x:c r="D6" t="n">
        <x:f>Dashboard_Live_Data!F5</x:f>
        <x:v>134.3858310571132</x:v>
      </x:c>
      <x:c r="E6" t="n">
        <x:f>Dashboard_Live_Data!D5</x:f>
        <x:v>-58.5</x:v>
      </x:c>
      <x:c r="F6" t="n">
        <x:f>Dashboard_Live_Data!G5</x:f>
        <x:v>21.747313566550197</x:v>
      </x:c>
    </x:row>
    <x:row r="7">
      <x:c r="A7" t="n">
        <x:f>Dashboard_Live_Data!D6</x:f>
        <x:v>-58</x:v>
      </x:c>
      <x:c r="B7" t="n">
        <x:f>Dashboard_Live_Data!E6</x:f>
        <x:v>120.06952906780961</x:v>
      </x:c>
      <x:c r="C7" t="n">
        <x:f>Dashboard_Live_Data!D6</x:f>
        <x:v>-58</x:v>
      </x:c>
      <x:c r="D7" t="n">
        <x:f>Dashboard_Live_Data!F6</x:f>
        <x:v>120.06952906780961</x:v>
      </x:c>
      <x:c r="E7" t="n">
        <x:f>Dashboard_Live_Data!D6</x:f>
        <x:v>-58</x:v>
      </x:c>
      <x:c r="F7" t="n">
        <x:f>Dashboard_Live_Data!G6</x:f>
        <x:v>31.86691354901535</x:v>
      </x:c>
    </x:row>
    <x:row r="8">
      <x:c r="A8" t="n">
        <x:f>Dashboard_Live_Data!D7</x:f>
        <x:v>-57.5</x:v>
      </x:c>
      <x:c r="B8" t="n">
        <x:f>Dashboard_Live_Data!E7</x:f>
        <x:v>138.90151425445745</x:v>
      </x:c>
      <x:c r="C8" t="n">
        <x:f>Dashboard_Live_Data!D7</x:f>
        <x:v>-57.5</x:v>
      </x:c>
      <x:c r="D8" t="n">
        <x:f>Dashboard_Live_Data!F7</x:f>
        <x:v>138.90151425445745</x:v>
      </x:c>
      <x:c r="E8" t="n">
        <x:f>Dashboard_Live_Data!D7</x:f>
        <x:v>-57.5</x:v>
      </x:c>
      <x:c r="F8" t="n">
        <x:f>Dashboard_Live_Data!G7</x:f>
        <x:v>34.58634748797326</x:v>
      </x:c>
    </x:row>
    <x:row r="9">
      <x:c r="A9" t="n">
        <x:f>Dashboard_Live_Data!D8</x:f>
        <x:v>-57</x:v>
      </x:c>
      <x:c r="B9" t="n">
        <x:f>Dashboard_Live_Data!E8</x:f>
        <x:v>137.46604725484156</x:v>
      </x:c>
      <x:c r="C9" t="n">
        <x:f>Dashboard_Live_Data!D8</x:f>
        <x:v>-57</x:v>
      </x:c>
      <x:c r="D9" t="n">
        <x:f>Dashboard_Live_Data!F8</x:f>
        <x:v>137.46604725484156</x:v>
      </x:c>
      <x:c r="E9" t="n">
        <x:f>Dashboard_Live_Data!D8</x:f>
        <x:v>-57</x:v>
      </x:c>
      <x:c r="F9" t="n">
        <x:f>Dashboard_Live_Data!G8</x:f>
        <x:v>55.44088303799376</x:v>
      </x:c>
    </x:row>
    <x:row r="10">
      <x:c r="A10" t="n">
        <x:f>Dashboard_Live_Data!D9</x:f>
        <x:v>-56.5</x:v>
      </x:c>
      <x:c r="B10" t="n">
        <x:f>Dashboard_Live_Data!E9</x:f>
        <x:v>141.4558244940569</x:v>
      </x:c>
      <x:c r="C10" t="n">
        <x:f>Dashboard_Live_Data!D9</x:f>
        <x:v>-56.5</x:v>
      </x:c>
      <x:c r="D10" t="n">
        <x:f>Dashboard_Live_Data!F9</x:f>
        <x:v>141.4558244940569</x:v>
      </x:c>
      <x:c r="E10" t="n">
        <x:f>Dashboard_Live_Data!D9</x:f>
        <x:v>-56.5</x:v>
      </x:c>
      <x:c r="F10" t="n">
        <x:f>Dashboard_Live_Data!G9</x:f>
        <x:v>57.32564727891993</x:v>
      </x:c>
    </x:row>
    <x:row r="11">
      <x:c r="A11" t="n">
        <x:f>Dashboard_Live_Data!D10</x:f>
        <x:v>-56</x:v>
      </x:c>
      <x:c r="B11" t="n">
        <x:f>Dashboard_Live_Data!E10</x:f>
        <x:v>167.1152389347629</x:v>
      </x:c>
      <x:c r="C11" t="n">
        <x:f>Dashboard_Live_Data!D10</x:f>
        <x:v>-56</x:v>
      </x:c>
      <x:c r="D11" t="n">
        <x:f>Dashboard_Live_Data!F10</x:f>
        <x:v>167.1152389347629</x:v>
      </x:c>
      <x:c r="E11" t="n">
        <x:f>Dashboard_Live_Data!D10</x:f>
        <x:v>-56</x:v>
      </x:c>
      <x:c r="F11" t="n">
        <x:f>Dashboard_Live_Data!G10</x:f>
        <x:v>61.55956835196879</x:v>
      </x:c>
    </x:row>
    <x:row r="12">
      <x:c r="A12" t="n">
        <x:f>Dashboard_Live_Data!D11</x:f>
        <x:v>-55.5</x:v>
      </x:c>
      <x:c r="B12" t="n">
        <x:f>Dashboard_Live_Data!E11</x:f>
        <x:v>160.57943103446084</x:v>
      </x:c>
      <x:c r="C12" t="n">
        <x:f>Dashboard_Live_Data!D11</x:f>
        <x:v>-55.5</x:v>
      </x:c>
      <x:c r="D12" t="n">
        <x:f>Dashboard_Live_Data!F11</x:f>
        <x:v>160.57943103446084</x:v>
      </x:c>
      <x:c r="E12" t="n">
        <x:f>Dashboard_Live_Data!D11</x:f>
        <x:v>-55.5</x:v>
      </x:c>
      <x:c r="F12" t="n">
        <x:f>Dashboard_Live_Data!G11</x:f>
        <x:v>38.49658216595124</x:v>
      </x:c>
    </x:row>
    <x:row r="13">
      <x:c r="A13" t="n">
        <x:f>Dashboard_Live_Data!D12</x:f>
        <x:v>-55</x:v>
      </x:c>
      <x:c r="B13" t="n">
        <x:f>Dashboard_Live_Data!E12</x:f>
        <x:v>176.10976359434375</x:v>
      </x:c>
      <x:c r="C13" t="n">
        <x:f>Dashboard_Live_Data!D12</x:f>
        <x:v>-55</x:v>
      </x:c>
      <x:c r="D13" t="n">
        <x:f>Dashboard_Live_Data!F12</x:f>
        <x:v>176.10976359434375</x:v>
      </x:c>
      <x:c r="E13" t="n">
        <x:f>Dashboard_Live_Data!D12</x:f>
        <x:v>-55</x:v>
      </x:c>
      <x:c r="F13" t="n">
        <x:f>Dashboard_Live_Data!G12</x:f>
        <x:v>46.51195593176057</x:v>
      </x:c>
    </x:row>
    <x:row r="14">
      <x:c r="A14" t="n">
        <x:f>Dashboard_Live_Data!D13</x:f>
        <x:v>-54.5</x:v>
      </x:c>
      <x:c r="B14" t="n">
        <x:f>Dashboard_Live_Data!E13</x:f>
        <x:v>194.40953580817023</x:v>
      </x:c>
      <x:c r="C14" t="n">
        <x:f>Dashboard_Live_Data!D13</x:f>
        <x:v>-54.5</x:v>
      </x:c>
      <x:c r="D14" t="n">
        <x:f>Dashboard_Live_Data!F13</x:f>
        <x:v>194.40953580817023</x:v>
      </x:c>
      <x:c r="E14" t="n">
        <x:f>Dashboard_Live_Data!D13</x:f>
        <x:v>-54.5</x:v>
      </x:c>
      <x:c r="F14" t="n">
        <x:f>Dashboard_Live_Data!G13</x:f>
        <x:v>49.77469341509185</x:v>
      </x:c>
    </x:row>
    <x:row r="15">
      <x:c r="A15" t="n">
        <x:f>Dashboard_Live_Data!D14</x:f>
        <x:v>-54</x:v>
      </x:c>
      <x:c r="B15" t="n">
        <x:f>Dashboard_Live_Data!E14</x:f>
        <x:v>196.39629745562698</x:v>
      </x:c>
      <x:c r="C15" t="n">
        <x:f>Dashboard_Live_Data!D14</x:f>
        <x:v>-54</x:v>
      </x:c>
      <x:c r="D15" t="n">
        <x:f>Dashboard_Live_Data!F14</x:f>
        <x:v>196.39629745562698</x:v>
      </x:c>
      <x:c r="E15" t="n">
        <x:f>Dashboard_Live_Data!D14</x:f>
        <x:v>-54</x:v>
      </x:c>
      <x:c r="F15" t="n">
        <x:f>Dashboard_Live_Data!G14</x:f>
        <x:v>37.91568406723211</x:v>
      </x:c>
    </x:row>
    <x:row r="16">
      <x:c r="A16" t="n">
        <x:f>Dashboard_Live_Data!D15</x:f>
        <x:v>-53.5</x:v>
      </x:c>
      <x:c r="B16" t="n">
        <x:f>Dashboard_Live_Data!E15</x:f>
        <x:v>215.04504497494062</x:v>
      </x:c>
      <x:c r="C16" t="n">
        <x:f>Dashboard_Live_Data!D15</x:f>
        <x:v>-53.5</x:v>
      </x:c>
      <x:c r="D16" t="n">
        <x:f>Dashboard_Live_Data!F15</x:f>
        <x:v>215.04504497494062</x:v>
      </x:c>
      <x:c r="E16" t="n">
        <x:f>Dashboard_Live_Data!D15</x:f>
        <x:v>-53.5</x:v>
      </x:c>
      <x:c r="F16" t="n">
        <x:f>Dashboard_Live_Data!G15</x:f>
        <x:v>49.305692333608725</x:v>
      </x:c>
    </x:row>
    <x:row r="17">
      <x:c r="A17" t="n">
        <x:f>Dashboard_Live_Data!D16</x:f>
        <x:v>-53</x:v>
      </x:c>
      <x:c r="B17" t="n">
        <x:f>Dashboard_Live_Data!E16</x:f>
        <x:v>220.27863667842527</x:v>
      </x:c>
      <x:c r="C17" t="n">
        <x:f>Dashboard_Live_Data!D16</x:f>
        <x:v>-53</x:v>
      </x:c>
      <x:c r="D17" t="n">
        <x:f>Dashboard_Live_Data!F16</x:f>
        <x:v>220.27863667842527</x:v>
      </x:c>
      <x:c r="E17" t="n">
        <x:f>Dashboard_Live_Data!D16</x:f>
        <x:v>-53</x:v>
      </x:c>
      <x:c r="F17" t="n">
        <x:f>Dashboard_Live_Data!G16</x:f>
        <x:v>54.9618266833629</x:v>
      </x:c>
    </x:row>
    <x:row r="18">
      <x:c r="A18" t="n">
        <x:f>Dashboard_Live_Data!D17</x:f>
        <x:v>-52.5</x:v>
      </x:c>
      <x:c r="B18" t="n">
        <x:f>Dashboard_Live_Data!E17</x:f>
        <x:v>228.48571186718385</x:v>
      </x:c>
      <x:c r="C18" t="n">
        <x:f>Dashboard_Live_Data!D17</x:f>
        <x:v>-52.5</x:v>
      </x:c>
      <x:c r="D18" t="n">
        <x:f>Dashboard_Live_Data!F17</x:f>
        <x:v>228.48571186718385</x:v>
      </x:c>
      <x:c r="E18" t="n">
        <x:f>Dashboard_Live_Data!D17</x:f>
        <x:v>-52.5</x:v>
      </x:c>
      <x:c r="F18" t="n">
        <x:f>Dashboard_Live_Data!G17</x:f>
        <x:v>41.913539426844665</x:v>
      </x:c>
    </x:row>
    <x:row r="19">
      <x:c r="A19" t="n">
        <x:f>Dashboard_Live_Data!D18</x:f>
        <x:v>-52</x:v>
      </x:c>
      <x:c r="B19" t="n">
        <x:f>Dashboard_Live_Data!E18</x:f>
        <x:v>241.24392327938918</x:v>
      </x:c>
      <x:c r="C19" t="n">
        <x:f>Dashboard_Live_Data!D18</x:f>
        <x:v>-52</x:v>
      </x:c>
      <x:c r="D19" t="n">
        <x:f>Dashboard_Live_Data!F18</x:f>
        <x:v>241.24392327938918</x:v>
      </x:c>
      <x:c r="E19" t="n">
        <x:f>Dashboard_Live_Data!D18</x:f>
        <x:v>-52</x:v>
      </x:c>
      <x:c r="F19" t="n">
        <x:f>Dashboard_Live_Data!G18</x:f>
        <x:v>44.0092440465048</x:v>
      </x:c>
    </x:row>
    <x:row r="20">
      <x:c r="A20" t="n">
        <x:f>Dashboard_Live_Data!D19</x:f>
        <x:v>-51.5</x:v>
      </x:c>
      <x:c r="B20" t="n">
        <x:f>Dashboard_Live_Data!E19</x:f>
        <x:v>261.3961473371179</x:v>
      </x:c>
      <x:c r="C20" t="n">
        <x:f>Dashboard_Live_Data!D19</x:f>
        <x:v>-51.5</x:v>
      </x:c>
      <x:c r="D20" t="n">
        <x:f>Dashboard_Live_Data!F19</x:f>
        <x:v>261.3961473371179</x:v>
      </x:c>
      <x:c r="E20" t="n">
        <x:f>Dashboard_Live_Data!D19</x:f>
        <x:v>-51.5</x:v>
      </x:c>
      <x:c r="F20" t="n">
        <x:f>Dashboard_Live_Data!G19</x:f>
        <x:v>32.491619283106324</x:v>
      </x:c>
    </x:row>
    <x:row r="21">
      <x:c r="A21" t="n">
        <x:f>Dashboard_Live_Data!D20</x:f>
        <x:v>-51</x:v>
      </x:c>
      <x:c r="B21" t="n">
        <x:f>Dashboard_Live_Data!E20</x:f>
        <x:v>251.96732827517536</x:v>
      </x:c>
      <x:c r="C21" t="n">
        <x:f>Dashboard_Live_Data!D20</x:f>
        <x:v>-51</x:v>
      </x:c>
      <x:c r="D21" t="n">
        <x:f>Dashboard_Live_Data!F20</x:f>
        <x:v>251.96732827517536</x:v>
      </x:c>
      <x:c r="E21" t="n">
        <x:f>Dashboard_Live_Data!D20</x:f>
        <x:v>-51</x:v>
      </x:c>
      <x:c r="F21" t="n">
        <x:f>Dashboard_Live_Data!G20</x:f>
        <x:v>39.10881658677256</x:v>
      </x:c>
    </x:row>
    <x:row r="22">
      <x:c r="A22" t="n">
        <x:f>Dashboard_Live_Data!D21</x:f>
        <x:v>-50.5</x:v>
      </x:c>
      <x:c r="B22" t="n">
        <x:f>Dashboard_Live_Data!E21</x:f>
        <x:v>249.7278681272967</x:v>
      </x:c>
      <x:c r="C22" t="n">
        <x:f>Dashboard_Live_Data!D21</x:f>
        <x:v>-50.5</x:v>
      </x:c>
      <x:c r="D22" t="n">
        <x:f>Dashboard_Live_Data!F21</x:f>
        <x:v>249.7278681272967</x:v>
      </x:c>
      <x:c r="E22" t="n">
        <x:f>Dashboard_Live_Data!D21</x:f>
        <x:v>-50.5</x:v>
      </x:c>
      <x:c r="F22" t="n">
        <x:f>Dashboard_Live_Data!G21</x:f>
        <x:v>47.99583170220943</x:v>
      </x:c>
    </x:row>
    <x:row r="23">
      <x:c r="A23" t="n">
        <x:f>Dashboard_Live_Data!D22</x:f>
        <x:v>-50</x:v>
      </x:c>
      <x:c r="B23" t="n">
        <x:f>Dashboard_Live_Data!E22</x:f>
        <x:v>273.71504099052385</x:v>
      </x:c>
      <x:c r="C23" t="n">
        <x:f>Dashboard_Live_Data!D22</x:f>
        <x:v>-50</x:v>
      </x:c>
      <x:c r="D23" t="n">
        <x:f>Dashboard_Live_Data!F22</x:f>
        <x:v>273.71504099052385</x:v>
      </x:c>
      <x:c r="E23" t="n">
        <x:f>Dashboard_Live_Data!D22</x:f>
        <x:v>-50</x:v>
      </x:c>
      <x:c r="F23" t="n">
        <x:f>Dashboard_Live_Data!G22</x:f>
        <x:v>29.034419664389077</x:v>
      </x:c>
    </x:row>
    <x:row r="24">
      <x:c r="A24" t="n">
        <x:f>Dashboard_Live_Data!D23</x:f>
        <x:v>-49.5</x:v>
      </x:c>
      <x:c r="B24" t="n">
        <x:f>Dashboard_Live_Data!E23</x:f>
        <x:v>258.91748425644914</x:v>
      </x:c>
      <x:c r="C24" t="n">
        <x:f>Dashboard_Live_Data!D23</x:f>
        <x:v>-49.5</x:v>
      </x:c>
      <x:c r="D24" t="n">
        <x:f>Dashboard_Live_Data!F23</x:f>
        <x:v>258.91748425644914</x:v>
      </x:c>
      <x:c r="E24" t="n">
        <x:f>Dashboard_Live_Data!D23</x:f>
        <x:v>-49.5</x:v>
      </x:c>
      <x:c r="F24" t="n">
        <x:f>Dashboard_Live_Data!G23</x:f>
        <x:v>51.90461728837901</x:v>
      </x:c>
    </x:row>
    <x:row r="25">
      <x:c r="A25" t="n">
        <x:f>Dashboard_Live_Data!D24</x:f>
        <x:v>-49</x:v>
      </x:c>
      <x:c r="B25" t="n">
        <x:f>Dashboard_Live_Data!E24</x:f>
        <x:v>268.7927966209557</x:v>
      </x:c>
      <x:c r="C25" t="n">
        <x:f>Dashboard_Live_Data!D24</x:f>
        <x:v>-49</x:v>
      </x:c>
      <x:c r="D25" t="n">
        <x:f>Dashboard_Live_Data!F24</x:f>
        <x:v>268.7927966209557</x:v>
      </x:c>
      <x:c r="E25" t="n">
        <x:f>Dashboard_Live_Data!D24</x:f>
        <x:v>-49</x:v>
      </x:c>
      <x:c r="F25" t="n">
        <x:f>Dashboard_Live_Data!G24</x:f>
        <x:v>39.64300304421553</x:v>
      </x:c>
    </x:row>
    <x:row r="26">
      <x:c r="A26" t="n">
        <x:f>Dashboard_Live_Data!D25</x:f>
        <x:v>-48.5</x:v>
      </x:c>
      <x:c r="B26" t="n">
        <x:f>Dashboard_Live_Data!E25</x:f>
        <x:v>265.4824606971943</x:v>
      </x:c>
      <x:c r="C26" t="n">
        <x:f>Dashboard_Live_Data!D25</x:f>
        <x:v>-48.5</x:v>
      </x:c>
      <x:c r="D26" t="n">
        <x:f>Dashboard_Live_Data!F25</x:f>
        <x:v>265.4824606971943</x:v>
      </x:c>
      <x:c r="E26" t="n">
        <x:f>Dashboard_Live_Data!D25</x:f>
        <x:v>-48.5</x:v>
      </x:c>
      <x:c r="F26" t="n">
        <x:f>Dashboard_Live_Data!G25</x:f>
        <x:v>40.329360187280464</x:v>
      </x:c>
    </x:row>
    <x:row r="27">
      <x:c r="A27" t="n">
        <x:f>Dashboard_Live_Data!D26</x:f>
        <x:v>-48</x:v>
      </x:c>
      <x:c r="B27" t="n">
        <x:f>Dashboard_Live_Data!E26</x:f>
        <x:v>253.6370227527636</x:v>
      </x:c>
      <x:c r="C27" t="n">
        <x:f>Dashboard_Live_Data!D26</x:f>
        <x:v>-48</x:v>
      </x:c>
      <x:c r="D27" t="n">
        <x:f>Dashboard_Live_Data!F26</x:f>
        <x:v>253.6370227527636</x:v>
      </x:c>
      <x:c r="E27" t="n">
        <x:f>Dashboard_Live_Data!D26</x:f>
        <x:v>-48</x:v>
      </x:c>
      <x:c r="F27" t="n">
        <x:f>Dashboard_Live_Data!G26</x:f>
        <x:v>55.67705400563339</x:v>
      </x:c>
    </x:row>
    <x:row r="28">
      <x:c r="A28" t="n">
        <x:f>Dashboard_Live_Data!D27</x:f>
        <x:v>-47.5</x:v>
      </x:c>
      <x:c r="B28" t="n">
        <x:f>Dashboard_Live_Data!E27</x:f>
        <x:v>262.7548434853875</x:v>
      </x:c>
      <x:c r="C28" t="n">
        <x:f>Dashboard_Live_Data!D27</x:f>
        <x:v>-47.5</x:v>
      </x:c>
      <x:c r="D28" t="n">
        <x:f>Dashboard_Live_Data!F27</x:f>
        <x:v>262.7548434853875</x:v>
      </x:c>
      <x:c r="E28" t="n">
        <x:f>Dashboard_Live_Data!D27</x:f>
        <x:v>-47.5</x:v>
      </x:c>
      <x:c r="F28" t="n">
        <x:f>Dashboard_Live_Data!G27</x:f>
        <x:v>53.974959185609514</x:v>
      </x:c>
    </x:row>
    <x:row r="29">
      <x:c r="A29" t="n">
        <x:f>Dashboard_Live_Data!D28</x:f>
        <x:v>-47</x:v>
      </x:c>
      <x:c r="B29" t="n">
        <x:f>Dashboard_Live_Data!E28</x:f>
        <x:v>253.91481019774176</x:v>
      </x:c>
      <x:c r="C29" t="n">
        <x:f>Dashboard_Live_Data!D28</x:f>
        <x:v>-47</x:v>
      </x:c>
      <x:c r="D29" t="n">
        <x:f>Dashboard_Live_Data!F28</x:f>
        <x:v>253.91481019774176</x:v>
      </x:c>
      <x:c r="E29" t="n">
        <x:f>Dashboard_Live_Data!D28</x:f>
        <x:v>-47</x:v>
      </x:c>
      <x:c r="F29" t="n">
        <x:f>Dashboard_Live_Data!G28</x:f>
        <x:v>61.213442747759345</x:v>
      </x:c>
    </x:row>
    <x:row r="30">
      <x:c r="A30" t="n">
        <x:f>Dashboard_Live_Data!D29</x:f>
        <x:v>-46.5</x:v>
      </x:c>
      <x:c r="B30" t="n">
        <x:f>Dashboard_Live_Data!E29</x:f>
        <x:v>253.748238320312</x:v>
      </x:c>
      <x:c r="C30" t="n">
        <x:f>Dashboard_Live_Data!D29</x:f>
        <x:v>-46.5</x:v>
      </x:c>
      <x:c r="D30" t="n">
        <x:f>Dashboard_Live_Data!F29</x:f>
        <x:v>253.748238320312</x:v>
      </x:c>
      <x:c r="E30" t="n">
        <x:f>Dashboard_Live_Data!D29</x:f>
        <x:v>-46.5</x:v>
      </x:c>
      <x:c r="F30" t="n">
        <x:f>Dashboard_Live_Data!G29</x:f>
        <x:v>57.529820703344</x:v>
      </x:c>
    </x:row>
    <x:row r="31">
      <x:c r="A31" t="n">
        <x:f>Dashboard_Live_Data!D30</x:f>
        <x:v>-46</x:v>
      </x:c>
      <x:c r="B31" t="n">
        <x:f>Dashboard_Live_Data!E30</x:f>
        <x:v>237.40469511010875</x:v>
      </x:c>
      <x:c r="C31" t="n">
        <x:f>Dashboard_Live_Data!D30</x:f>
        <x:v>-46</x:v>
      </x:c>
      <x:c r="D31" t="n">
        <x:f>Dashboard_Live_Data!F30</x:f>
        <x:v>237.40469511010875</x:v>
      </x:c>
      <x:c r="E31" t="n">
        <x:f>Dashboard_Live_Data!D30</x:f>
        <x:v>-46</x:v>
      </x:c>
      <x:c r="F31" t="n">
        <x:f>Dashboard_Live_Data!G30</x:f>
        <x:v>49.53962065283257</x:v>
      </x:c>
    </x:row>
    <x:row r="32">
      <x:c r="A32" t="n">
        <x:f>Dashboard_Live_Data!D31</x:f>
        <x:v>-45.5</x:v>
      </x:c>
      <x:c r="B32" t="n">
        <x:f>Dashboard_Live_Data!E31</x:f>
        <x:v>230.03534200748854</x:v>
      </x:c>
      <x:c r="C32" t="n">
        <x:f>Dashboard_Live_Data!D31</x:f>
        <x:v>-45.5</x:v>
      </x:c>
      <x:c r="D32" t="n">
        <x:f>Dashboard_Live_Data!F31</x:f>
        <x:v>230.03534200748854</x:v>
      </x:c>
      <x:c r="E32" t="n">
        <x:f>Dashboard_Live_Data!D31</x:f>
        <x:v>-45.5</x:v>
      </x:c>
      <x:c r="F32" t="n">
        <x:f>Dashboard_Live_Data!G31</x:f>
        <x:v>36.8829185081177</x:v>
      </x:c>
    </x:row>
    <x:row r="33">
      <x:c r="A33" t="n">
        <x:f>Dashboard_Live_Data!D32</x:f>
        <x:v>-45</x:v>
      </x:c>
      <x:c r="B33" t="n">
        <x:f>Dashboard_Live_Data!E32</x:f>
        <x:v>208.8220272535724</x:v>
      </x:c>
      <x:c r="C33" t="n">
        <x:f>Dashboard_Live_Data!D32</x:f>
        <x:v>-45</x:v>
      </x:c>
      <x:c r="D33" t="n">
        <x:f>Dashboard_Live_Data!F32</x:f>
        <x:v>208.8220272535724</x:v>
      </x:c>
      <x:c r="E33" t="n">
        <x:f>Dashboard_Live_Data!D32</x:f>
        <x:v>-45</x:v>
      </x:c>
      <x:c r="F33" t="n">
        <x:f>Dashboard_Live_Data!G32</x:f>
        <x:v>46.59917835352822</x:v>
      </x:c>
    </x:row>
    <x:row r="34">
      <x:c r="A34" t="n">
        <x:f>Dashboard_Live_Data!D33</x:f>
        <x:v>-44.5</x:v>
      </x:c>
      <x:c r="B34" t="n">
        <x:f>Dashboard_Live_Data!E33</x:f>
        <x:v>201.66422960156285</x:v>
      </x:c>
      <x:c r="C34" t="n">
        <x:f>Dashboard_Live_Data!D33</x:f>
        <x:v>-44.5</x:v>
      </x:c>
      <x:c r="D34" t="n">
        <x:f>Dashboard_Live_Data!F33</x:f>
        <x:v>201.66422960156285</x:v>
      </x:c>
      <x:c r="E34" t="n">
        <x:f>Dashboard_Live_Data!D33</x:f>
        <x:v>-44.5</x:v>
      </x:c>
      <x:c r="F34" t="n">
        <x:f>Dashboard_Live_Data!G33</x:f>
        <x:v>27.91531821493412</x:v>
      </x:c>
    </x:row>
    <x:row r="35">
      <x:c r="A35" t="n">
        <x:f>Dashboard_Live_Data!D34</x:f>
        <x:v>-44</x:v>
      </x:c>
      <x:c r="B35" t="n">
        <x:f>Dashboard_Live_Data!E34</x:f>
        <x:v>200.11672258234324</x:v>
      </x:c>
      <x:c r="C35" t="n">
        <x:f>Dashboard_Live_Data!D34</x:f>
        <x:v>-44</x:v>
      </x:c>
      <x:c r="D35" t="n">
        <x:f>Dashboard_Live_Data!F34</x:f>
        <x:v>200.11672258234324</x:v>
      </x:c>
      <x:c r="E35" t="n">
        <x:f>Dashboard_Live_Data!D34</x:f>
        <x:v>-44</x:v>
      </x:c>
      <x:c r="F35" t="n">
        <x:f>Dashboard_Live_Data!G34</x:f>
        <x:v>18.82539201019003</x:v>
      </x:c>
    </x:row>
    <x:row r="36">
      <x:c r="A36" t="n">
        <x:f>Dashboard_Live_Data!D35</x:f>
        <x:v>-43.5</x:v>
      </x:c>
      <x:c r="B36" t="n">
        <x:f>Dashboard_Live_Data!E35</x:f>
        <x:v>210.8483953416035</x:v>
      </x:c>
      <x:c r="C36" t="n">
        <x:f>Dashboard_Live_Data!D35</x:f>
        <x:v>-43.5</x:v>
      </x:c>
      <x:c r="D36" t="n">
        <x:f>Dashboard_Live_Data!F35</x:f>
        <x:v>210.8483953416035</x:v>
      </x:c>
      <x:c r="E36" t="n">
        <x:f>Dashboard_Live_Data!D35</x:f>
        <x:v>-43.5</x:v>
      </x:c>
      <x:c r="F36" t="n">
        <x:f>Dashboard_Live_Data!G35</x:f>
        <x:v>22.55480739682735</x:v>
      </x:c>
    </x:row>
    <x:row r="37">
      <x:c r="A37" t="n">
        <x:f>Dashboard_Live_Data!D36</x:f>
        <x:v>-43</x:v>
      </x:c>
      <x:c r="B37" t="n">
        <x:f>Dashboard_Live_Data!E36</x:f>
        <x:v>180.5581841932563</x:v>
      </x:c>
      <x:c r="C37" t="n">
        <x:f>Dashboard_Live_Data!D36</x:f>
        <x:v>-43</x:v>
      </x:c>
      <x:c r="D37" t="n">
        <x:f>Dashboard_Live_Data!F36</x:f>
        <x:v>180.5581841932563</x:v>
      </x:c>
      <x:c r="E37" t="n">
        <x:f>Dashboard_Live_Data!D36</x:f>
        <x:v>-43</x:v>
      </x:c>
      <x:c r="F37" t="n">
        <x:f>Dashboard_Live_Data!G36</x:f>
        <x:v>3.69479063881065</x:v>
      </x:c>
    </x:row>
    <x:row r="38">
      <x:c r="A38" t="n">
        <x:f>Dashboard_Live_Data!D37</x:f>
        <x:v>-42.5</x:v>
      </x:c>
      <x:c r="B38" t="n">
        <x:f>Dashboard_Live_Data!E37</x:f>
        <x:v>181.7291755177202</x:v>
      </x:c>
      <x:c r="C38" t="n">
        <x:f>Dashboard_Live_Data!D37</x:f>
        <x:v>-42.5</x:v>
      </x:c>
      <x:c r="D38" t="n">
        <x:f>Dashboard_Live_Data!F37</x:f>
        <x:v>181.7291755177202</x:v>
      </x:c>
      <x:c r="E38" t="n">
        <x:f>Dashboard_Live_Data!D37</x:f>
        <x:v>-42.5</x:v>
      </x:c>
      <x:c r="F38" t="n">
        <x:f>Dashboard_Live_Data!G37</x:f>
        <x:v>9.477549494288523</x:v>
      </x:c>
    </x:row>
    <x:row r="39">
      <x:c r="A39" t="n">
        <x:f>Dashboard_Live_Data!D38</x:f>
        <x:v>-42</x:v>
      </x:c>
      <x:c r="B39" t="n">
        <x:f>Dashboard_Live_Data!E38</x:f>
        <x:v>170.62817299697477</x:v>
      </x:c>
      <x:c r="C39" t="n">
        <x:f>Dashboard_Live_Data!D38</x:f>
        <x:v>-42</x:v>
      </x:c>
      <x:c r="D39" t="n">
        <x:f>Dashboard_Live_Data!F38</x:f>
        <x:v>170.62817299697477</x:v>
      </x:c>
      <x:c r="E39" t="n">
        <x:f>Dashboard_Live_Data!D38</x:f>
        <x:v>-42</x:v>
      </x:c>
      <x:c r="F39" t="n">
        <x:f>Dashboard_Live_Data!G38</x:f>
        <x:v>-8.691303525994272</x:v>
      </x:c>
    </x:row>
    <x:row r="40">
      <x:c r="A40" t="n">
        <x:f>Dashboard_Live_Data!D39</x:f>
        <x:v>-41.5</x:v>
      </x:c>
      <x:c r="B40" t="n">
        <x:f>Dashboard_Live_Data!E39</x:f>
        <x:v>171.38557913735212</x:v>
      </x:c>
      <x:c r="C40" t="n">
        <x:f>Dashboard_Live_Data!D39</x:f>
        <x:v>-41.5</x:v>
      </x:c>
      <x:c r="D40" t="n">
        <x:f>Dashboard_Live_Data!F39</x:f>
        <x:v>171.38557913735212</x:v>
      </x:c>
      <x:c r="E40" t="n">
        <x:f>Dashboard_Live_Data!D39</x:f>
        <x:v>-41.5</x:v>
      </x:c>
      <x:c r="F40" t="n">
        <x:f>Dashboard_Live_Data!G39</x:f>
        <x:v>-15.792555414769886</x:v>
      </x:c>
    </x:row>
    <x:row r="41">
      <x:c r="A41" t="n">
        <x:f>Dashboard_Live_Data!D40</x:f>
        <x:v>-41</x:v>
      </x:c>
      <x:c r="B41" t="n">
        <x:f>Dashboard_Live_Data!E40</x:f>
        <x:v>176.66624192778235</x:v>
      </x:c>
      <x:c r="C41" t="n">
        <x:f>Dashboard_Live_Data!D40</x:f>
        <x:v>-41</x:v>
      </x:c>
      <x:c r="D41" t="n">
        <x:f>Dashboard_Live_Data!F40</x:f>
        <x:v>176.66624192778235</x:v>
      </x:c>
      <x:c r="E41" t="n">
        <x:f>Dashboard_Live_Data!D40</x:f>
        <x:v>-41</x:v>
      </x:c>
      <x:c r="F41" t="n">
        <x:f>Dashboard_Live_Data!G40</x:f>
        <x:v>-17.886266996681616</x:v>
      </x:c>
    </x:row>
    <x:row r="42">
      <x:c r="A42" t="n">
        <x:f>Dashboard_Live_Data!D41</x:f>
        <x:v>-40.5</x:v>
      </x:c>
      <x:c r="B42" t="n">
        <x:f>Dashboard_Live_Data!E41</x:f>
        <x:v>191.24651788731785</x:v>
      </x:c>
      <x:c r="C42" t="n">
        <x:f>Dashboard_Live_Data!D41</x:f>
        <x:v>-40.5</x:v>
      </x:c>
      <x:c r="D42" t="n">
        <x:f>Dashboard_Live_Data!F41</x:f>
        <x:v>191.24651788731785</x:v>
      </x:c>
      <x:c r="E42" t="n">
        <x:f>Dashboard_Live_Data!D41</x:f>
        <x:v>-40.5</x:v>
      </x:c>
      <x:c r="F42" t="n">
        <x:f>Dashboard_Live_Data!G41</x:f>
        <x:v>-15.042977474303433</x:v>
      </x:c>
    </x:row>
    <x:row r="43">
      <x:c r="A43" t="n">
        <x:f>Dashboard_Live_Data!D42</x:f>
        <x:v>-40</x:v>
      </x:c>
      <x:c r="B43" t="n">
        <x:f>Dashboard_Live_Data!E42</x:f>
        <x:v>197.66557297497732</x:v>
      </x:c>
      <x:c r="C43" t="n">
        <x:f>Dashboard_Live_Data!D42</x:f>
        <x:v>-40</x:v>
      </x:c>
      <x:c r="D43" t="n">
        <x:f>Dashboard_Live_Data!F42</x:f>
        <x:v>197.66557297497732</x:v>
      </x:c>
      <x:c r="E43" t="n">
        <x:f>Dashboard_Live_Data!D42</x:f>
        <x:v>-40</x:v>
      </x:c>
      <x:c r="F43" t="n">
        <x:f>Dashboard_Live_Data!G42</x:f>
        <x:v>-31.231711064274894</x:v>
      </x:c>
    </x:row>
    <x:row r="44">
      <x:c r="A44" t="n">
        <x:f>Dashboard_Live_Data!D43</x:f>
        <x:v>-39.5</x:v>
      </x:c>
      <x:c r="B44" t="n">
        <x:f>Dashboard_Live_Data!E43</x:f>
        <x:v>200.98178735327417</x:v>
      </x:c>
      <x:c r="C44" t="n">
        <x:f>Dashboard_Live_Data!D43</x:f>
        <x:v>-39.5</x:v>
      </x:c>
      <x:c r="D44" t="n">
        <x:f>Dashboard_Live_Data!F43</x:f>
        <x:v>200.98178735327417</x:v>
      </x:c>
      <x:c r="E44" t="n">
        <x:f>Dashboard_Live_Data!D43</x:f>
        <x:v>-39.5</x:v>
      </x:c>
      <x:c r="F44" t="n">
        <x:f>Dashboard_Live_Data!G43</x:f>
        <x:v>-33.241151326098546</x:v>
      </x:c>
    </x:row>
    <x:row r="45">
      <x:c r="A45" t="n">
        <x:f>Dashboard_Live_Data!D44</x:f>
        <x:v>-39</x:v>
      </x:c>
      <x:c r="B45" t="n">
        <x:f>Dashboard_Live_Data!E44</x:f>
        <x:v>184.54420924136062</x:v>
      </x:c>
      <x:c r="C45" t="n">
        <x:f>Dashboard_Live_Data!D44</x:f>
        <x:v>-39</x:v>
      </x:c>
      <x:c r="D45" t="n">
        <x:f>Dashboard_Live_Data!F44</x:f>
        <x:v>184.54420924136062</x:v>
      </x:c>
      <x:c r="E45" t="n">
        <x:f>Dashboard_Live_Data!D44</x:f>
        <x:v>-39</x:v>
      </x:c>
      <x:c r="F45" t="n">
        <x:f>Dashboard_Live_Data!G44</x:f>
        <x:v>-32.02020136507765</x:v>
      </x:c>
    </x:row>
    <x:row r="46">
      <x:c r="A46" t="n">
        <x:f>Dashboard_Live_Data!D45</x:f>
        <x:v>-38.5</x:v>
      </x:c>
      <x:c r="B46" t="n">
        <x:f>Dashboard_Live_Data!E45</x:f>
        <x:v>211.63430992610967</x:v>
      </x:c>
      <x:c r="C46" t="n">
        <x:f>Dashboard_Live_Data!D45</x:f>
        <x:v>-38.5</x:v>
      </x:c>
      <x:c r="D46" t="n">
        <x:f>Dashboard_Live_Data!F45</x:f>
        <x:v>211.63430992610967</x:v>
      </x:c>
      <x:c r="E46" t="n">
        <x:f>Dashboard_Live_Data!D45</x:f>
        <x:v>-38.5</x:v>
      </x:c>
      <x:c r="F46" t="n">
        <x:f>Dashboard_Live_Data!G45</x:f>
        <x:v>-34.295384147954024</x:v>
      </x:c>
    </x:row>
    <x:row r="47">
      <x:c r="A47" t="n">
        <x:f>Dashboard_Live_Data!D46</x:f>
        <x:v>-38</x:v>
      </x:c>
      <x:c r="B47" t="n">
        <x:f>Dashboard_Live_Data!E46</x:f>
        <x:v>202.93658014849487</x:v>
      </x:c>
      <x:c r="C47" t="n">
        <x:f>Dashboard_Live_Data!D46</x:f>
        <x:v>-38</x:v>
      </x:c>
      <x:c r="D47" t="n">
        <x:f>Dashboard_Live_Data!F46</x:f>
        <x:v>202.93658014849487</x:v>
      </x:c>
      <x:c r="E47" t="n">
        <x:f>Dashboard_Live_Data!D46</x:f>
        <x:v>-38</x:v>
      </x:c>
      <x:c r="F47" t="n">
        <x:f>Dashboard_Live_Data!G46</x:f>
        <x:v>-21.15737906152213</x:v>
      </x:c>
    </x:row>
    <x:row r="48">
      <x:c r="A48" t="n">
        <x:f>Dashboard_Live_Data!D47</x:f>
        <x:v>-37.5</x:v>
      </x:c>
      <x:c r="B48" t="n">
        <x:f>Dashboard_Live_Data!E47</x:f>
        <x:v>239.1871485288169</x:v>
      </x:c>
      <x:c r="C48" t="n">
        <x:f>Dashboard_Live_Data!D47</x:f>
        <x:v>-37.5</x:v>
      </x:c>
      <x:c r="D48" t="n">
        <x:f>Dashboard_Live_Data!F47</x:f>
        <x:v>239.1871485288169</x:v>
      </x:c>
      <x:c r="E48" t="n">
        <x:f>Dashboard_Live_Data!D47</x:f>
        <x:v>-37.5</x:v>
      </x:c>
      <x:c r="F48" t="n">
        <x:f>Dashboard_Live_Data!G47</x:f>
        <x:v>-18.69341167436205</x:v>
      </x:c>
    </x:row>
    <x:row r="49">
      <x:c r="A49" t="n">
        <x:f>Dashboard_Live_Data!D48</x:f>
        <x:v>-37</x:v>
      </x:c>
      <x:c r="B49" t="n">
        <x:f>Dashboard_Live_Data!E48</x:f>
        <x:v>236.18872035541293</x:v>
      </x:c>
      <x:c r="C49" t="n">
        <x:f>Dashboard_Live_Data!D48</x:f>
        <x:v>-37</x:v>
      </x:c>
      <x:c r="D49" t="n">
        <x:f>Dashboard_Live_Data!F48</x:f>
        <x:v>236.18872035541293</x:v>
      </x:c>
      <x:c r="E49" t="n">
        <x:f>Dashboard_Live_Data!D48</x:f>
        <x:v>-37</x:v>
      </x:c>
      <x:c r="F49" t="n">
        <x:f>Dashboard_Live_Data!G48</x:f>
        <x:v>-25.83766278531854</x:v>
      </x:c>
    </x:row>
    <x:row r="50">
      <x:c r="A50" t="n">
        <x:f>Dashboard_Live_Data!D49</x:f>
        <x:v>-36.5</x:v>
      </x:c>
      <x:c r="B50" t="n">
        <x:f>Dashboard_Live_Data!E49</x:f>
        <x:v>264.8535608975177</x:v>
      </x:c>
      <x:c r="C50" t="n">
        <x:f>Dashboard_Live_Data!D49</x:f>
        <x:v>-36.5</x:v>
      </x:c>
      <x:c r="D50" t="n">
        <x:f>Dashboard_Live_Data!F49</x:f>
        <x:v>264.8535608975177</x:v>
      </x:c>
      <x:c r="E50" t="n">
        <x:f>Dashboard_Live_Data!D49</x:f>
        <x:v>-36.5</x:v>
      </x:c>
      <x:c r="F50" t="n">
        <x:f>Dashboard_Live_Data!G49</x:f>
        <x:v>-21.548035323184823</x:v>
      </x:c>
    </x:row>
    <x:row r="51">
      <x:c r="A51" t="n">
        <x:f>Dashboard_Live_Data!D50</x:f>
        <x:v>-36</x:v>
      </x:c>
      <x:c r="B51" t="n">
        <x:f>Dashboard_Live_Data!E50</x:f>
        <x:v>273.24610443212225</x:v>
      </x:c>
      <x:c r="C51" t="n">
        <x:f>Dashboard_Live_Data!D50</x:f>
        <x:v>-36</x:v>
      </x:c>
      <x:c r="D51" t="n">
        <x:f>Dashboard_Live_Data!F50</x:f>
        <x:v>273.24610443212225</x:v>
      </x:c>
      <x:c r="E51" t="n">
        <x:f>Dashboard_Live_Data!D50</x:f>
        <x:v>-36</x:v>
      </x:c>
      <x:c r="F51" t="n">
        <x:f>Dashboard_Live_Data!G50</x:f>
        <x:v>-2.286662206392558</x:v>
      </x:c>
    </x:row>
    <x:row r="52">
      <x:c r="A52" t="n">
        <x:f>Dashboard_Live_Data!D51</x:f>
        <x:v>-35.5</x:v>
      </x:c>
      <x:c r="B52" t="n">
        <x:f>Dashboard_Live_Data!E51</x:f>
        <x:v>284.9525044867838</x:v>
      </x:c>
      <x:c r="C52" t="n">
        <x:f>Dashboard_Live_Data!D51</x:f>
        <x:v>-35.5</x:v>
      </x:c>
      <x:c r="D52" t="n">
        <x:f>Dashboard_Live_Data!F51</x:f>
        <x:v>284.9525044867838</x:v>
      </x:c>
      <x:c r="E52" t="n">
        <x:f>Dashboard_Live_Data!D51</x:f>
        <x:v>-35.5</x:v>
      </x:c>
      <x:c r="F52" t="n">
        <x:f>Dashboard_Live_Data!G51</x:f>
        <x:v>-0.6339718611461809</x:v>
      </x:c>
    </x:row>
    <x:row r="53">
      <x:c r="A53" t="n">
        <x:f>Dashboard_Live_Data!D52</x:f>
        <x:v>-35</x:v>
      </x:c>
      <x:c r="B53" t="n">
        <x:f>Dashboard_Live_Data!E52</x:f>
        <x:v>280.71344003946786</x:v>
      </x:c>
      <x:c r="C53" t="n">
        <x:f>Dashboard_Live_Data!D52</x:f>
        <x:v>-35</x:v>
      </x:c>
      <x:c r="D53" t="n">
        <x:f>Dashboard_Live_Data!F52</x:f>
        <x:v>280.71344003946786</x:v>
      </x:c>
      <x:c r="E53" t="n">
        <x:f>Dashboard_Live_Data!D52</x:f>
        <x:v>-35</x:v>
      </x:c>
      <x:c r="F53" t="n">
        <x:f>Dashboard_Live_Data!G52</x:f>
        <x:v>-9.708529731781153</x:v>
      </x:c>
    </x:row>
    <x:row r="54">
      <x:c r="A54" t="n">
        <x:f>Dashboard_Live_Data!D53</x:f>
        <x:v>-34.5</x:v>
      </x:c>
      <x:c r="B54" t="n">
        <x:f>Dashboard_Live_Data!E53</x:f>
        <x:v>316.314878049505</x:v>
      </x:c>
      <x:c r="C54" t="n">
        <x:f>Dashboard_Live_Data!D53</x:f>
        <x:v>-34.5</x:v>
      </x:c>
      <x:c r="D54" t="n">
        <x:f>Dashboard_Live_Data!F53</x:f>
        <x:v>316.314878049505</x:v>
      </x:c>
      <x:c r="E54" t="n">
        <x:f>Dashboard_Live_Data!D53</x:f>
        <x:v>-34.5</x:v>
      </x:c>
      <x:c r="F54" t="n">
        <x:f>Dashboard_Live_Data!G53</x:f>
        <x:v>-9.85965082687293</x:v>
      </x:c>
    </x:row>
    <x:row r="55">
      <x:c r="A55" t="n">
        <x:f>Dashboard_Live_Data!D54</x:f>
        <x:v>-34</x:v>
      </x:c>
      <x:c r="B55" t="n">
        <x:f>Dashboard_Live_Data!E54</x:f>
        <x:v>319.4152549266823</x:v>
      </x:c>
      <x:c r="C55" t="n">
        <x:f>Dashboard_Live_Data!D54</x:f>
        <x:v>-34</x:v>
      </x:c>
      <x:c r="D55" t="n">
        <x:f>Dashboard_Live_Data!F54</x:f>
        <x:v>319.4152549266823</x:v>
      </x:c>
      <x:c r="E55" t="n">
        <x:f>Dashboard_Live_Data!D54</x:f>
        <x:v>-34</x:v>
      </x:c>
      <x:c r="F55" t="n">
        <x:f>Dashboard_Live_Data!G54</x:f>
        <x:v>0.233219012771956</x:v>
      </x:c>
    </x:row>
    <x:row r="56">
      <x:c r="A56" t="n">
        <x:f>Dashboard_Live_Data!D55</x:f>
        <x:v>-33.5</x:v>
      </x:c>
      <x:c r="B56" t="n">
        <x:f>Dashboard_Live_Data!E55</x:f>
        <x:v>328.4448057508986</x:v>
      </x:c>
      <x:c r="C56" t="n">
        <x:f>Dashboard_Live_Data!D55</x:f>
        <x:v>-33.5</x:v>
      </x:c>
      <x:c r="D56" t="n">
        <x:f>Dashboard_Live_Data!F55</x:f>
        <x:v>328.4448057508986</x:v>
      </x:c>
      <x:c r="E56" t="n">
        <x:f>Dashboard_Live_Data!D55</x:f>
        <x:v>-33.5</x:v>
      </x:c>
      <x:c r="F56" t="n">
        <x:f>Dashboard_Live_Data!G55</x:f>
        <x:v>8.500195567439437</x:v>
      </x:c>
    </x:row>
    <x:row r="57">
      <x:c r="A57" t="n">
        <x:f>Dashboard_Live_Data!D56</x:f>
        <x:v>-33</x:v>
      </x:c>
      <x:c r="B57" t="n">
        <x:f>Dashboard_Live_Data!E56</x:f>
        <x:v>342.0571204684842</x:v>
      </x:c>
      <x:c r="C57" t="n">
        <x:f>Dashboard_Live_Data!D56</x:f>
        <x:v>-33</x:v>
      </x:c>
      <x:c r="D57" t="n">
        <x:f>Dashboard_Live_Data!F56</x:f>
        <x:v>342.0571204684842</x:v>
      </x:c>
      <x:c r="E57" t="n">
        <x:f>Dashboard_Live_Data!D56</x:f>
        <x:v>-33</x:v>
      </x:c>
      <x:c r="F57" t="n">
        <x:f>Dashboard_Live_Data!G56</x:f>
        <x:v>12.884972617306985</x:v>
      </x:c>
    </x:row>
    <x:row r="58">
      <x:c r="A58" t="n">
        <x:f>Dashboard_Live_Data!D57</x:f>
        <x:v>-32.5</x:v>
      </x:c>
      <x:c r="B58" t="n">
        <x:f>Dashboard_Live_Data!E57</x:f>
        <x:v>350.9183412247295</x:v>
      </x:c>
      <x:c r="C58" t="n">
        <x:f>Dashboard_Live_Data!D57</x:f>
        <x:v>-32.5</x:v>
      </x:c>
      <x:c r="D58" t="n">
        <x:f>Dashboard_Live_Data!F57</x:f>
        <x:v>350.9183412247295</x:v>
      </x:c>
      <x:c r="E58" t="n">
        <x:f>Dashboard_Live_Data!D57</x:f>
        <x:v>-32.5</x:v>
      </x:c>
      <x:c r="F58" t="n">
        <x:f>Dashboard_Live_Data!G57</x:f>
        <x:v>14.196906765365963</x:v>
      </x:c>
    </x:row>
    <x:row r="59">
      <x:c r="A59" t="n">
        <x:f>Dashboard_Live_Data!D58</x:f>
        <x:v>-32</x:v>
      </x:c>
      <x:c r="B59" t="n">
        <x:f>Dashboard_Live_Data!E58</x:f>
        <x:v>340.91681406553505</x:v>
      </x:c>
      <x:c r="C59" t="n">
        <x:f>Dashboard_Live_Data!D58</x:f>
        <x:v>-32</x:v>
      </x:c>
      <x:c r="D59" t="n">
        <x:f>Dashboard_Live_Data!F58</x:f>
        <x:v>340.91681406553505</x:v>
      </x:c>
      <x:c r="E59" t="n">
        <x:f>Dashboard_Live_Data!D58</x:f>
        <x:v>-32</x:v>
      </x:c>
      <x:c r="F59" t="n">
        <x:f>Dashboard_Live_Data!G58</x:f>
        <x:v>5.730826646134426</x:v>
      </x:c>
    </x:row>
    <x:row r="60">
      <x:c r="A60" t="n">
        <x:f>Dashboard_Live_Data!D59</x:f>
        <x:v>-31.5</x:v>
      </x:c>
      <x:c r="B60" t="n">
        <x:f>Dashboard_Live_Data!E59</x:f>
        <x:v>355.15219987006986</x:v>
      </x:c>
      <x:c r="C60" t="n">
        <x:f>Dashboard_Live_Data!D59</x:f>
        <x:v>-31.5</x:v>
      </x:c>
      <x:c r="D60" t="n">
        <x:f>Dashboard_Live_Data!F59</x:f>
        <x:v>355.15219987006986</x:v>
      </x:c>
      <x:c r="E60" t="n">
        <x:f>Dashboard_Live_Data!D59</x:f>
        <x:v>-31.5</x:v>
      </x:c>
      <x:c r="F60" t="n">
        <x:f>Dashboard_Live_Data!G59</x:f>
        <x:v>9.295817115602365</x:v>
      </x:c>
    </x:row>
    <x:row r="61">
      <x:c r="A61" t="n">
        <x:f>Dashboard_Live_Data!D60</x:f>
        <x:v>-31</x:v>
      </x:c>
      <x:c r="B61" t="n">
        <x:f>Dashboard_Live_Data!E60</x:f>
        <x:v>353.2610093246909</x:v>
      </x:c>
      <x:c r="C61" t="n">
        <x:f>Dashboard_Live_Data!D60</x:f>
        <x:v>-31</x:v>
      </x:c>
      <x:c r="D61" t="n">
        <x:f>Dashboard_Live_Data!F60</x:f>
        <x:v>353.2610093246909</x:v>
      </x:c>
      <x:c r="E61" t="n">
        <x:f>Dashboard_Live_Data!D60</x:f>
        <x:v>-31</x:v>
      </x:c>
      <x:c r="F61" t="n">
        <x:f>Dashboard_Live_Data!G60</x:f>
        <x:v>-13.189582675327635</x:v>
      </x:c>
    </x:row>
    <x:row r="62">
      <x:c r="A62" t="n">
        <x:f>Dashboard_Live_Data!D61</x:f>
        <x:v>-30.5</x:v>
      </x:c>
      <x:c r="B62" t="n">
        <x:f>Dashboard_Live_Data!E61</x:f>
        <x:v>338.6571544092517</x:v>
      </x:c>
      <x:c r="C62" t="n">
        <x:f>Dashboard_Live_Data!D61</x:f>
        <x:v>-30.5</x:v>
      </x:c>
      <x:c r="D62" t="n">
        <x:f>Dashboard_Live_Data!F61</x:f>
        <x:v>338.6571544092517</x:v>
      </x:c>
      <x:c r="E62" t="n">
        <x:f>Dashboard_Live_Data!D61</x:f>
        <x:v>-30.5</x:v>
      </x:c>
      <x:c r="F62" t="n">
        <x:f>Dashboard_Live_Data!G61</x:f>
        <x:v>-7.467318037700602</x:v>
      </x:c>
    </x:row>
    <x:row r="63">
      <x:c r="A63" t="n">
        <x:f>Dashboard_Live_Data!D62</x:f>
        <x:v>-30</x:v>
      </x:c>
      <x:c r="B63" t="n">
        <x:f>Dashboard_Live_Data!E62</x:f>
        <x:v>336.97644838088075</x:v>
      </x:c>
      <x:c r="C63" t="n">
        <x:f>Dashboard_Live_Data!D62</x:f>
        <x:v>-30</x:v>
      </x:c>
      <x:c r="D63" t="n">
        <x:f>Dashboard_Live_Data!F62</x:f>
        <x:v>336.97644838088075</x:v>
      </x:c>
      <x:c r="E63" t="n">
        <x:f>Dashboard_Live_Data!D62</x:f>
        <x:v>-30</x:v>
      </x:c>
      <x:c r="F63" t="n">
        <x:f>Dashboard_Live_Data!G62</x:f>
        <x:v>-17.51801383367469</x:v>
      </x:c>
    </x:row>
    <x:row r="64">
      <x:c r="A64" t="n">
        <x:f>Dashboard_Live_Data!D63</x:f>
        <x:v>-29.5</x:v>
      </x:c>
      <x:c r="B64" t="n">
        <x:f>Dashboard_Live_Data!E63</x:f>
        <x:v>326.24732503276135</x:v>
      </x:c>
      <x:c r="C64" t="n">
        <x:f>Dashboard_Live_Data!D63</x:f>
        <x:v>-29.5</x:v>
      </x:c>
      <x:c r="D64" t="n">
        <x:f>Dashboard_Live_Data!F63</x:f>
        <x:v>326.24732503276135</x:v>
      </x:c>
      <x:c r="E64" t="n">
        <x:f>Dashboard_Live_Data!D63</x:f>
        <x:v>-29.5</x:v>
      </x:c>
      <x:c r="F64" t="n">
        <x:f>Dashboard_Live_Data!G63</x:f>
        <x:v>-36.167878297776255</x:v>
      </x:c>
    </x:row>
    <x:row r="65">
      <x:c r="A65" t="n">
        <x:f>Dashboard_Live_Data!D64</x:f>
        <x:v>-29</x:v>
      </x:c>
      <x:c r="B65" t="n">
        <x:f>Dashboard_Live_Data!E64</x:f>
        <x:v>331.8773601232655</x:v>
      </x:c>
      <x:c r="C65" t="n">
        <x:f>Dashboard_Live_Data!D64</x:f>
        <x:v>-29</x:v>
      </x:c>
      <x:c r="D65" t="n">
        <x:f>Dashboard_Live_Data!F64</x:f>
        <x:v>331.8773601232655</x:v>
      </x:c>
      <x:c r="E65" t="n">
        <x:f>Dashboard_Live_Data!D64</x:f>
        <x:v>-29</x:v>
      </x:c>
      <x:c r="F65" t="n">
        <x:f>Dashboard_Live_Data!G64</x:f>
        <x:v>-22.86382175599607</x:v>
      </x:c>
    </x:row>
    <x:row r="66">
      <x:c r="A66" t="n">
        <x:f>Dashboard_Live_Data!D65</x:f>
        <x:v>-28.5</x:v>
      </x:c>
      <x:c r="B66" t="n">
        <x:f>Dashboard_Live_Data!E65</x:f>
        <x:v>310.24247262167495</x:v>
      </x:c>
      <x:c r="C66" t="n">
        <x:f>Dashboard_Live_Data!D65</x:f>
        <x:v>-28.5</x:v>
      </x:c>
      <x:c r="D66" t="n">
        <x:f>Dashboard_Live_Data!F65</x:f>
        <x:v>310.24247262167495</x:v>
      </x:c>
      <x:c r="E66" t="n">
        <x:f>Dashboard_Live_Data!D65</x:f>
        <x:v>-28.5</x:v>
      </x:c>
      <x:c r="F66" t="n">
        <x:f>Dashboard_Live_Data!G65</x:f>
        <x:v>-29.731374520275047</x:v>
      </x:c>
    </x:row>
    <x:row r="67">
      <x:c r="A67" t="n">
        <x:f>Dashboard_Live_Data!D66</x:f>
        <x:v>-28</x:v>
      </x:c>
      <x:c r="B67" t="n">
        <x:f>Dashboard_Live_Data!E66</x:f>
        <x:v>313.2831784265769</x:v>
      </x:c>
      <x:c r="C67" t="n">
        <x:f>Dashboard_Live_Data!D66</x:f>
        <x:v>-28</x:v>
      </x:c>
      <x:c r="D67" t="n">
        <x:f>Dashboard_Live_Data!F66</x:f>
        <x:v>313.2831784265769</x:v>
      </x:c>
      <x:c r="E67" t="n">
        <x:f>Dashboard_Live_Data!D66</x:f>
        <x:v>-28</x:v>
      </x:c>
      <x:c r="F67" t="n">
        <x:f>Dashboard_Live_Data!G66</x:f>
        <x:v>-53.01751827704016</x:v>
      </x:c>
    </x:row>
    <x:row r="68">
      <x:c r="A68" t="n">
        <x:f>Dashboard_Live_Data!D67</x:f>
        <x:v>-27.5</x:v>
      </x:c>
      <x:c r="B68" t="n">
        <x:f>Dashboard_Live_Data!E67</x:f>
        <x:v>296.8437612590685</x:v>
      </x:c>
      <x:c r="C68" t="n">
        <x:f>Dashboard_Live_Data!D67</x:f>
        <x:v>-27.5</x:v>
      </x:c>
      <x:c r="D68" t="n">
        <x:f>Dashboard_Live_Data!F67</x:f>
        <x:v>296.8437612590685</x:v>
      </x:c>
      <x:c r="E68" t="n">
        <x:f>Dashboard_Live_Data!D67</x:f>
        <x:v>-27.5</x:v>
      </x:c>
      <x:c r="F68" t="n">
        <x:f>Dashboard_Live_Data!G67</x:f>
        <x:v>-63.02108594889231</x:v>
      </x:c>
    </x:row>
    <x:row r="69">
      <x:c r="A69" t="n">
        <x:f>Dashboard_Live_Data!D68</x:f>
        <x:v>-27</x:v>
      </x:c>
      <x:c r="B69" t="n">
        <x:f>Dashboard_Live_Data!E68</x:f>
        <x:v>289.34226854097847</x:v>
      </x:c>
      <x:c r="C69" t="n">
        <x:f>Dashboard_Live_Data!D68</x:f>
        <x:v>-27</x:v>
      </x:c>
      <x:c r="D69" t="n">
        <x:f>Dashboard_Live_Data!F68</x:f>
        <x:v>289.34226854097847</x:v>
      </x:c>
      <x:c r="E69" t="n">
        <x:f>Dashboard_Live_Data!D68</x:f>
        <x:v>-27</x:v>
      </x:c>
      <x:c r="F69" t="n">
        <x:f>Dashboard_Live_Data!G68</x:f>
        <x:v>-69.67153928411518</x:v>
      </x:c>
    </x:row>
    <x:row r="70">
      <x:c r="A70" t="n">
        <x:f>Dashboard_Live_Data!D69</x:f>
        <x:v>-26.5</x:v>
      </x:c>
      <x:c r="B70" t="n">
        <x:f>Dashboard_Live_Data!E69</x:f>
        <x:v>290.55977847508683</x:v>
      </x:c>
      <x:c r="C70" t="n">
        <x:f>Dashboard_Live_Data!D69</x:f>
        <x:v>-26.5</x:v>
      </x:c>
      <x:c r="D70" t="n">
        <x:f>Dashboard_Live_Data!F69</x:f>
        <x:v>290.55977847508683</x:v>
      </x:c>
      <x:c r="E70" t="n">
        <x:f>Dashboard_Live_Data!D69</x:f>
        <x:v>-26.5</x:v>
      </x:c>
      <x:c r="F70" t="n">
        <x:f>Dashboard_Live_Data!G69</x:f>
        <x:v>-78.11942002863731</x:v>
      </x:c>
    </x:row>
    <x:row r="71">
      <x:c r="A71" t="n">
        <x:f>Dashboard_Live_Data!D70</x:f>
        <x:v>-26</x:v>
      </x:c>
      <x:c r="B71" t="n">
        <x:f>Dashboard_Live_Data!E70</x:f>
        <x:v>271.74352983421755</x:v>
      </x:c>
      <x:c r="C71" t="n">
        <x:f>Dashboard_Live_Data!D70</x:f>
        <x:v>-26</x:v>
      </x:c>
      <x:c r="D71" t="n">
        <x:f>Dashboard_Live_Data!F70</x:f>
        <x:v>271.74352983421755</x:v>
      </x:c>
      <x:c r="E71" t="n">
        <x:f>Dashboard_Live_Data!D70</x:f>
        <x:v>-26</x:v>
      </x:c>
      <x:c r="F71" t="n">
        <x:f>Dashboard_Live_Data!G70</x:f>
        <x:v>-82.17349441978894</x:v>
      </x:c>
    </x:row>
    <x:row r="72">
      <x:c r="A72" t="n">
        <x:f>Dashboard_Live_Data!D71</x:f>
        <x:v>-25.5</x:v>
      </x:c>
      <x:c r="B72" t="n">
        <x:f>Dashboard_Live_Data!E71</x:f>
        <x:v>271.72277085410076</x:v>
      </x:c>
      <x:c r="C72" t="n">
        <x:f>Dashboard_Live_Data!D71</x:f>
        <x:v>-25.5</x:v>
      </x:c>
      <x:c r="D72" t="n">
        <x:f>Dashboard_Live_Data!F71</x:f>
        <x:v>271.72277085410076</x:v>
      </x:c>
      <x:c r="E72" t="n">
        <x:f>Dashboard_Live_Data!D71</x:f>
        <x:v>-25.5</x:v>
      </x:c>
      <x:c r="F72" t="n">
        <x:f>Dashboard_Live_Data!G71</x:f>
        <x:v>-104.31813701930129</x:v>
      </x:c>
    </x:row>
    <x:row r="73">
      <x:c r="A73" t="n">
        <x:f>Dashboard_Live_Data!D72</x:f>
        <x:v>-25</x:v>
      </x:c>
      <x:c r="B73" t="n">
        <x:f>Dashboard_Live_Data!E72</x:f>
        <x:v>260.2713841318971</x:v>
      </x:c>
      <x:c r="C73" t="n">
        <x:f>Dashboard_Live_Data!D72</x:f>
        <x:v>-25</x:v>
      </x:c>
      <x:c r="D73" t="n">
        <x:f>Dashboard_Live_Data!F72</x:f>
        <x:v>260.2713841318971</x:v>
      </x:c>
      <x:c r="E73" t="n">
        <x:f>Dashboard_Live_Data!D72</x:f>
        <x:v>-25</x:v>
      </x:c>
      <x:c r="F73" t="n">
        <x:f>Dashboard_Live_Data!G72</x:f>
        <x:v>-97.55297588358108</x:v>
      </x:c>
    </x:row>
    <x:row r="74">
      <x:c r="A74" t="n">
        <x:f>Dashboard_Live_Data!D73</x:f>
        <x:v>-24.5</x:v>
      </x:c>
      <x:c r="B74" t="n">
        <x:f>Dashboard_Live_Data!E73</x:f>
        <x:v>276.49363528949897</x:v>
      </x:c>
      <x:c r="C74" t="n">
        <x:f>Dashboard_Live_Data!D73</x:f>
        <x:v>-24.5</x:v>
      </x:c>
      <x:c r="D74" t="n">
        <x:f>Dashboard_Live_Data!F73</x:f>
        <x:v>276.49363528949897</x:v>
      </x:c>
      <x:c r="E74" t="n">
        <x:f>Dashboard_Live_Data!D73</x:f>
        <x:v>-24.5</x:v>
      </x:c>
      <x:c r="F74" t="n">
        <x:f>Dashboard_Live_Data!G73</x:f>
        <x:v>-113.61582851930044</x:v>
      </x:c>
    </x:row>
    <x:row r="75">
      <x:c r="A75" t="n">
        <x:f>Dashboard_Live_Data!D74</x:f>
        <x:v>-24</x:v>
      </x:c>
      <x:c r="B75" t="n">
        <x:f>Dashboard_Live_Data!E74</x:f>
        <x:v>268.5791759815676</x:v>
      </x:c>
      <x:c r="C75" t="n">
        <x:f>Dashboard_Live_Data!D74</x:f>
        <x:v>-24</x:v>
      </x:c>
      <x:c r="D75" t="n">
        <x:f>Dashboard_Live_Data!F74</x:f>
        <x:v>268.5791759815676</x:v>
      </x:c>
      <x:c r="E75" t="n">
        <x:f>Dashboard_Live_Data!D74</x:f>
        <x:v>-24</x:v>
      </x:c>
      <x:c r="F75" t="n">
        <x:f>Dashboard_Live_Data!G74</x:f>
        <x:v>-111.48853690711687</x:v>
      </x:c>
    </x:row>
    <x:row r="76">
      <x:c r="A76" t="n">
        <x:f>Dashboard_Live_Data!D75</x:f>
        <x:v>-23.5</x:v>
      </x:c>
      <x:c r="B76" t="n">
        <x:f>Dashboard_Live_Data!E75</x:f>
        <x:v>273.93459884711217</x:v>
      </x:c>
      <x:c r="C76" t="n">
        <x:f>Dashboard_Live_Data!D75</x:f>
        <x:v>-23.5</x:v>
      </x:c>
      <x:c r="D76" t="n">
        <x:f>Dashboard_Live_Data!F75</x:f>
        <x:v>273.93459884711217</x:v>
      </x:c>
      <x:c r="E76" t="n">
        <x:f>Dashboard_Live_Data!D75</x:f>
        <x:v>-23.5</x:v>
      </x:c>
      <x:c r="F76" t="n">
        <x:f>Dashboard_Live_Data!G75</x:f>
        <x:v>-125.65162794647964</x:v>
      </x:c>
    </x:row>
    <x:row r="77">
      <x:c r="A77" t="n">
        <x:f>Dashboard_Live_Data!D76</x:f>
        <x:v>-23</x:v>
      </x:c>
      <x:c r="B77" t="n">
        <x:f>Dashboard_Live_Data!E76</x:f>
        <x:v>279.55588840773</x:v>
      </x:c>
      <x:c r="C77" t="n">
        <x:f>Dashboard_Live_Data!D76</x:f>
        <x:v>-23</x:v>
      </x:c>
      <x:c r="D77" t="n">
        <x:f>Dashboard_Live_Data!F76</x:f>
        <x:v>279.55588840773</x:v>
      </x:c>
      <x:c r="E77" t="n">
        <x:f>Dashboard_Live_Data!D76</x:f>
        <x:v>-23</x:v>
      </x:c>
      <x:c r="F77" t="n">
        <x:f>Dashboard_Live_Data!G76</x:f>
        <x:v>-132.5457898426781</x:v>
      </x:c>
    </x:row>
    <x:row r="78">
      <x:c r="A78" t="n">
        <x:f>Dashboard_Live_Data!D77</x:f>
        <x:v>-22.5</x:v>
      </x:c>
      <x:c r="B78" t="n">
        <x:f>Dashboard_Live_Data!E77</x:f>
        <x:v>286.69936407981004</x:v>
      </x:c>
      <x:c r="C78" t="n">
        <x:f>Dashboard_Live_Data!D77</x:f>
        <x:v>-22.5</x:v>
      </x:c>
      <x:c r="D78" t="n">
        <x:f>Dashboard_Live_Data!F77</x:f>
        <x:v>286.69936407981004</x:v>
      </x:c>
      <x:c r="E78" t="n">
        <x:f>Dashboard_Live_Data!D77</x:f>
        <x:v>-22.5</x:v>
      </x:c>
      <x:c r="F78" t="n">
        <x:f>Dashboard_Live_Data!G77</x:f>
        <x:v>-138.29494668428998</x:v>
      </x:c>
    </x:row>
    <x:row r="79">
      <x:c r="A79" t="n">
        <x:f>Dashboard_Live_Data!D78</x:f>
        <x:v>-22</x:v>
      </x:c>
      <x:c r="B79" t="n">
        <x:f>Dashboard_Live_Data!E78</x:f>
        <x:v>316.60820817766927</x:v>
      </x:c>
      <x:c r="C79" t="n">
        <x:f>Dashboard_Live_Data!D78</x:f>
        <x:v>-22</x:v>
      </x:c>
      <x:c r="D79" t="n">
        <x:f>Dashboard_Live_Data!F78</x:f>
        <x:v>316.60820817766927</x:v>
      </x:c>
      <x:c r="E79" t="n">
        <x:f>Dashboard_Live_Data!D78</x:f>
        <x:v>-22</x:v>
      </x:c>
      <x:c r="F79" t="n">
        <x:f>Dashboard_Live_Data!G78</x:f>
        <x:v>-144.0992283446906</x:v>
      </x:c>
    </x:row>
    <x:row r="80">
      <x:c r="A80" t="n">
        <x:f>Dashboard_Live_Data!D79</x:f>
        <x:v>-21.5</x:v>
      </x:c>
      <x:c r="B80" t="n">
        <x:f>Dashboard_Live_Data!E79</x:f>
        <x:v>332.44947759769417</x:v>
      </x:c>
      <x:c r="C80" t="n">
        <x:f>Dashboard_Live_Data!D79</x:f>
        <x:v>-21.5</x:v>
      </x:c>
      <x:c r="D80" t="n">
        <x:f>Dashboard_Live_Data!F79</x:f>
        <x:v>332.44947759769417</x:v>
      </x:c>
      <x:c r="E80" t="n">
        <x:f>Dashboard_Live_Data!D79</x:f>
        <x:v>-21.5</x:v>
      </x:c>
      <x:c r="F80" t="n">
        <x:f>Dashboard_Live_Data!G79</x:f>
        <x:v>-156.9345481530768</x:v>
      </x:c>
    </x:row>
    <x:row r="81">
      <x:c r="A81" t="n">
        <x:f>Dashboard_Live_Data!D80</x:f>
        <x:v>-21</x:v>
      </x:c>
      <x:c r="B81" t="n">
        <x:f>Dashboard_Live_Data!E80</x:f>
        <x:v>317.91812880175183</x:v>
      </x:c>
      <x:c r="C81" t="n">
        <x:f>Dashboard_Live_Data!D80</x:f>
        <x:v>-21</x:v>
      </x:c>
      <x:c r="D81" t="n">
        <x:f>Dashboard_Live_Data!F80</x:f>
        <x:v>317.91812880175183</x:v>
      </x:c>
      <x:c r="E81" t="n">
        <x:f>Dashboard_Live_Data!D80</x:f>
        <x:v>-21</x:v>
      </x:c>
      <x:c r="F81" t="n">
        <x:f>Dashboard_Live_Data!G80</x:f>
        <x:v>-142.37794992196604</x:v>
      </x:c>
    </x:row>
    <x:row r="82">
      <x:c r="A82" t="n">
        <x:f>Dashboard_Live_Data!D81</x:f>
        <x:v>-20.5</x:v>
      </x:c>
      <x:c r="B82" t="n">
        <x:f>Dashboard_Live_Data!E81</x:f>
        <x:v>343.37986587370784</x:v>
      </x:c>
      <x:c r="C82" t="n">
        <x:f>Dashboard_Live_Data!D81</x:f>
        <x:v>-20.5</x:v>
      </x:c>
      <x:c r="D82" t="n">
        <x:f>Dashboard_Live_Data!F81</x:f>
        <x:v>343.37986587370784</x:v>
      </x:c>
      <x:c r="E82" t="n">
        <x:f>Dashboard_Live_Data!D81</x:f>
        <x:v>-20.5</x:v>
      </x:c>
      <x:c r="F82" t="n">
        <x:f>Dashboard_Live_Data!G81</x:f>
        <x:v>-140.5508651158499</x:v>
      </x:c>
    </x:row>
    <x:row r="83">
      <x:c r="A83" t="n">
        <x:f>Dashboard_Live_Data!D82</x:f>
        <x:v>-20</x:v>
      </x:c>
      <x:c r="B83" t="n">
        <x:f>Dashboard_Live_Data!E82</x:f>
        <x:v>338.15830709992554</x:v>
      </x:c>
      <x:c r="C83" t="n">
        <x:f>Dashboard_Live_Data!D82</x:f>
        <x:v>-20</x:v>
      </x:c>
      <x:c r="D83" t="n">
        <x:f>Dashboard_Live_Data!F82</x:f>
        <x:v>338.15830709992554</x:v>
      </x:c>
      <x:c r="E83" t="n">
        <x:f>Dashboard_Live_Data!D82</x:f>
        <x:v>-20</x:v>
      </x:c>
      <x:c r="F83" t="n">
        <x:f>Dashboard_Live_Data!G82</x:f>
        <x:v>-146.32822187126578</x:v>
      </x:c>
    </x:row>
    <x:row r="84">
      <x:c r="A84" t="n">
        <x:f>Dashboard_Live_Data!D83</x:f>
        <x:v>-19.5</x:v>
      </x:c>
      <x:c r="B84" t="n">
        <x:f>Dashboard_Live_Data!E83</x:f>
        <x:v>363.81454233496186</x:v>
      </x:c>
      <x:c r="C84" t="n">
        <x:f>Dashboard_Live_Data!D83</x:f>
        <x:v>-19.5</x:v>
      </x:c>
      <x:c r="D84" t="n">
        <x:f>Dashboard_Live_Data!F83</x:f>
        <x:v>363.81454233496186</x:v>
      </x:c>
      <x:c r="E84" t="n">
        <x:f>Dashboard_Live_Data!D83</x:f>
        <x:v>-19.5</x:v>
      </x:c>
      <x:c r="F84" t="n">
        <x:f>Dashboard_Live_Data!G83</x:f>
        <x:v>-140.0483381286437</x:v>
      </x:c>
    </x:row>
    <x:row r="85">
      <x:c r="A85" t="n">
        <x:f>Dashboard_Live_Data!D84</x:f>
        <x:v>-19</x:v>
      </x:c>
      <x:c r="B85" t="n">
        <x:f>Dashboard_Live_Data!E84</x:f>
        <x:v>371.18641988344854</x:v>
      </x:c>
      <x:c r="C85" t="n">
        <x:f>Dashboard_Live_Data!D84</x:f>
        <x:v>-19</x:v>
      </x:c>
      <x:c r="D85" t="n">
        <x:f>Dashboard_Live_Data!F84</x:f>
        <x:v>371.18641988344854</x:v>
      </x:c>
      <x:c r="E85" t="n">
        <x:f>Dashboard_Live_Data!D84</x:f>
        <x:v>-19</x:v>
      </x:c>
      <x:c r="F85" t="n">
        <x:f>Dashboard_Live_Data!G84</x:f>
        <x:v>-144.88352309984418</x:v>
      </x:c>
    </x:row>
    <x:row r="86">
      <x:c r="A86" t="n">
        <x:f>Dashboard_Live_Data!D85</x:f>
        <x:v>-18.5</x:v>
      </x:c>
      <x:c r="B86" t="n">
        <x:f>Dashboard_Live_Data!E85</x:f>
        <x:v>365.6884368087795</x:v>
      </x:c>
      <x:c r="C86" t="n">
        <x:f>Dashboard_Live_Data!D85</x:f>
        <x:v>-18.5</x:v>
      </x:c>
      <x:c r="D86" t="n">
        <x:f>Dashboard_Live_Data!F85</x:f>
        <x:v>365.6884368087795</x:v>
      </x:c>
      <x:c r="E86" t="n">
        <x:f>Dashboard_Live_Data!D85</x:f>
        <x:v>-18.5</x:v>
      </x:c>
      <x:c r="F86" t="n">
        <x:f>Dashboard_Live_Data!G85</x:f>
        <x:v>-136.66366560462208</x:v>
      </x:c>
    </x:row>
    <x:row r="87">
      <x:c r="A87" t="n">
        <x:f>Dashboard_Live_Data!D86</x:f>
        <x:v>-18</x:v>
      </x:c>
      <x:c r="B87" t="n">
        <x:f>Dashboard_Live_Data!E86</x:f>
        <x:v>392.0220541536099</x:v>
      </x:c>
      <x:c r="C87" t="n">
        <x:f>Dashboard_Live_Data!D86</x:f>
        <x:v>-18</x:v>
      </x:c>
      <x:c r="D87" t="n">
        <x:f>Dashboard_Live_Data!F86</x:f>
        <x:v>392.0220541536099</x:v>
      </x:c>
      <x:c r="E87" t="n">
        <x:f>Dashboard_Live_Data!D86</x:f>
        <x:v>-18</x:v>
      </x:c>
      <x:c r="F87" t="n">
        <x:f>Dashboard_Live_Data!G86</x:f>
        <x:v>-149.12259877495586</x:v>
      </x:c>
    </x:row>
    <x:row r="88">
      <x:c r="A88" t="n">
        <x:f>Dashboard_Live_Data!D87</x:f>
        <x:v>-17.5</x:v>
      </x:c>
      <x:c r="B88" t="n">
        <x:f>Dashboard_Live_Data!E87</x:f>
        <x:v>397.07097057156574</x:v>
      </x:c>
      <x:c r="C88" t="n">
        <x:f>Dashboard_Live_Data!D87</x:f>
        <x:v>-17.5</x:v>
      </x:c>
      <x:c r="D88" t="n">
        <x:f>Dashboard_Live_Data!F87</x:f>
        <x:v>397.07097057156574</x:v>
      </x:c>
      <x:c r="E88" t="n">
        <x:f>Dashboard_Live_Data!D87</x:f>
        <x:v>-17.5</x:v>
      </x:c>
      <x:c r="F88" t="n">
        <x:f>Dashboard_Live_Data!G87</x:f>
        <x:v>-139.0731304771746</x:v>
      </x:c>
    </x:row>
    <x:row r="89">
      <x:c r="A89" t="n">
        <x:f>Dashboard_Live_Data!D88</x:f>
        <x:v>-17</x:v>
      </x:c>
      <x:c r="B89" t="n">
        <x:f>Dashboard_Live_Data!E88</x:f>
        <x:v>381.37310246850825</x:v>
      </x:c>
      <x:c r="C89" t="n">
        <x:f>Dashboard_Live_Data!D88</x:f>
        <x:v>-17</x:v>
      </x:c>
      <x:c r="D89" t="n">
        <x:f>Dashboard_Live_Data!F88</x:f>
        <x:v>381.37310246850825</x:v>
      </x:c>
      <x:c r="E89" t="n">
        <x:f>Dashboard_Live_Data!D88</x:f>
        <x:v>-17</x:v>
      </x:c>
      <x:c r="F89" t="n">
        <x:f>Dashboard_Live_Data!G88</x:f>
        <x:v>-125.70874899839603</x:v>
      </x:c>
    </x:row>
    <x:row r="90">
      <x:c r="A90" t="n">
        <x:f>Dashboard_Live_Data!D89</x:f>
        <x:v>-16.5</x:v>
      </x:c>
      <x:c r="B90" t="n">
        <x:f>Dashboard_Live_Data!E89</x:f>
        <x:v>387.1431058674635</x:v>
      </x:c>
      <x:c r="C90" t="n">
        <x:f>Dashboard_Live_Data!D89</x:f>
        <x:v>-16.5</x:v>
      </x:c>
      <x:c r="D90" t="n">
        <x:f>Dashboard_Live_Data!F89</x:f>
        <x:v>387.1431058674635</x:v>
      </x:c>
      <x:c r="E90" t="n">
        <x:f>Dashboard_Live_Data!D89</x:f>
        <x:v>-16.5</x:v>
      </x:c>
      <x:c r="F90" t="n">
        <x:f>Dashboard_Live_Data!G89</x:f>
        <x:v>-123.86861357235706</x:v>
      </x:c>
    </x:row>
    <x:row r="91">
      <x:c r="A91" t="n">
        <x:f>Dashboard_Live_Data!D90</x:f>
        <x:v>-16</x:v>
      </x:c>
      <x:c r="B91" t="n">
        <x:f>Dashboard_Live_Data!E90</x:f>
        <x:v>413.2956148642764</x:v>
      </x:c>
      <x:c r="C91" t="n">
        <x:f>Dashboard_Live_Data!D90</x:f>
        <x:v>-16</x:v>
      </x:c>
      <x:c r="D91" t="n">
        <x:f>Dashboard_Live_Data!F90</x:f>
        <x:v>413.2956148642764</x:v>
      </x:c>
      <x:c r="E91" t="n">
        <x:f>Dashboard_Live_Data!D90</x:f>
        <x:v>-16</x:v>
      </x:c>
      <x:c r="F91" t="n">
        <x:f>Dashboard_Live_Data!G90</x:f>
        <x:v>-97.48037396441562</x:v>
      </x:c>
    </x:row>
    <x:row r="92">
      <x:c r="A92" t="n">
        <x:f>Dashboard_Live_Data!D91</x:f>
        <x:v>-15.5</x:v>
      </x:c>
      <x:c r="B92" t="n">
        <x:f>Dashboard_Live_Data!E91</x:f>
        <x:v>405.1793484681727</x:v>
      </x:c>
      <x:c r="C92" t="n">
        <x:f>Dashboard_Live_Data!D91</x:f>
        <x:v>-15.5</x:v>
      </x:c>
      <x:c r="D92" t="n">
        <x:f>Dashboard_Live_Data!F91</x:f>
        <x:v>405.1793484681727</x:v>
      </x:c>
      <x:c r="E92" t="n">
        <x:f>Dashboard_Live_Data!D91</x:f>
        <x:v>-15.5</x:v>
      </x:c>
      <x:c r="F92" t="n">
        <x:f>Dashboard_Live_Data!G91</x:f>
        <x:v>-109.31712972071381</x:v>
      </x:c>
    </x:row>
    <x:row r="93">
      <x:c r="A93" t="n">
        <x:f>Dashboard_Live_Data!D92</x:f>
        <x:v>-15</x:v>
      </x:c>
      <x:c r="B93" t="n">
        <x:f>Dashboard_Live_Data!E92</x:f>
        <x:v>416.63024006091615</x:v>
      </x:c>
      <x:c r="C93" t="n">
        <x:f>Dashboard_Live_Data!D92</x:f>
        <x:v>-15</x:v>
      </x:c>
      <x:c r="D93" t="n">
        <x:f>Dashboard_Live_Data!F92</x:f>
        <x:v>416.63024006091615</x:v>
      </x:c>
      <x:c r="E93" t="n">
        <x:f>Dashboard_Live_Data!D92</x:f>
        <x:v>-15</x:v>
      </x:c>
      <x:c r="F93" t="n">
        <x:f>Dashboard_Live_Data!G92</x:f>
        <x:v>-90.49530902944495</x:v>
      </x:c>
    </x:row>
    <x:row r="94">
      <x:c r="A94" t="n">
        <x:f>Dashboard_Live_Data!D93</x:f>
        <x:v>-14.5</x:v>
      </x:c>
      <x:c r="B94" t="n">
        <x:f>Dashboard_Live_Data!E93</x:f>
        <x:v>425.31373753688456</x:v>
      </x:c>
      <x:c r="C94" t="n">
        <x:f>Dashboard_Live_Data!D93</x:f>
        <x:v>-14.5</x:v>
      </x:c>
      <x:c r="D94" t="n">
        <x:f>Dashboard_Live_Data!F93</x:f>
        <x:v>425.31373753688456</x:v>
      </x:c>
      <x:c r="E94" t="n">
        <x:f>Dashboard_Live_Data!D93</x:f>
        <x:v>-14.5</x:v>
      </x:c>
      <x:c r="F94" t="n">
        <x:f>Dashboard_Live_Data!G93</x:f>
        <x:v>-86.65248482679937</x:v>
      </x:c>
    </x:row>
    <x:row r="95">
      <x:c r="A95" t="n">
        <x:f>Dashboard_Live_Data!D94</x:f>
        <x:v>-14</x:v>
      </x:c>
      <x:c r="B95" t="n">
        <x:f>Dashboard_Live_Data!E94</x:f>
        <x:v>420.9575928892744</x:v>
      </x:c>
      <x:c r="C95" t="n">
        <x:f>Dashboard_Live_Data!D94</x:f>
        <x:v>-14</x:v>
      </x:c>
      <x:c r="D95" t="n">
        <x:f>Dashboard_Live_Data!F94</x:f>
        <x:v>420.9575928892744</x:v>
      </x:c>
      <x:c r="E95" t="n">
        <x:f>Dashboard_Live_Data!D94</x:f>
        <x:v>-14</x:v>
      </x:c>
      <x:c r="F95" t="n">
        <x:f>Dashboard_Live_Data!G94</x:f>
        <x:v>-84.36597258140502</x:v>
      </x:c>
    </x:row>
    <x:row r="96">
      <x:c r="A96" t="n">
        <x:f>Dashboard_Live_Data!D95</x:f>
        <x:v>-13.5</x:v>
      </x:c>
      <x:c r="B96" t="n">
        <x:f>Dashboard_Live_Data!E95</x:f>
        <x:v>418.7700178970381</x:v>
      </x:c>
      <x:c r="C96" t="n">
        <x:f>Dashboard_Live_Data!D95</x:f>
        <x:v>-13.5</x:v>
      </x:c>
      <x:c r="D96" t="n">
        <x:f>Dashboard_Live_Data!F95</x:f>
        <x:v>418.7700178970381</x:v>
      </x:c>
      <x:c r="E96" t="n">
        <x:f>Dashboard_Live_Data!D95</x:f>
        <x:v>-13.5</x:v>
      </x:c>
      <x:c r="F96" t="n">
        <x:f>Dashboard_Live_Data!G95</x:f>
        <x:v>-61.03205493353448</x:v>
      </x:c>
    </x:row>
    <x:row r="97">
      <x:c r="A97" t="n">
        <x:f>Dashboard_Live_Data!D96</x:f>
        <x:v>-13</x:v>
      </x:c>
      <x:c r="B97" t="n">
        <x:f>Dashboard_Live_Data!E96</x:f>
        <x:v>432.8844458249992</x:v>
      </x:c>
      <x:c r="C97" t="n">
        <x:f>Dashboard_Live_Data!D96</x:f>
        <x:v>-13</x:v>
      </x:c>
      <x:c r="D97" t="n">
        <x:f>Dashboard_Live_Data!F96</x:f>
        <x:v>432.8844458249992</x:v>
      </x:c>
      <x:c r="E97" t="n">
        <x:f>Dashboard_Live_Data!D96</x:f>
        <x:v>-13</x:v>
      </x:c>
      <x:c r="F97" t="n">
        <x:f>Dashboard_Live_Data!G96</x:f>
        <x:v>-64.09243482429542</x:v>
      </x:c>
    </x:row>
    <x:row r="98">
      <x:c r="A98" t="n">
        <x:f>Dashboard_Live_Data!D97</x:f>
        <x:v>-12.5</x:v>
      </x:c>
      <x:c r="B98" t="n">
        <x:f>Dashboard_Live_Data!E97</x:f>
        <x:v>448.8683161255995</x:v>
      </x:c>
      <x:c r="C98" t="n">
        <x:f>Dashboard_Live_Data!D97</x:f>
        <x:v>-12.5</x:v>
      </x:c>
      <x:c r="D98" t="n">
        <x:f>Dashboard_Live_Data!F97</x:f>
        <x:v>448.8683161255995</x:v>
      </x:c>
      <x:c r="E98" t="n">
        <x:f>Dashboard_Live_Data!D97</x:f>
        <x:v>-12.5</x:v>
      </x:c>
      <x:c r="F98" t="n">
        <x:f>Dashboard_Live_Data!G97</x:f>
        <x:v>-70.18392228131138</x:v>
      </x:c>
    </x:row>
    <x:row r="99">
      <x:c r="A99" t="n">
        <x:f>Dashboard_Live_Data!D98</x:f>
        <x:v>-12</x:v>
      </x:c>
      <x:c r="B99" t="n">
        <x:f>Dashboard_Live_Data!E98</x:f>
        <x:v>437.9918993099811</x:v>
      </x:c>
      <x:c r="C99" t="n">
        <x:f>Dashboard_Live_Data!D98</x:f>
        <x:v>-12</x:v>
      </x:c>
      <x:c r="D99" t="n">
        <x:f>Dashboard_Live_Data!F98</x:f>
        <x:v>437.9918993099811</x:v>
      </x:c>
      <x:c r="E99" t="n">
        <x:f>Dashboard_Live_Data!D98</x:f>
        <x:v>-12</x:v>
      </x:c>
      <x:c r="F99" t="n">
        <x:f>Dashboard_Live_Data!G98</x:f>
        <x:v>-47.55794552962975</x:v>
      </x:c>
    </x:row>
    <x:row r="100">
      <x:c r="A100" t="n">
        <x:f>Dashboard_Live_Data!D99</x:f>
        <x:v>-11.5</x:v>
      </x:c>
      <x:c r="B100" t="n">
        <x:f>Dashboard_Live_Data!E99</x:f>
        <x:v>458.910891472728</x:v>
      </x:c>
      <x:c r="C100" t="n">
        <x:f>Dashboard_Live_Data!D99</x:f>
        <x:v>-11.5</x:v>
      </x:c>
      <x:c r="D100" t="n">
        <x:f>Dashboard_Live_Data!F99</x:f>
        <x:v>458.910891472728</x:v>
      </x:c>
      <x:c r="E100" t="n">
        <x:f>Dashboard_Live_Data!D99</x:f>
        <x:v>-11.5</x:v>
      </x:c>
      <x:c r="F100" t="n">
        <x:f>Dashboard_Live_Data!G99</x:f>
        <x:v>-48.06780811544866</x:v>
      </x:c>
    </x:row>
    <x:row r="101">
      <x:c r="A101" t="n">
        <x:f>Dashboard_Live_Data!D100</x:f>
        <x:v>-11</x:v>
      </x:c>
      <x:c r="B101" t="n">
        <x:f>Dashboard_Live_Data!E100</x:f>
        <x:v>462.5412492822977</x:v>
      </x:c>
      <x:c r="C101" t="n">
        <x:f>Dashboard_Live_Data!D100</x:f>
        <x:v>-11</x:v>
      </x:c>
      <x:c r="D101" t="n">
        <x:f>Dashboard_Live_Data!F100</x:f>
        <x:v>462.5412492822977</x:v>
      </x:c>
      <x:c r="E101" t="n">
        <x:f>Dashboard_Live_Data!D100</x:f>
        <x:v>-11</x:v>
      </x:c>
      <x:c r="F101" t="n">
        <x:f>Dashboard_Live_Data!G100</x:f>
        <x:v>-43.28983557333215</x:v>
      </x:c>
    </x:row>
    <x:row r="102">
      <x:c r="A102" t="n">
        <x:f>Dashboard_Live_Data!D101</x:f>
        <x:v>-10.5</x:v>
      </x:c>
      <x:c r="B102" t="n">
        <x:f>Dashboard_Live_Data!E101</x:f>
        <x:v>470.10163194835394</x:v>
      </x:c>
      <x:c r="C102" t="n">
        <x:f>Dashboard_Live_Data!D101</x:f>
        <x:v>-10.5</x:v>
      </x:c>
      <x:c r="D102" t="n">
        <x:f>Dashboard_Live_Data!F101</x:f>
        <x:v>470.10163194835394</x:v>
      </x:c>
      <x:c r="E102" t="n">
        <x:f>Dashboard_Live_Data!D101</x:f>
        <x:v>-10.5</x:v>
      </x:c>
      <x:c r="F102" t="n">
        <x:f>Dashboard_Live_Data!G101</x:f>
        <x:v>-52.09631463655199</x:v>
      </x:c>
    </x:row>
    <x:row r="103">
      <x:c r="A103" t="n">
        <x:f>Dashboard_Live_Data!D102</x:f>
        <x:v>-10</x:v>
      </x:c>
      <x:c r="B103" t="n">
        <x:f>Dashboard_Live_Data!E102</x:f>
        <x:v>471.5144848829251</x:v>
      </x:c>
      <x:c r="C103" t="n">
        <x:f>Dashboard_Live_Data!D102</x:f>
        <x:v>-10</x:v>
      </x:c>
      <x:c r="D103" t="n">
        <x:f>Dashboard_Live_Data!F102</x:f>
        <x:v>471.5144848829251</x:v>
      </x:c>
      <x:c r="E103" t="n">
        <x:f>Dashboard_Live_Data!D102</x:f>
        <x:v>-10</x:v>
      </x:c>
      <x:c r="F103" t="n">
        <x:f>Dashboard_Live_Data!G102</x:f>
        <x:v>-49.423131521111884</x:v>
      </x:c>
    </x:row>
    <x:row r="104">
      <x:c r="A104" t="n">
        <x:f>Dashboard_Live_Data!D103</x:f>
        <x:v>-9.5</x:v>
      </x:c>
      <x:c r="B104" t="n">
        <x:f>Dashboard_Live_Data!E103</x:f>
        <x:v>470.5815738170562</x:v>
      </x:c>
      <x:c r="C104" t="n">
        <x:f>Dashboard_Live_Data!D103</x:f>
        <x:v>-9.5</x:v>
      </x:c>
      <x:c r="D104" t="n">
        <x:f>Dashboard_Live_Data!F103</x:f>
        <x:v>470.5815738170562</x:v>
      </x:c>
      <x:c r="E104" t="n">
        <x:f>Dashboard_Live_Data!D103</x:f>
        <x:v>-9.5</x:v>
      </x:c>
      <x:c r="F104" t="n">
        <x:f>Dashboard_Live_Data!G103</x:f>
        <x:v>-32.277557975083496</x:v>
      </x:c>
    </x:row>
    <x:row r="105">
      <x:c r="A105" t="n">
        <x:f>Dashboard_Live_Data!D104</x:f>
        <x:v>-9</x:v>
      </x:c>
      <x:c r="B105" t="n">
        <x:f>Dashboard_Live_Data!E104</x:f>
        <x:v>480.618285675218</x:v>
      </x:c>
      <x:c r="C105" t="n">
        <x:f>Dashboard_Live_Data!D104</x:f>
        <x:v>-9</x:v>
      </x:c>
      <x:c r="D105" t="n">
        <x:f>Dashboard_Live_Data!F104</x:f>
        <x:v>480.618285675218</x:v>
      </x:c>
      <x:c r="E105" t="n">
        <x:f>Dashboard_Live_Data!D104</x:f>
        <x:v>-9</x:v>
      </x:c>
      <x:c r="F105" t="n">
        <x:f>Dashboard_Live_Data!G104</x:f>
        <x:v>-47.4214748383975</x:v>
      </x:c>
    </x:row>
    <x:row r="106">
      <x:c r="A106" t="n">
        <x:f>Dashboard_Live_Data!D105</x:f>
        <x:v>-8.5</x:v>
      </x:c>
      <x:c r="B106" t="n">
        <x:f>Dashboard_Live_Data!E105</x:f>
        <x:v>460.6206107904381</x:v>
      </x:c>
      <x:c r="C106" t="n">
        <x:f>Dashboard_Live_Data!D105</x:f>
        <x:v>-8.5</x:v>
      </x:c>
      <x:c r="D106" t="n">
        <x:f>Dashboard_Live_Data!F105</x:f>
        <x:v>460.6206107904381</x:v>
      </x:c>
      <x:c r="E106" t="n">
        <x:f>Dashboard_Live_Data!D105</x:f>
        <x:v>-8.5</x:v>
      </x:c>
      <x:c r="F106" t="n">
        <x:f>Dashboard_Live_Data!G105</x:f>
        <x:v>-61.84832289166857</x:v>
      </x:c>
    </x:row>
    <x:row r="107">
      <x:c r="A107" t="n">
        <x:f>Dashboard_Live_Data!D106</x:f>
        <x:v>-8</x:v>
      </x:c>
      <x:c r="B107" t="n">
        <x:f>Dashboard_Live_Data!E106</x:f>
        <x:v>475.6659223963138</x:v>
      </x:c>
      <x:c r="C107" t="n">
        <x:f>Dashboard_Live_Data!D106</x:f>
        <x:v>-8</x:v>
      </x:c>
      <x:c r="D107" t="n">
        <x:f>Dashboard_Live_Data!F106</x:f>
        <x:v>475.6659223963138</x:v>
      </x:c>
      <x:c r="E107" t="n">
        <x:f>Dashboard_Live_Data!D106</x:f>
        <x:v>-8</x:v>
      </x:c>
      <x:c r="F107" t="n">
        <x:f>Dashboard_Live_Data!G106</x:f>
        <x:v>-39.34099577037003</x:v>
      </x:c>
    </x:row>
    <x:row r="108">
      <x:c r="A108" t="n">
        <x:f>Dashboard_Live_Data!D107</x:f>
        <x:v>-7.5</x:v>
      </x:c>
      <x:c r="B108" t="n">
        <x:f>Dashboard_Live_Data!E107</x:f>
        <x:v>470.2640951439132</x:v>
      </x:c>
      <x:c r="C108" t="n">
        <x:f>Dashboard_Live_Data!D107</x:f>
        <x:v>-7.5</x:v>
      </x:c>
      <x:c r="D108" t="n">
        <x:f>Dashboard_Live_Data!F107</x:f>
        <x:v>470.2640951439132</x:v>
      </x:c>
      <x:c r="E108" t="n">
        <x:f>Dashboard_Live_Data!D107</x:f>
        <x:v>-7.5</x:v>
      </x:c>
      <x:c r="F108" t="n">
        <x:f>Dashboard_Live_Data!G107</x:f>
        <x:v>-43.22381145165265</x:v>
      </x:c>
    </x:row>
    <x:row r="109">
      <x:c r="A109" t="n">
        <x:f>Dashboard_Live_Data!D108</x:f>
        <x:v>-7</x:v>
      </x:c>
      <x:c r="B109" t="n">
        <x:f>Dashboard_Live_Data!E108</x:f>
        <x:v>442.95708145426426</x:v>
      </x:c>
      <x:c r="C109" t="n">
        <x:f>Dashboard_Live_Data!D108</x:f>
        <x:v>-7</x:v>
      </x:c>
      <x:c r="D109" t="n">
        <x:f>Dashboard_Live_Data!F108</x:f>
        <x:v>442.95708145426426</x:v>
      </x:c>
      <x:c r="E109" t="n">
        <x:f>Dashboard_Live_Data!D108</x:f>
        <x:v>-7</x:v>
      </x:c>
      <x:c r="F109" t="n">
        <x:f>Dashboard_Live_Data!G108</x:f>
        <x:v>-48.04634011268098</x:v>
      </x:c>
    </x:row>
    <x:row r="110">
      <x:c r="A110" t="n">
        <x:f>Dashboard_Live_Data!D109</x:f>
        <x:v>-6.5</x:v>
      </x:c>
      <x:c r="B110" t="n">
        <x:f>Dashboard_Live_Data!E109</x:f>
        <x:v>455.8100478474453</x:v>
      </x:c>
      <x:c r="C110" t="n">
        <x:f>Dashboard_Live_Data!D109</x:f>
        <x:v>-6.5</x:v>
      </x:c>
      <x:c r="D110" t="n">
        <x:f>Dashboard_Live_Data!F109</x:f>
        <x:v>455.8100478474453</x:v>
      </x:c>
      <x:c r="E110" t="n">
        <x:f>Dashboard_Live_Data!D109</x:f>
        <x:v>-6.5</x:v>
      </x:c>
      <x:c r="F110" t="n">
        <x:f>Dashboard_Live_Data!G109</x:f>
        <x:v>-59.466303655605586</x:v>
      </x:c>
    </x:row>
    <x:row r="111">
      <x:c r="A111" t="n">
        <x:f>Dashboard_Live_Data!D110</x:f>
        <x:v>-6</x:v>
      </x:c>
      <x:c r="B111" t="n">
        <x:f>Dashboard_Live_Data!E110</x:f>
        <x:v>447.7534427220802</x:v>
      </x:c>
      <x:c r="C111" t="n">
        <x:f>Dashboard_Live_Data!D110</x:f>
        <x:v>-6</x:v>
      </x:c>
      <x:c r="D111" t="n">
        <x:f>Dashboard_Live_Data!F110</x:f>
        <x:v>447.7534427220802</x:v>
      </x:c>
      <x:c r="E111" t="n">
        <x:f>Dashboard_Live_Data!D110</x:f>
        <x:v>-6</x:v>
      </x:c>
      <x:c r="F111" t="n">
        <x:f>Dashboard_Live_Data!G110</x:f>
        <x:v>-61.0986453608147</x:v>
      </x:c>
    </x:row>
    <x:row r="112">
      <x:c r="A112" t="n">
        <x:f>Dashboard_Live_Data!D111</x:f>
        <x:v>-5.5</x:v>
      </x:c>
      <x:c r="B112" t="n">
        <x:f>Dashboard_Live_Data!E111</x:f>
        <x:v>437.23203216912464</x:v>
      </x:c>
      <x:c r="C112" t="n">
        <x:f>Dashboard_Live_Data!D111</x:f>
        <x:v>-5.5</x:v>
      </x:c>
      <x:c r="D112" t="n">
        <x:f>Dashboard_Live_Data!F111</x:f>
        <x:v>437.23203216912464</x:v>
      </x:c>
      <x:c r="E112" t="n">
        <x:f>Dashboard_Live_Data!D111</x:f>
        <x:v>-5.5</x:v>
      </x:c>
      <x:c r="F112" t="n">
        <x:f>Dashboard_Live_Data!G111</x:f>
        <x:v>-63.59054434613801</x:v>
      </x:c>
    </x:row>
    <x:row r="113">
      <x:c r="A113" t="n">
        <x:f>Dashboard_Live_Data!D112</x:f>
        <x:v>-5</x:v>
      </x:c>
      <x:c r="B113" t="n">
        <x:f>Dashboard_Live_Data!E112</x:f>
        <x:v>426.4950993655156</x:v>
      </x:c>
      <x:c r="C113" t="n">
        <x:f>Dashboard_Live_Data!D112</x:f>
        <x:v>-5</x:v>
      </x:c>
      <x:c r="D113" t="n">
        <x:f>Dashboard_Live_Data!F112</x:f>
        <x:v>426.4950993655156</x:v>
      </x:c>
      <x:c r="E113" t="n">
        <x:f>Dashboard_Live_Data!D112</x:f>
        <x:v>-5</x:v>
      </x:c>
      <x:c r="F113" t="n">
        <x:f>Dashboard_Live_Data!G112</x:f>
        <x:v>-73.64560445817172</x:v>
      </x:c>
    </x:row>
    <x:row r="114">
      <x:c r="A114" t="n">
        <x:f>Dashboard_Live_Data!D113</x:f>
        <x:v>-4.5</x:v>
      </x:c>
      <x:c r="B114" t="n">
        <x:f>Dashboard_Live_Data!E113</x:f>
        <x:v>423.30568039510905</x:v>
      </x:c>
      <x:c r="C114" t="n">
        <x:f>Dashboard_Live_Data!D113</x:f>
        <x:v>-4.5</x:v>
      </x:c>
      <x:c r="D114" t="n">
        <x:f>Dashboard_Live_Data!F113</x:f>
        <x:v>423.30568039510905</x:v>
      </x:c>
      <x:c r="E114" t="n">
        <x:f>Dashboard_Live_Data!D113</x:f>
        <x:v>-4.5</x:v>
      </x:c>
      <x:c r="F114" t="n">
        <x:f>Dashboard_Live_Data!G113</x:f>
        <x:v>-73.08935088189128</x:v>
      </x:c>
    </x:row>
    <x:row r="115">
      <x:c r="A115" t="n">
        <x:f>Dashboard_Live_Data!D114</x:f>
        <x:v>-4</x:v>
      </x:c>
      <x:c r="B115" t="n">
        <x:f>Dashboard_Live_Data!E114</x:f>
        <x:v>426.0147467563934</x:v>
      </x:c>
      <x:c r="C115" t="n">
        <x:f>Dashboard_Live_Data!D114</x:f>
        <x:v>-4</x:v>
      </x:c>
      <x:c r="D115" t="n">
        <x:f>Dashboard_Live_Data!F114</x:f>
        <x:v>426.0147467563934</x:v>
      </x:c>
      <x:c r="E115" t="n">
        <x:f>Dashboard_Live_Data!D114</x:f>
        <x:v>-4</x:v>
      </x:c>
      <x:c r="F115" t="n">
        <x:f>Dashboard_Live_Data!G114</x:f>
        <x:v>-74.23673097551541</x:v>
      </x:c>
    </x:row>
    <x:row r="116">
      <x:c r="A116" t="n">
        <x:f>Dashboard_Live_Data!D115</x:f>
        <x:v>-3.5</x:v>
      </x:c>
      <x:c r="B116" t="n">
        <x:f>Dashboard_Live_Data!E115</x:f>
        <x:v>404.9650488225026</x:v>
      </x:c>
      <x:c r="C116" t="n">
        <x:f>Dashboard_Live_Data!D115</x:f>
        <x:v>-3.5</x:v>
      </x:c>
      <x:c r="D116" t="n">
        <x:f>Dashboard_Live_Data!F115</x:f>
        <x:v>404.9650488225026</x:v>
      </x:c>
      <x:c r="E116" t="n">
        <x:f>Dashboard_Live_Data!D115</x:f>
        <x:v>-3.5</x:v>
      </x:c>
      <x:c r="F116" t="n">
        <x:f>Dashboard_Live_Data!G115</x:f>
        <x:v>-78.64906809360804</x:v>
      </x:c>
    </x:row>
    <x:row r="117">
      <x:c r="A117" t="n">
        <x:f>Dashboard_Live_Data!D116</x:f>
        <x:v>-3</x:v>
      </x:c>
      <x:c r="B117" t="n">
        <x:f>Dashboard_Live_Data!E116</x:f>
        <x:v>420.14741895617453</x:v>
      </x:c>
      <x:c r="C117" t="n">
        <x:f>Dashboard_Live_Data!D116</x:f>
        <x:v>-3</x:v>
      </x:c>
      <x:c r="D117" t="n">
        <x:f>Dashboard_Live_Data!F116</x:f>
        <x:v>420.14741895617453</x:v>
      </x:c>
      <x:c r="E117" t="n">
        <x:f>Dashboard_Live_Data!D116</x:f>
        <x:v>-3</x:v>
      </x:c>
      <x:c r="F117" t="n">
        <x:f>Dashboard_Live_Data!G116</x:f>
        <x:v>-67.68197739460362</x:v>
      </x:c>
    </x:row>
    <x:row r="118">
      <x:c r="A118" t="n">
        <x:f>Dashboard_Live_Data!D117</x:f>
        <x:v>-2.5</x:v>
      </x:c>
      <x:c r="B118" t="n">
        <x:f>Dashboard_Live_Data!E117</x:f>
        <x:v>420.97624209793275</x:v>
      </x:c>
      <x:c r="C118" t="n">
        <x:f>Dashboard_Live_Data!D117</x:f>
        <x:v>-2.5</x:v>
      </x:c>
      <x:c r="D118" t="n">
        <x:f>Dashboard_Live_Data!F117</x:f>
        <x:v>420.97624209793275</x:v>
      </x:c>
      <x:c r="E118" t="n">
        <x:f>Dashboard_Live_Data!D117</x:f>
        <x:v>-2.5</x:v>
      </x:c>
      <x:c r="F118" t="n">
        <x:f>Dashboard_Live_Data!G117</x:f>
        <x:v>-49.83449295863612</x:v>
      </x:c>
    </x:row>
    <x:row r="119">
      <x:c r="A119" t="n">
        <x:f>Dashboard_Live_Data!D118</x:f>
        <x:v>-2</x:v>
      </x:c>
      <x:c r="B119" t="n">
        <x:f>Dashboard_Live_Data!E118</x:f>
        <x:v>435.98300826713626</x:v>
      </x:c>
      <x:c r="C119" t="n">
        <x:f>Dashboard_Live_Data!D118</x:f>
        <x:v>-2</x:v>
      </x:c>
      <x:c r="D119" t="n">
        <x:f>Dashboard_Live_Data!F118</x:f>
        <x:v>435.98300826713626</x:v>
      </x:c>
      <x:c r="E119" t="n">
        <x:f>Dashboard_Live_Data!D118</x:f>
        <x:v>-2</x:v>
      </x:c>
      <x:c r="F119" t="n">
        <x:f>Dashboard_Live_Data!G118</x:f>
        <x:v>-59.60727995622125</x:v>
      </x:c>
    </x:row>
    <x:row r="120">
      <x:c r="A120" t="n">
        <x:f>Dashboard_Live_Data!D119</x:f>
        <x:v>-1.5</x:v>
      </x:c>
      <x:c r="B120" t="n">
        <x:f>Dashboard_Live_Data!E119</x:f>
        <x:v>431.10580672292525</x:v>
      </x:c>
      <x:c r="C120" t="n">
        <x:f>Dashboard_Live_Data!D119</x:f>
        <x:v>-1.5</x:v>
      </x:c>
      <x:c r="D120" t="n">
        <x:f>Dashboard_Live_Data!F119</x:f>
        <x:v>431.10580672292525</x:v>
      </x:c>
      <x:c r="E120" t="n">
        <x:f>Dashboard_Live_Data!D119</x:f>
        <x:v>-1.5</x:v>
      </x:c>
      <x:c r="F120" t="n">
        <x:f>Dashboard_Live_Data!G119</x:f>
        <x:v>-34.15455011761312</x:v>
      </x:c>
    </x:row>
    <x:row r="121">
      <x:c r="A121" t="n">
        <x:f>Dashboard_Live_Data!D120</x:f>
        <x:v>-1</x:v>
      </x:c>
      <x:c r="B121" t="n">
        <x:f>Dashboard_Live_Data!E120</x:f>
        <x:v>440.9944102420088</x:v>
      </x:c>
      <x:c r="C121" t="n">
        <x:f>Dashboard_Live_Data!D120</x:f>
        <x:v>-1</x:v>
      </x:c>
      <x:c r="D121" t="n">
        <x:f>Dashboard_Live_Data!F120</x:f>
        <x:v>440.9944102420088</x:v>
      </x:c>
      <x:c r="E121" t="n">
        <x:f>Dashboard_Live_Data!D120</x:f>
        <x:v>-1</x:v>
      </x:c>
      <x:c r="F121" t="n">
        <x:f>Dashboard_Live_Data!G120</x:f>
        <x:v>-38.26579288799343</x:v>
      </x:c>
    </x:row>
    <x:row r="122">
      <x:c r="A122" t="n">
        <x:f>Dashboard_Live_Data!D121</x:f>
        <x:v>-0.5</x:v>
      </x:c>
      <x:c r="B122" t="n">
        <x:f>Dashboard_Live_Data!E121</x:f>
        <x:v>474.23278667183286</x:v>
      </x:c>
      <x:c r="C122" t="n">
        <x:f>Dashboard_Live_Data!D121</x:f>
        <x:v>-0.5</x:v>
      </x:c>
      <x:c r="D122" t="n">
        <x:f>Dashboard_Live_Data!F121</x:f>
        <x:v>474.23278667183286</x:v>
      </x:c>
      <x:c r="E122" t="n">
        <x:f>Dashboard_Live_Data!D121</x:f>
        <x:v>-0.5</x:v>
      </x:c>
      <x:c r="F122" t="n">
        <x:f>Dashboard_Live_Data!G121</x:f>
        <x:v>-15.949828195457984</x:v>
      </x:c>
    </x:row>
    <x:row r="123">
      <x:c r="A123" t="n">
        <x:f>Dashboard_Live_Data!D122</x:f>
        <x:v>0</x:v>
      </x:c>
      <x:c r="B123" t="n">
        <x:f>Dashboard_Live_Data!E122</x:f>
        <x:v>480.44802858922253</x:v>
      </x:c>
      <x:c r="C123" t="n">
        <x:f>Dashboard_Live_Data!D122</x:f>
        <x:v>0</x:v>
      </x:c>
      <x:c r="D123" t="n">
        <x:f>Dashboard_Live_Data!F122</x:f>
        <x:v>480.44802858922253</x:v>
      </x:c>
      <x:c r="E123" t="n">
        <x:f>Dashboard_Live_Data!D122</x:f>
        <x:v>0</x:v>
      </x:c>
      <x:c r="F123" t="n">
        <x:f>Dashboard_Live_Data!G122</x:f>
        <x:v>-4.948127387128106</x:v>
      </x:c>
    </x:row>
    <x:row r="124">
      <x:c r="A124" t="n">
        <x:f>Dashboard_Live_Data!D123</x:f>
        <x:v>0.5</x:v>
      </x:c>
      <x:c r="B124" t="n">
        <x:f>Dashboard_Live_Data!E123</x:f>
        <x:v>482.7451811280071</x:v>
      </x:c>
      <x:c r="C124" t="n">
        <x:f>Dashboard_Live_Data!D123</x:f>
        <x:v>0.5</x:v>
      </x:c>
      <x:c r="D124" t="n">
        <x:f>Dashboard_Live_Data!F123</x:f>
        <x:v>482.7451811280071</x:v>
      </x:c>
      <x:c r="E124" t="n">
        <x:f>Dashboard_Live_Data!D123</x:f>
        <x:v>0.5</x:v>
      </x:c>
      <x:c r="F124" t="n">
        <x:f>Dashboard_Live_Data!G123</x:f>
        <x:v>2.259569132321303</x:v>
      </x:c>
    </x:row>
    <x:row r="125">
      <x:c r="A125" t="n">
        <x:f>Dashboard_Live_Data!D124</x:f>
        <x:v>1</x:v>
      </x:c>
      <x:c r="B125" t="n">
        <x:f>Dashboard_Live_Data!E124</x:f>
        <x:v>497.58165314697214</x:v>
      </x:c>
      <x:c r="C125" t="n">
        <x:f>Dashboard_Live_Data!D124</x:f>
        <x:v>1</x:v>
      </x:c>
      <x:c r="D125" t="n">
        <x:f>Dashboard_Live_Data!F124</x:f>
        <x:v>497.58165314697214</x:v>
      </x:c>
      <x:c r="E125" t="n">
        <x:f>Dashboard_Live_Data!D124</x:f>
        <x:v>1</x:v>
      </x:c>
      <x:c r="F125" t="n">
        <x:f>Dashboard_Live_Data!G124</x:f>
        <x:v>43.07644622126787</x:v>
      </x:c>
    </x:row>
    <x:row r="126">
      <x:c r="A126" t="n">
        <x:f>Dashboard_Live_Data!D125</x:f>
        <x:v>1.5</x:v>
      </x:c>
      <x:c r="B126" t="n">
        <x:f>Dashboard_Live_Data!E125</x:f>
        <x:v>516.864115303311</x:v>
      </x:c>
      <x:c r="C126" t="n">
        <x:f>Dashboard_Live_Data!D125</x:f>
        <x:v>1.5</x:v>
      </x:c>
      <x:c r="D126" t="n">
        <x:f>Dashboard_Live_Data!F125</x:f>
        <x:v>516.864115303311</x:v>
      </x:c>
      <x:c r="E126" t="n">
        <x:f>Dashboard_Live_Data!D125</x:f>
        <x:v>1.5</x:v>
      </x:c>
      <x:c r="F126" t="n">
        <x:f>Dashboard_Live_Data!G125</x:f>
        <x:v>46.8149548284789</x:v>
      </x:c>
    </x:row>
    <x:row r="127">
      <x:c r="A127" t="n">
        <x:f>Dashboard_Live_Data!D126</x:f>
        <x:v>2</x:v>
      </x:c>
      <x:c r="B127" t="n">
        <x:f>Dashboard_Live_Data!E126</x:f>
        <x:v>534.5064840723982</x:v>
      </x:c>
      <x:c r="C127" t="n">
        <x:f>Dashboard_Live_Data!D126</x:f>
        <x:v>2</x:v>
      </x:c>
      <x:c r="D127" t="n">
        <x:f>Dashboard_Live_Data!F126</x:f>
        <x:v>534.5064840723982</x:v>
      </x:c>
      <x:c r="E127" t="n">
        <x:f>Dashboard_Live_Data!D126</x:f>
        <x:v>2</x:v>
      </x:c>
      <x:c r="F127" t="n">
        <x:f>Dashboard_Live_Data!G126</x:f>
        <x:v>65.55817790320465</x:v>
      </x:c>
    </x:row>
    <x:row r="128">
      <x:c r="A128" t="n">
        <x:f>Dashboard_Live_Data!D127</x:f>
        <x:v>2.5</x:v>
      </x:c>
      <x:c r="B128" t="n">
        <x:f>Dashboard_Live_Data!E127</x:f>
        <x:v>549.7308148691991</x:v>
      </x:c>
      <x:c r="C128" t="n">
        <x:f>Dashboard_Live_Data!D127</x:f>
        <x:v>2.5</x:v>
      </x:c>
      <x:c r="D128" t="n">
        <x:f>Dashboard_Live_Data!F127</x:f>
        <x:v>549.7308148691991</x:v>
      </x:c>
      <x:c r="E128" t="n">
        <x:f>Dashboard_Live_Data!D127</x:f>
        <x:v>2.5</x:v>
      </x:c>
      <x:c r="F128" t="n">
        <x:f>Dashboard_Live_Data!G127</x:f>
        <x:v>70.90088362648228</x:v>
      </x:c>
    </x:row>
    <x:row r="129">
      <x:c r="A129" t="n">
        <x:f>Dashboard_Live_Data!D128</x:f>
        <x:v>3</x:v>
      </x:c>
      <x:c r="B129" t="n">
        <x:f>Dashboard_Live_Data!E128</x:f>
        <x:v>536.8431041026216</x:v>
      </x:c>
      <x:c r="C129" t="n">
        <x:f>Dashboard_Live_Data!D128</x:f>
        <x:v>3</x:v>
      </x:c>
      <x:c r="D129" t="n">
        <x:f>Dashboard_Live_Data!F128</x:f>
        <x:v>536.8431041026216</x:v>
      </x:c>
      <x:c r="E129" t="n">
        <x:f>Dashboard_Live_Data!D128</x:f>
        <x:v>3</x:v>
      </x:c>
      <x:c r="F129" t="n">
        <x:f>Dashboard_Live_Data!G128</x:f>
        <x:v>82.12086586426281</x:v>
      </x:c>
    </x:row>
    <x:row r="130">
      <x:c r="A130" t="n">
        <x:f>Dashboard_Live_Data!D129</x:f>
        <x:v>3.5</x:v>
      </x:c>
      <x:c r="B130" t="n">
        <x:f>Dashboard_Live_Data!E129</x:f>
        <x:v>562.919019674553</x:v>
      </x:c>
      <x:c r="C130" t="n">
        <x:f>Dashboard_Live_Data!D129</x:f>
        <x:v>3.5</x:v>
      </x:c>
      <x:c r="D130" t="n">
        <x:f>Dashboard_Live_Data!F129</x:f>
        <x:v>562.919019674553</x:v>
      </x:c>
      <x:c r="E130" t="n">
        <x:f>Dashboard_Live_Data!D129</x:f>
        <x:v>3.5</x:v>
      </x:c>
      <x:c r="F130" t="n">
        <x:f>Dashboard_Live_Data!G129</x:f>
        <x:v>98.61636326587373</x:v>
      </x:c>
    </x:row>
    <x:row r="131">
      <x:c r="A131" t="n">
        <x:f>Dashboard_Live_Data!D130</x:f>
        <x:v>4</x:v>
      </x:c>
      <x:c r="B131" t="n">
        <x:f>Dashboard_Live_Data!E130</x:f>
        <x:v>561.6697690573507</x:v>
      </x:c>
      <x:c r="C131" t="n">
        <x:f>Dashboard_Live_Data!D130</x:f>
        <x:v>4</x:v>
      </x:c>
      <x:c r="D131" t="n">
        <x:f>Dashboard_Live_Data!F130</x:f>
        <x:v>561.6697690573507</x:v>
      </x:c>
      <x:c r="E131" t="n">
        <x:f>Dashboard_Live_Data!D130</x:f>
        <x:v>4</x:v>
      </x:c>
      <x:c r="F131" t="n">
        <x:f>Dashboard_Live_Data!G130</x:f>
        <x:v>96.36311355528144</x:v>
      </x:c>
    </x:row>
    <x:row r="132">
      <x:c r="A132" t="n">
        <x:f>Dashboard_Live_Data!D131</x:f>
        <x:v>4.5</x:v>
      </x:c>
      <x:c r="B132" t="n">
        <x:f>Dashboard_Live_Data!E131</x:f>
        <x:v>568.6436382247327</x:v>
      </x:c>
      <x:c r="C132" t="n">
        <x:f>Dashboard_Live_Data!D131</x:f>
        <x:v>4.5</x:v>
      </x:c>
      <x:c r="D132" t="n">
        <x:f>Dashboard_Live_Data!F131</x:f>
        <x:v>568.6436382247327</x:v>
      </x:c>
      <x:c r="E132" t="n">
        <x:f>Dashboard_Live_Data!D131</x:f>
        <x:v>4.5</x:v>
      </x:c>
      <x:c r="F132" t="n">
        <x:f>Dashboard_Live_Data!G131</x:f>
        <x:v>82.51998590748882</x:v>
      </x:c>
    </x:row>
    <x:row r="133">
      <x:c r="A133" t="n">
        <x:f>Dashboard_Live_Data!D132</x:f>
        <x:v>5</x:v>
      </x:c>
      <x:c r="B133" t="n">
        <x:f>Dashboard_Live_Data!E132</x:f>
        <x:v>548.8146920903409</x:v>
      </x:c>
      <x:c r="C133" t="n">
        <x:f>Dashboard_Live_Data!D132</x:f>
        <x:v>5</x:v>
      </x:c>
      <x:c r="D133" t="n">
        <x:f>Dashboard_Live_Data!F132</x:f>
        <x:v>548.8146920903409</x:v>
      </x:c>
      <x:c r="E133" t="n">
        <x:f>Dashboard_Live_Data!D132</x:f>
        <x:v>5</x:v>
      </x:c>
      <x:c r="F133" t="n">
        <x:f>Dashboard_Live_Data!G132</x:f>
        <x:v>98.94976350623145</x:v>
      </x:c>
    </x:row>
    <x:row r="134">
      <x:c r="A134" t="n">
        <x:f>Dashboard_Live_Data!D133</x:f>
        <x:v>5.5</x:v>
      </x:c>
      <x:c r="B134" t="n">
        <x:f>Dashboard_Live_Data!E133</x:f>
        <x:v>539.5212853164131</x:v>
      </x:c>
      <x:c r="C134" t="n">
        <x:f>Dashboard_Live_Data!D133</x:f>
        <x:v>5.5</x:v>
      </x:c>
      <x:c r="D134" t="n">
        <x:f>Dashboard_Live_Data!F133</x:f>
        <x:v>539.5212853164131</x:v>
      </x:c>
      <x:c r="E134" t="n">
        <x:f>Dashboard_Live_Data!D133</x:f>
        <x:v>5.5</x:v>
      </x:c>
      <x:c r="F134" t="n">
        <x:f>Dashboard_Live_Data!G133</x:f>
        <x:v>97.11441747768895</x:v>
      </x:c>
    </x:row>
    <x:row r="135">
      <x:c r="A135" t="n">
        <x:f>Dashboard_Live_Data!D134</x:f>
        <x:v>6</x:v>
      </x:c>
      <x:c r="B135" t="n">
        <x:f>Dashboard_Live_Data!E134</x:f>
        <x:v>533.6920620973987</x:v>
      </x:c>
      <x:c r="C135" t="n">
        <x:f>Dashboard_Live_Data!D134</x:f>
        <x:v>6</x:v>
      </x:c>
      <x:c r="D135" t="n">
        <x:f>Dashboard_Live_Data!F134</x:f>
        <x:v>533.6920620973987</x:v>
      </x:c>
      <x:c r="E135" t="n">
        <x:f>Dashboard_Live_Data!D134</x:f>
        <x:v>6</x:v>
      </x:c>
      <x:c r="F135" t="n">
        <x:f>Dashboard_Live_Data!G134</x:f>
        <x:v>70.34255347941284</x:v>
      </x:c>
    </x:row>
    <x:row r="136">
      <x:c r="A136" t="n">
        <x:f>Dashboard_Live_Data!D135</x:f>
        <x:v>6.5</x:v>
      </x:c>
      <x:c r="B136" t="n">
        <x:f>Dashboard_Live_Data!E135</x:f>
        <x:v>524.4263848132822</x:v>
      </x:c>
      <x:c r="C136" t="n">
        <x:f>Dashboard_Live_Data!D135</x:f>
        <x:v>6.5</x:v>
      </x:c>
      <x:c r="D136" t="n">
        <x:f>Dashboard_Live_Data!F135</x:f>
        <x:v>524.4263848132822</x:v>
      </x:c>
      <x:c r="E136" t="n">
        <x:f>Dashboard_Live_Data!D135</x:f>
        <x:v>6.5</x:v>
      </x:c>
      <x:c r="F136" t="n">
        <x:f>Dashboard_Live_Data!G135</x:f>
        <x:v>77.64795080795966</x:v>
      </x:c>
    </x:row>
    <x:row r="137">
      <x:c r="A137" t="n">
        <x:f>Dashboard_Live_Data!D136</x:f>
        <x:v>7</x:v>
      </x:c>
      <x:c r="B137" t="n">
        <x:f>Dashboard_Live_Data!E136</x:f>
        <x:v>534.4078318791427</x:v>
      </x:c>
      <x:c r="C137" t="n">
        <x:f>Dashboard_Live_Data!D136</x:f>
        <x:v>7</x:v>
      </x:c>
      <x:c r="D137" t="n">
        <x:f>Dashboard_Live_Data!F136</x:f>
        <x:v>534.4078318791427</x:v>
      </x:c>
      <x:c r="E137" t="n">
        <x:f>Dashboard_Live_Data!D136</x:f>
        <x:v>7</x:v>
      </x:c>
      <x:c r="F137" t="n">
        <x:f>Dashboard_Live_Data!G136</x:f>
        <x:v>66.91550989906084</x:v>
      </x:c>
    </x:row>
    <x:row r="138">
      <x:c r="A138" t="n">
        <x:f>Dashboard_Live_Data!D137</x:f>
        <x:v>7.5</x:v>
      </x:c>
      <x:c r="B138" t="n">
        <x:f>Dashboard_Live_Data!E137</x:f>
        <x:v>503.48380224840304</x:v>
      </x:c>
      <x:c r="C138" t="n">
        <x:f>Dashboard_Live_Data!D137</x:f>
        <x:v>7.5</x:v>
      </x:c>
      <x:c r="D138" t="n">
        <x:f>Dashboard_Live_Data!F137</x:f>
        <x:v>503.48380224840304</x:v>
      </x:c>
      <x:c r="E138" t="n">
        <x:f>Dashboard_Live_Data!D137</x:f>
        <x:v>7.5</x:v>
      </x:c>
      <x:c r="F138" t="n">
        <x:f>Dashboard_Live_Data!G137</x:f>
        <x:v>56.202037436945574</x:v>
      </x:c>
    </x:row>
    <x:row r="139">
      <x:c r="A139" t="n">
        <x:f>Dashboard_Live_Data!D138</x:f>
        <x:v>8</x:v>
      </x:c>
      <x:c r="B139" t="n">
        <x:f>Dashboard_Live_Data!E138</x:f>
        <x:v>497.2264534493298</x:v>
      </x:c>
      <x:c r="C139" t="n">
        <x:f>Dashboard_Live_Data!D138</x:f>
        <x:v>8</x:v>
      </x:c>
      <x:c r="D139" t="n">
        <x:f>Dashboard_Live_Data!F138</x:f>
        <x:v>497.2264534493298</x:v>
      </x:c>
      <x:c r="E139" t="n">
        <x:f>Dashboard_Live_Data!D138</x:f>
        <x:v>8</x:v>
      </x:c>
      <x:c r="F139" t="n">
        <x:f>Dashboard_Live_Data!G138</x:f>
        <x:v>45.99320506201067</x:v>
      </x:c>
    </x:row>
    <x:row r="140">
      <x:c r="A140" t="n">
        <x:f>Dashboard_Live_Data!D139</x:f>
        <x:v>8.5</x:v>
      </x:c>
      <x:c r="B140" t="n">
        <x:f>Dashboard_Live_Data!E139</x:f>
        <x:v>479.6019721372586</x:v>
      </x:c>
      <x:c r="C140" t="n">
        <x:f>Dashboard_Live_Data!D139</x:f>
        <x:v>8.5</x:v>
      </x:c>
      <x:c r="D140" t="n">
        <x:f>Dashboard_Live_Data!F139</x:f>
        <x:v>479.6019721372586</x:v>
      </x:c>
      <x:c r="E140" t="n">
        <x:f>Dashboard_Live_Data!D139</x:f>
        <x:v>8.5</x:v>
      </x:c>
      <x:c r="F140" t="n">
        <x:f>Dashboard_Live_Data!G139</x:f>
        <x:v>35.42120810065494</x:v>
      </x:c>
    </x:row>
    <x:row r="141">
      <x:c r="A141" t="n">
        <x:f>Dashboard_Live_Data!D140</x:f>
        <x:v>9</x:v>
      </x:c>
      <x:c r="B141" t="n">
        <x:f>Dashboard_Live_Data!E140</x:f>
        <x:v>481.22587957439987</x:v>
      </x:c>
      <x:c r="C141" t="n">
        <x:f>Dashboard_Live_Data!D140</x:f>
        <x:v>9</x:v>
      </x:c>
      <x:c r="D141" t="n">
        <x:f>Dashboard_Live_Data!F140</x:f>
        <x:v>481.22587957439987</x:v>
      </x:c>
      <x:c r="E141" t="n">
        <x:f>Dashboard_Live_Data!D140</x:f>
        <x:v>9</x:v>
      </x:c>
      <x:c r="F141" t="n">
        <x:f>Dashboard_Live_Data!G140</x:f>
        <x:v>29.628149721243545</x:v>
      </x:c>
    </x:row>
    <x:row r="142">
      <x:c r="A142" t="n">
        <x:f>Dashboard_Live_Data!D141</x:f>
        <x:v>9.5</x:v>
      </x:c>
      <x:c r="B142" t="n">
        <x:f>Dashboard_Live_Data!E141</x:f>
        <x:v>478.27937371872196</x:v>
      </x:c>
      <x:c r="C142" t="n">
        <x:f>Dashboard_Live_Data!D141</x:f>
        <x:v>9.5</x:v>
      </x:c>
      <x:c r="D142" t="n">
        <x:f>Dashboard_Live_Data!F141</x:f>
        <x:v>478.27937371872196</x:v>
      </x:c>
      <x:c r="E142" t="n">
        <x:f>Dashboard_Live_Data!D141</x:f>
        <x:v>9.5</x:v>
      </x:c>
      <x:c r="F142" t="n">
        <x:f>Dashboard_Live_Data!G141</x:f>
        <x:v>5.649927018638348</x:v>
      </x:c>
    </x:row>
    <x:row r="143">
      <x:c r="A143" t="n">
        <x:f>Dashboard_Live_Data!D142</x:f>
        <x:v>10</x:v>
      </x:c>
      <x:c r="B143" t="n">
        <x:f>Dashboard_Live_Data!E142</x:f>
        <x:v>454.2022007690729</x:v>
      </x:c>
      <x:c r="C143" t="n">
        <x:f>Dashboard_Live_Data!D142</x:f>
        <x:v>10</x:v>
      </x:c>
      <x:c r="D143" t="n">
        <x:f>Dashboard_Live_Data!F142</x:f>
        <x:v>454.2022007690729</x:v>
      </x:c>
      <x:c r="E143" t="n">
        <x:f>Dashboard_Live_Data!D142</x:f>
        <x:v>10</x:v>
      </x:c>
      <x:c r="F143" t="n">
        <x:f>Dashboard_Live_Data!G142</x:f>
        <x:v>-8.569441618173819</x:v>
      </x:c>
    </x:row>
    <x:row r="144">
      <x:c r="A144" t="n">
        <x:f>Dashboard_Live_Data!D143</x:f>
        <x:v>10.5</x:v>
      </x:c>
      <x:c r="B144" t="n">
        <x:f>Dashboard_Live_Data!E143</x:f>
        <x:v>437.9381023255588</x:v>
      </x:c>
      <x:c r="C144" t="n">
        <x:f>Dashboard_Live_Data!D143</x:f>
        <x:v>10.5</x:v>
      </x:c>
      <x:c r="D144" t="n">
        <x:f>Dashboard_Live_Data!F143</x:f>
        <x:v>437.9381023255588</x:v>
      </x:c>
      <x:c r="E144" t="n">
        <x:f>Dashboard_Live_Data!D143</x:f>
        <x:v>10.5</x:v>
      </x:c>
      <x:c r="F144" t="n">
        <x:f>Dashboard_Live_Data!G143</x:f>
        <x:v>4.936290407774814</x:v>
      </x:c>
    </x:row>
    <x:row r="145">
      <x:c r="A145" t="n">
        <x:f>Dashboard_Live_Data!D144</x:f>
        <x:v>11</x:v>
      </x:c>
      <x:c r="B145" t="n">
        <x:f>Dashboard_Live_Data!E144</x:f>
        <x:v>444.9386077034983</x:v>
      </x:c>
      <x:c r="C145" t="n">
        <x:f>Dashboard_Live_Data!D144</x:f>
        <x:v>11</x:v>
      </x:c>
      <x:c r="D145" t="n">
        <x:f>Dashboard_Live_Data!F144</x:f>
        <x:v>444.9386077034983</x:v>
      </x:c>
      <x:c r="E145" t="n">
        <x:f>Dashboard_Live_Data!D144</x:f>
        <x:v>11</x:v>
      </x:c>
      <x:c r="F145" t="n">
        <x:f>Dashboard_Live_Data!G144</x:f>
        <x:v>1.9403678384373038</x:v>
      </x:c>
    </x:row>
    <x:row r="146">
      <x:c r="A146" t="n">
        <x:f>Dashboard_Live_Data!D145</x:f>
        <x:v>11.5</x:v>
      </x:c>
      <x:c r="B146" t="n">
        <x:f>Dashboard_Live_Data!E145</x:f>
        <x:v>434.44467895572086</x:v>
      </x:c>
      <x:c r="C146" t="n">
        <x:f>Dashboard_Live_Data!D145</x:f>
        <x:v>11.5</x:v>
      </x:c>
      <x:c r="D146" t="n">
        <x:f>Dashboard_Live_Data!F145</x:f>
        <x:v>434.44467895572086</x:v>
      </x:c>
      <x:c r="E146" t="n">
        <x:f>Dashboard_Live_Data!D145</x:f>
        <x:v>11.5</x:v>
      </x:c>
      <x:c r="F146" t="n">
        <x:f>Dashboard_Live_Data!G145</x:f>
        <x:v>4.044824683821267</x:v>
      </x:c>
    </x:row>
    <x:row r="147">
      <x:c r="A147" t="n">
        <x:f>Dashboard_Live_Data!D146</x:f>
        <x:v>12</x:v>
      </x:c>
      <x:c r="B147" t="n">
        <x:f>Dashboard_Live_Data!E146</x:f>
        <x:v>422.8387186345762</x:v>
      </x:c>
      <x:c r="C147" t="n">
        <x:f>Dashboard_Live_Data!D146</x:f>
        <x:v>12</x:v>
      </x:c>
      <x:c r="D147" t="n">
        <x:f>Dashboard_Live_Data!F146</x:f>
        <x:v>422.8387186345762</x:v>
      </x:c>
      <x:c r="E147" t="n">
        <x:f>Dashboard_Live_Data!D146</x:f>
        <x:v>12</x:v>
      </x:c>
      <x:c r="F147" t="n">
        <x:f>Dashboard_Live_Data!G146</x:f>
        <x:v>7.0738918061296845</x:v>
      </x:c>
    </x:row>
    <x:row r="148">
      <x:c r="A148" t="n">
        <x:f>Dashboard_Live_Data!D147</x:f>
        <x:v>12.5</x:v>
      </x:c>
      <x:c r="B148" t="n">
        <x:f>Dashboard_Live_Data!E147</x:f>
        <x:v>434.12423495839124</x:v>
      </x:c>
      <x:c r="C148" t="n">
        <x:f>Dashboard_Live_Data!D147</x:f>
        <x:v>12.5</x:v>
      </x:c>
      <x:c r="D148" t="n">
        <x:f>Dashboard_Live_Data!F147</x:f>
        <x:v>434.12423495839124</x:v>
      </x:c>
      <x:c r="E148" t="n">
        <x:f>Dashboard_Live_Data!D147</x:f>
        <x:v>12.5</x:v>
      </x:c>
      <x:c r="F148" t="n">
        <x:f>Dashboard_Live_Data!G147</x:f>
        <x:v>-5.687454175445142</x:v>
      </x:c>
    </x:row>
    <x:row r="149">
      <x:c r="A149" t="n">
        <x:f>Dashboard_Live_Data!D148</x:f>
        <x:v>13</x:v>
      </x:c>
      <x:c r="B149" t="n">
        <x:f>Dashboard_Live_Data!E148</x:f>
        <x:v>428.8351991704085</x:v>
      </x:c>
      <x:c r="C149" t="n">
        <x:f>Dashboard_Live_Data!D148</x:f>
        <x:v>13</x:v>
      </x:c>
      <x:c r="D149" t="n">
        <x:f>Dashboard_Live_Data!F148</x:f>
        <x:v>428.8351991704085</x:v>
      </x:c>
      <x:c r="E149" t="n">
        <x:f>Dashboard_Live_Data!D148</x:f>
        <x:v>13</x:v>
      </x:c>
      <x:c r="F149" t="n">
        <x:f>Dashboard_Live_Data!G148</x:f>
        <x:v>-3.618490966575764</x:v>
      </x:c>
    </x:row>
    <x:row r="150">
      <x:c r="A150" t="n">
        <x:f>Dashboard_Live_Data!D149</x:f>
        <x:v>13.5</x:v>
      </x:c>
      <x:c r="B150" t="n">
        <x:f>Dashboard_Live_Data!E149</x:f>
        <x:v>408.84619240872695</x:v>
      </x:c>
      <x:c r="C150" t="n">
        <x:f>Dashboard_Live_Data!D149</x:f>
        <x:v>13.5</x:v>
      </x:c>
      <x:c r="D150" t="n">
        <x:f>Dashboard_Live_Data!F149</x:f>
        <x:v>408.84619240872695</x:v>
      </x:c>
      <x:c r="E150" t="n">
        <x:f>Dashboard_Live_Data!D149</x:f>
        <x:v>13.5</x:v>
      </x:c>
      <x:c r="F150" t="n">
        <x:f>Dashboard_Live_Data!G149</x:f>
        <x:v>0.04576132524433074</x:v>
      </x:c>
    </x:row>
    <x:row r="151">
      <x:c r="A151" t="n">
        <x:f>Dashboard_Live_Data!D150</x:f>
        <x:v>14</x:v>
      </x:c>
      <x:c r="B151" t="n">
        <x:f>Dashboard_Live_Data!E150</x:f>
        <x:v>412.55100068044544</x:v>
      </x:c>
      <x:c r="C151" t="n">
        <x:f>Dashboard_Live_Data!D150</x:f>
        <x:v>14</x:v>
      </x:c>
      <x:c r="D151" t="n">
        <x:f>Dashboard_Live_Data!F150</x:f>
        <x:v>412.55100068044544</x:v>
      </x:c>
      <x:c r="E151" t="n">
        <x:f>Dashboard_Live_Data!D150</x:f>
        <x:v>14</x:v>
      </x:c>
      <x:c r="F151" t="n">
        <x:f>Dashboard_Live_Data!G150</x:f>
        <x:v>17.14805919414721</x:v>
      </x:c>
    </x:row>
    <x:row r="152">
      <x:c r="A152" t="n">
        <x:f>Dashboard_Live_Data!D151</x:f>
        <x:v>14.5</x:v>
      </x:c>
      <x:c r="B152" t="n">
        <x:f>Dashboard_Live_Data!E151</x:f>
        <x:v>415.5675277705944</x:v>
      </x:c>
      <x:c r="C152" t="n">
        <x:f>Dashboard_Live_Data!D151</x:f>
        <x:v>14.5</x:v>
      </x:c>
      <x:c r="D152" t="n">
        <x:f>Dashboard_Live_Data!F151</x:f>
        <x:v>415.5675277705944</x:v>
      </x:c>
      <x:c r="E152" t="n">
        <x:f>Dashboard_Live_Data!D151</x:f>
        <x:v>14.5</x:v>
      </x:c>
      <x:c r="F152" t="n">
        <x:f>Dashboard_Live_Data!G151</x:f>
        <x:v>27.325427950737776</x:v>
      </x:c>
    </x:row>
    <x:row r="153">
      <x:c r="A153" t="n">
        <x:f>Dashboard_Live_Data!D152</x:f>
        <x:v>15</x:v>
      </x:c>
      <x:c r="B153" t="n">
        <x:f>Dashboard_Live_Data!E152</x:f>
        <x:v>399.34593170493116</x:v>
      </x:c>
      <x:c r="C153" t="n">
        <x:f>Dashboard_Live_Data!D152</x:f>
        <x:v>15</x:v>
      </x:c>
      <x:c r="D153" t="n">
        <x:f>Dashboard_Live_Data!F152</x:f>
        <x:v>399.34593170493116</x:v>
      </x:c>
      <x:c r="E153" t="n">
        <x:f>Dashboard_Live_Data!D152</x:f>
        <x:v>15</x:v>
      </x:c>
      <x:c r="F153" t="n">
        <x:f>Dashboard_Live_Data!G152</x:f>
        <x:v>45.362905639140564</x:v>
      </x:c>
    </x:row>
    <x:row r="154">
      <x:c r="A154" t="n">
        <x:f>Dashboard_Live_Data!D153</x:f>
        <x:v>15.5</x:v>
      </x:c>
      <x:c r="B154" t="n">
        <x:f>Dashboard_Live_Data!E153</x:f>
        <x:v>395.616361037493</x:v>
      </x:c>
      <x:c r="C154" t="n">
        <x:f>Dashboard_Live_Data!D153</x:f>
        <x:v>15.5</x:v>
      </x:c>
      <x:c r="D154" t="n">
        <x:f>Dashboard_Live_Data!F153</x:f>
        <x:v>395.616361037493</x:v>
      </x:c>
      <x:c r="E154" t="n">
        <x:f>Dashboard_Live_Data!D153</x:f>
        <x:v>15.5</x:v>
      </x:c>
      <x:c r="F154" t="n">
        <x:f>Dashboard_Live_Data!G153</x:f>
        <x:v>49.090179641950456</x:v>
      </x:c>
    </x:row>
    <x:row r="155">
      <x:c r="A155" t="n">
        <x:f>Dashboard_Live_Data!D154</x:f>
        <x:v>16</x:v>
      </x:c>
      <x:c r="B155" t="n">
        <x:f>Dashboard_Live_Data!E154</x:f>
        <x:v>400.30891755789503</x:v>
      </x:c>
      <x:c r="C155" t="n">
        <x:f>Dashboard_Live_Data!D154</x:f>
        <x:v>16</x:v>
      </x:c>
      <x:c r="D155" t="n">
        <x:f>Dashboard_Live_Data!F154</x:f>
        <x:v>400.30891755789503</x:v>
      </x:c>
      <x:c r="E155" t="n">
        <x:f>Dashboard_Live_Data!D154</x:f>
        <x:v>16</x:v>
      </x:c>
      <x:c r="F155" t="n">
        <x:f>Dashboard_Live_Data!G154</x:f>
        <x:v>69.7201880441823</x:v>
      </x:c>
    </x:row>
    <x:row r="156">
      <x:c r="A156" t="n">
        <x:f>Dashboard_Live_Data!D155</x:f>
        <x:v>16.5</x:v>
      </x:c>
      <x:c r="B156" t="n">
        <x:f>Dashboard_Live_Data!E155</x:f>
        <x:v>406.20178346502695</x:v>
      </x:c>
      <x:c r="C156" t="n">
        <x:f>Dashboard_Live_Data!D155</x:f>
        <x:v>16.5</x:v>
      </x:c>
      <x:c r="D156" t="n">
        <x:f>Dashboard_Live_Data!F155</x:f>
        <x:v>406.20178346502695</x:v>
      </x:c>
      <x:c r="E156" t="n">
        <x:f>Dashboard_Live_Data!D155</x:f>
        <x:v>16.5</x:v>
      </x:c>
      <x:c r="F156" t="n">
        <x:f>Dashboard_Live_Data!G155</x:f>
        <x:v>71.50919840907298</x:v>
      </x:c>
    </x:row>
    <x:row r="157">
      <x:c r="A157" t="n">
        <x:f>Dashboard_Live_Data!D156</x:f>
        <x:v>17</x:v>
      </x:c>
      <x:c r="B157" t="n">
        <x:f>Dashboard_Live_Data!E156</x:f>
        <x:v>402.8973585501548</x:v>
      </x:c>
      <x:c r="C157" t="n">
        <x:f>Dashboard_Live_Data!D156</x:f>
        <x:v>17</x:v>
      </x:c>
      <x:c r="D157" t="n">
        <x:f>Dashboard_Live_Data!F156</x:f>
        <x:v>402.8973585501548</x:v>
      </x:c>
      <x:c r="E157" t="n">
        <x:f>Dashboard_Live_Data!D156</x:f>
        <x:v>17</x:v>
      </x:c>
      <x:c r="F157" t="n">
        <x:f>Dashboard_Live_Data!G156</x:f>
        <x:v>58.586187093984584</x:v>
      </x:c>
    </x:row>
    <x:row r="158">
      <x:c r="A158" t="n">
        <x:f>Dashboard_Live_Data!D157</x:f>
        <x:v>17.5</x:v>
      </x:c>
      <x:c r="B158" t="n">
        <x:f>Dashboard_Live_Data!E157</x:f>
        <x:v>412.59673853506814</x:v>
      </x:c>
      <x:c r="C158" t="n">
        <x:f>Dashboard_Live_Data!D157</x:f>
        <x:v>17.5</x:v>
      </x:c>
      <x:c r="D158" t="n">
        <x:f>Dashboard_Live_Data!F157</x:f>
        <x:v>412.59673853506814</x:v>
      </x:c>
      <x:c r="E158" t="n">
        <x:f>Dashboard_Live_Data!D157</x:f>
        <x:v>17.5</x:v>
      </x:c>
      <x:c r="F158" t="n">
        <x:f>Dashboard_Live_Data!G157</x:f>
        <x:v>65.71226511619231</x:v>
      </x:c>
    </x:row>
    <x:row r="159">
      <x:c r="A159" t="n">
        <x:f>Dashboard_Live_Data!D158</x:f>
        <x:v>18</x:v>
      </x:c>
      <x:c r="B159" t="n">
        <x:f>Dashboard_Live_Data!E158</x:f>
        <x:v>417.3671248555401</x:v>
      </x:c>
      <x:c r="C159" t="n">
        <x:f>Dashboard_Live_Data!D158</x:f>
        <x:v>18</x:v>
      </x:c>
      <x:c r="D159" t="n">
        <x:f>Dashboard_Live_Data!F158</x:f>
        <x:v>417.3671248555401</x:v>
      </x:c>
      <x:c r="E159" t="n">
        <x:f>Dashboard_Live_Data!D158</x:f>
        <x:v>18</x:v>
      </x:c>
      <x:c r="F159" t="n">
        <x:f>Dashboard_Live_Data!G158</x:f>
        <x:v>70.50298613715029</x:v>
      </x:c>
    </x:row>
    <x:row r="160">
      <x:c r="A160" t="n">
        <x:f>Dashboard_Live_Data!D159</x:f>
        <x:v>18.5</x:v>
      </x:c>
      <x:c r="B160" t="n">
        <x:f>Dashboard_Live_Data!E159</x:f>
        <x:v>414.03078360208366</x:v>
      </x:c>
      <x:c r="C160" t="n">
        <x:f>Dashboard_Live_Data!D159</x:f>
        <x:v>18.5</x:v>
      </x:c>
      <x:c r="D160" t="n">
        <x:f>Dashboard_Live_Data!F159</x:f>
        <x:v>414.03078360208366</x:v>
      </x:c>
      <x:c r="E160" t="n">
        <x:f>Dashboard_Live_Data!D159</x:f>
        <x:v>18.5</x:v>
      </x:c>
      <x:c r="F160" t="n">
        <x:f>Dashboard_Live_Data!G159</x:f>
        <x:v>84.15381309689964</x:v>
      </x:c>
    </x:row>
    <x:row r="161">
      <x:c r="A161" t="n">
        <x:f>Dashboard_Live_Data!D160</x:f>
        <x:v>19</x:v>
      </x:c>
      <x:c r="B161" t="n">
        <x:f>Dashboard_Live_Data!E160</x:f>
        <x:v>429.33926339108206</x:v>
      </x:c>
      <x:c r="C161" t="n">
        <x:f>Dashboard_Live_Data!D160</x:f>
        <x:v>19</x:v>
      </x:c>
      <x:c r="D161" t="n">
        <x:f>Dashboard_Live_Data!F160</x:f>
        <x:v>429.33926339108206</x:v>
      </x:c>
      <x:c r="E161" t="n">
        <x:f>Dashboard_Live_Data!D160</x:f>
        <x:v>19</x:v>
      </x:c>
      <x:c r="F161" t="n">
        <x:f>Dashboard_Live_Data!G160</x:f>
        <x:v>87.79516149602648</x:v>
      </x:c>
    </x:row>
    <x:row r="162">
      <x:c r="A162" t="n">
        <x:f>Dashboard_Live_Data!D161</x:f>
        <x:v>19.5</x:v>
      </x:c>
      <x:c r="B162" t="n">
        <x:f>Dashboard_Live_Data!E161</x:f>
        <x:v>436.66425250955575</x:v>
      </x:c>
      <x:c r="C162" t="n">
        <x:f>Dashboard_Live_Data!D161</x:f>
        <x:v>19.5</x:v>
      </x:c>
      <x:c r="D162" t="n">
        <x:f>Dashboard_Live_Data!F161</x:f>
        <x:v>436.66425250955575</x:v>
      </x:c>
      <x:c r="E162" t="n">
        <x:f>Dashboard_Live_Data!D161</x:f>
        <x:v>19.5</x:v>
      </x:c>
      <x:c r="F162" t="n">
        <x:f>Dashboard_Live_Data!G161</x:f>
        <x:v>80.08578782325549</x:v>
      </x:c>
    </x:row>
    <x:row r="163">
      <x:c r="A163" t="n">
        <x:f>Dashboard_Live_Data!D162</x:f>
        <x:v>20</x:v>
      </x:c>
      <x:c r="B163" t="n">
        <x:f>Dashboard_Live_Data!E162</x:f>
        <x:v>439.0113020882822</x:v>
      </x:c>
      <x:c r="C163" t="n">
        <x:f>Dashboard_Live_Data!D162</x:f>
        <x:v>20</x:v>
      </x:c>
      <x:c r="D163" t="n">
        <x:f>Dashboard_Live_Data!F162</x:f>
        <x:v>439.0113020882822</x:v>
      </x:c>
      <x:c r="E163" t="n">
        <x:f>Dashboard_Live_Data!D162</x:f>
        <x:v>20</x:v>
      </x:c>
      <x:c r="F163" t="n">
        <x:f>Dashboard_Live_Data!G162</x:f>
        <x:v>74.33166863889775</x:v>
      </x:c>
    </x:row>
    <x:row r="164">
      <x:c r="A164" t="n">
        <x:f>Dashboard_Live_Data!D163</x:f>
        <x:v>20.5</x:v>
      </x:c>
      <x:c r="B164" t="n">
        <x:f>Dashboard_Live_Data!E163</x:f>
        <x:v>441.7637232897853</x:v>
      </x:c>
      <x:c r="C164" t="n">
        <x:f>Dashboard_Live_Data!D163</x:f>
        <x:v>20.5</x:v>
      </x:c>
      <x:c r="D164" t="n">
        <x:f>Dashboard_Live_Data!F163</x:f>
        <x:v>441.7637232897853</x:v>
      </x:c>
      <x:c r="E164" t="n">
        <x:f>Dashboard_Live_Data!D163</x:f>
        <x:v>20.5</x:v>
      </x:c>
      <x:c r="F164" t="n">
        <x:f>Dashboard_Live_Data!G163</x:f>
        <x:v>77.08298836787891</x:v>
      </x:c>
    </x:row>
    <x:row r="165">
      <x:c r="A165" t="n">
        <x:f>Dashboard_Live_Data!D164</x:f>
        <x:v>21</x:v>
      </x:c>
      <x:c r="B165" t="n">
        <x:f>Dashboard_Live_Data!E164</x:f>
        <x:v>441.2537143317768</x:v>
      </x:c>
      <x:c r="C165" t="n">
        <x:f>Dashboard_Live_Data!D164</x:f>
        <x:v>21</x:v>
      </x:c>
      <x:c r="D165" t="n">
        <x:f>Dashboard_Live_Data!F164</x:f>
        <x:v>441.2537143317768</x:v>
      </x:c>
      <x:c r="E165" t="n">
        <x:f>Dashboard_Live_Data!D164</x:f>
        <x:v>21</x:v>
      </x:c>
      <x:c r="F165" t="n">
        <x:f>Dashboard_Live_Data!G164</x:f>
        <x:v>84.6060805836893</x:v>
      </x:c>
    </x:row>
    <x:row r="166">
      <x:c r="A166" t="n">
        <x:f>Dashboard_Live_Data!D165</x:f>
        <x:v>21.5</x:v>
      </x:c>
      <x:c r="B166" t="n">
        <x:f>Dashboard_Live_Data!E165</x:f>
        <x:v>444.1394266764314</x:v>
      </x:c>
      <x:c r="C166" t="n">
        <x:f>Dashboard_Live_Data!D165</x:f>
        <x:v>21.5</x:v>
      </x:c>
      <x:c r="D166" t="n">
        <x:f>Dashboard_Live_Data!F165</x:f>
        <x:v>444.1394266764314</x:v>
      </x:c>
      <x:c r="E166" t="n">
        <x:f>Dashboard_Live_Data!D165</x:f>
        <x:v>21.5</x:v>
      </x:c>
      <x:c r="F166" t="n">
        <x:f>Dashboard_Live_Data!G165</x:f>
        <x:v>83.65167434978589</x:v>
      </x:c>
    </x:row>
    <x:row r="167">
      <x:c r="A167" t="n">
        <x:f>Dashboard_Live_Data!D166</x:f>
        <x:v>22</x:v>
      </x:c>
      <x:c r="B167" t="n">
        <x:f>Dashboard_Live_Data!E166</x:f>
        <x:v>447.7794532624074</x:v>
      </x:c>
      <x:c r="C167" t="n">
        <x:f>Dashboard_Live_Data!D166</x:f>
        <x:v>22</x:v>
      </x:c>
      <x:c r="D167" t="n">
        <x:f>Dashboard_Live_Data!F166</x:f>
        <x:v>447.7794532624074</x:v>
      </x:c>
      <x:c r="E167" t="n">
        <x:f>Dashboard_Live_Data!D166</x:f>
        <x:v>22</x:v>
      </x:c>
      <x:c r="F167" t="n">
        <x:f>Dashboard_Live_Data!G166</x:f>
        <x:v>73.36589826371042</x:v>
      </x:c>
    </x:row>
    <x:row r="168">
      <x:c r="A168" t="n">
        <x:f>Dashboard_Live_Data!D167</x:f>
        <x:v>22.5</x:v>
      </x:c>
      <x:c r="B168" t="n">
        <x:f>Dashboard_Live_Data!E167</x:f>
        <x:v>442.50927153418206</x:v>
      </x:c>
      <x:c r="C168" t="n">
        <x:f>Dashboard_Live_Data!D167</x:f>
        <x:v>22.5</x:v>
      </x:c>
      <x:c r="D168" t="n">
        <x:f>Dashboard_Live_Data!F167</x:f>
        <x:v>442.50927153418206</x:v>
      </x:c>
      <x:c r="E168" t="n">
        <x:f>Dashboard_Live_Data!D167</x:f>
        <x:v>22.5</x:v>
      </x:c>
      <x:c r="F168" t="n">
        <x:f>Dashboard_Live_Data!G167</x:f>
        <x:v>73.86322008676284</x:v>
      </x:c>
    </x:row>
    <x:row r="169">
      <x:c r="A169" t="n">
        <x:f>Dashboard_Live_Data!D168</x:f>
        <x:v>23</x:v>
      </x:c>
      <x:c r="B169" t="n">
        <x:f>Dashboard_Live_Data!E168</x:f>
        <x:v>438.1289491107309</x:v>
      </x:c>
      <x:c r="C169" t="n">
        <x:f>Dashboard_Live_Data!D168</x:f>
        <x:v>23</x:v>
      </x:c>
      <x:c r="D169" t="n">
        <x:f>Dashboard_Live_Data!F168</x:f>
        <x:v>438.1289491107309</x:v>
      </x:c>
      <x:c r="E169" t="n">
        <x:f>Dashboard_Live_Data!D168</x:f>
        <x:v>23</x:v>
      </x:c>
      <x:c r="F169" t="n">
        <x:f>Dashboard_Live_Data!G168</x:f>
        <x:v>61.781548358505674</x:v>
      </x:c>
    </x:row>
    <x:row r="170">
      <x:c r="A170" t="n">
        <x:f>Dashboard_Live_Data!D169</x:f>
        <x:v>23.5</x:v>
      </x:c>
      <x:c r="B170" t="n">
        <x:f>Dashboard_Live_Data!E169</x:f>
        <x:v>431.2131008039683</x:v>
      </x:c>
      <x:c r="C170" t="n">
        <x:f>Dashboard_Live_Data!D169</x:f>
        <x:v>23.5</x:v>
      </x:c>
      <x:c r="D170" t="n">
        <x:f>Dashboard_Live_Data!F169</x:f>
        <x:v>431.2131008039683</x:v>
      </x:c>
      <x:c r="E170" t="n">
        <x:f>Dashboard_Live_Data!D169</x:f>
        <x:v>23.5</x:v>
      </x:c>
      <x:c r="F170" t="n">
        <x:f>Dashboard_Live_Data!G169</x:f>
        <x:v>70.98866885242666</x:v>
      </x:c>
    </x:row>
    <x:row r="171">
      <x:c r="A171" t="n">
        <x:f>Dashboard_Live_Data!D170</x:f>
        <x:v>24</x:v>
      </x:c>
      <x:c r="B171" t="n">
        <x:f>Dashboard_Live_Data!E170</x:f>
        <x:v>441.2625072507224</x:v>
      </x:c>
      <x:c r="C171" t="n">
        <x:f>Dashboard_Live_Data!D170</x:f>
        <x:v>24</x:v>
      </x:c>
      <x:c r="D171" t="n">
        <x:f>Dashboard_Live_Data!F170</x:f>
        <x:v>441.2625072507224</x:v>
      </x:c>
      <x:c r="E171" t="n">
        <x:f>Dashboard_Live_Data!D170</x:f>
        <x:v>24</x:v>
      </x:c>
      <x:c r="F171" t="n">
        <x:f>Dashboard_Live_Data!G170</x:f>
        <x:v>75.46815017037277</x:v>
      </x:c>
    </x:row>
    <x:row r="172">
      <x:c r="A172" t="n">
        <x:f>Dashboard_Live_Data!D171</x:f>
        <x:v>24.5</x:v>
      </x:c>
      <x:c r="B172" t="n">
        <x:f>Dashboard_Live_Data!E171</x:f>
        <x:v>415.4369773442437</x:v>
      </x:c>
      <x:c r="C172" t="n">
        <x:f>Dashboard_Live_Data!D171</x:f>
        <x:v>24.5</x:v>
      </x:c>
      <x:c r="D172" t="n">
        <x:f>Dashboard_Live_Data!F171</x:f>
        <x:v>415.4369773442437</x:v>
      </x:c>
      <x:c r="E172" t="n">
        <x:f>Dashboard_Live_Data!D171</x:f>
        <x:v>24.5</x:v>
      </x:c>
      <x:c r="F172" t="n">
        <x:f>Dashboard_Live_Data!G171</x:f>
        <x:v>80.2881627342364</x:v>
      </x:c>
    </x:row>
    <x:row r="173">
      <x:c r="A173" t="n">
        <x:f>Dashboard_Live_Data!D172</x:f>
        <x:v>25</x:v>
      </x:c>
      <x:c r="B173" t="n">
        <x:f>Dashboard_Live_Data!E172</x:f>
        <x:v>418.8320748478676</x:v>
      </x:c>
      <x:c r="C173" t="n">
        <x:f>Dashboard_Live_Data!D172</x:f>
        <x:v>25</x:v>
      </x:c>
      <x:c r="D173" t="n">
        <x:f>Dashboard_Live_Data!F172</x:f>
        <x:v>418.8320748478676</x:v>
      </x:c>
      <x:c r="E173" t="n">
        <x:f>Dashboard_Live_Data!D172</x:f>
        <x:v>25</x:v>
      </x:c>
      <x:c r="F173" t="n">
        <x:f>Dashboard_Live_Data!G172</x:f>
        <x:v>61.498548518191555</x:v>
      </x:c>
    </x:row>
    <x:row r="174">
      <x:c r="A174" t="n">
        <x:f>Dashboard_Live_Data!D173</x:f>
        <x:v>25.5</x:v>
      </x:c>
      <x:c r="B174" t="n">
        <x:f>Dashboard_Live_Data!E173</x:f>
        <x:v>390.15691093629596</x:v>
      </x:c>
      <x:c r="C174" t="n">
        <x:f>Dashboard_Live_Data!D173</x:f>
        <x:v>25.5</x:v>
      </x:c>
      <x:c r="D174" t="n">
        <x:f>Dashboard_Live_Data!F173</x:f>
        <x:v>390.15691093629596</x:v>
      </x:c>
      <x:c r="E174" t="n">
        <x:f>Dashboard_Live_Data!D173</x:f>
        <x:v>25.5</x:v>
      </x:c>
      <x:c r="F174" t="n">
        <x:f>Dashboard_Live_Data!G173</x:f>
        <x:v>67.90188044896082</x:v>
      </x:c>
    </x:row>
    <x:row r="175">
      <x:c r="A175" t="n">
        <x:f>Dashboard_Live_Data!D174</x:f>
        <x:v>26</x:v>
      </x:c>
      <x:c r="B175" t="n">
        <x:f>Dashboard_Live_Data!E174</x:f>
        <x:v>387.3749410180904</x:v>
      </x:c>
      <x:c r="C175" t="n">
        <x:f>Dashboard_Live_Data!D174</x:f>
        <x:v>26</x:v>
      </x:c>
      <x:c r="D175" t="n">
        <x:f>Dashboard_Live_Data!F174</x:f>
        <x:v>387.3749410180904</x:v>
      </x:c>
      <x:c r="E175" t="n">
        <x:f>Dashboard_Live_Data!D174</x:f>
        <x:v>26</x:v>
      </x:c>
      <x:c r="F175" t="n">
        <x:f>Dashboard_Live_Data!G174</x:f>
        <x:v>65.03267186217182</x:v>
      </x:c>
    </x:row>
    <x:row r="176">
      <x:c r="A176" t="n">
        <x:f>Dashboard_Live_Data!D175</x:f>
        <x:v>26.5</x:v>
      </x:c>
      <x:c r="B176" t="n">
        <x:f>Dashboard_Live_Data!E175</x:f>
        <x:v>383.48713922986474</x:v>
      </x:c>
      <x:c r="C176" t="n">
        <x:f>Dashboard_Live_Data!D175</x:f>
        <x:v>26.5</x:v>
      </x:c>
      <x:c r="D176" t="n">
        <x:f>Dashboard_Live_Data!F175</x:f>
        <x:v>383.48713922986474</x:v>
      </x:c>
      <x:c r="E176" t="n">
        <x:f>Dashboard_Live_Data!D175</x:f>
        <x:v>26.5</x:v>
      </x:c>
      <x:c r="F176" t="n">
        <x:f>Dashboard_Live_Data!G175</x:f>
        <x:v>69.51659821200863</x:v>
      </x:c>
    </x:row>
    <x:row r="177">
      <x:c r="A177" t="n">
        <x:f>Dashboard_Live_Data!D176</x:f>
        <x:v>27</x:v>
      </x:c>
      <x:c r="B177" t="n">
        <x:f>Dashboard_Live_Data!E176</x:f>
        <x:v>346.2287328646241</x:v>
      </x:c>
      <x:c r="C177" t="n">
        <x:f>Dashboard_Live_Data!D176</x:f>
        <x:v>27</x:v>
      </x:c>
      <x:c r="D177" t="n">
        <x:f>Dashboard_Live_Data!F176</x:f>
        <x:v>346.2287328646241</x:v>
      </x:c>
      <x:c r="E177" t="n">
        <x:f>Dashboard_Live_Data!D176</x:f>
        <x:v>27</x:v>
      </x:c>
      <x:c r="F177" t="n">
        <x:f>Dashboard_Live_Data!G176</x:f>
        <x:v>64.45446968061479</x:v>
      </x:c>
    </x:row>
    <x:row r="178">
      <x:c r="A178" t="n">
        <x:f>Dashboard_Live_Data!D177</x:f>
        <x:v>27.5</x:v>
      </x:c>
      <x:c r="B178" t="n">
        <x:f>Dashboard_Live_Data!E177</x:f>
        <x:v>337.0351401860322</x:v>
      </x:c>
      <x:c r="C178" t="n">
        <x:f>Dashboard_Live_Data!D177</x:f>
        <x:v>27.5</x:v>
      </x:c>
      <x:c r="D178" t="n">
        <x:f>Dashboard_Live_Data!F177</x:f>
        <x:v>337.0351401860322</x:v>
      </x:c>
      <x:c r="E178" t="n">
        <x:f>Dashboard_Live_Data!D177</x:f>
        <x:v>27.5</x:v>
      </x:c>
      <x:c r="F178" t="n">
        <x:f>Dashboard_Live_Data!G177</x:f>
        <x:v>45.78588130375909</x:v>
      </x:c>
    </x:row>
    <x:row r="179">
      <x:c r="A179" t="n">
        <x:f>Dashboard_Live_Data!D178</x:f>
        <x:v>28</x:v>
      </x:c>
      <x:c r="B179" t="n">
        <x:f>Dashboard_Live_Data!E178</x:f>
        <x:v>312.18369818898617</x:v>
      </x:c>
      <x:c r="C179" t="n">
        <x:f>Dashboard_Live_Data!D178</x:f>
        <x:v>28</x:v>
      </x:c>
      <x:c r="D179" t="n">
        <x:f>Dashboard_Live_Data!F178</x:f>
        <x:v>312.18369818898617</x:v>
      </x:c>
      <x:c r="E179" t="n">
        <x:f>Dashboard_Live_Data!D178</x:f>
        <x:v>28</x:v>
      </x:c>
      <x:c r="F179" t="n">
        <x:f>Dashboard_Live_Data!G178</x:f>
        <x:v>58.94439177372493</x:v>
      </x:c>
    </x:row>
    <x:row r="180">
      <x:c r="A180" t="n">
        <x:f>Dashboard_Live_Data!D179</x:f>
        <x:v>28.5</x:v>
      </x:c>
      <x:c r="B180" t="n">
        <x:f>Dashboard_Live_Data!E179</x:f>
        <x:v>310.4659866511931</x:v>
      </x:c>
      <x:c r="C180" t="n">
        <x:f>Dashboard_Live_Data!D179</x:f>
        <x:v>28.5</x:v>
      </x:c>
      <x:c r="D180" t="n">
        <x:f>Dashboard_Live_Data!F179</x:f>
        <x:v>310.4659866511931</x:v>
      </x:c>
      <x:c r="E180" t="n">
        <x:f>Dashboard_Live_Data!D179</x:f>
        <x:v>28.5</x:v>
      </x:c>
      <x:c r="F180" t="n">
        <x:f>Dashboard_Live_Data!G179</x:f>
        <x:v>53.72705851492565</x:v>
      </x:c>
    </x:row>
    <x:row r="181">
      <x:c r="A181" t="n">
        <x:f>Dashboard_Live_Data!D180</x:f>
        <x:v>29</x:v>
      </x:c>
      <x:c r="B181" t="n">
        <x:f>Dashboard_Live_Data!E180</x:f>
        <x:v>283.98171018669603</x:v>
      </x:c>
      <x:c r="C181" t="n">
        <x:f>Dashboard_Live_Data!D180</x:f>
        <x:v>29</x:v>
      </x:c>
      <x:c r="D181" t="n">
        <x:f>Dashboard_Live_Data!F180</x:f>
        <x:v>283.98171018669603</x:v>
      </x:c>
      <x:c r="E181" t="n">
        <x:f>Dashboard_Live_Data!D180</x:f>
        <x:v>29</x:v>
      </x:c>
      <x:c r="F181" t="n">
        <x:f>Dashboard_Live_Data!G180</x:f>
        <x:v>29.362157595592716</x:v>
      </x:c>
    </x:row>
    <x:row r="182">
      <x:c r="A182" t="n">
        <x:f>Dashboard_Live_Data!D181</x:f>
        <x:v>29.5</x:v>
      </x:c>
      <x:c r="B182" t="n">
        <x:f>Dashboard_Live_Data!E181</x:f>
        <x:v>263.5246591496981</x:v>
      </x:c>
      <x:c r="C182" t="n">
        <x:f>Dashboard_Live_Data!D181</x:f>
        <x:v>29.5</x:v>
      </x:c>
      <x:c r="D182" t="n">
        <x:f>Dashboard_Live_Data!F181</x:f>
        <x:v>263.5246591496981</x:v>
      </x:c>
      <x:c r="E182" t="n">
        <x:f>Dashboard_Live_Data!D181</x:f>
        <x:v>29.5</x:v>
      </x:c>
      <x:c r="F182" t="n">
        <x:f>Dashboard_Live_Data!G181</x:f>
        <x:v>20.4458299890095</x:v>
      </x:c>
    </x:row>
    <x:row r="183">
      <x:c r="A183" t="n">
        <x:f>Dashboard_Live_Data!D182</x:f>
        <x:v>30</x:v>
      </x:c>
      <x:c r="B183" t="n">
        <x:f>Dashboard_Live_Data!E182</x:f>
        <x:v>258.3810354027646</x:v>
      </x:c>
      <x:c r="C183" t="n">
        <x:f>Dashboard_Live_Data!D182</x:f>
        <x:v>30</x:v>
      </x:c>
      <x:c r="D183" t="n">
        <x:f>Dashboard_Live_Data!F182</x:f>
        <x:v>258.3810354027646</x:v>
      </x:c>
      <x:c r="E183" t="n">
        <x:f>Dashboard_Live_Data!D182</x:f>
        <x:v>30</x:v>
      </x:c>
      <x:c r="F183" t="n">
        <x:f>Dashboard_Live_Data!G182</x:f>
        <x:v>11.879118514207924</x:v>
      </x:c>
    </x:row>
    <x:row r="184">
      <x:c r="A184" t="n">
        <x:f>Dashboard_Live_Data!D183</x:f>
        <x:v>30.5</x:v>
      </x:c>
      <x:c r="B184" t="n">
        <x:f>Dashboard_Live_Data!E183</x:f>
        <x:v>239.98613946224492</x:v>
      </x:c>
      <x:c r="C184" t="n">
        <x:f>Dashboard_Live_Data!D183</x:f>
        <x:v>30.5</x:v>
      </x:c>
      <x:c r="D184" t="n">
        <x:f>Dashboard_Live_Data!F183</x:f>
        <x:v>239.98613946224492</x:v>
      </x:c>
      <x:c r="E184" t="n">
        <x:f>Dashboard_Live_Data!D183</x:f>
        <x:v>30.5</x:v>
      </x:c>
      <x:c r="F184" t="n">
        <x:f>Dashboard_Live_Data!G183</x:f>
        <x:v>4.284803604386864</x:v>
      </x:c>
    </x:row>
    <x:row r="185">
      <x:c r="A185" t="n">
        <x:f>Dashboard_Live_Data!D184</x:f>
        <x:v>31</x:v>
      </x:c>
      <x:c r="B185" t="n">
        <x:f>Dashboard_Live_Data!E184</x:f>
        <x:v>239.58052305996605</x:v>
      </x:c>
      <x:c r="C185" t="n">
        <x:f>Dashboard_Live_Data!D184</x:f>
        <x:v>31</x:v>
      </x:c>
      <x:c r="D185" t="n">
        <x:f>Dashboard_Live_Data!F184</x:f>
        <x:v>239.58052305996605</x:v>
      </x:c>
      <x:c r="E185" t="n">
        <x:f>Dashboard_Live_Data!D184</x:f>
        <x:v>31</x:v>
      </x:c>
      <x:c r="F185" t="n">
        <x:f>Dashboard_Live_Data!G184</x:f>
        <x:v>18.692329061381155</x:v>
      </x:c>
    </x:row>
    <x:row r="186">
      <x:c r="A186" t="n">
        <x:f>Dashboard_Live_Data!D185</x:f>
        <x:v>31.5</x:v>
      </x:c>
      <x:c r="B186" t="n">
        <x:f>Dashboard_Live_Data!E185</x:f>
        <x:v>216.56157473369862</x:v>
      </x:c>
      <x:c r="C186" t="n">
        <x:f>Dashboard_Live_Data!D185</x:f>
        <x:v>31.5</x:v>
      </x:c>
      <x:c r="D186" t="n">
        <x:f>Dashboard_Live_Data!F185</x:f>
        <x:v>216.56157473369862</x:v>
      </x:c>
      <x:c r="E186" t="n">
        <x:f>Dashboard_Live_Data!D185</x:f>
        <x:v>31.5</x:v>
      </x:c>
      <x:c r="F186" t="n">
        <x:f>Dashboard_Live_Data!G185</x:f>
        <x:v>18.579807279306877</x:v>
      </x:c>
    </x:row>
    <x:row r="187">
      <x:c r="A187" t="n">
        <x:f>Dashboard_Live_Data!D186</x:f>
        <x:v>32</x:v>
      </x:c>
      <x:c r="B187" t="n">
        <x:f>Dashboard_Live_Data!E186</x:f>
        <x:v>222.43770342182788</x:v>
      </x:c>
      <x:c r="C187" t="n">
        <x:f>Dashboard_Live_Data!D186</x:f>
        <x:v>32</x:v>
      </x:c>
      <x:c r="D187" t="n">
        <x:f>Dashboard_Live_Data!F186</x:f>
        <x:v>222.43770342182788</x:v>
      </x:c>
      <x:c r="E187" t="n">
        <x:f>Dashboard_Live_Data!D186</x:f>
        <x:v>32</x:v>
      </x:c>
      <x:c r="F187" t="n">
        <x:f>Dashboard_Live_Data!G186</x:f>
        <x:v>-1.3588316603362678</x:v>
      </x:c>
    </x:row>
    <x:row r="188">
      <x:c r="A188" t="n">
        <x:f>Dashboard_Live_Data!D187</x:f>
        <x:v>32.5</x:v>
      </x:c>
      <x:c r="B188" t="n">
        <x:f>Dashboard_Live_Data!E187</x:f>
        <x:v>227.97180197677312</x:v>
      </x:c>
      <x:c r="C188" t="n">
        <x:f>Dashboard_Live_Data!D187</x:f>
        <x:v>32.5</x:v>
      </x:c>
      <x:c r="D188" t="n">
        <x:f>Dashboard_Live_Data!F187</x:f>
        <x:v>227.97180197677312</x:v>
      </x:c>
      <x:c r="E188" t="n">
        <x:f>Dashboard_Live_Data!D187</x:f>
        <x:v>32.5</x:v>
      </x:c>
      <x:c r="F188" t="n">
        <x:f>Dashboard_Live_Data!G187</x:f>
        <x:v>5.846843018322446</x:v>
      </x:c>
    </x:row>
    <x:row r="189">
      <x:c r="A189" t="n">
        <x:f>Dashboard_Live_Data!D188</x:f>
        <x:v>33</x:v>
      </x:c>
      <x:c r="B189" t="n">
        <x:f>Dashboard_Live_Data!E188</x:f>
        <x:v>226.0841822180117</x:v>
      </x:c>
      <x:c r="C189" t="n">
        <x:f>Dashboard_Live_Data!D188</x:f>
        <x:v>33</x:v>
      </x:c>
      <x:c r="D189" t="n">
        <x:f>Dashboard_Live_Data!F188</x:f>
        <x:v>226.0841822180117</x:v>
      </x:c>
      <x:c r="E189" t="n">
        <x:f>Dashboard_Live_Data!D188</x:f>
        <x:v>33</x:v>
      </x:c>
      <x:c r="F189" t="n">
        <x:f>Dashboard_Live_Data!G188</x:f>
        <x:v>-3.610290991247414</x:v>
      </x:c>
    </x:row>
    <x:row r="190">
      <x:c r="A190" t="n">
        <x:f>Dashboard_Live_Data!D189</x:f>
        <x:v>33.5</x:v>
      </x:c>
      <x:c r="B190" t="n">
        <x:f>Dashboard_Live_Data!E189</x:f>
        <x:v>226.23942491253771</x:v>
      </x:c>
      <x:c r="C190" t="n">
        <x:f>Dashboard_Live_Data!D189</x:f>
        <x:v>33.5</x:v>
      </x:c>
      <x:c r="D190" t="n">
        <x:f>Dashboard_Live_Data!F189</x:f>
        <x:v>226.23942491253771</x:v>
      </x:c>
      <x:c r="E190" t="n">
        <x:f>Dashboard_Live_Data!D189</x:f>
        <x:v>33.5</x:v>
      </x:c>
      <x:c r="F190" t="n">
        <x:f>Dashboard_Live_Data!G189</x:f>
        <x:v>2.8193818928466783</x:v>
      </x:c>
    </x:row>
    <x:row r="191">
      <x:c r="A191" t="n">
        <x:f>Dashboard_Live_Data!D190</x:f>
        <x:v>34</x:v>
      </x:c>
      <x:c r="B191" t="n">
        <x:f>Dashboard_Live_Data!E190</x:f>
        <x:v>243.2704274883201</x:v>
      </x:c>
      <x:c r="C191" t="n">
        <x:f>Dashboard_Live_Data!D190</x:f>
        <x:v>34</x:v>
      </x:c>
      <x:c r="D191" t="n">
        <x:f>Dashboard_Live_Data!F190</x:f>
        <x:v>243.2704274883201</x:v>
      </x:c>
      <x:c r="E191" t="n">
        <x:f>Dashboard_Live_Data!D190</x:f>
        <x:v>34</x:v>
      </x:c>
      <x:c r="F191" t="n">
        <x:f>Dashboard_Live_Data!G190</x:f>
        <x:v>9.90157819415245</x:v>
      </x:c>
    </x:row>
    <x:row r="192">
      <x:c r="A192" t="n">
        <x:f>Dashboard_Live_Data!D191</x:f>
        <x:v>34.5</x:v>
      </x:c>
      <x:c r="B192" t="n">
        <x:f>Dashboard_Live_Data!E191</x:f>
        <x:v>248.8414359782273</x:v>
      </x:c>
      <x:c r="C192" t="n">
        <x:f>Dashboard_Live_Data!D191</x:f>
        <x:v>34.5</x:v>
      </x:c>
      <x:c r="D192" t="n">
        <x:f>Dashboard_Live_Data!F191</x:f>
        <x:v>248.8414359782273</x:v>
      </x:c>
      <x:c r="E192" t="n">
        <x:f>Dashboard_Live_Data!D191</x:f>
        <x:v>34.5</x:v>
      </x:c>
      <x:c r="F192" t="n">
        <x:f>Dashboard_Live_Data!G191</x:f>
        <x:v>22.306190725387925</x:v>
      </x:c>
    </x:row>
    <x:row r="193">
      <x:c r="A193" t="n">
        <x:f>Dashboard_Live_Data!D192</x:f>
        <x:v>35</x:v>
      </x:c>
      <x:c r="B193" t="n">
        <x:f>Dashboard_Live_Data!E192</x:f>
        <x:v>242.00890812042311</x:v>
      </x:c>
      <x:c r="C193" t="n">
        <x:f>Dashboard_Live_Data!D192</x:f>
        <x:v>35</x:v>
      </x:c>
      <x:c r="D193" t="n">
        <x:f>Dashboard_Live_Data!F192</x:f>
        <x:v>242.00890812042311</x:v>
      </x:c>
      <x:c r="E193" t="n">
        <x:f>Dashboard_Live_Data!D192</x:f>
        <x:v>35</x:v>
      </x:c>
      <x:c r="F193" t="n">
        <x:f>Dashboard_Live_Data!G192</x:f>
        <x:v>28.92396994213728</x:v>
      </x:c>
    </x:row>
    <x:row r="194">
      <x:c r="A194" t="n">
        <x:f>Dashboard_Live_Data!D193</x:f>
        <x:v>35.5</x:v>
      </x:c>
      <x:c r="B194" t="n">
        <x:f>Dashboard_Live_Data!E193</x:f>
        <x:v>242.63788270086079</x:v>
      </x:c>
      <x:c r="C194" t="n">
        <x:f>Dashboard_Live_Data!D193</x:f>
        <x:v>35.5</x:v>
      </x:c>
      <x:c r="D194" t="n">
        <x:f>Dashboard_Live_Data!F193</x:f>
        <x:v>242.63788270086079</x:v>
      </x:c>
      <x:c r="E194" t="n">
        <x:f>Dashboard_Live_Data!D193</x:f>
        <x:v>35.5</x:v>
      </x:c>
      <x:c r="F194" t="n">
        <x:f>Dashboard_Live_Data!G193</x:f>
        <x:v>32.227616256478356</x:v>
      </x:c>
    </x:row>
    <x:row r="195">
      <x:c r="A195" t="n">
        <x:f>Dashboard_Live_Data!D194</x:f>
        <x:v>36</x:v>
      </x:c>
      <x:c r="B195" t="n">
        <x:f>Dashboard_Live_Data!E194</x:f>
        <x:v>251.8480330414438</x:v>
      </x:c>
      <x:c r="C195" t="n">
        <x:f>Dashboard_Live_Data!D194</x:f>
        <x:v>36</x:v>
      </x:c>
      <x:c r="D195" t="n">
        <x:f>Dashboard_Live_Data!F194</x:f>
        <x:v>251.8480330414438</x:v>
      </x:c>
      <x:c r="E195" t="n">
        <x:f>Dashboard_Live_Data!D194</x:f>
        <x:v>36</x:v>
      </x:c>
      <x:c r="F195" t="n">
        <x:f>Dashboard_Live_Data!G194</x:f>
        <x:v>45.422536466318</x:v>
      </x:c>
    </x:row>
    <x:row r="196">
      <x:c r="A196" t="n">
        <x:f>Dashboard_Live_Data!D195</x:f>
        <x:v>36.5</x:v>
      </x:c>
      <x:c r="B196" t="n">
        <x:f>Dashboard_Live_Data!E195</x:f>
        <x:v>274.3131350022337</x:v>
      </x:c>
      <x:c r="C196" t="n">
        <x:f>Dashboard_Live_Data!D195</x:f>
        <x:v>36.5</x:v>
      </x:c>
      <x:c r="D196" t="n">
        <x:f>Dashboard_Live_Data!F195</x:f>
        <x:v>274.3131350022337</x:v>
      </x:c>
      <x:c r="E196" t="n">
        <x:f>Dashboard_Live_Data!D195</x:f>
        <x:v>36.5</x:v>
      </x:c>
      <x:c r="F196" t="n">
        <x:f>Dashboard_Live_Data!G195</x:f>
        <x:v>44.98219479967033</x:v>
      </x:c>
    </x:row>
    <x:row r="197">
      <x:c r="A197" t="n">
        <x:f>Dashboard_Live_Data!D196</x:f>
        <x:v>37</x:v>
      </x:c>
      <x:c r="B197" t="n">
        <x:f>Dashboard_Live_Data!E196</x:f>
        <x:v>277.26991348245565</x:v>
      </x:c>
      <x:c r="C197" t="n">
        <x:f>Dashboard_Live_Data!D196</x:f>
        <x:v>37</x:v>
      </x:c>
      <x:c r="D197" t="n">
        <x:f>Dashboard_Live_Data!F196</x:f>
        <x:v>277.26991348245565</x:v>
      </x:c>
      <x:c r="E197" t="n">
        <x:f>Dashboard_Live_Data!D196</x:f>
        <x:v>37</x:v>
      </x:c>
      <x:c r="F197" t="n">
        <x:f>Dashboard_Live_Data!G196</x:f>
        <x:v>58.36098804305038</x:v>
      </x:c>
    </x:row>
    <x:row r="198">
      <x:c r="A198" t="n">
        <x:f>Dashboard_Live_Data!D197</x:f>
        <x:v>37.5</x:v>
      </x:c>
      <x:c r="B198" t="n">
        <x:f>Dashboard_Live_Data!E197</x:f>
        <x:v>280.6842863692354</x:v>
      </x:c>
      <x:c r="C198" t="n">
        <x:f>Dashboard_Live_Data!D197</x:f>
        <x:v>37.5</x:v>
      </x:c>
      <x:c r="D198" t="n">
        <x:f>Dashboard_Live_Data!F197</x:f>
        <x:v>280.6842863692354</x:v>
      </x:c>
      <x:c r="E198" t="n">
        <x:f>Dashboard_Live_Data!D197</x:f>
        <x:v>37.5</x:v>
      </x:c>
      <x:c r="F198" t="n">
        <x:f>Dashboard_Live_Data!G197</x:f>
        <x:v>56.08108474403666</x:v>
      </x:c>
    </x:row>
    <x:row r="199">
      <x:c r="A199" t="n">
        <x:f>Dashboard_Live_Data!D198</x:f>
        <x:v>38</x:v>
      </x:c>
      <x:c r="B199" t="n">
        <x:f>Dashboard_Live_Data!E198</x:f>
        <x:v>282.3717678695042</x:v>
      </x:c>
      <x:c r="C199" t="n">
        <x:f>Dashboard_Live_Data!D198</x:f>
        <x:v>38</x:v>
      </x:c>
      <x:c r="D199" t="n">
        <x:f>Dashboard_Live_Data!F198</x:f>
        <x:v>282.3717678695042</x:v>
      </x:c>
      <x:c r="E199" t="n">
        <x:f>Dashboard_Live_Data!D198</x:f>
        <x:v>38</x:v>
      </x:c>
      <x:c r="F199" t="n">
        <x:f>Dashboard_Live_Data!G198</x:f>
        <x:v>74.89136844725374</x:v>
      </x:c>
    </x:row>
    <x:row r="200">
      <x:c r="A200" t="n">
        <x:f>Dashboard_Live_Data!D199</x:f>
        <x:v>38.5</x:v>
      </x:c>
      <x:c r="B200" t="n">
        <x:f>Dashboard_Live_Data!E199</x:f>
        <x:v>311.18191933727104</x:v>
      </x:c>
      <x:c r="C200" t="n">
        <x:f>Dashboard_Live_Data!D199</x:f>
        <x:v>38.5</x:v>
      </x:c>
      <x:c r="D200" t="n">
        <x:f>Dashboard_Live_Data!F199</x:f>
        <x:v>311.18191933727104</x:v>
      </x:c>
      <x:c r="E200" t="n">
        <x:f>Dashboard_Live_Data!D199</x:f>
        <x:v>38.5</x:v>
      </x:c>
      <x:c r="F200" t="n">
        <x:f>Dashboard_Live_Data!G199</x:f>
        <x:v>81.22943665181958</x:v>
      </x:c>
    </x:row>
    <x:row r="201">
      <x:c r="A201" t="n">
        <x:f>Dashboard_Live_Data!D200</x:f>
        <x:v>39</x:v>
      </x:c>
      <x:c r="B201" t="n">
        <x:f>Dashboard_Live_Data!E200</x:f>
        <x:v>302.8435496777789</x:v>
      </x:c>
      <x:c r="C201" t="n">
        <x:f>Dashboard_Live_Data!D200</x:f>
        <x:v>39</x:v>
      </x:c>
      <x:c r="D201" t="n">
        <x:f>Dashboard_Live_Data!F200</x:f>
        <x:v>302.8435496777789</x:v>
      </x:c>
      <x:c r="E201" t="n">
        <x:f>Dashboard_Live_Data!D200</x:f>
        <x:v>39</x:v>
      </x:c>
      <x:c r="F201" t="n">
        <x:f>Dashboard_Live_Data!G200</x:f>
        <x:v>82.75771702731363</x:v>
      </x:c>
    </x:row>
    <x:row r="202">
      <x:c r="A202" t="n">
        <x:f>Dashboard_Live_Data!D201</x:f>
        <x:v>39.5</x:v>
      </x:c>
      <x:c r="B202" t="n">
        <x:f>Dashboard_Live_Data!E201</x:f>
        <x:v>298.92940490783735</x:v>
      </x:c>
      <x:c r="C202" t="n">
        <x:f>Dashboard_Live_Data!D201</x:f>
        <x:v>39.5</x:v>
      </x:c>
      <x:c r="D202" t="n">
        <x:f>Dashboard_Live_Data!F201</x:f>
        <x:v>298.92940490783735</x:v>
      </x:c>
      <x:c r="E202" t="n">
        <x:f>Dashboard_Live_Data!D201</x:f>
        <x:v>39.5</x:v>
      </x:c>
      <x:c r="F202" t="n">
        <x:f>Dashboard_Live_Data!G201</x:f>
        <x:v>76.31271490051972</x:v>
      </x:c>
    </x:row>
    <x:row r="203">
      <x:c r="A203" t="n">
        <x:f>Dashboard_Live_Data!D202</x:f>
        <x:v>40</x:v>
      </x:c>
      <x:c r="B203" t="n">
        <x:f>Dashboard_Live_Data!E202</x:f>
        <x:v>304.82117281231683</x:v>
      </x:c>
      <x:c r="C203" t="n">
        <x:f>Dashboard_Live_Data!D202</x:f>
        <x:v>40</x:v>
      </x:c>
      <x:c r="D203" t="n">
        <x:f>Dashboard_Live_Data!F202</x:f>
        <x:v>304.82117281231683</x:v>
      </x:c>
      <x:c r="E203" t="n">
        <x:f>Dashboard_Live_Data!D202</x:f>
        <x:v>40</x:v>
      </x:c>
      <x:c r="F203" t="n">
        <x:f>Dashboard_Live_Data!G202</x:f>
        <x:v>66.26609020115302</x:v>
      </x:c>
    </x:row>
    <x:row r="204">
      <x:c r="A204" t="n">
        <x:f>Dashboard_Live_Data!D203</x:f>
        <x:v>40.5</x:v>
      </x:c>
      <x:c r="B204" t="n">
        <x:f>Dashboard_Live_Data!E203</x:f>
        <x:v>300.6975060152245</x:v>
      </x:c>
      <x:c r="C204" t="n">
        <x:f>Dashboard_Live_Data!D203</x:f>
        <x:v>40.5</x:v>
      </x:c>
      <x:c r="D204" t="n">
        <x:f>Dashboard_Live_Data!F203</x:f>
        <x:v>300.6975060152245</x:v>
      </x:c>
      <x:c r="E204" t="n">
        <x:f>Dashboard_Live_Data!D203</x:f>
        <x:v>40.5</x:v>
      </x:c>
      <x:c r="F204" t="n">
        <x:f>Dashboard_Live_Data!G203</x:f>
        <x:v>60.152205166209214</x:v>
      </x:c>
    </x:row>
    <x:row r="205">
      <x:c r="A205" t="n">
        <x:f>Dashboard_Live_Data!D204</x:f>
        <x:v>41</x:v>
      </x:c>
      <x:c r="B205" t="n">
        <x:f>Dashboard_Live_Data!E204</x:f>
        <x:v>276.55710773836364</x:v>
      </x:c>
      <x:c r="C205" t="n">
        <x:f>Dashboard_Live_Data!D204</x:f>
        <x:v>41</x:v>
      </x:c>
      <x:c r="D205" t="n">
        <x:f>Dashboard_Live_Data!F204</x:f>
        <x:v>276.55710773836364</x:v>
      </x:c>
      <x:c r="E205" t="n">
        <x:f>Dashboard_Live_Data!D204</x:f>
        <x:v>41</x:v>
      </x:c>
      <x:c r="F205" t="n">
        <x:f>Dashboard_Live_Data!G204</x:f>
        <x:v>52.60933898915909</x:v>
      </x:c>
    </x:row>
    <x:row r="206">
      <x:c r="A206" t="n">
        <x:f>Dashboard_Live_Data!D205</x:f>
        <x:v>41.5</x:v>
      </x:c>
      <x:c r="B206" t="n">
        <x:f>Dashboard_Live_Data!E205</x:f>
        <x:v>269.21554101681534</x:v>
      </x:c>
      <x:c r="C206" t="n">
        <x:f>Dashboard_Live_Data!D205</x:f>
        <x:v>41.5</x:v>
      </x:c>
      <x:c r="D206" t="n">
        <x:f>Dashboard_Live_Data!F205</x:f>
        <x:v>269.21554101681534</x:v>
      </x:c>
      <x:c r="E206" t="n">
        <x:f>Dashboard_Live_Data!D205</x:f>
        <x:v>41.5</x:v>
      </x:c>
      <x:c r="F206" t="n">
        <x:f>Dashboard_Live_Data!G205</x:f>
        <x:v>58.38095189793533</x:v>
      </x:c>
    </x:row>
    <x:row r="207">
      <x:c r="A207" t="n">
        <x:f>Dashboard_Live_Data!D206</x:f>
        <x:v>42</x:v>
      </x:c>
      <x:c r="B207" t="n">
        <x:f>Dashboard_Live_Data!E206</x:f>
        <x:v>271.1262021129023</x:v>
      </x:c>
      <x:c r="C207" t="n">
        <x:f>Dashboard_Live_Data!D206</x:f>
        <x:v>42</x:v>
      </x:c>
      <x:c r="D207" t="n">
        <x:f>Dashboard_Live_Data!F206</x:f>
        <x:v>271.1262021129023</x:v>
      </x:c>
      <x:c r="E207" t="n">
        <x:f>Dashboard_Live_Data!D206</x:f>
        <x:v>42</x:v>
      </x:c>
      <x:c r="F207" t="n">
        <x:f>Dashboard_Live_Data!G206</x:f>
        <x:v>34.52124211278962</x:v>
      </x:c>
    </x:row>
    <x:row r="208">
      <x:c r="A208" t="n">
        <x:f>Dashboard_Live_Data!D207</x:f>
        <x:v>42.5</x:v>
      </x:c>
      <x:c r="B208" t="n">
        <x:f>Dashboard_Live_Data!E207</x:f>
        <x:v>259.7768551367322</x:v>
      </x:c>
      <x:c r="C208" t="n">
        <x:f>Dashboard_Live_Data!D207</x:f>
        <x:v>42.5</x:v>
      </x:c>
      <x:c r="D208" t="n">
        <x:f>Dashboard_Live_Data!F207</x:f>
        <x:v>259.7768551367322</x:v>
      </x:c>
      <x:c r="E208" t="n">
        <x:f>Dashboard_Live_Data!D207</x:f>
        <x:v>42.5</x:v>
      </x:c>
      <x:c r="F208" t="n">
        <x:f>Dashboard_Live_Data!G207</x:f>
        <x:v>40.25127636090155</x:v>
      </x:c>
    </x:row>
    <x:row r="209">
      <x:c r="A209" t="n">
        <x:f>Dashboard_Live_Data!D208</x:f>
        <x:v>43</x:v>
      </x:c>
      <x:c r="B209" t="n">
        <x:f>Dashboard_Live_Data!E208</x:f>
        <x:v>247.2629698422237</x:v>
      </x:c>
      <x:c r="C209" t="n">
        <x:f>Dashboard_Live_Data!D208</x:f>
        <x:v>43</x:v>
      </x:c>
      <x:c r="D209" t="n">
        <x:f>Dashboard_Live_Data!F208</x:f>
        <x:v>247.2629698422237</x:v>
      </x:c>
      <x:c r="E209" t="n">
        <x:f>Dashboard_Live_Data!D208</x:f>
        <x:v>43</x:v>
      </x:c>
      <x:c r="F209" t="n">
        <x:f>Dashboard_Live_Data!G208</x:f>
        <x:v>33.32797910139238</x:v>
      </x:c>
    </x:row>
    <x:row r="210">
      <x:c r="A210" t="n">
        <x:f>Dashboard_Live_Data!D209</x:f>
        <x:v>43.5</x:v>
      </x:c>
      <x:c r="B210" t="n">
        <x:f>Dashboard_Live_Data!E209</x:f>
        <x:v>225.35528260314678</x:v>
      </x:c>
      <x:c r="C210" t="n">
        <x:f>Dashboard_Live_Data!D209</x:f>
        <x:v>43.5</x:v>
      </x:c>
      <x:c r="D210" t="n">
        <x:f>Dashboard_Live_Data!F209</x:f>
        <x:v>225.35528260314678</x:v>
      </x:c>
      <x:c r="E210" t="n">
        <x:f>Dashboard_Live_Data!D209</x:f>
        <x:v>43.5</x:v>
      </x:c>
      <x:c r="F210" t="n">
        <x:f>Dashboard_Live_Data!G209</x:f>
        <x:v>20.522948331606614</x:v>
      </x:c>
    </x:row>
    <x:row r="211">
      <x:c r="A211" t="n">
        <x:f>Dashboard_Live_Data!D210</x:f>
        <x:v>44</x:v>
      </x:c>
      <x:c r="B211" t="n">
        <x:f>Dashboard_Live_Data!E210</x:f>
        <x:v>208.84015984832814</x:v>
      </x:c>
      <x:c r="C211" t="n">
        <x:f>Dashboard_Live_Data!D210</x:f>
        <x:v>44</x:v>
      </x:c>
      <x:c r="D211" t="n">
        <x:f>Dashboard_Live_Data!F210</x:f>
        <x:v>208.84015984832814</x:v>
      </x:c>
      <x:c r="E211" t="n">
        <x:f>Dashboard_Live_Data!D210</x:f>
        <x:v>44</x:v>
      </x:c>
      <x:c r="F211" t="n">
        <x:f>Dashboard_Live_Data!G210</x:f>
        <x:v>7.051899638170276</x:v>
      </x:c>
    </x:row>
    <x:row r="212">
      <x:c r="A212" t="n">
        <x:f>Dashboard_Live_Data!D211</x:f>
        <x:v>44.5</x:v>
      </x:c>
      <x:c r="B212" t="n">
        <x:f>Dashboard_Live_Data!E211</x:f>
        <x:v>178.96296340227542</x:v>
      </x:c>
      <x:c r="C212" t="n">
        <x:f>Dashboard_Live_Data!D211</x:f>
        <x:v>44.5</x:v>
      </x:c>
      <x:c r="D212" t="n">
        <x:f>Dashboard_Live_Data!F211</x:f>
        <x:v>178.96296340227542</x:v>
      </x:c>
      <x:c r="E212" t="n">
        <x:f>Dashboard_Live_Data!D211</x:f>
        <x:v>44.5</x:v>
      </x:c>
      <x:c r="F212" t="n">
        <x:f>Dashboard_Live_Data!G211</x:f>
        <x:v>-3.283716108943903</x:v>
      </x:c>
    </x:row>
    <x:row r="213">
      <x:c r="A213" t="n">
        <x:f>Dashboard_Live_Data!D212</x:f>
        <x:v>45</x:v>
      </x:c>
      <x:c r="B213" t="n">
        <x:f>Dashboard_Live_Data!E212</x:f>
        <x:v>165.26573251393552</x:v>
      </x:c>
      <x:c r="C213" t="n">
        <x:f>Dashboard_Live_Data!D212</x:f>
        <x:v>45</x:v>
      </x:c>
      <x:c r="D213" t="n">
        <x:f>Dashboard_Live_Data!F212</x:f>
        <x:v>165.26573251393552</x:v>
      </x:c>
      <x:c r="E213" t="n">
        <x:f>Dashboard_Live_Data!D212</x:f>
        <x:v>45</x:v>
      </x:c>
      <x:c r="F213" t="n">
        <x:f>Dashboard_Live_Data!G212</x:f>
        <x:v>-4.746207968267804</x:v>
      </x:c>
    </x:row>
    <x:row r="214">
      <x:c r="A214" t="n">
        <x:f>Dashboard_Live_Data!D213</x:f>
        <x:v>45.5</x:v>
      </x:c>
      <x:c r="B214" t="n">
        <x:f>Dashboard_Live_Data!E213</x:f>
        <x:v>168.78187987738474</x:v>
      </x:c>
      <x:c r="C214" t="n">
        <x:f>Dashboard_Live_Data!D213</x:f>
        <x:v>45.5</x:v>
      </x:c>
      <x:c r="D214" t="n">
        <x:f>Dashboard_Live_Data!F213</x:f>
        <x:v>168.78187987738474</x:v>
      </x:c>
      <x:c r="E214" t="n">
        <x:f>Dashboard_Live_Data!D213</x:f>
        <x:v>45.5</x:v>
      </x:c>
      <x:c r="F214" t="n">
        <x:f>Dashboard_Live_Data!G213</x:f>
        <x:v>-4.954776418919145</x:v>
      </x:c>
    </x:row>
    <x:row r="215">
      <x:c r="A215" t="n">
        <x:f>Dashboard_Live_Data!D214</x:f>
        <x:v>46</x:v>
      </x:c>
      <x:c r="B215" t="n">
        <x:f>Dashboard_Live_Data!E214</x:f>
        <x:v>147.2236511039814</x:v>
      </x:c>
      <x:c r="C215" t="n">
        <x:f>Dashboard_Live_Data!D214</x:f>
        <x:v>46</x:v>
      </x:c>
      <x:c r="D215" t="n">
        <x:f>Dashboard_Live_Data!F214</x:f>
        <x:v>147.2236511039814</x:v>
      </x:c>
      <x:c r="E215" t="n">
        <x:f>Dashboard_Live_Data!D214</x:f>
        <x:v>46</x:v>
      </x:c>
      <x:c r="F215" t="n">
        <x:f>Dashboard_Live_Data!G214</x:f>
        <x:v>-0.04819256513620118</x:v>
      </x:c>
    </x:row>
    <x:row r="216">
      <x:c r="A216" t="n">
        <x:f>Dashboard_Live_Data!D215</x:f>
        <x:v>46.5</x:v>
      </x:c>
      <x:c r="B216" t="n">
        <x:f>Dashboard_Live_Data!E215</x:f>
        <x:v>125.26409736726505</x:v>
      </x:c>
      <x:c r="C216" t="n">
        <x:f>Dashboard_Live_Data!D215</x:f>
        <x:v>46.5</x:v>
      </x:c>
      <x:c r="D216" t="n">
        <x:f>Dashboard_Live_Data!F215</x:f>
        <x:v>125.26409736726505</x:v>
      </x:c>
      <x:c r="E216" t="n">
        <x:f>Dashboard_Live_Data!D215</x:f>
        <x:v>46.5</x:v>
      </x:c>
      <x:c r="F216" t="n">
        <x:f>Dashboard_Live_Data!G215</x:f>
        <x:v>-12.32376640540756</x:v>
      </x:c>
    </x:row>
    <x:row r="217">
      <x:c r="A217" t="n">
        <x:f>Dashboard_Live_Data!D216</x:f>
        <x:v>47</x:v>
      </x:c>
      <x:c r="B217" t="n">
        <x:f>Dashboard_Live_Data!E216</x:f>
        <x:v>119.07484471636309</x:v>
      </x:c>
      <x:c r="C217" t="n">
        <x:f>Dashboard_Live_Data!D216</x:f>
        <x:v>47</x:v>
      </x:c>
      <x:c r="D217" t="n">
        <x:f>Dashboard_Live_Data!F216</x:f>
        <x:v>119.07484471636309</x:v>
      </x:c>
      <x:c r="E217" t="n">
        <x:f>Dashboard_Live_Data!D216</x:f>
        <x:v>47</x:v>
      </x:c>
      <x:c r="F217" t="n">
        <x:f>Dashboard_Live_Data!G216</x:f>
        <x:v>5.624733438492097</x:v>
      </x:c>
    </x:row>
    <x:row r="218">
      <x:c r="A218" t="n">
        <x:f>Dashboard_Live_Data!D217</x:f>
        <x:v>47.5</x:v>
      </x:c>
      <x:c r="B218" t="n">
        <x:f>Dashboard_Live_Data!E217</x:f>
        <x:v>107.75271022723112</x:v>
      </x:c>
      <x:c r="C218" t="n">
        <x:f>Dashboard_Live_Data!D217</x:f>
        <x:v>47.5</x:v>
      </x:c>
      <x:c r="D218" t="n">
        <x:f>Dashboard_Live_Data!F217</x:f>
        <x:v>107.75271022723112</x:v>
      </x:c>
      <x:c r="E218" t="n">
        <x:f>Dashboard_Live_Data!D217</x:f>
        <x:v>47.5</x:v>
      </x:c>
      <x:c r="F218" t="n">
        <x:f>Dashboard_Live_Data!G217</x:f>
        <x:v>4.725819493947935</x:v>
      </x:c>
    </x:row>
    <x:row r="219">
      <x:c r="A219" t="n">
        <x:f>Dashboard_Live_Data!D218</x:f>
        <x:v>48</x:v>
      </x:c>
      <x:c r="B219" t="n">
        <x:f>Dashboard_Live_Data!E218</x:f>
        <x:v>124.99715373468393</x:v>
      </x:c>
      <x:c r="C219" t="n">
        <x:f>Dashboard_Live_Data!D218</x:f>
        <x:v>48</x:v>
      </x:c>
      <x:c r="D219" t="n">
        <x:f>Dashboard_Live_Data!F218</x:f>
        <x:v>124.99715373468393</x:v>
      </x:c>
      <x:c r="E219" t="n">
        <x:f>Dashboard_Live_Data!D218</x:f>
        <x:v>48</x:v>
      </x:c>
      <x:c r="F219" t="n">
        <x:f>Dashboard_Live_Data!G218</x:f>
        <x:v>-9.076914728959792</x:v>
      </x:c>
    </x:row>
    <x:row r="220">
      <x:c r="A220" t="n">
        <x:f>Dashboard_Live_Data!D219</x:f>
        <x:v>48.5</x:v>
      </x:c>
      <x:c r="B220" t="n">
        <x:f>Dashboard_Live_Data!E219</x:f>
        <x:v>114.2648488799635</x:v>
      </x:c>
      <x:c r="C220" t="n">
        <x:f>Dashboard_Live_Data!D219</x:f>
        <x:v>48.5</x:v>
      </x:c>
      <x:c r="D220" t="n">
        <x:f>Dashboard_Live_Data!F219</x:f>
        <x:v>114.2648488799635</x:v>
      </x:c>
      <x:c r="E220" t="n">
        <x:f>Dashboard_Live_Data!D219</x:f>
        <x:v>48.5</x:v>
      </x:c>
      <x:c r="F220" t="n">
        <x:f>Dashboard_Live_Data!G219</x:f>
        <x:v>-2.0408727900443155</x:v>
      </x:c>
    </x:row>
    <x:row r="221">
      <x:c r="A221" t="n">
        <x:f>Dashboard_Live_Data!D220</x:f>
        <x:v>49</x:v>
      </x:c>
      <x:c r="B221" t="n">
        <x:f>Dashboard_Live_Data!E220</x:f>
        <x:v>109.54402369059221</x:v>
      </x:c>
      <x:c r="C221" t="n">
        <x:f>Dashboard_Live_Data!D220</x:f>
        <x:v>49</x:v>
      </x:c>
      <x:c r="D221" t="n">
        <x:f>Dashboard_Live_Data!F220</x:f>
        <x:v>109.54402369059221</x:v>
      </x:c>
      <x:c r="E221" t="n">
        <x:f>Dashboard_Live_Data!D220</x:f>
        <x:v>49</x:v>
      </x:c>
      <x:c r="F221" t="n">
        <x:f>Dashboard_Live_Data!G220</x:f>
        <x:v>10.43102720072224</x:v>
      </x:c>
    </x:row>
    <x:row r="222">
      <x:c r="A222" t="n">
        <x:f>Dashboard_Live_Data!D221</x:f>
        <x:v>49.5</x:v>
      </x:c>
      <x:c r="B222" t="n">
        <x:f>Dashboard_Live_Data!E221</x:f>
        <x:v>115.81874031490976</x:v>
      </x:c>
      <x:c r="C222" t="n">
        <x:f>Dashboard_Live_Data!D221</x:f>
        <x:v>49.5</x:v>
      </x:c>
      <x:c r="D222" t="n">
        <x:f>Dashboard_Live_Data!F221</x:f>
        <x:v>115.81874031490976</x:v>
      </x:c>
      <x:c r="E222" t="n">
        <x:f>Dashboard_Live_Data!D221</x:f>
        <x:v>49.5</x:v>
      </x:c>
      <x:c r="F222" t="n">
        <x:f>Dashboard_Live_Data!G221</x:f>
        <x:v>-2.2699304094542576</x:v>
      </x:c>
    </x:row>
    <x:row r="223">
      <x:c r="A223" t="n">
        <x:f>Dashboard_Live_Data!D222</x:f>
        <x:v>50</x:v>
      </x:c>
      <x:c r="B223" t="n">
        <x:f>Dashboard_Live_Data!E222</x:f>
        <x:v>115.23525161719914</x:v>
      </x:c>
      <x:c r="C223" t="n">
        <x:f>Dashboard_Live_Data!D222</x:f>
        <x:v>50</x:v>
      </x:c>
      <x:c r="D223" t="n">
        <x:f>Dashboard_Live_Data!F222</x:f>
        <x:v>115.23525161719914</x:v>
      </x:c>
      <x:c r="E223" t="n">
        <x:f>Dashboard_Live_Data!D222</x:f>
        <x:v>50</x:v>
      </x:c>
      <x:c r="F223" t="n">
        <x:f>Dashboard_Live_Data!G222</x:f>
        <x:v>8.17258837755962</x:v>
      </x:c>
    </x:row>
    <x:row r="224">
      <x:c r="A224" t="n">
        <x:f>Dashboard_Live_Data!D223</x:f>
        <x:v>50.5</x:v>
      </x:c>
      <x:c r="B224" t="n">
        <x:f>Dashboard_Live_Data!E223</x:f>
        <x:v>136.98620076238512</x:v>
      </x:c>
      <x:c r="C224" t="n">
        <x:f>Dashboard_Live_Data!D223</x:f>
        <x:v>50.5</x:v>
      </x:c>
      <x:c r="D224" t="n">
        <x:f>Dashboard_Live_Data!F223</x:f>
        <x:v>136.98620076238512</x:v>
      </x:c>
      <x:c r="E224" t="n">
        <x:f>Dashboard_Live_Data!D223</x:f>
        <x:v>50.5</x:v>
      </x:c>
      <x:c r="F224" t="n">
        <x:f>Dashboard_Live_Data!G223</x:f>
        <x:v>7.175411887622014</x:v>
      </x:c>
    </x:row>
    <x:row r="225">
      <x:c r="A225" t="n">
        <x:f>Dashboard_Live_Data!D224</x:f>
        <x:v>51</x:v>
      </x:c>
      <x:c r="B225" t="n">
        <x:f>Dashboard_Live_Data!E224</x:f>
        <x:v>137.08289632779307</x:v>
      </x:c>
      <x:c r="C225" t="n">
        <x:f>Dashboard_Live_Data!D224</x:f>
        <x:v>51</x:v>
      </x:c>
      <x:c r="D225" t="n">
        <x:f>Dashboard_Live_Data!F224</x:f>
        <x:v>137.08289632779307</x:v>
      </x:c>
      <x:c r="E225" t="n">
        <x:f>Dashboard_Live_Data!D224</x:f>
        <x:v>51</x:v>
      </x:c>
      <x:c r="F225" t="n">
        <x:f>Dashboard_Live_Data!G224</x:f>
        <x:v>11.525237738664625</x:v>
      </x:c>
    </x:row>
    <x:row r="226">
      <x:c r="A226" t="n">
        <x:f>Dashboard_Live_Data!D225</x:f>
        <x:v>51.5</x:v>
      </x:c>
      <x:c r="B226" t="n">
        <x:f>Dashboard_Live_Data!E225</x:f>
        <x:v>159.61831316527434</x:v>
      </x:c>
      <x:c r="C226" t="n">
        <x:f>Dashboard_Live_Data!D225</x:f>
        <x:v>51.5</x:v>
      </x:c>
      <x:c r="D226" t="n">
        <x:f>Dashboard_Live_Data!F225</x:f>
        <x:v>159.61831316527434</x:v>
      </x:c>
      <x:c r="E226" t="n">
        <x:f>Dashboard_Live_Data!D225</x:f>
        <x:v>51.5</x:v>
      </x:c>
      <x:c r="F226" t="n">
        <x:f>Dashboard_Live_Data!G225</x:f>
        <x:v>-4.550946531934956</x:v>
      </x:c>
    </x:row>
    <x:row r="227">
      <x:c r="A227" t="n">
        <x:f>Dashboard_Live_Data!D226</x:f>
        <x:v>52</x:v>
      </x:c>
      <x:c r="B227" t="n">
        <x:f>Dashboard_Live_Data!E226</x:f>
        <x:v>166.9931224443313</x:v>
      </x:c>
      <x:c r="C227" t="n">
        <x:f>Dashboard_Live_Data!D226</x:f>
        <x:v>52</x:v>
      </x:c>
      <x:c r="D227" t="n">
        <x:f>Dashboard_Live_Data!F226</x:f>
        <x:v>166.9931224443313</x:v>
      </x:c>
      <x:c r="E227" t="n">
        <x:f>Dashboard_Live_Data!D226</x:f>
        <x:v>52</x:v>
      </x:c>
      <x:c r="F227" t="n">
        <x:f>Dashboard_Live_Data!G226</x:f>
        <x:v>-7.85094902162108</x:v>
      </x:c>
    </x:row>
    <x:row r="228">
      <x:c r="A228" t="n">
        <x:f>Dashboard_Live_Data!D227</x:f>
        <x:v>52.5</x:v>
      </x:c>
      <x:c r="B228" t="n">
        <x:f>Dashboard_Live_Data!E227</x:f>
        <x:v>164.06842387185546</x:v>
      </x:c>
      <x:c r="C228" t="n">
        <x:f>Dashboard_Live_Data!D227</x:f>
        <x:v>52.5</x:v>
      </x:c>
      <x:c r="D228" t="n">
        <x:f>Dashboard_Live_Data!F227</x:f>
        <x:v>164.06842387185546</x:v>
      </x:c>
      <x:c r="E228" t="n">
        <x:f>Dashboard_Live_Data!D227</x:f>
        <x:v>52.5</x:v>
      </x:c>
      <x:c r="F228" t="n">
        <x:f>Dashboard_Live_Data!G227</x:f>
        <x:v>6.588346931916092</x:v>
      </x:c>
    </x:row>
    <x:row r="229">
      <x:c r="A229" t="n">
        <x:f>Dashboard_Live_Data!D228</x:f>
        <x:v>53</x:v>
      </x:c>
      <x:c r="B229" t="n">
        <x:f>Dashboard_Live_Data!E228</x:f>
        <x:v>183.5232809151917</x:v>
      </x:c>
      <x:c r="C229" t="n">
        <x:f>Dashboard_Live_Data!D228</x:f>
        <x:v>53</x:v>
      </x:c>
      <x:c r="D229" t="n">
        <x:f>Dashboard_Live_Data!F228</x:f>
        <x:v>183.5232809151917</x:v>
      </x:c>
      <x:c r="E229" t="n">
        <x:f>Dashboard_Live_Data!D228</x:f>
        <x:v>53</x:v>
      </x:c>
      <x:c r="F229" t="n">
        <x:f>Dashboard_Live_Data!G228</x:f>
        <x:v>4.508396540761183</x:v>
      </x:c>
    </x:row>
    <x:row r="230">
      <x:c r="A230" t="n">
        <x:f>Dashboard_Live_Data!D229</x:f>
        <x:v>53.5</x:v>
      </x:c>
      <x:c r="B230" t="n">
        <x:f>Dashboard_Live_Data!E229</x:f>
        <x:v>181.04186719105834</x:v>
      </x:c>
      <x:c r="C230" t="n">
        <x:f>Dashboard_Live_Data!D229</x:f>
        <x:v>53.5</x:v>
      </x:c>
      <x:c r="D230" t="n">
        <x:f>Dashboard_Live_Data!F229</x:f>
        <x:v>181.04186719105834</x:v>
      </x:c>
      <x:c r="E230" t="n">
        <x:f>Dashboard_Live_Data!D229</x:f>
        <x:v>53.5</x:v>
      </x:c>
      <x:c r="F230" t="n">
        <x:f>Dashboard_Live_Data!G229</x:f>
        <x:v>-0.1280560890739677</x:v>
      </x:c>
    </x:row>
    <x:row r="231">
      <x:c r="A231" t="n">
        <x:f>Dashboard_Live_Data!D230</x:f>
        <x:v>54</x:v>
      </x:c>
      <x:c r="B231" t="n">
        <x:f>Dashboard_Live_Data!E230</x:f>
        <x:v>181.54184215615243</x:v>
      </x:c>
      <x:c r="C231" t="n">
        <x:f>Dashboard_Live_Data!D230</x:f>
        <x:v>54</x:v>
      </x:c>
      <x:c r="D231" t="n">
        <x:f>Dashboard_Live_Data!F230</x:f>
        <x:v>181.54184215615243</x:v>
      </x:c>
      <x:c r="E231" t="n">
        <x:f>Dashboard_Live_Data!D230</x:f>
        <x:v>54</x:v>
      </x:c>
      <x:c r="F231" t="n">
        <x:f>Dashboard_Live_Data!G230</x:f>
        <x:v>-7.852837825142384</x:v>
      </x:c>
    </x:row>
    <x:row r="232">
      <x:c r="A232" t="n">
        <x:f>Dashboard_Live_Data!D231</x:f>
        <x:v>54.5</x:v>
      </x:c>
      <x:c r="B232" t="n">
        <x:f>Dashboard_Live_Data!E231</x:f>
        <x:v>176.67952286630316</x:v>
      </x:c>
      <x:c r="C232" t="n">
        <x:f>Dashboard_Live_Data!D231</x:f>
        <x:v>54.5</x:v>
      </x:c>
      <x:c r="D232" t="n">
        <x:f>Dashboard_Live_Data!F231</x:f>
        <x:v>176.67952286630316</x:v>
      </x:c>
      <x:c r="E232" t="n">
        <x:f>Dashboard_Live_Data!D231</x:f>
        <x:v>54.5</x:v>
      </x:c>
      <x:c r="F232" t="n">
        <x:f>Dashboard_Live_Data!G231</x:f>
        <x:v>-10.88592803052483</x:v>
      </x:c>
    </x:row>
    <x:row r="233">
      <x:c r="A233" t="n">
        <x:f>Dashboard_Live_Data!D232</x:f>
        <x:v>55</x:v>
      </x:c>
      <x:c r="B233" t="n">
        <x:f>Dashboard_Live_Data!E232</x:f>
        <x:v>188.50605986389118</x:v>
      </x:c>
      <x:c r="C233" t="n">
        <x:f>Dashboard_Live_Data!D232</x:f>
        <x:v>55</x:v>
      </x:c>
      <x:c r="D233" t="n">
        <x:f>Dashboard_Live_Data!F232</x:f>
        <x:v>188.50605986389118</x:v>
      </x:c>
      <x:c r="E233" t="n">
        <x:f>Dashboard_Live_Data!D232</x:f>
        <x:v>55</x:v>
      </x:c>
      <x:c r="F233" t="n">
        <x:f>Dashboard_Live_Data!G232</x:f>
        <x:v>-2.7391578251359494</x:v>
      </x:c>
    </x:row>
    <x:row r="234">
      <x:c r="A234" t="n">
        <x:f>Dashboard_Live_Data!D233</x:f>
        <x:v>55.5</x:v>
      </x:c>
      <x:c r="B234" t="n">
        <x:f>Dashboard_Live_Data!E233</x:f>
        <x:v>182.5522692746181</x:v>
      </x:c>
      <x:c r="C234" t="n">
        <x:f>Dashboard_Live_Data!D233</x:f>
        <x:v>55.5</x:v>
      </x:c>
      <x:c r="D234" t="n">
        <x:f>Dashboard_Live_Data!F233</x:f>
        <x:v>182.5522692746181</x:v>
      </x:c>
      <x:c r="E234" t="n">
        <x:f>Dashboard_Live_Data!D233</x:f>
        <x:v>55.5</x:v>
      </x:c>
      <x:c r="F234" t="n">
        <x:f>Dashboard_Live_Data!G233</x:f>
        <x:v>-6.538094280084824</x:v>
      </x:c>
    </x:row>
    <x:row r="235">
      <x:c r="A235" t="n">
        <x:f>Dashboard_Live_Data!D234</x:f>
        <x:v>56</x:v>
      </x:c>
      <x:c r="B235" t="n">
        <x:f>Dashboard_Live_Data!E234</x:f>
        <x:v>186.90390563143987</x:v>
      </x:c>
      <x:c r="C235" t="n">
        <x:f>Dashboard_Live_Data!D234</x:f>
        <x:v>56</x:v>
      </x:c>
      <x:c r="D235" t="n">
        <x:f>Dashboard_Live_Data!F234</x:f>
        <x:v>186.90390563143987</x:v>
      </x:c>
      <x:c r="E235" t="n">
        <x:f>Dashboard_Live_Data!D234</x:f>
        <x:v>56</x:v>
      </x:c>
      <x:c r="F235" t="n">
        <x:f>Dashboard_Live_Data!G234</x:f>
        <x:v>-4.357290177669684</x:v>
      </x:c>
    </x:row>
    <x:row r="236">
      <x:c r="A236" t="n">
        <x:f>Dashboard_Live_Data!D235</x:f>
        <x:v>56.5</x:v>
      </x:c>
      <x:c r="B236" t="n">
        <x:f>Dashboard_Live_Data!E235</x:f>
        <x:v>190.07062484954076</x:v>
      </x:c>
      <x:c r="C236" t="n">
        <x:f>Dashboard_Live_Data!D235</x:f>
        <x:v>56.5</x:v>
      </x:c>
      <x:c r="D236" t="n">
        <x:f>Dashboard_Live_Data!F235</x:f>
        <x:v>190.07062484954076</x:v>
      </x:c>
      <x:c r="E236" t="n">
        <x:f>Dashboard_Live_Data!D235</x:f>
        <x:v>56.5</x:v>
      </x:c>
      <x:c r="F236" t="n">
        <x:f>Dashboard_Live_Data!G235</x:f>
        <x:v>21.715435034758002</x:v>
      </x:c>
    </x:row>
    <x:row r="237">
      <x:c r="A237" t="n">
        <x:f>Dashboard_Live_Data!D236</x:f>
        <x:v>57</x:v>
      </x:c>
      <x:c r="B237" t="n">
        <x:f>Dashboard_Live_Data!E236</x:f>
        <x:v>200.68454527158707</x:v>
      </x:c>
      <x:c r="C237" t="n">
        <x:f>Dashboard_Live_Data!D236</x:f>
        <x:v>57</x:v>
      </x:c>
      <x:c r="D237" t="n">
        <x:f>Dashboard_Live_Data!F236</x:f>
        <x:v>200.68454527158707</x:v>
      </x:c>
      <x:c r="E237" t="n">
        <x:f>Dashboard_Live_Data!D236</x:f>
        <x:v>57</x:v>
      </x:c>
      <x:c r="F237" t="n">
        <x:f>Dashboard_Live_Data!G236</x:f>
        <x:v>18.4135707545088</x:v>
      </x:c>
    </x:row>
    <x:row r="238">
      <x:c r="A238" t="n">
        <x:f>Dashboard_Live_Data!D237</x:f>
        <x:v>57.5</x:v>
      </x:c>
      <x:c r="B238" t="n">
        <x:f>Dashboard_Live_Data!E237</x:f>
        <x:v>178.2777126906697</x:v>
      </x:c>
      <x:c r="C238" t="n">
        <x:f>Dashboard_Live_Data!D237</x:f>
        <x:v>57.5</x:v>
      </x:c>
      <x:c r="D238" t="n">
        <x:f>Dashboard_Live_Data!F237</x:f>
        <x:v>178.2777126906697</x:v>
      </x:c>
      <x:c r="E238" t="n">
        <x:f>Dashboard_Live_Data!D237</x:f>
        <x:v>57.5</x:v>
      </x:c>
      <x:c r="F238" t="n">
        <x:f>Dashboard_Live_Data!G237</x:f>
        <x:v>25.968776223167485</x:v>
      </x:c>
    </x:row>
    <x:row r="239">
      <x:c r="A239" t="n">
        <x:f>Dashboard_Live_Data!D238</x:f>
        <x:v>58</x:v>
      </x:c>
      <x:c r="B239" t="n">
        <x:f>Dashboard_Live_Data!E238</x:f>
        <x:v>194.52778179385766</x:v>
      </x:c>
      <x:c r="C239" t="n">
        <x:f>Dashboard_Live_Data!D238</x:f>
        <x:v>58</x:v>
      </x:c>
      <x:c r="D239" t="n">
        <x:f>Dashboard_Live_Data!F238</x:f>
        <x:v>194.52778179385766</x:v>
      </x:c>
      <x:c r="E239" t="n">
        <x:f>Dashboard_Live_Data!D238</x:f>
        <x:v>58</x:v>
      </x:c>
      <x:c r="F239" t="n">
        <x:f>Dashboard_Live_Data!G238</x:f>
        <x:v>30.070182113253747</x:v>
      </x:c>
    </x:row>
    <x:row r="240">
      <x:c r="A240" t="n">
        <x:f>Dashboard_Live_Data!D239</x:f>
        <x:v>58.5</x:v>
      </x:c>
      <x:c r="B240" t="n">
        <x:f>Dashboard_Live_Data!E239</x:f>
        <x:v>188.33221875951745</x:v>
      </x:c>
      <x:c r="C240" t="n">
        <x:f>Dashboard_Live_Data!D239</x:f>
        <x:v>58.5</x:v>
      </x:c>
      <x:c r="D240" t="n">
        <x:f>Dashboard_Live_Data!F239</x:f>
        <x:v>188.33221875951745</x:v>
      </x:c>
      <x:c r="E240" t="n">
        <x:f>Dashboard_Live_Data!D239</x:f>
        <x:v>58.5</x:v>
      </x:c>
      <x:c r="F240" t="n">
        <x:f>Dashboard_Live_Data!G239</x:f>
        <x:v>28.425297518081656</x:v>
      </x:c>
    </x:row>
    <x:row r="241">
      <x:c r="A241" t="n">
        <x:f>Dashboard_Live_Data!D240</x:f>
        <x:v>59</x:v>
      </x:c>
      <x:c r="B241" t="n">
        <x:f>Dashboard_Live_Data!E240</x:f>
        <x:v>193.74067782731254</x:v>
      </x:c>
      <x:c r="C241" t="n">
        <x:f>Dashboard_Live_Data!D240</x:f>
        <x:v>59</x:v>
      </x:c>
      <x:c r="D241" t="n">
        <x:f>Dashboard_Live_Data!F240</x:f>
        <x:v>193.74067782731254</x:v>
      </x:c>
      <x:c r="E241" t="n">
        <x:f>Dashboard_Live_Data!D240</x:f>
        <x:v>59</x:v>
      </x:c>
      <x:c r="F241" t="n">
        <x:f>Dashboard_Live_Data!G240</x:f>
        <x:v>25.687015205000044</x:v>
      </x:c>
    </x:row>
    <x:row r="242">
      <x:c r="A242" t="n">
        <x:f>Dashboard_Live_Data!D241</x:f>
        <x:v>59.5</x:v>
      </x:c>
      <x:c r="B242" t="n">
        <x:f>Dashboard_Live_Data!E241</x:f>
        <x:v>168.97901642333537</x:v>
      </x:c>
      <x:c r="C242" t="n">
        <x:f>Dashboard_Live_Data!D241</x:f>
        <x:v>59.5</x:v>
      </x:c>
      <x:c r="D242" t="n">
        <x:f>Dashboard_Live_Data!F241</x:f>
        <x:v>168.97901642333537</x:v>
      </x:c>
      <x:c r="E242" t="n">
        <x:f>Dashboard_Live_Data!D241</x:f>
        <x:v>59.5</x:v>
      </x:c>
      <x:c r="F242" t="n">
        <x:f>Dashboard_Live_Data!G241</x:f>
        <x:v>45.681577079364786</x:v>
      </x:c>
    </x:row>
    <x:row r="243">
      <x:c r="A243" t="n">
        <x:f>Dashboard_Live_Data!D242</x:f>
        <x:v>60</x:v>
      </x:c>
      <x:c r="B243" t="n">
        <x:f>Dashboard_Live_Data!E242</x:f>
        <x:v>179.34901119414707</x:v>
      </x:c>
      <x:c r="C243" t="n">
        <x:f>Dashboard_Live_Data!D242</x:f>
        <x:v>60</x:v>
      </x:c>
      <x:c r="D243" t="n">
        <x:f>Dashboard_Live_Data!F242</x:f>
        <x:v>179.34901119414707</x:v>
      </x:c>
      <x:c r="E243" t="n">
        <x:f>Dashboard_Live_Data!D242</x:f>
        <x:v>60</x:v>
      </x:c>
      <x:c r="F243" t="n">
        <x:f>Dashboard_Live_Data!G242</x:f>
        <x:v>31.89413090916895</x:v>
      </x:c>
    </x:row>
    <x:row r="246">
      <x:c r="A246" t="inlineStr">
        <x:is>
          <x:t xml:space="preserve">Apparent Depth: Spacecraft Motion Distortion by Run</x:t>
        </x:is>
      </x:c>
    </x:row>
    <x:row r="247">
      <x:c r="A247" t="inlineStr">
        <x:is>
          <x:t xml:space="preserve">Custom 400 km / 120 km pass x</x:t>
        </x:is>
      </x:c>
      <x:c r="B247" t="inlineStr">
        <x:is>
          <x:t xml:space="preserve">Custom 400 km / 120 km pass</x:t>
        </x:is>
      </x:c>
      <x:c r="C247" t="inlineStr">
        <x:is>
          <x:t xml:space="preserve">Paper low-altitude 35 km / 800 km pass x</x:t>
        </x:is>
      </x:c>
      <x:c r="D247" t="inlineStr">
        <x:is>
          <x:t xml:space="preserve">Paper low-altitude 35 km / 800 km pass</x:t>
        </x:is>
      </x:c>
      <x:c r="E247" t="inlineStr">
        <x:is>
          <x:t xml:space="preserve">Paper ice-ocean 35 km / 1600 km pass x</x:t>
        </x:is>
      </x:c>
      <x:c r="F247" t="inlineStr">
        <x:is>
          <x:t xml:space="preserve">Paper ice-ocean 35 km / 1600 km pass</x:t>
        </x:is>
      </x:c>
      <x:c r="G247" t="inlineStr">
        <x:is>
          <x:t xml:space="preserve">Operating 25 km / 1600 km pass x</x:t>
        </x:is>
      </x:c>
      <x:c r="H247" t="inlineStr">
        <x:is>
          <x:t xml:space="preserve">Operating 25 km / 1600 km pass</x:t>
        </x:is>
      </x:c>
    </x:row>
    <x:row r="248">
      <x:c r="A248" t="n">
        <x:f>Dashboard_Live_Data!I2</x:f>
        <x:v>-1</x:v>
      </x:c>
      <x:c r="B248" t="n">
        <x:f>Dashboard_Live_Data!J2</x:f>
        <x:v>-28.60683575205121</x:v>
      </x:c>
      <x:c r="C248" t="n">
        <x:f>Dashboard_Live_Data!I2</x:f>
        <x:v>-1</x:v>
      </x:c>
      <x:c r="D248" t="n">
        <x:f>Dashboard_Live_Data!K2</x:f>
        <x:v>-95550.6968246352</x:v>
      </x:c>
      <x:c r="E248" t="n">
        <x:f>Dashboard_Live_Data!I2</x:f>
        <x:v>-1</x:v>
      </x:c>
      <x:c r="F248" t="n">
        <x:f>Dashboard_Live_Data!L2</x:f>
        <x:v>-192178.91313344726</x:v>
      </x:c>
      <x:c r="G248" t="n">
        <x:f>Dashboard_Live_Data!I2</x:f>
        <x:v>-1</x:v>
      </x:c>
      <x:c r="H248" t="n">
        <x:f>Dashboard_Live_Data!M2</x:f>
        <x:v>-196175.94007289349</x:v>
      </x:c>
    </x:row>
    <x:row r="249">
      <x:c r="A249" t="n">
        <x:f>Dashboard_Live_Data!I3</x:f>
        <x:v>-0.992</x:v>
      </x:c>
      <x:c r="B249" t="n">
        <x:f>Dashboard_Live_Data!J3</x:f>
        <x:v>-27.782863149590867</x:v>
      </x:c>
      <x:c r="C249" t="n">
        <x:f>Dashboard_Live_Data!I3</x:f>
        <x:v>-0.992</x:v>
      </x:c>
      <x:c r="D249" t="n">
        <x:f>Dashboard_Live_Data!K3</x:f>
        <x:v>-94429.87293064831</x:v>
      </x:c>
      <x:c r="E249" t="n">
        <x:f>Dashboard_Live_Data!I3</x:f>
        <x:v>-0.992</x:v>
      </x:c>
      <x:c r="F249" t="n">
        <x:f>Dashboard_Live_Data!L3</x:f>
        <x:v>-190472.55314770044</x:v>
      </x:c>
      <x:c r="G249" t="n">
        <x:f>Dashboard_Live_Data!I3</x:f>
        <x:v>-0.992</x:v>
      </x:c>
      <x:c r="H249" t="n">
        <x:f>Dashboard_Live_Data!M3</x:f>
        <x:v>-194464.73837065272</x:v>
      </x:c>
    </x:row>
    <x:row r="250">
      <x:c r="A250" t="n">
        <x:f>Dashboard_Live_Data!I4</x:f>
        <x:v>-0.983</x:v>
      </x:c>
      <x:c r="B250" t="n">
        <x:f>Dashboard_Live_Data!J4</x:f>
        <x:v>-26.877434485224512</x:v>
      </x:c>
      <x:c r="C250" t="n">
        <x:f>Dashboard_Live_Data!I4</x:f>
        <x:v>-0.983</x:v>
      </x:c>
      <x:c r="D250" t="n">
        <x:f>Dashboard_Live_Data!K4</x:f>
        <x:v>-93169.45002082347</x:v>
      </x:c>
      <x:c r="E250" t="n">
        <x:f>Dashboard_Live_Data!I4</x:f>
        <x:v>-0.983</x:v>
      </x:c>
      <x:c r="F250" t="n">
        <x:f>Dashboard_Live_Data!L4</x:f>
        <x:v>-188542.34891493866</x:v>
      </x:c>
      <x:c r="G250" t="n">
        <x:f>Dashboard_Live_Data!I4</x:f>
        <x:v>-0.983</x:v>
      </x:c>
      <x:c r="H250" t="n">
        <x:f>Dashboard_Live_Data!M4</x:f>
        <x:v>-192528.7589427015</x:v>
      </x:c>
    </x:row>
    <x:row r="251">
      <x:c r="A251" t="n">
        <x:f>Dashboard_Live_Data!I5</x:f>
        <x:v>-0.975</x:v>
      </x:c>
      <x:c r="B251" t="n">
        <x:f>Dashboard_Live_Data!J5</x:f>
        <x:v>-26.091469511469313</x:v>
      </x:c>
      <x:c r="C251" t="n">
        <x:f>Dashboard_Live_Data!I5</x:f>
        <x:v>-0.975</x:v>
      </x:c>
      <x:c r="D251" t="n">
        <x:f>Dashboard_Live_Data!K5</x:f>
        <x:v>-92049.59969520803</x:v>
      </x:c>
      <x:c r="E251" t="n">
        <x:f>Dashboard_Live_Data!I5</x:f>
        <x:v>-0.975</x:v>
      </x:c>
      <x:c r="F251" t="n">
        <x:f>Dashboard_Live_Data!L5</x:f>
        <x:v>-186817.33873453335</x:v>
      </x:c>
      <x:c r="G251" t="n">
        <x:f>Dashboard_Live_Data!I5</x:f>
        <x:v>-0.975</x:v>
      </x:c>
      <x:c r="H251" t="n">
        <x:f>Dashboard_Live_Data!M5</x:f>
        <x:v>-190798.31818207764</x:v>
      </x:c>
    </x:row>
    <x:row r="252">
      <x:c r="A252" t="n">
        <x:f>Dashboard_Live_Data!I6</x:f>
        <x:v>-0.967</x:v>
      </x:c>
      <x:c r="B252" t="n">
        <x:f>Dashboard_Live_Data!J6</x:f>
        <x:v>-25.322987391846254</x:v>
      </x:c>
      <x:c r="C252" t="n">
        <x:f>Dashboard_Live_Data!I6</x:f>
        <x:v>-0.967</x:v>
      </x:c>
      <x:c r="D252" t="n">
        <x:f>Dashboard_Live_Data!K6</x:f>
        <x:v>-90930.31855627525</x:v>
      </x:c>
      <x:c r="E252" t="n">
        <x:f>Dashboard_Live_Data!I6</x:f>
        <x:v>-0.967</x:v>
      </x:c>
      <x:c r="F252" t="n">
        <x:f>Dashboard_Live_Data!L6</x:f>
        <x:v>-185083.7019914568</x:v>
      </x:c>
      <x:c r="G252" t="n">
        <x:f>Dashboard_Live_Data!I6</x:f>
        <x:v>-0.967</x:v>
      </x:c>
      <x:c r="H252" t="n">
        <x:f>Dashboard_Live_Data!M6</x:f>
        <x:v>-189058.96620570074</x:v>
      </x:c>
    </x:row>
    <x:row r="253">
      <x:c r="A253" t="n">
        <x:f>Dashboard_Live_Data!I7</x:f>
        <x:v>-0.958</x:v>
      </x:c>
      <x:c r="B253" t="n">
        <x:f>Dashboard_Live_Data!J7</x:f>
        <x:v>-24.47902381513677</x:v>
      </x:c>
      <x:c r="C253" t="n">
        <x:f>Dashboard_Live_Data!I7</x:f>
        <x:v>-0.958</x:v>
      </x:c>
      <x:c r="D253" t="n">
        <x:f>Dashboard_Live_Data!K7</x:f>
        <x:v>-89671.89852079703</x:v>
      </x:c>
      <x:c r="E253" t="n">
        <x:f>Dashboard_Live_Data!I7</x:f>
        <x:v>-0.958</x:v>
      </x:c>
      <x:c r="F253" t="n">
        <x:f>Dashboard_Live_Data!L7</x:f>
        <x:v>-183123.17397563407</x:v>
      </x:c>
      <x:c r="G253" t="n">
        <x:f>Dashboard_Live_Data!I7</x:f>
        <x:v>-0.958</x:v>
      </x:c>
      <x:c r="H253" t="n">
        <x:f>Dashboard_Live_Data!M7</x:f>
        <x:v>-187091.66215917454</x:v>
      </x:c>
    </x:row>
    <x:row r="254">
      <x:c r="A254" t="n">
        <x:f>Dashboard_Live_Data!I8</x:f>
        <x:v>-0.95</x:v>
      </x:c>
      <x:c r="B254" t="n">
        <x:f>Dashboard_Live_Data!J8</x:f>
        <x:v>-23.746844660086936</x:v>
      </x:c>
      <x:c r="C254" t="n">
        <x:f>Dashboard_Live_Data!I8</x:f>
        <x:v>-0.95</x:v>
      </x:c>
      <x:c r="D254" t="n">
        <x:f>Dashboard_Live_Data!K8</x:f>
        <x:v>-88554.07088364325</x:v>
      </x:c>
      <x:c r="E254" t="n">
        <x:f>Dashboard_Live_Data!I8</x:f>
        <x:v>-0.95</x:v>
      </x:c>
      <x:c r="F254" t="n">
        <x:f>Dashboard_Live_Data!L8</x:f>
        <x:v>-181371.54200338566</x:v>
      </x:c>
      <x:c r="G254" t="n">
        <x:f>Dashboard_Live_Data!I8</x:f>
        <x:v>-0.95</x:v>
      </x:c>
      <x:c r="H254" t="n">
        <x:f>Dashboard_Live_Data!M8</x:f>
        <x:v>-185333.69359371395</x:v>
      </x:c>
    </x:row>
    <x:row r="255">
      <x:c r="A255" t="n">
        <x:f>Dashboard_Live_Data!I9</x:f>
        <x:v>-0.942</x:v>
      </x:c>
      <x:c r="B255" t="n">
        <x:f>Dashboard_Live_Data!J9</x:f>
        <x:v>-23.03135332022248</x:v>
      </x:c>
      <x:c r="C255" t="n">
        <x:f>Dashboard_Live_Data!I9</x:f>
        <x:v>-0.942</x:v>
      </x:c>
      <x:c r="D255" t="n">
        <x:f>Dashboard_Live_Data!K9</x:f>
        <x:v>-87437.04511505857</x:v>
      </x:c>
      <x:c r="E255" t="n">
        <x:f>Dashboard_Live_Data!I9</x:f>
        <x:v>-0.942</x:v>
      </x:c>
      <x:c r="F255" t="n">
        <x:f>Dashboard_Live_Data!L9</x:f>
        <x:v>-179611.60663962277</x:v>
      </x:c>
      <x:c r="G255" t="n">
        <x:f>Dashboard_Live_Data!I9</x:f>
        <x:v>-0.942</x:v>
      </x:c>
      <x:c r="H255" t="n">
        <x:f>Dashboard_Live_Data!M9</x:f>
        <x:v>-183567.12131353328</x:v>
      </x:c>
    </x:row>
    <x:row r="256">
      <x:c r="A256" t="n">
        <x:f>Dashboard_Live_Data!I10</x:f>
        <x:v>-0.933</x:v>
      </x:c>
      <x:c r="B256" t="n">
        <x:f>Dashboard_Live_Data!J10</x:f>
        <x:v>-22.246059825895372</x:v>
      </x:c>
      <x:c r="C256" t="n">
        <x:f>Dashboard_Live_Data!I10</x:f>
        <x:v>-0.933</x:v>
      </x:c>
      <x:c r="D256" t="n">
        <x:f>Dashboard_Live_Data!K10</x:f>
        <x:v>-86181.44608297395</x:v>
      </x:c>
      <x:c r="E256" t="n">
        <x:f>Dashboard_Live_Data!I10</x:f>
        <x:v>-0.933</x:v>
      </x:c>
      <x:c r="F256" t="n">
        <x:f>Dashboard_Live_Data!L10</x:f>
        <x:v>-177621.89133436125</x:v>
      </x:c>
      <x:c r="G256" t="n">
        <x:f>Dashboard_Live_Data!I10</x:f>
        <x:v>-0.933</x:v>
      </x:c>
      <x:c r="H256" t="n">
        <x:f>Dashboard_Live_Data!M10</x:f>
        <x:v>-181569.57405040326</x:v>
      </x:c>
    </x:row>
    <x:row r="257">
      <x:c r="A257" t="n">
        <x:f>Dashboard_Live_Data!I11</x:f>
        <x:v>-0.925</x:v>
      </x:c>
      <x:c r="B257" t="n">
        <x:f>Dashboard_Live_Data!J11</x:f>
        <x:v>-21.565197447271657</x:v>
      </x:c>
      <x:c r="C257" t="n">
        <x:f>Dashboard_Live_Data!I11</x:f>
        <x:v>-0.925</x:v>
      </x:c>
      <x:c r="D257" t="n">
        <x:f>Dashboard_Live_Data!K11</x:f>
        <x:v>-85066.38324979196</x:v>
      </x:c>
      <x:c r="E257" t="n">
        <x:f>Dashboard_Live_Data!I11</x:f>
        <x:v>-0.925</x:v>
      </x:c>
      <x:c r="F257" t="n">
        <x:f>Dashboard_Live_Data!L11</x:f>
        <x:v>-175844.68076899392</x:v>
      </x:c>
      <x:c r="G257" t="n">
        <x:f>Dashboard_Live_Data!I11</x:f>
        <x:v>-0.925</x:v>
      </x:c>
      <x:c r="H257" t="n">
        <x:f>Dashboard_Live_Data!M11</x:f>
        <x:v>-179785.07110087413</x:v>
      </x:c>
    </x:row>
    <x:row r="258">
      <x:c r="A258" t="n">
        <x:f>Dashboard_Live_Data!I12</x:f>
        <x:v>-0.917</x:v>
      </x:c>
      <x:c r="B258" t="n">
        <x:f>Dashboard_Live_Data!J12</x:f>
        <x:v>-20.90024248669988</x:v>
      </x:c>
      <x:c r="C258" t="n">
        <x:f>Dashboard_Live_Data!I12</x:f>
        <x:v>-0.917</x:v>
      </x:c>
      <x:c r="D258" t="n">
        <x:f>Dashboard_Live_Data!K12</x:f>
        <x:v>-83952.36924737085</x:v>
      </x:c>
      <x:c r="E258" t="n">
        <x:f>Dashboard_Live_Data!I12</x:f>
        <x:v>-0.917</x:v>
      </x:c>
      <x:c r="F258" t="n">
        <x:f>Dashboard_Live_Data!L12</x:f>
        <x:v>-174059.5218997983</x:v>
      </x:c>
      <x:c r="G258" t="n">
        <x:f>Dashboard_Live_Data!I12</x:f>
        <x:v>-0.917</x:v>
      </x:c>
      <x:c r="H258" t="n">
        <x:f>Dashboard_Live_Data!M12</x:f>
        <x:v>-177992.30309147586</x:v>
      </x:c>
    </x:row>
    <x:row r="259">
      <x:c r="A259" t="n">
        <x:f>Dashboard_Live_Data!I13</x:f>
        <x:v>-0.908</x:v>
      </x:c>
      <x:c r="B259" t="n">
        <x:f>Dashboard_Live_Data!J13</x:f>
        <x:v>-20.17087555141279</x:v>
      </x:c>
      <x:c r="C259" t="n">
        <x:f>Dashboard_Live_Data!I13</x:f>
        <x:v>-0.908</x:v>
      </x:c>
      <x:c r="D259" t="n">
        <x:f>Dashboard_Live_Data!K13</x:f>
        <x:v>-82700.4595564772</x:v>
      </x:c>
      <x:c r="E259" t="n">
        <x:f>Dashboard_Live_Data!I13</x:f>
        <x:v>-0.908</x:v>
      </x:c>
      <x:c r="F259" t="n">
        <x:f>Dashboard_Live_Data!L13</x:f>
        <x:v>-172041.86803726538</x:v>
      </x:c>
      <x:c r="G259" t="n">
        <x:f>Dashboard_Live_Data!I13</x:f>
        <x:v>-0.908</x:v>
      </x:c>
      <x:c r="H259" t="n">
        <x:f>Dashboard_Live_Data!M13</x:f>
        <x:v>-175965.70357183547</x:v>
      </x:c>
    </x:row>
    <x:row r="260">
      <x:c r="A260" t="n">
        <x:f>Dashboard_Live_Data!I14</x:f>
        <x:v>-0.9</x:v>
      </x:c>
      <x:c r="B260" t="n">
        <x:f>Dashboard_Live_Data!J14</x:f>
        <x:v>-19.538907124212074</x:v>
      </x:c>
      <x:c r="C260" t="n">
        <x:f>Dashboard_Live_Data!I14</x:f>
        <x:v>-0.9</x:v>
      </x:c>
      <x:c r="D260" t="n">
        <x:f>Dashboard_Live_Data!K14</x:f>
        <x:v>-81588.94913418307</x:v>
      </x:c>
      <x:c r="E260" t="n">
        <x:f>Dashboard_Live_Data!I14</x:f>
        <x:v>-0.9</x:v>
      </x:c>
      <x:c r="F260" t="n">
        <x:f>Dashboard_Live_Data!L14</x:f>
        <x:v>-170240.22471774745</x:v>
      </x:c>
      <x:c r="G260" t="n">
        <x:f>Dashboard_Live_Data!I14</x:f>
        <x:v>-0.9</x:v>
      </x:c>
      <x:c r="H260" t="n">
        <x:f>Dashboard_Live_Data!M14</x:f>
        <x:v>-174155.75991096892</x:v>
      </x:c>
    </x:row>
    <x:row r="261">
      <x:c r="A261" t="n">
        <x:f>Dashboard_Live_Data!I15</x:f>
        <x:v>-0.892</x:v>
      </x:c>
      <x:c r="B261" t="n">
        <x:f>Dashboard_Live_Data!J15</x:f>
        <x:v>-18.922080788589938</x:v>
      </x:c>
      <x:c r="C261" t="n">
        <x:f>Dashboard_Live_Data!I15</x:f>
        <x:v>-0.892</x:v>
      </x:c>
      <x:c r="D261" t="n">
        <x:f>Dashboard_Live_Data!K15</x:f>
        <x:v>-80478.7496070101</x:v>
      </x:c>
      <x:c r="E261" t="n">
        <x:f>Dashboard_Live_Data!I15</x:f>
        <x:v>-0.892</x:v>
      </x:c>
      <x:c r="F261" t="n">
        <x:f>Dashboard_Live_Data!L15</x:f>
        <x:v>-168431.02288308332</x:v>
      </x:c>
      <x:c r="G261" t="n">
        <x:f>Dashboard_Live_Data!I15</x:f>
        <x:v>-0.892</x:v>
      </x:c>
      <x:c r="H261" t="n">
        <x:f>Dashboard_Live_Data!M15</x:f>
        <x:v>-172337.9237806311</x:v>
      </x:c>
    </x:row>
    <x:row r="262">
      <x:c r="A262" t="n">
        <x:f>Dashboard_Live_Data!I16</x:f>
        <x:v>-0.883</x:v>
      </x:c>
      <x:c r="B262" t="n">
        <x:f>Dashboard_Live_Data!J16</x:f>
        <x:v>-18.245949870930872</x:v>
      </x:c>
      <x:c r="C262" t="n">
        <x:f>Dashboard_Live_Data!I16</x:f>
        <x:v>-0.883</x:v>
      </x:c>
      <x:c r="D262" t="n">
        <x:f>Dashboard_Live_Data!K16</x:f>
        <x:v>-79231.45069310423</x:v>
      </x:c>
      <x:c r="E262" t="n">
        <x:f>Dashboard_Live_Data!I16</x:f>
        <x:v>-0.883</x:v>
      </x:c>
      <x:c r="F262" t="n">
        <x:f>Dashboard_Live_Data!L16</x:f>
        <x:v>-166386.80122569614</x:v>
      </x:c>
      <x:c r="G262" t="n">
        <x:f>Dashboard_Live_Data!I16</x:f>
        <x:v>-0.883</x:v>
      </x:c>
      <x:c r="H262" t="n">
        <x:f>Dashboard_Live_Data!M16</x:f>
        <x:v>-170283.58230501943</x:v>
      </x:c>
    </x:row>
    <x:row r="263">
      <x:c r="A263" t="n">
        <x:f>Dashboard_Live_Data!I17</x:f>
        <x:v>-0.875</x:v>
      </x:c>
      <x:c r="B263" t="n">
        <x:f>Dashboard_Live_Data!J17</x:f>
        <x:v>-17.660500113955095</x:v>
      </x:c>
      <x:c r="C263" t="n">
        <x:f>Dashboard_Live_Data!I17</x:f>
        <x:v>-0.875</x:v>
      </x:c>
      <x:c r="D263" t="n">
        <x:f>Dashboard_Live_Data!K17</x:f>
        <x:v>-78124.32838336958</x:v>
      </x:c>
      <x:c r="E263" t="n">
        <x:f>Dashboard_Live_Data!I17</x:f>
        <x:v>-0.875</x:v>
      </x:c>
      <x:c r="F263" t="n">
        <x:f>Dashboard_Live_Data!L17</x:f>
        <x:v>-164561.98259931064</x:v>
      </x:c>
      <x:c r="G263" t="n">
        <x:f>Dashboard_Live_Data!I17</x:f>
        <x:v>-0.875</x:v>
      </x:c>
      <x:c r="H263" t="n">
        <x:f>Dashboard_Live_Data!M17</x:f>
        <x:v>-168449.4008262297</x:v>
      </x:c>
    </x:row>
    <x:row r="264">
      <x:c r="A264" t="n">
        <x:f>Dashboard_Live_Data!I18</x:f>
        <x:v>-0.867</x:v>
      </x:c>
      <x:c r="B264" t="n">
        <x:f>Dashboard_Live_Data!J18</x:f>
        <x:v>-17.089442616799715</x:v>
      </x:c>
      <x:c r="C264" t="n">
        <x:f>Dashboard_Live_Data!I18</x:f>
        <x:v>-0.867</x:v>
      </x:c>
      <x:c r="D264" t="n">
        <x:f>Dashboard_Live_Data!K18</x:f>
        <x:v>-77018.79498984448</x:v>
      </x:c>
      <x:c r="E264" t="n">
        <x:f>Dashboard_Live_Data!I18</x:f>
        <x:v>-0.867</x:v>
      </x:c>
      <x:c r="F264" t="n">
        <x:f>Dashboard_Live_Data!L18</x:f>
        <x:v>-162730.03298707734</x:v>
      </x:c>
      <x:c r="G264" t="n">
        <x:f>Dashboard_Live_Data!I18</x:f>
        <x:v>-0.867</x:v>
      </x:c>
      <x:c r="H264" t="n">
        <x:f>Dashboard_Live_Data!M18</x:f>
        <x:v>-166607.7364499004</x:v>
      </x:c>
    </x:row>
    <x:row r="265">
      <x:c r="A265" t="n">
        <x:f>Dashboard_Live_Data!I19</x:f>
        <x:v>-0.858</x:v>
      </x:c>
      <x:c r="B265" t="n">
        <x:f>Dashboard_Live_Data!J19</x:f>
        <x:v>-16.463911639531943</x:v>
      </x:c>
      <x:c r="C265" t="n">
        <x:f>Dashboard_Live_Data!I19</x:f>
        <x:v>-0.858</x:v>
      </x:c>
      <x:c r="D265" t="n">
        <x:f>Dashboard_Live_Data!K19</x:f>
        <x:v>-75777.08439083702</x:v>
      </x:c>
      <x:c r="E265" t="n">
        <x:f>Dashboard_Live_Data!I19</x:f>
        <x:v>-0.858</x:v>
      </x:c>
      <x:c r="F265" t="n">
        <x:f>Dashboard_Live_Data!L19</x:f>
        <x:v>-160660.7470162979</x:v>
      </x:c>
      <x:c r="G265" t="n">
        <x:f>Dashboard_Live_Data!I19</x:f>
        <x:v>-0.858</x:v>
      </x:c>
      <x:c r="H265" t="n">
        <x:f>Dashboard_Live_Data!M19</x:f>
        <x:v>-164527.09337077424</x:v>
      </x:c>
    </x:row>
    <x:row r="266">
      <x:c r="A266" t="n">
        <x:f>Dashboard_Live_Data!I20</x:f>
        <x:v>-0.85</x:v>
      </x:c>
      <x:c r="B266" t="n">
        <x:f>Dashboard_Live_Data!J20</x:f>
        <x:v>-15.922654129073635</x:v>
      </x:c>
      <x:c r="C266" t="n">
        <x:f>Dashboard_Live_Data!I20</x:f>
        <x:v>-0.85</x:v>
      </x:c>
      <x:c r="D266" t="n">
        <x:f>Dashboard_Live_Data!K20</x:f>
        <x:v>-74675.23669418608</x:v>
      </x:c>
      <x:c r="E266" t="n">
        <x:f>Dashboard_Live_Data!I20</x:f>
        <x:v>-0.85</x:v>
      </x:c>
      <x:c r="F266" t="n">
        <x:f>Dashboard_Live_Data!L20</x:f>
        <x:v>-158814.13192459266</x:v>
      </x:c>
      <x:c r="G266" t="n">
        <x:f>Dashboard_Live_Data!I20</x:f>
        <x:v>-0.85</x:v>
      </x:c>
      <x:c r="H266" t="n">
        <x:f>Dashboard_Live_Data!M20</x:f>
        <x:v>-162669.9960054315</x:v>
      </x:c>
    </x:row>
    <x:row r="267">
      <x:c r="A267" t="n">
        <x:f>Dashboard_Live_Data!I21</x:f>
        <x:v>-0.842</x:v>
      </x:c>
      <x:c r="B267" t="n">
        <x:f>Dashboard_Live_Data!J21</x:f>
        <x:v>-15.39505495210642</x:v>
      </x:c>
      <x:c r="C267" t="n">
        <x:f>Dashboard_Live_Data!I21</x:f>
        <x:v>-0.842</x:v>
      </x:c>
      <x:c r="D267" t="n">
        <x:f>Dashboard_Live_Data!K21</x:f>
        <x:v>-73575.27277737434</x:v>
      </x:c>
      <x:c r="E267" t="n">
        <x:f>Dashboard_Live_Data!I21</x:f>
        <x:v>-0.842</x:v>
      </x:c>
      <x:c r="F267" t="n">
        <x:f>Dashboard_Live_Data!L21</x:f>
        <x:v>-156960.85443111646</x:v>
      </x:c>
      <x:c r="G267" t="n">
        <x:f>Dashboard_Live_Data!I21</x:f>
        <x:v>-0.842</x:v>
      </x:c>
      <x:c r="H267" t="n">
        <x:f>Dashboard_Live_Data!M21</x:f>
        <x:v>-160805.86562780707</x:v>
      </x:c>
    </x:row>
    <x:row r="268">
      <x:c r="A268" t="n">
        <x:f>Dashboard_Live_Data!I22</x:f>
        <x:v>-0.833</x:v>
      </x:c>
      <x:c r="B268" t="n">
        <x:f>Dashboard_Live_Data!J22</x:f>
        <x:v>-14.817543761564139</x:v>
      </x:c>
      <x:c r="C268" t="n">
        <x:f>Dashboard_Live_Data!I22</x:f>
        <x:v>-0.833</x:v>
      </x:c>
      <x:c r="D268" t="n">
        <x:f>Dashboard_Live_Data!K22</x:f>
        <x:v>-72340.18724720042</x:v>
      </x:c>
      <x:c r="E268" t="n">
        <x:f>Dashboard_Live_Data!I22</x:f>
        <x:v>-0.833</x:v>
      </x:c>
      <x:c r="F268" t="n">
        <x:f>Dashboard_Live_Data!L22</x:f>
        <x:v>-154868.15200145353</x:v>
      </x:c>
      <x:c r="G268" t="n">
        <x:f>Dashboard_Live_Data!I22</x:f>
        <x:v>-0.833</x:v>
      </x:c>
      <x:c r="H268" t="n">
        <x:f>Dashboard_Live_Data!M22</x:f>
        <x:v>-158700.50306586787</x:v>
      </x:c>
    </x:row>
    <x:row r="269">
      <x:c r="A269" t="n">
        <x:f>Dashboard_Live_Data!I23</x:f>
        <x:v>-0.825</x:v>
      </x:c>
      <x:c r="B269" t="n">
        <x:f>Dashboard_Live_Data!J23</x:f>
        <x:v>-14.318202220481453</x:v>
      </x:c>
      <x:c r="C269" t="n">
        <x:f>Dashboard_Live_Data!I23</x:f>
        <x:v>-0.825</x:v>
      </x:c>
      <x:c r="D269" t="n">
        <x:f>Dashboard_Live_Data!K23</x:f>
        <x:v>-71244.55426280205</x:v>
      </x:c>
      <x:c r="E269" t="n">
        <x:f>Dashboard_Live_Data!I23</x:f>
        <x:v>-0.825</x:v>
      </x:c>
      <x:c r="F269" t="n">
        <x:f>Dashboard_Live_Data!L23</x:f>
        <x:v>-153001.25134490427</x:v>
      </x:c>
      <x:c r="G269" t="n">
        <x:f>Dashboard_Live_Data!I23</x:f>
        <x:v>-0.825</x:v>
      </x:c>
      <x:c r="H269" t="n">
        <x:f>Dashboard_Live_Data!M23</x:f>
        <x:v>-156821.9415170548</x:v>
      </x:c>
    </x:row>
    <x:row r="270">
      <x:c r="A270" t="n">
        <x:f>Dashboard_Live_Data!I24</x:f>
        <x:v>-0.817</x:v>
      </x:c>
      <x:c r="B270" t="n">
        <x:f>Dashboard_Live_Data!J24</x:f>
        <x:v>-13.831801402375277</x:v>
      </x:c>
      <x:c r="C270" t="n">
        <x:f>Dashboard_Live_Data!I24</x:f>
        <x:v>-0.817</x:v>
      </x:c>
      <x:c r="D270" t="n">
        <x:f>Dashboard_Live_Data!K24</x:f>
        <x:v>-70151.11767949266</x:v>
      </x:c>
      <x:c r="E270" t="n">
        <x:f>Dashboard_Live_Data!I24</x:f>
        <x:v>-0.817</x:v>
      </x:c>
      <x:c r="F270" t="n">
        <x:f>Dashboard_Live_Data!L24</x:f>
        <x:v>-151128.20153368788</x:v>
      </x:c>
      <x:c r="G270" t="n">
        <x:f>Dashboard_Live_Data!I24</x:f>
        <x:v>-0.817</x:v>
      </x:c>
      <x:c r="H270" t="n">
        <x:f>Dashboard_Live_Data!M24</x:f>
        <x:v>-154936.84079418762</x:v>
      </x:c>
    </x:row>
    <x:row r="271">
      <x:c r="A271" t="n">
        <x:f>Dashboard_Live_Data!I25</x:f>
        <x:v>-0.808</x:v>
      </x:c>
      <x:c r="B271" t="n">
        <x:f>Dashboard_Live_Data!J25</x:f>
        <x:v>-13.299787208880844</x:v>
      </x:c>
      <x:c r="C271" t="n">
        <x:f>Dashboard_Live_Data!I25</x:f>
        <x:v>-0.808</x:v>
      </x:c>
      <x:c r="D271" t="n">
        <x:f>Dashboard_Live_Data!K25</x:f>
        <x:v>-68923.75640485117</x:v>
      </x:c>
      <x:c r="E271" t="n">
        <x:f>Dashboard_Live_Data!I25</x:f>
        <x:v>-0.808</x:v>
      </x:c>
      <x:c r="F271" t="n">
        <x:f>Dashboard_Live_Data!L25</x:f>
        <x:v>-149013.88756056636</x:v>
      </x:c>
      <x:c r="G271" t="n">
        <x:f>Dashboard_Live_Data!I25</x:f>
        <x:v>-0.808</x:v>
      </x:c>
      <x:c r="H271" t="n">
        <x:f>Dashboard_Live_Data!M25</x:f>
        <x:v>-152808.49543699686</x:v>
      </x:c>
    </x:row>
    <x:row r="272">
      <x:c r="A272" t="n">
        <x:f>Dashboard_Live_Data!I26</x:f>
        <x:v>-0.8</x:v>
      </x:c>
      <x:c r="B272" t="n">
        <x:f>Dashboard_Live_Data!J26</x:f>
        <x:v>-12.84013677697476</x:v>
      </x:c>
      <x:c r="C272" t="n">
        <x:f>Dashboard_Live_Data!I26</x:f>
        <x:v>-0.8</x:v>
      </x:c>
      <x:c r="D272" t="n">
        <x:f>Dashboard_Live_Data!K26</x:f>
        <x:v>-67835.33471918713</x:v>
      </x:c>
      <x:c r="E272" t="n">
        <x:f>Dashboard_Live_Data!I26</x:f>
        <x:v>-0.8</x:v>
      </x:c>
      <x:c r="F272" t="n">
        <x:f>Dashboard_Live_Data!L26</x:f>
        <x:v>-147128.35590287362</x:v>
      </x:c>
      <x:c r="G272" t="n">
        <x:f>Dashboard_Live_Data!I26</x:f>
        <x:v>-0.8</x:v>
      </x:c>
      <x:c r="H272" t="n">
        <x:f>Dashboard_Live_Data!M26</x:f>
        <x:v>-150910.062898851</x:v>
      </x:c>
    </x:row>
    <x:row r="273">
      <x:c r="A273" t="n">
        <x:f>Dashboard_Live_Data!I27</x:f>
        <x:v>-0.792</x:v>
      </x:c>
      <x:c r="B273" t="n">
        <x:f>Dashboard_Live_Data!J27</x:f>
        <x:v>-12.392726180069985</x:v>
      </x:c>
      <x:c r="C273" t="n">
        <x:f>Dashboard_Live_Data!I27</x:f>
        <x:v>-0.792</x:v>
      </x:c>
      <x:c r="D273" t="n">
        <x:f>Dashboard_Live_Data!K27</x:f>
        <x:v>-66749.44075526144</x:v>
      </x:c>
      <x:c r="E273" t="n">
        <x:f>Dashboard_Live_Data!I27</x:f>
        <x:v>-0.792</x:v>
      </x:c>
      <x:c r="F273" t="n">
        <x:f>Dashboard_Live_Data!L27</x:f>
        <x:v>-145237.23692226937</x:v>
      </x:c>
      <x:c r="G273" t="n">
        <x:f>Dashboard_Live_Data!I27</x:f>
        <x:v>-0.792</x:v>
      </x:c>
      <x:c r="H273" t="n">
        <x:f>Dashboard_Live_Data!M27</x:f>
        <x:v>-149005.63294747777</x:v>
      </x:c>
    </x:row>
    <x:row r="274">
      <x:c r="A274" t="n">
        <x:f>Dashboard_Live_Data!I28</x:f>
        <x:v>-0.783</x:v>
      </x:c>
      <x:c r="B274" t="n">
        <x:f>Dashboard_Live_Data!J28</x:f>
        <x:v>-11.903744966717568</x:v>
      </x:c>
      <x:c r="C274" t="n">
        <x:f>Dashboard_Live_Data!I28</x:f>
        <x:v>-0.783</x:v>
      </x:c>
      <x:c r="D274" t="n">
        <x:f>Dashboard_Live_Data!K28</x:f>
        <x:v>-65530.96866610383</x:v>
      </x:c>
      <x:c r="E274" t="n">
        <x:f>Dashboard_Live_Data!I28</x:f>
        <x:v>-0.783</x:v>
      </x:c>
      <x:c r="F274" t="n">
        <x:f>Dashboard_Live_Data!L28</x:f>
        <x:v>-143103.2871715021</x:v>
      </x:c>
      <x:c r="G274" t="n">
        <x:f>Dashboard_Live_Data!I28</x:f>
        <x:v>-0.783</x:v>
      </x:c>
      <x:c r="H274" t="n">
        <x:f>Dashboard_Live_Data!M28</x:f>
        <x:v>-146856.21000814714</x:v>
      </x:c>
    </x:row>
    <x:row r="275">
      <x:c r="A275" t="n">
        <x:f>Dashboard_Live_Data!I29</x:f>
        <x:v>-0.775</x:v>
      </x:c>
      <x:c r="B275" t="n">
        <x:f>Dashboard_Live_Data!J29</x:f>
        <x:v>-11.481613456182458</x:v>
      </x:c>
      <x:c r="C275" t="n">
        <x:f>Dashboard_Live_Data!I29</x:f>
        <x:v>-0.775</x:v>
      </x:c>
      <x:c r="D275" t="n">
        <x:f>Dashboard_Live_Data!K29</x:f>
        <x:v>-64450.81432177829</x:v>
      </x:c>
      <x:c r="E275" t="n">
        <x:f>Dashboard_Live_Data!I29</x:f>
        <x:v>-0.775</x:v>
      </x:c>
      <x:c r="F275" t="n">
        <x:f>Dashboard_Live_Data!L29</x:f>
        <x:v>-141200.9353430962</x:v>
      </x:c>
      <x:c r="G275" t="n">
        <x:f>Dashboard_Live_Data!I29</x:f>
        <x:v>-0.775</x:v>
      </x:c>
      <x:c r="H275" t="n">
        <x:f>Dashboard_Live_Data!M29</x:f>
        <x:v>-144939.65393967155</x:v>
      </x:c>
    </x:row>
    <x:row r="276">
      <x:c r="A276" t="n">
        <x:f>Dashboard_Live_Data!I30</x:f>
        <x:v>-0.767</x:v>
      </x:c>
      <x:c r="B276" t="n">
        <x:f>Dashboard_Live_Data!J30</x:f>
        <x:v>-11.071038001998204</x:v>
      </x:c>
      <x:c r="C276" t="n">
        <x:f>Dashboard_Live_Data!I30</x:f>
        <x:v>-0.767</x:v>
      </x:c>
      <x:c r="D276" t="n">
        <x:f>Dashboard_Live_Data!K30</x:f>
        <x:v>-63373.53868446994</x:v>
      </x:c>
      <x:c r="E276" t="n">
        <x:f>Dashboard_Live_Data!I30</x:f>
        <x:v>-0.767</x:v>
      </x:c>
      <x:c r="F276" t="n">
        <x:f>Dashboard_Live_Data!L30</x:f>
        <x:v>-139293.61086167698</x:v>
      </x:c>
      <x:c r="G276" t="n">
        <x:f>Dashboard_Live_Data!I30</x:f>
        <x:v>-0.767</x:v>
      </x:c>
      <x:c r="H276" t="n">
        <x:f>Dashboard_Live_Data!M30</x:f>
        <x:v>-143017.69446274094</x:v>
      </x:c>
    </x:row>
    <x:row r="277">
      <x:c r="A277" t="n">
        <x:f>Dashboard_Live_Data!I31</x:f>
        <x:v>-0.758</x:v>
      </x:c>
      <x:c r="B277" t="n">
        <x:f>Dashboard_Live_Data!J31</x:f>
        <x:v>-10.622685923482095</x:v>
      </x:c>
      <x:c r="C277" t="n">
        <x:f>Dashboard_Live_Data!I31</x:f>
        <x:v>-0.758</x:v>
      </x:c>
      <x:c r="D277" t="n">
        <x:f>Dashboard_Live_Data!K31</x:f>
        <x:v>-62165.189846866764</x:v>
      </x:c>
      <x:c r="E277" t="n">
        <x:f>Dashboard_Live_Data!I31</x:f>
        <x:v>-0.758</x:v>
      </x:c>
      <x:c r="F277" t="n">
        <x:f>Dashboard_Live_Data!L31</x:f>
        <x:v>-137142.1869054523</x:v>
      </x:c>
      <x:c r="G277" t="n">
        <x:f>Dashboard_Live_Data!I31</x:f>
        <x:v>-0.758</x:v>
      </x:c>
      <x:c r="H277" t="n">
        <x:f>Dashboard_Live_Data!M31</x:f>
        <x:v>-140849.2828749542</x:v>
      </x:c>
    </x:row>
    <x:row r="278">
      <x:c r="A278" t="n">
        <x:f>Dashboard_Live_Data!I32</x:f>
        <x:v>-0.75</x:v>
      </x:c>
      <x:c r="B278" t="n">
        <x:f>Dashboard_Live_Data!J32</x:f>
        <x:v>-10.235955038383963</x:v>
      </x:c>
      <x:c r="C278" t="n">
        <x:f>Dashboard_Live_Data!I32</x:f>
        <x:v>-0.75</x:v>
      </x:c>
      <x:c r="D278" t="n">
        <x:f>Dashboard_Live_Data!K32</x:f>
        <x:v>-61094.421380709784</x:v>
      </x:c>
      <x:c r="E278" t="n">
        <x:f>Dashboard_Live_Data!I32</x:f>
        <x:v>-0.75</x:v>
      </x:c>
      <x:c r="F278" t="n">
        <x:f>Dashboard_Live_Data!L32</x:f>
        <x:v>-135224.99566257387</x:v>
      </x:c>
      <x:c r="G278" t="n">
        <x:f>Dashboard_Live_Data!I32</x:f>
        <x:v>-0.75</x:v>
      </x:c>
      <x:c r="H278" t="n">
        <x:f>Dashboard_Live_Data!M32</x:f>
        <x:v>-138916.5188951826</x:v>
      </x:c>
    </x:row>
    <x:row r="279">
      <x:c r="A279" t="n">
        <x:f>Dashboard_Live_Data!I33</x:f>
        <x:v>-0.742</x:v>
      </x:c>
      <x:c r="B279" t="n">
        <x:f>Dashboard_Live_Data!J33</x:f>
        <x:v>-9.86011393674653</x:v>
      </x:c>
      <x:c r="C279" t="n">
        <x:f>Dashboard_Live_Data!I33</x:f>
        <x:v>-0.742</x:v>
      </x:c>
      <x:c r="D279" t="n">
        <x:f>Dashboard_Live_Data!K33</x:f>
        <x:v>-60026.90325623649</x:v>
      </x:c>
      <x:c r="E279" t="n">
        <x:f>Dashboard_Live_Data!I33</x:f>
        <x:v>-0.742</x:v>
      </x:c>
      <x:c r="F279" t="n">
        <x:f>Dashboard_Live_Data!L33</x:f>
        <x:v>-133303.50387707393</x:v>
      </x:c>
      <x:c r="G279" t="n">
        <x:f>Dashboard_Live_Data!I33</x:f>
        <x:v>-0.742</x:v>
      </x:c>
      <x:c r="H279" t="n">
        <x:f>Dashboard_Live_Data!M33</x:f>
        <x:v>-136979.00244933416</x:v>
      </x:c>
    </x:row>
    <x:row r="280">
      <x:c r="A280" t="n">
        <x:f>Dashboard_Live_Data!I34</x:f>
        <x:v>-0.733</x:v>
      </x:c>
      <x:c r="B280" t="n">
        <x:f>Dashboard_Live_Data!J34</x:f>
        <x:v>-9.45004867322723</x:v>
      </x:c>
      <x:c r="C280" t="n">
        <x:f>Dashboard_Live_Data!I34</x:f>
        <x:v>-0.733</x:v>
      </x:c>
      <x:c r="D280" t="n">
        <x:f>Dashboard_Live_Data!K34</x:f>
        <x:v>-58829.98433378036</x:v>
      </x:c>
      <x:c r="E280" t="n">
        <x:f>Dashboard_Live_Data!I34</x:f>
        <x:v>-0.733</x:v>
      </x:c>
      <x:c r="F280" t="n">
        <x:f>Dashboard_Live_Data!L34</x:f>
        <x:v>-131136.96927609117</x:v>
      </x:c>
      <x:c r="G280" t="n">
        <x:f>Dashboard_Live_Data!I34</x:f>
        <x:v>-0.733</x:v>
      </x:c>
      <x:c r="H280" t="n">
        <x:f>Dashboard_Live_Data!M34</x:f>
        <x:v>-134793.89137103801</x:v>
      </x:c>
    </x:row>
    <x:row r="281">
      <x:c r="A281" t="n">
        <x:f>Dashboard_Live_Data!I35</x:f>
        <x:v>-0.725</x:v>
      </x:c>
      <x:c r="B281" t="n">
        <x:f>Dashboard_Live_Data!J35</x:f>
        <x:v>-9.096655219469085</x:v>
      </x:c>
      <x:c r="C281" t="n">
        <x:f>Dashboard_Live_Data!I35</x:f>
        <x:v>-0.725</x:v>
      </x:c>
      <x:c r="D281" t="n">
        <x:f>Dashboard_Live_Data!K35</x:f>
        <x:v>-57769.785871170316</x:v>
      </x:c>
      <x:c r="E281" t="n">
        <x:f>Dashboard_Live_Data!I35</x:f>
        <x:v>-0.725</x:v>
      </x:c>
      <x:c r="F281" t="n">
        <x:f>Dashboard_Live_Data!L35</x:f>
        <x:v>-129207.10406628711</x:v>
      </x:c>
      <x:c r="G281" t="n">
        <x:f>Dashboard_Live_Data!I35</x:f>
        <x:v>-0.725</x:v>
      </x:c>
      <x:c r="H281" t="n">
        <x:f>Dashboard_Live_Data!M35</x:f>
        <x:v>-132847.0183380536</x:v>
      </x:c>
    </x:row>
    <x:row r="282">
      <x:c r="A282" t="n">
        <x:f>Dashboard_Live_Data!I36</x:f>
        <x:v>-0.717</x:v>
      </x:c>
      <x:c r="B282" t="n">
        <x:f>Dashboard_Live_Data!J36</x:f>
        <x:v>-8.753503156986426</x:v>
      </x:c>
      <x:c r="C282" t="n">
        <x:f>Dashboard_Live_Data!I36</x:f>
        <x:v>-0.717</x:v>
      </x:c>
      <x:c r="D282" t="n">
        <x:f>Dashboard_Live_Data!K36</x:f>
        <x:v>-56713.23103390145</x:v>
      </x:c>
      <x:c r="E282" t="n">
        <x:f>Dashboard_Live_Data!I36</x:f>
        <x:v>-0.717</x:v>
      </x:c>
      <x:c r="F282" t="n">
        <x:f>Dashboard_Live_Data!L36</x:f>
        <x:v>-127273.6728305979</x:v>
      </x:c>
      <x:c r="G282" t="n">
        <x:f>Dashboard_Live_Data!I36</x:f>
        <x:v>-0.717</x:v>
      </x:c>
      <x:c r="H282" t="n">
        <x:f>Dashboard_Live_Data!M36</x:f>
        <x:v>-130896.10580357295</x:v>
      </x:c>
    </x:row>
    <x:row r="283">
      <x:c r="A283" t="n">
        <x:f>Dashboard_Live_Data!I37</x:f>
        <x:v>-0.708</x:v>
      </x:c>
      <x:c r="B283" t="n">
        <x:f>Dashboard_Live_Data!J37</x:f>
        <x:v>-8.379445258978194</x:v>
      </x:c>
      <x:c r="C283" t="n">
        <x:f>Dashboard_Live_Data!I37</x:f>
        <x:v>-0.708</x:v>
      </x:c>
      <x:c r="D283" t="n">
        <x:f>Dashboard_Live_Data!K37</x:f>
        <x:v>-55529.124801208105</x:v>
      </x:c>
      <x:c r="E283" t="n">
        <x:f>Dashboard_Live_Data!I37</x:f>
        <x:v>-0.708</x:v>
      </x:c>
      <x:c r="F283" t="n">
        <x:f>Dashboard_Live_Data!L37</x:f>
        <x:v>-125094.61059367191</x:v>
      </x:c>
      <x:c r="G283" t="n">
        <x:f>Dashboard_Live_Data!I37</x:f>
        <x:v>-0.708</x:v>
      </x:c>
      <x:c r="H283" t="n">
        <x:f>Dashboard_Live_Data!M37</x:f>
        <x:v>-128696.80249462565</x:v>
      </x:c>
    </x:row>
    <x:row r="284">
      <x:c r="A284" t="n">
        <x:f>Dashboard_Live_Data!I38</x:f>
        <x:v>-0.7</x:v>
      </x:c>
      <x:c r="B284" t="n">
        <x:f>Dashboard_Live_Data!J38</x:f>
        <x:v>-8.057382321536807</x:v>
      </x:c>
      <x:c r="C284" t="n">
        <x:f>Dashboard_Live_Data!I38</x:f>
        <x:v>-0.7</x:v>
      </x:c>
      <x:c r="D284" t="n">
        <x:f>Dashboard_Live_Data!K38</x:f>
        <x:v>-54480.74919119819</x:v>
      </x:c>
      <x:c r="E284" t="n">
        <x:f>Dashboard_Live_Data!I38</x:f>
        <x:v>-0.7</x:v>
      </x:c>
      <x:c r="F284" t="n">
        <x:f>Dashboard_Live_Data!L38</x:f>
        <x:v>-123154.43747008915</x:v>
      </x:c>
      <x:c r="G284" t="n">
        <x:f>Dashboard_Live_Data!I38</x:f>
        <x:v>-0.7</x:v>
      </x:c>
      <x:c r="H284" t="n">
        <x:f>Dashboard_Live_Data!M38</x:f>
        <x:v>-126738.11882360443</x:v>
      </x:c>
    </x:row>
    <x:row r="285">
      <x:c r="A285" t="n">
        <x:f>Dashboard_Live_Data!I39</x:f>
        <x:v>-0.692</x:v>
      </x:c>
      <x:c r="B285" t="n">
        <x:f>Dashboard_Live_Data!J39</x:f>
        <x:v>-7.744930637363723</x:v>
      </x:c>
      <x:c r="C285" t="n">
        <x:f>Dashboard_Live_Data!I39</x:f>
        <x:v>-0.692</x:v>
      </x:c>
      <x:c r="D285" t="n">
        <x:f>Dashboard_Live_Data!K39</x:f>
        <x:v>-53436.43314820457</x:v>
      </x:c>
      <x:c r="E285" t="n">
        <x:f>Dashboard_Live_Data!I39</x:f>
        <x:v>-0.692</x:v>
      </x:c>
      <x:c r="F285" t="n">
        <x:f>Dashboard_Live_Data!L39</x:f>
        <x:v>-121211.50058427514</x:v>
      </x:c>
      <x:c r="G285" t="n">
        <x:f>Dashboard_Live_Data!I39</x:f>
        <x:v>-0.692</x:v>
      </x:c>
      <x:c r="H285" t="n">
        <x:f>Dashboard_Live_Data!M39</x:f>
        <x:v>-124776.17612891932</x:v>
      </x:c>
    </x:row>
    <x:row r="286">
      <x:c r="A286" t="n">
        <x:f>Dashboard_Live_Data!I40</x:f>
        <x:v>-0.683</x:v>
      </x:c>
      <x:c r="B286" t="n">
        <x:f>Dashboard_Live_Data!J40</x:f>
        <x:v>-7.404664824446172</x:v>
      </x:c>
      <x:c r="C286" t="n">
        <x:f>Dashboard_Live_Data!I40</x:f>
        <x:v>-0.683</x:v>
      </x:c>
      <x:c r="D286" t="n">
        <x:f>Dashboard_Live_Data!K40</x:f>
        <x:v>-52266.60203742246</x:v>
      </x:c>
      <x:c r="E286" t="n">
        <x:f>Dashboard_Live_Data!I40</x:f>
        <x:v>-0.683</x:v>
      </x:c>
      <x:c r="F286" t="n">
        <x:f>Dashboard_Live_Data!L40</x:f>
        <x:v>-119022.73194468833</x:v>
      </x:c>
      <x:c r="G286" t="n">
        <x:f>Dashboard_Live_Data!I40</x:f>
        <x:v>-0.683</x:v>
      </x:c>
      <x:c r="H286" t="n">
        <x:f>Dashboard_Live_Data!M40</x:f>
        <x:v>-122565.42525707473</x:v>
      </x:c>
    </x:row>
    <x:row r="287">
      <x:c r="A287" t="n">
        <x:f>Dashboard_Live_Data!I41</x:f>
        <x:v>-0.675</x:v>
      </x:c>
      <x:c r="B287" t="n">
        <x:f>Dashboard_Live_Data!J41</x:f>
        <x:v>-7.111982920109767</x:v>
      </x:c>
      <x:c r="C287" t="n">
        <x:f>Dashboard_Live_Data!I41</x:f>
        <x:v>-0.675</x:v>
      </x:c>
      <x:c r="D287" t="n">
        <x:f>Dashboard_Live_Data!K41</x:f>
        <x:v>-51231.374010913656</x:v>
      </x:c>
      <x:c r="E287" t="n">
        <x:f>Dashboard_Live_Data!I41</x:f>
        <x:v>-0.675</x:v>
      </x:c>
      <x:c r="F287" t="n">
        <x:f>Dashboard_Live_Data!L41</x:f>
        <x:v>-117074.83465957025</x:v>
      </x:c>
      <x:c r="G287" t="n">
        <x:f>Dashboard_Live_Data!I41</x:f>
        <x:v>-0.675</x:v>
      </x:c>
      <x:c r="H287" t="n">
        <x:f>Dashboard_Live_Data!M41</x:f>
        <x:v>-120597.44652148281</x:v>
      </x:c>
    </x:row>
    <x:row r="288">
      <x:c r="A288" t="n">
        <x:f>Dashboard_Live_Data!I42</x:f>
        <x:v>-0.667</x:v>
      </x:c>
      <x:c r="B288" t="n">
        <x:f>Dashboard_Live_Data!J42</x:f>
        <x:v>-6.828300748499714</x:v>
      </x:c>
      <x:c r="C288" t="n">
        <x:f>Dashboard_Live_Data!I42</x:f>
        <x:v>-0.667</x:v>
      </x:c>
      <x:c r="D288" t="n">
        <x:f>Dashboard_Live_Data!K42</x:f>
        <x:v>-50200.64516336976</x:v>
      </x:c>
      <x:c r="E288" t="n">
        <x:f>Dashboard_Live_Data!I42</x:f>
        <x:v>-0.667</x:v>
      </x:c>
      <x:c r="F288" t="n">
        <x:f>Dashboard_Live_Data!L42</x:f>
        <x:v>-115125.04934461683</x:v>
      </x:c>
      <x:c r="G288" t="n">
        <x:f>Dashboard_Live_Data!I42</x:f>
        <x:v>-0.667</x:v>
      </x:c>
      <x:c r="H288" t="n">
        <x:f>Dashboard_Live_Data!M42</x:f>
        <x:v>-118627.06266188383</x:v>
      </x:c>
    </x:row>
    <x:row r="289">
      <x:c r="A289" t="n">
        <x:f>Dashboard_Live_Data!I43</x:f>
        <x:v>-0.658</x:v>
      </x:c>
      <x:c r="B289" t="n">
        <x:f>Dashboard_Live_Data!J43</x:f>
        <x:v>-6.51967719021377</x:v>
      </x:c>
      <x:c r="C289" t="n">
        <x:f>Dashboard_Live_Data!I43</x:f>
        <x:v>-0.658</x:v>
      </x:c>
      <x:c r="D289" t="n">
        <x:f>Dashboard_Live_Data!K43</x:f>
        <x:v>-49046.63482196539</x:v>
      </x:c>
      <x:c r="E289" t="n">
        <x:f>Dashboard_Live_Data!I43</x:f>
        <x:v>-0.658</x:v>
      </x:c>
      <x:c r="F289" t="n">
        <x:f>Dashboard_Live_Data!L43</x:f>
        <x:v>-112929.65387596696</x:v>
      </x:c>
      <x:c r="G289" t="n">
        <x:f>Dashboard_Live_Data!I43</x:f>
        <x:v>-0.658</x:v>
      </x:c>
      <x:c r="H289" t="n">
        <x:f>Dashboard_Live_Data!M43</x:f>
        <x:v>-116407.86707581821</x:v>
      </x:c>
    </x:row>
    <x:row r="290">
      <x:c r="A290" t="n">
        <x:f>Dashboard_Live_Data!I44</x:f>
        <x:v>-0.65</x:v>
      </x:c>
      <x:c r="B290" t="n">
        <x:f>Dashboard_Live_Data!J44</x:f>
        <x:v>-6.254485391421895</x:v>
      </x:c>
      <x:c r="C290" t="n">
        <x:f>Dashboard_Live_Data!I44</x:f>
        <x:v>-0.65</x:v>
      </x:c>
      <x:c r="D290" t="n">
        <x:f>Dashboard_Live_Data!K44</x:f>
        <x:v>-48025.954152811115</x:v>
      </x:c>
      <x:c r="E290" t="n">
        <x:f>Dashboard_Live_Data!I44</x:f>
        <x:v>-0.65</x:v>
      </x:c>
      <x:c r="F290" t="n">
        <x:f>Dashboard_Live_Data!L44</x:f>
        <x:v>-110976.85216755129</x:v>
      </x:c>
      <x:c r="G290" t="n">
        <x:f>Dashboard_Live_Data!I44</x:f>
        <x:v>-0.65</x:v>
      </x:c>
      <x:c r="H290" t="n">
        <x:f>Dashboard_Live_Data!M44</x:f>
        <x:v>-114433.34492030981</x:v>
      </x:c>
    </x:row>
    <x:row r="291">
      <x:c r="A291" t="n">
        <x:f>Dashboard_Live_Data!I45</x:f>
        <x:v>-0.642</x:v>
      </x:c>
      <x:c r="B291" t="n">
        <x:f>Dashboard_Live_Data!J45</x:f>
        <x:v>-5.997700776976217</x:v>
      </x:c>
      <x:c r="C291" t="n">
        <x:f>Dashboard_Live_Data!I45</x:f>
        <x:v>-0.642</x:v>
      </x:c>
      <x:c r="D291" t="n">
        <x:f>Dashboard_Live_Data!K45</x:f>
        <x:v>-47010.236953450076</x:v>
      </x:c>
      <x:c r="E291" t="n">
        <x:f>Dashboard_Live_Data!I45</x:f>
        <x:v>-0.642</x:v>
      </x:c>
      <x:c r="F291" t="n">
        <x:f>Dashboard_Live_Data!L45</x:f>
        <x:v>-109023.11773384287</x:v>
      </x:c>
      <x:c r="G291" t="n">
        <x:f>Dashboard_Live_Data!I45</x:f>
        <x:v>-0.642</x:v>
      </x:c>
      <x:c r="H291" t="n">
        <x:f>Dashboard_Live_Data!M45</x:f>
        <x:v>-112457.35129337231</x:v>
      </x:c>
    </x:row>
    <x:row r="292">
      <x:c r="A292" t="n">
        <x:f>Dashboard_Live_Data!I46</x:f>
        <x:v>-0.633</x:v>
      </x:c>
      <x:c r="B292" t="n">
        <x:f>Dashboard_Live_Data!J46</x:f>
        <x:v>-5.718636339065142</x:v>
      </x:c>
      <x:c r="C292" t="n">
        <x:f>Dashboard_Live_Data!I46</x:f>
        <x:v>-0.633</x:v>
      </x:c>
      <x:c r="D292" t="n">
        <x:f>Dashboard_Live_Data!K46</x:f>
        <x:v>-45873.67978905515</x:v>
      </x:c>
      <x:c r="E292" t="n">
        <x:f>Dashboard_Live_Data!I46</x:f>
        <x:v>-0.633</x:v>
      </x:c>
      <x:c r="F292" t="n">
        <x:f>Dashboard_Live_Data!L46</x:f>
        <x:v>-106824.4548063117</x:v>
      </x:c>
      <x:c r="G292" t="n">
        <x:f>Dashboard_Live_Data!I46</x:f>
        <x:v>-0.633</x:v>
      </x:c>
      <x:c r="H292" t="n">
        <x:f>Dashboard_Live_Data!M46</x:f>
        <x:v>-110232.99428005796</x:v>
      </x:c>
    </x:row>
    <x:row r="293">
      <x:c r="A293" t="n">
        <x:f>Dashboard_Live_Data!I47</x:f>
        <x:v>-0.625</x:v>
      </x:c>
      <x:c r="B293" t="n">
        <x:f>Dashboard_Live_Data!J47</x:f>
        <x:v>-5.479103372775171</x:v>
      </x:c>
      <x:c r="C293" t="n">
        <x:f>Dashboard_Live_Data!I47</x:f>
        <x:v>-0.625</x:v>
      </x:c>
      <x:c r="D293" t="n">
        <x:f>Dashboard_Live_Data!K47</x:f>
        <x:v>-44869.024435891464</x:v>
      </x:c>
      <x:c r="E293" t="n">
        <x:f>Dashboard_Live_Data!I47</x:f>
        <x:v>-0.625</x:v>
      </x:c>
      <x:c r="F293" t="n">
        <x:f>Dashboard_Live_Data!L47</x:f>
        <x:v>-104869.82387216578</x:v>
      </x:c>
      <x:c r="G293" t="n">
        <x:f>Dashboard_Live_Data!I47</x:f>
        <x:v>-0.625</x:v>
      </x:c>
      <x:c r="H293" t="n">
        <x:f>Dashboard_Live_Data!M47</x:f>
        <x:v>-108254.93665267841</x:v>
      </x:c>
    </x:row>
    <x:row r="294">
      <x:c r="A294" t="n">
        <x:f>Dashboard_Live_Data!I48</x:f>
        <x:v>-0.617</x:v>
      </x:c>
      <x:c r="B294" t="n">
        <x:f>Dashboard_Live_Data!J48</x:f>
        <x:v>-5.247404357237883</x:v>
      </x:c>
      <x:c r="C294" t="n">
        <x:f>Dashboard_Live_Data!I48</x:f>
        <x:v>-0.617</x:v>
      </x:c>
      <x:c r="D294" t="n">
        <x:f>Dashboard_Live_Data!K48</x:f>
        <x:v>-43869.822519638255</x:v>
      </x:c>
      <x:c r="E294" t="n">
        <x:f>Dashboard_Live_Data!I48</x:f>
        <x:v>-0.617</x:v>
      </x:c>
      <x:c r="F294" t="n">
        <x:f>Dashboard_Live_Data!L48</x:f>
        <x:v>-102915.30156679498</x:v>
      </x:c>
      <x:c r="G294" t="n">
        <x:f>Dashboard_Live_Data!I48</x:f>
        <x:v>-0.617</x:v>
      </x:c>
      <x:c r="H294" t="n">
        <x:f>Dashboard_Live_Data!M48</x:f>
        <x:v>-106276.4277099809</x:v>
      </x:c>
    </x:row>
    <x:row r="295">
      <x:c r="A295" t="n">
        <x:f>Dashboard_Live_Data!I49</x:f>
        <x:v>-0.608</x:v>
      </x:c>
      <x:c r="B295" t="n">
        <x:f>Dashboard_Live_Data!J49</x:f>
        <x:v>-4.995883813084447</x:v>
      </x:c>
      <x:c r="C295" t="n">
        <x:f>Dashboard_Live_Data!I49</x:f>
        <x:v>-0.608</x:v>
      </x:c>
      <x:c r="D295" t="n">
        <x:f>Dashboard_Live_Data!K49</x:f>
        <x:v>-42752.44120550476</x:v>
      </x:c>
      <x:c r="E295" t="n">
        <x:f>Dashboard_Live_Data!I49</x:f>
        <x:v>-0.608</x:v>
      </x:c>
      <x:c r="F295" t="n">
        <x:f>Dashboard_Live_Data!L49</x:f>
        <x:v>-100717.03311684405</x:v>
      </x:c>
      <x:c r="G295" t="n">
        <x:f>Dashboard_Live_Data!I49</x:f>
        <x:v>-0.608</x:v>
      </x:c>
      <x:c r="H295" t="n">
        <x:f>Dashboard_Live_Data!M49</x:f>
        <x:v>-104050.49672552577</x:v>
      </x:c>
    </x:row>
    <x:row r="296">
      <x:c r="A296" t="n">
        <x:f>Dashboard_Live_Data!I50</x:f>
        <x:v>-0.6</x:v>
      </x:c>
      <x:c r="B296" t="n">
        <x:f>Dashboard_Live_Data!J50</x:f>
        <x:v>-4.780239127223922</x:v>
      </x:c>
      <x:c r="C296" t="n">
        <x:f>Dashboard_Live_Data!I50</x:f>
        <x:v>-0.6</x:v>
      </x:c>
      <x:c r="D296" t="n">
        <x:f>Dashboard_Live_Data!K50</x:f>
        <x:v>-41765.370410184376</x:v>
      </x:c>
      <x:c r="E296" t="n">
        <x:f>Dashboard_Live_Data!I50</x:f>
        <x:v>-0.6</x:v>
      </x:c>
      <x:c r="F296" t="n">
        <x:f>Dashboard_Live_Data!L50</x:f>
        <x:v>-98763.92423983713</x:v>
      </x:c>
      <x:c r="G296" t="n">
        <x:f>Dashboard_Live_Data!I50</x:f>
        <x:v>-0.6</x:v>
      </x:c>
      <x:c r="H296" t="n">
        <x:f>Dashboard_Live_Data!M50</x:f>
        <x:v>-102072.18940950758</x:v>
      </x:c>
    </x:row>
    <x:row r="297">
      <x:c r="A297" t="n">
        <x:f>Dashboard_Live_Data!I51</x:f>
        <x:v>-0.592</x:v>
      </x:c>
      <x:c r="B297" t="n">
        <x:f>Dashboard_Live_Data!J51</x:f>
        <x:v>-4.571874809995052</x:v>
      </x:c>
      <x:c r="C297" t="n">
        <x:f>Dashboard_Live_Data!I51</x:f>
        <x:v>-0.592</x:v>
      </x:c>
      <x:c r="D297" t="n">
        <x:f>Dashboard_Live_Data!K51</x:f>
        <x:v>-40784.26967339727</x:v>
      </x:c>
      <x:c r="E297" t="n">
        <x:f>Dashboard_Live_Data!I51</x:f>
        <x:v>-0.592</x:v>
      </x:c>
      <x:c r="F297" t="n">
        <x:f>Dashboard_Live_Data!L51</x:f>
        <x:v>-96812.05822906003</x:v>
      </x:c>
      <x:c r="G297" t="n">
        <x:f>Dashboard_Live_Data!I51</x:f>
        <x:v>-0.592</x:v>
      </x:c>
      <x:c r="H297" t="n">
        <x:f>Dashboard_Live_Data!M51</x:f>
        <x:v>-100094.54459469678</x:v>
      </x:c>
    </x:row>
    <x:row r="298">
      <x:c r="A298" t="n">
        <x:f>Dashboard_Live_Data!I52</x:f>
        <x:v>-0.583</x:v>
      </x:c>
      <x:c r="B298" t="n">
        <x:f>Dashboard_Live_Data!J52</x:f>
        <x:v>-4.3459520128728855</x:v>
      </x:c>
      <x:c r="C298" t="n">
        <x:f>Dashboard_Live_Data!I52</x:f>
        <x:v>-0.583</x:v>
      </x:c>
      <x:c r="D298" t="n">
        <x:f>Dashboard_Live_Data!K52</x:f>
        <x:v>-39687.88058628065</x:v>
      </x:c>
      <x:c r="E298" t="n">
        <x:f>Dashboard_Live_Data!I52</x:f>
        <x:v>-0.583</x:v>
      </x:c>
      <x:c r="F298" t="n">
        <x:f>Dashboard_Live_Data!L52</x:f>
        <x:v>-94618.1727807392</x:v>
      </x:c>
      <x:c r="G298" t="n">
        <x:f>Dashboard_Live_Data!I52</x:f>
        <x:v>-0.583</x:v>
      </x:c>
      <x:c r="H298" t="n">
        <x:f>Dashboard_Live_Data!M52</x:f>
        <x:v>-97870.95642178808</x:v>
      </x:c>
    </x:row>
    <x:row r="299">
      <x:c r="A299" t="n">
        <x:f>Dashboard_Live_Data!I53</x:f>
        <x:v>-0.575</x:v>
      </x:c>
      <x:c r="B299" t="n">
        <x:f>Dashboard_Live_Data!J53</x:f>
        <x:v>-4.152486814658005</x:v>
      </x:c>
      <x:c r="C299" t="n">
        <x:f>Dashboard_Live_Data!I53</x:f>
        <x:v>-0.575</x:v>
      </x:c>
      <x:c r="D299" t="n">
        <x:f>Dashboard_Live_Data!K53</x:f>
        <x:v>-38720.03790348412</x:v>
      </x:c>
      <x:c r="E299" t="n">
        <x:f>Dashboard_Live_Data!I53</x:f>
        <x:v>-0.575</x:v>
      </x:c>
      <x:c r="F299" t="n">
        <x:f>Dashboard_Live_Data!L53</x:f>
        <x:v>-92670.23504071141</x:v>
      </x:c>
      <x:c r="G299" t="n">
        <x:f>Dashboard_Live_Data!I53</x:f>
        <x:v>-0.575</x:v>
      </x:c>
      <x:c r="H299" t="n">
        <x:f>Dashboard_Live_Data!M53</x:f>
        <x:v>-95895.98581265062</x:v>
      </x:c>
    </x:row>
    <x:row r="300">
      <x:c r="A300" t="n">
        <x:f>Dashboard_Live_Data!I54</x:f>
        <x:v>-0.567</x:v>
      </x:c>
      <x:c r="B300" t="n">
        <x:f>Dashboard_Live_Data!J54</x:f>
        <x:v>-3.965768378529674</x:v>
      </x:c>
      <x:c r="C300" t="n">
        <x:f>Dashboard_Live_Data!I54</x:f>
        <x:v>-0.567</x:v>
      </x:c>
      <x:c r="D300" t="n">
        <x:f>Dashboard_Live_Data!K54</x:f>
        <x:v>-37758.709506009036</x:v>
      </x:c>
      <x:c r="E300" t="n">
        <x:f>Dashboard_Live_Data!I54</x:f>
        <x:v>-0.567</x:v>
      </x:c>
      <x:c r="F300" t="n">
        <x:f>Dashboard_Live_Data!L54</x:f>
        <x:v>-90724.77444856224</x:v>
      </x:c>
      <x:c r="G300" t="n">
        <x:f>Dashboard_Live_Data!I54</x:f>
        <x:v>-0.567</x:v>
      </x:c>
      <x:c r="H300" t="n">
        <x:f>Dashboard_Live_Data!M54</x:f>
        <x:v>-93922.89271885809</x:v>
      </x:c>
    </x:row>
    <x:row r="301">
      <x:c r="A301" t="n">
        <x:f>Dashboard_Live_Data!I55</x:f>
        <x:v>-0.558</x:v>
      </x:c>
      <x:c r="B301" t="n">
        <x:f>Dashboard_Live_Data!J55</x:f>
        <x:v>-3.763567414630188</x:v>
      </x:c>
      <x:c r="C301" t="n">
        <x:f>Dashboard_Live_Data!I55</x:f>
        <x:v>-0.558</x:v>
      </x:c>
      <x:c r="D301" t="n">
        <x:f>Dashboard_Live_Data!K55</x:f>
        <x:v>-36685.22606722001</x:v>
      </x:c>
      <x:c r="E301" t="n">
        <x:f>Dashboard_Live_Data!I55</x:f>
        <x:v>-0.558</x:v>
      </x:c>
      <x:c r="F301" t="n">
        <x:f>Dashboard_Live_Data!L55</x:f>
        <x:v>-88539.61228230709</x:v>
      </x:c>
      <x:c r="G301" t="n">
        <x:f>Dashboard_Live_Data!I55</x:f>
        <x:v>-0.558</x:v>
      </x:c>
      <x:c r="H301" t="n">
        <x:f>Dashboard_Live_Data!M55</x:f>
        <x:v>-91705.91995911699</x:v>
      </x:c>
    </x:row>
    <x:row r="302">
      <x:c r="A302" t="n">
        <x:f>Dashboard_Live_Data!I56</x:f>
        <x:v>-0.55</x:v>
      </x:c>
      <x:c r="B302" t="n">
        <x:f>Dashboard_Live_Data!J56</x:f>
        <x:v>-3.590635671074324</x:v>
      </x:c>
      <x:c r="C302" t="n">
        <x:f>Dashboard_Live_Data!I56</x:f>
        <x:v>-0.55</x:v>
      </x:c>
      <x:c r="D302" t="n">
        <x:f>Dashboard_Live_Data!K56</x:f>
        <x:v>-35738.342299056225</x:v>
      </x:c>
      <x:c r="E302" t="n">
        <x:f>Dashboard_Live_Data!I56</x:f>
        <x:v>-0.55</x:v>
      </x:c>
      <x:c r="F302" t="n">
        <x:f>Dashboard_Live_Data!L56</x:f>
        <x:v>-86600.81524649766</x:v>
      </x:c>
      <x:c r="G302" t="n">
        <x:f>Dashboard_Live_Data!I56</x:f>
        <x:v>-0.55</x:v>
      </x:c>
      <x:c r="H302" t="n">
        <x:f>Dashboard_Live_Data!M56</x:f>
        <x:v>-89738.19699014083</x:v>
      </x:c>
    </x:row>
    <x:row r="303">
      <x:c r="A303" t="n">
        <x:f>Dashboard_Live_Data!I57</x:f>
        <x:v>-0.542</x:v>
      </x:c>
      <x:c r="B303" t="n">
        <x:f>Dashboard_Live_Data!J57</x:f>
        <x:v>-3.423937371721422</x:v>
      </x:c>
      <x:c r="C303" t="n">
        <x:f>Dashboard_Live_Data!I57</x:f>
        <x:v>-0.542</x:v>
      </x:c>
      <x:c r="D303" t="n">
        <x:f>Dashboard_Live_Data!K57</x:f>
        <x:v>-34798.54556291022</x:v>
      </x:c>
      <x:c r="E303" t="n">
        <x:f>Dashboard_Live_Data!I57</x:f>
        <x:v>-0.542</x:v>
      </x:c>
      <x:c r="F303" t="n">
        <x:f>Dashboard_Live_Data!L57</x:f>
        <x:v>-84665.83712834844</x:v>
      </x:c>
      <x:c r="G303" t="n">
        <x:f>Dashboard_Live_Data!I57</x:f>
        <x:v>-0.542</x:v>
      </x:c>
      <x:c r="H303" t="n">
        <x:f>Dashboard_Live_Data!M57</x:f>
        <x:v>-87773.67562430885</x:v>
      </x:c>
    </x:row>
    <x:row r="304">
      <x:c r="A304" t="n">
        <x:f>Dashboard_Live_Data!I58</x:f>
        <x:v>-0.533</x:v>
      </x:c>
      <x:c r="B304" t="n">
        <x:f>Dashboard_Live_Data!J58</x:f>
        <x:v>-3.243653659340225</x:v>
      </x:c>
      <x:c r="C304" t="n">
        <x:f>Dashboard_Live_Data!I58</x:f>
        <x:v>-0.533</x:v>
      </x:c>
      <x:c r="D304" t="n">
        <x:f>Dashboard_Live_Data!K58</x:f>
        <x:v>-33749.98145308542</x:v>
      </x:c>
      <x:c r="E304" t="n">
        <x:f>Dashboard_Live_Data!I58</x:f>
        <x:v>-0.533</x:v>
      </x:c>
      <x:c r="F304" t="n">
        <x:f>Dashboard_Live_Data!L58</x:f>
        <x:v>-82494.11644292489</x:v>
      </x:c>
      <x:c r="G304" t="n">
        <x:f>Dashboard_Live_Data!I58</x:f>
        <x:v>-0.533</x:v>
      </x:c>
      <x:c r="H304" t="n">
        <x:f>Dashboard_Live_Data!M58</x:f>
        <x:v>-85567.97437946271</x:v>
      </x:c>
    </x:row>
    <x:row r="305">
      <x:c r="A305" t="n">
        <x:f>Dashboard_Live_Data!I59</x:f>
        <x:v>-0.525</x:v>
      </x:c>
      <x:c r="B305" t="n">
        <x:f>Dashboard_Live_Data!J59</x:f>
        <x:v>-3.089673071670859</x:v>
      </x:c>
      <x:c r="C305" t="n">
        <x:f>Dashboard_Live_Data!I59</x:f>
        <x:v>-0.525</x:v>
      </x:c>
      <x:c r="D305" t="n">
        <x:f>Dashboard_Live_Data!K59</x:f>
        <x:v>-32825.87746268808</x:v>
      </x:c>
      <x:c r="E305" t="n">
        <x:f>Dashboard_Live_Data!I59</x:f>
        <x:v>-0.525</x:v>
      </x:c>
      <x:c r="F305" t="n">
        <x:f>Dashboard_Live_Data!L59</x:f>
        <x:v>-80568.7736811837</x:v>
      </x:c>
      <x:c r="G305" t="n">
        <x:f>Dashboard_Live_Data!I59</x:f>
        <x:v>-0.525</x:v>
      </x:c>
      <x:c r="H305" t="n">
        <x:f>Dashboard_Live_Data!M59</x:f>
        <x:v>-83611.75944718669</x:v>
      </x:c>
    </x:row>
    <x:row r="306">
      <x:c r="A306" t="n">
        <x:f>Dashboard_Live_Data!I60</x:f>
        <x:v>-0.517</x:v>
      </x:c>
      <x:c r="B306" t="n">
        <x:f>Dashboard_Live_Data!J60</x:f>
        <x:v>-2.941433207470027</x:v>
      </x:c>
      <x:c r="C306" t="n">
        <x:f>Dashboard_Live_Data!I60</x:f>
        <x:v>-0.517</x:v>
      </x:c>
      <x:c r="D306" t="n">
        <x:f>Dashboard_Live_Data!K60</x:f>
        <x:v>-31909.46264160071</x:v>
      </x:c>
      <x:c r="E306" t="n">
        <x:f>Dashboard_Live_Data!I60</x:f>
        <x:v>-0.517</x:v>
      </x:c>
      <x:c r="F306" t="n">
        <x:f>Dashboard_Live_Data!L60</x:f>
        <x:v>-78648.70676173814</x:v>
      </x:c>
      <x:c r="G306" t="n">
        <x:f>Dashboard_Live_Data!I60</x:f>
        <x:v>-0.517</x:v>
      </x:c>
      <x:c r="H306" t="n">
        <x:f>Dashboard_Live_Data!M60</x:f>
        <x:v>-81660.18743462116</x:v>
      </x:c>
    </x:row>
    <x:row r="307">
      <x:c r="A307" t="n">
        <x:f>Dashboard_Live_Data!I61</x:f>
        <x:v>-0.508</x:v>
      </x:c>
      <x:c r="B307" t="n">
        <x:f>Dashboard_Live_Data!J61</x:f>
        <x:v>-2.7813345652473345</x:v>
      </x:c>
      <x:c r="C307" t="n">
        <x:f>Dashboard_Live_Data!I61</x:f>
        <x:v>-0.508</x:v>
      </x:c>
      <x:c r="D307" t="n">
        <x:f>Dashboard_Live_Data!K61</x:f>
        <x:v>-30887.93486067957</x:v>
      </x:c>
      <x:c r="E307" t="n">
        <x:f>Dashboard_Live_Data!I61</x:f>
        <x:v>-0.508</x:v>
      </x:c>
      <x:c r="F307" t="n">
        <x:f>Dashboard_Live_Data!L61</x:f>
        <x:v>-76495.55061689255</x:v>
      </x:c>
      <x:c r="G307" t="n">
        <x:f>Dashboard_Live_Data!I61</x:f>
        <x:v>-0.508</x:v>
      </x:c>
      <x:c r="H307" t="n">
        <x:f>Dashboard_Live_Data!M61</x:f>
        <x:v>-79470.82596585053</x:v>
      </x:c>
    </x:row>
    <x:row r="308">
      <x:c r="A308" t="n">
        <x:f>Dashboard_Live_Data!I62</x:f>
        <x:v>-0.5</x:v>
      </x:c>
      <x:c r="B308" t="n">
        <x:f>Dashboard_Live_Data!J62</x:f>
        <x:v>-2.6447875068229223</x:v>
      </x:c>
      <x:c r="C308" t="n">
        <x:f>Dashboard_Live_Data!I62</x:f>
        <x:v>-0.5</x:v>
      </x:c>
      <x:c r="D308" t="n">
        <x:f>Dashboard_Live_Data!K62</x:f>
        <x:v>-29988.524239953986</x:v>
      </x:c>
      <x:c r="E308" t="n">
        <x:f>Dashboard_Live_Data!I62</x:f>
        <x:v>-0.5</x:v>
      </x:c>
      <x:c r="F308" t="n">
        <x:f>Dashboard_Live_Data!L62</x:f>
        <x:v>-74588.34383380503</x:v>
      </x:c>
      <x:c r="G308" t="n">
        <x:f>Dashboard_Live_Data!I62</x:f>
        <x:v>-0.5</x:v>
      </x:c>
      <x:c r="H308" t="n">
        <x:f>Dashboard_Live_Data!M62</x:f>
        <x:v>-77530.75464681152</x:v>
      </x:c>
    </x:row>
    <x:row r="309">
      <x:c r="A309" t="n">
        <x:f>Dashboard_Live_Data!I63</x:f>
        <x:v>-0.492</x:v>
      </x:c>
      <x:c r="B309" t="n">
        <x:f>Dashboard_Live_Data!J63</x:f>
        <x:v>-2.513509340354176</x:v>
      </x:c>
      <x:c r="C309" t="n">
        <x:f>Dashboard_Live_Data!I63</x:f>
        <x:v>-0.492</x:v>
      </x:c>
      <x:c r="D309" t="n">
        <x:f>Dashboard_Live_Data!K63</x:f>
        <x:v>-29097.435135520733</x:v>
      </x:c>
      <x:c r="E309" t="n">
        <x:f>Dashboard_Live_Data!I63</x:f>
        <x:v>-0.492</x:v>
      </x:c>
      <x:c r="F309" t="n">
        <x:f>Dashboard_Live_Data!L63</x:f>
        <x:v>-72687.99278310628</x:v>
      </x:c>
      <x:c r="G309" t="n">
        <x:f>Dashboard_Live_Data!I63</x:f>
        <x:v>-0.492</x:v>
      </x:c>
      <x:c r="H309" t="n">
        <x:f>Dashboard_Live_Data!M63</x:f>
        <x:v>-75596.89314596457</x:v>
      </x:c>
    </x:row>
    <x:row r="310">
      <x:c r="A310" t="n">
        <x:f>Dashboard_Live_Data!I64</x:f>
        <x:v>-0.483</x:v>
      </x:c>
      <x:c r="B310" t="n">
        <x:f>Dashboard_Live_Data!J64</x:f>
        <x:v>-2.371937016364882</x:v>
      </x:c>
      <x:c r="C310" t="n">
        <x:f>Dashboard_Live_Data!I64</x:f>
        <x:v>-0.483</x:v>
      </x:c>
      <x:c r="D310" t="n">
        <x:f>Dashboard_Live_Data!K64</x:f>
        <x:v>-28105.166881478122</x:v>
      </x:c>
      <x:c r="E310" t="n">
        <x:f>Dashboard_Live_Data!I64</x:f>
        <x:v>-0.483</x:v>
      </x:c>
      <x:c r="F310" t="n">
        <x:f>Dashboard_Live_Data!L64</x:f>
        <x:v>-70558.9565452948</x:v>
      </x:c>
      <x:c r="G310" t="n">
        <x:f>Dashboard_Live_Data!I64</x:f>
        <x:v>-0.483</x:v>
      </x:c>
      <x:c r="H310" t="n">
        <x:f>Dashboard_Live_Data!M64</x:f>
        <x:v>-73429.38122625276</x:v>
      </x:c>
    </x:row>
    <x:row r="311">
      <x:c r="A311" t="n">
        <x:f>Dashboard_Live_Data!I65</x:f>
        <x:v>-0.475</x:v>
      </x:c>
      <x:c r="B311" t="n">
        <x:f>Dashboard_Live_Data!J65</x:f>
        <x:v>-2.251371436165755</x:v>
      </x:c>
      <x:c r="C311" t="n">
        <x:f>Dashboard_Live_Data!I65</x:f>
        <x:v>-0.475</x:v>
      </x:c>
      <x:c r="D311" t="n">
        <x:f>Dashboard_Live_Data!K65</x:f>
        <x:v>-27232.458450313294</x:v>
      </x:c>
      <x:c r="E311" t="n">
        <x:f>Dashboard_Live_Data!I65</x:f>
        <x:v>-0.475</x:v>
      </x:c>
      <x:c r="F311" t="n">
        <x:f>Dashboard_Live_Data!L65</x:f>
        <x:v>-68674.96006151366</x:v>
      </x:c>
      <x:c r="G311" t="n">
        <x:f>Dashboard_Live_Data!I65</x:f>
        <x:v>-0.475</x:v>
      </x:c>
      <x:c r="H311" t="n">
        <x:f>Dashboard_Live_Data!M65</x:f>
        <x:v>-71510.49050705163</x:v>
      </x:c>
    </x:row>
    <x:row r="312">
      <x:c r="A312" t="n">
        <x:f>Dashboard_Live_Data!I66</x:f>
        <x:v>-0.467</x:v>
      </x:c>
      <x:c r="B312" t="n">
        <x:f>Dashboard_Live_Data!J66</x:f>
        <x:v>-2.13562408544135</x:v>
      </x:c>
      <x:c r="C312" t="n">
        <x:f>Dashboard_Live_Data!I66</x:f>
        <x:v>-0.467</x:v>
      </x:c>
      <x:c r="D312" t="n">
        <x:f>Dashboard_Live_Data!K66</x:f>
        <x:v>-26368.73485292532</x:v>
      </x:c>
      <x:c r="E312" t="n">
        <x:f>Dashboard_Live_Data!I66</x:f>
        <x:v>-0.467</x:v>
      </x:c>
      <x:c r="F312" t="n">
        <x:f>Dashboard_Live_Data!L66</x:f>
        <x:v>-66799.53002109205</x:v>
      </x:c>
      <x:c r="G312" t="n">
        <x:f>Dashboard_Live_Data!I66</x:f>
        <x:v>-0.467</x:v>
      </x:c>
      <x:c r="H312" t="n">
        <x:f>Dashboard_Live_Data!M66</x:f>
        <x:v>-69599.51053278937</x:v>
      </x:c>
    </x:row>
    <x:row r="313">
      <x:c r="A313" t="n">
        <x:f>Dashboard_Live_Data!I67</x:f>
        <x:v>-0.458</x:v>
      </x:c>
      <x:c r="B313" t="n">
        <x:f>Dashboard_Live_Data!J67</x:f>
        <x:v>-2.0109937508048006</x:v>
      </x:c>
      <x:c r="C313" t="n">
        <x:f>Dashboard_Live_Data!I67</x:f>
        <x:v>-0.458</x:v>
      </x:c>
      <x:c r="D313" t="n">
        <x:f>Dashboard_Live_Data!K67</x:f>
        <x:v>-25408.05819572629</x:v>
      </x:c>
      <x:c r="E313" t="n">
        <x:f>Dashboard_Live_Data!I67</x:f>
        <x:v>-0.458</x:v>
      </x:c>
      <x:c r="F313" t="n">
        <x:f>Dashboard_Live_Data!L67</x:f>
        <x:v>-64700.62896395361</x:v>
      </x:c>
      <x:c r="G313" t="n">
        <x:f>Dashboard_Live_Data!I67</x:f>
        <x:v>-0.458</x:v>
      </x:c>
      <x:c r="H313" t="n">
        <x:f>Dashboard_Live_Data!M67</x:f>
        <x:v>-67459.82912343887</x:v>
      </x:c>
    </x:row>
    <x:row r="314">
      <x:c r="A314" t="n">
        <x:f>Dashboard_Live_Data!I68</x:f>
        <x:v>-0.45</x:v>
      </x:c>
      <x:c r="B314" t="n">
        <x:f>Dashboard_Live_Data!J68</x:f>
        <x:v>-1.9050240415085682</x:v>
      </x:c>
      <x:c r="C314" t="n">
        <x:f>Dashboard_Live_Data!I68</x:f>
        <x:v>-0.45</x:v>
      </x:c>
      <x:c r="D314" t="n">
        <x:f>Dashboard_Live_Data!K68</x:f>
        <x:v>-24564.158312691114</x:v>
      </x:c>
      <x:c r="E314" t="n">
        <x:f>Dashboard_Live_Data!I68</x:f>
        <x:v>-0.45</x:v>
      </x:c>
      <x:c r="F314" t="n">
        <x:f>Dashboard_Live_Data!L68</x:f>
        <x:v>-62845.33421508742</x:v>
      </x:c>
      <x:c r="G314" t="n">
        <x:f>Dashboard_Live_Data!I68</x:f>
        <x:v>-0.45</x:v>
      </x:c>
      <x:c r="H314" t="n">
        <x:f>Dashboard_Live_Data!M68</x:f>
        <x:v>-65567.5837894667</x:v>
      </x:c>
    </x:row>
    <x:row r="315">
      <x:c r="A315" t="n">
        <x:f>Dashboard_Live_Data!I69</x:f>
        <x:v>-0.442</x:v>
      </x:c>
      <x:c r="B315" t="n">
        <x:f>Dashboard_Live_Data!J69</x:f>
        <x:v>-1.8034433360094226</x:v>
      </x:c>
      <x:c r="C315" t="n">
        <x:f>Dashboard_Live_Data!I69</x:f>
        <x:v>-0.442</x:v>
      </x:c>
      <x:c r="D315" t="n">
        <x:f>Dashboard_Live_Data!K69</x:f>
        <x:v>-23729.938248077422</x:v>
      </x:c>
      <x:c r="E315" t="n">
        <x:f>Dashboard_Live_Data!I69</x:f>
        <x:v>-0.442</x:v>
      </x:c>
      <x:c r="F315" t="n">
        <x:f>Dashboard_Live_Data!L69</x:f>
        <x:v>-61000.45522179082</x:v>
      </x:c>
      <x:c r="G315" t="n">
        <x:f>Dashboard_Live_Data!I69</x:f>
        <x:v>-0.442</x:v>
      </x:c>
      <x:c r="H315" t="n">
        <x:f>Dashboard_Live_Data!M69</x:f>
        <x:v>-63685.092564364764</x:v>
      </x:c>
    </x:row>
    <x:row r="316">
      <x:c r="A316" t="n">
        <x:f>Dashboard_Live_Data!I70</x:f>
        <x:v>-0.433</x:v>
      </x:c>
      <x:c r="B316" t="n">
        <x:f>Dashboard_Live_Data!J70</x:f>
        <x:v>-1.6942460296072568</x:v>
      </x:c>
      <x:c r="C316" t="n">
        <x:f>Dashboard_Live_Data!I70</x:f>
        <x:v>-0.433</x:v>
      </x:c>
      <x:c r="D316" t="n">
        <x:f>Dashboard_Live_Data!K70</x:f>
        <x:v>-22803.296578072208</x:v>
      </x:c>
      <x:c r="E316" t="n">
        <x:f>Dashboard_Live_Data!I70</x:f>
        <x:v>-0.433</x:v>
      </x:c>
      <x:c r="F316" t="n">
        <x:f>Dashboard_Live_Data!L70</x:f>
        <x:v>-58938.19185999589</x:v>
      </x:c>
      <x:c r="G316" t="n">
        <x:f>Dashboard_Live_Data!I70</x:f>
        <x:v>-0.433</x:v>
      </x:c>
      <x:c r="H316" t="n">
        <x:f>Dashboard_Live_Data!M70</x:f>
        <x:v>-61579.723356260394</x:v>
      </x:c>
    </x:row>
    <x:row r="317">
      <x:c r="A317" t="n">
        <x:f>Dashboard_Live_Data!I71</x:f>
        <x:v>-0.425</x:v>
      </x:c>
      <x:c r="B317" t="n">
        <x:f>Dashboard_Live_Data!J71</x:f>
        <x:v>-1.601553853415453</x:v>
      </x:c>
      <x:c r="C317" t="n">
        <x:f>Dashboard_Live_Data!I71</x:f>
        <x:v>-0.425</x:v>
      </x:c>
      <x:c r="D317" t="n">
        <x:f>Dashboard_Live_Data!K71</x:f>
        <x:v>-21990.41124452041</x:v>
      </x:c>
      <x:c r="E317" t="n">
        <x:f>Dashboard_Live_Data!I71</x:f>
        <x:v>-0.425</x:v>
      </x:c>
      <x:c r="F317" t="n">
        <x:f>Dashboard_Live_Data!L71</x:f>
        <x:v>-57117.53151668291</x:v>
      </x:c>
      <x:c r="G317" t="n">
        <x:f>Dashboard_Live_Data!I71</x:f>
        <x:v>-0.425</x:v>
      </x:c>
      <x:c r="H317" t="n">
        <x:f>Dashboard_Live_Data!M71</x:f>
        <x:v>-59720.04210248677</x:v>
      </x:c>
    </x:row>
    <x:row r="318">
      <x:c r="A318" t="n">
        <x:f>Dashboard_Live_Data!I72</x:f>
        <x:v>-0.417</x:v>
      </x:c>
      <x:c r="B318" t="n">
        <x:f>Dashboard_Live_Data!J72</x:f>
        <x:v>-1.512843152252799</x:v>
      </x:c>
      <x:c r="C318" t="n">
        <x:f>Dashboard_Live_Data!I72</x:f>
        <x:v>-0.417</x:v>
      </x:c>
      <x:c r="D318" t="n">
        <x:f>Dashboard_Live_Data!K72</x:f>
        <x:v>-21187.933007764404</x:v>
      </x:c>
      <x:c r="E318" t="n">
        <x:f>Dashboard_Live_Data!I72</x:f>
        <x:v>-0.417</x:v>
      </x:c>
      <x:c r="F318" t="n">
        <x:f>Dashboard_Live_Data!L72</x:f>
        <x:v>-55309.28240772686</x:v>
      </x:c>
      <x:c r="G318" t="n">
        <x:f>Dashboard_Live_Data!I72</x:f>
        <x:v>-0.417</x:v>
      </x:c>
      <x:c r="H318" t="n">
        <x:f>Dashboard_Live_Data!M72</x:f>
        <x:v>-57872.108972824644</x:v>
      </x:c>
    </x:row>
    <x:row r="319">
      <x:c r="A319" t="n">
        <x:f>Dashboard_Live_Data!I73</x:f>
        <x:v>-0.408</x:v>
      </x:c>
      <x:c r="B319" t="n">
        <x:f>Dashboard_Live_Data!J73</x:f>
        <x:v>-1.4176461878619193</x:v>
      </x:c>
      <x:c r="C319" t="n">
        <x:f>Dashboard_Live_Data!I73</x:f>
        <x:v>-0.408</x:v>
      </x:c>
      <x:c r="D319" t="n">
        <x:f>Dashboard_Live_Data!K73</x:f>
        <x:v>-20297.883237372946</x:v>
      </x:c>
      <x:c r="E319" t="n">
        <x:f>Dashboard_Live_Data!I73</x:f>
        <x:v>-0.408</x:v>
      </x:c>
      <x:c r="F319" t="n">
        <x:f>Dashboard_Live_Data!L73</x:f>
        <x:v>-53290.67307252447</x:v>
      </x:c>
      <x:c r="G319" t="n">
        <x:f>Dashboard_Live_Data!I73</x:f>
        <x:v>-0.408</x:v>
      </x:c>
      <x:c r="H319" t="n">
        <x:f>Dashboard_Live_Data!M73</x:f>
        <x:v>-55808.06323941442</x:v>
      </x:c>
    </x:row>
    <x:row r="320">
      <x:c r="A320" t="n">
        <x:f>Dashboard_Live_Data!I74</x:f>
        <x:v>-0.4</x:v>
      </x:c>
      <x:c r="B320" t="n">
        <x:f>Dashboard_Live_Data!J74</x:f>
        <x:v>-1.3369812749583616</x:v>
      </x:c>
      <x:c r="C320" t="n">
        <x:f>Dashboard_Live_Data!I74</x:f>
        <x:v>-0.4</x:v>
      </x:c>
      <x:c r="D320" t="n">
        <x:f>Dashboard_Live_Data!K74</x:f>
        <x:v>-19518.31997454776</x:v>
      </x:c>
      <x:c r="E320" t="n">
        <x:f>Dashboard_Live_Data!I74</x:f>
        <x:v>-0.4</x:v>
      </x:c>
      <x:c r="F320" t="n">
        <x:f>Dashboard_Live_Data!L74</x:f>
        <x:v>-51511.04432508859</x:v>
      </x:c>
      <x:c r="G320" t="n">
        <x:f>Dashboard_Live_Data!I74</x:f>
        <x:v>-0.4</x:v>
      </x:c>
      <x:c r="H320" t="n">
        <x:f>Dashboard_Live_Data!M74</x:f>
        <x:v>-53987.34398363595</x:v>
      </x:c>
    </x:row>
    <x:row r="321">
      <x:c r="A321" t="n">
        <x:f>Dashboard_Live_Data!I75</x:f>
        <x:v>-0.392</x:v>
      </x:c>
      <x:c r="B321" t="n">
        <x:f>Dashboard_Live_Data!J75</x:f>
        <x:v>-1.2599122492363222</x:v>
      </x:c>
      <x:c r="C321" t="n">
        <x:f>Dashboard_Live_Data!I75</x:f>
        <x:v>-0.392</x:v>
      </x:c>
      <x:c r="D321" t="n">
        <x:f>Dashboard_Live_Data!K75</x:f>
        <x:v>-18749.923928481905</x:v>
      </x:c>
      <x:c r="E321" t="n">
        <x:f>Dashboard_Live_Data!I75</x:f>
        <x:v>-0.392</x:v>
      </x:c>
      <x:c r="F321" t="n">
        <x:f>Dashboard_Live_Data!L75</x:f>
        <x:v>-49745.97565061512</x:v>
      </x:c>
      <x:c r="G321" t="n">
        <x:f>Dashboard_Live_Data!I75</x:f>
        <x:v>-0.392</x:v>
      </x:c>
      <x:c r="H321" t="n">
        <x:f>Dashboard_Live_Data!M75</x:f>
        <x:v>-52180.525354744386</x:v>
      </x:c>
    </x:row>
    <x:row r="322">
      <x:c r="A322" t="n">
        <x:f>Dashboard_Live_Data!I76</x:f>
        <x:v>-0.383</x:v>
      </x:c>
      <x:c r="B322" t="n">
        <x:f>Dashboard_Live_Data!J76</x:f>
        <x:v>-1.1773600760669751</x:v>
      </x:c>
      <x:c r="C322" t="n">
        <x:f>Dashboard_Live_Data!I76</x:f>
        <x:v>-0.383</x:v>
      </x:c>
      <x:c r="D322" t="n">
        <x:f>Dashboard_Live_Data!K76</x:f>
        <x:v>-17899.13841594477</x:v>
      </x:c>
      <x:c r="E322" t="n">
        <x:f>Dashboard_Live_Data!I76</x:f>
        <x:v>-0.383</x:v>
      </x:c>
      <x:c r="F322" t="n">
        <x:f>Dashboard_Live_Data!L76</x:f>
        <x:v>-47778.57575572333</x:v>
      </x:c>
      <x:c r="G322" t="n">
        <x:f>Dashboard_Live_Data!I76</x:f>
        <x:v>-0.383</x:v>
      </x:c>
      <x:c r="H322" t="n">
        <x:f>Dashboard_Live_Data!M76</x:f>
        <x:v>-50165.37147333971</x:v>
      </x:c>
    </x:row>
    <x:row r="323">
      <x:c r="A323" t="n">
        <x:f>Dashboard_Live_Data!I77</x:f>
        <x:v>-0.375</x:v>
      </x:c>
      <x:c r="B323" t="n">
        <x:f>Dashboard_Live_Data!J77</x:f>
        <x:v>-1.1075409744717035</x:v>
      </x:c>
      <x:c r="C323" t="n">
        <x:f>Dashboard_Live_Data!I77</x:f>
        <x:v>-0.375</x:v>
      </x:c>
      <x:c r="D323" t="n">
        <x:f>Dashboard_Live_Data!K77</x:f>
        <x:v>-17155.30788033462</x:v>
      </x:c>
      <x:c r="E323" t="n">
        <x:f>Dashboard_Live_Data!I77</x:f>
        <x:v>-0.375</x:v>
      </x:c>
      <x:c r="F323" t="n">
        <x:f>Dashboard_Live_Data!L77</x:f>
        <x:v>-46046.86225919663</x:v>
      </x:c>
      <x:c r="G323" t="n">
        <x:f>Dashboard_Live_Data!I77</x:f>
        <x:v>-0.375</x:v>
      </x:c>
      <x:c r="H323" t="n">
        <x:f>Dashboard_Live_Data!M77</x:f>
        <x:v>-48390.51527485564</x:v>
      </x:c>
    </x:row>
    <x:row r="324">
      <x:c r="A324" t="n">
        <x:f>Dashboard_Live_Data!I78</x:f>
        <x:v>-0.367</x:v>
      </x:c>
      <x:c r="B324" t="n">
        <x:f>Dashboard_Live_Data!J78</x:f>
        <x:v>-1.0409543459660426</x:v>
      </x:c>
      <x:c r="C324" t="n">
        <x:f>Dashboard_Live_Data!I78</x:f>
        <x:v>-0.367</x:v>
      </x:c>
      <x:c r="D324" t="n">
        <x:f>Dashboard_Live_Data!K78</x:f>
        <x:v>-16423.437974026107</x:v>
      </x:c>
      <x:c r="E324" t="n">
        <x:f>Dashboard_Live_Data!I78</x:f>
        <x:v>-0.367</x:v>
      </x:c>
      <x:c r="F324" t="n">
        <x:f>Dashboard_Live_Data!L78</x:f>
        <x:v>-44332.01768741841</x:v>
      </x:c>
      <x:c r="G324" t="n">
        <x:f>Dashboard_Live_Data!I78</x:f>
        <x:v>-0.367</x:v>
      </x:c>
      <x:c r="H324" t="n">
        <x:f>Dashboard_Live_Data!M78</x:f>
        <x:v>-46631.87794663328</x:v>
      </x:c>
    </x:row>
    <x:row r="325">
      <x:c r="A325" t="n">
        <x:f>Dashboard_Live_Data!I79</x:f>
        <x:v>-0.358</x:v>
      </x:c>
      <x:c r="B325" t="n">
        <x:f>Dashboard_Live_Data!J79</x:f>
        <x:v>-0.9697693759256936</x:v>
      </x:c>
      <x:c r="C325" t="n">
        <x:f>Dashboard_Live_Data!I79</x:f>
        <x:v>-0.358</x:v>
      </x:c>
      <x:c r="D325" t="n">
        <x:f>Dashboard_Live_Data!K79</x:f>
        <x:v>-15614.70610330964</x:v>
      </x:c>
      <x:c r="E325" t="n">
        <x:f>Dashboard_Live_Data!I79</x:f>
        <x:v>-0.358</x:v>
      </x:c>
      <x:c r="F325" t="n">
        <x:f>Dashboard_Live_Data!L79</x:f>
        <x:v>-42423.945096951415</x:v>
      </x:c>
      <x:c r="G325" t="n">
        <x:f>Dashboard_Live_Data!I79</x:f>
        <x:v>-0.358</x:v>
      </x:c>
      <x:c r="H325" t="n">
        <x:f>Dashboard_Live_Data!M79</x:f>
        <x:v>-44673.766867657614</x:v>
      </x:c>
    </x:row>
    <x:row r="326">
      <x:c r="A326" t="n">
        <x:f>Dashboard_Live_Data!I80</x:f>
        <x:v>-0.35</x:v>
      </x:c>
      <x:c r="B326" t="n">
        <x:f>Dashboard_Live_Data!J80</x:f>
        <x:v>-0.9096841644008009</x:v>
      </x:c>
      <x:c r="C326" t="n">
        <x:f>Dashboard_Live_Data!I80</x:f>
        <x:v>-0.35</x:v>
      </x:c>
      <x:c r="D326" t="n">
        <x:f>Dashboard_Live_Data!K80</x:f>
        <x:v>-14909.123361914171</x:v>
      </x:c>
      <x:c r="E326" t="n">
        <x:f>Dashboard_Live_Data!I80</x:f>
        <x:v>-0.35</x:v>
      </x:c>
      <x:c r="F326" t="n">
        <x:f>Dashboard_Live_Data!L80</x:f>
        <x:v>-40747.537049505336</x:v>
      </x:c>
      <x:c r="G326" t="n">
        <x:f>Dashboard_Live_Data!I80</x:f>
        <x:v>-0.35</x:v>
      </x:c>
      <x:c r="H326" t="n">
        <x:f>Dashboard_Live_Data!M80</x:f>
        <x:v>-42952.19979250127</x:v>
      </x:c>
    </x:row>
    <x:row r="327">
      <x:c r="A327" t="n">
        <x:f>Dashboard_Live_Data!I81</x:f>
        <x:v>-0.342</x:v>
      </x:c>
      <x:c r="B327" t="n">
        <x:f>Dashboard_Live_Data!J81</x:f>
        <x:v>-0.8524904108952569</x:v>
      </x:c>
      <x:c r="C327" t="n">
        <x:f>Dashboard_Live_Data!I81</x:f>
        <x:v>-0.342</x:v>
      </x:c>
      <x:c r="D327" t="n">
        <x:f>Dashboard_Live_Data!K81</x:f>
        <x:v>-14216.32826550211</x:v>
      </x:c>
      <x:c r="E327" t="n">
        <x:f>Dashboard_Live_Data!I81</x:f>
        <x:v>-0.342</x:v>
      </x:c>
      <x:c r="F327" t="n">
        <x:f>Dashboard_Live_Data!L81</x:f>
        <x:v>-39090.472738230674</x:v>
      </x:c>
      <x:c r="G327" t="n">
        <x:f>Dashboard_Live_Data!I81</x:f>
        <x:v>-0.342</x:v>
      </x:c>
      <x:c r="H327" t="n">
        <x:f>Dashboard_Live_Data!M81</x:f>
        <x:v>-41249.342022155164</x:v>
      </x:c>
    </x:row>
    <x:row r="328">
      <x:c r="A328" t="n">
        <x:f>Dashboard_Live_Data!I82</x:f>
        <x:v>-0.333</x:v>
      </x:c>
      <x:c r="B328" t="n">
        <x:f>Dashboard_Live_Data!J82</x:f>
        <x:v>-0.791473780832689</x:v>
      </x:c>
      <x:c r="C328" t="n">
        <x:f>Dashboard_Live_Data!I82</x:f>
        <x:v>-0.333</x:v>
      </x:c>
      <x:c r="D328" t="n">
        <x:f>Dashboard_Live_Data!K82</x:f>
        <x:v>-13452.55752473721</x:v>
      </x:c>
      <x:c r="E328" t="n">
        <x:f>Dashboard_Live_Data!I82</x:f>
        <x:v>-0.333</x:v>
      </x:c>
      <x:c r="F328" t="n">
        <x:f>Dashboard_Live_Data!L82</x:f>
        <x:v>-37250.42865196269</x:v>
      </x:c>
      <x:c r="G328" t="n">
        <x:f>Dashboard_Live_Data!I82</x:f>
        <x:v>-0.333</x:v>
      </x:c>
      <x:c r="H328" t="n">
        <x:f>Dashboard_Live_Data!M82</x:f>
        <x:v>-39357.02991700129</x:v>
      </x:c>
    </x:row>
    <x:row r="329">
      <x:c r="A329" t="n">
        <x:f>Dashboard_Live_Data!I83</x:f>
        <x:v>-0.325</x:v>
      </x:c>
      <x:c r="B329" t="n">
        <x:f>Dashboard_Live_Data!J83</x:f>
        <x:v>-0.7400807499819848</x:v>
      </x:c>
      <x:c r="C329" t="n">
        <x:f>Dashboard_Live_Data!I83</x:f>
        <x:v>-0.325</x:v>
      </x:c>
      <x:c r="D329" t="n">
        <x:f>Dashboard_Live_Data!K83</x:f>
        <x:v>-12787.842801368242</x:v>
      </x:c>
      <x:c r="E329" t="n">
        <x:f>Dashboard_Live_Data!I83</x:f>
        <x:v>-0.325</x:v>
      </x:c>
      <x:c r="F329" t="n">
        <x:f>Dashboard_Live_Data!L83</x:f>
        <x:v>-35637.24050020533</x:v>
      </x:c>
      <x:c r="G329" t="n">
        <x:f>Dashboard_Live_Data!I83</x:f>
        <x:v>-0.325</x:v>
      </x:c>
      <x:c r="H329" t="n">
        <x:f>Dashboard_Live_Data!M83</x:f>
        <x:v>-37696.722160192</x:v>
      </x:c>
    </x:row>
    <x:row r="330">
      <x:c r="A330" t="n">
        <x:f>Dashboard_Live_Data!I84</x:f>
        <x:v>-0.317</x:v>
      </x:c>
      <x:c r="B330" t="n">
        <x:f>Dashboard_Live_Data!J84</x:f>
        <x:v>-0.6912607618419315</x:v>
      </x:c>
      <x:c r="C330" t="n">
        <x:f>Dashboard_Live_Data!I84</x:f>
        <x:v>-0.317</x:v>
      </x:c>
      <x:c r="D330" t="n">
        <x:f>Dashboard_Live_Data!K84</x:f>
        <x:v>-12136.776407525518</x:v>
      </x:c>
      <x:c r="E330" t="n">
        <x:f>Dashboard_Live_Data!I84</x:f>
        <x:v>-0.317</x:v>
      </x:c>
      <x:c r="F330" t="n">
        <x:f>Dashboard_Live_Data!L84</x:f>
        <x:v>-34046.04194794646</x:v>
      </x:c>
      <x:c r="G330" t="n">
        <x:f>Dashboard_Live_Data!I84</x:f>
        <x:v>-0.317</x:v>
      </x:c>
      <x:c r="H330" t="n">
        <x:f>Dashboard_Live_Data!M84</x:f>
        <x:v>-36057.79176290192</x:v>
      </x:c>
    </x:row>
    <x:row r="331">
      <x:c r="A331" t="n">
        <x:f>Dashboard_Live_Data!I85</x:f>
        <x:v>-0.308</x:v>
      </x:c>
      <x:c r="B331" t="n">
        <x:f>Dashboard_Live_Data!J85</x:f>
        <x:v>-0.6392930692547907</x:v>
      </x:c>
      <x:c r="C331" t="n">
        <x:f>Dashboard_Live_Data!I85</x:f>
        <x:v>-0.308</x:v>
      </x:c>
      <x:c r="D331" t="n">
        <x:f>Dashboard_Live_Data!K85</x:f>
        <x:v>-11420.992588521869</x:v>
      </x:c>
      <x:c r="E331" t="n">
        <x:f>Dashboard_Live_Data!I85</x:f>
        <x:v>-0.308</x:v>
      </x:c>
      <x:c r="F331" t="n">
        <x:f>Dashboard_Live_Data!L85</x:f>
        <x:v>-32283.3287901734</x:v>
      </x:c>
      <x:c r="G331" t="n">
        <x:f>Dashboard_Live_Data!I85</x:f>
        <x:v>-0.308</x:v>
      </x:c>
      <x:c r="H331" t="n">
        <x:f>Dashboard_Live_Data!M85</x:f>
        <x:v>-34240.659083493854</x:v>
      </x:c>
    </x:row>
    <x:row r="332">
      <x:c r="A332" t="n">
        <x:f>Dashboard_Live_Data!I86</x:f>
        <x:v>-0.3</x:v>
      </x:c>
      <x:c r="B332" t="n">
        <x:f>Dashboard_Live_Data!J86</x:f>
        <x:v>-0.5956213488765343</x:v>
      </x:c>
      <x:c r="C332" t="n">
        <x:f>Dashboard_Live_Data!I86</x:f>
        <x:v>-0.3</x:v>
      </x:c>
      <x:c r="D332" t="n">
        <x:f>Dashboard_Live_Data!K86</x:f>
        <x:v>-10799.871032643307</x:v>
      </x:c>
      <x:c r="E332" t="n">
        <x:f>Dashboard_Live_Data!I86</x:f>
        <x:v>-0.3</x:v>
      </x:c>
      <x:c r="F332" t="n">
        <x:f>Dashboard_Live_Data!L86</x:f>
        <x:v>-30741.8141453946</x:v>
      </x:c>
      <x:c r="G332" t="n">
        <x:f>Dashboard_Live_Data!I86</x:f>
        <x:v>-0.3</x:v>
      </x:c>
      <x:c r="H332" t="n">
        <x:f>Dashboard_Live_Data!M86</x:f>
        <x:v>-32650.140682705838</x:v>
      </x:c>
    </x:row>
    <x:row r="333">
      <x:c r="A333" t="n">
        <x:f>Dashboard_Live_Data!I87</x:f>
        <x:v>-0.292</x:v>
      </x:c>
      <x:c r="B333" t="n">
        <x:f>Dashboard_Live_Data!J87</x:f>
        <x:v>-0.554227051803764</x:v>
      </x:c>
      <x:c r="C333" t="n">
        <x:f>Dashboard_Live_Data!I87</x:f>
        <x:v>-0.292</x:v>
      </x:c>
      <x:c r="D333" t="n">
        <x:f>Dashboard_Live_Data!K87</x:f>
        <x:v>-10193.291736298073</x:v>
      </x:c>
      <x:c r="E333" t="n">
        <x:f>Dashboard_Live_Data!I87</x:f>
        <x:v>-0.292</x:v>
      </x:c>
      <x:c r="F333" t="n">
        <x:f>Dashboard_Live_Data!L87</x:f>
        <x:v>-29225.110156037</x:v>
      </x:c>
      <x:c r="G333" t="n">
        <x:f>Dashboard_Live_Data!I87</x:f>
        <x:v>-0.292</x:v>
      </x:c>
      <x:c r="H333" t="n">
        <x:f>Dashboard_Live_Data!M87</x:f>
        <x:v>-31083.849529375264</x:v>
      </x:c>
    </x:row>
    <x:row r="334">
      <x:c r="A334" t="n">
        <x:f>Dashboard_Live_Data!I88</x:f>
        <x:v>-0.283</x:v>
      </x:c>
      <x:c r="B334" t="n">
        <x:f>Dashboard_Live_Data!J88</x:f>
        <x:v>-0.5102690384285324</x:v>
      </x:c>
      <x:c r="C334" t="n">
        <x:f>Dashboard_Live_Data!I88</x:f>
        <x:v>-0.283</x:v>
      </x:c>
      <x:c r="D334" t="n">
        <x:f>Dashboard_Live_Data!K88</x:f>
        <x:v>-9528.637373909565</x:v>
      </x:c>
      <x:c r="E334" t="n">
        <x:f>Dashboard_Live_Data!I88</x:f>
        <x:v>-0.283</x:v>
      </x:c>
      <x:c r="F334" t="n">
        <x:f>Dashboard_Live_Data!L88</x:f>
        <x:v>-27549.64613181504</x:v>
      </x:c>
      <x:c r="G334" t="n">
        <x:f>Dashboard_Live_Data!I88</x:f>
        <x:v>-0.283</x:v>
      </x:c>
      <x:c r="H334" t="n">
        <x:f>Dashboard_Live_Data!M88</x:f>
        <x:v>-29351.91580166448</x:v>
      </x:c>
    </x:row>
    <x:row r="335">
      <x:c r="A335" t="n">
        <x:f>Dashboard_Live_Data!I89</x:f>
        <x:v>-0.275</x:v>
      </x:c>
      <x:c r="B335" t="n">
        <x:f>Dashboard_Live_Data!J89</x:f>
        <x:v>-0.4734191912100414</x:v>
      </x:c>
      <x:c r="C335" t="n">
        <x:f>Dashboard_Live_Data!I89</x:f>
        <x:v>-0.275</x:v>
      </x:c>
      <x:c r="D335" t="n">
        <x:f>Dashboard_Live_Data!K89</x:f>
        <x:v>-8953.936813090862</x:v>
      </x:c>
      <x:c r="E335" t="n">
        <x:f>Dashboard_Live_Data!I89</x:f>
        <x:v>-0.275</x:v>
      </x:c>
      <x:c r="F335" t="n">
        <x:f>Dashboard_Live_Data!L89</x:f>
        <x:v>-26088.809681649203</x:v>
      </x:c>
      <x:c r="G335" t="n">
        <x:f>Dashboard_Live_Data!I89</x:f>
        <x:v>-0.275</x:v>
      </x:c>
      <x:c r="H335" t="n">
        <x:f>Dashboard_Live_Data!M89</x:f>
        <x:v>-27840.288392506118</x:v>
      </x:c>
    </x:row>
    <x:row r="336">
      <x:c r="A336" t="n">
        <x:f>Dashboard_Live_Data!I90</x:f>
        <x:v>-0.267</x:v>
      </x:c>
      <x:c r="B336" t="n">
        <x:f>Dashboard_Live_Data!J90</x:f>
        <x:v>-0.43857412502381976</x:v>
      </x:c>
      <x:c r="C336" t="n">
        <x:f>Dashboard_Live_Data!I90</x:f>
        <x:v>-0.267</x:v>
      </x:c>
      <x:c r="D336" t="n">
        <x:f>Dashboard_Live_Data!K90</x:f>
        <x:v>-8394.704215810816</x:v>
      </x:c>
      <x:c r="E336" t="n">
        <x:f>Dashboard_Live_Data!I90</x:f>
        <x:v>-0.267</x:v>
      </x:c>
      <x:c r="F336" t="n">
        <x:f>Dashboard_Live_Data!L90</x:f>
        <x:v>-24655.783322873118</x:v>
      </x:c>
      <x:c r="G336" t="n">
        <x:f>Dashboard_Live_Data!I90</x:f>
        <x:v>-0.267</x:v>
      </x:c>
      <x:c r="H336" t="n">
        <x:f>Dashboard_Live_Data!M90</x:f>
        <x:v>-26355.92282022885</x:v>
      </x:c>
    </x:row>
    <x:row r="337">
      <x:c r="A337" t="n">
        <x:f>Dashboard_Live_Data!I91</x:f>
        <x:v>-0.258</x:v>
      </x:c>
      <x:c r="B337" t="n">
        <x:f>Dashboard_Live_Data!J91</x:f>
        <x:v>-0.4016673031354685</x:v>
      </x:c>
      <x:c r="C337" t="n">
        <x:f>Dashboard_Live_Data!I91</x:f>
        <x:v>-0.258</x:v>
      </x:c>
      <x:c r="D337" t="n">
        <x:f>Dashboard_Live_Data!K91</x:f>
        <x:v>-7784.433251420131</x:v>
      </x:c>
      <x:c r="E337" t="n">
        <x:f>Dashboard_Live_Data!I91</x:f>
        <x:v>-0.258</x:v>
      </x:c>
      <x:c r="F337" t="n">
        <x:f>Dashboard_Live_Data!L91</x:f>
        <x:v>-23078.113644632846</x:v>
      </x:c>
      <x:c r="G337" t="n">
        <x:f>Dashboard_Live_Data!I91</x:f>
        <x:v>-0.258</x:v>
      </x:c>
      <x:c r="H337" t="n">
        <x:f>Dashboard_Live_Data!M91</x:f>
        <x:v>-24719.85672730935</x:v>
      </x:c>
    </x:row>
    <x:row r="338">
      <x:c r="A338" t="n">
        <x:f>Dashboard_Live_Data!I92</x:f>
        <x:v>-0.25</x:v>
      </x:c>
      <x:c r="B338" t="n">
        <x:f>Dashboard_Live_Data!J92</x:f>
        <x:v>-0.37081187517208036</x:v>
      </x:c>
      <x:c r="C338" t="n">
        <x:f>Dashboard_Live_Data!I92</x:f>
        <x:v>-0.25</x:v>
      </x:c>
      <x:c r="D338" t="n">
        <x:f>Dashboard_Live_Data!K92</x:f>
        <x:v>-7259.077562381237</x:v>
      </x:c>
      <x:c r="E338" t="n">
        <x:f>Dashboard_Live_Data!I92</x:f>
        <x:v>-0.25</x:v>
      </x:c>
      <x:c r="F338" t="n">
        <x:f>Dashboard_Live_Data!L92</x:f>
        <x:v>-21707.520208299306</x:v>
      </x:c>
      <x:c r="G338" t="n">
        <x:f>Dashboard_Live_Data!I92</x:f>
        <x:v>-0.25</x:v>
      </x:c>
      <x:c r="H338" t="n">
        <x:f>Dashboard_Live_Data!M92</x:f>
        <x:v>-23296.801058357276</x:v>
      </x:c>
    </x:row>
    <x:row r="339">
      <x:c r="A339" t="n">
        <x:f>Dashboard_Live_Data!I93</x:f>
        <x:v>-0.242</x:v>
      </x:c>
      <x:c r="B339" t="n">
        <x:f>Dashboard_Live_Data!J93</x:f>
        <x:v>-0.3417117286797975</x:v>
      </x:c>
      <x:c r="C339" t="n">
        <x:f>Dashboard_Live_Data!I93</x:f>
        <x:v>-0.242</x:v>
      </x:c>
      <x:c r="D339" t="n">
        <x:f>Dashboard_Live_Data!K93</x:f>
        <x:v>-6750.1435304916085</x:v>
      </x:c>
      <x:c r="E339" t="n">
        <x:f>Dashboard_Live_Data!I93</x:f>
        <x:v>-0.242</x:v>
      </x:c>
      <x:c r="F339" t="n">
        <x:f>Dashboard_Live_Data!L93</x:f>
        <x:v>-20367.91707237235</x:v>
      </x:c>
      <x:c r="G339" t="n">
        <x:f>Dashboard_Live_Data!I93</x:f>
        <x:v>-0.242</x:v>
      </x:c>
      <x:c r="H339" t="n">
        <x:f>Dashboard_Live_Data!M93</x:f>
        <x:v>-21904.22804430117</x:v>
      </x:c>
    </x:row>
    <x:row r="340">
      <x:c r="A340" t="n">
        <x:f>Dashboard_Live_Data!I94</x:f>
        <x:v>-0.233</x:v>
      </x:c>
      <x:c r="B340" t="n">
        <x:f>Dashboard_Live_Data!J94</x:f>
        <x:v>-0.3109789747541072</x:v>
      </x:c>
      <x:c r="C340" t="n">
        <x:f>Dashboard_Live_Data!I94</x:f>
        <x:v>-0.233</x:v>
      </x:c>
      <x:c r="D340" t="n">
        <x:f>Dashboard_Live_Data!K94</x:f>
        <x:v>-6197.6076393513285</x:v>
      </x:c>
      <x:c r="E340" t="n">
        <x:f>Dashboard_Live_Data!I94</x:f>
        <x:v>-0.233</x:v>
      </x:c>
      <x:c r="F340" t="n">
        <x:f>Dashboard_Live_Data!L94</x:f>
        <x:v>-18899.22242547247</x:v>
      </x:c>
      <x:c r="G340" t="n">
        <x:f>Dashboard_Live_Data!I94</x:f>
        <x:v>-0.233</x:v>
      </x:c>
      <x:c r="H340" t="n">
        <x:f>Dashboard_Live_Data!M94</x:f>
        <x:v>-20375.352826851115</x:v>
      </x:c>
    </x:row>
    <x:row r="341">
      <x:c r="A341" t="n">
        <x:f>Dashboard_Live_Data!I95</x:f>
        <x:v>-0.225</x:v>
      </x:c>
      <x:c r="B341" t="n">
        <x:f>Dashboard_Live_Data!J95</x:f>
        <x:v>-0.28536299915617747</x:v>
      </x:c>
      <x:c r="C341" t="n">
        <x:f>Dashboard_Live_Data!I95</x:f>
        <x:v>-0.225</x:v>
      </x:c>
      <x:c r="D341" t="n">
        <x:f>Dashboard_Live_Data!K95</x:f>
        <x:v>-5724.600396393598</x:v>
      </x:c>
      <x:c r="E341" t="n">
        <x:f>Dashboard_Live_Data!I95</x:f>
        <x:v>-0.225</x:v>
      </x:c>
      <x:c r="F341" t="n">
        <x:f>Dashboard_Live_Data!L95</x:f>
        <x:v>-17629.00388090052</x:v>
      </x:c>
      <x:c r="G341" t="n">
        <x:f>Dashboard_Live_Data!I95</x:f>
        <x:v>-0.225</x:v>
      </x:c>
      <x:c r="H341" t="n">
        <x:f>Dashboard_Live_Data!M95</x:f>
        <x:v>-19051.132271649607</x:v>
      </x:c>
    </x:row>
    <x:row r="342">
      <x:c r="A342" t="n">
        <x:f>Dashboard_Live_Data!I96</x:f>
        <x:v>-0.217</x:v>
      </x:c>
      <x:c r="B342" t="n">
        <x:f>Dashboard_Live_Data!J96</x:f>
        <x:v>-0.26127610188143535</x:v>
      </x:c>
      <x:c r="C342" t="n">
        <x:f>Dashboard_Live_Data!I96</x:f>
        <x:v>-0.217</x:v>
      </x:c>
      <x:c r="D342" t="n">
        <x:f>Dashboard_Live_Data!K96</x:f>
        <x:v>-5268.987544536823</x:v>
      </x:c>
      <x:c r="E342" t="n">
        <x:f>Dashboard_Live_Data!I96</x:f>
        <x:v>-0.217</x:v>
      </x:c>
      <x:c r="F342" t="n">
        <x:f>Dashboard_Live_Data!L96</x:f>
        <x:v>-16393.138607990768</x:v>
      </x:c>
      <x:c r="G342" t="n">
        <x:f>Dashboard_Live_Data!I96</x:f>
        <x:v>-0.217</x:v>
      </x:c>
      <x:c r="H342" t="n">
        <x:f>Dashboard_Live_Data!M96</x:f>
        <x:v>-17760.80185039583</x:v>
      </x:c>
    </x:row>
    <x:row r="343">
      <x:c r="A343" t="n">
        <x:f>Dashboard_Live_Data!I97</x:f>
        <x:v>-0.208</x:v>
      </x:c>
      <x:c r="B343" t="n">
        <x:f>Dashboard_Live_Data!J97</x:f>
        <x:v>-0.23592219111435497</x:v>
      </x:c>
      <x:c r="C343" t="n">
        <x:f>Dashboard_Live_Data!I97</x:f>
        <x:v>-0.208</x:v>
      </x:c>
      <x:c r="D343" t="n">
        <x:f>Dashboard_Live_Data!K97</x:f>
        <x:v>-4777.603842826582</x:v>
      </x:c>
      <x:c r="E343" t="n">
        <x:f>Dashboard_Live_Data!I97</x:f>
        <x:v>-0.208</x:v>
      </x:c>
      <x:c r="F343" t="n">
        <x:f>Dashboard_Live_Data!L97</x:f>
        <x:v>-15045.242230124342</x:v>
      </x:c>
      <x:c r="G343" t="n">
        <x:f>Dashboard_Live_Data!I97</x:f>
        <x:v>-0.208</x:v>
      </x:c>
      <x:c r="H343" t="n">
        <x:f>Dashboard_Live_Data!M97</x:f>
        <x:v>-16351.096914099966</x:v>
      </x:c>
    </x:row>
    <x:row r="344">
      <x:c r="A344" t="n">
        <x:f>Dashboard_Live_Data!I98</x:f>
        <x:v>-0.2</x:v>
      </x:c>
      <x:c r="B344" t="n">
        <x:f>Dashboard_Live_Data!J98</x:f>
        <x:v>-0.21486365220766857</x:v>
      </x:c>
      <x:c r="C344" t="n">
        <x:f>Dashboard_Live_Data!I98</x:f>
        <x:v>-0.2</x:v>
      </x:c>
      <x:c r="D344" t="n">
        <x:f>Dashboard_Live_Data!K98</x:f>
        <x:v>-4359.990199988479</x:v>
      </x:c>
      <x:c r="E344" t="n">
        <x:f>Dashboard_Live_Data!I98</x:f>
        <x:v>-0.2</x:v>
      </x:c>
      <x:c r="F344" t="n">
        <x:f>Dashboard_Live_Data!L98</x:f>
        <x:v>-13886.103797269352</x:v>
      </x:c>
      <x:c r="G344" t="n">
        <x:f>Dashboard_Live_Data!I98</x:f>
        <x:v>-0.2</x:v>
      </x:c>
      <x:c r="H344" t="n">
        <x:f>Dashboard_Live_Data!M98</x:f>
        <x:v>-15136.55814203358</x:v>
      </x:c>
    </x:row>
    <x:row r="345">
      <x:c r="A345" t="n">
        <x:f>Dashboard_Live_Data!I99</x:f>
        <x:v>-0.192</x:v>
      </x:c>
      <x:c r="B345" t="n">
        <x:f>Dashboard_Live_Data!J99</x:f>
        <x:v>-0.1951314257202057</x:v>
      </x:c>
      <x:c r="C345" t="n">
        <x:f>Dashboard_Live_Data!I99</x:f>
        <x:v>-0.192</x:v>
      </x:c>
      <x:c r="D345" t="n">
        <x:f>Dashboard_Live_Data!K99</x:f>
        <x:v>-3960.742176330219</x:v>
      </x:c>
      <x:c r="E345" t="n">
        <x:f>Dashboard_Live_Data!I99</x:f>
        <x:v>-0.192</x:v>
      </x:c>
      <x:c r="F345" t="n">
        <x:f>Dashboard_Live_Data!L99</x:f>
        <x:v>-12764.866565310112</x:v>
      </x:c>
      <x:c r="G345" t="n">
        <x:f>Dashboard_Live_Data!I99</x:f>
        <x:v>-0.192</x:v>
      </x:c>
      <x:c r="H345" t="n">
        <x:f>Dashboard_Live_Data!M99</x:f>
        <x:v>-13959.5036406426</x:v>
      </x:c>
    </x:row>
    <x:row r="346">
      <x:c r="A346" t="n">
        <x:f>Dashboard_Live_Data!I100</x:f>
        <x:v>-0.183</x:v>
      </x:c>
      <x:c r="B346" t="n">
        <x:f>Dashboard_Live_Data!J100</x:f>
        <x:v>-0.17444351947665382</x:v>
      </x:c>
      <x:c r="C346" t="n">
        <x:f>Dashboard_Live_Data!I100</x:f>
        <x:v>-0.183</x:v>
      </x:c>
      <x:c r="D346" t="n">
        <x:f>Dashboard_Live_Data!K100</x:f>
        <x:v>-3533.9191182778195</x:v>
      </x:c>
      <x:c r="E346" t="n">
        <x:f>Dashboard_Live_Data!I100</x:f>
        <x:v>-0.183</x:v>
      </x:c>
      <x:c r="F346" t="n">
        <x:f>Dashboard_Live_Data!L100</x:f>
        <x:v>-11550.242027722496</x:v>
      </x:c>
      <x:c r="G346" t="n">
        <x:f>Dashboard_Live_Data!I100</x:f>
        <x:v>-0.183</x:v>
      </x:c>
      <x:c r="H346" t="n">
        <x:f>Dashboard_Live_Data!M100</x:f>
        <x:v>-12681.604714695779</x:v>
      </x:c>
    </x:row>
    <x:row r="347">
      <x:c r="A347" t="n">
        <x:f>Dashboard_Live_Data!I101</x:f>
        <x:v>-0.175</x:v>
      </x:c>
      <x:c r="B347" t="n">
        <x:f>Dashboard_Live_Data!J101</x:f>
        <x:v>-0.15733377440119511</x:v>
      </x:c>
      <x:c r="C347" t="n">
        <x:f>Dashboard_Live_Data!I101</x:f>
        <x:v>-0.175</x:v>
      </x:c>
      <x:c r="D347" t="n">
        <x:f>Dashboard_Live_Data!K101</x:f>
        <x:v>-3174.698779983293</x:v>
      </x:c>
      <x:c r="E347" t="n">
        <x:f>Dashboard_Live_Data!I101</x:f>
        <x:v>-0.175</x:v>
      </x:c>
      <x:c r="F347" t="n">
        <x:f>Dashboard_Live_Data!L101</x:f>
        <x:v>-10513.46974524825</x:v>
      </x:c>
      <x:c r="G347" t="n">
        <x:f>Dashboard_Live_Data!I101</x:f>
        <x:v>-0.175</x:v>
      </x:c>
      <x:c r="H347" t="n">
        <x:f>Dashboard_Live_Data!M101</x:f>
        <x:v>-11588.17818289464</x:v>
      </x:c>
    </x:row>
    <x:row r="348">
      <x:c r="A348" t="n">
        <x:f>Dashboard_Live_Data!I102</x:f>
        <x:v>-0.167</x:v>
      </x:c>
      <x:c r="B348" t="n">
        <x:f>Dashboard_Live_Data!J102</x:f>
        <x:v>-0.14137113236063215</x:v>
      </x:c>
      <x:c r="C348" t="n">
        <x:f>Dashboard_Live_Data!I102</x:f>
        <x:v>-0.167</x:v>
      </x:c>
      <x:c r="D348" t="n">
        <x:f>Dashboard_Live_Data!K102</x:f>
        <x:v>-2834.7671819467178</x:v>
      </x:c>
      <x:c r="E348" t="n">
        <x:f>Dashboard_Live_Data!I102</x:f>
        <x:v>-0.167</x:v>
      </x:c>
      <x:c r="F348" t="n">
        <x:f>Dashboard_Live_Data!L102</x:f>
        <x:v>-9518.334244312478</x:v>
      </x:c>
      <x:c r="G348" t="n">
        <x:f>Dashboard_Live_Data!I102</x:f>
        <x:v>-0.167</x:v>
      </x:c>
      <x:c r="H348" t="n">
        <x:f>Dashboard_Live_Data!M102</x:f>
        <x:v>-10536.017531248719</x:v>
      </x:c>
    </x:row>
    <x:row r="349">
      <x:c r="A349" t="n">
        <x:f>Dashboard_Live_Data!I103</x:f>
        <x:v>-0.158</x:v>
      </x:c>
      <x:c r="B349" t="n">
        <x:f>Dashboard_Live_Data!J103</x:f>
        <x:v>-0.12471921807230046</x:v>
      </x:c>
      <x:c r="C349" t="n">
        <x:f>Dashboard_Live_Data!I103</x:f>
        <x:v>-0.158</x:v>
      </x:c>
      <x:c r="D349" t="n">
        <x:f>Dashboard_Live_Data!K103</x:f>
        <x:v>-2475.736579407454</x:v>
      </x:c>
      <x:c r="E349" t="n">
        <x:f>Dashboard_Live_Data!I103</x:f>
        <x:v>-0.158</x:v>
      </x:c>
      <x:c r="F349" t="n">
        <x:f>Dashboard_Live_Data!L103</x:f>
        <x:v>-8450.11460672399</x:v>
      </x:c>
      <x:c r="G349" t="n">
        <x:f>Dashboard_Live_Data!I103</x:f>
        <x:v>-0.158</x:v>
      </x:c>
      <x:c r="H349" t="n">
        <x:f>Dashboard_Live_Data!M103</x:f>
        <x:v>-9403.219768093775</x:v>
      </x:c>
    </x:row>
    <x:row r="350">
      <x:c r="A350" t="n">
        <x:f>Dashboard_Live_Data!I104</x:f>
        <x:v>-0.15</x:v>
      </x:c>
      <x:c r="B350" t="n">
        <x:f>Dashboard_Live_Data!J104</x:f>
        <x:v>-0.11102336728663431</x:v>
      </x:c>
      <x:c r="C350" t="n">
        <x:f>Dashboard_Live_Data!I104</x:f>
        <x:v>-0.15</x:v>
      </x:c>
      <x:c r="D350" t="n">
        <x:f>Dashboard_Live_Data!K104</x:f>
        <x:v>-2177.6671843117474</x:v>
      </x:c>
      <x:c r="E350" t="n">
        <x:f>Dashboard_Live_Data!I104</x:f>
        <x:v>-0.15</x:v>
      </x:c>
      <x:c r="F350" t="n">
        <x:f>Dashboard_Live_Data!L104</x:f>
        <x:v>-7547.5826717634845</x:v>
      </x:c>
      <x:c r="G350" t="n">
        <x:f>Dashboard_Live_Data!I104</x:f>
        <x:v>-0.15</x:v>
      </x:c>
      <x:c r="H350" t="n">
        <x:f>Dashboard_Live_Data!M104</x:f>
        <x:v>-8442.924503822665</x:v>
      </x:c>
    </x:row>
    <x:row r="351">
      <x:c r="A351" t="n">
        <x:f>Dashboard_Live_Data!I105</x:f>
        <x:v>-0.142</x:v>
      </x:c>
      <x:c r="B351" t="n">
        <x:f>Dashboard_Live_Data!J105</x:f>
        <x:v>-0.09831908205035234</x:v>
      </x:c>
      <x:c r="C351" t="n">
        <x:f>Dashboard_Live_Data!I105</x:f>
        <x:v>-0.142</x:v>
      </x:c>
      <x:c r="D351" t="n">
        <x:f>Dashboard_Live_Data!K105</x:f>
        <x:v>-1899.6570192596373</x:v>
      </x:c>
      <x:c r="E351" t="n">
        <x:f>Dashboard_Live_Data!I105</x:f>
        <x:v>-0.142</x:v>
      </x:c>
      <x:c r="F351" t="n">
        <x:f>Dashboard_Live_Data!L105</x:f>
        <x:v>-6690.610806332428</x:v>
      </x:c>
      <x:c r="G351" t="n">
        <x:f>Dashboard_Live_Data!I105</x:f>
        <x:v>-0.142</x:v>
      </x:c>
      <x:c r="H351" t="n">
        <x:f>Dashboard_Live_Data!M105</x:f>
        <x:v>-7527.867382246135</x:v>
      </x:c>
    </x:row>
    <x:row r="352">
      <x:c r="A352" t="n">
        <x:f>Dashboard_Live_Data!I106</x:f>
        <x:v>-0.133</x:v>
      </x:c>
      <x:c r="B352" t="n">
        <x:f>Dashboard_Live_Data!J106</x:f>
        <x:v>-0.08515635971855318</x:v>
      </x:c>
      <x:c r="C352" t="n">
        <x:f>Dashboard_Live_Data!I106</x:f>
        <x:v>-0.133</x:v>
      </x:c>
      <x:c r="D352" t="n">
        <x:f>Dashboard_Live_Data!K106</x:f>
        <x:v>-1611.097851974435</x:v>
      </x:c>
      <x:c r="E352" t="n">
        <x:f>Dashboard_Live_Data!I106</x:f>
        <x:v>-0.133</x:v>
      </x:c>
      <x:c r="F352" t="n">
        <x:f>Dashboard_Live_Data!L106</x:f>
        <x:v>-5782.586392976991</x:v>
      </x:c>
      <x:c r="G352" t="n">
        <x:f>Dashboard_Live_Data!I106</x:f>
        <x:v>-0.133</x:v>
      </x:c>
      <x:c r="H352" t="n">
        <x:f>Dashboard_Live_Data!M106</x:f>
        <x:v>-6554.136414658264</x:v>
      </x:c>
    </x:row>
    <x:row r="353">
      <x:c r="A353" t="n">
        <x:f>Dashboard_Live_Data!I107</x:f>
        <x:v>-0.125</x:v>
      </x:c>
      <x:c r="B353" t="n">
        <x:f>Dashboard_Live_Data!J107</x:f>
        <x:v>-0.07441357867173792</x:v>
      </x:c>
      <x:c r="C353" t="n">
        <x:f>Dashboard_Live_Data!I107</x:f>
        <x:v>-0.125</x:v>
      </x:c>
      <x:c r="D353" t="n">
        <x:f>Dashboard_Live_Data!K107</x:f>
        <x:v>-1376.257653004077</x:v>
      </x:c>
      <x:c r="E353" t="n">
        <x:f>Dashboard_Live_Data!I107</x:f>
        <x:v>-0.125</x:v>
      </x:c>
      <x:c r="F353" t="n">
        <x:f>Dashboard_Live_Data!L107</x:f>
        <x:v>-5026.741503405137</x:v>
      </x:c>
      <x:c r="G353" t="n">
        <x:f>Dashboard_Live_Data!I107</x:f>
        <x:v>-0.125</x:v>
      </x:c>
      <x:c r="H353" t="n">
        <x:f>Dashboard_Live_Data!M107</x:f>
        <x:v>-5739.591971731104</x:v>
      </x:c>
    </x:row>
    <x:row r="354">
      <x:c r="A354" t="n">
        <x:f>Dashboard_Live_Data!I108</x:f>
        <x:v>-0.117</x:v>
      </x:c>
      <x:c r="B354" t="n">
        <x:f>Dashboard_Live_Data!J108</x:f>
        <x:v>-0.06453059099612801</x:v>
      </x:c>
      <x:c r="C354" t="n">
        <x:f>Dashboard_Live_Data!I108</x:f>
        <x:v>-0.117</x:v>
      </x:c>
      <x:c r="D354" t="n">
        <x:f>Dashboard_Live_Data!K108</x:f>
        <x:v>-1161.8662425758666</x:v>
      </x:c>
      <x:c r="E354" t="n">
        <x:f>Dashboard_Live_Data!I108</x:f>
        <x:v>-0.117</x:v>
      </x:c>
      <x:c r="F354" t="n">
        <x:f>Dashboard_Live_Data!L108</x:f>
        <x:v>-4320.543295968455</x:v>
      </x:c>
      <x:c r="G354" t="n">
        <x:f>Dashboard_Live_Data!I108</x:f>
        <x:v>-0.117</x:v>
      </x:c>
      <x:c r="H354" t="n">
        <x:f>Dashboard_Live_Data!M108</x:f>
        <x:v>-4974.4518534386225</x:v>
      </x:c>
    </x:row>
    <x:row r="355">
      <x:c r="A355" t="n">
        <x:f>Dashboard_Live_Data!I109</x:f>
        <x:v>-0.108</x:v>
      </x:c>
      <x:c r="B355" t="n">
        <x:f>Dashboard_Live_Data!J109</x:f>
        <x:v>-0.05439381022904399</x:v>
      </x:c>
      <x:c r="C355" t="n">
        <x:f>Dashboard_Live_Data!I109</x:f>
        <x:v>-0.108</x:v>
      </x:c>
      <x:c r="D355" t="n">
        <x:f>Dashboard_Live_Data!K109</x:f>
        <x:v>-945.0864313584152</x:v>
      </x:c>
      <x:c r="E355" t="n">
        <x:f>Dashboard_Live_Data!I109</x:f>
        <x:v>-0.108</x:v>
      </x:c>
      <x:c r="F355" t="n">
        <x:f>Dashboard_Live_Data!L109</x:f>
        <x:v>-3587.063067524843</x:v>
      </x:c>
      <x:c r="G355" t="n">
        <x:f>Dashboard_Live_Data!I109</x:f>
        <x:v>-0.108</x:v>
      </x:c>
      <x:c r="H355" t="n">
        <x:f>Dashboard_Live_Data!M109</x:f>
        <x:v>-4174.431723955735</x:v>
      </x:c>
    </x:row>
    <x:row r="356">
      <x:c r="A356" t="n">
        <x:f>Dashboard_Live_Data!I110</x:f>
        <x:v>-0.1</x:v>
      </x:c>
      <x:c r="B356" t="n">
        <x:f>Dashboard_Live_Data!J110</x:f>
        <x:v>-0.04621763118234412</x:v>
      </x:c>
      <x:c r="C356" t="n">
        <x:f>Dashboard_Live_Data!I110</x:f>
        <x:v>-0.1</x:v>
      </x:c>
      <x:c r="D356" t="n">
        <x:f>Dashboard_Live_Data!K110</x:f>
        <x:v>-773.9404461593731</x:v>
      </x:c>
      <x:c r="E356" t="n">
        <x:f>Dashboard_Live_Data!I110</x:f>
        <x:v>-0.1</x:v>
      </x:c>
      <x:c r="F356" t="n">
        <x:f>Dashboard_Live_Data!L110</x:f>
        <x:v>-2990.7521080161314</x:v>
      </x:c>
      <x:c r="G356" t="n">
        <x:f>Dashboard_Live_Data!I110</x:f>
        <x:v>-0.1</x:v>
      </x:c>
      <x:c r="H356" t="n">
        <x:f>Dashboard_Live_Data!M110</x:f>
        <x:v>-3518.8494159470647</x:v>
      </x:c>
    </x:row>
    <x:row r="357">
      <x:c r="A357" t="n">
        <x:f>Dashboard_Live_Data!I111</x:f>
        <x:v>-0.092</x:v>
      </x:c>
      <x:c r="B357" t="n">
        <x:f>Dashboard_Live_Data!J111</x:f>
        <x:v>-0.038793322623632776</x:v>
      </x:c>
      <x:c r="C357" t="n">
        <x:f>Dashboard_Live_Data!I111</x:f>
        <x:v>-0.092</x:v>
      </x:c>
      <x:c r="D357" t="n">
        <x:f>Dashboard_Live_Data!K111</x:f>
        <x:v>-622.7876519774909</x:v>
      </x:c>
      <x:c r="E357" t="n">
        <x:f>Dashboard_Live_Data!I111</x:f>
        <x:v>-0.092</x:v>
      </x:c>
      <x:c r="F357" t="n">
        <x:f>Dashboard_Live_Data!L111</x:f>
        <x:v>-2448.174221919682</x:v>
      </x:c>
      <x:c r="G357" t="n">
        <x:f>Dashboard_Live_Data!I111</x:f>
        <x:v>-0.092</x:v>
      </x:c>
      <x:c r="H357" t="n">
        <x:f>Dashboard_Live_Data!M111</x:f>
        <x:v>-2916.9995331569153</x:v>
      </x:c>
    </x:row>
    <x:row r="358">
      <x:c r="A358" t="n">
        <x:f>Dashboard_Live_Data!I112</x:f>
        <x:v>-0.083</x:v>
      </x:c>
      <x:c r="B358" t="n">
        <x:f>Dashboard_Live_Data!J112</x:f>
        <x:v>-0.031303072409855304</x:v>
      </x:c>
      <x:c r="C358" t="n">
        <x:f>Dashboard_Live_Data!I112</x:f>
        <x:v>-0.083</x:v>
      </x:c>
      <x:c r="D358" t="n">
        <x:f>Dashboard_Live_Data!K112</x:f>
        <x:v>-476.0772849904715</x:v>
      </x:c>
      <x:c r="E358" t="n">
        <x:f>Dashboard_Live_Data!I112</x:f>
        <x:v>-0.083</x:v>
      </x:c>
      <x:c r="F358" t="n">
        <x:f>Dashboard_Live_Data!L112</x:f>
        <x:v>-1903.505948859045</x:v>
      </x:c>
      <x:c r="G358" t="n">
        <x:f>Dashboard_Live_Data!I112</x:f>
        <x:v>-0.083</x:v>
      </x:c>
      <x:c r="H358" t="n">
        <x:f>Dashboard_Live_Data!M112</x:f>
        <x:v>-2305.8725854526674</x:v>
      </x:c>
    </x:row>
    <x:row r="359">
      <x:c r="A359" t="n">
        <x:f>Dashboard_Live_Data!I113</x:f>
        <x:v>-0.075</x:v>
      </x:c>
      <x:c r="B359" t="n">
        <x:f>Dashboard_Live_Data!J113</x:f>
        <x:v>-0.025381627713954913</x:v>
      </x:c>
      <x:c r="C359" t="n">
        <x:f>Dashboard_Live_Data!I113</x:f>
        <x:v>-0.075</x:v>
      </x:c>
      <x:c r="D359" t="n">
        <x:f>Dashboard_Live_Data!K113</x:f>
        <x:v>-365.6858715468552</x:v>
      </x:c>
      <x:c r="E359" t="n">
        <x:f>Dashboard_Live_Data!I113</x:f>
        <x:v>-0.075</x:v>
      </x:c>
      <x:c r="F359" t="n">
        <x:f>Dashboard_Live_Data!L113</x:f>
        <x:v>-1478.9642244424758</x:v>
      </x:c>
      <x:c r="G359" t="n">
        <x:f>Dashboard_Live_Data!I113</x:f>
        <x:v>-0.075</x:v>
      </x:c>
      <x:c r="H359" t="n">
        <x:f>Dashboard_Live_Data!M113</x:f>
        <x:v>-1822.7678078152858</x:v>
      </x:c>
    </x:row>
    <x:row r="360">
      <x:c r="A360" t="n">
        <x:f>Dashboard_Live_Data!I114</x:f>
        <x:v>-0.067</x:v>
      </x:c>
      <x:c r="B360" t="n">
        <x:f>Dashboard_Live_Data!J114</x:f>
        <x:v>-0.02012804017840608</x:v>
      </x:c>
      <x:c r="C360" t="n">
        <x:f>Dashboard_Live_Data!I114</x:f>
        <x:v>-0.067</x:v>
      </x:c>
      <x:c r="D360" t="n">
        <x:f>Dashboard_Live_Data!K114</x:f>
        <x:v>-273.20619150514904</x:v>
      </x:c>
      <x:c r="E360" t="n">
        <x:f>Dashboard_Live_Data!I114</x:f>
        <x:v>-0.067</x:v>
      </x:c>
      <x:c r="F360" t="n">
        <x:f>Dashboard_Live_Data!L114</x:f>
        <x:v>-1111.366579203488</x:v>
      </x:c>
      <x:c r="G360" t="n">
        <x:f>Dashboard_Live_Data!I114</x:f>
        <x:v>-0.067</x:v>
      </x:c>
      <x:c r="H360" t="n">
        <x:f>Dashboard_Live_Data!M114</x:f>
        <x:v>-1397.552072156148</x:v>
      </x:c>
    </x:row>
    <x:row r="361">
      <x:c r="A361" t="n">
        <x:f>Dashboard_Live_Data!I115</x:f>
        <x:v>-0.058</x:v>
      </x:c>
      <x:c r="B361" t="n">
        <x:f>Dashboard_Live_Data!J115</x:f>
        <x:v>-0.014988976835297763</x:v>
      </x:c>
      <x:c r="C361" t="n">
        <x:f>Dashboard_Live_Data!I115</x:f>
        <x:v>-0.058</x:v>
      </x:c>
      <x:c r="D361" t="n">
        <x:f>Dashboard_Live_Data!K115</x:f>
        <x:v>-189.13531467878693</x:v>
      </x:c>
      <x:c r="E361" t="n">
        <x:f>Dashboard_Live_Data!I115</x:f>
        <x:v>-0.058</x:v>
      </x:c>
      <x:c r="F361" t="n">
        <x:f>Dashboard_Live_Data!L115</x:f>
        <x:v>-766.3118882481267</x:v>
      </x:c>
      <x:c r="G361" t="n">
        <x:f>Dashboard_Live_Data!I115</x:f>
        <x:v>-0.058</x:v>
      </x:c>
      <x:c r="H361" t="n">
        <x:f>Dashboard_Live_Data!M115</x:f>
        <x:v>-989.6747178815604</x:v>
      </x:c>
    </x:row>
    <x:row r="362">
      <x:c r="A362" t="n">
        <x:f>Dashboard_Live_Data!I116</x:f>
        <x:v>-0.05</x:v>
      </x:c>
      <x:c r="B362" t="n">
        <x:f>Dashboard_Live_Data!J116</x:f>
        <x:v>-0.011085185236197503</x:v>
      </x:c>
      <x:c r="C362" t="n">
        <x:f>Dashboard_Live_Data!I116</x:f>
        <x:v>-0.05</x:v>
      </x:c>
      <x:c r="D362" t="n">
        <x:f>Dashboard_Live_Data!K116</x:f>
        <x:v>-130.5838257490177</x:v>
      </x:c>
      <x:c r="E362" t="n">
        <x:f>Dashboard_Live_Data!I116</x:f>
        <x:v>-0.05</x:v>
      </x:c>
      <x:c r="F362" t="n">
        <x:f>Dashboard_Live_Data!L116</x:f>
        <x:v>-520.010223424264</x:v>
      </x:c>
      <x:c r="G362" t="n">
        <x:f>Dashboard_Live_Data!I116</x:f>
        <x:v>-0.05</x:v>
      </x:c>
      <x:c r="H362" t="n">
        <x:f>Dashboard_Live_Data!M116</x:f>
        <x:v>-690.4618564313296</x:v>
      </x:c>
    </x:row>
    <x:row r="363">
      <x:c r="A363" t="n">
        <x:f>Dashboard_Live_Data!I117</x:f>
        <x:v>-0.042</x:v>
      </x:c>
      <x:c r="B363" t="n">
        <x:f>Dashboard_Live_Data!J117</x:f>
        <x:v>-0.007789207541122778</x:v>
      </x:c>
      <x:c r="C363" t="n">
        <x:f>Dashboard_Live_Data!I117</x:f>
        <x:v>-0.042</x:v>
      </x:c>
      <x:c r="D363" t="n">
        <x:f>Dashboard_Live_Data!K117</x:f>
        <x:v>-85.53253798029891</x:v>
      </x:c>
      <x:c r="E363" t="n">
        <x:f>Dashboard_Live_Data!I117</x:f>
        <x:v>-0.042</x:v>
      </x:c>
      <x:c r="F363" t="n">
        <x:f>Dashboard_Live_Data!L117</x:f>
        <x:v>-328.85027552274187</x:v>
      </x:c>
      <x:c r="G363" t="n">
        <x:f>Dashboard_Live_Data!I117</x:f>
        <x:v>-0.042</x:v>
      </x:c>
      <x:c r="H363" t="n">
        <x:f>Dashboard_Live_Data!M117</x:f>
        <x:v>-450.68761011315837</x:v>
      </x:c>
    </x:row>
    <x:row r="364">
      <x:c r="A364" t="n">
        <x:f>Dashboard_Live_Data!I118</x:f>
        <x:v>-0.033</x:v>
      </x:c>
      <x:c r="B364" t="n">
        <x:f>Dashboard_Live_Data!J118</x:f>
        <x:v>-0.00479024185108301</x:v>
      </x:c>
      <x:c r="C364" t="n">
        <x:f>Dashboard_Live_Data!I118</x:f>
        <x:v>-0.033</x:v>
      </x:c>
      <x:c r="D364" t="n">
        <x:f>Dashboard_Live_Data!K118</x:f>
        <x:v>-48.70715008078969</x:v>
      </x:c>
      <x:c r="E364" t="n">
        <x:f>Dashboard_Live_Data!I118</x:f>
        <x:v>-0.033</x:v>
      </x:c>
      <x:c r="F364" t="n">
        <x:f>Dashboard_Live_Data!L118</x:f>
        <x:v>-175.28477054044197</x:v>
      </x:c>
      <x:c r="G364" t="n">
        <x:f>Dashboard_Live_Data!I118</x:f>
        <x:v>-0.033</x:v>
      </x:c>
      <x:c r="H364" t="n">
        <x:f>Dashboard_Live_Data!M118</x:f>
        <x:v>-249.93122636938642</x:v>
      </x:c>
    </x:row>
    <x:row r="365">
      <x:c r="A365" t="n">
        <x:f>Dashboard_Live_Data!I119</x:f>
        <x:v>-0.025</x:v>
      </x:c>
      <x:c r="B365" t="n">
        <x:f>Dashboard_Live_Data!J119</x:f>
        <x:v>-0.0027419606900593863</x:v>
      </x:c>
      <x:c r="C365" t="n">
        <x:f>Dashboard_Live_Data!I119</x:f>
        <x:v>-0.025</x:v>
      </x:c>
      <x:c r="D365" t="n">
        <x:f>Dashboard_Live_Data!K119</x:f>
        <x:v>-26.20922916708696</x:v>
      </x:c>
      <x:c r="E365" t="n">
        <x:f>Dashboard_Live_Data!I119</x:f>
        <x:v>-0.025</x:v>
      </x:c>
      <x:c r="F365" t="n">
        <x:f>Dashboard_Live_Data!L119</x:f>
        <x:v>-86.79473246431189</x:v>
      </x:c>
      <x:c r="G365" t="n">
        <x:f>Dashboard_Live_Data!I119</x:f>
        <x:v>-0.025</x:v>
      </x:c>
      <x:c r="H365" t="n">
        <x:f>Dashboard_Live_Data!M119</x:f>
        <x:v>-128.3739092290234</x:v>
      </x:c>
    </x:row>
    <x:row r="366">
      <x:c r="A366" t="n">
        <x:f>Dashboard_Live_Data!I120</x:f>
        <x:v>-0.017</x:v>
      </x:c>
      <x:c r="B366" t="n">
        <x:f>Dashboard_Live_Data!J120</x:f>
        <x:v>-0.0012654526615278883</x:v>
      </x:c>
      <x:c r="C366" t="n">
        <x:f>Dashboard_Live_Data!I120</x:f>
        <x:v>-0.017</x:v>
      </x:c>
      <x:c r="D366" t="n">
        <x:f>Dashboard_Live_Data!K120</x:f>
        <x:v>-11.501173772391667</x:v>
      </x:c>
      <x:c r="E366" t="n">
        <x:f>Dashboard_Live_Data!I120</x:f>
        <x:v>-0.017</x:v>
      </x:c>
      <x:c r="F366" t="n">
        <x:f>Dashboard_Live_Data!L120</x:f>
        <x:v>-34.56744155919023</x:v>
      </x:c>
      <x:c r="G366" t="n">
        <x:f>Dashboard_Live_Data!I120</x:f>
        <x:v>-0.017</x:v>
      </x:c>
      <x:c r="H366" t="n">
        <x:f>Dashboard_Live_Data!M120</x:f>
        <x:v>-52.890554438504296</x:v>
      </x:c>
    </x:row>
    <x:row r="367">
      <x:c r="A367" t="n">
        <x:f>Dashboard_Live_Data!I121</x:f>
        <x:v>-0.008</x:v>
      </x:c>
      <x:c r="B367" t="n">
        <x:f>Dashboard_Live_Data!J121</x:f>
        <x:v>-0.0002798786321136504</x:v>
      </x:c>
      <x:c r="C367" t="n">
        <x:f>Dashboard_Live_Data!I121</x:f>
        <x:v>-0.008</x:v>
      </x:c>
      <x:c r="D367" t="n">
        <x:f>Dashboard_Live_Data!K121</x:f>
        <x:v>-2.4515400940208565</x:v>
      </x:c>
      <x:c r="E367" t="n">
        <x:f>Dashboard_Live_Data!I121</x:f>
        <x:v>-0.008</x:v>
      </x:c>
      <x:c r="F367" t="n">
        <x:f>Dashboard_Live_Data!L121</x:f>
        <x:v>-6.7016754171791035</x:v>
      </x:c>
      <x:c r="G367" t="n">
        <x:f>Dashboard_Live_Data!I121</x:f>
        <x:v>-0.008</x:v>
      </x:c>
      <x:c r="H367" t="n">
        <x:f>Dashboard_Live_Data!M121</x:f>
        <x:v>-10.54136055730396</x:v>
      </x:c>
    </x:row>
    <x:row r="368">
      <x:c r="A368" t="n">
        <x:f>Dashboard_Live_Data!I122</x:f>
        <x:v>0</x:v>
      </x:c>
      <x:c r="B368" t="n">
        <x:f>Dashboard_Live_Data!J122</x:f>
        <x:v>0</x:v>
      </x:c>
      <x:c r="C368" t="n">
        <x:f>Dashboard_Live_Data!I122</x:f>
        <x:v>0</x:v>
      </x:c>
      <x:c r="D368" t="n">
        <x:f>Dashboard_Live_Data!K122</x:f>
        <x:v>0</x:v>
      </x:c>
      <x:c r="E368" t="n">
        <x:f>Dashboard_Live_Data!I122</x:f>
        <x:v>0</x:v>
      </x:c>
      <x:c r="F368" t="n">
        <x:f>Dashboard_Live_Data!L122</x:f>
        <x:v>0</x:v>
      </x:c>
      <x:c r="G368" t="n">
        <x:f>Dashboard_Live_Data!I122</x:f>
        <x:v>0</x:v>
      </x:c>
      <x:c r="H368" t="n">
        <x:f>Dashboard_Live_Data!M122</x:f>
        <x:v>0</x:v>
      </x:c>
    </x:row>
    <x:row r="369">
      <x:c r="A369" t="n">
        <x:f>Dashboard_Live_Data!I123</x:f>
        <x:v>0.008</x:v>
      </x:c>
      <x:c r="B369" t="n">
        <x:f>Dashboard_Live_Data!J123</x:f>
        <x:v>-0.0002798786321136504</x:v>
      </x:c>
      <x:c r="C369" t="n">
        <x:f>Dashboard_Live_Data!I123</x:f>
        <x:v>0.008</x:v>
      </x:c>
      <x:c r="D369" t="n">
        <x:f>Dashboard_Live_Data!K123</x:f>
        <x:v>-2.4515400940208565</x:v>
      </x:c>
      <x:c r="E369" t="n">
        <x:f>Dashboard_Live_Data!I123</x:f>
        <x:v>0.008</x:v>
      </x:c>
      <x:c r="F369" t="n">
        <x:f>Dashboard_Live_Data!L123</x:f>
        <x:v>-6.7016754171791035</x:v>
      </x:c>
      <x:c r="G369" t="n">
        <x:f>Dashboard_Live_Data!I123</x:f>
        <x:v>0.008</x:v>
      </x:c>
      <x:c r="H369" t="n">
        <x:f>Dashboard_Live_Data!M123</x:f>
        <x:v>-10.54136055730396</x:v>
      </x:c>
    </x:row>
    <x:row r="370">
      <x:c r="A370" t="n">
        <x:f>Dashboard_Live_Data!I124</x:f>
        <x:v>0.017</x:v>
      </x:c>
      <x:c r="B370" t="n">
        <x:f>Dashboard_Live_Data!J124</x:f>
        <x:v>-0.0012654526615278883</x:v>
      </x:c>
      <x:c r="C370" t="n">
        <x:f>Dashboard_Live_Data!I124</x:f>
        <x:v>0.017</x:v>
      </x:c>
      <x:c r="D370" t="n">
        <x:f>Dashboard_Live_Data!K124</x:f>
        <x:v>-11.501173772391667</x:v>
      </x:c>
      <x:c r="E370" t="n">
        <x:f>Dashboard_Live_Data!I124</x:f>
        <x:v>0.017</x:v>
      </x:c>
      <x:c r="F370" t="n">
        <x:f>Dashboard_Live_Data!L124</x:f>
        <x:v>-34.56744155918659</x:v>
      </x:c>
      <x:c r="G370" t="n">
        <x:f>Dashboard_Live_Data!I124</x:f>
        <x:v>0.017</x:v>
      </x:c>
      <x:c r="H370" t="n">
        <x:f>Dashboard_Live_Data!M124</x:f>
        <x:v>-52.89055443850248</x:v>
      </x:c>
    </x:row>
    <x:row r="371">
      <x:c r="A371" t="n">
        <x:f>Dashboard_Live_Data!I125</x:f>
        <x:v>0.025</x:v>
      </x:c>
      <x:c r="B371" t="n">
        <x:f>Dashboard_Live_Data!J125</x:f>
        <x:v>-0.0027419606900593863</x:v>
      </x:c>
      <x:c r="C371" t="n">
        <x:f>Dashboard_Live_Data!I125</x:f>
        <x:v>0.025</x:v>
      </x:c>
      <x:c r="D371" t="n">
        <x:f>Dashboard_Live_Data!K125</x:f>
        <x:v>-26.20922916708696</x:v>
      </x:c>
      <x:c r="E371" t="n">
        <x:f>Dashboard_Live_Data!I125</x:f>
        <x:v>0.025</x:v>
      </x:c>
      <x:c r="F371" t="n">
        <x:f>Dashboard_Live_Data!L125</x:f>
        <x:v>-86.79473246430734</x:v>
      </x:c>
      <x:c r="G371" t="n">
        <x:f>Dashboard_Live_Data!I125</x:f>
        <x:v>0.025</x:v>
      </x:c>
      <x:c r="H371" t="n">
        <x:f>Dashboard_Live_Data!M125</x:f>
        <x:v>-128.37390922901977</x:v>
      </x:c>
    </x:row>
    <x:row r="372">
      <x:c r="A372" t="n">
        <x:f>Dashboard_Live_Data!I126</x:f>
        <x:v>0.033</x:v>
      </x:c>
      <x:c r="B372" t="n">
        <x:f>Dashboard_Live_Data!J126</x:f>
        <x:v>-0.00479024185108301</x:v>
      </x:c>
      <x:c r="C372" t="n">
        <x:f>Dashboard_Live_Data!I126</x:f>
        <x:v>0.033</x:v>
      </x:c>
      <x:c r="D372" t="n">
        <x:f>Dashboard_Live_Data!K126</x:f>
        <x:v>-48.70715008078969</x:v>
      </x:c>
      <x:c r="E372" t="n">
        <x:f>Dashboard_Live_Data!I126</x:f>
        <x:v>0.033</x:v>
      </x:c>
      <x:c r="F372" t="n">
        <x:f>Dashboard_Live_Data!L126</x:f>
        <x:v>-175.28477054044197</x:v>
      </x:c>
      <x:c r="G372" t="n">
        <x:f>Dashboard_Live_Data!I126</x:f>
        <x:v>0.033</x:v>
      </x:c>
      <x:c r="H372" t="n">
        <x:f>Dashboard_Live_Data!M126</x:f>
        <x:v>-249.93122636938642</x:v>
      </x:c>
    </x:row>
    <x:row r="373">
      <x:c r="A373" t="n">
        <x:f>Dashboard_Live_Data!I127</x:f>
        <x:v>0.042</x:v>
      </x:c>
      <x:c r="B373" t="n">
        <x:f>Dashboard_Live_Data!J127</x:f>
        <x:v>-0.007789207541122778</x:v>
      </x:c>
      <x:c r="C373" t="n">
        <x:f>Dashboard_Live_Data!I127</x:f>
        <x:v>0.042</x:v>
      </x:c>
      <x:c r="D373" t="n">
        <x:f>Dashboard_Live_Data!K127</x:f>
        <x:v>-85.53253798029891</x:v>
      </x:c>
      <x:c r="E373" t="n">
        <x:f>Dashboard_Live_Data!I127</x:f>
        <x:v>0.042</x:v>
      </x:c>
      <x:c r="F373" t="n">
        <x:f>Dashboard_Live_Data!L127</x:f>
        <x:v>-328.85027552274187</x:v>
      </x:c>
      <x:c r="G373" t="n">
        <x:f>Dashboard_Live_Data!I127</x:f>
        <x:v>0.042</x:v>
      </x:c>
      <x:c r="H373" t="n">
        <x:f>Dashboard_Live_Data!M127</x:f>
        <x:v>-450.68761011315837</x:v>
      </x:c>
    </x:row>
    <x:row r="374">
      <x:c r="A374" t="n">
        <x:f>Dashboard_Live_Data!I128</x:f>
        <x:v>0.05</x:v>
      </x:c>
      <x:c r="B374" t="n">
        <x:f>Dashboard_Live_Data!J128</x:f>
        <x:v>-0.011085185236197503</x:v>
      </x:c>
      <x:c r="C374" t="n">
        <x:f>Dashboard_Live_Data!I128</x:f>
        <x:v>0.05</x:v>
      </x:c>
      <x:c r="D374" t="n">
        <x:f>Dashboard_Live_Data!K128</x:f>
        <x:v>-130.5838257490177</x:v>
      </x:c>
      <x:c r="E374" t="n">
        <x:f>Dashboard_Live_Data!I128</x:f>
        <x:v>0.05</x:v>
      </x:c>
      <x:c r="F374" t="n">
        <x:f>Dashboard_Live_Data!L128</x:f>
        <x:v>-520.010223424264</x:v>
      </x:c>
      <x:c r="G374" t="n">
        <x:f>Dashboard_Live_Data!I128</x:f>
        <x:v>0.05</x:v>
      </x:c>
      <x:c r="H374" t="n">
        <x:f>Dashboard_Live_Data!M128</x:f>
        <x:v>-690.4618564313296</x:v>
      </x:c>
    </x:row>
    <x:row r="375">
      <x:c r="A375" t="n">
        <x:f>Dashboard_Live_Data!I129</x:f>
        <x:v>0.058</x:v>
      </x:c>
      <x:c r="B375" t="n">
        <x:f>Dashboard_Live_Data!J129</x:f>
        <x:v>-0.014988976835297763</x:v>
      </x:c>
      <x:c r="C375" t="n">
        <x:f>Dashboard_Live_Data!I129</x:f>
        <x:v>0.058</x:v>
      </x:c>
      <x:c r="D375" t="n">
        <x:f>Dashboard_Live_Data!K129</x:f>
        <x:v>-189.13531467878693</x:v>
      </x:c>
      <x:c r="E375" t="n">
        <x:f>Dashboard_Live_Data!I129</x:f>
        <x:v>0.058</x:v>
      </x:c>
      <x:c r="F375" t="n">
        <x:f>Dashboard_Live_Data!L129</x:f>
        <x:v>-766.3118882481267</x:v>
      </x:c>
      <x:c r="G375" t="n">
        <x:f>Dashboard_Live_Data!I129</x:f>
        <x:v>0.058</x:v>
      </x:c>
      <x:c r="H375" t="n">
        <x:f>Dashboard_Live_Data!M129</x:f>
        <x:v>-989.6747178815604</x:v>
      </x:c>
    </x:row>
    <x:row r="376">
      <x:c r="A376" t="n">
        <x:f>Dashboard_Live_Data!I130</x:f>
        <x:v>0.067</x:v>
      </x:c>
      <x:c r="B376" t="n">
        <x:f>Dashboard_Live_Data!J130</x:f>
        <x:v>-0.02012804017840608</x:v>
      </x:c>
      <x:c r="C376" t="n">
        <x:f>Dashboard_Live_Data!I130</x:f>
        <x:v>0.067</x:v>
      </x:c>
      <x:c r="D376" t="n">
        <x:f>Dashboard_Live_Data!K130</x:f>
        <x:v>-273.20619150514904</x:v>
      </x:c>
      <x:c r="E376" t="n">
        <x:f>Dashboard_Live_Data!I130</x:f>
        <x:v>0.067</x:v>
      </x:c>
      <x:c r="F376" t="n">
        <x:f>Dashboard_Live_Data!L130</x:f>
        <x:v>-1111.366579203488</x:v>
      </x:c>
      <x:c r="G376" t="n">
        <x:f>Dashboard_Live_Data!I130</x:f>
        <x:v>0.067</x:v>
      </x:c>
      <x:c r="H376" t="n">
        <x:f>Dashboard_Live_Data!M130</x:f>
        <x:v>-1397.552072156148</x:v>
      </x:c>
    </x:row>
    <x:row r="377">
      <x:c r="A377" t="n">
        <x:f>Dashboard_Live_Data!I131</x:f>
        <x:v>0.075</x:v>
      </x:c>
      <x:c r="B377" t="n">
        <x:f>Dashboard_Live_Data!J131</x:f>
        <x:v>-0.025381627713954913</x:v>
      </x:c>
      <x:c r="C377" t="n">
        <x:f>Dashboard_Live_Data!I131</x:f>
        <x:v>0.075</x:v>
      </x:c>
      <x:c r="D377" t="n">
        <x:f>Dashboard_Live_Data!K131</x:f>
        <x:v>-365.6858715468552</x:v>
      </x:c>
      <x:c r="E377" t="n">
        <x:f>Dashboard_Live_Data!I131</x:f>
        <x:v>0.075</x:v>
      </x:c>
      <x:c r="F377" t="n">
        <x:f>Dashboard_Live_Data!L131</x:f>
        <x:v>-1478.9642244424758</x:v>
      </x:c>
      <x:c r="G377" t="n">
        <x:f>Dashboard_Live_Data!I131</x:f>
        <x:v>0.075</x:v>
      </x:c>
      <x:c r="H377" t="n">
        <x:f>Dashboard_Live_Data!M131</x:f>
        <x:v>-1822.7678078152858</x:v>
      </x:c>
    </x:row>
    <x:row r="378">
      <x:c r="A378" t="n">
        <x:f>Dashboard_Live_Data!I132</x:f>
        <x:v>0.083</x:v>
      </x:c>
      <x:c r="B378" t="n">
        <x:f>Dashboard_Live_Data!J132</x:f>
        <x:v>-0.031303072409855304</x:v>
      </x:c>
      <x:c r="C378" t="n">
        <x:f>Dashboard_Live_Data!I132</x:f>
        <x:v>0.083</x:v>
      </x:c>
      <x:c r="D378" t="n">
        <x:f>Dashboard_Live_Data!K132</x:f>
        <x:v>-476.0772849904715</x:v>
      </x:c>
      <x:c r="E378" t="n">
        <x:f>Dashboard_Live_Data!I132</x:f>
        <x:v>0.083</x:v>
      </x:c>
      <x:c r="F378" t="n">
        <x:f>Dashboard_Live_Data!L132</x:f>
        <x:v>-1903.505948859045</x:v>
      </x:c>
      <x:c r="G378" t="n">
        <x:f>Dashboard_Live_Data!I132</x:f>
        <x:v>0.083</x:v>
      </x:c>
      <x:c r="H378" t="n">
        <x:f>Dashboard_Live_Data!M132</x:f>
        <x:v>-2305.8725854526674</x:v>
      </x:c>
    </x:row>
    <x:row r="379">
      <x:c r="A379" t="n">
        <x:f>Dashboard_Live_Data!I133</x:f>
        <x:v>0.092</x:v>
      </x:c>
      <x:c r="B379" t="n">
        <x:f>Dashboard_Live_Data!J133</x:f>
        <x:v>-0.038793322623632776</x:v>
      </x:c>
      <x:c r="C379" t="n">
        <x:f>Dashboard_Live_Data!I133</x:f>
        <x:v>0.092</x:v>
      </x:c>
      <x:c r="D379" t="n">
        <x:f>Dashboard_Live_Data!K133</x:f>
        <x:v>-622.7876519774909</x:v>
      </x:c>
      <x:c r="E379" t="n">
        <x:f>Dashboard_Live_Data!I133</x:f>
        <x:v>0.092</x:v>
      </x:c>
      <x:c r="F379" t="n">
        <x:f>Dashboard_Live_Data!L133</x:f>
        <x:v>-2448.174221919682</x:v>
      </x:c>
      <x:c r="G379" t="n">
        <x:f>Dashboard_Live_Data!I133</x:f>
        <x:v>0.092</x:v>
      </x:c>
      <x:c r="H379" t="n">
        <x:f>Dashboard_Live_Data!M133</x:f>
        <x:v>-2916.9995331569153</x:v>
      </x:c>
    </x:row>
    <x:row r="380">
      <x:c r="A380" t="n">
        <x:f>Dashboard_Live_Data!I134</x:f>
        <x:v>0.1</x:v>
      </x:c>
      <x:c r="B380" t="n">
        <x:f>Dashboard_Live_Data!J134</x:f>
        <x:v>-0.04621763118234412</x:v>
      </x:c>
      <x:c r="C380" t="n">
        <x:f>Dashboard_Live_Data!I134</x:f>
        <x:v>0.1</x:v>
      </x:c>
      <x:c r="D380" t="n">
        <x:f>Dashboard_Live_Data!K134</x:f>
        <x:v>-773.9404461593822</x:v>
      </x:c>
      <x:c r="E380" t="n">
        <x:f>Dashboard_Live_Data!I134</x:f>
        <x:v>0.1</x:v>
      </x:c>
      <x:c r="F380" t="n">
        <x:f>Dashboard_Live_Data!L134</x:f>
        <x:v>-2990.7521080161423</x:v>
      </x:c>
      <x:c r="G380" t="n">
        <x:f>Dashboard_Live_Data!I134</x:f>
        <x:v>0.1</x:v>
      </x:c>
      <x:c r="H380" t="n">
        <x:f>Dashboard_Live_Data!M134</x:f>
        <x:v>-3518.8494159470793</x:v>
      </x:c>
    </x:row>
    <x:row r="381">
      <x:c r="A381" t="n">
        <x:f>Dashboard_Live_Data!I135</x:f>
        <x:v>0.108</x:v>
      </x:c>
      <x:c r="B381" t="n">
        <x:f>Dashboard_Live_Data!J135</x:f>
        <x:v>-0.05439381022904399</x:v>
      </x:c>
      <x:c r="C381" t="n">
        <x:f>Dashboard_Live_Data!I135</x:f>
        <x:v>0.108</x:v>
      </x:c>
      <x:c r="D381" t="n">
        <x:f>Dashboard_Live_Data!K135</x:f>
        <x:v>-945.0864313584188</x:v>
      </x:c>
      <x:c r="E381" t="n">
        <x:f>Dashboard_Live_Data!I135</x:f>
        <x:v>0.108</x:v>
      </x:c>
      <x:c r="F381" t="n">
        <x:f>Dashboard_Live_Data!L135</x:f>
        <x:v>-3587.0630675248613</x:v>
      </x:c>
      <x:c r="G381" t="n">
        <x:f>Dashboard_Live_Data!I135</x:f>
        <x:v>0.108</x:v>
      </x:c>
      <x:c r="H381" t="n">
        <x:f>Dashboard_Live_Data!M135</x:f>
        <x:v>-4174.4317239557495</x:v>
      </x:c>
    </x:row>
    <x:row r="382">
      <x:c r="A382" t="n">
        <x:f>Dashboard_Live_Data!I136</x:f>
        <x:v>0.117</x:v>
      </x:c>
      <x:c r="B382" t="n">
        <x:f>Dashboard_Live_Data!J136</x:f>
        <x:v>-0.06453059099612801</x:v>
      </x:c>
      <x:c r="C382" t="n">
        <x:f>Dashboard_Live_Data!I136</x:f>
        <x:v>0.117</x:v>
      </x:c>
      <x:c r="D382" t="n">
        <x:f>Dashboard_Live_Data!K136</x:f>
        <x:v>-1161.8662425758666</x:v>
      </x:c>
      <x:c r="E382" t="n">
        <x:f>Dashboard_Live_Data!I136</x:f>
        <x:v>0.117</x:v>
      </x:c>
      <x:c r="F382" t="n">
        <x:f>Dashboard_Live_Data!L136</x:f>
        <x:v>-4320.543295968455</x:v>
      </x:c>
      <x:c r="G382" t="n">
        <x:f>Dashboard_Live_Data!I136</x:f>
        <x:v>0.117</x:v>
      </x:c>
      <x:c r="H382" t="n">
        <x:f>Dashboard_Live_Data!M136</x:f>
        <x:v>-4974.4518534386225</x:v>
      </x:c>
    </x:row>
    <x:row r="383">
      <x:c r="A383" t="n">
        <x:f>Dashboard_Live_Data!I137</x:f>
        <x:v>0.125</x:v>
      </x:c>
      <x:c r="B383" t="n">
        <x:f>Dashboard_Live_Data!J137</x:f>
        <x:v>-0.07441357867173792</x:v>
      </x:c>
      <x:c r="C383" t="n">
        <x:f>Dashboard_Live_Data!I137</x:f>
        <x:v>0.125</x:v>
      </x:c>
      <x:c r="D383" t="n">
        <x:f>Dashboard_Live_Data!K137</x:f>
        <x:v>-1376.257653004077</x:v>
      </x:c>
      <x:c r="E383" t="n">
        <x:f>Dashboard_Live_Data!I137</x:f>
        <x:v>0.125</x:v>
      </x:c>
      <x:c r="F383" t="n">
        <x:f>Dashboard_Live_Data!L137</x:f>
        <x:v>-5026.741503405137</x:v>
      </x:c>
      <x:c r="G383" t="n">
        <x:f>Dashboard_Live_Data!I137</x:f>
        <x:v>0.125</x:v>
      </x:c>
      <x:c r="H383" t="n">
        <x:f>Dashboard_Live_Data!M137</x:f>
        <x:v>-5739.591971731104</x:v>
      </x:c>
    </x:row>
    <x:row r="384">
      <x:c r="A384" t="n">
        <x:f>Dashboard_Live_Data!I138</x:f>
        <x:v>0.133</x:v>
      </x:c>
      <x:c r="B384" t="n">
        <x:f>Dashboard_Live_Data!J138</x:f>
        <x:v>-0.08515635971855318</x:v>
      </x:c>
      <x:c r="C384" t="n">
        <x:f>Dashboard_Live_Data!I138</x:f>
        <x:v>0.133</x:v>
      </x:c>
      <x:c r="D384" t="n">
        <x:f>Dashboard_Live_Data!K138</x:f>
        <x:v>-1611.097851974435</x:v>
      </x:c>
      <x:c r="E384" t="n">
        <x:f>Dashboard_Live_Data!I138</x:f>
        <x:v>0.133</x:v>
      </x:c>
      <x:c r="F384" t="n">
        <x:f>Dashboard_Live_Data!L138</x:f>
        <x:v>-5782.586392976991</x:v>
      </x:c>
      <x:c r="G384" t="n">
        <x:f>Dashboard_Live_Data!I138</x:f>
        <x:v>0.133</x:v>
      </x:c>
      <x:c r="H384" t="n">
        <x:f>Dashboard_Live_Data!M138</x:f>
        <x:v>-6554.136414658264</x:v>
      </x:c>
    </x:row>
    <x:row r="385">
      <x:c r="A385" t="n">
        <x:f>Dashboard_Live_Data!I139</x:f>
        <x:v>0.142</x:v>
      </x:c>
      <x:c r="B385" t="n">
        <x:f>Dashboard_Live_Data!J139</x:f>
        <x:v>-0.09831908205035234</x:v>
      </x:c>
      <x:c r="C385" t="n">
        <x:f>Dashboard_Live_Data!I139</x:f>
        <x:v>0.142</x:v>
      </x:c>
      <x:c r="D385" t="n">
        <x:f>Dashboard_Live_Data!K139</x:f>
        <x:v>-1899.6570192596264</x:v>
      </x:c>
      <x:c r="E385" t="n">
        <x:f>Dashboard_Live_Data!I139</x:f>
        <x:v>0.142</x:v>
      </x:c>
      <x:c r="F385" t="n">
        <x:f>Dashboard_Live_Data!L139</x:f>
        <x:v>-6690.6108063344145</x:v>
      </x:c>
      <x:c r="G385" t="n">
        <x:f>Dashboard_Live_Data!I139</x:f>
        <x:v>0.142</x:v>
      </x:c>
      <x:c r="H385" t="n">
        <x:f>Dashboard_Live_Data!M139</x:f>
        <x:v>-7527.867382244032</x:v>
      </x:c>
    </x:row>
    <x:row r="386">
      <x:c r="A386" t="n">
        <x:f>Dashboard_Live_Data!I140</x:f>
        <x:v>0.15</x:v>
      </x:c>
      <x:c r="B386" t="n">
        <x:f>Dashboard_Live_Data!J140</x:f>
        <x:v>-0.11102336728663431</x:v>
      </x:c>
      <x:c r="C386" t="n">
        <x:f>Dashboard_Live_Data!I140</x:f>
        <x:v>0.15</x:v>
      </x:c>
      <x:c r="D386" t="n">
        <x:f>Dashboard_Live_Data!K140</x:f>
        <x:v>-2177.66718431174</x:v>
      </x:c>
      <x:c r="E386" t="n">
        <x:f>Dashboard_Live_Data!I140</x:f>
        <x:v>0.15</x:v>
      </x:c>
      <x:c r="F386" t="n">
        <x:f>Dashboard_Live_Data!L140</x:f>
        <x:v>-7547.58267176729</x:v>
      </x:c>
      <x:c r="G386" t="n">
        <x:f>Dashboard_Live_Data!I140</x:f>
        <x:v>0.15</x:v>
      </x:c>
      <x:c r="H386" t="n">
        <x:f>Dashboard_Live_Data!M140</x:f>
        <x:v>-8442.924503822644</x:v>
      </x:c>
    </x:row>
    <x:row r="387">
      <x:c r="A387" t="n">
        <x:f>Dashboard_Live_Data!I141</x:f>
        <x:v>0.158</x:v>
      </x:c>
      <x:c r="B387" t="n">
        <x:f>Dashboard_Live_Data!J141</x:f>
        <x:v>-0.12471921807230046</x:v>
      </x:c>
      <x:c r="C387" t="n">
        <x:f>Dashboard_Live_Data!I141</x:f>
        <x:v>0.158</x:v>
      </x:c>
      <x:c r="D387" t="n">
        <x:f>Dashboard_Live_Data!K141</x:f>
        <x:v>-2475.736579407454</x:v>
      </x:c>
      <x:c r="E387" t="n">
        <x:f>Dashboard_Live_Data!I141</x:f>
        <x:v>0.158</x:v>
      </x:c>
      <x:c r="F387" t="n">
        <x:f>Dashboard_Live_Data!L141</x:f>
        <x:v>-8450.11460672399</x:v>
      </x:c>
      <x:c r="G387" t="n">
        <x:f>Dashboard_Live_Data!I141</x:f>
        <x:v>0.158</x:v>
      </x:c>
      <x:c r="H387" t="n">
        <x:f>Dashboard_Live_Data!M141</x:f>
        <x:v>-9403.219768093775</x:v>
      </x:c>
    </x:row>
    <x:row r="388">
      <x:c r="A388" t="n">
        <x:f>Dashboard_Live_Data!I142</x:f>
        <x:v>0.167</x:v>
      </x:c>
      <x:c r="B388" t="n">
        <x:f>Dashboard_Live_Data!J142</x:f>
        <x:v>-0.14137113236063215</x:v>
      </x:c>
      <x:c r="C388" t="n">
        <x:f>Dashboard_Live_Data!I142</x:f>
        <x:v>0.167</x:v>
      </x:c>
      <x:c r="D388" t="n">
        <x:f>Dashboard_Live_Data!K142</x:f>
        <x:v>-2834.7671819467178</x:v>
      </x:c>
      <x:c r="E388" t="n">
        <x:f>Dashboard_Live_Data!I142</x:f>
        <x:v>0.167</x:v>
      </x:c>
      <x:c r="F388" t="n">
        <x:f>Dashboard_Live_Data!L142</x:f>
        <x:v>-9518.334244312478</x:v>
      </x:c>
      <x:c r="G388" t="n">
        <x:f>Dashboard_Live_Data!I142</x:f>
        <x:v>0.167</x:v>
      </x:c>
      <x:c r="H388" t="n">
        <x:f>Dashboard_Live_Data!M142</x:f>
        <x:v>-10536.017531248719</x:v>
      </x:c>
    </x:row>
    <x:row r="389">
      <x:c r="A389" t="n">
        <x:f>Dashboard_Live_Data!I143</x:f>
        <x:v>0.175</x:v>
      </x:c>
      <x:c r="B389" t="n">
        <x:f>Dashboard_Live_Data!J143</x:f>
        <x:v>-0.15733377440119511</x:v>
      </x:c>
      <x:c r="C389" t="n">
        <x:f>Dashboard_Live_Data!I143</x:f>
        <x:v>0.175</x:v>
      </x:c>
      <x:c r="D389" t="n">
        <x:f>Dashboard_Live_Data!K143</x:f>
        <x:v>-3174.698779983293</x:v>
      </x:c>
      <x:c r="E389" t="n">
        <x:f>Dashboard_Live_Data!I143</x:f>
        <x:v>0.175</x:v>
      </x:c>
      <x:c r="F389" t="n">
        <x:f>Dashboard_Live_Data!L143</x:f>
        <x:v>-10513.46974524825</x:v>
      </x:c>
      <x:c r="G389" t="n">
        <x:f>Dashboard_Live_Data!I143</x:f>
        <x:v>0.175</x:v>
      </x:c>
      <x:c r="H389" t="n">
        <x:f>Dashboard_Live_Data!M143</x:f>
        <x:v>-11588.17818289464</x:v>
      </x:c>
    </x:row>
    <x:row r="390">
      <x:c r="A390" t="n">
        <x:f>Dashboard_Live_Data!I144</x:f>
        <x:v>0.183</x:v>
      </x:c>
      <x:c r="B390" t="n">
        <x:f>Dashboard_Live_Data!J144</x:f>
        <x:v>-0.17444351947665382</x:v>
      </x:c>
      <x:c r="C390" t="n">
        <x:f>Dashboard_Live_Data!I144</x:f>
        <x:v>0.183</x:v>
      </x:c>
      <x:c r="D390" t="n">
        <x:f>Dashboard_Live_Data!K144</x:f>
        <x:v>-3533.9191182778195</x:v>
      </x:c>
      <x:c r="E390" t="n">
        <x:f>Dashboard_Live_Data!I144</x:f>
        <x:v>0.183</x:v>
      </x:c>
      <x:c r="F390" t="n">
        <x:f>Dashboard_Live_Data!L144</x:f>
        <x:v>-11550.242027722496</x:v>
      </x:c>
      <x:c r="G390" t="n">
        <x:f>Dashboard_Live_Data!I144</x:f>
        <x:v>0.183</x:v>
      </x:c>
      <x:c r="H390" t="n">
        <x:f>Dashboard_Live_Data!M144</x:f>
        <x:v>-12681.604714695779</x:v>
      </x:c>
    </x:row>
    <x:row r="391">
      <x:c r="A391" t="n">
        <x:f>Dashboard_Live_Data!I145</x:f>
        <x:v>0.192</x:v>
      </x:c>
      <x:c r="B391" t="n">
        <x:f>Dashboard_Live_Data!J145</x:f>
        <x:v>-0.1951314257202057</x:v>
      </x:c>
      <x:c r="C391" t="n">
        <x:f>Dashboard_Live_Data!I145</x:f>
        <x:v>0.192</x:v>
      </x:c>
      <x:c r="D391" t="n">
        <x:f>Dashboard_Live_Data!K145</x:f>
        <x:v>-3960.742176330219</x:v>
      </x:c>
      <x:c r="E391" t="n">
        <x:f>Dashboard_Live_Data!I145</x:f>
        <x:v>0.192</x:v>
      </x:c>
      <x:c r="F391" t="n">
        <x:f>Dashboard_Live_Data!L145</x:f>
        <x:v>-12764.866565310112</x:v>
      </x:c>
      <x:c r="G391" t="n">
        <x:f>Dashboard_Live_Data!I145</x:f>
        <x:v>0.192</x:v>
      </x:c>
      <x:c r="H391" t="n">
        <x:f>Dashboard_Live_Data!M145</x:f>
        <x:v>-13959.5036406426</x:v>
      </x:c>
    </x:row>
    <x:row r="392">
      <x:c r="A392" t="n">
        <x:f>Dashboard_Live_Data!I146</x:f>
        <x:v>0.2</x:v>
      </x:c>
      <x:c r="B392" t="n">
        <x:f>Dashboard_Live_Data!J146</x:f>
        <x:v>-0.21486365220766857</x:v>
      </x:c>
      <x:c r="C392" t="n">
        <x:f>Dashboard_Live_Data!I146</x:f>
        <x:v>0.2</x:v>
      </x:c>
      <x:c r="D392" t="n">
        <x:f>Dashboard_Live_Data!K146</x:f>
        <x:v>-4359.990199988479</x:v>
      </x:c>
      <x:c r="E392" t="n">
        <x:f>Dashboard_Live_Data!I146</x:f>
        <x:v>0.2</x:v>
      </x:c>
      <x:c r="F392" t="n">
        <x:f>Dashboard_Live_Data!L146</x:f>
        <x:v>-13886.103797269352</x:v>
      </x:c>
      <x:c r="G392" t="n">
        <x:f>Dashboard_Live_Data!I146</x:f>
        <x:v>0.2</x:v>
      </x:c>
      <x:c r="H392" t="n">
        <x:f>Dashboard_Live_Data!M146</x:f>
        <x:v>-15136.55814203358</x:v>
      </x:c>
    </x:row>
    <x:row r="393">
      <x:c r="A393" t="n">
        <x:f>Dashboard_Live_Data!I147</x:f>
        <x:v>0.208</x:v>
      </x:c>
      <x:c r="B393" t="n">
        <x:f>Dashboard_Live_Data!J147</x:f>
        <x:v>-0.23592219111435497</x:v>
      </x:c>
      <x:c r="C393" t="n">
        <x:f>Dashboard_Live_Data!I147</x:f>
        <x:v>0.208</x:v>
      </x:c>
      <x:c r="D393" t="n">
        <x:f>Dashboard_Live_Data!K147</x:f>
        <x:v>-4777.603842826582</x:v>
      </x:c>
      <x:c r="E393" t="n">
        <x:f>Dashboard_Live_Data!I147</x:f>
        <x:v>0.208</x:v>
      </x:c>
      <x:c r="F393" t="n">
        <x:f>Dashboard_Live_Data!L147</x:f>
        <x:v>-15045.242230124342</x:v>
      </x:c>
      <x:c r="G393" t="n">
        <x:f>Dashboard_Live_Data!I147</x:f>
        <x:v>0.208</x:v>
      </x:c>
      <x:c r="H393" t="n">
        <x:f>Dashboard_Live_Data!M147</x:f>
        <x:v>-16351.096914099966</x:v>
      </x:c>
    </x:row>
    <x:row r="394">
      <x:c r="A394" t="n">
        <x:f>Dashboard_Live_Data!I148</x:f>
        <x:v>0.217</x:v>
      </x:c>
      <x:c r="B394" t="n">
        <x:f>Dashboard_Live_Data!J148</x:f>
        <x:v>-0.26127610188143535</x:v>
      </x:c>
      <x:c r="C394" t="n">
        <x:f>Dashboard_Live_Data!I148</x:f>
        <x:v>0.217</x:v>
      </x:c>
      <x:c r="D394" t="n">
        <x:f>Dashboard_Live_Data!K148</x:f>
        <x:v>-5268.987544536823</x:v>
      </x:c>
      <x:c r="E394" t="n">
        <x:f>Dashboard_Live_Data!I148</x:f>
        <x:v>0.217</x:v>
      </x:c>
      <x:c r="F394" t="n">
        <x:f>Dashboard_Live_Data!L148</x:f>
        <x:v>-16393.138607990768</x:v>
      </x:c>
      <x:c r="G394" t="n">
        <x:f>Dashboard_Live_Data!I148</x:f>
        <x:v>0.217</x:v>
      </x:c>
      <x:c r="H394" t="n">
        <x:f>Dashboard_Live_Data!M148</x:f>
        <x:v>-17760.80185039583</x:v>
      </x:c>
    </x:row>
    <x:row r="395">
      <x:c r="A395" t="n">
        <x:f>Dashboard_Live_Data!I149</x:f>
        <x:v>0.225</x:v>
      </x:c>
      <x:c r="B395" t="n">
        <x:f>Dashboard_Live_Data!J149</x:f>
        <x:v>-0.28536299915617747</x:v>
      </x:c>
      <x:c r="C395" t="n">
        <x:f>Dashboard_Live_Data!I149</x:f>
        <x:v>0.225</x:v>
      </x:c>
      <x:c r="D395" t="n">
        <x:f>Dashboard_Live_Data!K149</x:f>
        <x:v>-5724.6003963936055</x:v>
      </x:c>
      <x:c r="E395" t="n">
        <x:f>Dashboard_Live_Data!I149</x:f>
        <x:v>0.225</x:v>
      </x:c>
      <x:c r="F395" t="n">
        <x:f>Dashboard_Live_Data!L149</x:f>
        <x:v>-17629.00388090196</x:v>
      </x:c>
      <x:c r="G395" t="n">
        <x:f>Dashboard_Live_Data!I149</x:f>
        <x:v>0.225</x:v>
      </x:c>
      <x:c r="H395" t="n">
        <x:f>Dashboard_Live_Data!M149</x:f>
        <x:v>-19051.13227164834</x:v>
      </x:c>
    </x:row>
    <x:row r="396">
      <x:c r="A396" t="n">
        <x:f>Dashboard_Live_Data!I150</x:f>
        <x:v>0.233</x:v>
      </x:c>
      <x:c r="B396" t="n">
        <x:f>Dashboard_Live_Data!J150</x:f>
        <x:v>-0.3109789747541072</x:v>
      </x:c>
      <x:c r="C396" t="n">
        <x:f>Dashboard_Live_Data!I150</x:f>
        <x:v>0.233</x:v>
      </x:c>
      <x:c r="D396" t="n">
        <x:f>Dashboard_Live_Data!K150</x:f>
        <x:v>-6197.607639351343</x:v>
      </x:c>
      <x:c r="E396" t="n">
        <x:f>Dashboard_Live_Data!I150</x:f>
        <x:v>0.233</x:v>
      </x:c>
      <x:c r="F396" t="n">
        <x:f>Dashboard_Live_Data!L150</x:f>
        <x:v>-18899.2224254725</x:v>
      </x:c>
      <x:c r="G396" t="n">
        <x:f>Dashboard_Live_Data!I150</x:f>
        <x:v>0.233</x:v>
      </x:c>
      <x:c r="H396" t="n">
        <x:f>Dashboard_Live_Data!M150</x:f>
        <x:v>-20375.352826851158</x:v>
      </x:c>
    </x:row>
    <x:row r="397">
      <x:c r="A397" t="n">
        <x:f>Dashboard_Live_Data!I151</x:f>
        <x:v>0.242</x:v>
      </x:c>
      <x:c r="B397" t="n">
        <x:f>Dashboard_Live_Data!J151</x:f>
        <x:v>-0.3417117286797975</x:v>
      </x:c>
      <x:c r="C397" t="n">
        <x:f>Dashboard_Live_Data!I151</x:f>
        <x:v>0.242</x:v>
      </x:c>
      <x:c r="D397" t="n">
        <x:f>Dashboard_Live_Data!K151</x:f>
        <x:v>-6750.1435304916085</x:v>
      </x:c>
      <x:c r="E397" t="n">
        <x:f>Dashboard_Live_Data!I151</x:f>
        <x:v>0.242</x:v>
      </x:c>
      <x:c r="F397" t="n">
        <x:f>Dashboard_Live_Data!L151</x:f>
        <x:v>-20367.91707237235</x:v>
      </x:c>
      <x:c r="G397" t="n">
        <x:f>Dashboard_Live_Data!I151</x:f>
        <x:v>0.242</x:v>
      </x:c>
      <x:c r="H397" t="n">
        <x:f>Dashboard_Live_Data!M151</x:f>
        <x:v>-21904.22804430117</x:v>
      </x:c>
    </x:row>
    <x:row r="398">
      <x:c r="A398" t="n">
        <x:f>Dashboard_Live_Data!I152</x:f>
        <x:v>0.25</x:v>
      </x:c>
      <x:c r="B398" t="n">
        <x:f>Dashboard_Live_Data!J152</x:f>
        <x:v>-0.37081187517208036</x:v>
      </x:c>
      <x:c r="C398" t="n">
        <x:f>Dashboard_Live_Data!I152</x:f>
        <x:v>0.25</x:v>
      </x:c>
      <x:c r="D398" t="n">
        <x:f>Dashboard_Live_Data!K152</x:f>
        <x:v>-7259.077562381237</x:v>
      </x:c>
      <x:c r="E398" t="n">
        <x:f>Dashboard_Live_Data!I152</x:f>
        <x:v>0.25</x:v>
      </x:c>
      <x:c r="F398" t="n">
        <x:f>Dashboard_Live_Data!L152</x:f>
        <x:v>-21707.520208299306</x:v>
      </x:c>
      <x:c r="G398" t="n">
        <x:f>Dashboard_Live_Data!I152</x:f>
        <x:v>0.25</x:v>
      </x:c>
      <x:c r="H398" t="n">
        <x:f>Dashboard_Live_Data!M152</x:f>
        <x:v>-23296.801058357276</x:v>
      </x:c>
    </x:row>
    <x:row r="399">
      <x:c r="A399" t="n">
        <x:f>Dashboard_Live_Data!I153</x:f>
        <x:v>0.258</x:v>
      </x:c>
      <x:c r="B399" t="n">
        <x:f>Dashboard_Live_Data!J153</x:f>
        <x:v>-0.4016673031354685</x:v>
      </x:c>
      <x:c r="C399" t="n">
        <x:f>Dashboard_Live_Data!I153</x:f>
        <x:v>0.258</x:v>
      </x:c>
      <x:c r="D399" t="n">
        <x:f>Dashboard_Live_Data!K153</x:f>
        <x:v>-7784.433251420131</x:v>
      </x:c>
      <x:c r="E399" t="n">
        <x:f>Dashboard_Live_Data!I153</x:f>
        <x:v>0.258</x:v>
      </x:c>
      <x:c r="F399" t="n">
        <x:f>Dashboard_Live_Data!L153</x:f>
        <x:v>-23078.113644632846</x:v>
      </x:c>
      <x:c r="G399" t="n">
        <x:f>Dashboard_Live_Data!I153</x:f>
        <x:v>0.258</x:v>
      </x:c>
      <x:c r="H399" t="n">
        <x:f>Dashboard_Live_Data!M153</x:f>
        <x:v>-24719.85672730935</x:v>
      </x:c>
    </x:row>
    <x:row r="400">
      <x:c r="A400" t="n">
        <x:f>Dashboard_Live_Data!I154</x:f>
        <x:v>0.267</x:v>
      </x:c>
      <x:c r="B400" t="n">
        <x:f>Dashboard_Live_Data!J154</x:f>
        <x:v>-0.43857412502381976</x:v>
      </x:c>
      <x:c r="C400" t="n">
        <x:f>Dashboard_Live_Data!I154</x:f>
        <x:v>0.267</x:v>
      </x:c>
      <x:c r="D400" t="n">
        <x:f>Dashboard_Live_Data!K154</x:f>
        <x:v>-8394.704215810802</x:v>
      </x:c>
      <x:c r="E400" t="n">
        <x:f>Dashboard_Live_Data!I154</x:f>
        <x:v>0.267</x:v>
      </x:c>
      <x:c r="F400" t="n">
        <x:f>Dashboard_Live_Data!L154</x:f>
        <x:v>-24655.78332287309</x:v>
      </x:c>
      <x:c r="G400" t="n">
        <x:f>Dashboard_Live_Data!I154</x:f>
        <x:v>0.267</x:v>
      </x:c>
      <x:c r="H400" t="n">
        <x:f>Dashboard_Live_Data!M154</x:f>
        <x:v>-26355.92282022882</x:v>
      </x:c>
    </x:row>
    <x:row r="401">
      <x:c r="A401" t="n">
        <x:f>Dashboard_Live_Data!I155</x:f>
        <x:v>0.275</x:v>
      </x:c>
      <x:c r="B401" t="n">
        <x:f>Dashboard_Live_Data!J155</x:f>
        <x:v>-0.4734191912100414</x:v>
      </x:c>
      <x:c r="C401" t="n">
        <x:f>Dashboard_Live_Data!I155</x:f>
        <x:v>0.275</x:v>
      </x:c>
      <x:c r="D401" t="n">
        <x:f>Dashboard_Live_Data!K155</x:f>
        <x:v>-8953.936813088847</x:v>
      </x:c>
      <x:c r="E401" t="n">
        <x:f>Dashboard_Live_Data!I155</x:f>
        <x:v>0.275</x:v>
      </x:c>
      <x:c r="F401" t="n">
        <x:f>Dashboard_Live_Data!L155</x:f>
        <x:v>-26088.80968164916</x:v>
      </x:c>
      <x:c r="G401" t="n">
        <x:f>Dashboard_Live_Data!I155</x:f>
        <x:v>0.275</x:v>
      </x:c>
      <x:c r="H401" t="n">
        <x:f>Dashboard_Live_Data!M155</x:f>
        <x:v>-27840.28839250606</x:v>
      </x:c>
    </x:row>
    <x:row r="402">
      <x:c r="A402" t="n">
        <x:f>Dashboard_Live_Data!I156</x:f>
        <x:v>0.283</x:v>
      </x:c>
      <x:c r="B402" t="n">
        <x:f>Dashboard_Live_Data!J156</x:f>
        <x:v>-0.5102690384285324</x:v>
      </x:c>
      <x:c r="C402" t="n">
        <x:f>Dashboard_Live_Data!I156</x:f>
        <x:v>0.283</x:v>
      </x:c>
      <x:c r="D402" t="n">
        <x:f>Dashboard_Live_Data!K156</x:f>
        <x:v>-9528.637373909558</x:v>
      </x:c>
      <x:c r="E402" t="n">
        <x:f>Dashboard_Live_Data!I156</x:f>
        <x:v>0.283</x:v>
      </x:c>
      <x:c r="F402" t="n">
        <x:f>Dashboard_Live_Data!L156</x:f>
        <x:v>-27549.646131814996</x:v>
      </x:c>
      <x:c r="G402" t="n">
        <x:f>Dashboard_Live_Data!I156</x:f>
        <x:v>0.283</x:v>
      </x:c>
      <x:c r="H402" t="n">
        <x:f>Dashboard_Live_Data!M156</x:f>
        <x:v>-29351.91580166442</x:v>
      </x:c>
    </x:row>
    <x:row r="403">
      <x:c r="A403" t="n">
        <x:f>Dashboard_Live_Data!I157</x:f>
        <x:v>0.292</x:v>
      </x:c>
      <x:c r="B403" t="n">
        <x:f>Dashboard_Live_Data!J157</x:f>
        <x:v>-0.554227051803764</x:v>
      </x:c>
      <x:c r="C403" t="n">
        <x:f>Dashboard_Live_Data!I157</x:f>
        <x:v>0.292</x:v>
      </x:c>
      <x:c r="D403" t="n">
        <x:f>Dashboard_Live_Data!K157</x:f>
        <x:v>-10193.291736298088</x:v>
      </x:c>
      <x:c r="E403" t="n">
        <x:f>Dashboard_Live_Data!I157</x:f>
        <x:v>0.292</x:v>
      </x:c>
      <x:c r="F403" t="n">
        <x:f>Dashboard_Live_Data!L157</x:f>
        <x:v>-29225.110156036026</x:v>
      </x:c>
      <x:c r="G403" t="n">
        <x:f>Dashboard_Live_Data!I157</x:f>
        <x:v>0.292</x:v>
      </x:c>
      <x:c r="H403" t="n">
        <x:f>Dashboard_Live_Data!M157</x:f>
        <x:v>-31083.84952937637</x:v>
      </x:c>
    </x:row>
    <x:row r="404">
      <x:c r="A404" t="n">
        <x:f>Dashboard_Live_Data!I158</x:f>
        <x:v>0.3</x:v>
      </x:c>
      <x:c r="B404" t="n">
        <x:f>Dashboard_Live_Data!J158</x:f>
        <x:v>-0.5956213488765343</x:v>
      </x:c>
      <x:c r="C404" t="n">
        <x:f>Dashboard_Live_Data!I158</x:f>
        <x:v>0.3</x:v>
      </x:c>
      <x:c r="D404" t="n">
        <x:f>Dashboard_Live_Data!K158</x:f>
        <x:v>-10799.871032643307</x:v>
      </x:c>
      <x:c r="E404" t="n">
        <x:f>Dashboard_Live_Data!I158</x:f>
        <x:v>0.3</x:v>
      </x:c>
      <x:c r="F404" t="n">
        <x:f>Dashboard_Live_Data!L158</x:f>
        <x:v>-30741.8141453946</x:v>
      </x:c>
      <x:c r="G404" t="n">
        <x:f>Dashboard_Live_Data!I158</x:f>
        <x:v>0.3</x:v>
      </x:c>
      <x:c r="H404" t="n">
        <x:f>Dashboard_Live_Data!M158</x:f>
        <x:v>-32650.140682705838</x:v>
      </x:c>
    </x:row>
    <x:row r="405">
      <x:c r="A405" t="n">
        <x:f>Dashboard_Live_Data!I159</x:f>
        <x:v>0.308</x:v>
      </x:c>
      <x:c r="B405" t="n">
        <x:f>Dashboard_Live_Data!J159</x:f>
        <x:v>-0.6392930692547907</x:v>
      </x:c>
      <x:c r="C405" t="n">
        <x:f>Dashboard_Live_Data!I159</x:f>
        <x:v>0.308</x:v>
      </x:c>
      <x:c r="D405" t="n">
        <x:f>Dashboard_Live_Data!K159</x:f>
        <x:v>-11420.992588521869</x:v>
      </x:c>
      <x:c r="E405" t="n">
        <x:f>Dashboard_Live_Data!I159</x:f>
        <x:v>0.308</x:v>
      </x:c>
      <x:c r="F405" t="n">
        <x:f>Dashboard_Live_Data!L159</x:f>
        <x:v>-32283.3287901734</x:v>
      </x:c>
      <x:c r="G405" t="n">
        <x:f>Dashboard_Live_Data!I159</x:f>
        <x:v>0.308</x:v>
      </x:c>
      <x:c r="H405" t="n">
        <x:f>Dashboard_Live_Data!M159</x:f>
        <x:v>-34240.659083493854</x:v>
      </x:c>
    </x:row>
    <x:row r="406">
      <x:c r="A406" t="n">
        <x:f>Dashboard_Live_Data!I160</x:f>
        <x:v>0.317</x:v>
      </x:c>
      <x:c r="B406" t="n">
        <x:f>Dashboard_Live_Data!J160</x:f>
        <x:v>-0.6912607618419315</x:v>
      </x:c>
      <x:c r="C406" t="n">
        <x:f>Dashboard_Live_Data!I160</x:f>
        <x:v>0.317</x:v>
      </x:c>
      <x:c r="D406" t="n">
        <x:f>Dashboard_Live_Data!K160</x:f>
        <x:v>-12136.776407525518</x:v>
      </x:c>
      <x:c r="E406" t="n">
        <x:f>Dashboard_Live_Data!I160</x:f>
        <x:v>0.317</x:v>
      </x:c>
      <x:c r="F406" t="n">
        <x:f>Dashboard_Live_Data!L160</x:f>
        <x:v>-34046.04194794646</x:v>
      </x:c>
      <x:c r="G406" t="n">
        <x:f>Dashboard_Live_Data!I160</x:f>
        <x:v>0.317</x:v>
      </x:c>
      <x:c r="H406" t="n">
        <x:f>Dashboard_Live_Data!M160</x:f>
        <x:v>-36057.79176290192</x:v>
      </x:c>
    </x:row>
    <x:row r="407">
      <x:c r="A407" t="n">
        <x:f>Dashboard_Live_Data!I161</x:f>
        <x:v>0.325</x:v>
      </x:c>
      <x:c r="B407" t="n">
        <x:f>Dashboard_Live_Data!J161</x:f>
        <x:v>-0.7400807499819848</x:v>
      </x:c>
      <x:c r="C407" t="n">
        <x:f>Dashboard_Live_Data!I161</x:f>
        <x:v>0.325</x:v>
      </x:c>
      <x:c r="D407" t="n">
        <x:f>Dashboard_Live_Data!K161</x:f>
        <x:v>-12787.842801368242</x:v>
      </x:c>
      <x:c r="E407" t="n">
        <x:f>Dashboard_Live_Data!I161</x:f>
        <x:v>0.325</x:v>
      </x:c>
      <x:c r="F407" t="n">
        <x:f>Dashboard_Live_Data!L161</x:f>
        <x:v>-35637.24050020533</x:v>
      </x:c>
      <x:c r="G407" t="n">
        <x:f>Dashboard_Live_Data!I161</x:f>
        <x:v>0.325</x:v>
      </x:c>
      <x:c r="H407" t="n">
        <x:f>Dashboard_Live_Data!M161</x:f>
        <x:v>-37696.722160192</x:v>
      </x:c>
    </x:row>
    <x:row r="408">
      <x:c r="A408" t="n">
        <x:f>Dashboard_Live_Data!I162</x:f>
        <x:v>0.333</x:v>
      </x:c>
      <x:c r="B408" t="n">
        <x:f>Dashboard_Live_Data!J162</x:f>
        <x:v>-0.791473780832689</x:v>
      </x:c>
      <x:c r="C408" t="n">
        <x:f>Dashboard_Live_Data!I162</x:f>
        <x:v>0.333</x:v>
      </x:c>
      <x:c r="D408" t="n">
        <x:f>Dashboard_Live_Data!K162</x:f>
        <x:v>-13452.557524737189</x:v>
      </x:c>
      <x:c r="E408" t="n">
        <x:f>Dashboard_Live_Data!I162</x:f>
        <x:v>0.333</x:v>
      </x:c>
      <x:c r="F408" t="n">
        <x:f>Dashboard_Live_Data!L162</x:f>
        <x:v>-37250.42865196265</x:v>
      </x:c>
      <x:c r="G408" t="n">
        <x:f>Dashboard_Live_Data!I162</x:f>
        <x:v>0.333</x:v>
      </x:c>
      <x:c r="H408" t="n">
        <x:f>Dashboard_Live_Data!M162</x:f>
        <x:v>-39357.029917001244</x:v>
      </x:c>
    </x:row>
    <x:row r="409">
      <x:c r="A409" t="n">
        <x:f>Dashboard_Live_Data!I163</x:f>
        <x:v>0.342</x:v>
      </x:c>
      <x:c r="B409" t="n">
        <x:f>Dashboard_Live_Data!J163</x:f>
        <x:v>-0.8524904108952569</x:v>
      </x:c>
      <x:c r="C409" t="n">
        <x:f>Dashboard_Live_Data!I163</x:f>
        <x:v>0.342</x:v>
      </x:c>
      <x:c r="D409" t="n">
        <x:f>Dashboard_Live_Data!K163</x:f>
        <x:v>-14216.328265502132</x:v>
      </x:c>
      <x:c r="E409" t="n">
        <x:f>Dashboard_Live_Data!I163</x:f>
        <x:v>0.342</x:v>
      </x:c>
      <x:c r="F409" t="n">
        <x:f>Dashboard_Live_Data!L163</x:f>
        <x:v>-39090.47273823073</x:v>
      </x:c>
      <x:c r="G409" t="n">
        <x:f>Dashboard_Live_Data!I163</x:f>
        <x:v>0.342</x:v>
      </x:c>
      <x:c r="H409" t="n">
        <x:f>Dashboard_Live_Data!M163</x:f>
        <x:v>-41249.34202215604</x:v>
      </x:c>
    </x:row>
    <x:row r="410">
      <x:c r="A410" t="n">
        <x:f>Dashboard_Live_Data!I164</x:f>
        <x:v>0.35</x:v>
      </x:c>
      <x:c r="B410" t="n">
        <x:f>Dashboard_Live_Data!J164</x:f>
        <x:v>-0.9096841644008009</x:v>
      </x:c>
      <x:c r="C410" t="n">
        <x:f>Dashboard_Live_Data!I164</x:f>
        <x:v>0.35</x:v>
      </x:c>
      <x:c r="D410" t="n">
        <x:f>Dashboard_Live_Data!K164</x:f>
        <x:v>-14909.123361914171</x:v>
      </x:c>
      <x:c r="E410" t="n">
        <x:f>Dashboard_Live_Data!I164</x:f>
        <x:v>0.35</x:v>
      </x:c>
      <x:c r="F410" t="n">
        <x:f>Dashboard_Live_Data!L164</x:f>
        <x:v>-40747.537049505336</x:v>
      </x:c>
      <x:c r="G410" t="n">
        <x:f>Dashboard_Live_Data!I164</x:f>
        <x:v>0.35</x:v>
      </x:c>
      <x:c r="H410" t="n">
        <x:f>Dashboard_Live_Data!M164</x:f>
        <x:v>-42952.19979250127</x:v>
      </x:c>
    </x:row>
    <x:row r="411">
      <x:c r="A411" t="n">
        <x:f>Dashboard_Live_Data!I165</x:f>
        <x:v>0.358</x:v>
      </x:c>
      <x:c r="B411" t="n">
        <x:f>Dashboard_Live_Data!J165</x:f>
        <x:v>-0.9697693759256936</x:v>
      </x:c>
      <x:c r="C411" t="n">
        <x:f>Dashboard_Live_Data!I165</x:f>
        <x:v>0.358</x:v>
      </x:c>
      <x:c r="D411" t="n">
        <x:f>Dashboard_Live_Data!K165</x:f>
        <x:v>-15614.706103309647</x:v>
      </x:c>
      <x:c r="E411" t="n">
        <x:f>Dashboard_Live_Data!I165</x:f>
        <x:v>0.358</x:v>
      </x:c>
      <x:c r="F411" t="n">
        <x:f>Dashboard_Live_Data!L165</x:f>
        <x:v>-42423.945096951444</x:v>
      </x:c>
      <x:c r="G411" t="n">
        <x:f>Dashboard_Live_Data!I165</x:f>
        <x:v>0.358</x:v>
      </x:c>
      <x:c r="H411" t="n">
        <x:f>Dashboard_Live_Data!M165</x:f>
        <x:v>-44673.76686765764</x:v>
      </x:c>
    </x:row>
    <x:row r="412">
      <x:c r="A412" t="n">
        <x:f>Dashboard_Live_Data!I166</x:f>
        <x:v>0.367</x:v>
      </x:c>
      <x:c r="B412" t="n">
        <x:f>Dashboard_Live_Data!J166</x:f>
        <x:v>-1.0409543459660426</x:v>
      </x:c>
      <x:c r="C412" t="n">
        <x:f>Dashboard_Live_Data!I166</x:f>
        <x:v>0.367</x:v>
      </x:c>
      <x:c r="D412" t="n">
        <x:f>Dashboard_Live_Data!K166</x:f>
        <x:v>-16423.437974027576</x:v>
      </x:c>
      <x:c r="E412" t="n">
        <x:f>Dashboard_Live_Data!I166</x:f>
        <x:v>0.367</x:v>
      </x:c>
      <x:c r="F412" t="n">
        <x:f>Dashboard_Live_Data!L166</x:f>
        <x:v>-44332.01768741835</x:v>
      </x:c>
      <x:c r="G412" t="n">
        <x:f>Dashboard_Live_Data!I166</x:f>
        <x:v>0.367</x:v>
      </x:c>
      <x:c r="H412" t="n">
        <x:f>Dashboard_Live_Data!M166</x:f>
        <x:v>-46631.87794663398</x:v>
      </x:c>
    </x:row>
    <x:row r="413">
      <x:c r="A413" t="n">
        <x:f>Dashboard_Live_Data!I167</x:f>
        <x:v>0.375</x:v>
      </x:c>
      <x:c r="B413" t="n">
        <x:f>Dashboard_Live_Data!J167</x:f>
        <x:v>-1.1075409744717035</x:v>
      </x:c>
      <x:c r="C413" t="n">
        <x:f>Dashboard_Live_Data!I167</x:f>
        <x:v>0.375</x:v>
      </x:c>
      <x:c r="D413" t="n">
        <x:f>Dashboard_Live_Data!K167</x:f>
        <x:v>-17155.30788033462</x:v>
      </x:c>
      <x:c r="E413" t="n">
        <x:f>Dashboard_Live_Data!I167</x:f>
        <x:v>0.375</x:v>
      </x:c>
      <x:c r="F413" t="n">
        <x:f>Dashboard_Live_Data!L167</x:f>
        <x:v>-46046.86225919663</x:v>
      </x:c>
      <x:c r="G413" t="n">
        <x:f>Dashboard_Live_Data!I167</x:f>
        <x:v>0.375</x:v>
      </x:c>
      <x:c r="H413" t="n">
        <x:f>Dashboard_Live_Data!M167</x:f>
        <x:v>-48390.51527485564</x:v>
      </x:c>
    </x:row>
    <x:row r="414">
      <x:c r="A414" t="n">
        <x:f>Dashboard_Live_Data!I168</x:f>
        <x:v>0.383</x:v>
      </x:c>
      <x:c r="B414" t="n">
        <x:f>Dashboard_Live_Data!J168</x:f>
        <x:v>-1.1773600760669751</x:v>
      </x:c>
      <x:c r="C414" t="n">
        <x:f>Dashboard_Live_Data!I168</x:f>
        <x:v>0.383</x:v>
      </x:c>
      <x:c r="D414" t="n">
        <x:f>Dashboard_Live_Data!K168</x:f>
        <x:v>-17899.1384159448</x:v>
      </x:c>
      <x:c r="E414" t="n">
        <x:f>Dashboard_Live_Data!I168</x:f>
        <x:v>0.383</x:v>
      </x:c>
      <x:c r="F414" t="n">
        <x:f>Dashboard_Live_Data!L168</x:f>
        <x:v>-47778.5757557234</x:v>
      </x:c>
      <x:c r="G414" t="n">
        <x:f>Dashboard_Live_Data!I168</x:f>
        <x:v>0.383</x:v>
      </x:c>
      <x:c r="H414" t="n">
        <x:f>Dashboard_Live_Data!M168</x:f>
        <x:v>-50165.37147334049</x:v>
      </x:c>
    </x:row>
    <x:row r="415">
      <x:c r="A415" t="n">
        <x:f>Dashboard_Live_Data!I169</x:f>
        <x:v>0.392</x:v>
      </x:c>
      <x:c r="B415" t="n">
        <x:f>Dashboard_Live_Data!J169</x:f>
        <x:v>-1.2599122492363222</x:v>
      </x:c>
      <x:c r="C415" t="n">
        <x:f>Dashboard_Live_Data!I169</x:f>
        <x:v>0.392</x:v>
      </x:c>
      <x:c r="D415" t="n">
        <x:f>Dashboard_Live_Data!K169</x:f>
        <x:v>-18749.92392848187</x:v>
      </x:c>
      <x:c r="E415" t="n">
        <x:f>Dashboard_Live_Data!I169</x:f>
        <x:v>0.392</x:v>
      </x:c>
      <x:c r="F415" t="n">
        <x:f>Dashboard_Live_Data!L169</x:f>
        <x:v>-49745.97565061507</x:v>
      </x:c>
      <x:c r="G415" t="n">
        <x:f>Dashboard_Live_Data!I169</x:f>
        <x:v>0.392</x:v>
      </x:c>
      <x:c r="H415" t="n">
        <x:f>Dashboard_Live_Data!M169</x:f>
        <x:v>-52180.52535474431</x:v>
      </x:c>
    </x:row>
    <x:row r="416">
      <x:c r="A416" t="n">
        <x:f>Dashboard_Live_Data!I170</x:f>
        <x:v>0.4</x:v>
      </x:c>
      <x:c r="B416" t="n">
        <x:f>Dashboard_Live_Data!J170</x:f>
        <x:v>-1.3369812749583616</x:v>
      </x:c>
      <x:c r="C416" t="n">
        <x:f>Dashboard_Live_Data!I170</x:f>
        <x:v>0.4</x:v>
      </x:c>
      <x:c r="D416" t="n">
        <x:f>Dashboard_Live_Data!K170</x:f>
        <x:v>-19518.31997454776</x:v>
      </x:c>
      <x:c r="E416" t="n">
        <x:f>Dashboard_Live_Data!I170</x:f>
        <x:v>0.4</x:v>
      </x:c>
      <x:c r="F416" t="n">
        <x:f>Dashboard_Live_Data!L170</x:f>
        <x:v>-51511.04432508859</x:v>
      </x:c>
      <x:c r="G416" t="n">
        <x:f>Dashboard_Live_Data!I170</x:f>
        <x:v>0.4</x:v>
      </x:c>
      <x:c r="H416" t="n">
        <x:f>Dashboard_Live_Data!M170</x:f>
        <x:v>-53987.34398363595</x:v>
      </x:c>
    </x:row>
    <x:row r="417">
      <x:c r="A417" t="n">
        <x:f>Dashboard_Live_Data!I171</x:f>
        <x:v>0.408</x:v>
      </x:c>
      <x:c r="B417" t="n">
        <x:f>Dashboard_Live_Data!J171</x:f>
        <x:v>-1.4176461878619193</x:v>
      </x:c>
      <x:c r="C417" t="n">
        <x:f>Dashboard_Live_Data!I171</x:f>
        <x:v>0.408</x:v>
      </x:c>
      <x:c r="D417" t="n">
        <x:f>Dashboard_Live_Data!K171</x:f>
        <x:v>-20297.88323737291</x:v>
      </x:c>
      <x:c r="E417" t="n">
        <x:f>Dashboard_Live_Data!I171</x:f>
        <x:v>0.408</x:v>
      </x:c>
      <x:c r="F417" t="n">
        <x:f>Dashboard_Live_Data!L171</x:f>
        <x:v>-53290.67307252441</x:v>
      </x:c>
      <x:c r="G417" t="n">
        <x:f>Dashboard_Live_Data!I171</x:f>
        <x:v>0.408</x:v>
      </x:c>
      <x:c r="H417" t="n">
        <x:f>Dashboard_Live_Data!M171</x:f>
        <x:v>-55808.06323941368</x:v>
      </x:c>
    </x:row>
    <x:row r="418">
      <x:c r="A418" t="n">
        <x:f>Dashboard_Live_Data!I172</x:f>
        <x:v>0.417</x:v>
      </x:c>
      <x:c r="B418" t="n">
        <x:f>Dashboard_Live_Data!J172</x:f>
        <x:v>-1.512843152252799</x:v>
      </x:c>
      <x:c r="C418" t="n">
        <x:f>Dashboard_Live_Data!I172</x:f>
        <x:v>0.417</x:v>
      </x:c>
      <x:c r="D418" t="n">
        <x:f>Dashboard_Live_Data!K172</x:f>
        <x:v>-21187.93300776442</x:v>
      </x:c>
      <x:c r="E418" t="n">
        <x:f>Dashboard_Live_Data!I172</x:f>
        <x:v>0.417</x:v>
      </x:c>
      <x:c r="F418" t="n">
        <x:f>Dashboard_Live_Data!L172</x:f>
        <x:v>-55309.2824077269</x:v>
      </x:c>
      <x:c r="G418" t="n">
        <x:f>Dashboard_Live_Data!I172</x:f>
        <x:v>0.417</x:v>
      </x:c>
      <x:c r="H418" t="n">
        <x:f>Dashboard_Live_Data!M172</x:f>
        <x:v>-57872.10897282533</x:v>
      </x:c>
    </x:row>
    <x:row r="419">
      <x:c r="A419" t="n">
        <x:f>Dashboard_Live_Data!I173</x:f>
        <x:v>0.425</x:v>
      </x:c>
      <x:c r="B419" t="n">
        <x:f>Dashboard_Live_Data!J173</x:f>
        <x:v>-1.601553853415453</x:v>
      </x:c>
      <x:c r="C419" t="n">
        <x:f>Dashboard_Live_Data!I173</x:f>
        <x:v>0.425</x:v>
      </x:c>
      <x:c r="D419" t="n">
        <x:f>Dashboard_Live_Data!K173</x:f>
        <x:v>-21990.4112445204</x:v>
      </x:c>
      <x:c r="E419" t="n">
        <x:f>Dashboard_Live_Data!I173</x:f>
        <x:v>0.425</x:v>
      </x:c>
      <x:c r="F419" t="n">
        <x:f>Dashboard_Live_Data!L173</x:f>
        <x:v>-57117.531516682895</x:v>
      </x:c>
      <x:c r="G419" t="n">
        <x:f>Dashboard_Live_Data!I173</x:f>
        <x:v>0.425</x:v>
      </x:c>
      <x:c r="H419" t="n">
        <x:f>Dashboard_Live_Data!M173</x:f>
        <x:v>-59720.04210248674</x:v>
      </x:c>
    </x:row>
    <x:row r="420">
      <x:c r="A420" t="n">
        <x:f>Dashboard_Live_Data!I174</x:f>
        <x:v>0.433</x:v>
      </x:c>
      <x:c r="B420" t="n">
        <x:f>Dashboard_Live_Data!J174</x:f>
        <x:v>-1.6942460296072568</x:v>
      </x:c>
      <x:c r="C420" t="n">
        <x:f>Dashboard_Live_Data!I174</x:f>
        <x:v>0.433</x:v>
      </x:c>
      <x:c r="D420" t="n">
        <x:f>Dashboard_Live_Data!K174</x:f>
        <x:v>-22803.296578072215</x:v>
      </x:c>
      <x:c r="E420" t="n">
        <x:f>Dashboard_Live_Data!I174</x:f>
        <x:v>0.433</x:v>
      </x:c>
      <x:c r="F420" t="n">
        <x:f>Dashboard_Live_Data!L174</x:f>
        <x:v>-58938.1918599959</x:v>
      </x:c>
      <x:c r="G420" t="n">
        <x:f>Dashboard_Live_Data!I174</x:f>
        <x:v>0.433</x:v>
      </x:c>
      <x:c r="H420" t="n">
        <x:f>Dashboard_Live_Data!M174</x:f>
        <x:v>-61579.72335626042</x:v>
      </x:c>
    </x:row>
    <x:row r="421">
      <x:c r="A421" t="n">
        <x:f>Dashboard_Live_Data!I175</x:f>
        <x:v>0.442</x:v>
      </x:c>
      <x:c r="B421" t="n">
        <x:f>Dashboard_Live_Data!J175</x:f>
        <x:v>-1.8034433360094226</x:v>
      </x:c>
      <x:c r="C421" t="n">
        <x:f>Dashboard_Live_Data!I175</x:f>
        <x:v>0.442</x:v>
      </x:c>
      <x:c r="D421" t="n">
        <x:f>Dashboard_Live_Data!K175</x:f>
        <x:v>-23729.938248077415</x:v>
      </x:c>
      <x:c r="E421" t="n">
        <x:f>Dashboard_Live_Data!I175</x:f>
        <x:v>0.442</x:v>
      </x:c>
      <x:c r="F421" t="n">
        <x:f>Dashboard_Live_Data!L175</x:f>
        <x:v>-61000.45522179079</x:v>
      </x:c>
      <x:c r="G421" t="n">
        <x:f>Dashboard_Live_Data!I175</x:f>
        <x:v>0.442</x:v>
      </x:c>
      <x:c r="H421" t="n">
        <x:f>Dashboard_Live_Data!M175</x:f>
        <x:v>-63685.09256436417</x:v>
      </x:c>
    </x:row>
    <x:row r="422">
      <x:c r="A422" t="n">
        <x:f>Dashboard_Live_Data!I176</x:f>
        <x:v>0.45</x:v>
      </x:c>
      <x:c r="B422" t="n">
        <x:f>Dashboard_Live_Data!J176</x:f>
        <x:v>-1.9050240415085682</x:v>
      </x:c>
      <x:c r="C422" t="n">
        <x:f>Dashboard_Live_Data!I176</x:f>
        <x:v>0.45</x:v>
      </x:c>
      <x:c r="D422" t="n">
        <x:f>Dashboard_Live_Data!K176</x:f>
        <x:v>-24564.15831269113</x:v>
      </x:c>
      <x:c r="E422" t="n">
        <x:f>Dashboard_Live_Data!I176</x:f>
        <x:v>0.45</x:v>
      </x:c>
      <x:c r="F422" t="n">
        <x:f>Dashboard_Live_Data!L176</x:f>
        <x:v>-62845.33421508745</x:v>
      </x:c>
      <x:c r="G422" t="n">
        <x:f>Dashboard_Live_Data!I176</x:f>
        <x:v>0.45</x:v>
      </x:c>
      <x:c r="H422" t="n">
        <x:f>Dashboard_Live_Data!M176</x:f>
        <x:v>-65567.58378946672</x:v>
      </x:c>
    </x:row>
    <x:row r="423">
      <x:c r="A423" t="n">
        <x:f>Dashboard_Live_Data!I177</x:f>
        <x:v>0.458</x:v>
      </x:c>
      <x:c r="B423" t="n">
        <x:f>Dashboard_Live_Data!J177</x:f>
        <x:v>-2.0109937508048006</x:v>
      </x:c>
      <x:c r="C423" t="n">
        <x:f>Dashboard_Live_Data!I177</x:f>
        <x:v>0.458</x:v>
      </x:c>
      <x:c r="D423" t="n">
        <x:f>Dashboard_Live_Data!K177</x:f>
        <x:v>-25408.058195726262</x:v>
      </x:c>
      <x:c r="E423" t="n">
        <x:f>Dashboard_Live_Data!I177</x:f>
        <x:v>0.458</x:v>
      </x:c>
      <x:c r="F423" t="n">
        <x:f>Dashboard_Live_Data!L177</x:f>
        <x:v>-64700.62896395409</x:v>
      </x:c>
      <x:c r="G423" t="n">
        <x:f>Dashboard_Live_Data!I177</x:f>
        <x:v>0.458</x:v>
      </x:c>
      <x:c r="H423" t="n">
        <x:f>Dashboard_Live_Data!M177</x:f>
        <x:v>-67459.8291234388</x:v>
      </x:c>
    </x:row>
    <x:row r="424">
      <x:c r="A424" t="n">
        <x:f>Dashboard_Live_Data!I178</x:f>
        <x:v>0.467</x:v>
      </x:c>
      <x:c r="B424" t="n">
        <x:f>Dashboard_Live_Data!J178</x:f>
        <x:v>-2.13562408544135</x:v>
      </x:c>
      <x:c r="C424" t="n">
        <x:f>Dashboard_Live_Data!I178</x:f>
        <x:v>0.467</x:v>
      </x:c>
      <x:c r="D424" t="n">
        <x:f>Dashboard_Live_Data!K178</x:f>
        <x:v>-26368.734852925336</x:v>
      </x:c>
      <x:c r="E424" t="n">
        <x:f>Dashboard_Live_Data!I178</x:f>
        <x:v>0.467</x:v>
      </x:c>
      <x:c r="F424" t="n">
        <x:f>Dashboard_Live_Data!L178</x:f>
        <x:v>-66799.5300210921</x:v>
      </x:c>
      <x:c r="G424" t="n">
        <x:f>Dashboard_Live_Data!I178</x:f>
        <x:v>0.467</x:v>
      </x:c>
      <x:c r="H424" t="n">
        <x:f>Dashboard_Live_Data!M178</x:f>
        <x:v>-69599.51053278941</x:v>
      </x:c>
    </x:row>
    <x:row r="425">
      <x:c r="A425" t="n">
        <x:f>Dashboard_Live_Data!I179</x:f>
        <x:v>0.475</x:v>
      </x:c>
      <x:c r="B425" t="n">
        <x:f>Dashboard_Live_Data!J179</x:f>
        <x:v>-2.251371436165755</x:v>
      </x:c>
      <x:c r="C425" t="n">
        <x:f>Dashboard_Live_Data!I179</x:f>
        <x:v>0.475</x:v>
      </x:c>
      <x:c r="D425" t="n">
        <x:f>Dashboard_Live_Data!K179</x:f>
        <x:v>-27232.458450313294</x:v>
      </x:c>
      <x:c r="E425" t="n">
        <x:f>Dashboard_Live_Data!I179</x:f>
        <x:v>0.475</x:v>
      </x:c>
      <x:c r="F425" t="n">
        <x:f>Dashboard_Live_Data!L179</x:f>
        <x:v>-68674.96006151366</x:v>
      </x:c>
      <x:c r="G425" t="n">
        <x:f>Dashboard_Live_Data!I179</x:f>
        <x:v>0.475</x:v>
      </x:c>
      <x:c r="H425" t="n">
        <x:f>Dashboard_Live_Data!M179</x:f>
        <x:v>-71510.49050705163</x:v>
      </x:c>
    </x:row>
    <x:row r="426">
      <x:c r="A426" t="n">
        <x:f>Dashboard_Live_Data!I180</x:f>
        <x:v>0.483</x:v>
      </x:c>
      <x:c r="B426" t="n">
        <x:f>Dashboard_Live_Data!J180</x:f>
        <x:v>-2.371937016364882</x:v>
      </x:c>
      <x:c r="C426" t="n">
        <x:f>Dashboard_Live_Data!I180</x:f>
        <x:v>0.483</x:v>
      </x:c>
      <x:c r="D426" t="n">
        <x:f>Dashboard_Live_Data!K180</x:f>
        <x:v>-28105.166881475925</x:v>
      </x:c>
      <x:c r="E426" t="n">
        <x:f>Dashboard_Live_Data!I180</x:f>
        <x:v>0.483</x:v>
      </x:c>
      <x:c r="F426" t="n">
        <x:f>Dashboard_Live_Data!L180</x:f>
        <x:v>-70558.95654529486</x:v>
      </x:c>
      <x:c r="G426" t="n">
        <x:f>Dashboard_Live_Data!I180</x:f>
        <x:v>0.483</x:v>
      </x:c>
      <x:c r="H426" t="n">
        <x:f>Dashboard_Live_Data!M180</x:f>
        <x:v>-73429.38122625335</x:v>
      </x:c>
    </x:row>
    <x:row r="427">
      <x:c r="A427" t="n">
        <x:f>Dashboard_Live_Data!I181</x:f>
        <x:v>0.492</x:v>
      </x:c>
      <x:c r="B427" t="n">
        <x:f>Dashboard_Live_Data!J181</x:f>
        <x:v>-2.513509340354176</x:v>
      </x:c>
      <x:c r="C427" t="n">
        <x:f>Dashboard_Live_Data!I181</x:f>
        <x:v>0.492</x:v>
      </x:c>
      <x:c r="D427" t="n">
        <x:f>Dashboard_Live_Data!K181</x:f>
        <x:v>-29097.435135520704</x:v>
      </x:c>
      <x:c r="E427" t="n">
        <x:f>Dashboard_Live_Data!I181</x:f>
        <x:v>0.492</x:v>
      </x:c>
      <x:c r="F427" t="n">
        <x:f>Dashboard_Live_Data!L181</x:f>
        <x:v>-72687.99278310622</x:v>
      </x:c>
      <x:c r="G427" t="n">
        <x:f>Dashboard_Live_Data!I181</x:f>
        <x:v>0.492</x:v>
      </x:c>
      <x:c r="H427" t="n">
        <x:f>Dashboard_Live_Data!M181</x:f>
        <x:v>-75596.89314596399</x:v>
      </x:c>
    </x:row>
    <x:row r="428">
      <x:c r="A428" t="n">
        <x:f>Dashboard_Live_Data!I182</x:f>
        <x:v>0.5</x:v>
      </x:c>
      <x:c r="B428" t="n">
        <x:f>Dashboard_Live_Data!J182</x:f>
        <x:v>-2.6447875068229223</x:v>
      </x:c>
      <x:c r="C428" t="n">
        <x:f>Dashboard_Live_Data!I182</x:f>
        <x:v>0.5</x:v>
      </x:c>
      <x:c r="D428" t="n">
        <x:f>Dashboard_Live_Data!K182</x:f>
        <x:v>-29988.524239953986</x:v>
      </x:c>
      <x:c r="E428" t="n">
        <x:f>Dashboard_Live_Data!I182</x:f>
        <x:v>0.5</x:v>
      </x:c>
      <x:c r="F428" t="n">
        <x:f>Dashboard_Live_Data!L182</x:f>
        <x:v>-74588.34383380503</x:v>
      </x:c>
      <x:c r="G428" t="n">
        <x:f>Dashboard_Live_Data!I182</x:f>
        <x:v>0.5</x:v>
      </x:c>
      <x:c r="H428" t="n">
        <x:f>Dashboard_Live_Data!M182</x:f>
        <x:v>-77530.75464681152</x:v>
      </x:c>
    </x:row>
    <x:row r="429">
      <x:c r="A429" t="n">
        <x:f>Dashboard_Live_Data!I183</x:f>
        <x:v>0.508</x:v>
      </x:c>
      <x:c r="B429" t="n">
        <x:f>Dashboard_Live_Data!J183</x:f>
        <x:v>-2.7813345652473345</x:v>
      </x:c>
      <x:c r="C429" t="n">
        <x:f>Dashboard_Live_Data!I183</x:f>
        <x:v>0.508</x:v>
      </x:c>
      <x:c r="D429" t="n">
        <x:f>Dashboard_Live_Data!K183</x:f>
        <x:v>-30887.934860679583</x:v>
      </x:c>
      <x:c r="E429" t="n">
        <x:f>Dashboard_Live_Data!I183</x:f>
        <x:v>0.508</x:v>
      </x:c>
      <x:c r="F429" t="n">
        <x:f>Dashboard_Live_Data!L183</x:f>
        <x:v>-76495.55061689264</x:v>
      </x:c>
      <x:c r="G429" t="n">
        <x:f>Dashboard_Live_Data!I183</x:f>
        <x:v>0.508</x:v>
      </x:c>
      <x:c r="H429" t="n">
        <x:f>Dashboard_Live_Data!M183</x:f>
        <x:v>-79470.82596585111</x:v>
      </x:c>
    </x:row>
    <x:row r="430">
      <x:c r="A430" t="n">
        <x:f>Dashboard_Live_Data!I184</x:f>
        <x:v>0.517</x:v>
      </x:c>
      <x:c r="B430" t="n">
        <x:f>Dashboard_Live_Data!J184</x:f>
        <x:v>-2.941433207470027</x:v>
      </x:c>
      <x:c r="C430" t="n">
        <x:f>Dashboard_Live_Data!I184</x:f>
        <x:v>0.517</x:v>
      </x:c>
      <x:c r="D430" t="n">
        <x:f>Dashboard_Live_Data!K184</x:f>
        <x:v>-31909.462641600694</x:v>
      </x:c>
      <x:c r="E430" t="n">
        <x:f>Dashboard_Live_Data!I184</x:f>
        <x:v>0.517</x:v>
      </x:c>
      <x:c r="F430" t="n">
        <x:f>Dashboard_Live_Data!L184</x:f>
        <x:v>-78648.70676173811</x:v>
      </x:c>
      <x:c r="G430" t="n">
        <x:f>Dashboard_Live_Data!I184</x:f>
        <x:v>0.517</x:v>
      </x:c>
      <x:c r="H430" t="n">
        <x:f>Dashboard_Live_Data!M184</x:f>
        <x:v>-81660.1874346211</x:v>
      </x:c>
    </x:row>
    <x:row r="431">
      <x:c r="A431" t="n">
        <x:f>Dashboard_Live_Data!I185</x:f>
        <x:v>0.525</x:v>
      </x:c>
      <x:c r="B431" t="n">
        <x:f>Dashboard_Live_Data!J185</x:f>
        <x:v>-3.089673071670859</x:v>
      </x:c>
      <x:c r="C431" t="n">
        <x:f>Dashboard_Live_Data!I185</x:f>
        <x:v>0.525</x:v>
      </x:c>
      <x:c r="D431" t="n">
        <x:f>Dashboard_Live_Data!K185</x:f>
        <x:v>-32825.87746268808</x:v>
      </x:c>
      <x:c r="E431" t="n">
        <x:f>Dashboard_Live_Data!I185</x:f>
        <x:v>0.525</x:v>
      </x:c>
      <x:c r="F431" t="n">
        <x:f>Dashboard_Live_Data!L185</x:f>
        <x:v>-80568.7736811837</x:v>
      </x:c>
      <x:c r="G431" t="n">
        <x:f>Dashboard_Live_Data!I185</x:f>
        <x:v>0.525</x:v>
      </x:c>
      <x:c r="H431" t="n">
        <x:f>Dashboard_Live_Data!M185</x:f>
        <x:v>-83611.75944718669</x:v>
      </x:c>
    </x:row>
    <x:row r="432">
      <x:c r="A432" t="n">
        <x:f>Dashboard_Live_Data!I186</x:f>
        <x:v>0.533</x:v>
      </x:c>
      <x:c r="B432" t="n">
        <x:f>Dashboard_Live_Data!J186</x:f>
        <x:v>-3.243653659340225</x:v>
      </x:c>
      <x:c r="C432" t="n">
        <x:f>Dashboard_Live_Data!I186</x:f>
        <x:v>0.533</x:v>
      </x:c>
      <x:c r="D432" t="n">
        <x:f>Dashboard_Live_Data!K186</x:f>
        <x:v>-33749.98145308635</x:v>
      </x:c>
      <x:c r="E432" t="n">
        <x:f>Dashboard_Live_Data!I186</x:f>
        <x:v>0.533</x:v>
      </x:c>
      <x:c r="F432" t="n">
        <x:f>Dashboard_Live_Data!L186</x:f>
        <x:v>-82494.11644292518</x:v>
      </x:c>
      <x:c r="G432" t="n">
        <x:f>Dashboard_Live_Data!I186</x:f>
        <x:v>0.533</x:v>
      </x:c>
      <x:c r="H432" t="n">
        <x:f>Dashboard_Live_Data!M186</x:f>
        <x:v>-85567.97437946207</x:v>
      </x:c>
    </x:row>
    <x:row r="433">
      <x:c r="A433" t="n">
        <x:f>Dashboard_Live_Data!I187</x:f>
        <x:v>0.542</x:v>
      </x:c>
      <x:c r="B433" t="n">
        <x:f>Dashboard_Live_Data!J187</x:f>
        <x:v>-3.423937371721422</x:v>
      </x:c>
      <x:c r="C433" t="n">
        <x:f>Dashboard_Live_Data!I187</x:f>
        <x:v>0.542</x:v>
      </x:c>
      <x:c r="D433" t="n">
        <x:f>Dashboard_Live_Data!K187</x:f>
        <x:v>-34798.54556291025</x:v>
      </x:c>
      <x:c r="E433" t="n">
        <x:f>Dashboard_Live_Data!I187</x:f>
        <x:v>0.542</x:v>
      </x:c>
      <x:c r="F433" t="n">
        <x:f>Dashboard_Live_Data!L187</x:f>
        <x:v>-84665.8371283485</x:v>
      </x:c>
      <x:c r="G433" t="n">
        <x:f>Dashboard_Live_Data!I187</x:f>
        <x:v>0.542</x:v>
      </x:c>
      <x:c r="H433" t="n">
        <x:f>Dashboard_Live_Data!M187</x:f>
        <x:v>-87773.67562430893</x:v>
      </x:c>
    </x:row>
    <x:row r="434">
      <x:c r="A434" t="n">
        <x:f>Dashboard_Live_Data!I188</x:f>
        <x:v>0.55</x:v>
      </x:c>
      <x:c r="B434" t="n">
        <x:f>Dashboard_Live_Data!J188</x:f>
        <x:v>-3.590635671074324</x:v>
      </x:c>
      <x:c r="C434" t="n">
        <x:f>Dashboard_Live_Data!I188</x:f>
        <x:v>0.55</x:v>
      </x:c>
      <x:c r="D434" t="n">
        <x:f>Dashboard_Live_Data!K188</x:f>
        <x:v>-35738.342299056225</x:v>
      </x:c>
      <x:c r="E434" t="n">
        <x:f>Dashboard_Live_Data!I188</x:f>
        <x:v>0.55</x:v>
      </x:c>
      <x:c r="F434" t="n">
        <x:f>Dashboard_Live_Data!L188</x:f>
        <x:v>-86600.81524649766</x:v>
      </x:c>
      <x:c r="G434" t="n">
        <x:f>Dashboard_Live_Data!I188</x:f>
        <x:v>0.55</x:v>
      </x:c>
      <x:c r="H434" t="n">
        <x:f>Dashboard_Live_Data!M188</x:f>
        <x:v>-89738.19699014083</x:v>
      </x:c>
    </x:row>
    <x:row r="435">
      <x:c r="A435" t="n">
        <x:f>Dashboard_Live_Data!I189</x:f>
        <x:v>0.558</x:v>
      </x:c>
      <x:c r="B435" t="n">
        <x:f>Dashboard_Live_Data!J189</x:f>
        <x:v>-3.763567414630188</x:v>
      </x:c>
      <x:c r="C435" t="n">
        <x:f>Dashboard_Live_Data!I189</x:f>
        <x:v>0.558</x:v>
      </x:c>
      <x:c r="D435" t="n">
        <x:f>Dashboard_Live_Data!K189</x:f>
        <x:v>-36685.22606722002</x:v>
      </x:c>
      <x:c r="E435" t="n">
        <x:f>Dashboard_Live_Data!I189</x:f>
        <x:v>0.558</x:v>
      </x:c>
      <x:c r="F435" t="n">
        <x:f>Dashboard_Live_Data!L189</x:f>
        <x:v>-88539.61228230715</x:v>
      </x:c>
      <x:c r="G435" t="n">
        <x:f>Dashboard_Live_Data!I189</x:f>
        <x:v>0.558</x:v>
      </x:c>
      <x:c r="H435" t="n">
        <x:f>Dashboard_Live_Data!M189</x:f>
        <x:v>-91705.91995911617</x:v>
      </x:c>
    </x:row>
    <x:row r="436">
      <x:c r="A436" t="n">
        <x:f>Dashboard_Live_Data!I190</x:f>
        <x:v>0.567</x:v>
      </x:c>
      <x:c r="B436" t="n">
        <x:f>Dashboard_Live_Data!J190</x:f>
        <x:v>-3.965768378529674</x:v>
      </x:c>
      <x:c r="C436" t="n">
        <x:f>Dashboard_Live_Data!I190</x:f>
        <x:v>0.567</x:v>
      </x:c>
      <x:c r="D436" t="n">
        <x:f>Dashboard_Live_Data!K190</x:f>
        <x:v>-37758.70950600899</x:v>
      </x:c>
      <x:c r="E436" t="n">
        <x:f>Dashboard_Live_Data!I190</x:f>
        <x:v>0.567</x:v>
      </x:c>
      <x:c r="F436" t="n">
        <x:f>Dashboard_Live_Data!L190</x:f>
        <x:v>-90724.77444856253</x:v>
      </x:c>
      <x:c r="G436" t="n">
        <x:f>Dashboard_Live_Data!I190</x:f>
        <x:v>0.567</x:v>
      </x:c>
      <x:c r="H436" t="n">
        <x:f>Dashboard_Live_Data!M190</x:f>
        <x:v>-93922.89271885797</x:v>
      </x:c>
    </x:row>
    <x:row r="437">
      <x:c r="A437" t="n">
        <x:f>Dashboard_Live_Data!I191</x:f>
        <x:v>0.575</x:v>
      </x:c>
      <x:c r="B437" t="n">
        <x:f>Dashboard_Live_Data!J191</x:f>
        <x:v>-4.152486814658005</x:v>
      </x:c>
      <x:c r="C437" t="n">
        <x:f>Dashboard_Live_Data!I191</x:f>
        <x:v>0.575</x:v>
      </x:c>
      <x:c r="D437" t="n">
        <x:f>Dashboard_Live_Data!K191</x:f>
        <x:v>-38720.0379034832</x:v>
      </x:c>
      <x:c r="E437" t="n">
        <x:f>Dashboard_Live_Data!I191</x:f>
        <x:v>0.575</x:v>
      </x:c>
      <x:c r="F437" t="n">
        <x:f>Dashboard_Live_Data!L191</x:f>
        <x:v>-92670.23504071141</x:v>
      </x:c>
      <x:c r="G437" t="n">
        <x:f>Dashboard_Live_Data!I191</x:f>
        <x:v>0.575</x:v>
      </x:c>
      <x:c r="H437" t="n">
        <x:f>Dashboard_Live_Data!M191</x:f>
        <x:v>-95895.98581265062</x:v>
      </x:c>
    </x:row>
    <x:row r="438">
      <x:c r="A438" t="n">
        <x:f>Dashboard_Live_Data!I192</x:f>
        <x:v>0.583</x:v>
      </x:c>
      <x:c r="B438" t="n">
        <x:f>Dashboard_Live_Data!J192</x:f>
        <x:v>-4.3459520128728855</x:v>
      </x:c>
      <x:c r="C438" t="n">
        <x:f>Dashboard_Live_Data!I192</x:f>
        <x:v>0.583</x:v>
      </x:c>
      <x:c r="D438" t="n">
        <x:f>Dashboard_Live_Data!K192</x:f>
        <x:v>-39687.88058628062</x:v>
      </x:c>
      <x:c r="E438" t="n">
        <x:f>Dashboard_Live_Data!I192</x:f>
        <x:v>0.583</x:v>
      </x:c>
      <x:c r="F438" t="n">
        <x:f>Dashboard_Live_Data!L192</x:f>
        <x:v>-94618.17278073911</x:v>
      </x:c>
      <x:c r="G438" t="n">
        <x:f>Dashboard_Live_Data!I192</x:f>
        <x:v>0.583</x:v>
      </x:c>
      <x:c r="H438" t="n">
        <x:f>Dashboard_Live_Data!M192</x:f>
        <x:v>-97870.95642178803</x:v>
      </x:c>
    </x:row>
    <x:row r="439">
      <x:c r="A439" t="n">
        <x:f>Dashboard_Live_Data!I193</x:f>
        <x:v>0.592</x:v>
      </x:c>
      <x:c r="B439" t="n">
        <x:f>Dashboard_Live_Data!J193</x:f>
        <x:v>-4.571874809995052</x:v>
      </x:c>
      <x:c r="C439" t="n">
        <x:f>Dashboard_Live_Data!I193</x:f>
        <x:v>0.592</x:v>
      </x:c>
      <x:c r="D439" t="n">
        <x:f>Dashboard_Live_Data!K193</x:f>
        <x:v>-40784.26967339731</x:v>
      </x:c>
      <x:c r="E439" t="n">
        <x:f>Dashboard_Live_Data!I193</x:f>
        <x:v>0.592</x:v>
      </x:c>
      <x:c r="F439" t="n">
        <x:f>Dashboard_Live_Data!L193</x:f>
        <x:v>-96812.05822906029</x:v>
      </x:c>
      <x:c r="G439" t="n">
        <x:f>Dashboard_Live_Data!I193</x:f>
        <x:v>0.592</x:v>
      </x:c>
      <x:c r="H439" t="n">
        <x:f>Dashboard_Live_Data!M193</x:f>
        <x:v>-100094.54459469789</x:v>
      </x:c>
    </x:row>
    <x:row r="440">
      <x:c r="A440" t="n">
        <x:f>Dashboard_Live_Data!I194</x:f>
        <x:v>0.6</x:v>
      </x:c>
      <x:c r="B440" t="n">
        <x:f>Dashboard_Live_Data!J194</x:f>
        <x:v>-4.780239127223922</x:v>
      </x:c>
      <x:c r="C440" t="n">
        <x:f>Dashboard_Live_Data!I194</x:f>
        <x:v>0.6</x:v>
      </x:c>
      <x:c r="D440" t="n">
        <x:f>Dashboard_Live_Data!K194</x:f>
        <x:v>-41765.370410184376</x:v>
      </x:c>
      <x:c r="E440" t="n">
        <x:f>Dashboard_Live_Data!I194</x:f>
        <x:v>0.6</x:v>
      </x:c>
      <x:c r="F440" t="n">
        <x:f>Dashboard_Live_Data!L194</x:f>
        <x:v>-98763.92423983713</x:v>
      </x:c>
      <x:c r="G440" t="n">
        <x:f>Dashboard_Live_Data!I194</x:f>
        <x:v>0.6</x:v>
      </x:c>
      <x:c r="H440" t="n">
        <x:f>Dashboard_Live_Data!M194</x:f>
        <x:v>-102072.18940950758</x:v>
      </x:c>
    </x:row>
    <x:row r="441">
      <x:c r="A441" t="n">
        <x:f>Dashboard_Live_Data!I195</x:f>
        <x:v>0.608</x:v>
      </x:c>
      <x:c r="B441" t="n">
        <x:f>Dashboard_Live_Data!J195</x:f>
        <x:v>-4.995883813084447</x:v>
      </x:c>
      <x:c r="C441" t="n">
        <x:f>Dashboard_Live_Data!I195</x:f>
        <x:v>0.608</x:v>
      </x:c>
      <x:c r="D441" t="n">
        <x:f>Dashboard_Live_Data!K195</x:f>
        <x:v>-42752.441205505645</x:v>
      </x:c>
      <x:c r="E441" t="n">
        <x:f>Dashboard_Live_Data!I195</x:f>
        <x:v>0.608</x:v>
      </x:c>
      <x:c r="F441" t="n">
        <x:f>Dashboard_Live_Data!L195</x:f>
        <x:v>-100717.0331168441</x:v>
      </x:c>
      <x:c r="G441" t="n">
        <x:f>Dashboard_Live_Data!I195</x:f>
        <x:v>0.608</x:v>
      </x:c>
      <x:c r="H441" t="n">
        <x:f>Dashboard_Live_Data!M195</x:f>
        <x:v>-104050.49672552545</x:v>
      </x:c>
    </x:row>
    <x:row r="442">
      <x:c r="A442" t="n">
        <x:f>Dashboard_Live_Data!I196</x:f>
        <x:v>0.617</x:v>
      </x:c>
      <x:c r="B442" t="n">
        <x:f>Dashboard_Live_Data!J196</x:f>
        <x:v>-5.247404357237883</x:v>
      </x:c>
      <x:c r="C442" t="n">
        <x:f>Dashboard_Live_Data!I196</x:f>
        <x:v>0.617</x:v>
      </x:c>
      <x:c r="D442" t="n">
        <x:f>Dashboard_Live_Data!K196</x:f>
        <x:v>-43869.822519639056</x:v>
      </x:c>
      <x:c r="E442" t="n">
        <x:f>Dashboard_Live_Data!I196</x:f>
        <x:v>0.617</x:v>
      </x:c>
      <x:c r="F442" t="n">
        <x:f>Dashboard_Live_Data!L196</x:f>
        <x:v>-102915.30156679449</x:v>
      </x:c>
      <x:c r="G442" t="n">
        <x:f>Dashboard_Live_Data!I196</x:f>
        <x:v>0.617</x:v>
      </x:c>
      <x:c r="H442" t="n">
        <x:f>Dashboard_Live_Data!M196</x:f>
        <x:v>-106276.42770998081</x:v>
      </x:c>
    </x:row>
    <x:row r="443">
      <x:c r="A443" t="n">
        <x:f>Dashboard_Live_Data!I197</x:f>
        <x:v>0.625</x:v>
      </x:c>
      <x:c r="B443" t="n">
        <x:f>Dashboard_Live_Data!J197</x:f>
        <x:v>-5.479103372775171</x:v>
      </x:c>
      <x:c r="C443" t="n">
        <x:f>Dashboard_Live_Data!I197</x:f>
        <x:v>0.625</x:v>
      </x:c>
      <x:c r="D443" t="n">
        <x:f>Dashboard_Live_Data!K197</x:f>
        <x:v>-44869.024435891464</x:v>
      </x:c>
      <x:c r="E443" t="n">
        <x:f>Dashboard_Live_Data!I197</x:f>
        <x:v>0.625</x:v>
      </x:c>
      <x:c r="F443" t="n">
        <x:f>Dashboard_Live_Data!L197</x:f>
        <x:v>-104869.82387216578</x:v>
      </x:c>
      <x:c r="G443" t="n">
        <x:f>Dashboard_Live_Data!I197</x:f>
        <x:v>0.625</x:v>
      </x:c>
      <x:c r="H443" t="n">
        <x:f>Dashboard_Live_Data!M197</x:f>
        <x:v>-108254.93665267841</x:v>
      </x:c>
    </x:row>
    <x:row r="444">
      <x:c r="A444" t="n">
        <x:f>Dashboard_Live_Data!I198</x:f>
        <x:v>0.633</x:v>
      </x:c>
      <x:c r="B444" t="n">
        <x:f>Dashboard_Live_Data!J198</x:f>
        <x:v>-5.718636339065142</x:v>
      </x:c>
      <x:c r="C444" t="n">
        <x:f>Dashboard_Live_Data!I198</x:f>
        <x:v>0.633</x:v>
      </x:c>
      <x:c r="D444" t="n">
        <x:f>Dashboard_Live_Data!K198</x:f>
        <x:v>-45873.67978905518</x:v>
      </x:c>
      <x:c r="E444" t="n">
        <x:f>Dashboard_Live_Data!I198</x:f>
        <x:v>0.633</x:v>
      </x:c>
      <x:c r="F444" t="n">
        <x:f>Dashboard_Live_Data!L198</x:f>
        <x:v>-106824.4548063119</x:v>
      </x:c>
      <x:c r="G444" t="n">
        <x:f>Dashboard_Live_Data!I198</x:f>
        <x:v>0.633</x:v>
      </x:c>
      <x:c r="H444" t="n">
        <x:f>Dashboard_Live_Data!M198</x:f>
        <x:v>-110232.99428005761</x:v>
      </x:c>
    </x:row>
    <x:row r="445">
      <x:c r="A445" t="n">
        <x:f>Dashboard_Live_Data!I199</x:f>
        <x:v>0.642</x:v>
      </x:c>
      <x:c r="B445" t="n">
        <x:f>Dashboard_Live_Data!J199</x:f>
        <x:v>-5.997700776976217</x:v>
      </x:c>
      <x:c r="C445" t="n">
        <x:f>Dashboard_Live_Data!I199</x:f>
        <x:v>0.642</x:v>
      </x:c>
      <x:c r="D445" t="n">
        <x:f>Dashboard_Live_Data!K199</x:f>
        <x:v>-47010.23695345006</x:v>
      </x:c>
      <x:c r="E445" t="n">
        <x:f>Dashboard_Live_Data!I199</x:f>
        <x:v>0.642</x:v>
      </x:c>
      <x:c r="F445" t="n">
        <x:f>Dashboard_Live_Data!L199</x:f>
        <x:v>-109023.11773384197</x:v>
      </x:c>
      <x:c r="G445" t="n">
        <x:f>Dashboard_Live_Data!I199</x:f>
        <x:v>0.642</x:v>
      </x:c>
      <x:c r="H445" t="n">
        <x:f>Dashboard_Live_Data!M199</x:f>
        <x:v>-112457.3512933722</x:v>
      </x:c>
    </x:row>
    <x:row r="446">
      <x:c r="A446" t="n">
        <x:f>Dashboard_Live_Data!I200</x:f>
        <x:v>0.65</x:v>
      </x:c>
      <x:c r="B446" t="n">
        <x:f>Dashboard_Live_Data!J200</x:f>
        <x:v>-6.254485391421895</x:v>
      </x:c>
      <x:c r="C446" t="n">
        <x:f>Dashboard_Live_Data!I200</x:f>
        <x:v>0.65</x:v>
      </x:c>
      <x:c r="D446" t="n">
        <x:f>Dashboard_Live_Data!K200</x:f>
        <x:v>-48025.954152811115</x:v>
      </x:c>
      <x:c r="E446" t="n">
        <x:f>Dashboard_Live_Data!I200</x:f>
        <x:v>0.65</x:v>
      </x:c>
      <x:c r="F446" t="n">
        <x:f>Dashboard_Live_Data!L200</x:f>
        <x:v>-110976.85216755129</x:v>
      </x:c>
      <x:c r="G446" t="n">
        <x:f>Dashboard_Live_Data!I200</x:f>
        <x:v>0.65</x:v>
      </x:c>
      <x:c r="H446" t="n">
        <x:f>Dashboard_Live_Data!M200</x:f>
        <x:v>-114433.34492030981</x:v>
      </x:c>
    </x:row>
    <x:row r="447">
      <x:c r="A447" t="n">
        <x:f>Dashboard_Live_Data!I201</x:f>
        <x:v>0.658</x:v>
      </x:c>
      <x:c r="B447" t="n">
        <x:f>Dashboard_Live_Data!J201</x:f>
        <x:v>-6.51967719021377</x:v>
      </x:c>
      <x:c r="C447" t="n">
        <x:f>Dashboard_Live_Data!I201</x:f>
        <x:v>0.658</x:v>
      </x:c>
      <x:c r="D447" t="n">
        <x:f>Dashboard_Live_Data!K201</x:f>
        <x:v>-49046.63482196606</x:v>
      </x:c>
      <x:c r="E447" t="n">
        <x:f>Dashboard_Live_Data!I201</x:f>
        <x:v>0.658</x:v>
      </x:c>
      <x:c r="F447" t="n">
        <x:f>Dashboard_Live_Data!L201</x:f>
        <x:v>-112929.65387596656</x:v>
      </x:c>
      <x:c r="G447" t="n">
        <x:f>Dashboard_Live_Data!I201</x:f>
        <x:v>0.658</x:v>
      </x:c>
      <x:c r="H447" t="n">
        <x:f>Dashboard_Live_Data!M201</x:f>
        <x:v>-116407.86707581836</x:v>
      </x:c>
    </x:row>
    <x:row r="448">
      <x:c r="A448" t="n">
        <x:f>Dashboard_Live_Data!I202</x:f>
        <x:v>0.667</x:v>
      </x:c>
      <x:c r="B448" t="n">
        <x:f>Dashboard_Live_Data!J202</x:f>
        <x:v>-6.828300748499714</x:v>
      </x:c>
      <x:c r="C448" t="n">
        <x:f>Dashboard_Live_Data!I202</x:f>
        <x:v>0.667</x:v>
      </x:c>
      <x:c r="D448" t="n">
        <x:f>Dashboard_Live_Data!K202</x:f>
        <x:v>-50200.64516336979</x:v>
      </x:c>
      <x:c r="E448" t="n">
        <x:f>Dashboard_Live_Data!I202</x:f>
        <x:v>0.667</x:v>
      </x:c>
      <x:c r="F448" t="n">
        <x:f>Dashboard_Live_Data!L202</x:f>
        <x:v>-115125.04934461691</x:v>
      </x:c>
      <x:c r="G448" t="n">
        <x:f>Dashboard_Live_Data!I202</x:f>
        <x:v>0.667</x:v>
      </x:c>
      <x:c r="H448" t="n">
        <x:f>Dashboard_Live_Data!M202</x:f>
        <x:v>-118627.06266188357</x:v>
      </x:c>
    </x:row>
    <x:row r="449">
      <x:c r="A449" t="n">
        <x:f>Dashboard_Live_Data!I203</x:f>
        <x:v>0.675</x:v>
      </x:c>
      <x:c r="B449" t="n">
        <x:f>Dashboard_Live_Data!J203</x:f>
        <x:v>-7.111982920109767</x:v>
      </x:c>
      <x:c r="C449" t="n">
        <x:f>Dashboard_Live_Data!I203</x:f>
        <x:v>0.675</x:v>
      </x:c>
      <x:c r="D449" t="n">
        <x:f>Dashboard_Live_Data!K203</x:f>
        <x:v>-51231.374010913656</x:v>
      </x:c>
      <x:c r="E449" t="n">
        <x:f>Dashboard_Live_Data!I203</x:f>
        <x:v>0.675</x:v>
      </x:c>
      <x:c r="F449" t="n">
        <x:f>Dashboard_Live_Data!L203</x:f>
        <x:v>-117074.83465957025</x:v>
      </x:c>
      <x:c r="G449" t="n">
        <x:f>Dashboard_Live_Data!I203</x:f>
        <x:v>0.675</x:v>
      </x:c>
      <x:c r="H449" t="n">
        <x:f>Dashboard_Live_Data!M203</x:f>
        <x:v>-120597.44652148281</x:v>
      </x:c>
    </x:row>
    <x:row r="450">
      <x:c r="A450" t="n">
        <x:f>Dashboard_Live_Data!I204</x:f>
        <x:v>0.683</x:v>
      </x:c>
      <x:c r="B450" t="n">
        <x:f>Dashboard_Live_Data!J204</x:f>
        <x:v>-7.404664824446172</x:v>
      </x:c>
      <x:c r="C450" t="n">
        <x:f>Dashboard_Live_Data!I204</x:f>
        <x:v>0.683</x:v>
      </x:c>
      <x:c r="D450" t="n">
        <x:f>Dashboard_Live_Data!K204</x:f>
        <x:v>-52266.60203742246</x:v>
      </x:c>
      <x:c r="E450" t="n">
        <x:f>Dashboard_Live_Data!I204</x:f>
        <x:v>0.683</x:v>
      </x:c>
      <x:c r="F450" t="n">
        <x:f>Dashboard_Live_Data!L204</x:f>
        <x:v>-119022.73194468833</x:v>
      </x:c>
      <x:c r="G450" t="n">
        <x:f>Dashboard_Live_Data!I204</x:f>
        <x:v>0.683</x:v>
      </x:c>
      <x:c r="H450" t="n">
        <x:f>Dashboard_Live_Data!M204</x:f>
        <x:v>-122565.42525707473</x:v>
      </x:c>
    </x:row>
    <x:row r="451">
      <x:c r="A451" t="n">
        <x:f>Dashboard_Live_Data!I205</x:f>
        <x:v>0.692</x:v>
      </x:c>
      <x:c r="B451" t="n">
        <x:f>Dashboard_Live_Data!J205</x:f>
        <x:v>-7.744930637363723</x:v>
      </x:c>
      <x:c r="C451" t="n">
        <x:f>Dashboard_Live_Data!I205</x:f>
        <x:v>0.692</x:v>
      </x:c>
      <x:c r="D451" t="n">
        <x:f>Dashboard_Live_Data!K205</x:f>
        <x:v>-53436.43314820457</x:v>
      </x:c>
      <x:c r="E451" t="n">
        <x:f>Dashboard_Live_Data!I205</x:f>
        <x:v>0.692</x:v>
      </x:c>
      <x:c r="F451" t="n">
        <x:f>Dashboard_Live_Data!L205</x:f>
        <x:v>-121211.50058427514</x:v>
      </x:c>
      <x:c r="G451" t="n">
        <x:f>Dashboard_Live_Data!I205</x:f>
        <x:v>0.692</x:v>
      </x:c>
      <x:c r="H451" t="n">
        <x:f>Dashboard_Live_Data!M205</x:f>
        <x:v>-124776.17612891932</x:v>
      </x:c>
    </x:row>
    <x:row r="452">
      <x:c r="A452" t="n">
        <x:f>Dashboard_Live_Data!I206</x:f>
        <x:v>0.7</x:v>
      </x:c>
      <x:c r="B452" t="n">
        <x:f>Dashboard_Live_Data!J206</x:f>
        <x:v>-8.057382321536807</x:v>
      </x:c>
      <x:c r="C452" t="n">
        <x:f>Dashboard_Live_Data!I206</x:f>
        <x:v>0.7</x:v>
      </x:c>
      <x:c r="D452" t="n">
        <x:f>Dashboard_Live_Data!K206</x:f>
        <x:v>-54480.74919119819</x:v>
      </x:c>
      <x:c r="E452" t="n">
        <x:f>Dashboard_Live_Data!I206</x:f>
        <x:v>0.7</x:v>
      </x:c>
      <x:c r="F452" t="n">
        <x:f>Dashboard_Live_Data!L206</x:f>
        <x:v>-123154.43747008915</x:v>
      </x:c>
      <x:c r="G452" t="n">
        <x:f>Dashboard_Live_Data!I206</x:f>
        <x:v>0.7</x:v>
      </x:c>
      <x:c r="H452" t="n">
        <x:f>Dashboard_Live_Data!M206</x:f>
        <x:v>-126738.11882360443</x:v>
      </x:c>
    </x:row>
    <x:row r="453">
      <x:c r="A453" t="n">
        <x:f>Dashboard_Live_Data!I207</x:f>
        <x:v>0.708</x:v>
      </x:c>
      <x:c r="B453" t="n">
        <x:f>Dashboard_Live_Data!J207</x:f>
        <x:v>-8.379445258978194</x:v>
      </x:c>
      <x:c r="C453" t="n">
        <x:f>Dashboard_Live_Data!I207</x:f>
        <x:v>0.708</x:v>
      </x:c>
      <x:c r="D453" t="n">
        <x:f>Dashboard_Live_Data!K207</x:f>
        <x:v>-55529.124801208076</x:v>
      </x:c>
      <x:c r="E453" t="n">
        <x:f>Dashboard_Live_Data!I207</x:f>
        <x:v>0.708</x:v>
      </x:c>
      <x:c r="F453" t="n">
        <x:f>Dashboard_Live_Data!L207</x:f>
        <x:v>-125094.61059367246</x:v>
      </x:c>
      <x:c r="G453" t="n">
        <x:f>Dashboard_Live_Data!I207</x:f>
        <x:v>0.708</x:v>
      </x:c>
      <x:c r="H453" t="n">
        <x:f>Dashboard_Live_Data!M207</x:f>
        <x:v>-128696.80249462544</x:v>
      </x:c>
    </x:row>
    <x:row r="454">
      <x:c r="A454" t="n">
        <x:f>Dashboard_Live_Data!I208</x:f>
        <x:v>0.717</x:v>
      </x:c>
      <x:c r="B454" t="n">
        <x:f>Dashboard_Live_Data!J208</x:f>
        <x:v>-8.753503156986426</x:v>
      </x:c>
      <x:c r="C454" t="n">
        <x:f>Dashboard_Live_Data!I208</x:f>
        <x:v>0.717</x:v>
      </x:c>
      <x:c r="D454" t="n">
        <x:f>Dashboard_Live_Data!K208</x:f>
        <x:v>-56713.231033901524</x:v>
      </x:c>
      <x:c r="E454" t="n">
        <x:f>Dashboard_Live_Data!I208</x:f>
        <x:v>0.717</x:v>
      </x:c>
      <x:c r="F454" t="n">
        <x:f>Dashboard_Live_Data!L208</x:f>
        <x:v>-127273.67283059817</x:v>
      </x:c>
      <x:c r="G454" t="n">
        <x:f>Dashboard_Live_Data!I208</x:f>
        <x:v>0.717</x:v>
      </x:c>
      <x:c r="H454" t="n">
        <x:f>Dashboard_Live_Data!M208</x:f>
        <x:v>-130896.1058035729</x:v>
      </x:c>
    </x:row>
    <x:row r="455">
      <x:c r="A455" t="n">
        <x:f>Dashboard_Live_Data!I209</x:f>
        <x:v>0.725</x:v>
      </x:c>
      <x:c r="B455" t="n">
        <x:f>Dashboard_Live_Data!J209</x:f>
        <x:v>-9.096655219469085</x:v>
      </x:c>
      <x:c r="C455" t="n">
        <x:f>Dashboard_Live_Data!I209</x:f>
        <x:v>0.725</x:v>
      </x:c>
      <x:c r="D455" t="n">
        <x:f>Dashboard_Live_Data!K209</x:f>
        <x:v>-57769.785871170316</x:v>
      </x:c>
      <x:c r="E455" t="n">
        <x:f>Dashboard_Live_Data!I209</x:f>
        <x:v>0.725</x:v>
      </x:c>
      <x:c r="F455" t="n">
        <x:f>Dashboard_Live_Data!L209</x:f>
        <x:v>-129207.10406628711</x:v>
      </x:c>
      <x:c r="G455" t="n">
        <x:f>Dashboard_Live_Data!I209</x:f>
        <x:v>0.725</x:v>
      </x:c>
      <x:c r="H455" t="n">
        <x:f>Dashboard_Live_Data!M209</x:f>
        <x:v>-132847.0183380536</x:v>
      </x:c>
    </x:row>
    <x:row r="456">
      <x:c r="A456" t="n">
        <x:f>Dashboard_Live_Data!I210</x:f>
        <x:v>0.733</x:v>
      </x:c>
      <x:c r="B456" t="n">
        <x:f>Dashboard_Live_Data!J210</x:f>
        <x:v>-9.45004867322723</x:v>
      </x:c>
      <x:c r="C456" t="n">
        <x:f>Dashboard_Live_Data!I210</x:f>
        <x:v>0.733</x:v>
      </x:c>
      <x:c r="D456" t="n">
        <x:f>Dashboard_Live_Data!K210</x:f>
        <x:v>-58829.984333780376</x:v>
      </x:c>
      <x:c r="E456" t="n">
        <x:f>Dashboard_Live_Data!I210</x:f>
        <x:v>0.733</x:v>
      </x:c>
      <x:c r="F456" t="n">
        <x:f>Dashboard_Live_Data!L210</x:f>
        <x:v>-131136.96927609123</x:v>
      </x:c>
      <x:c r="G456" t="n">
        <x:f>Dashboard_Live_Data!I210</x:f>
        <x:v>0.733</x:v>
      </x:c>
      <x:c r="H456" t="n">
        <x:f>Dashboard_Live_Data!M210</x:f>
        <x:v>-134793.8913710381</x:v>
      </x:c>
    </x:row>
    <x:row r="457">
      <x:c r="A457" t="n">
        <x:f>Dashboard_Live_Data!I211</x:f>
        <x:v>0.742</x:v>
      </x:c>
      <x:c r="B457" t="n">
        <x:f>Dashboard_Live_Data!J211</x:f>
        <x:v>-9.86011393674653</x:v>
      </x:c>
      <x:c r="C457" t="n">
        <x:f>Dashboard_Live_Data!I211</x:f>
        <x:v>0.742</x:v>
      </x:c>
      <x:c r="D457" t="n">
        <x:f>Dashboard_Live_Data!K211</x:f>
        <x:v>-60026.903256236474</x:v>
      </x:c>
      <x:c r="E457" t="n">
        <x:f>Dashboard_Live_Data!I211</x:f>
        <x:v>0.742</x:v>
      </x:c>
      <x:c r="F457" t="n">
        <x:f>Dashboard_Live_Data!L211</x:f>
        <x:v>-133303.50387707388</x:v>
      </x:c>
      <x:c r="G457" t="n">
        <x:f>Dashboard_Live_Data!I211</x:f>
        <x:v>0.742</x:v>
      </x:c>
      <x:c r="H457" t="n">
        <x:f>Dashboard_Live_Data!M211</x:f>
        <x:v>-136979.00244933437</x:v>
      </x:c>
    </x:row>
    <x:row r="458">
      <x:c r="A458" t="n">
        <x:f>Dashboard_Live_Data!I212</x:f>
        <x:v>0.75</x:v>
      </x:c>
      <x:c r="B458" t="n">
        <x:f>Dashboard_Live_Data!J212</x:f>
        <x:v>-10.235955038383963</x:v>
      </x:c>
      <x:c r="C458" t="n">
        <x:f>Dashboard_Live_Data!I212</x:f>
        <x:v>0.75</x:v>
      </x:c>
      <x:c r="D458" t="n">
        <x:f>Dashboard_Live_Data!K212</x:f>
        <x:v>-61094.421380709784</x:v>
      </x:c>
      <x:c r="E458" t="n">
        <x:f>Dashboard_Live_Data!I212</x:f>
        <x:v>0.75</x:v>
      </x:c>
      <x:c r="F458" t="n">
        <x:f>Dashboard_Live_Data!L212</x:f>
        <x:v>-135224.99566257387</x:v>
      </x:c>
      <x:c r="G458" t="n">
        <x:f>Dashboard_Live_Data!I212</x:f>
        <x:v>0.75</x:v>
      </x:c>
      <x:c r="H458" t="n">
        <x:f>Dashboard_Live_Data!M212</x:f>
        <x:v>-138916.5188951826</x:v>
      </x:c>
    </x:row>
    <x:row r="459">
      <x:c r="A459" t="n">
        <x:f>Dashboard_Live_Data!I213</x:f>
        <x:v>0.758</x:v>
      </x:c>
      <x:c r="B459" t="n">
        <x:f>Dashboard_Live_Data!J213</x:f>
        <x:v>-10.622685923482095</x:v>
      </x:c>
      <x:c r="C459" t="n">
        <x:f>Dashboard_Live_Data!I213</x:f>
        <x:v>0.758</x:v>
      </x:c>
      <x:c r="D459" t="n">
        <x:f>Dashboard_Live_Data!K213</x:f>
        <x:v>-62165.18984686682</x:v>
      </x:c>
      <x:c r="E459" t="n">
        <x:f>Dashboard_Live_Data!I213</x:f>
        <x:v>0.758</x:v>
      </x:c>
      <x:c r="F459" t="n">
        <x:f>Dashboard_Live_Data!L213</x:f>
        <x:v>-137142.1869054522</x:v>
      </x:c>
      <x:c r="G459" t="n">
        <x:f>Dashboard_Live_Data!I213</x:f>
        <x:v>0.758</x:v>
      </x:c>
      <x:c r="H459" t="n">
        <x:f>Dashboard_Live_Data!M213</x:f>
        <x:v>-140849.28287495405</x:v>
      </x:c>
    </x:row>
    <x:row r="460">
      <x:c r="A460" t="n">
        <x:f>Dashboard_Live_Data!I214</x:f>
        <x:v>0.767</x:v>
      </x:c>
      <x:c r="B460" t="n">
        <x:f>Dashboard_Live_Data!J214</x:f>
        <x:v>-11.071038001998204</x:v>
      </x:c>
      <x:c r="C460" t="n">
        <x:f>Dashboard_Live_Data!I214</x:f>
        <x:v>0.767</x:v>
      </x:c>
      <x:c r="D460" t="n">
        <x:f>Dashboard_Live_Data!K214</x:f>
        <x:v>-63373.53868446988</x:v>
      </x:c>
      <x:c r="E460" t="n">
        <x:f>Dashboard_Live_Data!I214</x:f>
        <x:v>0.767</x:v>
      </x:c>
      <x:c r="F460" t="n">
        <x:f>Dashboard_Live_Data!L214</x:f>
        <x:v>-139293.61086167686</x:v>
      </x:c>
      <x:c r="G460" t="n">
        <x:f>Dashboard_Live_Data!I214</x:f>
        <x:v>0.767</x:v>
      </x:c>
      <x:c r="H460" t="n">
        <x:f>Dashboard_Live_Data!M214</x:f>
        <x:v>-143017.6944627408</x:v>
      </x:c>
    </x:row>
    <x:row r="461">
      <x:c r="A461" t="n">
        <x:f>Dashboard_Live_Data!I215</x:f>
        <x:v>0.775</x:v>
      </x:c>
      <x:c r="B461" t="n">
        <x:f>Dashboard_Live_Data!J215</x:f>
        <x:v>-11.481613456182458</x:v>
      </x:c>
      <x:c r="C461" t="n">
        <x:f>Dashboard_Live_Data!I215</x:f>
        <x:v>0.775</x:v>
      </x:c>
      <x:c r="D461" t="n">
        <x:f>Dashboard_Live_Data!K215</x:f>
        <x:v>-64450.81432177829</x:v>
      </x:c>
      <x:c r="E461" t="n">
        <x:f>Dashboard_Live_Data!I215</x:f>
        <x:v>0.775</x:v>
      </x:c>
      <x:c r="F461" t="n">
        <x:f>Dashboard_Live_Data!L215</x:f>
        <x:v>-141200.9353430962</x:v>
      </x:c>
      <x:c r="G461" t="n">
        <x:f>Dashboard_Live_Data!I215</x:f>
        <x:v>0.775</x:v>
      </x:c>
      <x:c r="H461" t="n">
        <x:f>Dashboard_Live_Data!M215</x:f>
        <x:v>-144939.65393967155</x:v>
      </x:c>
    </x:row>
    <x:row r="462">
      <x:c r="A462" t="n">
        <x:f>Dashboard_Live_Data!I216</x:f>
        <x:v>0.783</x:v>
      </x:c>
      <x:c r="B462" t="n">
        <x:f>Dashboard_Live_Data!J216</x:f>
        <x:v>-11.903744966717568</x:v>
      </x:c>
      <x:c r="C462" t="n">
        <x:f>Dashboard_Live_Data!I216</x:f>
        <x:v>0.783</x:v>
      </x:c>
      <x:c r="D462" t="n">
        <x:f>Dashboard_Live_Data!K216</x:f>
        <x:v>-65530.96866610306</x:v>
      </x:c>
      <x:c r="E462" t="n">
        <x:f>Dashboard_Live_Data!I216</x:f>
        <x:v>0.783</x:v>
      </x:c>
      <x:c r="F462" t="n">
        <x:f>Dashboard_Live_Data!L216</x:f>
        <x:v>-143103.28717150204</x:v>
      </x:c>
      <x:c r="G462" t="n">
        <x:f>Dashboard_Live_Data!I216</x:f>
        <x:v>0.783</x:v>
      </x:c>
      <x:c r="H462" t="n">
        <x:f>Dashboard_Live_Data!M216</x:f>
        <x:v>-146856.2100081469</x:v>
      </x:c>
    </x:row>
    <x:row r="463">
      <x:c r="A463" t="n">
        <x:f>Dashboard_Live_Data!I217</x:f>
        <x:v>0.792</x:v>
      </x:c>
      <x:c r="B463" t="n">
        <x:f>Dashboard_Live_Data!J217</x:f>
        <x:v>-12.392726180069985</x:v>
      </x:c>
      <x:c r="C463" t="n">
        <x:f>Dashboard_Live_Data!I217</x:f>
        <x:v>0.792</x:v>
      </x:c>
      <x:c r="D463" t="n">
        <x:f>Dashboard_Live_Data!K217</x:f>
        <x:v>-66749.44075526152</x:v>
      </x:c>
      <x:c r="E463" t="n">
        <x:f>Dashboard_Live_Data!I217</x:f>
        <x:v>0.792</x:v>
      </x:c>
      <x:c r="F463" t="n">
        <x:f>Dashboard_Live_Data!L217</x:f>
        <x:v>-145237.23692226943</x:v>
      </x:c>
      <x:c r="G463" t="n">
        <x:f>Dashboard_Live_Data!I217</x:f>
        <x:v>0.792</x:v>
      </x:c>
      <x:c r="H463" t="n">
        <x:f>Dashboard_Live_Data!M217</x:f>
        <x:v>-149005.63294747737</x:v>
      </x:c>
    </x:row>
    <x:row r="464">
      <x:c r="A464" t="n">
        <x:f>Dashboard_Live_Data!I218</x:f>
        <x:v>0.8</x:v>
      </x:c>
      <x:c r="B464" t="n">
        <x:f>Dashboard_Live_Data!J218</x:f>
        <x:v>-12.84013677697476</x:v>
      </x:c>
      <x:c r="C464" t="n">
        <x:f>Dashboard_Live_Data!I218</x:f>
        <x:v>0.8</x:v>
      </x:c>
      <x:c r="D464" t="n">
        <x:f>Dashboard_Live_Data!K218</x:f>
        <x:v>-67835.33471918713</x:v>
      </x:c>
      <x:c r="E464" t="n">
        <x:f>Dashboard_Live_Data!I218</x:f>
        <x:v>0.8</x:v>
      </x:c>
      <x:c r="F464" t="n">
        <x:f>Dashboard_Live_Data!L218</x:f>
        <x:v>-147128.35590287362</x:v>
      </x:c>
      <x:c r="G464" t="n">
        <x:f>Dashboard_Live_Data!I218</x:f>
        <x:v>0.8</x:v>
      </x:c>
      <x:c r="H464" t="n">
        <x:f>Dashboard_Live_Data!M218</x:f>
        <x:v>-150910.062898851</x:v>
      </x:c>
    </x:row>
    <x:row r="465">
      <x:c r="A465" t="n">
        <x:f>Dashboard_Live_Data!I219</x:f>
        <x:v>0.808</x:v>
      </x:c>
      <x:c r="B465" t="n">
        <x:f>Dashboard_Live_Data!J219</x:f>
        <x:v>-13.299787208880844</x:v>
      </x:c>
      <x:c r="C465" t="n">
        <x:f>Dashboard_Live_Data!I219</x:f>
        <x:v>0.808</x:v>
      </x:c>
      <x:c r="D465" t="n">
        <x:f>Dashboard_Live_Data!K219</x:f>
        <x:v>-68923.75640485117</x:v>
      </x:c>
      <x:c r="E465" t="n">
        <x:f>Dashboard_Live_Data!I219</x:f>
        <x:v>0.808</x:v>
      </x:c>
      <x:c r="F465" t="n">
        <x:f>Dashboard_Live_Data!L219</x:f>
        <x:v>-149013.88756056636</x:v>
      </x:c>
      <x:c r="G465" t="n">
        <x:f>Dashboard_Live_Data!I219</x:f>
        <x:v>0.808</x:v>
      </x:c>
      <x:c r="H465" t="n">
        <x:f>Dashboard_Live_Data!M219</x:f>
        <x:v>-152808.49543699686</x:v>
      </x:c>
    </x:row>
    <x:row r="466">
      <x:c r="A466" t="n">
        <x:f>Dashboard_Live_Data!I220</x:f>
        <x:v>0.817</x:v>
      </x:c>
      <x:c r="B466" t="n">
        <x:f>Dashboard_Live_Data!J220</x:f>
        <x:v>-13.831801402375277</x:v>
      </x:c>
      <x:c r="C466" t="n">
        <x:f>Dashboard_Live_Data!I220</x:f>
        <x:v>0.817</x:v>
      </x:c>
      <x:c r="D466" t="n">
        <x:f>Dashboard_Live_Data!K220</x:f>
        <x:v>-70151.11767949266</x:v>
      </x:c>
      <x:c r="E466" t="n">
        <x:f>Dashboard_Live_Data!I220</x:f>
        <x:v>0.817</x:v>
      </x:c>
      <x:c r="F466" t="n">
        <x:f>Dashboard_Live_Data!L220</x:f>
        <x:v>-151128.20153368788</x:v>
      </x:c>
      <x:c r="G466" t="n">
        <x:f>Dashboard_Live_Data!I220</x:f>
        <x:v>0.817</x:v>
      </x:c>
      <x:c r="H466" t="n">
        <x:f>Dashboard_Live_Data!M220</x:f>
        <x:v>-154936.84079418762</x:v>
      </x:c>
    </x:row>
    <x:row r="467">
      <x:c r="A467" t="n">
        <x:f>Dashboard_Live_Data!I221</x:f>
        <x:v>0.825</x:v>
      </x:c>
      <x:c r="B467" t="n">
        <x:f>Dashboard_Live_Data!J221</x:f>
        <x:v>-14.318202220481453</x:v>
      </x:c>
      <x:c r="C467" t="n">
        <x:f>Dashboard_Live_Data!I221</x:f>
        <x:v>0.825</x:v>
      </x:c>
      <x:c r="D467" t="n">
        <x:f>Dashboard_Live_Data!K221</x:f>
        <x:v>-71244.55426280205</x:v>
      </x:c>
      <x:c r="E467" t="n">
        <x:f>Dashboard_Live_Data!I221</x:f>
        <x:v>0.825</x:v>
      </x:c>
      <x:c r="F467" t="n">
        <x:f>Dashboard_Live_Data!L221</x:f>
        <x:v>-153001.25134490427</x:v>
      </x:c>
      <x:c r="G467" t="n">
        <x:f>Dashboard_Live_Data!I221</x:f>
        <x:v>0.825</x:v>
      </x:c>
      <x:c r="H467" t="n">
        <x:f>Dashboard_Live_Data!M221</x:f>
        <x:v>-156821.9415170548</x:v>
      </x:c>
    </x:row>
    <x:row r="468">
      <x:c r="A468" t="n">
        <x:f>Dashboard_Live_Data!I222</x:f>
        <x:v>0.833</x:v>
      </x:c>
      <x:c r="B468" t="n">
        <x:f>Dashboard_Live_Data!J222</x:f>
        <x:v>-14.817543761564139</x:v>
      </x:c>
      <x:c r="C468" t="n">
        <x:f>Dashboard_Live_Data!I222</x:f>
        <x:v>0.833</x:v>
      </x:c>
      <x:c r="D468" t="n">
        <x:f>Dashboard_Live_Data!K222</x:f>
        <x:v>-72340.18724720035</x:v>
      </x:c>
      <x:c r="E468" t="n">
        <x:f>Dashboard_Live_Data!I222</x:f>
        <x:v>0.833</x:v>
      </x:c>
      <x:c r="F468" t="n">
        <x:f>Dashboard_Live_Data!L222</x:f>
        <x:v>-154868.1520014535</x:v>
      </x:c>
      <x:c r="G468" t="n">
        <x:f>Dashboard_Live_Data!I222</x:f>
        <x:v>0.833</x:v>
      </x:c>
      <x:c r="H468" t="n">
        <x:f>Dashboard_Live_Data!M222</x:f>
        <x:v>-158700.503065868</x:v>
      </x:c>
    </x:row>
    <x:row r="469">
      <x:c r="A469" t="n">
        <x:f>Dashboard_Live_Data!I223</x:f>
        <x:v>0.842</x:v>
      </x:c>
      <x:c r="B469" t="n">
        <x:f>Dashboard_Live_Data!J223</x:f>
        <x:v>-15.39505495210642</x:v>
      </x:c>
      <x:c r="C469" t="n">
        <x:f>Dashboard_Live_Data!I223</x:f>
        <x:v>0.842</x:v>
      </x:c>
      <x:c r="D469" t="n">
        <x:f>Dashboard_Live_Data!K223</x:f>
        <x:v>-73575.27277737437</x:v>
      </x:c>
      <x:c r="E469" t="n">
        <x:f>Dashboard_Live_Data!I223</x:f>
        <x:v>0.842</x:v>
      </x:c>
      <x:c r="F469" t="n">
        <x:f>Dashboard_Live_Data!L223</x:f>
        <x:v>-156960.85443111658</x:v>
      </x:c>
      <x:c r="G469" t="n">
        <x:f>Dashboard_Live_Data!I223</x:f>
        <x:v>0.842</x:v>
      </x:c>
      <x:c r="H469" t="n">
        <x:f>Dashboard_Live_Data!M223</x:f>
        <x:v>-160805.86562780722</x:v>
      </x:c>
    </x:row>
    <x:row r="470">
      <x:c r="A470" t="n">
        <x:f>Dashboard_Live_Data!I224</x:f>
        <x:v>0.85</x:v>
      </x:c>
      <x:c r="B470" t="n">
        <x:f>Dashboard_Live_Data!J224</x:f>
        <x:v>-15.922654129073635</x:v>
      </x:c>
      <x:c r="C470" t="n">
        <x:f>Dashboard_Live_Data!I224</x:f>
        <x:v>0.85</x:v>
      </x:c>
      <x:c r="D470" t="n">
        <x:f>Dashboard_Live_Data!K224</x:f>
        <x:v>-74675.23669418608</x:v>
      </x:c>
      <x:c r="E470" t="n">
        <x:f>Dashboard_Live_Data!I224</x:f>
        <x:v>0.85</x:v>
      </x:c>
      <x:c r="F470" t="n">
        <x:f>Dashboard_Live_Data!L224</x:f>
        <x:v>-158814.13192459266</x:v>
      </x:c>
      <x:c r="G470" t="n">
        <x:f>Dashboard_Live_Data!I224</x:f>
        <x:v>0.85</x:v>
      </x:c>
      <x:c r="H470" t="n">
        <x:f>Dashboard_Live_Data!M224</x:f>
        <x:v>-162669.9960054315</x:v>
      </x:c>
    </x:row>
    <x:row r="471">
      <x:c r="A471" t="n">
        <x:f>Dashboard_Live_Data!I225</x:f>
        <x:v>0.858</x:v>
      </x:c>
      <x:c r="B471" t="n">
        <x:f>Dashboard_Live_Data!J225</x:f>
        <x:v>-16.463911639531943</x:v>
      </x:c>
      <x:c r="C471" t="n">
        <x:f>Dashboard_Live_Data!I225</x:f>
        <x:v>0.858</x:v>
      </x:c>
      <x:c r="D471" t="n">
        <x:f>Dashboard_Live_Data!K225</x:f>
        <x:v>-75777.08439083706</x:v>
      </x:c>
      <x:c r="E471" t="n">
        <x:f>Dashboard_Live_Data!I225</x:f>
        <x:v>0.858</x:v>
      </x:c>
      <x:c r="F471" t="n">
        <x:f>Dashboard_Live_Data!L225</x:f>
        <x:v>-160660.74701629803</x:v>
      </x:c>
      <x:c r="G471" t="n">
        <x:f>Dashboard_Live_Data!I225</x:f>
        <x:v>0.858</x:v>
      </x:c>
      <x:c r="H471" t="n">
        <x:f>Dashboard_Live_Data!M225</x:f>
        <x:v>-164527.0933707741</x:v>
      </x:c>
    </x:row>
    <x:row r="472">
      <x:c r="A472" t="n">
        <x:f>Dashboard_Live_Data!I226</x:f>
        <x:v>0.867</x:v>
      </x:c>
      <x:c r="B472" t="n">
        <x:f>Dashboard_Live_Data!J226</x:f>
        <x:v>-17.089442616799715</x:v>
      </x:c>
      <x:c r="C472" t="n">
        <x:f>Dashboard_Live_Data!I226</x:f>
        <x:v>0.867</x:v>
      </x:c>
      <x:c r="D472" t="n">
        <x:f>Dashboard_Live_Data!K226</x:f>
        <x:v>-77018.79498984448</x:v>
      </x:c>
      <x:c r="E472" t="n">
        <x:f>Dashboard_Live_Data!I226</x:f>
        <x:v>0.867</x:v>
      </x:c>
      <x:c r="F472" t="n">
        <x:f>Dashboard_Live_Data!L226</x:f>
        <x:v>-162730.03298707728</x:v>
      </x:c>
      <x:c r="G472" t="n">
        <x:f>Dashboard_Live_Data!I226</x:f>
        <x:v>0.867</x:v>
      </x:c>
      <x:c r="H472" t="n">
        <x:f>Dashboard_Live_Data!M226</x:f>
        <x:v>-166607.73644990035</x:v>
      </x:c>
    </x:row>
    <x:row r="473">
      <x:c r="A473" t="n">
        <x:f>Dashboard_Live_Data!I227</x:f>
        <x:v>0.875</x:v>
      </x:c>
      <x:c r="B473" t="n">
        <x:f>Dashboard_Live_Data!J227</x:f>
        <x:v>-17.660500113955095</x:v>
      </x:c>
      <x:c r="C473" t="n">
        <x:f>Dashboard_Live_Data!I227</x:f>
        <x:v>0.875</x:v>
      </x:c>
      <x:c r="D473" t="n">
        <x:f>Dashboard_Live_Data!K227</x:f>
        <x:v>-78124.32838336958</x:v>
      </x:c>
      <x:c r="E473" t="n">
        <x:f>Dashboard_Live_Data!I227</x:f>
        <x:v>0.875</x:v>
      </x:c>
      <x:c r="F473" t="n">
        <x:f>Dashboard_Live_Data!L227</x:f>
        <x:v>-164561.98259931064</x:v>
      </x:c>
      <x:c r="G473" t="n">
        <x:f>Dashboard_Live_Data!I227</x:f>
        <x:v>0.875</x:v>
      </x:c>
      <x:c r="H473" t="n">
        <x:f>Dashboard_Live_Data!M227</x:f>
        <x:v>-168449.4008262297</x:v>
      </x:c>
    </x:row>
    <x:row r="474">
      <x:c r="A474" t="n">
        <x:f>Dashboard_Live_Data!I228</x:f>
        <x:v>0.883</x:v>
      </x:c>
      <x:c r="B474" t="n">
        <x:f>Dashboard_Live_Data!J228</x:f>
        <x:v>-18.245949870930872</x:v>
      </x:c>
      <x:c r="C474" t="n">
        <x:f>Dashboard_Live_Data!I228</x:f>
        <x:v>0.883</x:v>
      </x:c>
      <x:c r="D474" t="n">
        <x:f>Dashboard_Live_Data!K228</x:f>
        <x:v>-79231.45069310427</x:v>
      </x:c>
      <x:c r="E474" t="n">
        <x:f>Dashboard_Live_Data!I228</x:f>
        <x:v>0.883</x:v>
      </x:c>
      <x:c r="F474" t="n">
        <x:f>Dashboard_Live_Data!L228</x:f>
        <x:v>-166386.8012256964</x:v>
      </x:c>
      <x:c r="G474" t="n">
        <x:f>Dashboard_Live_Data!I228</x:f>
        <x:v>0.883</x:v>
      </x:c>
      <x:c r="H474" t="n">
        <x:f>Dashboard_Live_Data!M228</x:f>
        <x:v>-170283.5823050193</x:v>
      </x:c>
    </x:row>
    <x:row r="475">
      <x:c r="A475" t="n">
        <x:f>Dashboard_Live_Data!I229</x:f>
        <x:v>0.892</x:v>
      </x:c>
      <x:c r="B475" t="n">
        <x:f>Dashboard_Live_Data!J229</x:f>
        <x:v>-18.922080788589938</x:v>
      </x:c>
      <x:c r="C475" t="n">
        <x:f>Dashboard_Live_Data!I229</x:f>
        <x:v>0.892</x:v>
      </x:c>
      <x:c r="D475" t="n">
        <x:f>Dashboard_Live_Data!K229</x:f>
        <x:v>-80478.74960701005</x:v>
      </x:c>
      <x:c r="E475" t="n">
        <x:f>Dashboard_Live_Data!I229</x:f>
        <x:v>0.892</x:v>
      </x:c>
      <x:c r="F475" t="n">
        <x:f>Dashboard_Live_Data!L229</x:f>
        <x:v>-168431.02288308344</x:v>
      </x:c>
      <x:c r="G475" t="n">
        <x:f>Dashboard_Live_Data!I229</x:f>
        <x:v>0.892</x:v>
      </x:c>
      <x:c r="H475" t="n">
        <x:f>Dashboard_Live_Data!M229</x:f>
        <x:v>-172337.92378063095</x:v>
      </x:c>
    </x:row>
    <x:row r="476">
      <x:c r="A476" t="n">
        <x:f>Dashboard_Live_Data!I230</x:f>
        <x:v>0.9</x:v>
      </x:c>
      <x:c r="B476" t="n">
        <x:f>Dashboard_Live_Data!J230</x:f>
        <x:v>-19.538907124212074</x:v>
      </x:c>
      <x:c r="C476" t="n">
        <x:f>Dashboard_Live_Data!I230</x:f>
        <x:v>0.9</x:v>
      </x:c>
      <x:c r="D476" t="n">
        <x:f>Dashboard_Live_Data!K230</x:f>
        <x:v>-81588.94913418307</x:v>
      </x:c>
      <x:c r="E476" t="n">
        <x:f>Dashboard_Live_Data!I230</x:f>
        <x:v>0.9</x:v>
      </x:c>
      <x:c r="F476" t="n">
        <x:f>Dashboard_Live_Data!L230</x:f>
        <x:v>-170240.22471774745</x:v>
      </x:c>
      <x:c r="G476" t="n">
        <x:f>Dashboard_Live_Data!I230</x:f>
        <x:v>0.9</x:v>
      </x:c>
      <x:c r="H476" t="n">
        <x:f>Dashboard_Live_Data!M230</x:f>
        <x:v>-174155.75991096892</x:v>
      </x:c>
    </x:row>
    <x:row r="477">
      <x:c r="A477" t="n">
        <x:f>Dashboard_Live_Data!I231</x:f>
        <x:v>0.908</x:v>
      </x:c>
      <x:c r="B477" t="n">
        <x:f>Dashboard_Live_Data!J231</x:f>
        <x:v>-20.17087555141279</x:v>
      </x:c>
      <x:c r="C477" t="n">
        <x:f>Dashboard_Live_Data!I231</x:f>
        <x:v>0.908</x:v>
      </x:c>
      <x:c r="D477" t="n">
        <x:f>Dashboard_Live_Data!K231</x:f>
        <x:v>-82700.45955647714</x:v>
      </x:c>
      <x:c r="E477" t="n">
        <x:f>Dashboard_Live_Data!I231</x:f>
        <x:v>0.908</x:v>
      </x:c>
      <x:c r="F477" t="n">
        <x:f>Dashboard_Live_Data!L231</x:f>
        <x:v>-172041.86803726552</x:v>
      </x:c>
      <x:c r="G477" t="n">
        <x:f>Dashboard_Live_Data!I231</x:f>
        <x:v>0.908</x:v>
      </x:c>
      <x:c r="H477" t="n">
        <x:f>Dashboard_Live_Data!M231</x:f>
        <x:v>-175965.70357183574</x:v>
      </x:c>
    </x:row>
    <x:row r="478">
      <x:c r="A478" t="n">
        <x:f>Dashboard_Live_Data!I232</x:f>
        <x:v>0.917</x:v>
      </x:c>
      <x:c r="B478" t="n">
        <x:f>Dashboard_Live_Data!J232</x:f>
        <x:v>-20.90024248669988</x:v>
      </x:c>
      <x:c r="C478" t="n">
        <x:f>Dashboard_Live_Data!I232</x:f>
        <x:v>0.917</x:v>
      </x:c>
      <x:c r="D478" t="n">
        <x:f>Dashboard_Live_Data!K232</x:f>
        <x:v>-83952.36924737085</x:v>
      </x:c>
      <x:c r="E478" t="n">
        <x:f>Dashboard_Live_Data!I232</x:f>
        <x:v>0.917</x:v>
      </x:c>
      <x:c r="F478" t="n">
        <x:f>Dashboard_Live_Data!L232</x:f>
        <x:v>-174059.52189979836</x:v>
      </x:c>
      <x:c r="G478" t="n">
        <x:f>Dashboard_Live_Data!I232</x:f>
        <x:v>0.917</x:v>
      </x:c>
      <x:c r="H478" t="n">
        <x:f>Dashboard_Live_Data!M232</x:f>
        <x:v>-177992.30309147591</x:v>
      </x:c>
    </x:row>
    <x:row r="479">
      <x:c r="A479" t="n">
        <x:f>Dashboard_Live_Data!I233</x:f>
        <x:v>0.925</x:v>
      </x:c>
      <x:c r="B479" t="n">
        <x:f>Dashboard_Live_Data!J233</x:f>
        <x:v>-21.565197447271657</x:v>
      </x:c>
      <x:c r="C479" t="n">
        <x:f>Dashboard_Live_Data!I233</x:f>
        <x:v>0.925</x:v>
      </x:c>
      <x:c r="D479" t="n">
        <x:f>Dashboard_Live_Data!K233</x:f>
        <x:v>-85066.38324979196</x:v>
      </x:c>
      <x:c r="E479" t="n">
        <x:f>Dashboard_Live_Data!I233</x:f>
        <x:v>0.925</x:v>
      </x:c>
      <x:c r="F479" t="n">
        <x:f>Dashboard_Live_Data!L233</x:f>
        <x:v>-175844.68076899392</x:v>
      </x:c>
      <x:c r="G479" t="n">
        <x:f>Dashboard_Live_Data!I233</x:f>
        <x:v>0.925</x:v>
      </x:c>
      <x:c r="H479" t="n">
        <x:f>Dashboard_Live_Data!M233</x:f>
        <x:v>-179785.07110087413</x:v>
      </x:c>
    </x:row>
    <x:row r="480">
      <x:c r="A480" t="n">
        <x:f>Dashboard_Live_Data!I234</x:f>
        <x:v>0.933</x:v>
      </x:c>
      <x:c r="B480" t="n">
        <x:f>Dashboard_Live_Data!J234</x:f>
        <x:v>-22.246059825895372</x:v>
      </x:c>
      <x:c r="C480" t="n">
        <x:f>Dashboard_Live_Data!I234</x:f>
        <x:v>0.933</x:v>
      </x:c>
      <x:c r="D480" t="n">
        <x:f>Dashboard_Live_Data!K234</x:f>
        <x:v>-86181.44608297395</x:v>
      </x:c>
      <x:c r="E480" t="n">
        <x:f>Dashboard_Live_Data!I234</x:f>
        <x:v>0.933</x:v>
      </x:c>
      <x:c r="F480" t="n">
        <x:f>Dashboard_Live_Data!L234</x:f>
        <x:v>-177621.89133436125</x:v>
      </x:c>
      <x:c r="G480" t="n">
        <x:f>Dashboard_Live_Data!I234</x:f>
        <x:v>0.933</x:v>
      </x:c>
      <x:c r="H480" t="n">
        <x:f>Dashboard_Live_Data!M234</x:f>
        <x:v>-181569.57405040326</x:v>
      </x:c>
    </x:row>
    <x:row r="481">
      <x:c r="A481" t="n">
        <x:f>Dashboard_Live_Data!I235</x:f>
        <x:v>0.942</x:v>
      </x:c>
      <x:c r="B481" t="n">
        <x:f>Dashboard_Live_Data!J235</x:f>
        <x:v>-23.03135332022248</x:v>
      </x:c>
      <x:c r="C481" t="n">
        <x:f>Dashboard_Live_Data!I235</x:f>
        <x:v>0.942</x:v>
      </x:c>
      <x:c r="D481" t="n">
        <x:f>Dashboard_Live_Data!K235</x:f>
        <x:v>-87437.04511505857</x:v>
      </x:c>
      <x:c r="E481" t="n">
        <x:f>Dashboard_Live_Data!I235</x:f>
        <x:v>0.942</x:v>
      </x:c>
      <x:c r="F481" t="n">
        <x:f>Dashboard_Live_Data!L235</x:f>
        <x:v>-179611.60663962277</x:v>
      </x:c>
      <x:c r="G481" t="n">
        <x:f>Dashboard_Live_Data!I235</x:f>
        <x:v>0.942</x:v>
      </x:c>
      <x:c r="H481" t="n">
        <x:f>Dashboard_Live_Data!M235</x:f>
        <x:v>-183567.12131353328</x:v>
      </x:c>
    </x:row>
    <x:row r="482">
      <x:c r="A482" t="n">
        <x:f>Dashboard_Live_Data!I236</x:f>
        <x:v>0.95</x:v>
      </x:c>
      <x:c r="B482" t="n">
        <x:f>Dashboard_Live_Data!J236</x:f>
        <x:v>-23.746844660086936</x:v>
      </x:c>
      <x:c r="C482" t="n">
        <x:f>Dashboard_Live_Data!I236</x:f>
        <x:v>0.95</x:v>
      </x:c>
      <x:c r="D482" t="n">
        <x:f>Dashboard_Live_Data!K236</x:f>
        <x:v>-88554.07088364325</x:v>
      </x:c>
      <x:c r="E482" t="n">
        <x:f>Dashboard_Live_Data!I236</x:f>
        <x:v>0.95</x:v>
      </x:c>
      <x:c r="F482" t="n">
        <x:f>Dashboard_Live_Data!L236</x:f>
        <x:v>-181371.54200338566</x:v>
      </x:c>
      <x:c r="G482" t="n">
        <x:f>Dashboard_Live_Data!I236</x:f>
        <x:v>0.95</x:v>
      </x:c>
      <x:c r="H482" t="n">
        <x:f>Dashboard_Live_Data!M236</x:f>
        <x:v>-185333.69359371395</x:v>
      </x:c>
    </x:row>
    <x:row r="483">
      <x:c r="A483" t="n">
        <x:f>Dashboard_Live_Data!I237</x:f>
        <x:v>0.958</x:v>
      </x:c>
      <x:c r="B483" t="n">
        <x:f>Dashboard_Live_Data!J237</x:f>
        <x:v>-24.47902381513677</x:v>
      </x:c>
      <x:c r="C483" t="n">
        <x:f>Dashboard_Live_Data!I237</x:f>
        <x:v>0.958</x:v>
      </x:c>
      <x:c r="D483" t="n">
        <x:f>Dashboard_Live_Data!K237</x:f>
        <x:v>-89671.89852079697</x:v>
      </x:c>
      <x:c r="E483" t="n">
        <x:f>Dashboard_Live_Data!I237</x:f>
        <x:v>0.958</x:v>
      </x:c>
      <x:c r="F483" t="n">
        <x:f>Dashboard_Live_Data!L237</x:f>
        <x:v>-183123.17397563395</x:v>
      </x:c>
      <x:c r="G483" t="n">
        <x:f>Dashboard_Live_Data!I237</x:f>
        <x:v>0.958</x:v>
      </x:c>
      <x:c r="H483" t="n">
        <x:f>Dashboard_Live_Data!M237</x:f>
        <x:v>-187091.6621591744</x:v>
      </x:c>
    </x:row>
    <x:row r="484">
      <x:c r="A484" t="n">
        <x:f>Dashboard_Live_Data!I238</x:f>
        <x:v>0.967</x:v>
      </x:c>
      <x:c r="B484" t="n">
        <x:f>Dashboard_Live_Data!J238</x:f>
        <x:v>-25.322987391846254</x:v>
      </x:c>
      <x:c r="C484" t="n">
        <x:f>Dashboard_Live_Data!I238</x:f>
        <x:v>0.967</x:v>
      </x:c>
      <x:c r="D484" t="n">
        <x:f>Dashboard_Live_Data!K238</x:f>
        <x:v>-90930.31855627532</x:v>
      </x:c>
      <x:c r="E484" t="n">
        <x:f>Dashboard_Live_Data!I238</x:f>
        <x:v>0.967</x:v>
      </x:c>
      <x:c r="F484" t="n">
        <x:f>Dashboard_Live_Data!L238</x:f>
        <x:v>-185083.70199145714</x:v>
      </x:c>
      <x:c r="G484" t="n">
        <x:f>Dashboard_Live_Data!I238</x:f>
        <x:v>0.967</x:v>
      </x:c>
      <x:c r="H484" t="n">
        <x:f>Dashboard_Live_Data!M238</x:f>
        <x:v>-189058.9662057004</x:v>
      </x:c>
    </x:row>
    <x:row r="485">
      <x:c r="A485" t="n">
        <x:f>Dashboard_Live_Data!I239</x:f>
        <x:v>0.975</x:v>
      </x:c>
      <x:c r="B485" t="n">
        <x:f>Dashboard_Live_Data!J239</x:f>
        <x:v>-26.091469511469313</x:v>
      </x:c>
      <x:c r="C485" t="n">
        <x:f>Dashboard_Live_Data!I239</x:f>
        <x:v>0.975</x:v>
      </x:c>
      <x:c r="D485" t="n">
        <x:f>Dashboard_Live_Data!K239</x:f>
        <x:v>-92049.59969520803</x:v>
      </x:c>
      <x:c r="E485" t="n">
        <x:f>Dashboard_Live_Data!I239</x:f>
        <x:v>0.975</x:v>
      </x:c>
      <x:c r="F485" t="n">
        <x:f>Dashboard_Live_Data!L239</x:f>
        <x:v>-186817.33873453335</x:v>
      </x:c>
      <x:c r="G485" t="n">
        <x:f>Dashboard_Live_Data!I239</x:f>
        <x:v>0.975</x:v>
      </x:c>
      <x:c r="H485" t="n">
        <x:f>Dashboard_Live_Data!M239</x:f>
        <x:v>-190798.31818207764</x:v>
      </x:c>
    </x:row>
    <x:row r="486">
      <x:c r="A486" t="n">
        <x:f>Dashboard_Live_Data!I240</x:f>
        <x:v>0.983</x:v>
      </x:c>
      <x:c r="B486" t="n">
        <x:f>Dashboard_Live_Data!J240</x:f>
        <x:v>-26.877434485224512</x:v>
      </x:c>
      <x:c r="C486" t="n">
        <x:f>Dashboard_Live_Data!I240</x:f>
        <x:v>0.983</x:v>
      </x:c>
      <x:c r="D486" t="n">
        <x:f>Dashboard_Live_Data!K240</x:f>
        <x:v>-93169.45002082353</x:v>
      </x:c>
      <x:c r="E486" t="n">
        <x:f>Dashboard_Live_Data!I240</x:f>
        <x:v>0.983</x:v>
      </x:c>
      <x:c r="F486" t="n">
        <x:f>Dashboard_Live_Data!L240</x:f>
        <x:v>-188542.34891493848</x:v>
      </x:c>
      <x:c r="G486" t="n">
        <x:f>Dashboard_Live_Data!I240</x:f>
        <x:v>0.983</x:v>
      </x:c>
      <x:c r="H486" t="n">
        <x:f>Dashboard_Live_Data!M240</x:f>
        <x:v>-192528.7589427018</x:v>
      </x:c>
    </x:row>
    <x:row r="487">
      <x:c r="A487" t="n">
        <x:f>Dashboard_Live_Data!I241</x:f>
        <x:v>0.992</x:v>
      </x:c>
      <x:c r="B487" t="n">
        <x:f>Dashboard_Live_Data!J241</x:f>
        <x:v>-27.782863149590867</x:v>
      </x:c>
      <x:c r="C487" t="n">
        <x:f>Dashboard_Live_Data!I241</x:f>
        <x:v>0.992</x:v>
      </x:c>
      <x:c r="D487" t="n">
        <x:f>Dashboard_Live_Data!K241</x:f>
        <x:v>-94429.87293064826</x:v>
      </x:c>
      <x:c r="E487" t="n">
        <x:f>Dashboard_Live_Data!I241</x:f>
        <x:v>0.992</x:v>
      </x:c>
      <x:c r="F487" t="n">
        <x:f>Dashboard_Live_Data!L241</x:f>
        <x:v>-190472.5531477006</x:v>
      </x:c>
      <x:c r="G487" t="n">
        <x:f>Dashboard_Live_Data!I241</x:f>
        <x:v>0.992</x:v>
      </x:c>
      <x:c r="H487" t="n">
        <x:f>Dashboard_Live_Data!M241</x:f>
        <x:v>-194464.73837065237</x:v>
      </x:c>
    </x:row>
    <x:row r="488">
      <x:c r="A488" t="n">
        <x:f>Dashboard_Live_Data!I242</x:f>
        <x:v>1</x:v>
      </x:c>
      <x:c r="B488" t="n">
        <x:f>Dashboard_Live_Data!J242</x:f>
        <x:v>-28.60683575205121</x:v>
      </x:c>
      <x:c r="C488" t="n">
        <x:f>Dashboard_Live_Data!I242</x:f>
        <x:v>1</x:v>
      </x:c>
      <x:c r="D488" t="n">
        <x:f>Dashboard_Live_Data!K242</x:f>
        <x:v>-95550.6968246352</x:v>
      </x:c>
      <x:c r="E488" t="n">
        <x:f>Dashboard_Live_Data!I242</x:f>
        <x:v>1</x:v>
      </x:c>
      <x:c r="F488" t="n">
        <x:f>Dashboard_Live_Data!L242</x:f>
        <x:v>-192178.91313344726</x:v>
      </x:c>
      <x:c r="G488" t="n">
        <x:f>Dashboard_Live_Data!I242</x:f>
        <x:v>1</x:v>
      </x:c>
      <x:c r="H488" t="n">
        <x:f>Dashboard_Live_Data!M242</x:f>
        <x:v>-196175.94007289349</x:v>
      </x:c>
    </x:row>
    <x:row r="491">
      <x:c r="A491" t="inlineStr">
        <x:is>
          <x:t xml:space="preserve">Terrain Baseline: Total Radar Elevation Error</x:t>
        </x:is>
      </x:c>
    </x:row>
    <x:row r="492">
      <x:c r="A492" t="inlineStr">
        <x:is>
          <x:t xml:space="preserve">Total radar elevation error - custom parabolic x</x:t>
        </x:is>
      </x:c>
      <x:c r="B492" t="inlineStr">
        <x:is>
          <x:t xml:space="preserve">Total radar elevation error - custom parabolic</x:t>
        </x:is>
      </x:c>
    </x:row>
    <x:row r="493">
      <x:c r="A493" t="n">
        <x:f>Dashboard_Live_Data!A2</x:f>
        <x:v>-60</x:v>
      </x:c>
      <x:c r="B493" t="n">
        <x:f>Dashboard_Live_Data!B2</x:f>
        <x:v>-5.159813914717645</x:v>
      </x:c>
    </x:row>
    <x:row r="494">
      <x:c r="A494" t="n">
        <x:f>Dashboard_Live_Data!A3</x:f>
        <x:v>-59.5</x:v>
      </x:c>
      <x:c r="B494" t="n">
        <x:f>Dashboard_Live_Data!B3</x:f>
        <x:v>-21.835331789793656</x:v>
      </x:c>
    </x:row>
    <x:row r="495">
      <x:c r="A495" t="n">
        <x:f>Dashboard_Live_Data!A4</x:f>
        <x:v>-59</x:v>
      </x:c>
      <x:c r="B495" t="n">
        <x:f>Dashboard_Live_Data!B4</x:f>
        <x:v>-10.1755490948848</x:v>
      </x:c>
    </x:row>
    <x:row r="496">
      <x:c r="A496" t="n">
        <x:f>Dashboard_Live_Data!A5</x:f>
        <x:v>-58.5</x:v>
      </x:c>
      <x:c r="B496" t="n">
        <x:f>Dashboard_Live_Data!B5</x:f>
        <x:v>-24.33397914667178</x:v>
      </x:c>
    </x:row>
    <x:row r="497">
      <x:c r="A497" t="n">
        <x:f>Dashboard_Live_Data!A6</x:f>
        <x:v>-58</x:v>
      </x:c>
      <x:c r="B497" t="n">
        <x:f>Dashboard_Live_Data!B6</x:f>
        <x:v>-34.145943095855884</x:v>
      </x:c>
    </x:row>
    <x:row r="498">
      <x:c r="A498" t="n">
        <x:f>Dashboard_Live_Data!A7</x:f>
        <x:v>-57.5</x:v>
      </x:c>
      <x:c r="B498" t="n">
        <x:f>Dashboard_Live_Data!B7</x:f>
        <x:v>-37.18620756396368</x:v>
      </x:c>
    </x:row>
    <x:row r="499">
      <x:c r="A499" t="n">
        <x:f>Dashboard_Live_Data!A8</x:f>
        <x:v>-57</x:v>
      </x:c>
      <x:c r="B499" t="n">
        <x:f>Dashboard_Live_Data!B8</x:f>
        <x:v>-57.97778339698746</x:v>
      </x:c>
    </x:row>
    <x:row r="500">
      <x:c r="A500" t="n">
        <x:f>Dashboard_Live_Data!A9</x:f>
        <x:v>-56.5</x:v>
      </x:c>
      <x:c r="B500" t="n">
        <x:f>Dashboard_Live_Data!B9</x:f>
        <x:v>-59.899357079512</x:v>
      </x:c>
    </x:row>
    <x:row r="501">
      <x:c r="A501" t="n">
        <x:f>Dashboard_Live_Data!A10</x:f>
        <x:v>-56</x:v>
      </x:c>
      <x:c r="B501" t="n">
        <x:f>Dashboard_Live_Data!B10</x:f>
        <x:v>-64.5571304043742</x:v>
      </x:c>
    </x:row>
    <x:row r="502">
      <x:c r="A502" t="n">
        <x:f>Dashboard_Live_Data!A11</x:f>
        <x:v>-55.5</x:v>
      </x:c>
      <x:c r="B502" t="n">
        <x:f>Dashboard_Live_Data!B11</x:f>
        <x:v>-41.33568476798443</x:v>
      </x:c>
    </x:row>
    <x:row r="503">
      <x:c r="A503" t="n">
        <x:f>Dashboard_Live_Data!A12</x:f>
        <x:v>-55</x:v>
      </x:c>
      <x:c r="B503" t="n">
        <x:f>Dashboard_Live_Data!B12</x:f>
        <x:v>-49.58095040517583</x:v>
      </x:c>
    </x:row>
    <x:row r="504">
      <x:c r="A504" t="n">
        <x:f>Dashboard_Live_Data!A13</x:f>
        <x:v>-54.5</x:v>
      </x:c>
      <x:c r="B504" t="n">
        <x:f>Dashboard_Live_Data!B13</x:f>
        <x:v>-53.11367179592119</x:v>
      </x:c>
    </x:row>
    <x:row r="505">
      <x:c r="A505" t="n">
        <x:f>Dashboard_Live_Data!A14</x:f>
        <x:v>-54</x:v>
      </x:c>
      <x:c r="B505" t="n">
        <x:f>Dashboard_Live_Data!B14</x:f>
        <x:v>-41.23963182688874</x:v>
      </x:c>
    </x:row>
    <x:row r="506">
      <x:c r="A506" t="n">
        <x:f>Dashboard_Live_Data!A15</x:f>
        <x:v>-53.5</x:v>
      </x:c>
      <x:c r="B506" t="n">
        <x:f>Dashboard_Live_Data!B15</x:f>
        <x:v>-52.89202961017506</x:v>
      </x:c>
    </x:row>
    <x:row r="507">
      <x:c r="A507" t="n">
        <x:f>Dashboard_Live_Data!A16</x:f>
        <x:v>-53</x:v>
      </x:c>
      <x:c r="B507" t="n">
        <x:f>Dashboard_Live_Data!B16</x:f>
        <x:v>-58.581245405388074</x:v>
      </x:c>
    </x:row>
    <x:row r="508">
      <x:c r="A508" t="n">
        <x:f>Dashboard_Live_Data!A17</x:f>
        <x:v>-52.5</x:v>
      </x:c>
      <x:c r="B508" t="n">
        <x:f>Dashboard_Live_Data!B17</x:f>
        <x:v>-45.612087128365545</x:v>
      </x:c>
    </x:row>
    <x:row r="509">
      <x:c r="A509" t="n">
        <x:f>Dashboard_Live_Data!A18</x:f>
        <x:v>-52</x:v>
      </x:c>
      <x:c r="B509" t="n">
        <x:f>Dashboard_Live_Data!B18</x:f>
        <x:v>-47.85601796566243</x:v>
      </x:c>
    </x:row>
    <x:row r="510">
      <x:c r="A510" t="n">
        <x:f>Dashboard_Live_Data!A19</x:f>
        <x:v>-51.5</x:v>
      </x:c>
      <x:c r="B510" t="n">
        <x:f>Dashboard_Live_Data!B19</x:f>
        <x:v>-36.597181996407414</x:v>
      </x:c>
    </x:row>
    <x:row r="511">
      <x:c r="A511" t="n">
        <x:f>Dashboard_Live_Data!A20</x:f>
        <x:v>-51</x:v>
      </x:c>
      <x:c r="B511" t="n">
        <x:f>Dashboard_Live_Data!B20</x:f>
        <x:v>-43.00623256223966</x:v>
      </x:c>
    </x:row>
    <x:row r="512">
      <x:c r="A512" t="n">
        <x:f>Dashboard_Live_Data!A21</x:f>
        <x:v>-50.5</x:v>
      </x:c>
      <x:c r="B512" t="n">
        <x:f>Dashboard_Live_Data!B21</x:f>
        <x:v>-51.799677958216336</x:v>
      </x:c>
    </x:row>
    <x:row r="513">
      <x:c r="A513" t="n">
        <x:f>Dashboard_Live_Data!A22</x:f>
        <x:v>-50</x:v>
      </x:c>
      <x:c r="B513" t="n">
        <x:f>Dashboard_Live_Data!B22</x:f>
        <x:v>-33.13988446377812</x:v>
      </x:c>
    </x:row>
    <x:row r="514">
      <x:c r="A514" t="n">
        <x:f>Dashboard_Live_Data!A23</x:f>
        <x:v>-49.5</x:v>
      </x:c>
      <x:c r="B514" t="n">
        <x:f>Dashboard_Live_Data!B23</x:f>
        <x:v>-55.72800260958991</x:v>
      </x:c>
    </x:row>
    <x:row r="515">
      <x:c r="A515" t="n">
        <x:f>Dashboard_Live_Data!A24</x:f>
        <x:v>-49</x:v>
      </x:c>
      <x:c r="B515" t="n">
        <x:f>Dashboard_Live_Data!B24</x:f>
        <x:v>-43.55059818787615</x:v>
      </x:c>
    </x:row>
    <x:row r="516">
      <x:c r="A516" t="n">
        <x:f>Dashboard_Live_Data!A25</x:f>
        <x:v>-48.5</x:v>
      </x:c>
      <x:c r="B516" t="n">
        <x:f>Dashboard_Live_Data!B25</x:f>
        <x:v>-44.1284096906098</x:v>
      </x:c>
    </x:row>
    <x:row r="517">
      <x:c r="A517" t="n">
        <x:f>Dashboard_Live_Data!A26</x:f>
        <x:v>-48</x:v>
      </x:c>
      <x:c r="B517" t="n">
        <x:f>Dashboard_Live_Data!B26</x:f>
        <x:v>-59.24933487502835</x:v>
      </x:c>
    </x:row>
    <x:row r="518">
      <x:c r="A518" t="n">
        <x:f>Dashboard_Live_Data!A27</x:f>
        <x:v>-47.5</x:v>
      </x:c>
      <x:c r="B518" t="n">
        <x:f>Dashboard_Live_Data!B27</x:f>
        <x:v>-57.6170875201766</x:v>
      </x:c>
    </x:row>
    <x:row r="519">
      <x:c r="A519" t="n">
        <x:f>Dashboard_Live_Data!A28</x:f>
        <x:v>-47</x:v>
      </x:c>
      <x:c r="B519" t="n">
        <x:f>Dashboard_Live_Data!B28</x:f>
        <x:v>-64.67682483300021</x:v>
      </x:c>
    </x:row>
    <x:row r="520">
      <x:c r="A520" t="n">
        <x:f>Dashboard_Live_Data!A29</x:f>
        <x:v>-46.5</x:v>
      </x:c>
      <x:c r="B520" t="n">
        <x:f>Dashboard_Live_Data!B29</x:f>
        <x:v>-60.9353736942775</x:v>
      </x:c>
    </x:row>
    <x:row r="521">
      <x:c r="A521" t="n">
        <x:f>Dashboard_Live_Data!A30</x:f>
        <x:v>-46</x:v>
      </x:c>
      <x:c r="B521" t="n">
        <x:f>Dashboard_Live_Data!B30</x:f>
        <x:v>-52.674234164719905</x:v>
      </x:c>
    </x:row>
    <x:row r="522">
      <x:c r="A522" t="n">
        <x:f>Dashboard_Live_Data!A31</x:f>
        <x:v>-45.5</x:v>
      </x:c>
      <x:c r="B522" t="n">
        <x:f>Dashboard_Live_Data!B31</x:f>
        <x:v>-39.8708027983958</x:v>
      </x:c>
    </x:row>
    <x:row r="523">
      <x:c r="A523" t="n">
        <x:f>Dashboard_Live_Data!A32</x:f>
        <x:v>-45</x:v>
      </x:c>
      <x:c r="B523" t="n">
        <x:f>Dashboard_Live_Data!B32</x:f>
        <x:v>-49.267020374654436</x:v>
      </x:c>
    </x:row>
    <x:row r="524">
      <x:c r="A524" t="n">
        <x:f>Dashboard_Live_Data!A33</x:f>
        <x:v>-44.5</x:v>
      </x:c>
      <x:c r="B524" t="n">
        <x:f>Dashboard_Live_Data!B33</x:f>
        <x:v>-30.449261480925486</x:v>
      </x:c>
    </x:row>
    <x:row r="525">
      <x:c r="A525" t="n">
        <x:f>Dashboard_Live_Data!A34</x:f>
        <x:v>-44</x:v>
      </x:c>
      <x:c r="B525" t="n">
        <x:f>Dashboard_Live_Data!B34</x:f>
        <x:v>-21.29823305713009</x:v>
      </x:c>
    </x:row>
    <x:row r="526">
      <x:c r="A526" t="n">
        <x:f>Dashboard_Live_Data!A35</x:f>
        <x:v>-43.5</x:v>
      </x:c>
      <x:c r="B526" t="n">
        <x:f>Dashboard_Live_Data!B35</x:f>
        <x:v>-25.11690437512837</x:v>
      </x:c>
    </x:row>
    <x:row r="527">
      <x:c r="A527" t="n">
        <x:f>Dashboard_Live_Data!A36</x:f>
        <x:v>-43</x:v>
      </x:c>
      <x:c r="B527" t="n">
        <x:f>Dashboard_Live_Data!B36</x:f>
        <x:v>-5.851868406506469</x:v>
      </x:c>
    </x:row>
    <x:row r="528">
      <x:c r="A528" t="n">
        <x:f>Dashboard_Live_Data!A37</x:f>
        <x:v>-42.5</x:v>
      </x:c>
      <x:c r="B528" t="n">
        <x:f>Dashboard_Live_Data!B37</x:f>
        <x:v>-11.611992984345875</x:v>
      </x:c>
    </x:row>
    <x:row r="529">
      <x:c r="A529" t="n">
        <x:f>Dashboard_Live_Data!A38</x:f>
        <x:v>-42</x:v>
      </x:c>
      <x:c r="B529" t="n">
        <x:f>Dashboard_Live_Data!B38</x:f>
        <x:v>6.72131524330652</x:v>
      </x:c>
    </x:row>
    <x:row r="530">
      <x:c r="A530" t="n">
        <x:f>Dashboard_Live_Data!A39</x:f>
        <x:v>-41.5</x:v>
      </x:c>
      <x:c r="B530" t="n">
        <x:f>Dashboard_Live_Data!B39</x:f>
        <x:v>13.84761035039432</x:v>
      </x:c>
    </x:row>
    <x:row r="531">
      <x:c r="A531" t="n">
        <x:f>Dashboard_Live_Data!A40</x:f>
        <x:v>-41</x:v>
      </x:c>
      <x:c r="B531" t="n">
        <x:f>Dashboard_Live_Data!B40</x:f>
        <x:v>15.915812814890273</x:v>
      </x:c>
    </x:row>
    <x:row r="532">
      <x:c r="A532" t="n">
        <x:f>Dashboard_Live_Data!A41</x:f>
        <x:v>-40.5</x:v>
      </x:c>
      <x:c r="B532" t="n">
        <x:f>Dashboard_Live_Data!B41</x:f>
        <x:v>12.94669028445523</x:v>
      </x:c>
    </x:row>
    <x:row r="533">
      <x:c r="A533" t="n">
        <x:f>Dashboard_Live_Data!A42</x:f>
        <x:v>-40</x:v>
      </x:c>
      <x:c r="B533" t="n">
        <x:f>Dashboard_Live_Data!B42</x:f>
        <x:v>29.102694376098867</x:v>
      </x:c>
    </x:row>
    <x:row r="534">
      <x:c r="A534" t="n">
        <x:f>Dashboard_Live_Data!A43</x:f>
        <x:v>-39.5</x:v>
      </x:c>
      <x:c r="B534" t="n">
        <x:f>Dashboard_Live_Data!B43</x:f>
        <x:v>31.11424964805272</x:v>
      </x:c>
    </x:row>
    <x:row r="535">
      <x:c r="A535" t="n">
        <x:f>Dashboard_Live_Data!A44</x:f>
        <x:v>-39</x:v>
      </x:c>
      <x:c r="B535" t="n">
        <x:f>Dashboard_Live_Data!B44</x:f>
        <x:v>30.101673250917116</x:v>
      </x:c>
    </x:row>
    <x:row r="536">
      <x:c r="A536" t="n">
        <x:f>Dashboard_Live_Data!A45</x:f>
        <x:v>-38.5</x:v>
      </x:c>
      <x:c r="B536" t="n">
        <x:f>Dashboard_Live_Data!B45</x:f>
        <x:v>32.133994706628584</x:v>
      </x:c>
    </x:row>
    <x:row r="537">
      <x:c r="A537" t="n">
        <x:f>Dashboard_Live_Data!A46</x:f>
        <x:v>-38</x:v>
      </x:c>
      <x:c r="B537" t="n">
        <x:f>Dashboard_Live_Data!B46</x:f>
        <x:v>19.12172334847037</x:v>
      </x:c>
    </x:row>
    <x:row r="538">
      <x:c r="A538" t="n">
        <x:f>Dashboard_Live_Data!A47</x:f>
        <x:v>-37.5</x:v>
      </x:c>
      <x:c r="B538" t="n">
        <x:f>Dashboard_Live_Data!B47</x:f>
        <x:v>16.33682565185896</x:v>
      </x:c>
    </x:row>
    <x:row r="539">
      <x:c r="A539" t="n">
        <x:f>Dashboard_Live_Data!A48</x:f>
        <x:v>-37</x:v>
      </x:c>
      <x:c r="B539" t="n">
        <x:f>Dashboard_Live_Data!B48</x:f>
        <x:v>23.552479750778133</x:v>
      </x:c>
    </x:row>
    <x:row r="540">
      <x:c r="A540" t="n">
        <x:f>Dashboard_Live_Data!A49</x:f>
        <x:v>-36.5</x:v>
      </x:c>
      <x:c r="B540" t="n">
        <x:f>Dashboard_Live_Data!B49</x:f>
        <x:v>19.03166123894414</x:v>
      </x:c>
    </x:row>
    <x:row r="541">
      <x:c r="A541" t="n">
        <x:f>Dashboard_Live_Data!A50</x:f>
        <x:v>-36</x:v>
      </x:c>
      <x:c r="B541" t="n">
        <x:f>Dashboard_Live_Data!B50</x:f>
        <x:v>-0.2623218193104435</x:v>
      </x:c>
    </x:row>
    <x:row r="542">
      <x:c r="A542" t="n">
        <x:f>Dashboard_Live_Data!A51</x:f>
        <x:v>-35.5</x:v>
      </x:c>
      <x:c r="B542" t="n">
        <x:f>Dashboard_Live_Data!B51</x:f>
        <x:v>-1.9757328740745947</x:v>
      </x:c>
    </x:row>
    <x:row r="543">
      <x:c r="A543" t="n">
        <x:f>Dashboard_Live_Data!A52</x:f>
        <x:v>-35</x:v>
      </x:c>
      <x:c r="B543" t="n">
        <x:f>Dashboard_Live_Data!B52</x:f>
        <x:v>7.184875005217862</x:v>
      </x:c>
    </x:row>
    <x:row r="544">
      <x:c r="A544" t="n">
        <x:f>Dashboard_Live_Data!A53</x:f>
        <x:v>-34.5</x:v>
      </x:c>
      <x:c r="B544" t="n">
        <x:f>Dashboard_Live_Data!B53</x:f>
        <x:v>7.068156756665303</x:v>
      </x:c>
    </x:row>
    <x:row r="545">
      <x:c r="A545" t="n">
        <x:f>Dashboard_Live_Data!A54</x:f>
        <x:v>-34</x:v>
      </x:c>
      <x:c r="B545" t="n">
        <x:f>Dashboard_Live_Data!B54</x:f>
        <x:v>-2.9998358134979526</x:v>
      </x:c>
    </x:row>
    <x:row r="546">
      <x:c r="A546" t="n">
        <x:f>Dashboard_Live_Data!A55</x:f>
        <x:v>-33.5</x:v>
      </x:c>
      <x:c r="B546" t="n">
        <x:f>Dashboard_Live_Data!B55</x:f>
        <x:v>-11.29209622370604</x:v>
      </x:c>
    </x:row>
    <x:row r="547">
      <x:c r="A547" t="n">
        <x:f>Dashboard_Live_Data!A56</x:f>
        <x:v>-33</x:v>
      </x:c>
      <x:c r="B547" t="n">
        <x:f>Dashboard_Live_Data!B56</x:f>
        <x:v>-15.738275591660624</x:v>
      </x:c>
    </x:row>
    <x:row r="548">
      <x:c r="A548" t="n">
        <x:f>Dashboard_Live_Data!A57</x:f>
        <x:v>-32.5</x:v>
      </x:c>
      <x:c r="B548" t="n">
        <x:f>Dashboard_Live_Data!B57</x:f>
        <x:v>-17.06917876670684</x:v>
      </x:c>
    </x:row>
    <x:row r="549">
      <x:c r="A549" t="n">
        <x:f>Dashboard_Live_Data!A58</x:f>
        <x:v>-32</x:v>
      </x:c>
      <x:c r="B549" t="n">
        <x:f>Dashboard_Live_Data!B58</x:f>
        <x:v>-8.468507015690818</x:v>
      </x:c>
    </x:row>
    <x:row r="550">
      <x:c r="A550" t="n">
        <x:f>Dashboard_Live_Data!A59</x:f>
        <x:v>-31.5</x:v>
      </x:c>
      <x:c r="B550" t="n">
        <x:f>Dashboard_Live_Data!B59</x:f>
        <x:v>-12.093868668153164</x:v>
      </x:c>
    </x:row>
    <x:row r="551">
      <x:c r="A551" t="n">
        <x:f>Dashboard_Live_Data!A60</x:f>
        <x:v>-31</x:v>
      </x:c>
      <x:c r="B551" t="n">
        <x:f>Dashboard_Live_Data!B60</x:f>
        <x:v>10.459386000540121</x:v>
      </x:c>
    </x:row>
    <x:row r="552">
      <x:c r="A552" t="n">
        <x:f>Dashboard_Live_Data!A61</x:f>
        <x:v>-30.5</x:v>
      </x:c>
      <x:c r="B552" t="n">
        <x:f>Dashboard_Live_Data!B61</x:f>
        <x:v>4.900052542946412</x:v>
      </x:c>
    </x:row>
    <x:row r="553">
      <x:c r="A553" t="n">
        <x:f>Dashboard_Live_Data!A62</x:f>
        <x:v>-30</x:v>
      </x:c>
      <x:c r="B553" t="n">
        <x:f>Dashboard_Live_Data!B62</x:f>
        <x:v>15.012442539728227</x:v>
      </x:c>
    </x:row>
    <x:row r="554">
      <x:c r="A554" t="n">
        <x:f>Dashboard_Live_Data!A63</x:f>
        <x:v>-29.5</x:v>
      </x:c>
      <x:c r="B554" t="n">
        <x:f>Dashboard_Live_Data!B63</x:f>
        <x:v>33.78877449254139</x:v>
      </x:c>
    </x:row>
    <x:row r="555">
      <x:c r="A555" t="n">
        <x:f>Dashboard_Live_Data!A64</x:f>
        <x:v>-29</x:v>
      </x:c>
      <x:c r="B555" t="n">
        <x:f>Dashboard_Live_Data!B64</x:f>
        <x:v>20.49029057069845</x:v>
      </x:c>
    </x:row>
    <x:row r="556">
      <x:c r="A556" t="n">
        <x:f>Dashboard_Live_Data!A65</x:f>
        <x:v>-28.5</x:v>
      </x:c>
      <x:c r="B556" t="n">
        <x:f>Dashboard_Live_Data!B65</x:f>
        <x:v>27.55558811212802</x:v>
      </x:c>
    </x:row>
    <x:row r="557">
      <x:c r="A557" t="n">
        <x:f>Dashboard_Live_Data!A66</x:f>
        <x:v>-28</x:v>
      </x:c>
      <x:c r="B557" t="n">
        <x:f>Dashboard_Live_Data!B66</x:f>
        <x:v>50.86297851600432</x:v>
      </x:c>
    </x:row>
    <x:row r="558">
      <x:c r="A558" t="n">
        <x:f>Dashboard_Live_Data!A67</x:f>
        <x:v>-27.5</x:v>
      </x:c>
      <x:c r="B558" t="n">
        <x:f>Dashboard_Live_Data!B67</x:f>
        <x:v>61.019347257300694</x:v>
      </x:c>
    </x:row>
    <x:row r="559">
      <x:c r="A559" t="n">
        <x:f>Dashboard_Live_Data!A68</x:f>
        <x:v>-27</x:v>
      </x:c>
      <x:c r="B559" t="n">
        <x:f>Dashboard_Live_Data!B68</x:f>
        <x:v>67.75840286432714</x:v>
      </x:c>
    </x:row>
    <x:row r="560">
      <x:c r="A560" t="n">
        <x:f>Dashboard_Live_Data!A69</x:f>
        <x:v>-26.5</x:v>
      </x:c>
      <x:c r="B560" t="n">
        <x:f>Dashboard_Live_Data!B69</x:f>
        <x:v>76.23568800363364</x:v>
      </x:c>
    </x:row>
    <x:row r="561">
      <x:c r="A561" t="n">
        <x:f>Dashboard_Live_Data!A70</x:f>
        <x:v>-26</x:v>
      </x:c>
      <x:c r="B561" t="n">
        <x:f>Dashboard_Live_Data!B70</x:f>
        <x:v>80.44622831250399</x:v>
      </x:c>
    </x:row>
    <x:row r="562">
      <x:c r="A562" t="n">
        <x:f>Dashboard_Live_Data!A71</x:f>
        <x:v>-25.5</x:v>
      </x:c>
      <x:c r="B562" t="n">
        <x:f>Dashboard_Live_Data!B71</x:f>
        <x:v>102.62475841952005</x:v>
      </x:c>
    </x:row>
    <x:row r="563">
      <x:c r="A563" t="n">
        <x:f>Dashboard_Live_Data!A72</x:f>
        <x:v>-25</x:v>
      </x:c>
      <x:c r="B563" t="n">
        <x:f>Dashboard_Live_Data!B72</x:f>
        <x:v>95.9627285030823</x:v>
      </x:c>
    </x:row>
    <x:row r="564">
      <x:c r="A564" t="n">
        <x:f>Dashboard_Live_Data!A73</x:f>
        <x:v>-24.5</x:v>
      </x:c>
      <x:c r="B564" t="n">
        <x:f>Dashboard_Live_Data!B73</x:f>
        <x:v>111.95944336516442</x:v>
      </x:c>
    </x:row>
    <x:row r="565">
      <x:c r="A565" t="n">
        <x:f>Dashboard_Live_Data!A74</x:f>
        <x:v>-24</x:v>
      </x:c>
      <x:c r="B565" t="n">
        <x:f>Dashboard_Live_Data!B74</x:f>
        <x:v>109.9110637934084</x:v>
      </x:c>
    </x:row>
    <x:row r="566">
      <x:c r="A566" t="n">
        <x:f>Dashboard_Live_Data!A75</x:f>
        <x:v>-23.5</x:v>
      </x:c>
      <x:c r="B566" t="n">
        <x:f>Dashboard_Live_Data!B75</x:f>
        <x:v>124.07412737469122</x:v>
      </x:c>
    </x:row>
    <x:row r="567">
      <x:c r="A567" t="n">
        <x:f>Dashboard_Live_Data!A76</x:f>
        <x:v>-23</x:v>
      </x:c>
      <x:c r="B567" t="n">
        <x:f>Dashboard_Live_Data!B76</x:f>
        <x:v>130.9673287407926</x:v>
      </x:c>
    </x:row>
    <x:row r="568">
      <x:c r="A568" t="n">
        <x:f>Dashboard_Live_Data!A77</x:f>
        <x:v>-22.5</x:v>
      </x:c>
      <x:c r="B568" t="n">
        <x:f>Dashboard_Live_Data!B77</x:f>
        <x:v>136.70768045990502</x:v>
      </x:c>
    </x:row>
    <x:row r="569">
      <x:c r="A569" t="n">
        <x:f>Dashboard_Live_Data!A78</x:f>
        <x:v>-22</x:v>
      </x:c>
      <x:c r="B569" t="n">
        <x:f>Dashboard_Live_Data!B78</x:f>
        <x:v>142.38034814799494</x:v>
      </x:c>
    </x:row>
    <x:row r="570">
      <x:c r="A570" t="n">
        <x:f>Dashboard_Live_Data!A79</x:f>
        <x:v>-21.5</x:v>
      </x:c>
      <x:c r="B570" t="n">
        <x:f>Dashboard_Live_Data!B79</x:f>
        <x:v>155.16461387832436</x:v>
      </x:c>
    </x:row>
    <x:row r="571">
      <x:c r="A571" t="n">
        <x:f>Dashboard_Live_Data!A80</x:f>
        <x:v>-21</x:v>
      </x:c>
      <x:c r="B571" t="n">
        <x:f>Dashboard_Live_Data!B80</x:f>
        <x:v>140.71817235691083</x:v>
      </x:c>
    </x:row>
    <x:row r="572">
      <x:c r="A572" t="n">
        <x:f>Dashboard_Live_Data!A81</x:f>
        <x:v>-20.5</x:v>
      </x:c>
      <x:c r="B572" t="n">
        <x:f>Dashboard_Live_Data!B81</x:f>
        <x:v>138.79258237955816</x:v>
      </x:c>
    </x:row>
    <x:row r="573">
      <x:c r="A573" t="n">
        <x:f>Dashboard_Live_Data!A82</x:f>
        <x:v>-20</x:v>
      </x:c>
      <x:c r="B573" t="n">
        <x:f>Dashboard_Live_Data!B82</x:f>
        <x:v>144.6299048877989</x:v>
      </x:c>
    </x:row>
    <x:row r="574">
      <x:c r="A574" t="n">
        <x:f>Dashboard_Live_Data!A83</x:f>
        <x:v>-19.5</x:v>
      </x:c>
      <x:c r="B574" t="n">
        <x:f>Dashboard_Live_Data!B83</x:f>
        <x:v>138.25591202159382</x:v>
      </x:c>
    </x:row>
    <x:row r="575">
      <x:c r="A575" t="n">
        <x:f>Dashboard_Live_Data!A84</x:f>
        <x:v>-19</x:v>
      </x:c>
      <x:c r="B575" t="n">
        <x:f>Dashboard_Live_Data!B84</x:f>
        <x:v>143.0894233856555</x:v>
      </x:c>
    </x:row>
    <x:row r="576">
      <x:c r="A576" t="n">
        <x:f>Dashboard_Live_Data!A85</x:f>
        <x:v>-18.5</x:v>
      </x:c>
      <x:c r="B576" t="n">
        <x:f>Dashboard_Live_Data!B85</x:f>
        <x:v>134.9294543629348</x:v>
      </x:c>
    </x:row>
    <x:row r="577">
      <x:c r="A577" t="n">
        <x:f>Dashboard_Live_Data!A86</x:f>
        <x:v>-18</x:v>
      </x:c>
      <x:c r="B577" t="n">
        <x:f>Dashboard_Live_Data!B86</x:f>
        <x:v>147.29813428303765</x:v>
      </x:c>
    </x:row>
    <x:row r="578">
      <x:c r="A578" t="n">
        <x:f>Dashboard_Live_Data!A87</x:f>
        <x:v>-17.5</x:v>
      </x:c>
      <x:c r="B578" t="n">
        <x:f>Dashboard_Live_Data!B87</x:f>
        <x:v>137.25939183843724</x:v>
      </x:c>
    </x:row>
    <x:row r="579">
      <x:c r="A579" t="n">
        <x:f>Dashboard_Live_Data!A88</x:f>
        <x:v>-17</x:v>
      </x:c>
      <x:c r="B579" t="n">
        <x:f>Dashboard_Live_Data!B88</x:f>
        <x:v>123.99875892548812</x:v>
      </x:c>
    </x:row>
    <x:row r="580">
      <x:c r="A580" t="n">
        <x:f>Dashboard_Live_Data!A89</x:f>
        <x:v>-16.5</x:v>
      </x:c>
      <x:c r="B580" t="n">
        <x:f>Dashboard_Live_Data!B89</x:f>
        <x:v>122.1642571318593</x:v>
      </x:c>
    </x:row>
    <x:row r="581">
      <x:c r="A581" t="n">
        <x:f>Dashboard_Live_Data!A90</x:f>
        <x:v>-16</x:v>
      </x:c>
      <x:c r="B581" t="n">
        <x:f>Dashboard_Live_Data!B90</x:f>
        <x:v>95.69343337780924</x:v>
      </x:c>
    </x:row>
    <x:row r="582">
      <x:c r="A582" t="n">
        <x:f>Dashboard_Live_Data!A91</x:f>
        <x:v>-15.5</x:v>
      </x:c>
      <x:c r="B582" t="n">
        <x:f>Dashboard_Live_Data!B91</x:f>
        <x:v>107.59636634063799</x:v>
      </x:c>
    </x:row>
    <x:row r="583">
      <x:c r="A583" t="n">
        <x:f>Dashboard_Live_Data!A92</x:f>
        <x:v>-15</x:v>
      </x:c>
      <x:c r="B583" t="n">
        <x:f>Dashboard_Live_Data!B92</x:f>
        <x:v>88.756788598213</x:v>
      </x:c>
    </x:row>
    <x:row r="584">
      <x:c r="A584" t="n">
        <x:f>Dashboard_Live_Data!A93</x:f>
        <x:v>-14.5</x:v>
      </x:c>
      <x:c r="B584" t="n">
        <x:f>Dashboard_Live_Data!B93</x:f>
        <x:v>84.90823497062411</x:v>
      </x:c>
    </x:row>
    <x:row r="585">
      <x:c r="A585" t="n">
        <x:f>Dashboard_Live_Data!A94</x:f>
        <x:v>-14</x:v>
      </x:c>
      <x:c r="B585" t="n">
        <x:f>Dashboard_Live_Data!B94</x:f>
        <x:v>82.66882036124099</x:v>
      </x:c>
    </x:row>
    <x:row r="586">
      <x:c r="A586" t="n">
        <x:f>Dashboard_Live_Data!A95</x:f>
        <x:v>-13.5</x:v>
      </x:c>
      <x:c r="B586" t="n">
        <x:f>Dashboard_Live_Data!B95</x:f>
        <x:v>59.371781486156976</x:v>
      </x:c>
    </x:row>
    <x:row r="587">
      <x:c r="A587" t="n">
        <x:f>Dashboard_Live_Data!A96</x:f>
        <x:v>-13</x:v>
      </x:c>
      <x:c r="B587" t="n">
        <x:f>Dashboard_Live_Data!B96</x:f>
        <x:v>62.40409195281097</x:v>
      </x:c>
    </x:row>
    <x:row r="588">
      <x:c r="A588" t="n">
        <x:f>Dashboard_Live_Data!A97</x:f>
        <x:v>-12.5</x:v>
      </x:c>
      <x:c r="B588" t="n">
        <x:f>Dashboard_Live_Data!B97</x:f>
        <x:v>68.46106537271447</x:v>
      </x:c>
    </x:row>
    <x:row r="589">
      <x:c r="A589" t="n">
        <x:f>Dashboard_Live_Data!A98</x:f>
        <x:v>-12</x:v>
      </x:c>
      <x:c r="B589" t="n">
        <x:f>Dashboard_Live_Data!B98</x:f>
        <x:v>45.90303877391159</x:v>
      </x:c>
    </x:row>
    <x:row r="590">
      <x:c r="A590" t="n">
        <x:f>Dashboard_Live_Data!A99</x:f>
        <x:v>-11.5</x:v>
      </x:c>
      <x:c r="B590" t="n">
        <x:f>Dashboard_Live_Data!B99</x:f>
        <x:v>46.360067612850344</x:v>
      </x:c>
    </x:row>
    <x:row r="591">
      <x:c r="A591" t="n">
        <x:f>Dashboard_Live_Data!A100</x:f>
        <x:v>-11</x:v>
      </x:c>
      <x:c r="B591" t="n">
        <x:f>Dashboard_Live_Data!B100</x:f>
        <x:v>41.59395285740959</x:v>
      </x:c>
    </x:row>
    <x:row r="592">
      <x:c r="A592" t="n">
        <x:f>Dashboard_Live_Data!A101</x:f>
        <x:v>-10.5</x:v>
      </x:c>
      <x:c r="B592" t="n">
        <x:f>Dashboard_Live_Data!B101</x:f>
        <x:v>50.39733683997741</x:v>
      </x:c>
    </x:row>
    <x:row r="593">
      <x:c r="A593" t="n">
        <x:f>Dashboard_Live_Data!A102</x:f>
        <x:v>-10</x:v>
      </x:c>
      <x:c r="B593" t="n">
        <x:f>Dashboard_Live_Data!B102</x:f>
        <x:v>47.74262749473371</x:v>
      </x:c>
    </x:row>
    <x:row r="594">
      <x:c r="A594" t="n">
        <x:f>Dashboard_Live_Data!A103</x:f>
        <x:v>-9.5</x:v>
      </x:c>
      <x:c r="B594" t="n">
        <x:f>Dashboard_Live_Data!B103</x:f>
        <x:v>30.622778156968423</x:v>
      </x:c>
    </x:row>
    <x:row r="595">
      <x:c r="A595" t="n">
        <x:f>Dashboard_Live_Data!A104</x:f>
        <x:v>-9</x:v>
      </x:c>
      <x:c r="B595" t="n">
        <x:f>Dashboard_Live_Data!B104</x:f>
        <x:v>45.75306376780679</x:v>
      </x:c>
    </x:row>
    <x:row r="596">
      <x:c r="A596" t="n">
        <x:f>Dashboard_Live_Data!A105</x:f>
        <x:v>-8.5</x:v>
      </x:c>
      <x:c r="B596" t="n">
        <x:f>Dashboard_Live_Data!B105</x:f>
        <x:v>60.26909079725334</x:v>
      </x:c>
    </x:row>
    <x:row r="597">
      <x:c r="A597" t="n">
        <x:f>Dashboard_Live_Data!A106</x:f>
        <x:v>-8</x:v>
      </x:c>
      <x:c r="B597" t="n">
        <x:f>Dashboard_Live_Data!B106</x:f>
        <x:v>37.72928503169089</x:v>
      </x:c>
    </x:row>
    <x:row r="598">
      <x:c r="A598" t="n">
        <x:f>Dashboard_Live_Data!A107</x:f>
        <x:v>-7.5</x:v>
      </x:c>
      <x:c r="B598" t="n">
        <x:f>Dashboard_Live_Data!B107</x:f>
        <x:v>41.64822705623317</x:v>
      </x:c>
    </x:row>
    <x:row r="599">
      <x:c r="A599" t="n">
        <x:f>Dashboard_Live_Data!A108</x:f>
        <x:v>-7</x:v>
      </x:c>
      <x:c r="B599" t="n">
        <x:f>Dashboard_Live_Data!B108</x:f>
        <x:v>46.5780342922273</x:v>
      </x:c>
    </x:row>
    <x:row r="600">
      <x:c r="A600" t="n">
        <x:f>Dashboard_Live_Data!A109</x:f>
        <x:v>-6.5</x:v>
      </x:c>
      <x:c r="B600" t="n">
        <x:f>Dashboard_Live_Data!B109</x:f>
        <x:v>57.97037664669824</x:v>
      </x:c>
    </x:row>
    <x:row r="601">
      <x:c r="A601" t="n">
        <x:f>Dashboard_Live_Data!A110</x:f>
        <x:v>-6</x:v>
      </x:c>
      <x:c r="B601" t="n">
        <x:f>Dashboard_Live_Data!B110</x:f>
        <x:v>59.6428628658943</x:v>
      </x:c>
    </x:row>
    <x:row r="602">
      <x:c r="A602" t="n">
        <x:f>Dashboard_Live_Data!A111</x:f>
        <x:v>-5.5</x:v>
      </x:c>
      <x:c r="B602" t="n">
        <x:f>Dashboard_Live_Data!B111</x:f>
        <x:v>62.18129300695398</x:v>
      </x:c>
    </x:row>
    <x:row r="603">
      <x:c r="A603" t="n">
        <x:f>Dashboard_Live_Data!A112</x:f>
        <x:v>-5</x:v>
      </x:c>
      <x:c r="B603" t="n">
        <x:f>Dashboard_Live_Data!B112</x:f>
        <x:v>72.28193903621099</x:v>
      </x:c>
    </x:row>
    <x:row r="604">
      <x:c r="A604" t="n">
        <x:f>Dashboard_Live_Data!A113</x:f>
        <x:v>-4.5</x:v>
      </x:c>
      <x:c r="B604" t="n">
        <x:f>Dashboard_Live_Data!B113</x:f>
        <x:v>71.74572140008553</x:v>
      </x:c>
    </x:row>
    <x:row r="605">
      <x:c r="A605" t="n">
        <x:f>Dashboard_Live_Data!A114</x:f>
        <x:v>-4</x:v>
      </x:c>
      <x:c r="B605" t="n">
        <x:f>Dashboard_Live_Data!B114</x:f>
        <x:v>72.89334348716699</x:v>
      </x:c>
    </x:row>
    <x:row r="606">
      <x:c r="A606" t="n">
        <x:f>Dashboard_Live_Data!A115</x:f>
        <x:v>-3.5</x:v>
      </x:c>
      <x:c r="B606" t="n">
        <x:f>Dashboard_Live_Data!B115</x:f>
        <x:v>77.37954858711913</x:v>
      </x:c>
    </x:row>
    <x:row r="607">
      <x:c r="A607" t="n">
        <x:f>Dashboard_Live_Data!A116</x:f>
        <x:v>-3</x:v>
      </x:c>
      <x:c r="B607" t="n">
        <x:f>Dashboard_Live_Data!B116</x:f>
        <x:v>66.37148842092893</x:v>
      </x:c>
    </x:row>
    <x:row r="608">
      <x:c r="A608" t="n">
        <x:f>Dashboard_Live_Data!A117</x:f>
        <x:v>-2.5</x:v>
      </x:c>
      <x:c r="B608" t="n">
        <x:f>Dashboard_Live_Data!B117</x:f>
        <x:v>48.527075969164855</x:v>
      </x:c>
    </x:row>
    <x:row r="609">
      <x:c r="A609" t="n">
        <x:f>Dashboard_Live_Data!A118</x:f>
        <x:v>-2</x:v>
      </x:c>
      <x:c r="B609" t="n">
        <x:f>Dashboard_Live_Data!B118</x:f>
        <x:v>58.258002434762375</x:v>
      </x:c>
    </x:row>
    <x:row r="610">
      <x:c r="A610" t="n">
        <x:f>Dashboard_Live_Data!A119</x:f>
        <x:v>-1.5</x:v>
      </x:c>
      <x:c r="B610" t="n">
        <x:f>Dashboard_Live_Data!B119</x:f>
        <x:v>32.8240715860631</x:v>
      </x:c>
    </x:row>
    <x:row r="611">
      <x:c r="A611" t="n">
        <x:f>Dashboard_Live_Data!A120</x:f>
        <x:v>-1</x:v>
      </x:c>
      <x:c r="B611" t="n">
        <x:f>Dashboard_Live_Data!B120</x:f>
        <x:v>36.90745807012206</x:v>
      </x:c>
    </x:row>
    <x:row r="612">
      <x:c r="A612" t="n">
        <x:f>Dashboard_Live_Data!A121</x:f>
        <x:v>-0.5</x:v>
      </x:c>
      <x:c r="B612" t="n">
        <x:f>Dashboard_Live_Data!B121</x:f>
        <x:v>14.490732066080454</x:v>
      </x:c>
    </x:row>
    <x:row r="613">
      <x:c r="A613" t="n">
        <x:f>Dashboard_Live_Data!A122</x:f>
        <x:v>0</x:v>
      </x:c>
      <x:c r="B613" t="n">
        <x:f>Dashboard_Live_Data!B122</x:f>
        <x:v>3.4704730016699727</x:v>
      </x:c>
    </x:row>
    <x:row r="614">
      <x:c r="A614" t="n">
        <x:f>Dashboard_Live_Data!A123</x:f>
        <x:v>0.5</x:v>
      </x:c>
      <x:c r="B614" t="n">
        <x:f>Dashboard_Live_Data!B123</x:f>
        <x:v>-3.744887298194101</x:v>
      </x:c>
    </x:row>
    <x:row r="615">
      <x:c r="A615" t="n">
        <x:f>Dashboard_Live_Data!A124</x:f>
        <x:v>1</x:v>
      </x:c>
      <x:c r="B615" t="n">
        <x:f>Dashboard_Live_Data!B124</x:f>
        <x:v>-44.60929521056897</x:v>
      </x:c>
    </x:row>
    <x:row r="616">
      <x:c r="A616" t="n">
        <x:f>Dashboard_Live_Data!A125</x:f>
        <x:v>1.5</x:v>
      </x:c>
      <x:c r="B616" t="n">
        <x:f>Dashboard_Live_Data!B125</x:f>
        <x:v>-48.41044167320268</x:v>
      </x:c>
    </x:row>
    <x:row r="617">
      <x:c r="A617" t="n">
        <x:f>Dashboard_Live_Data!A126</x:f>
        <x:v>2</x:v>
      </x:c>
      <x:c r="B617" t="n">
        <x:f>Dashboard_Live_Data!B126</x:f>
        <x:v>-67.2127716143965</x:v>
      </x:c>
    </x:row>
    <x:row r="618">
      <x:c r="A618" t="n">
        <x:f>Dashboard_Live_Data!A127</x:f>
        <x:v>2.5</x:v>
      </x:c>
      <x:c r="B618" t="n">
        <x:f>Dashboard_Live_Data!B127</x:f>
        <x:v>-72.60871904789826</x:v>
      </x:c>
    </x:row>
    <x:row r="619">
      <x:c r="A619" t="n">
        <x:f>Dashboard_Live_Data!A128</x:f>
        <x:v>3</x:v>
      </x:c>
      <x:c r="B619" t="n">
        <x:f>Dashboard_Live_Data!B128</x:f>
        <x:v>-83.7958295141508</x:v>
      </x:c>
    </x:row>
    <x:row r="620">
      <x:c r="A620" t="n">
        <x:f>Dashboard_Live_Data!A129</x:f>
        <x:v>3.5</x:v>
      </x:c>
      <x:c r="B620" t="n">
        <x:f>Dashboard_Live_Data!B129</x:f>
        <x:v>-100.3817455303992</x:v>
      </x:c>
    </x:row>
    <x:row r="621">
      <x:c r="A621" t="n">
        <x:f>Dashboard_Live_Data!A130</x:f>
        <x:v>4</x:v>
      </x:c>
      <x:c r="B621" t="n">
        <x:f>Dashboard_Live_Data!B130</x:f>
        <x:v>-98.13487225773548</x:v>
      </x:c>
    </x:row>
    <x:row r="622">
      <x:c r="A622" t="n">
        <x:f>Dashboard_Live_Data!A131</x:f>
        <x:v>4.5</x:v>
      </x:c>
      <x:c r="B622" t="n">
        <x:f>Dashboard_Live_Data!B131</x:f>
        <x:v>-84.32559173968934</x:v>
      </x:c>
    </x:row>
    <x:row r="623">
      <x:c r="A623" t="n">
        <x:f>Dashboard_Live_Data!A132</x:f>
        <x:v>5</x:v>
      </x:c>
      <x:c r="B623" t="n">
        <x:f>Dashboard_Live_Data!B132</x:f>
        <x:v>-100.70506580081894</x:v>
      </x:c>
    </x:row>
    <x:row r="624">
      <x:c r="A624" t="n">
        <x:f>Dashboard_Live_Data!A133</x:f>
        <x:v>5.5</x:v>
      </x:c>
      <x:c r="B624" t="n">
        <x:f>Dashboard_Live_Data!B133</x:f>
        <x:v>-98.853802750613</x:v>
      </x:c>
    </x:row>
    <x:row r="625">
      <x:c r="A625" t="n">
        <x:f>Dashboard_Live_Data!A134</x:f>
        <x:v>6</x:v>
      </x:c>
      <x:c r="B625" t="n">
        <x:f>Dashboard_Live_Data!B134</x:f>
        <x:v>-72.07812022820997</x:v>
      </x:c>
    </x:row>
    <x:row r="626">
      <x:c r="A626" t="n">
        <x:f>Dashboard_Live_Data!A135</x:f>
        <x:v>6.5</x:v>
      </x:c>
      <x:c r="B626" t="n">
        <x:f>Dashboard_Live_Data!B135</x:f>
        <x:v>-79.36936471450957</x:v>
      </x:c>
    </x:row>
    <x:row r="627">
      <x:c r="A627" t="n">
        <x:f>Dashboard_Live_Data!A136</x:f>
        <x:v>7</x:v>
      </x:c>
      <x:c r="B627" t="n">
        <x:f>Dashboard_Live_Data!B136</x:f>
        <x:v>-68.68735869698332</x:v>
      </x:c>
    </x:row>
    <x:row r="628">
      <x:c r="A628" t="n">
        <x:f>Dashboard_Live_Data!A137</x:f>
        <x:v>7.5</x:v>
      </x:c>
      <x:c r="B628" t="n">
        <x:f>Dashboard_Live_Data!B137</x:f>
        <x:v>-57.88906159607785</x:v>
      </x:c>
    </x:row>
    <x:row r="629">
      <x:c r="A629" t="n">
        <x:f>Dashboard_Live_Data!A138</x:f>
        <x:v>8</x:v>
      </x:c>
      <x:c r="B629" t="n">
        <x:f>Dashboard_Live_Data!B138</x:f>
        <x:v>-47.678060396535784</x:v>
      </x:c>
    </x:row>
    <x:row r="630">
      <x:c r="A630" t="n">
        <x:f>Dashboard_Live_Data!A139</x:f>
        <x:v>8.5</x:v>
      </x:c>
      <x:c r="B630" t="n">
        <x:f>Dashboard_Live_Data!B139</x:f>
        <x:v>-37.06559531772615</x:v>
      </x:c>
    </x:row>
    <x:row r="631">
      <x:c r="A631" t="n">
        <x:f>Dashboard_Live_Data!A140</x:f>
        <x:v>9</x:v>
      </x:c>
      <x:c r="B631" t="n">
        <x:f>Dashboard_Live_Data!B140</x:f>
        <x:v>-31.298672514684142</x:v>
      </x:c>
    </x:row>
    <x:row r="632">
      <x:c r="A632" t="n">
        <x:f>Dashboard_Live_Data!A141</x:f>
        <x:v>9.5</x:v>
      </x:c>
      <x:c r="B632" t="n">
        <x:f>Dashboard_Live_Data!B141</x:f>
        <x:v>-7.331808066710664</x:v>
      </x:c>
    </x:row>
    <x:row r="633">
      <x:c r="A633" t="n">
        <x:f>Dashboard_Live_Data!A142</x:f>
        <x:v>10</x:v>
      </x:c>
      <x:c r="B633" t="n">
        <x:f>Dashboard_Live_Data!B142</x:f>
        <x:v>6.950709340985782</x:v>
      </x:c>
    </x:row>
    <x:row r="634">
      <x:c r="A634" t="n">
        <x:f>Dashboard_Live_Data!A143</x:f>
        <x:v>10.5</x:v>
      </x:c>
      <x:c r="B634" t="n">
        <x:f>Dashboard_Live_Data!B143</x:f>
        <x:v>-6.51890035122284</x:v>
      </x:c>
    </x:row>
    <x:row r="635">
      <x:c r="A635" t="n">
        <x:f>Dashboard_Live_Data!A144</x:f>
        <x:v>11</x:v>
      </x:c>
      <x:c r="B635" t="n">
        <x:f>Dashboard_Live_Data!B144</x:f>
        <x:v>-3.5716399061908533</x:v>
      </x:c>
    </x:row>
    <x:row r="636">
      <x:c r="A636" t="n">
        <x:f>Dashboard_Live_Data!A145</x:f>
        <x:v>11.5</x:v>
      </x:c>
      <x:c r="B636" t="n">
        <x:f>Dashboard_Live_Data!B145</x:f>
        <x:v>-5.661420832986096</x:v>
      </x:c>
    </x:row>
    <x:row r="637">
      <x:c r="A637" t="n">
        <x:f>Dashboard_Live_Data!A146</x:f>
        <x:v>12</x:v>
      </x:c>
      <x:c r="B637" t="n">
        <x:f>Dashboard_Live_Data!B146</x:f>
        <x:v>-8.671483580595464</x:v>
      </x:c>
    </x:row>
    <x:row r="638">
      <x:c r="A638" t="n">
        <x:f>Dashboard_Live_Data!A147</x:f>
        <x:v>12.5</x:v>
      </x:c>
      <x:c r="B638" t="n">
        <x:f>Dashboard_Live_Data!B147</x:f>
        <x:v>4.021249498760881</x:v>
      </x:c>
    </x:row>
    <x:row r="639">
      <x:c r="A639" t="n">
        <x:f>Dashboard_Live_Data!A148</x:f>
        <x:v>13</x:v>
      </x:c>
      <x:c r="B639" t="n">
        <x:f>Dashboard_Live_Data!B148</x:f>
        <x:v>1.9459578878685306</x:v>
      </x:c>
    </x:row>
    <x:row r="640">
      <x:c r="A640" t="n">
        <x:f>Dashboard_Live_Data!A149</x:f>
        <x:v>13.5</x:v>
      </x:c>
      <x:c r="B640" t="n">
        <x:f>Dashboard_Live_Data!B149</x:f>
        <x:v>-1.6666503235243226</x:v>
      </x:c>
    </x:row>
    <x:row r="641">
      <x:c r="A641" t="n">
        <x:f>Dashboard_Live_Data!A150</x:f>
        <x:v>14</x:v>
      </x:c>
      <x:c r="B641" t="n">
        <x:f>Dashboard_Live_Data!B150</x:f>
        <x:v>-18.81128421623464</x:v>
      </x:c>
    </x:row>
    <x:row r="642">
      <x:c r="A642" t="n">
        <x:f>Dashboard_Live_Data!A151</x:f>
        <x:v>14.5</x:v>
      </x:c>
      <x:c r="B642" t="n">
        <x:f>Dashboard_Live_Data!B151</x:f>
        <x:v>-29.029666399043833</x:v>
      </x:c>
    </x:row>
    <x:row r="643">
      <x:c r="A643" t="n">
        <x:f>Dashboard_Live_Data!A152</x:f>
        <x:v>15</x:v>
      </x:c>
      <x:c r="B643" t="n">
        <x:f>Dashboard_Live_Data!B152</x:f>
        <x:v>-47.029230224199864</x:v>
      </x:c>
    </x:row>
    <x:row r="644">
      <x:c r="A644" t="n">
        <x:f>Dashboard_Live_Data!A153</x:f>
        <x:v>15.5</x:v>
      </x:c>
      <x:c r="B644" t="n">
        <x:f>Dashboard_Live_Data!B153</x:f>
        <x:v>-50.77028983950106</x:v>
      </x:c>
    </x:row>
    <x:row r="645">
      <x:c r="A645" t="n">
        <x:f>Dashboard_Live_Data!A154</x:f>
        <x:v>16</x:v>
      </x:c>
      <x:c r="B645" t="n">
        <x:f>Dashboard_Live_Data!B154</x:f>
        <x:v>-71.45092295981351</x:v>
      </x:c>
    </x:row>
    <x:row r="646">
      <x:c r="A646" t="n">
        <x:f>Dashboard_Live_Data!A155</x:f>
        <x:v>16.5</x:v>
      </x:c>
      <x:c r="B646" t="n">
        <x:f>Dashboard_Live_Data!B155</x:f>
        <x:v>-73.29754339504791</x:v>
      </x:c>
    </x:row>
    <x:row r="647">
      <x:c r="A647" t="n">
        <x:f>Dashboard_Live_Data!A156</x:f>
        <x:v>17</x:v>
      </x:c>
      <x:c r="B647" t="n">
        <x:f>Dashboard_Live_Data!B156</x:f>
        <x:v>-60.39278368991182</x:v>
      </x:c>
    </x:row>
    <x:row r="648">
      <x:c r="A648" t="n">
        <x:f>Dashboard_Live_Data!A157</x:f>
        <x:v>17.5</x:v>
      </x:c>
      <x:c r="B648" t="n">
        <x:f>Dashboard_Live_Data!B157</x:f>
        <x:v>-67.5969950057256</x:v>
      </x:c>
    </x:row>
    <x:row r="649">
      <x:c r="A649" t="n">
        <x:f>Dashboard_Live_Data!A158</x:f>
        <x:v>18</x:v>
      </x:c>
      <x:c r="B649" t="n">
        <x:f>Dashboard_Live_Data!B158</x:f>
        <x:v>-72.44552854443015</x:v>
      </x:c>
    </x:row>
    <x:row r="650">
      <x:c r="A650" t="n">
        <x:f>Dashboard_Live_Data!A159</x:f>
        <x:v>18.5</x:v>
      </x:c>
      <x:c r="B650" t="n">
        <x:f>Dashboard_Live_Data!B159</x:f>
        <x:v>-86.1175150318557</x:v>
      </x:c>
    </x:row>
    <x:row r="651">
      <x:c r="A651" t="n">
        <x:f>Dashboard_Live_Data!A160</x:f>
        <x:v>19</x:v>
      </x:c>
      <x:c r="B651" t="n">
        <x:f>Dashboard_Live_Data!B160</x:f>
        <x:v>-89.87063812898208</x:v>
      </x:c>
    </x:row>
    <x:row r="652">
      <x:c r="A652" t="n">
        <x:f>Dashboard_Live_Data!A161</x:f>
        <x:v>19.5</x:v>
      </x:c>
      <x:c r="B652" t="n">
        <x:f>Dashboard_Live_Data!B161</x:f>
        <x:v>-82.23751612797241</x:v>
      </x:c>
    </x:row>
    <x:row r="653">
      <x:c r="A653" t="n">
        <x:f>Dashboard_Live_Data!A162</x:f>
        <x:v>20</x:v>
      </x:c>
      <x:c r="B653" t="n">
        <x:f>Dashboard_Live_Data!B162</x:f>
        <x:v>-76.53704728632965</x:v>
      </x:c>
    </x:row>
    <x:row r="654">
      <x:c r="A654" t="n">
        <x:f>Dashboard_Live_Data!A163</x:f>
        <x:v>20.5</x:v>
      </x:c>
      <x:c r="B654" t="n">
        <x:f>Dashboard_Live_Data!B163</x:f>
        <x:v>-79.34560005519478</x:v>
      </x:c>
    </x:row>
    <x:row r="655">
      <x:c r="A655" t="n">
        <x:f>Dashboard_Live_Data!A164</x:f>
        <x:v>21</x:v>
      </x:c>
      <x:c r="B655" t="n">
        <x:f>Dashboard_Live_Data!B164</x:f>
        <x:v>-86.91047035433752</x:v>
      </x:c>
    </x:row>
    <x:row r="656">
      <x:c r="A656" t="n">
        <x:f>Dashboard_Live_Data!A165</x:f>
        <x:v>21.5</x:v>
      </x:c>
      <x:c r="B656" t="n">
        <x:f>Dashboard_Live_Data!B165</x:f>
        <x:v>-86.01689250798682</x:v>
      </x:c>
    </x:row>
    <x:row r="657">
      <x:c r="A657" t="n">
        <x:f>Dashboard_Live_Data!A166</x:f>
        <x:v>22</x:v>
      </x:c>
      <x:c r="B657" t="n">
        <x:f>Dashboard_Live_Data!B166</x:f>
        <x:v>-75.79770446387516</x:v>
      </x:c>
    </x:row>
    <x:row r="658">
      <x:c r="A658" t="n">
        <x:f>Dashboard_Live_Data!A167</x:f>
        <x:v>22.5</x:v>
      </x:c>
      <x:c r="B658" t="n">
        <x:f>Dashboard_Live_Data!B167</x:f>
        <x:v>-76.31405067890728</x:v>
      </x:c>
    </x:row>
    <x:row r="659">
      <x:c r="A659" t="n">
        <x:f>Dashboard_Live_Data!A168</x:f>
        <x:v>23</x:v>
      </x:c>
      <x:c r="B659" t="n">
        <x:f>Dashboard_Live_Data!B168</x:f>
        <x:v>-64.25633636231674</x:v>
      </x:c>
    </x:row>
    <x:row r="660">
      <x:c r="A660" t="n">
        <x:f>Dashboard_Live_Data!A169</x:f>
        <x:v>23.5</x:v>
      </x:c>
      <x:c r="B660" t="n">
        <x:f>Dashboard_Live_Data!B169</x:f>
        <x:v>-73.4728540128869</x:v>
      </x:c>
    </x:row>
    <x:row r="661">
      <x:c r="A661" t="n">
        <x:f>Dashboard_Live_Data!A170</x:f>
        <x:v>24</x:v>
      </x:c>
      <x:c r="B661" t="n">
        <x:f>Dashboard_Live_Data!B170</x:f>
        <x:v>-78.06097148319265</x:v>
      </x:c>
    </x:row>
    <x:row r="662">
      <x:c r="A662" t="n">
        <x:f>Dashboard_Live_Data!A171</x:f>
        <x:v>24.5</x:v>
      </x:c>
      <x:c r="B662" t="n">
        <x:f>Dashboard_Live_Data!B171</x:f>
        <x:v>-82.77777036737297</x:v>
      </x:c>
    </x:row>
    <x:row r="663">
      <x:c r="A663" t="n">
        <x:f>Dashboard_Live_Data!A172</x:f>
        <x:v>25</x:v>
      </x:c>
      <x:c r="B663" t="n">
        <x:f>Dashboard_Live_Data!B172</x:f>
        <x:v>-64.05860084887831</x:v>
      </x:c>
    </x:row>
    <x:row r="664">
      <x:c r="A664" t="n">
        <x:f>Dashboard_Live_Data!A173</x:f>
        <x:v>25.5</x:v>
      </x:c>
      <x:c r="B664" t="n">
        <x:f>Dashboard_Live_Data!B173</x:f>
        <x:v>-70.33405513010166</x:v>
      </x:c>
    </x:row>
    <x:row r="665">
      <x:c r="A665" t="n">
        <x:f>Dashboard_Live_Data!A174</x:f>
        <x:v>26</x:v>
      </x:c>
      <x:c r="B665" t="n">
        <x:f>Dashboard_Live_Data!B174</x:f>
        <x:v>-67.49562383583464</x:v>
      </x:c>
    </x:row>
    <x:row r="666">
      <x:c r="A666" t="n">
        <x:f>Dashboard_Live_Data!A175</x:f>
        <x:v>26.5</x:v>
      </x:c>
      <x:c r="B666" t="n">
        <x:f>Dashboard_Live_Data!B175</x:f>
        <x:v>-72.00336103907381</x:v>
      </x:c>
    </x:row>
    <x:row r="667">
      <x:c r="A667" t="n">
        <x:f>Dashboard_Live_Data!A176</x:f>
        <x:v>27</x:v>
      </x:c>
      <x:c r="B667" t="n">
        <x:f>Dashboard_Live_Data!B176</x:f>
        <x:v>-66.74406286520434</x:v>
      </x:c>
    </x:row>
    <x:row r="668">
      <x:c r="A668" t="n">
        <x:f>Dashboard_Live_Data!A177</x:f>
        <x:v>27.5</x:v>
      </x:c>
      <x:c r="B668" t="n">
        <x:f>Dashboard_Live_Data!B177</x:f>
        <x:v>-48.058872962173155</x:v>
      </x:c>
    </x:row>
    <x:row r="669">
      <x:c r="A669" t="n">
        <x:f>Dashboard_Live_Data!A178</x:f>
        <x:v>28</x:v>
      </x:c>
      <x:c r="B669" t="n">
        <x:f>Dashboard_Live_Data!B178</x:f>
        <x:v>-61.09136424802625</x:v>
      </x:c>
    </x:row>
    <x:row r="670">
      <x:c r="A670" t="n">
        <x:f>Dashboard_Live_Data!A179</x:f>
        <x:v>28.5</x:v>
      </x:c>
      <x:c r="B670" t="n">
        <x:f>Dashboard_Live_Data!B179</x:f>
        <x:v>-55.904413669962196</x:v>
      </x:c>
    </x:row>
    <x:row r="671">
      <x:c r="A671" t="n">
        <x:f>Dashboard_Live_Data!A180</x:f>
        <x:v>29</x:v>
      </x:c>
      <x:c r="B671" t="n">
        <x:f>Dashboard_Live_Data!B180</x:f>
        <x:v>-31.39290658087836</x:v>
      </x:c>
    </x:row>
    <x:row r="672">
      <x:c r="A672" t="n">
        <x:f>Dashboard_Live_Data!A181</x:f>
        <x:v>29.5</x:v>
      </x:c>
      <x:c r="B672" t="n">
        <x:f>Dashboard_Live_Data!B181</x:f>
        <x:v>-22.367241319432367</x:v>
      </x:c>
    </x:row>
    <x:row r="673">
      <x:c r="A673" t="n">
        <x:f>Dashboard_Live_Data!A182</x:f>
        <x:v>30</x:v>
      </x:c>
      <x:c r="B673" t="n">
        <x:f>Dashboard_Live_Data!B182</x:f>
        <x:v>-13.799924431809131</x:v>
      </x:c>
    </x:row>
    <x:row r="674">
      <x:c r="A674" t="n">
        <x:f>Dashboard_Live_Data!A183</x:f>
        <x:v>30.5</x:v>
      </x:c>
      <x:c r="B674" t="n">
        <x:f>Dashboard_Live_Data!B183</x:f>
        <x:v>-6.10362814177148</x:v>
      </x:c>
    </x:row>
    <x:row r="675">
      <x:c r="A675" t="n">
        <x:f>Dashboard_Live_Data!A184</x:f>
        <x:v>31</x:v>
      </x:c>
      <x:c r="B675" t="n">
        <x:f>Dashboard_Live_Data!B184</x:f>
        <x:v>-20.543420098614604</x:v>
      </x:c>
    </x:row>
    <x:row r="676">
      <x:c r="A676" t="n">
        <x:f>Dashboard_Live_Data!A185</x:f>
        <x:v>31.5</x:v>
      </x:c>
      <x:c r="B676" t="n">
        <x:f>Dashboard_Live_Data!B185</x:f>
        <x:v>-20.28539462781552</x:v>
      </x:c>
    </x:row>
    <x:row r="677">
      <x:c r="A677" t="n">
        <x:f>Dashboard_Live_Data!A186</x:f>
        <x:v>32</x:v>
      </x:c>
      <x:c r="B677" t="n">
        <x:f>Dashboard_Live_Data!B186</x:f>
        <x:v>-0.4268979215809736</x:v>
      </x:c>
    </x:row>
    <x:row r="678">
      <x:c r="A678" t="n">
        <x:f>Dashboard_Live_Data!A187</x:f>
        <x:v>32.5</x:v>
      </x:c>
      <x:c r="B678" t="n">
        <x:f>Dashboard_Live_Data!B187</x:f>
        <x:v>-7.712229584010402</x:v>
      </x:c>
    </x:row>
    <x:row r="679">
      <x:c r="A679" t="n">
        <x:f>Dashboard_Live_Data!A188</x:f>
        <x:v>33</x:v>
      </x:c>
      <x:c r="B679" t="n">
        <x:f>Dashboard_Live_Data!B188</x:f>
        <x:v>1.724927204582798</x:v>
      </x:c>
    </x:row>
    <x:row r="680">
      <x:c r="A680" t="n">
        <x:f>Dashboard_Live_Data!A189</x:f>
        <x:v>33.5</x:v>
      </x:c>
      <x:c r="B680" t="n">
        <x:f>Dashboard_Live_Data!B189</x:f>
        <x:v>-4.742014780506821</x:v>
      </x:c>
    </x:row>
    <x:row r="681">
      <x:c r="A681" t="n">
        <x:f>Dashboard_Live_Data!A190</x:f>
        <x:v>34</x:v>
      </x:c>
      <x:c r="B681" t="n">
        <x:f>Dashboard_Live_Data!B190</x:f>
        <x:v>-12.008270604959733</x:v>
      </x:c>
    </x:row>
    <x:row r="682">
      <x:c r="A682" t="n">
        <x:f>Dashboard_Live_Data!A191</x:f>
        <x:v>34.5</x:v>
      </x:c>
      <x:c r="B682" t="n">
        <x:f>Dashboard_Live_Data!B191</x:f>
        <x:v>-24.501863179500816</x:v>
      </x:c>
    </x:row>
    <x:row r="683">
      <x:c r="A683" t="n">
        <x:f>Dashboard_Live_Data!A192</x:f>
        <x:v>35</x:v>
      </x:c>
      <x:c r="B683" t="n">
        <x:f>Dashboard_Live_Data!B192</x:f>
        <x:v>-31.09945778927886</x:v>
      </x:c>
    </x:row>
    <x:row r="684">
      <x:c r="A684" t="n">
        <x:f>Dashboard_Live_Data!A193</x:f>
        <x:v>35.5</x:v>
      </x:c>
      <x:c r="B684" t="n">
        <x:f>Dashboard_Live_Data!B193</x:f>
        <x:v>-34.44955577121655</x:v>
      </x:c>
    </x:row>
    <x:row r="685">
      <x:c r="A685" t="n">
        <x:f>Dashboard_Live_Data!A194</x:f>
        <x:v>36</x:v>
      </x:c>
      <x:c r="B685" t="n">
        <x:f>Dashboard_Live_Data!B194</x:f>
        <x:v>-47.77178417863914</x:v>
      </x:c>
    </x:row>
    <x:row r="686">
      <x:c r="A686" t="n">
        <x:f>Dashboard_Live_Data!A195</x:f>
        <x:v>36.5</x:v>
      </x:c>
      <x:c r="B686" t="n">
        <x:f>Dashboard_Live_Data!B195</x:f>
        <x:v>-47.58850500560911</x:v>
      </x:c>
    </x:row>
    <x:row r="687">
      <x:c r="A687" t="n">
        <x:f>Dashboard_Live_Data!A196</x:f>
        <x:v>37</x:v>
      </x:c>
      <x:c r="B687" t="n">
        <x:f>Dashboard_Live_Data!B196</x:f>
        <x:v>-61.04391279282535</x:v>
      </x:c>
    </x:row>
    <x:row r="688">
      <x:c r="A688" t="n">
        <x:f>Dashboard_Live_Data!A197</x:f>
        <x:v>37.5</x:v>
      </x:c>
      <x:c r="B688" t="n">
        <x:f>Dashboard_Live_Data!B197</x:f>
        <x:v>-58.84680272570924</x:v>
      </x:c>
    </x:row>
    <x:row r="689">
      <x:c r="A689" t="n">
        <x:f>Dashboard_Live_Data!A198</x:f>
        <x:v>38</x:v>
      </x:c>
      <x:c r="B689" t="n">
        <x:f>Dashboard_Live_Data!B198</x:f>
        <x:v>-77.72439146435559</x:v>
      </x:c>
    </x:row>
    <x:row r="690">
      <x:c r="A690" t="n">
        <x:f>Dashboard_Live_Data!A199</x:f>
        <x:v>38.5</x:v>
      </x:c>
      <x:c r="B690" t="n">
        <x:f>Dashboard_Live_Data!B199</x:f>
        <x:v>-84.40826877550307</x:v>
      </x:c>
    </x:row>
    <x:row r="691">
      <x:c r="A691" t="n">
        <x:f>Dashboard_Live_Data!A200</x:f>
        <x:v>39</x:v>
      </x:c>
      <x:c r="B691" t="n">
        <x:f>Dashboard_Live_Data!B200</x:f>
        <x:v>-85.90700470954434</x:v>
      </x:c>
    </x:row>
    <x:row r="692">
      <x:c r="A692" t="n">
        <x:f>Dashboard_Live_Data!A201</x:f>
        <x:v>39.5</x:v>
      </x:c>
      <x:c r="B692" t="n">
        <x:f>Dashboard_Live_Data!B201</x:f>
        <x:v>-79.47691436011348</x:v>
      </x:c>
    </x:row>
    <x:row r="693">
      <x:c r="A693" t="n">
        <x:f>Dashboard_Live_Data!A202</x:f>
        <x:v>40</x:v>
      </x:c>
      <x:c r="B693" t="n">
        <x:f>Dashboard_Live_Data!B202</x:f>
        <x:v>-69.5501227158025</x:v>
      </x:c>
    </x:row>
    <x:row r="694">
      <x:c r="A694" t="n">
        <x:f>Dashboard_Live_Data!A203</x:f>
        <x:v>40.5</x:v>
      </x:c>
      <x:c r="B694" t="n">
        <x:f>Dashboard_Live_Data!B203</x:f>
        <x:v>-63.449089898240885</x:v>
      </x:c>
    </x:row>
    <x:row r="695">
      <x:c r="A695" t="n">
        <x:f>Dashboard_Live_Data!A204</x:f>
        <x:v>41</x:v>
      </x:c>
      <x:c r="B695" t="n">
        <x:f>Dashboard_Live_Data!B204</x:f>
        <x:v>-55.6946862509956</x:v>
      </x:c>
    </x:row>
    <x:row r="696">
      <x:c r="A696" t="n">
        <x:f>Dashboard_Live_Data!A205</x:f>
        <x:v>41.5</x:v>
      </x:c>
      <x:c r="B696" t="n">
        <x:f>Dashboard_Live_Data!B205</x:f>
        <x:v>-61.436839734876884</x:v>
      </x:c>
    </x:row>
    <x:row r="697">
      <x:c r="A697" t="n">
        <x:f>Dashboard_Live_Data!A206</x:f>
        <x:v>42</x:v>
      </x:c>
      <x:c r="B697" t="n">
        <x:f>Dashboard_Live_Data!B206</x:f>
        <x:v>-37.65230230192819</x:v>
      </x:c>
    </x:row>
    <x:row r="698">
      <x:c r="A698" t="n">
        <x:f>Dashboard_Live_Data!A207</x:f>
        <x:v>42.5</x:v>
      </x:c>
      <x:c r="B698" t="n">
        <x:f>Dashboard_Live_Data!B207</x:f>
        <x:v>-43.30298834836995</x:v>
      </x:c>
    </x:row>
    <x:row r="699">
      <x:c r="A699" t="n">
        <x:f>Dashboard_Live_Data!A208</x:f>
        <x:v>43</x:v>
      </x:c>
      <x:c r="B699" t="n">
        <x:f>Dashboard_Live_Data!B208</x:f>
        <x:v>-36.28244299194577</x:v>
      </x:c>
    </x:row>
    <x:row r="700">
      <x:c r="A700" t="n">
        <x:f>Dashboard_Live_Data!A209</x:f>
        <x:v>43.5</x:v>
      </x:c>
      <x:c r="B700" t="n">
        <x:f>Dashboard_Live_Data!B209</x:f>
        <x:v>-23.261421172805</x:v>
      </x:c>
    </x:row>
    <x:row r="701">
      <x:c r="A701" t="n">
        <x:f>Dashboard_Live_Data!A210</x:f>
        <x:v>44</x:v>
      </x:c>
      <x:c r="B701" t="n">
        <x:f>Dashboard_Live_Data!B210</x:f>
        <x:v>-9.63259125781883</x:v>
      </x:c>
    </x:row>
    <x:row r="702">
      <x:c r="A702" t="n">
        <x:f>Dashboard_Live_Data!A211</x:f>
        <x:v>44.5</x:v>
      </x:c>
      <x:c r="B702" t="n">
        <x:f>Dashboard_Live_Data!B211</x:f>
        <x:v>1.0351428006268861</x:v>
      </x:c>
    </x:row>
    <x:row r="703">
      <x:c r="A703" t="n">
        <x:f>Dashboard_Live_Data!A212</x:f>
        <x:v>45</x:v>
      </x:c>
      <x:c r="B703" t="n">
        <x:f>Dashboard_Live_Data!B212</x:f>
        <x:v>2.635051893500531</x:v>
      </x:c>
    </x:row>
    <x:row r="704">
      <x:c r="A704" t="n">
        <x:f>Dashboard_Live_Data!A213</x:f>
        <x:v>45.5</x:v>
      </x:c>
      <x:c r="B704" t="n">
        <x:f>Dashboard_Live_Data!B213</x:f>
        <x:v>2.762829766127794</x:v>
      </x:c>
    </x:row>
    <x:row r="705">
      <x:c r="A705" t="n">
        <x:f>Dashboard_Live_Data!A214</x:f>
        <x:v>46</x:v>
      </x:c>
      <x:c r="B705" t="n">
        <x:f>Dashboard_Live_Data!B214</x:f>
        <x:v>-1.8952716670484335</x:v>
      </x:c>
    </x:row>
    <x:row r="706">
      <x:c r="A706" t="n">
        <x:f>Dashboard_Live_Data!A215</x:f>
        <x:v>46.5</x:v>
      </x:c>
      <x:c r="B706" t="n">
        <x:f>Dashboard_Live_Data!B215</x:f>
        <x:v>10.643125662069693</x:v>
      </x:c>
    </x:row>
    <x:row r="707">
      <x:c r="A707" t="n">
        <x:f>Dashboard_Live_Data!A216</x:f>
        <x:v>47</x:v>
      </x:c>
      <x:c r="B707" t="n">
        <x:f>Dashboard_Live_Data!B216</x:f>
        <x:v>-7.248372089645926</x:v>
      </x:c>
    </x:row>
    <x:row r="708">
      <x:c r="A708" t="n">
        <x:f>Dashboard_Live_Data!A217</x:f>
        <x:v>47.5</x:v>
      </x:c>
      <x:c r="B708" t="n">
        <x:f>Dashboard_Live_Data!B217</x:f>
        <x:v>-6.218848981717969</x:v>
      </x:c>
    </x:row>
    <x:row r="709">
      <x:c r="A709" t="n">
        <x:f>Dashboard_Live_Data!A218</x:f>
        <x:v>48</x:v>
      </x:c>
      <x:c r="B709" t="n">
        <x:f>Dashboard_Live_Data!B218</x:f>
        <x:v>7.316979239076744</x:v>
      </x:c>
    </x:row>
    <x:row r="710">
      <x:c r="A710" t="n">
        <x:f>Dashboard_Live_Data!A219</x:f>
        <x:v>48.5</x:v>
      </x:c>
      <x:c r="B710" t="n">
        <x:f>Dashboard_Live_Data!B219</x:f>
        <x:v>0.40634772964276067</x:v>
      </x:c>
    </x:row>
    <x:row r="711">
      <x:c r="A711" t="n">
        <x:f>Dashboard_Live_Data!A220</x:f>
        <x:v>49</x:v>
      </x:c>
      <x:c r="B711" t="n">
        <x:f>Dashboard_Live_Data!B220</x:f>
        <x:v>-12.02291335515622</x:v>
      </x:c>
    </x:row>
    <x:row r="712">
      <x:c r="A712" t="n">
        <x:f>Dashboard_Live_Data!A221</x:f>
        <x:v>49.5</x:v>
      </x:c>
      <x:c r="B712" t="n">
        <x:f>Dashboard_Live_Data!B221</x:f>
        <x:v>0.5602533864366706</x:v>
      </x:c>
    </x:row>
    <x:row r="713">
      <x:c r="A713" t="n">
        <x:f>Dashboard_Live_Data!A222</x:f>
        <x:v>50</x:v>
      </x:c>
      <x:c r="B713" t="n">
        <x:f>Dashboard_Live_Data!B222</x:f>
        <x:v>-9.90034021804506</x:v>
      </x:c>
    </x:row>
    <x:row r="714">
      <x:c r="A714" t="n">
        <x:f>Dashboard_Live_Data!A223</x:f>
        <x:v>50.5</x:v>
      </x:c>
      <x:c r="B714" t="n">
        <x:f>Dashboard_Live_Data!B223</x:f>
        <x:v>-9.261408253825465</x:v>
      </x:c>
    </x:row>
    <x:row r="715">
      <x:c r="A715" t="n">
        <x:f>Dashboard_Live_Data!A224</x:f>
        <x:v>51</x:v>
      </x:c>
      <x:c r="B715" t="n">
        <x:f>Dashboard_Live_Data!B224</x:f>
        <x:v>-13.64503521568463</x:v>
      </x:c>
    </x:row>
    <x:row r="716">
      <x:c r="A716" t="n">
        <x:f>Dashboard_Live_Data!A225</x:f>
        <x:v>51.5</x:v>
      </x:c>
      <x:c r="B716" t="n">
        <x:f>Dashboard_Live_Data!B225</x:f>
        <x:v>2.0445562852635533</x:v>
      </x:c>
    </x:row>
    <x:row r="717">
      <x:c r="A717" t="n">
        <x:f>Dashboard_Live_Data!A226</x:f>
        <x:v>52</x:v>
      </x:c>
      <x:c r="B717" t="n">
        <x:f>Dashboard_Live_Data!B226</x:f>
        <x:v>5.188627805829441</x:v>
      </x:c>
    </x:row>
    <x:row r="718">
      <x:c r="A718" t="n">
        <x:f>Dashboard_Live_Data!A227</x:f>
        <x:v>52.5</x:v>
      </x:c>
      <x:c r="B718" t="n">
        <x:f>Dashboard_Live_Data!B227</x:f>
        <x:v>-9.24374226905121</x:v>
      </x:c>
    </x:row>
    <x:row r="719">
      <x:c r="A719" t="n">
        <x:f>Dashboard_Live_Data!A228</x:f>
        <x:v>53</x:v>
      </x:c>
      <x:c r="B719" t="n">
        <x:f>Dashboard_Live_Data!B228</x:f>
        <x:v>-7.523615352549314</x:v>
      </x:c>
    </x:row>
    <x:row r="720">
      <x:c r="A720" t="n">
        <x:f>Dashboard_Live_Data!A229</x:f>
        <x:v>53.5</x:v>
      </x:c>
      <x:c r="B720" t="n">
        <x:f>Dashboard_Live_Data!B229</x:f>
        <x:v>-2.890955997517267</x:v>
      </x:c>
    </x:row>
    <x:row r="721">
      <x:c r="A721" t="n">
        <x:f>Dashboard_Live_Data!A230</x:f>
        <x:v>54</x:v>
      </x:c>
      <x:c r="B721" t="n">
        <x:f>Dashboard_Live_Data!B230</x:f>
        <x:v>4.780407983842736</x:v>
      </x:c>
    </x:row>
    <x:row r="722">
      <x:c r="A722" t="n">
        <x:f>Dashboard_Live_Data!A231</x:f>
        <x:v>54.5</x:v>
      </x:c>
      <x:c r="B722" t="n">
        <x:f>Dashboard_Live_Data!B231</x:f>
        <x:v>7.851592638265515</x:v>
      </x:c>
    </x:row>
    <x:row r="723">
      <x:c r="A723" t="n">
        <x:f>Dashboard_Live_Data!A232</x:f>
        <x:v>55</x:v>
      </x:c>
      <x:c r="B723" t="n">
        <x:f>Dashboard_Live_Data!B232</x:f>
        <x:v>-0.5459606869287086</x:v>
      </x:c>
    </x:row>
    <x:row r="724">
      <x:c r="A724" t="n">
        <x:f>Dashboard_Live_Data!A233</x:f>
        <x:v>55.5</x:v>
      </x:c>
      <x:c r="B724" t="n">
        <x:f>Dashboard_Live_Data!B233</x:f>
        <x:v>3.310332055354735</x:v>
      </x:c>
    </x:row>
    <x:row r="725">
      <x:c r="A725" t="n">
        <x:f>Dashboard_Live_Data!A234</x:f>
        <x:v>56</x:v>
      </x:c>
      <x:c r="B725" t="n">
        <x:f>Dashboard_Live_Data!B234</x:f>
        <x:v>1.0046162125690614</x:v>
      </x:c>
    </x:row>
    <x:row r="726">
      <x:c r="A726" t="n">
        <x:f>Dashboard_Live_Data!A235</x:f>
        <x:v>56.5</x:v>
      </x:c>
      <x:c r="B726" t="n">
        <x:f>Dashboard_Live_Data!B235</x:f>
        <x:v>-25.174071050032467</x:v>
      </x:c>
    </x:row>
    <x:row r="727">
      <x:c r="A727" t="n">
        <x:f>Dashboard_Live_Data!A236</x:f>
        <x:v>57</x:v>
      </x:c>
      <x:c r="B727" t="n">
        <x:f>Dashboard_Live_Data!B236</x:f>
        <x:v>-22.117718757033032</x:v>
      </x:c>
    </x:row>
    <x:row r="728">
      <x:c r="A728" t="n">
        <x:f>Dashboard_Live_Data!A237</x:f>
        <x:v>57.5</x:v>
      </x:c>
      <x:c r="B728" t="n">
        <x:f>Dashboard_Live_Data!B237</x:f>
        <x:v>-29.305969865231276</x:v>
      </x:c>
    </x:row>
    <x:row r="729">
      <x:c r="A729" t="n">
        <x:f>Dashboard_Live_Data!A238</x:f>
        <x:v>58</x:v>
      </x:c>
      <x:c r="B729" t="n">
        <x:f>Dashboard_Live_Data!B238</x:f>
        <x:v>-33.763162078350604</x:v>
      </x:c>
    </x:row>
    <x:row r="730">
      <x:c r="A730" t="n">
        <x:f>Dashboard_Live_Data!A239</x:f>
        <x:v>58.5</x:v>
      </x:c>
      <x:c r="B730" t="n">
        <x:f>Dashboard_Live_Data!B239</x:f>
        <x:v>-32.05079854149554</x:v>
      </x:c>
    </x:row>
    <x:row r="731">
      <x:c r="A731" t="n">
        <x:f>Dashboard_Live_Data!A240</x:f>
        <x:v>59</x:v>
      </x:c>
      <x:c r="B731" t="n">
        <x:f>Dashboard_Live_Data!B240</x:f>
        <x:v>-29.468701438210815</x:v>
      </x:c>
    </x:row>
    <x:row r="732">
      <x:c r="A732" t="n">
        <x:f>Dashboard_Live_Data!A241</x:f>
        <x:v>59.5</x:v>
      </x:c>
      <x:c r="B732" t="n">
        <x:f>Dashboard_Live_Data!B241</x:f>
        <x:v>-49.025439433691346</x:v>
      </x:c>
    </x:row>
    <x:row r="733">
      <x:c r="A733" t="n">
        <x:f>Dashboard_Live_Data!A242</x:f>
        <x:v>60</x:v>
      </x:c>
      <x:c r="B733" t="n">
        <x:f>Dashboard_Live_Data!B242</x:f>
        <x:v>-35.49215422910294</x:v>
      </x:c>
    </x:row>
    <x:row r="736">
      <x:c r="A736" t="inlineStr">
        <x:is>
          <x:t xml:space="preserve">Doppler: Flat Geometry vs Topography</x:t>
        </x:is>
      </x:c>
    </x:row>
    <x:row r="737">
      <x:c r="A737" t="inlineStr">
        <x:is>
          <x:t xml:space="preserve">Flat VHF Doppler (Hz) x</x:t>
        </x:is>
      </x:c>
      <x:c r="B737" t="inlineStr">
        <x:is>
          <x:t xml:space="preserve">Flat VHF Doppler (Hz)</x:t>
        </x:is>
      </x:c>
      <x:c r="C737" t="inlineStr">
        <x:is>
          <x:t xml:space="preserve">Topo VHF Doppler (Hz) x</x:t>
        </x:is>
      </x:c>
      <x:c r="D737" t="inlineStr">
        <x:is>
          <x:t xml:space="preserve">Topo VHF Doppler (Hz)</x:t>
        </x:is>
      </x:c>
      <x:c r="E737" t="inlineStr">
        <x:is>
          <x:t xml:space="preserve">Flat HF Doppler (Hz) x</x:t>
        </x:is>
      </x:c>
      <x:c r="F737" t="inlineStr">
        <x:is>
          <x:t xml:space="preserve">Flat HF Doppler (Hz)</x:t>
        </x:is>
      </x:c>
      <x:c r="G737" t="inlineStr">
        <x:is>
          <x:t xml:space="preserve">Topo HF Doppler (Hz) x</x:t>
        </x:is>
      </x:c>
      <x:c r="H737" t="inlineStr">
        <x:is>
          <x:t xml:space="preserve">Topo HF Doppler (Hz)</x:t>
        </x:is>
      </x:c>
    </x:row>
    <x:row r="738">
      <x:c r="A738" t="n">
        <x:f>Chart_Data!P2</x:f>
        <x:v>-60</x:v>
      </x:c>
      <x:c r="B738" t="n">
        <x:f>Chart_Data!Q2</x:f>
        <x:v>502.89823360690207</x:v>
      </x:c>
      <x:c r="C738" t="n">
        <x:f>Chart_Data!P2</x:f>
        <x:v>-60</x:v>
      </x:c>
      <x:c r="D738" t="n">
        <x:f>Chart_Data!R2</x:f>
        <x:v>475.6182314496982</x:v>
      </x:c>
      <x:c r="E738" t="n">
        <x:f>Chart_Data!P2</x:f>
        <x:v>-60</x:v>
      </x:c>
      <x:c r="F738" t="n">
        <x:f>Chart_Data!S2</x:f>
        <x:v>75.51024528632163</x:v>
      </x:c>
      <x:c r="G738" t="n">
        <x:f>Chart_Data!P2</x:f>
        <x:v>-60</x:v>
      </x:c>
      <x:c r="H738" t="n">
        <x:f>Chart_Data!T2</x:f>
        <x:v>71.41414886632106</x:v>
      </x:c>
    </x:row>
    <x:row r="739">
      <x:c r="A739" t="n">
        <x:f>Chart_Data!P3</x:f>
        <x:v>-59.5</x:v>
      </x:c>
      <x:c r="B739" t="n">
        <x:f>Chart_Data!Q3</x:f>
        <x:v>500.86301291985365</x:v>
      </x:c>
      <x:c r="C739" t="n">
        <x:f>Chart_Data!P3</x:f>
        <x:v>-59.5</x:v>
      </x:c>
      <x:c r="D739" t="n">
        <x:f>Chart_Data!R3</x:f>
        <x:v>490.87300120691</x:v>
      </x:c>
      <x:c r="E739" t="n">
        <x:f>Chart_Data!P3</x:f>
        <x:v>-59.5</x:v>
      </x:c>
      <x:c r="F739" t="n">
        <x:f>Chart_Data!S3</x:f>
        <x:v>75.20465659457263</x:v>
      </x:c>
      <x:c r="G739" t="n">
        <x:f>Chart_Data!P3</x:f>
        <x:v>-59.5</x:v>
      </x:c>
      <x:c r="H739" t="n">
        <x:f>Chart_Data!T3</x:f>
        <x:v>73.70465483587238</x:v>
      </x:c>
    </x:row>
    <x:row r="740">
      <x:c r="A740" t="n">
        <x:f>Chart_Data!P4</x:f>
        <x:v>-59</x:v>
      </x:c>
      <x:c r="B740" t="n">
        <x:f>Chart_Data!Q4</x:f>
        <x:v>496.7909104278988</x:v>
      </x:c>
      <x:c r="C740" t="n">
        <x:f>Chart_Data!P4</x:f>
        <x:v>-59</x:v>
      </x:c>
      <x:c r="D740" t="n">
        <x:f>Chart_Data!R4</x:f>
        <x:v>534.0602149449296</x:v>
      </x:c>
      <x:c r="E740" t="n">
        <x:f>Chart_Data!P4</x:f>
        <x:v>-59</x:v>
      </x:c>
      <x:c r="F740" t="n">
        <x:f>Chart_Data!S4</x:f>
        <x:v>74.59322979397881</x:v>
      </x:c>
      <x:c r="G740" t="n">
        <x:f>Chart_Data!P4</x:f>
        <x:v>-59</x:v>
      </x:c>
      <x:c r="H740" t="n">
        <x:f>Chart_Data!T4</x:f>
        <x:v>80.18922146320266</x:v>
      </x:c>
    </x:row>
    <x:row r="741">
      <x:c r="A741" t="n">
        <x:f>Chart_Data!P5</x:f>
        <x:v>-58.5</x:v>
      </x:c>
      <x:c r="B741" t="n">
        <x:f>Chart_Data!Q5</x:f>
        <x:v>492.71549658133154</x:v>
      </x:c>
      <x:c r="C741" t="n">
        <x:f>Chart_Data!P5</x:f>
        <x:v>-58.5</x:v>
      </x:c>
      <x:c r="D741" t="n">
        <x:f>Chart_Data!R5</x:f>
        <x:v>503.9209462031067</x:v>
      </x:c>
      <x:c r="E741" t="n">
        <x:f>Chart_Data!P5</x:f>
        <x:v>-58.5</x:v>
      </x:c>
      <x:c r="F741" t="n">
        <x:f>Chart_Data!S5</x:f>
        <x:v>73.98130579299273</x:v>
      </x:c>
      <x:c r="G741" t="n">
        <x:f>Chart_Data!P5</x:f>
        <x:v>-58.5</x:v>
      </x:c>
      <x:c r="H741" t="n">
        <x:f>Chart_Data!T5</x:f>
        <x:v>75.66380573620222</x:v>
      </x:c>
    </x:row>
    <x:row r="742">
      <x:c r="A742" t="n">
        <x:f>Chart_Data!P6</x:f>
        <x:v>-58</x:v>
      </x:c>
      <x:c r="B742" t="n">
        <x:f>Chart_Data!Q6</x:f>
        <x:v>488.63679323794713</x:v>
      </x:c>
      <x:c r="C742" t="n">
        <x:f>Chart_Data!P6</x:f>
        <x:v>-58</x:v>
      </x:c>
      <x:c r="D742" t="n">
        <x:f>Chart_Data!R6</x:f>
        <x:v>495.8407751602863</x:v>
      </x:c>
      <x:c r="E742" t="n">
        <x:f>Chart_Data!P6</x:f>
        <x:v>-58</x:v>
      </x:c>
      <x:c r="F742" t="n">
        <x:f>Chart_Data!S6</x:f>
        <x:v>73.36888787356564</x:v>
      </x:c>
      <x:c r="G742" t="n">
        <x:f>Chart_Data!P6</x:f>
        <x:v>-58</x:v>
      </x:c>
      <x:c r="H742" t="n">
        <x:f>Chart_Data!T6</x:f>
        <x:v>74.45056684088384</x:v>
      </x:c>
    </x:row>
    <x:row r="743">
      <x:c r="A743" t="n">
        <x:f>Chart_Data!P7</x:f>
        <x:v>-57.5</x:v>
      </x:c>
      <x:c r="B743" t="n">
        <x:f>Chart_Data!Q7</x:f>
        <x:v>484.554822402788</x:v>
      </x:c>
      <x:c r="C743" t="n">
        <x:f>Chart_Data!P7</x:f>
        <x:v>-57.5</x:v>
      </x:c>
      <x:c r="D743" t="n">
        <x:f>Chart_Data!R7</x:f>
        <x:v>511.9766582025477</x:v>
      </x:c>
      <x:c r="E743" t="n">
        <x:f>Chart_Data!P7</x:f>
        <x:v>-57.5</x:v>
      </x:c>
      <x:c r="F743" t="n">
        <x:f>Chart_Data!S7</x:f>
        <x:v>72.75597933975796</x:v>
      </x:c>
      <x:c r="G743" t="n">
        <x:f>Chart_Data!P7</x:f>
        <x:v>-57.5</x:v>
      </x:c>
      <x:c r="H743" t="n">
        <x:f>Chart_Data!T7</x:f>
        <x:v>76.87337210248465</x:v>
      </x:c>
    </x:row>
    <x:row r="744">
      <x:c r="A744" t="n">
        <x:f>Chart_Data!P8</x:f>
        <x:v>-57</x:v>
      </x:c>
      <x:c r="B744" t="n">
        <x:f>Chart_Data!Q8</x:f>
        <x:v>480.4696062107723</x:v>
      </x:c>
      <x:c r="C744" t="n">
        <x:f>Chart_Data!P8</x:f>
        <x:v>-57</x:v>
      </x:c>
      <x:c r="D744" t="n">
        <x:f>Chart_Data!R8</x:f>
        <x:v>484.5983430347587</x:v>
      </x:c>
      <x:c r="E744" t="n">
        <x:f>Chart_Data!P8</x:f>
        <x:v>-57</x:v>
      </x:c>
      <x:c r="F744" t="n">
        <x:f>Chart_Data!S8</x:f>
        <x:v>72.14258351513098</x:v>
      </x:c>
      <x:c r="G744" t="n">
        <x:f>Chart_Data!P8</x:f>
        <x:v>-57</x:v>
      </x:c>
      <x:c r="H744" t="n">
        <x:f>Chart_Data!T8</x:f>
        <x:v>72.762513969183</x:v>
      </x:c>
    </x:row>
    <x:row r="745">
      <x:c r="A745" t="n">
        <x:f>Chart_Data!P9</x:f>
        <x:v>-56.5</x:v>
      </x:c>
      <x:c r="B745" t="n">
        <x:f>Chart_Data!Q9</x:f>
        <x:v>476.38116695534336</x:v>
      </x:c>
      <x:c r="C745" t="n">
        <x:f>Chart_Data!P9</x:f>
        <x:v>-56.5</x:v>
      </x:c>
      <x:c r="D745" t="n">
        <x:f>Chart_Data!R9</x:f>
        <x:v>523.0828149337867</x:v>
      </x:c>
      <x:c r="E745" t="n">
        <x:f>Chart_Data!P9</x:f>
        <x:v>-56.5</x:v>
      </x:c>
      <x:c r="F745" t="n">
        <x:f>Chart_Data!S9</x:f>
        <x:v>71.52870374704855</x:v>
      </x:c>
      <x:c r="G745" t="n">
        <x:f>Chart_Data!P9</x:f>
        <x:v>-56.5</x:v>
      </x:c>
      <x:c r="H745" t="n">
        <x:f>Chart_Data!T9</x:f>
        <x:v>78.54096320327129</x:v>
      </x:c>
    </x:row>
    <x:row r="746">
      <x:c r="A746" t="n">
        <x:f>Chart_Data!P10</x:f>
        <x:v>-56</x:v>
      </x:c>
      <x:c r="B746" t="n">
        <x:f>Chart_Data!Q10</x:f>
        <x:v>472.2895270569097</x:v>
      </x:c>
      <x:c r="C746" t="n">
        <x:f>Chart_Data!P10</x:f>
        <x:v>-56</x:v>
      </x:c>
      <x:c r="D746" t="n">
        <x:f>Chart_Data!R10</x:f>
        <x:v>502.4626690393234</x:v>
      </x:c>
      <x:c r="E746" t="n">
        <x:f>Chart_Data!P10</x:f>
        <x:v>-56</x:v>
      </x:c>
      <x:c r="F746" t="n">
        <x:f>Chart_Data!S10</x:f>
        <x:v>70.9143434019384</x:v>
      </x:c>
      <x:c r="G746" t="n">
        <x:f>Chart_Data!P10</x:f>
        <x:v>-56</x:v>
      </x:c>
      <x:c r="H746" t="n">
        <x:f>Chart_Data!T10</x:f>
        <x:v>75.44484520109961</x:v>
      </x:c>
    </x:row>
    <x:row r="747">
      <x:c r="A747" t="n">
        <x:f>Chart_Data!P11</x:f>
        <x:v>-55.5</x:v>
      </x:c>
      <x:c r="B747" t="n">
        <x:f>Chart_Data!Q11</x:f>
        <x:v>468.1947090801259</x:v>
      </x:c>
      <x:c r="C747" t="n">
        <x:f>Chart_Data!P11</x:f>
        <x:v>-55.5</x:v>
      </x:c>
      <x:c r="D747" t="n">
        <x:f>Chart_Data!R11</x:f>
        <x:v>482.4716566618008</x:v>
      </x:c>
      <x:c r="E747" t="n">
        <x:f>Chart_Data!P11</x:f>
        <x:v>-55.5</x:v>
      </x:c>
      <x:c r="F747" t="n">
        <x:f>Chart_Data!S11</x:f>
        <x:v>70.29950586788678</x:v>
      </x:c>
      <x:c r="G747" t="n">
        <x:f>Chart_Data!P11</x:f>
        <x:v>-55.5</x:v>
      </x:c>
      <x:c r="H747" t="n">
        <x:f>Chart_Data!T11</x:f>
        <x:v>72.44319169096109</x:v>
      </x:c>
    </x:row>
    <x:row r="748">
      <x:c r="A748" t="n">
        <x:f>Chart_Data!P12</x:f>
        <x:v>-55</x:v>
      </x:c>
      <x:c r="B748" t="n">
        <x:f>Chart_Data!Q12</x:f>
        <x:v>464.0967357390764</x:v>
      </x:c>
      <x:c r="C748" t="n">
        <x:f>Chart_Data!P12</x:f>
        <x:v>-55</x:v>
      </x:c>
      <x:c r="D748" t="n">
        <x:f>Chart_Data!R12</x:f>
        <x:v>517.4251021308919</x:v>
      </x:c>
      <x:c r="E748" t="n">
        <x:f>Chart_Data!P12</x:f>
        <x:v>-55</x:v>
      </x:c>
      <x:c r="F748" t="n">
        <x:f>Chart_Data!S12</x:f>
        <x:v>69.68419455541688</x:v>
      </x:c>
      <x:c r="G748" t="n">
        <x:f>Chart_Data!P12</x:f>
        <x:v>-55</x:v>
      </x:c>
      <x:c r="H748" t="n">
        <x:f>Chart_Data!T12</x:f>
        <x:v>77.6914567764102</x:v>
      </x:c>
    </x:row>
    <x:row r="749">
      <x:c r="A749" t="n">
        <x:f>Chart_Data!P13</x:f>
        <x:v>-54.5</x:v>
      </x:c>
      <x:c r="B749" t="n">
        <x:f>Chart_Data!Q13</x:f>
        <x:v>459.9956298745383</x:v>
      </x:c>
      <x:c r="C749" t="n">
        <x:f>Chart_Data!P13</x:f>
        <x:v>-54.5</x:v>
      </x:c>
      <x:c r="D749" t="n">
        <x:f>Chart_Data!R13</x:f>
        <x:v>492.04615879461926</x:v>
      </x:c>
      <x:c r="E749" t="n">
        <x:f>Chart_Data!P13</x:f>
        <x:v>-54.5</x:v>
      </x:c>
      <x:c r="F749" t="n">
        <x:f>Chart_Data!S13</x:f>
        <x:v>69.06841289407483</x:v>
      </x:c>
      <x:c r="G749" t="n">
        <x:f>Chart_Data!P13</x:f>
        <x:v>-54.5</x:v>
      </x:c>
      <x:c r="H749" t="n">
        <x:f>Chart_Data!T13</x:f>
        <x:v>73.88080462381672</x:v>
      </x:c>
    </x:row>
    <x:row r="750">
      <x:c r="A750" t="n">
        <x:f>Chart_Data!P14</x:f>
        <x:v>-54</x:v>
      </x:c>
      <x:c r="B750" t="n">
        <x:f>Chart_Data!Q14</x:f>
        <x:v>455.89141447326256</x:v>
      </x:c>
      <x:c r="C750" t="n">
        <x:f>Chart_Data!P14</x:f>
        <x:v>-54</x:v>
      </x:c>
      <x:c r="D750" t="n">
        <x:f>Chart_Data!R14</x:f>
        <x:v>488.51245490695874</x:v>
      </x:c>
      <x:c r="E750" t="n">
        <x:f>Chart_Data!P14</x:f>
        <x:v>-54</x:v>
      </x:c>
      <x:c r="F750" t="n">
        <x:f>Chart_Data!S14</x:f>
        <x:v>68.45216433532471</x:v>
      </x:c>
      <x:c r="G750" t="n">
        <x:f>Chart_Data!P14</x:f>
        <x:v>-54</x:v>
      </x:c>
      <x:c r="H750" t="n">
        <x:f>Chart_Data!T14</x:f>
        <x:v>73.35021845449832</x:v>
      </x:c>
    </x:row>
    <x:row r="751">
      <x:c r="A751" t="n">
        <x:f>Chart_Data!P15</x:f>
        <x:v>-53.5</x:v>
      </x:c>
      <x:c r="B751" t="n">
        <x:f>Chart_Data!Q15</x:f>
        <x:v>451.7841126563326</x:v>
      </x:c>
      <x:c r="C751" t="n">
        <x:f>Chart_Data!P15</x:f>
        <x:v>-53.5</x:v>
      </x:c>
      <x:c r="D751" t="n">
        <x:f>Chart_Data!R15</x:f>
        <x:v>489.52310187305557</x:v>
      </x:c>
      <x:c r="E751" t="n">
        <x:f>Chart_Data!P15</x:f>
        <x:v>-53.5</x:v>
      </x:c>
      <x:c r="F751" t="n">
        <x:f>Chart_Data!S15</x:f>
        <x:v>67.8354523508007</x:v>
      </x:c>
      <x:c r="G751" t="n">
        <x:f>Chart_Data!P15</x:f>
        <x:v>-53.5</x:v>
      </x:c>
      <x:c r="H751" t="n">
        <x:f>Chart_Data!T15</x:f>
        <x:v>73.50196724820655</x:v>
      </x:c>
    </x:row>
    <x:row r="752">
      <x:c r="A752" t="n">
        <x:f>Chart_Data!P16</x:f>
        <x:v>-53</x:v>
      </x:c>
      <x:c r="B752" t="n">
        <x:f>Chart_Data!Q16</x:f>
        <x:v>447.67374769307935</x:v>
      </x:c>
      <x:c r="C752" t="n">
        <x:f>Chart_Data!P16</x:f>
        <x:v>-53</x:v>
      </x:c>
      <x:c r="D752" t="n">
        <x:f>Chart_Data!R16</x:f>
        <x:v>468.99927804070103</x:v>
      </x:c>
      <x:c r="E752" t="n">
        <x:f>Chart_Data!P16</x:f>
        <x:v>-53</x:v>
      </x:c>
      <x:c r="F752" t="n">
        <x:f>Chart_Data!S16</x:f>
        <x:v>67.2182804343963</x:v>
      </x:c>
      <x:c r="G752" t="n">
        <x:f>Chart_Data!P16</x:f>
        <x:v>-53</x:v>
      </x:c>
      <x:c r="H752" t="n">
        <x:f>Chart_Data!T16</x:f>
        <x:v>70.42031201812328</x:v>
      </x:c>
    </x:row>
    <x:row r="753">
      <x:c r="A753" t="n">
        <x:f>Chart_Data!P17</x:f>
        <x:v>-52.5</x:v>
      </x:c>
      <x:c r="B753" t="n">
        <x:f>Chart_Data!Q17</x:f>
        <x:v>443.56034297125007</x:v>
      </x:c>
      <x:c r="C753" t="n">
        <x:f>Chart_Data!P17</x:f>
        <x:v>-52.5</x:v>
      </x:c>
      <x:c r="D753" t="n">
        <x:f>Chart_Data!R17</x:f>
        <x:v>476.7410332173313</x:v>
      </x:c>
      <x:c r="E753" t="n">
        <x:f>Chart_Data!P17</x:f>
        <x:v>-52.5</x:v>
      </x:c>
      <x:c r="F753" t="n">
        <x:f>Chart_Data!S17</x:f>
        <x:v>66.6006520977853</x:v>
      </x:c>
      <x:c r="G753" t="n">
        <x:f>Chart_Data!P17</x:f>
        <x:v>-52.5</x:v>
      </x:c>
      <x:c r="H753" t="n">
        <x:f>Chart_Data!T17</x:f>
        <x:v>71.58273772032001</x:v>
      </x:c>
    </x:row>
    <x:row r="754">
      <x:c r="A754" t="n">
        <x:f>Chart_Data!P18</x:f>
        <x:v>-52</x:v>
      </x:c>
      <x:c r="B754" t="n">
        <x:f>Chart_Data!Q18</x:f>
        <x:v>439.4439220161985</x:v>
      </x:c>
      <x:c r="C754" t="n">
        <x:f>Chart_Data!P18</x:f>
        <x:v>-52</x:v>
      </x:c>
      <x:c r="D754" t="n">
        <x:f>Chart_Data!R18</x:f>
        <x:v>491.44939474927014</x:v>
      </x:c>
      <x:c r="E754" t="n">
        <x:f>Chart_Data!P18</x:f>
        <x:v>-52</x:v>
      </x:c>
      <x:c r="F754" t="n">
        <x:f>Chart_Data!S18</x:f>
        <x:v>65.98257087330308</x:v>
      </x:c>
      <x:c r="G754" t="n">
        <x:f>Chart_Data!P18</x:f>
        <x:v>-52</x:v>
      </x:c>
      <x:c r="H754" t="n">
        <x:f>Chart_Data!T18</x:f>
        <x:v>73.79120041280333</x:v>
      </x:c>
    </x:row>
    <x:row r="755">
      <x:c r="A755" t="n">
        <x:f>Chart_Data!P19</x:f>
        <x:v>-51.5</x:v>
      </x:c>
      <x:c r="B755" t="n">
        <x:f>Chart_Data!Q19</x:f>
        <x:v>435.32450851025715</x:v>
      </x:c>
      <x:c r="C755" t="n">
        <x:f>Chart_Data!P19</x:f>
        <x:v>-51.5</x:v>
      </x:c>
      <x:c r="D755" t="n">
        <x:f>Chart_Data!R19</x:f>
        <x:v>452.40092921339965</x:v>
      </x:c>
      <x:c r="E755" t="n">
        <x:f>Chart_Data!P19</x:f>
        <x:v>-51.5</x:v>
      </x:c>
      <x:c r="F755" t="n">
        <x:f>Chart_Data!S19</x:f>
        <x:v>65.36404031685544</x:v>
      </x:c>
      <x:c r="G755" t="n">
        <x:f>Chart_Data!P19</x:f>
        <x:v>-51.5</x:v>
      </x:c>
      <x:c r="H755" t="n">
        <x:f>Chart_Data!T19</x:f>
        <x:v>67.92806744945942</x:v>
      </x:c>
    </x:row>
    <x:row r="756">
      <x:c r="A756" t="n">
        <x:f>Chart_Data!P20</x:f>
        <x:v>-51</x:v>
      </x:c>
      <x:c r="B756" t="n">
        <x:f>Chart_Data!Q20</x:f>
        <x:v>431.2021262460803</x:v>
      </x:c>
      <x:c r="C756" t="n">
        <x:f>Chart_Data!P20</x:f>
        <x:v>-51</x:v>
      </x:c>
      <x:c r="D756" t="n">
        <x:f>Chart_Data!R20</x:f>
        <x:v>413.01562584203566</x:v>
      </x:c>
      <x:c r="E756" t="n">
        <x:f>Chart_Data!P20</x:f>
        <x:v>-51</x:v>
      </x:c>
      <x:c r="F756" t="n">
        <x:f>Chart_Data!S20</x:f>
        <x:v>64.74506400091296</x:v>
      </x:c>
      <x:c r="G756" t="n">
        <x:f>Chart_Data!P20</x:f>
        <x:v>-51</x:v>
      </x:c>
      <x:c r="H756" t="n">
        <x:f>Chart_Data!T20</x:f>
        <x:v>62.01435823453989</x:v>
      </x:c>
    </x:row>
    <x:row r="757">
      <x:c r="A757" t="n">
        <x:f>Chart_Data!P21</x:f>
        <x:v>-50.5</x:v>
      </x:c>
      <x:c r="B757" t="n">
        <x:f>Chart_Data!Q21</x:f>
        <x:v>427.0767991610228</x:v>
      </x:c>
      <x:c r="C757" t="n">
        <x:f>Chart_Data!P21</x:f>
        <x:v>-50.5</x:v>
      </x:c>
      <x:c r="D757" t="n">
        <x:f>Chart_Data!R21</x:f>
        <x:v>461.5402613873812</x:v>
      </x:c>
      <x:c r="E757" t="n">
        <x:f>Chart_Data!P21</x:f>
        <x:v>-50.5</x:v>
      </x:c>
      <x:c r="F757" t="n">
        <x:f>Chart_Data!S21</x:f>
        <x:v>64.1256455196731</x:v>
      </x:c>
      <x:c r="G757" t="n">
        <x:f>Chart_Data!P21</x:f>
        <x:v>-50.5</x:v>
      </x:c>
      <x:c r="H757" t="n">
        <x:f>Chart_Data!T21</x:f>
        <x:v>69.30033954765484</x:v>
      </x:c>
    </x:row>
    <x:row r="758">
      <x:c r="A758" t="n">
        <x:f>Chart_Data!P22</x:f>
        <x:v>-50</x:v>
      </x:c>
      <x:c r="B758" t="n">
        <x:f>Chart_Data!Q22</x:f>
        <x:v>422.9485513214968</x:v>
      </x:c>
      <x:c r="C758" t="n">
        <x:f>Chart_Data!P22</x:f>
        <x:v>-50</x:v>
      </x:c>
      <x:c r="D758" t="n">
        <x:f>Chart_Data!R22</x:f>
        <x:v>437.62067462375853</x:v>
      </x:c>
      <x:c r="E758" t="n">
        <x:f>Chart_Data!P22</x:f>
        <x:v>-50</x:v>
      </x:c>
      <x:c r="F758" t="n">
        <x:f>Chart_Data!S22</x:f>
        <x:v>63.50578848671123</x:v>
      </x:c>
      <x:c r="G758" t="n">
        <x:f>Chart_Data!P22</x:f>
        <x:v>-50</x:v>
      </x:c>
      <x:c r="H758" t="n">
        <x:f>Chart_Data!T22</x:f>
        <x:v>65.70881000356735</x:v>
      </x:c>
    </x:row>
    <x:row r="759">
      <x:c r="A759" t="n">
        <x:f>Chart_Data!P23</x:f>
        <x:v>-49.5</x:v>
      </x:c>
      <x:c r="B759" t="n">
        <x:f>Chart_Data!Q23</x:f>
        <x:v>418.81740692178937</x:v>
      </x:c>
      <x:c r="C759" t="n">
        <x:f>Chart_Data!P23</x:f>
        <x:v>-49.5</x:v>
      </x:c>
      <x:c r="D759" t="n">
        <x:f>Chart_Data!R23</x:f>
        <x:v>411.2584073795915</x:v>
      </x:c>
      <x:c r="E759" t="n">
        <x:f>Chart_Data!P23</x:f>
        <x:v>-49.5</x:v>
      </x:c>
      <x:c r="F759" t="n">
        <x:f>Chart_Data!S23</x:f>
        <x:v>62.88549653480322</x:v>
      </x:c>
      <x:c r="G759" t="n">
        <x:f>Chart_Data!P23</x:f>
        <x:v>-49.5</x:v>
      </x:c>
      <x:c r="H759" t="n">
        <x:f>Chart_Data!T23</x:f>
        <x:v>61.75051161855729</x:v>
      </x:c>
    </x:row>
    <x:row r="760">
      <x:c r="A760" t="n">
        <x:f>Chart_Data!P24</x:f>
        <x:v>-49</x:v>
      </x:c>
      <x:c r="B760" t="n">
        <x:f>Chart_Data!Q24</x:f>
        <x:v>414.6833903003426</x:v>
      </x:c>
      <x:c r="C760" t="n">
        <x:f>Chart_Data!P24</x:f>
        <x:v>-49</x:v>
      </x:c>
      <x:c r="D760" t="n">
        <x:f>Chart_Data!R24</x:f>
        <x:v>425.2262899141897</x:v>
      </x:c>
      <x:c r="E760" t="n">
        <x:f>Chart_Data!P24</x:f>
        <x:v>-49</x:v>
      </x:c>
      <x:c r="F760" t="n">
        <x:f>Chart_Data!S24</x:f>
        <x:v>62.26477331836976</x:v>
      </x:c>
      <x:c r="G760" t="n">
        <x:f>Chart_Data!P24</x:f>
        <x:v>-49</x:v>
      </x:c>
      <x:c r="H760" t="n">
        <x:f>Chart_Data!T24</x:f>
        <x:v>63.847791278406866</x:v>
      </x:c>
    </x:row>
    <x:row r="761">
      <x:c r="A761" t="n">
        <x:f>Chart_Data!P25</x:f>
        <x:v>-48.5</x:v>
      </x:c>
      <x:c r="B761" t="n">
        <x:f>Chart_Data!Q25</x:f>
        <x:v>410.54652591110425</x:v>
      </x:c>
      <x:c r="C761" t="n">
        <x:f>Chart_Data!P25</x:f>
        <x:v>-48.5</x:v>
      </x:c>
      <x:c r="D761" t="n">
        <x:f>Chart_Data!R25</x:f>
        <x:v>386.8337905608314</x:v>
      </x:c>
      <x:c r="E761" t="n">
        <x:f>Chart_Data!P25</x:f>
        <x:v>-48.5</x:v>
      </x:c>
      <x:c r="F761" t="n">
        <x:f>Chart_Data!S25</x:f>
        <x:v>61.64362250917482</x:v>
      </x:c>
      <x:c r="G761" t="n">
        <x:f>Chart_Data!P25</x:f>
        <x:v>-48.5</x:v>
      </x:c>
      <x:c r="H761" t="n">
        <x:f>Chart_Data!T25</x:f>
        <x:v>58.083151735860575</x:v>
      </x:c>
    </x:row>
    <x:row r="762">
      <x:c r="A762" t="n">
        <x:f>Chart_Data!P26</x:f>
        <x:v>-48</x:v>
      </x:c>
      <x:c r="B762" t="n">
        <x:f>Chart_Data!Q26</x:f>
        <x:v>406.40683834462834</x:v>
      </x:c>
      <x:c r="C762" t="n">
        <x:f>Chart_Data!P26</x:f>
        <x:v>-48</x:v>
      </x:c>
      <x:c r="D762" t="n">
        <x:f>Chart_Data!R26</x:f>
        <x:v>402.2937246757465</x:v>
      </x:c>
      <x:c r="E762" t="n">
        <x:f>Chart_Data!P26</x:f>
        <x:v>-48</x:v>
      </x:c>
      <x:c r="F762" t="n">
        <x:f>Chart_Data!S26</x:f>
        <x:v>61.02204779949375</x:v>
      </x:c>
      <x:c r="G762" t="n">
        <x:f>Chart_Data!P26</x:f>
        <x:v>-48</x:v>
      </x:c>
      <x:c r="H762" t="n">
        <x:f>Chart_Data!T26</x:f>
        <x:v>60.404463164526504</x:v>
      </x:c>
    </x:row>
    <x:row r="763">
      <x:c r="A763" t="n">
        <x:f>Chart_Data!P27</x:f>
        <x:v>-47.5</x:v>
      </x:c>
      <x:c r="B763" t="n">
        <x:f>Chart_Data!Q27</x:f>
        <x:v>402.26435232361837</x:v>
      </x:c>
      <x:c r="C763" t="n">
        <x:f>Chart_Data!P27</x:f>
        <x:v>-47.5</x:v>
      </x:c>
      <x:c r="D763" t="n">
        <x:f>Chart_Data!R27</x:f>
        <x:v>402.8830502902565</x:v>
      </x:c>
      <x:c r="E763" t="n">
        <x:f>Chart_Data!P27</x:f>
        <x:v>-47.5</x:v>
      </x:c>
      <x:c r="F763" t="n">
        <x:f>Chart_Data!S27</x:f>
        <x:v>60.400052901444205</x:v>
      </x:c>
      <x:c r="G763" t="n">
        <x:f>Chart_Data!P27</x:f>
        <x:v>-47.5</x:v>
      </x:c>
      <x:c r="H763" t="n">
        <x:f>Chart_Data!T27</x:f>
        <x:v>60.49295049403251</x:v>
      </x:c>
    </x:row>
    <x:row r="764">
      <x:c r="A764" t="n">
        <x:f>Chart_Data!P28</x:f>
        <x:v>-47</x:v>
      </x:c>
      <x:c r="B764" t="n">
        <x:f>Chart_Data!Q28</x:f>
        <x:v>398.1190926891031</x:v>
      </x:c>
      <x:c r="C764" t="n">
        <x:f>Chart_Data!P28</x:f>
        <x:v>-47</x:v>
      </x:c>
      <x:c r="D764" t="n">
        <x:f>Chart_Data!R28</x:f>
        <x:v>384.0870449747854</x:v>
      </x:c>
      <x:c r="E764" t="n">
        <x:f>Chart_Data!P28</x:f>
        <x:v>-47</x:v>
      </x:c>
      <x:c r="F764" t="n">
        <x:f>Chart_Data!S28</x:f>
        <x:v>59.77764154491039</x:v>
      </x:c>
      <x:c r="G764" t="n">
        <x:f>Chart_Data!P28</x:f>
        <x:v>-47</x:v>
      </x:c>
      <x:c r="H764" t="n">
        <x:f>Chart_Data!T28</x:f>
        <x:v>57.67072747369151</x:v>
      </x:c>
    </x:row>
    <x:row r="765">
      <x:c r="A765" t="n">
        <x:f>Chart_Data!P29</x:f>
        <x:v>-46.5</x:v>
      </x:c>
      <x:c r="B765" t="n">
        <x:f>Chart_Data!Q29</x:f>
        <x:v>393.9710844109868</x:v>
      </x:c>
      <x:c r="C765" t="n">
        <x:f>Chart_Data!P29</x:f>
        <x:v>-46.5</x:v>
      </x:c>
      <x:c r="D765" t="n">
        <x:f>Chart_Data!R29</x:f>
        <x:v>368.08092998808206</x:v>
      </x:c>
      <x:c r="E765" t="n">
        <x:f>Chart_Data!P29</x:f>
        <x:v>-46.5</x:v>
      </x:c>
      <x:c r="F765" t="n">
        <x:f>Chart_Data!S29</x:f>
        <x:v>59.15481747912715</x:v>
      </x:c>
      <x:c r="G765" t="n">
        <x:f>Chart_Data!P29</x:f>
        <x:v>-46.5</x:v>
      </x:c>
      <x:c r="H765" t="n">
        <x:f>Chart_Data!T29</x:f>
        <x:v>55.26740690511743</x:v>
      </x:c>
    </x:row>
    <x:row r="766">
      <x:c r="A766" t="n">
        <x:f>Chart_Data!P30</x:f>
        <x:v>-46</x:v>
      </x:c>
      <x:c r="B766" t="n">
        <x:f>Chart_Data!Q30</x:f>
        <x:v>389.8203525829558</x:v>
      </x:c>
      <x:c r="C766" t="n">
        <x:f>Chart_Data!P30</x:f>
        <x:v>-46</x:v>
      </x:c>
      <x:c r="D766" t="n">
        <x:f>Chart_Data!R30</x:f>
        <x:v>352.54798840351214</x:v>
      </x:c>
      <x:c r="E766" t="n">
        <x:f>Chart_Data!P30</x:f>
        <x:v>-46</x:v>
      </x:c>
      <x:c r="F766" t="n">
        <x:f>Chart_Data!S30</x:f>
        <x:v>58.531584471915295</x:v>
      </x:c>
      <x:c r="G766" t="n">
        <x:f>Chart_Data!P30</x:f>
        <x:v>-46</x:v>
      </x:c>
      <x:c r="H766" t="n">
        <x:f>Chart_Data!T30</x:f>
        <x:v>52.935133393920744</x:v>
      </x:c>
    </x:row>
    <x:row r="767">
      <x:c r="A767" t="n">
        <x:f>Chart_Data!P31</x:f>
        <x:v>-45.5</x:v>
      </x:c>
      <x:c r="B767" t="n">
        <x:f>Chart_Data!Q31</x:f>
        <x:v>385.6669224382131</x:v>
      </x:c>
      <x:c r="C767" t="n">
        <x:f>Chart_Data!P31</x:f>
        <x:v>-45.5</x:v>
      </x:c>
      <x:c r="D767" t="n">
        <x:f>Chart_Data!R31</x:f>
        <x:v>340.6814882529943</x:v>
      </x:c>
      <x:c r="E767" t="n">
        <x:f>Chart_Data!P31</x:f>
        <x:v>-45.5</x:v>
      </x:c>
      <x:c r="F767" t="n">
        <x:f>Chart_Data!S31</x:f>
        <x:v>57.90794631204401</x:v>
      </x:c>
      <x:c r="G767" t="n">
        <x:f>Chart_Data!P31</x:f>
        <x:v>-45.5</x:v>
      </x:c>
      <x:c r="H767" t="n">
        <x:f>Chart_Data!T31</x:f>
        <x:v>51.15337661456371</x:v>
      </x:c>
    </x:row>
    <x:row r="768">
      <x:c r="A768" t="n">
        <x:f>Chart_Data!P32</x:f>
        <x:v>-45</x:v>
      </x:c>
      <x:c r="B768" t="n">
        <x:f>Chart_Data!Q32</x:f>
        <x:v>381.5108193193737</x:v>
      </x:c>
      <x:c r="C768" t="n">
        <x:f>Chart_Data!P32</x:f>
        <x:v>-45</x:v>
      </x:c>
      <x:c r="D768" t="n">
        <x:f>Chart_Data!R32</x:f>
        <x:v>336.8433451087185</x:v>
      </x:c>
      <x:c r="E768" t="n">
        <x:f>Chart_Data!P32</x:f>
        <x:v>-45</x:v>
      </x:c>
      <x:c r="F768" t="n">
        <x:f>Chart_Data!S32</x:f>
        <x:v>57.28390680471077</x:v>
      </x:c>
      <x:c r="G768" t="n">
        <x:f>Chart_Data!P32</x:f>
        <x:v>-45</x:v>
      </x:c>
      <x:c r="H768" t="n">
        <x:f>Chart_Data!T32</x:f>
        <x:v>50.57707884515293</x:v>
      </x:c>
    </x:row>
    <x:row r="769">
      <x:c r="A769" t="n">
        <x:f>Chart_Data!P33</x:f>
        <x:v>-44.5</x:v>
      </x:c>
      <x:c r="B769" t="n">
        <x:f>Chart_Data!Q33</x:f>
        <x:v>377.3520686901975</x:v>
      </x:c>
      <x:c r="C769" t="n">
        <x:f>Chart_Data!P33</x:f>
        <x:v>-44.5</x:v>
      </x:c>
      <x:c r="D769" t="n">
        <x:f>Chart_Data!R33</x:f>
        <x:v>363.7355827749161</x:v>
      </x:c>
      <x:c r="E769" t="n">
        <x:f>Chart_Data!P33</x:f>
        <x:v>-44.5</x:v>
      </x:c>
      <x:c r="F769" t="n">
        <x:f>Chart_Data!S33</x:f>
        <x:v>56.65946977330293</x:v>
      </x:c>
      <x:c r="G769" t="n">
        <x:f>Chart_Data!P33</x:f>
        <x:v>-44.5</x:v>
      </x:c>
      <x:c r="H769" t="n">
        <x:f>Chart_Data!T33</x:f>
        <x:v>54.614952368606026</x:v>
      </x:c>
    </x:row>
    <x:row r="770">
      <x:c r="A770" t="n">
        <x:f>Chart_Data!P34</x:f>
        <x:v>-44</x:v>
      </x:c>
      <x:c r="B770" t="n">
        <x:f>Chart_Data!Q34</x:f>
        <x:v>373.1906961457753</x:v>
      </x:c>
      <x:c r="C770" t="n">
        <x:f>Chart_Data!P34</x:f>
        <x:v>-44</x:v>
      </x:c>
      <x:c r="D770" t="n">
        <x:f>Chart_Data!R34</x:f>
        <x:v>387.84031539016723</x:v>
      </x:c>
      <x:c r="E770" t="n">
        <x:f>Chart_Data!P34</x:f>
        <x:v>-44</x:v>
      </x:c>
      <x:c r="F770" t="n">
        <x:f>Chart_Data!S34</x:f>
        <x:v>56.034639060927226</x:v>
      </x:c>
      <x:c r="G770" t="n">
        <x:f>Chart_Data!P34</x:f>
        <x:v>-44</x:v>
      </x:c>
      <x:c r="H770" t="n">
        <x:f>Chart_Data!T34</x:f>
        <x:v>58.2342815901152</x:v>
      </x:c>
    </x:row>
    <x:row r="771">
      <x:c r="A771" t="n">
        <x:f>Chart_Data!P35</x:f>
        <x:v>-43.5</x:v>
      </x:c>
      <x:c r="B771" t="n">
        <x:f>Chart_Data!Q35</x:f>
        <x:v>369.0267273985228</x:v>
      </x:c>
      <x:c r="C771" t="n">
        <x:f>Chart_Data!P35</x:f>
        <x:v>-43.5</x:v>
      </x:c>
      <x:c r="D771" t="n">
        <x:f>Chart_Data!R35</x:f>
        <x:v>338.2382872227936</x:v>
      </x:c>
      <x:c r="E771" t="n">
        <x:f>Chart_Data!P35</x:f>
        <x:v>-43.5</x:v>
      </x:c>
      <x:c r="F771" t="n">
        <x:f>Chart_Data!S35</x:f>
        <x:v>55.40941852830673</x:v>
      </x:c>
      <x:c r="G771" t="n">
        <x:f>Chart_Data!P35</x:f>
        <x:v>-43.5</x:v>
      </x:c>
      <x:c r="H771" t="n">
        <x:f>Chart_Data!T35</x:f>
        <x:v>50.78652961303207</x:v>
      </x:c>
    </x:row>
    <x:row r="772">
      <x:c r="A772" t="n">
        <x:f>Chart_Data!P36</x:f>
        <x:v>-43</x:v>
      </x:c>
      <x:c r="B772" t="n">
        <x:f>Chart_Data!Q36</x:f>
        <x:v>364.8601882793628</x:v>
      </x:c>
      <x:c r="C772" t="n">
        <x:f>Chart_Data!P36</x:f>
        <x:v>-43</x:v>
      </x:c>
      <x:c r="D772" t="n">
        <x:f>Chart_Data!R36</x:f>
        <x:v>318.9536821423644</x:v>
      </x:c>
      <x:c r="E772" t="n">
        <x:f>Chart_Data!P36</x:f>
        <x:v>-43</x:v>
      </x:c>
      <x:c r="F772" t="n">
        <x:f>Chart_Data!S36</x:f>
        <x:v>54.78381205395838</x:v>
      </x:c>
      <x:c r="G772" t="n">
        <x:f>Chart_Data!P36</x:f>
        <x:v>-43</x:v>
      </x:c>
      <x:c r="H772" t="n">
        <x:f>Chart_Data!T36</x:f>
        <x:v>47.89094326461929</x:v>
      </x:c>
    </x:row>
    <x:row r="773">
      <x:c r="A773" t="n">
        <x:f>Chart_Data!P37</x:f>
        <x:v>-42.5</x:v>
      </x:c>
      <x:c r="B773" t="n">
        <x:f>Chart_Data!Q37</x:f>
        <x:v>360.6911047401809</x:v>
      </x:c>
      <x:c r="C773" t="n">
        <x:f>Chart_Data!P37</x:f>
        <x:v>-42.5</x:v>
      </x:c>
      <x:c r="D773" t="n">
        <x:f>Chart_Data!R37</x:f>
        <x:v>345.1024300021345</x:v>
      </x:c>
      <x:c r="E773" t="n">
        <x:f>Chart_Data!P37</x:f>
        <x:v>-42.5</x:v>
      </x:c>
      <x:c r="F773" t="n">
        <x:f>Chart_Data!S37</x:f>
        <x:v>54.1578235345617</x:v>
      </x:c>
      <x:c r="G773" t="n">
        <x:f>Chart_Data!P37</x:f>
        <x:v>-42.5</x:v>
      </x:c>
      <x:c r="H773" t="n">
        <x:f>Chart_Data!T37</x:f>
        <x:v>51.81718168200218</x:v>
      </x:c>
    </x:row>
    <x:row r="774">
      <x:c r="A774" t="n">
        <x:f>Chart_Data!P38</x:f>
        <x:v>-42</x:v>
      </x:c>
      <x:c r="B774" t="n">
        <x:f>Chart_Data!Q38</x:f>
        <x:v>356.5195028526432</x:v>
      </x:c>
      <x:c r="C774" t="n">
        <x:f>Chart_Data!P38</x:f>
        <x:v>-42</x:v>
      </x:c>
      <x:c r="D774" t="n">
        <x:f>Chart_Data!R38</x:f>
        <x:v>340.27294612515107</x:v>
      </x:c>
      <x:c r="E774" t="n">
        <x:f>Chart_Data!P38</x:f>
        <x:v>-42</x:v>
      </x:c>
      <x:c r="F774" t="n">
        <x:f>Chart_Data!S38</x:f>
        <x:v>53.531456884781264</x:v>
      </x:c>
      <x:c r="G774" t="n">
        <x:f>Chart_Data!P38</x:f>
        <x:v>-42</x:v>
      </x:c>
      <x:c r="H774" t="n">
        <x:f>Chart_Data!T38</x:f>
        <x:v>51.09203395272539</x:v>
      </x:c>
    </x:row>
    <x:row r="775">
      <x:c r="A775" t="n">
        <x:f>Chart_Data!P39</x:f>
        <x:v>-41.5</x:v>
      </x:c>
      <x:c r="B775" t="n">
        <x:f>Chart_Data!Q39</x:f>
        <x:v>352.3454087967366</x:v>
      </x:c>
      <x:c r="C775" t="n">
        <x:f>Chart_Data!P39</x:f>
        <x:v>-41.5</x:v>
      </x:c>
      <x:c r="D775" t="n">
        <x:f>Chart_Data!R39</x:f>
        <x:v>362.0055736474569</x:v>
      </x:c>
      <x:c r="E775" t="n">
        <x:f>Chart_Data!P39</x:f>
        <x:v>-41.5</x:v>
      </x:c>
      <x:c r="F775" t="n">
        <x:f>Chart_Data!S39</x:f>
        <x:v>52.90471603554604</x:v>
      </x:c>
      <x:c r="G775" t="n">
        <x:f>Chart_Data!P39</x:f>
        <x:v>-41.5</x:v>
      </x:c>
      <x:c r="H775" t="n">
        <x:f>Chart_Data!T39</x:f>
        <x:v>54.3551912383569</x:v>
      </x:c>
    </x:row>
    <x:row r="776">
      <x:c r="A776" t="n">
        <x:f>Chart_Data!P40</x:f>
        <x:v>-41</x:v>
      </x:c>
      <x:c r="B776" t="n">
        <x:f>Chart_Data!Q40</x:f>
        <x:v>348.16884888314235</x:v>
      </x:c>
      <x:c r="C776" t="n">
        <x:f>Chart_Data!P40</x:f>
        <x:v>-41</x:v>
      </x:c>
      <x:c r="D776" t="n">
        <x:f>Chart_Data!R40</x:f>
        <x:v>379.704203482288</x:v>
      </x:c>
      <x:c r="E776" t="n">
        <x:f>Chart_Data!P40</x:f>
        <x:v>-41</x:v>
      </x:c>
      <x:c r="F776" t="n">
        <x:f>Chart_Data!S40</x:f>
        <x:v>52.27760493740877</x:v>
      </x:c>
      <x:c r="G776" t="n">
        <x:f>Chart_Data!P40</x:f>
        <x:v>-41</x:v>
      </x:c>
      <x:c r="H776" t="n">
        <x:f>Chart_Data!T40</x:f>
        <x:v>57.01264316550871</x:v>
      </x:c>
    </x:row>
    <x:row r="777">
      <x:c r="A777" t="n">
        <x:f>Chart_Data!P41</x:f>
        <x:v>-40.5</x:v>
      </x:c>
      <x:c r="B777" t="n">
        <x:f>Chart_Data!Q41</x:f>
        <x:v>343.98984952458704</x:v>
      </x:c>
      <x:c r="C777" t="n">
        <x:f>Chart_Data!P41</x:f>
        <x:v>-40.5</x:v>
      </x:c>
      <x:c r="D777" t="n">
        <x:f>Chart_Data!R41</x:f>
        <x:v>377.3350791899247</x:v>
      </x:c>
      <x:c r="E777" t="n">
        <x:f>Chart_Data!P41</x:f>
        <x:v>-40.5</x:v>
      </x:c>
      <x:c r="F777" t="n">
        <x:f>Chart_Data!S41</x:f>
        <x:v>51.65012755624431</x:v>
      </x:c>
      <x:c r="G777" t="n">
        <x:f>Chart_Data!P41</x:f>
        <x:v>-40.5</x:v>
      </x:c>
      <x:c r="H777" t="n">
        <x:f>Chart_Data!T41</x:f>
        <x:v>56.656918797286</x:v>
      </x:c>
    </x:row>
    <x:row r="778">
      <x:c r="A778" t="n">
        <x:f>Chart_Data!P42</x:f>
        <x:v>-40</x:v>
      </x:c>
      <x:c r="B778" t="n">
        <x:f>Chart_Data!Q42</x:f>
        <x:v>339.80843724993974</x:v>
      </x:c>
      <x:c r="C778" t="n">
        <x:f>Chart_Data!P42</x:f>
        <x:v>-40</x:v>
      </x:c>
      <x:c r="D778" t="n">
        <x:f>Chart_Data!R42</x:f>
        <x:v>355.33588521439015</x:v>
      </x:c>
      <x:c r="E778" t="n">
        <x:f>Chart_Data!P42</x:f>
        <x:v>-40</x:v>
      </x:c>
      <x:c r="F778" t="n">
        <x:f>Chart_Data!S42</x:f>
        <x:v>51.02228787536633</x:v>
      </x:c>
      <x:c r="G778" t="n">
        <x:f>Chart_Data!P42</x:f>
        <x:v>-40</x:v>
      </x:c>
      <x:c r="H778" t="n">
        <x:f>Chart_Data!T42</x:f>
        <x:v>53.3537365186772</x:v>
      </x:c>
    </x:row>
    <x:row r="779">
      <x:c r="A779" t="n">
        <x:f>Chart_Data!P43</x:f>
        <x:v>-39.5</x:v>
      </x:c>
      <x:c r="B779" t="n">
        <x:f>Chart_Data!Q43</x:f>
        <x:v>335.62463871039654</x:v>
      </x:c>
      <x:c r="C779" t="n">
        <x:f>Chart_Data!P43</x:f>
        <x:v>-39.5</x:v>
      </x:c>
      <x:c r="D779" t="n">
        <x:f>Chart_Data!R43</x:f>
        <x:v>314.96723845502856</x:v>
      </x:c>
      <x:c r="E779" t="n">
        <x:f>Chart_Data!P43</x:f>
        <x:v>-39.5</x:v>
      </x:c>
      <x:c r="F779" t="n">
        <x:f>Chart_Data!S43</x:f>
        <x:v>50.39408989645594</x:v>
      </x:c>
      <x:c r="G779" t="n">
        <x:f>Chart_Data!P43</x:f>
        <x:v>-39.5</x:v>
      </x:c>
      <x:c r="H779" t="n">
        <x:f>Chart_Data!T43</x:f>
        <x:v>47.29237814640069</x:v>
      </x:c>
    </x:row>
    <x:row r="780">
      <x:c r="A780" t="n">
        <x:f>Chart_Data!P44</x:f>
        <x:v>-39</x:v>
      </x:c>
      <x:c r="B780" t="n">
        <x:f>Chart_Data!Q44</x:f>
        <x:v>331.4384806597445</x:v>
      </x:c>
      <x:c r="C780" t="n">
        <x:f>Chart_Data!P44</x:f>
        <x:v>-39</x:v>
      </x:c>
      <x:c r="D780" t="n">
        <x:f>Chart_Data!R44</x:f>
        <x:v>348.4273363549619</x:v>
      </x:c>
      <x:c r="E780" t="n">
        <x:f>Chart_Data!P44</x:f>
        <x:v>-39</x:v>
      </x:c>
      <x:c r="F780" t="n">
        <x:f>Chart_Data!S44</x:f>
        <x:v>49.76553763659828</x:v>
      </x:c>
      <x:c r="G780" t="n">
        <x:f>Chart_Data!P44</x:f>
        <x:v>-39</x:v>
      </x:c>
      <x:c r="H780" t="n">
        <x:f>Chart_Data!T44</x:f>
        <x:v>52.3164168701144</x:v>
      </x:c>
    </x:row>
    <x:row r="781">
      <x:c r="A781" t="n">
        <x:f>Chart_Data!P45</x:f>
        <x:v>-38.5</x:v>
      </x:c>
      <x:c r="B781" t="n">
        <x:f>Chart_Data!Q45</x:f>
        <x:v>327.2499899624563</x:v>
      </x:c>
      <x:c r="C781" t="n">
        <x:f>Chart_Data!P45</x:f>
        <x:v>-38.5</x:v>
      </x:c>
      <x:c r="D781" t="n">
        <x:f>Chart_Data!R45</x:f>
        <x:v>356.4903792555924</x:v>
      </x:c>
      <x:c r="E781" t="n">
        <x:f>Chart_Data!P45</x:f>
        <x:v>-38.5</x:v>
      </x:c>
      <x:c r="F781" t="n">
        <x:f>Chart_Data!S45</x:f>
        <x:v>49.13663512949795</x:v>
      </x:c>
      <x:c r="G781" t="n">
        <x:f>Chart_Data!P45</x:f>
        <x:v>-38.5</x:v>
      </x:c>
      <x:c r="H781" t="n">
        <x:f>Chart_Data!T45</x:f>
        <x:v>53.527083972311175</x:v>
      </x:c>
    </x:row>
    <x:row r="782">
      <x:c r="A782" t="n">
        <x:f>Chart_Data!P46</x:f>
        <x:v>-38</x:v>
      </x:c>
      <x:c r="B782" t="n">
        <x:f>Chart_Data!Q46</x:f>
        <x:v>323.0591935966004</x:v>
      </x:c>
      <x:c r="C782" t="n">
        <x:f>Chart_Data!P46</x:f>
        <x:v>-38</x:v>
      </x:c>
      <x:c r="D782" t="n">
        <x:f>Chart_Data!R46</x:f>
        <x:v>366.83142083111306</x:v>
      </x:c>
      <x:c r="E782" t="n">
        <x:f>Chart_Data!P46</x:f>
        <x:v>-38</x:v>
      </x:c>
      <x:c r="F782" t="n">
        <x:f>Chart_Data!S46</x:f>
        <x:v>48.507386425915975</x:v>
      </x:c>
      <x:c r="G782" t="n">
        <x:f>Chart_Data!P46</x:f>
        <x:v>-38</x:v>
      </x:c>
      <x:c r="H782" t="n">
        <x:f>Chart_Data!T46</x:f>
        <x:v>55.07979291758455</x:v>
      </x:c>
    </x:row>
    <x:row r="783">
      <x:c r="A783" t="n">
        <x:f>Chart_Data!P47</x:f>
        <x:v>-37.5</x:v>
      </x:c>
      <x:c r="B783" t="n">
        <x:f>Chart_Data!Q47</x:f>
        <x:v>318.8661186490208</x:v>
      </x:c>
      <x:c r="C783" t="n">
        <x:f>Chart_Data!P47</x:f>
        <x:v>-37.5</x:v>
      </x:c>
      <x:c r="D783" t="n">
        <x:f>Chart_Data!R47</x:f>
        <x:v>371.67029926577015</x:v>
      </x:c>
      <x:c r="E783" t="n">
        <x:f>Chart_Data!P47</x:f>
        <x:v>-37.5</x:v>
      </x:c>
      <x:c r="F783" t="n">
        <x:f>Chart_Data!S47</x:f>
        <x:v>47.87779559294607</x:v>
      </x:c>
      <x:c r="G783" t="n">
        <x:f>Chart_Data!P47</x:f>
        <x:v>-37.5</x:v>
      </x:c>
      <x:c r="H783" t="n">
        <x:f>Chart_Data!T47</x:f>
        <x:v>55.80635124110663</x:v>
      </x:c>
    </x:row>
    <x:row r="784">
      <x:c r="A784" t="n">
        <x:f>Chart_Data!P48</x:f>
        <x:v>-37</x:v>
      </x:c>
      <x:c r="B784" t="n">
        <x:f>Chart_Data!Q48</x:f>
        <x:v>314.6707923143367</x:v>
      </x:c>
      <x:c r="C784" t="n">
        <x:f>Chart_Data!P48</x:f>
        <x:v>-37</x:v>
      </x:c>
      <x:c r="D784" t="n">
        <x:f>Chart_Data!R48</x:f>
        <x:v>355.48139120546693</x:v>
      </x:c>
      <x:c r="E784" t="n">
        <x:f>Chart_Data!P48</x:f>
        <x:v>-37</x:v>
      </x:c>
      <x:c r="F784" t="n">
        <x:f>Chart_Data!S48</x:f>
        <x:v>47.247866713864376</x:v>
      </x:c>
      <x:c r="G784" t="n">
        <x:f>Chart_Data!P48</x:f>
        <x:v>-37</x:v>
      </x:c>
      <x:c r="H784" t="n">
        <x:f>Chart_Data!T48</x:f>
        <x:v>53.37558426508513</x:v>
      </x:c>
    </x:row>
    <x:row r="785">
      <x:c r="A785" t="n">
        <x:f>Chart_Data!P49</x:f>
        <x:v>-36.5</x:v>
      </x:c>
      <x:c r="B785" t="n">
        <x:f>Chart_Data!Q49</x:f>
        <x:v>310.4732418857566</x:v>
      </x:c>
      <x:c r="C785" t="n">
        <x:f>Chart_Data!P49</x:f>
        <x:v>-36.5</x:v>
      </x:c>
      <x:c r="D785" t="n">
        <x:f>Chart_Data!R49</x:f>
        <x:v>369.34297482257534</x:v>
      </x:c>
      <x:c r="E785" t="n">
        <x:f>Chart_Data!P49</x:f>
        <x:v>-36.5</x:v>
      </x:c>
      <x:c r="F785" t="n">
        <x:f>Chart_Data!S49</x:f>
        <x:v>46.61760388675024</x:v>
      </x:c>
      <x:c r="G785" t="n">
        <x:f>Chart_Data!P49</x:f>
        <x:v>-36.5</x:v>
      </x:c>
      <x:c r="H785" t="n">
        <x:f>Chart_Data!T49</x:f>
        <x:v>55.45690312651282</x:v>
      </x:c>
    </x:row>
    <x:row r="786">
      <x:c r="A786" t="n">
        <x:f>Chart_Data!P50</x:f>
        <x:v>-36</x:v>
      </x:c>
      <x:c r="B786" t="n">
        <x:f>Chart_Data!Q50</x:f>
        <x:v>306.2734947710851</x:v>
      </x:c>
      <x:c r="C786" t="n">
        <x:f>Chart_Data!P50</x:f>
        <x:v>-36</x:v>
      </x:c>
      <x:c r="D786" t="n">
        <x:f>Chart_Data!R50</x:f>
        <x:v>338.2824754723515</x:v>
      </x:c>
      <x:c r="E786" t="n">
        <x:f>Chart_Data!P50</x:f>
        <x:v>-36</x:v>
      </x:c>
      <x:c r="F786" t="n">
        <x:f>Chart_Data!S50</x:f>
        <x:v>45.987011226889656</x:v>
      </x:c>
      <x:c r="G786" t="n">
        <x:f>Chart_Data!P50</x:f>
        <x:v>-36</x:v>
      </x:c>
      <x:c r="H786" t="n">
        <x:f>Chart_Data!T50</x:f>
        <x:v>50.79316448533807</x:v>
      </x:c>
    </x:row>
    <x:row r="787">
      <x:c r="A787" t="n">
        <x:f>Chart_Data!P51</x:f>
        <x:v>-35.5</x:v>
      </x:c>
      <x:c r="B787" t="n">
        <x:f>Chart_Data!Q51</x:f>
        <x:v>302.0715784808999</x:v>
      </x:c>
      <x:c r="C787" t="n">
        <x:f>Chart_Data!P51</x:f>
        <x:v>-35.5</x:v>
      </x:c>
      <x:c r="D787" t="n">
        <x:f>Chart_Data!R51</x:f>
        <x:v>314.05984233133495</x:v>
      </x:c>
      <x:c r="E787" t="n">
        <x:f>Chart_Data!P51</x:f>
        <x:v>-35.5</x:v>
      </x:c>
      <x:c r="F787" t="n">
        <x:f>Chart_Data!S51</x:f>
        <x:v>45.356092864999994</x:v>
      </x:c>
      <x:c r="G787" t="n">
        <x:f>Chart_Data!P51</x:f>
        <x:v>-35.5</x:v>
      </x:c>
      <x:c r="H787" t="n">
        <x:f>Chart_Data!T51</x:f>
        <x:v>47.15613248218243</x:v>
      </x:c>
    </x:row>
    <x:row r="788">
      <x:c r="A788" t="n">
        <x:f>Chart_Data!P52</x:f>
        <x:v>-35</x:v>
      </x:c>
      <x:c r="B788" t="n">
        <x:f>Chart_Data!Q52</x:f>
        <x:v>297.8675206210937</x:v>
      </x:c>
      <x:c r="C788" t="n">
        <x:f>Chart_Data!P52</x:f>
        <x:v>-35</x:v>
      </x:c>
      <x:c r="D788" t="n">
        <x:f>Chart_Data!R52</x:f>
        <x:v>347.75645538547906</x:v>
      </x:c>
      <x:c r="E788" t="n">
        <x:f>Chart_Data!P52</x:f>
        <x:v>-35</x:v>
      </x:c>
      <x:c r="F788" t="n">
        <x:f>Chart_Data!S52</x:f>
        <x:v>44.72485294611017</x:v>
      </x:c>
      <x:c r="G788" t="n">
        <x:f>Chart_Data!P52</x:f>
        <x:v>-35</x:v>
      </x:c>
      <x:c r="H788" t="n">
        <x:f>Chart_Data!T52</x:f>
        <x:v>52.21568399181368</x:v>
      </x:c>
    </x:row>
    <x:row r="789">
      <x:c r="A789" t="n">
        <x:f>Chart_Data!P53</x:f>
        <x:v>-34.5</x:v>
      </x:c>
      <x:c r="B789" t="n">
        <x:f>Chart_Data!Q53</x:f>
        <x:v>293.66134891224647</x:v>
      </x:c>
      <x:c r="C789" t="n">
        <x:f>Chart_Data!P53</x:f>
        <x:v>-34.5</x:v>
      </x:c>
      <x:c r="D789" t="n">
        <x:f>Chart_Data!R53</x:f>
        <x:v>355.1955134131276</x:v>
      </x:c>
      <x:c r="E789" t="n">
        <x:f>Chart_Data!P53</x:f>
        <x:v>-34.5</x:v>
      </x:c>
      <x:c r="F789" t="n">
        <x:f>Chart_Data!S53</x:f>
        <x:v>44.09329563246944</x:v>
      </x:c>
      <x:c r="G789" t="n">
        <x:f>Chart_Data!P53</x:f>
        <x:v>-34.5</x:v>
      </x:c>
      <x:c r="H789" t="n">
        <x:f>Chart_Data!T53</x:f>
        <x:v>53.33265967164079</x:v>
      </x:c>
    </x:row>
    <x:row r="790">
      <x:c r="A790" t="n">
        <x:f>Chart_Data!P54</x:f>
        <x:v>-34</x:v>
      </x:c>
      <x:c r="B790" t="n">
        <x:f>Chart_Data!Q54</x:f>
        <x:v>289.4530911666152</x:v>
      </x:c>
      <x:c r="C790" t="n">
        <x:f>Chart_Data!P54</x:f>
        <x:v>-34</x:v>
      </x:c>
      <x:c r="D790" t="n">
        <x:f>Chart_Data!R54</x:f>
        <x:v>308.8603249510925</x:v>
      </x:c>
      <x:c r="E790" t="n">
        <x:f>Chart_Data!P54</x:f>
        <x:v>-34</x:v>
      </x:c>
      <x:c r="F790" t="n">
        <x:f>Chart_Data!S54</x:f>
        <x:v>43.46142510009238</x:v>
      </x:c>
      <x:c r="G790" t="n">
        <x:f>Chart_Data!P54</x:f>
        <x:v>-34</x:v>
      </x:c>
      <x:c r="H790" t="n">
        <x:f>Chart_Data!T54</x:f>
        <x:v>46.375424166830705</x:v>
      </x:c>
    </x:row>
    <x:row r="791">
      <x:c r="A791" t="n">
        <x:f>Chart_Data!P55</x:f>
        <x:v>-33.5</x:v>
      </x:c>
      <x:c r="B791" t="n">
        <x:f>Chart_Data!Q55</x:f>
        <x:v>285.24277529395476</x:v>
      </x:c>
      <x:c r="C791" t="n">
        <x:f>Chart_Data!P55</x:f>
        <x:v>-33.5</x:v>
      </x:c>
      <x:c r="D791" t="n">
        <x:f>Chart_Data!R55</x:f>
        <x:v>321.33106228302495</x:v>
      </x:c>
      <x:c r="E791" t="n">
        <x:f>Chart_Data!P55</x:f>
        <x:v>-33.5</x:v>
      </x:c>
      <x:c r="F791" t="n">
        <x:f>Chart_Data!S55</x:f>
        <x:v>42.82924553963285</x:v>
      </x:c>
      <x:c r="G791" t="n">
        <x:f>Chart_Data!P55</x:f>
        <x:v>-33.5</x:v>
      </x:c>
      <x:c r="H791" t="n">
        <x:f>Chart_Data!T55</x:f>
        <x:v>48.24790724970345</x:v>
      </x:c>
    </x:row>
    <x:row r="792">
      <x:c r="A792" t="n">
        <x:f>Chart_Data!P56</x:f>
        <x:v>-33</x:v>
      </x:c>
      <x:c r="B792" t="n">
        <x:f>Chart_Data!Q56</x:f>
        <x:v>281.0304293043373</x:v>
      </x:c>
      <x:c r="C792" t="n">
        <x:f>Chart_Data!P56</x:f>
        <x:v>-33</x:v>
      </x:c>
      <x:c r="D792" t="n">
        <x:f>Chart_Data!R56</x:f>
        <x:v>316.859491910418</x:v>
      </x:c>
      <x:c r="E792" t="n">
        <x:f>Chart_Data!P56</x:f>
        <x:v>-33</x:v>
      </x:c>
      <x:c r="F792" t="n">
        <x:f>Chart_Data!S56</x:f>
        <x:v>42.196761156807405</x:v>
      </x:c>
      <x:c r="G792" t="n">
        <x:f>Chart_Data!P56</x:f>
        <x:v>-33</x:v>
      </x:c>
      <x:c r="H792" t="n">
        <x:f>Chart_Data!T56</x:f>
        <x:v>47.57650028684955</x:v>
      </x:c>
    </x:row>
    <x:row r="793">
      <x:c r="A793" t="n">
        <x:f>Chart_Data!P57</x:f>
        <x:v>-32.5</x:v>
      </x:c>
      <x:c r="B793" t="n">
        <x:f>Chart_Data!Q57</x:f>
        <x:v>276.81608131206303</x:v>
      </x:c>
      <x:c r="C793" t="n">
        <x:f>Chart_Data!P57</x:f>
        <x:v>-32.5</x:v>
      </x:c>
      <x:c r="D793" t="n">
        <x:f>Chart_Data!R57</x:f>
        <x:v>275.1765872350006</x:v>
      </x:c>
      <x:c r="E793" t="n">
        <x:f>Chart_Data!P57</x:f>
        <x:v>-32.5</x:v>
      </x:c>
      <x:c r="F793" t="n">
        <x:f>Chart_Data!S57</x:f>
        <x:v>41.56397617298244</x:v>
      </x:c>
      <x:c r="G793" t="n">
        <x:f>Chart_Data!P57</x:f>
        <x:v>-32.5</x:v>
      </x:c>
      <x:c r="H793" t="n">
        <x:f>Chart_Data!T57</x:f>
        <x:v>41.31780589114124</x:v>
      </x:c>
    </x:row>
    <x:row r="794">
      <x:c r="A794" t="n">
        <x:f>Chart_Data!P58</x:f>
        <x:v>-32</x:v>
      </x:c>
      <x:c r="B794" t="n">
        <x:f>Chart_Data!Q58</x:f>
        <x:v>272.599759519926</x:v>
      </x:c>
      <x:c r="C794" t="n">
        <x:f>Chart_Data!P58</x:f>
        <x:v>-32</x:v>
      </x:c>
      <x:c r="D794" t="n">
        <x:f>Chart_Data!R58</x:f>
        <x:v>279.49268607053455</x:v>
      </x:c>
      <x:c r="E794" t="n">
        <x:f>Chart_Data!P58</x:f>
        <x:v>-32</x:v>
      </x:c>
      <x:c r="F794" t="n">
        <x:f>Chart_Data!S58</x:f>
        <x:v>40.930894822811716</x:v>
      </x:c>
      <x:c r="G794" t="n">
        <x:f>Chart_Data!P58</x:f>
        <x:v>-32</x:v>
      </x:c>
      <x:c r="H794" t="n">
        <x:f>Chart_Data!T58</x:f>
        <x:v>41.965868779359546</x:v>
      </x:c>
    </x:row>
    <x:row r="795">
      <x:c r="A795" t="n">
        <x:f>Chart_Data!P59</x:f>
        <x:v>-31.5</x:v>
      </x:c>
      <x:c r="B795" t="n">
        <x:f>Chart_Data!Q59</x:f>
        <x:v>268.38149222203356</x:v>
      </x:c>
      <x:c r="C795" t="n">
        <x:f>Chart_Data!P59</x:f>
        <x:v>-31.5</x:v>
      </x:c>
      <x:c r="D795" t="n">
        <x:f>Chart_Data!R59</x:f>
        <x:v>288.14417854828207</x:v>
      </x:c>
      <x:c r="E795" t="n">
        <x:f>Chart_Data!P59</x:f>
        <x:v>-31.5</x:v>
      </x:c>
      <x:c r="F795" t="n">
        <x:f>Chart_Data!S59</x:f>
        <x:v>40.29752135465969</x:v>
      </x:c>
      <x:c r="G795" t="n">
        <x:f>Chart_Data!P59</x:f>
        <x:v>-31.5</x:v>
      </x:c>
      <x:c r="H795" t="n">
        <x:f>Chart_Data!T59</x:f>
        <x:v>43.26489167391623</x:v>
      </x:c>
    </x:row>
    <x:row r="796">
      <x:c r="A796" t="n">
        <x:f>Chart_Data!P60</x:f>
        <x:v>-31</x:v>
      </x:c>
      <x:c r="B796" t="n">
        <x:f>Chart_Data!Q60</x:f>
        <x:v>264.16130781663014</x:v>
      </x:c>
      <x:c r="C796" t="n">
        <x:f>Chart_Data!P60</x:f>
        <x:v>-31</x:v>
      </x:c>
      <x:c r="D796" t="n">
        <x:f>Chart_Data!R60</x:f>
        <x:v>238.13849277175905</x:v>
      </x:c>
      <x:c r="E796" t="n">
        <x:f>Chart_Data!P60</x:f>
        <x:v>-31</x:v>
      </x:c>
      <x:c r="F796" t="n">
        <x:f>Chart_Data!S60</x:f>
        <x:v>39.663860032527054</x:v>
      </x:c>
      <x:c r="G796" t="n">
        <x:f>Chart_Data!P60</x:f>
        <x:v>-31</x:v>
      </x:c>
      <x:c r="H796" t="n">
        <x:f>Chart_Data!T60</x:f>
        <x:v>35.75653044621007</x:v>
      </x:c>
    </x:row>
    <x:row r="797">
      <x:c r="A797" t="n">
        <x:f>Chart_Data!P61</x:f>
        <x:v>-30.5</x:v>
      </x:c>
      <x:c r="B797" t="n">
        <x:f>Chart_Data!Q61</x:f>
        <x:v>259.939234788817</x:v>
      </x:c>
      <x:c r="C797" t="n">
        <x:f>Chart_Data!P61</x:f>
        <x:v>-30.5</x:v>
      </x:c>
      <x:c r="D797" t="n">
        <x:f>Chart_Data!R61</x:f>
        <x:v>234.24333788807417</x:v>
      </x:c>
      <x:c r="E797" t="n">
        <x:f>Chart_Data!P61</x:f>
        <x:v>-30.5</x:v>
      </x:c>
      <x:c r="F797" t="n">
        <x:f>Chart_Data!S61</x:f>
        <x:v>39.02991513345601</x:v>
      </x:c>
      <x:c r="G797" t="n">
        <x:f>Chart_Data!P61</x:f>
        <x:v>-30.5</x:v>
      </x:c>
      <x:c r="H797" t="n">
        <x:f>Chart_Data!T61</x:f>
        <x:v>35.17167235556669</x:v>
      </x:c>
    </x:row>
    <x:row r="798">
      <x:c r="A798" t="n">
        <x:f>Chart_Data!P62</x:f>
        <x:v>-30</x:v>
      </x:c>
      <x:c r="B798" t="n">
        <x:f>Chart_Data!Q62</x:f>
        <x:v>255.71530170509504</x:v>
      </x:c>
      <x:c r="C798" t="n">
        <x:f>Chart_Data!P62</x:f>
        <x:v>-30</x:v>
      </x:c>
      <x:c r="D798" t="n">
        <x:f>Chart_Data!R62</x:f>
        <x:v>236.16063340596156</x:v>
      </x:c>
      <x:c r="E798" t="n">
        <x:f>Chart_Data!P62</x:f>
        <x:v>-30</x:v>
      </x:c>
      <x:c r="F798" t="n">
        <x:f>Chart_Data!S62</x:f>
        <x:v>38.39569094671097</x:v>
      </x:c>
      <x:c r="G798" t="n">
        <x:f>Chart_Data!P62</x:f>
        <x:v>-30</x:v>
      </x:c>
      <x:c r="H798" t="n">
        <x:f>Chart_Data!T62</x:f>
        <x:v>35.4595545654597</x:v>
      </x:c>
    </x:row>
    <x:row r="799">
      <x:c r="A799" t="n">
        <x:f>Chart_Data!P63</x:f>
        <x:v>-29.5</x:v>
      </x:c>
      <x:c r="B799" t="n">
        <x:f>Chart_Data!Q63</x:f>
        <x:v>251.4895372385581</x:v>
      </x:c>
      <x:c r="C799" t="n">
        <x:f>Chart_Data!P63</x:f>
        <x:v>-29.5</x:v>
      </x:c>
      <x:c r="D799" t="n">
        <x:f>Chart_Data!R63</x:f>
        <x:v>243.54226020022907</x:v>
      </x:c>
      <x:c r="E799" t="n">
        <x:f>Chart_Data!P63</x:f>
        <x:v>-29.5</x:v>
      </x:c>
      <x:c r="F799" t="n">
        <x:f>Chart_Data!S63</x:f>
        <x:v>37.76119177756128</x:v>
      </x:c>
      <x:c r="G799" t="n">
        <x:f>Chart_Data!P63</x:f>
        <x:v>-29.5</x:v>
      </x:c>
      <x:c r="H799" t="n">
        <x:f>Chart_Data!T63</x:f>
        <x:v>36.56790693697133</x:v>
      </x:c>
    </x:row>
    <x:row r="800">
      <x:c r="A800" t="n">
        <x:f>Chart_Data!P64</x:f>
        <x:v>-29</x:v>
      </x:c>
      <x:c r="B800" t="n">
        <x:f>Chart_Data!Q64</x:f>
        <x:v>247.26197014497302</x:v>
      </x:c>
      <x:c r="C800" t="n">
        <x:f>Chart_Data!P64</x:f>
        <x:v>-29</x:v>
      </x:c>
      <x:c r="D800" t="n">
        <x:f>Chart_Data!R64</x:f>
        <x:v>221.97951412254042</x:v>
      </x:c>
      <x:c r="E800" t="n">
        <x:f>Chart_Data!P64</x:f>
        <x:v>-29</x:v>
      </x:c>
      <x:c r="F800" t="n">
        <x:f>Chart_Data!S64</x:f>
        <x:v>37.12642194368964</x:v>
      </x:c>
      <x:c r="G800" t="n">
        <x:f>Chart_Data!P64</x:f>
        <x:v>-29</x:v>
      </x:c>
      <x:c r="H800" t="n">
        <x:f>Chart_Data!T64</x:f>
        <x:v>33.33025737575682</x:v>
      </x:c>
    </x:row>
    <x:row r="801">
      <x:c r="A801" t="n">
        <x:f>Chart_Data!P65</x:f>
        <x:v>-28.5</x:v>
      </x:c>
      <x:c r="B801" t="n">
        <x:f>Chart_Data!Q65</x:f>
        <x:v>243.03262925423041</x:v>
      </x:c>
      <x:c r="C801" t="n">
        <x:f>Chart_Data!P65</x:f>
        <x:v>-28.5</x:v>
      </x:c>
      <x:c r="D801" t="n">
        <x:f>Chart_Data!R65</x:f>
        <x:v>213.6323248183544</x:v>
      </x:c>
      <x:c r="E801" t="n">
        <x:f>Chart_Data!P65</x:f>
        <x:v>-28.5</x:v>
      </x:c>
      <x:c r="F801" t="n">
        <x:f>Chart_Data!S65</x:f>
        <x:v>36.491385773908476</x:v>
      </x:c>
      <x:c r="G801" t="n">
        <x:f>Chart_Data!P65</x:f>
        <x:v>-28.5</x:v>
      </x:c>
      <x:c r="H801" t="n">
        <x:f>Chart_Data!T65</x:f>
        <x:v>32.07692564840156</x:v>
      </x:c>
    </x:row>
    <x:row r="802">
      <x:c r="A802" t="n">
        <x:f>Chart_Data!P66</x:f>
        <x:v>-28</x:v>
      </x:c>
      <x:c r="B802" t="n">
        <x:f>Chart_Data!Q66</x:f>
        <x:v>238.80154350054</x:v>
      </x:c>
      <x:c r="C802" t="n">
        <x:f>Chart_Data!P66</x:f>
        <x:v>-28</x:v>
      </x:c>
      <x:c r="D802" t="n">
        <x:f>Chart_Data!R66</x:f>
        <x:v>217.6420816668724</x:v>
      </x:c>
      <x:c r="E802" t="n">
        <x:f>Chart_Data!P66</x:f>
        <x:v>-28</x:v>
      </x:c>
      <x:c r="F802" t="n">
        <x:f>Chart_Data!S66</x:f>
        <x:v>35.8560876126937</x:v>
      </x:c>
      <x:c r="G802" t="n">
        <x:f>Chart_Data!P66</x:f>
        <x:v>-28</x:v>
      </x:c>
      <x:c r="H802" t="n">
        <x:f>Chart_Data!T66</x:f>
        <x:v>32.678991241272136</x:v>
      </x:c>
    </x:row>
    <x:row r="803">
      <x:c r="A803" t="n">
        <x:f>Chart_Data!P67</x:f>
        <x:v>-27.5</x:v>
      </x:c>
      <x:c r="B803" t="n">
        <x:f>Chart_Data!Q67</x:f>
        <x:v>234.56874188968868</x:v>
      </x:c>
      <x:c r="C803" t="n">
        <x:f>Chart_Data!P67</x:f>
        <x:v>-27.5</x:v>
      </x:c>
      <x:c r="D803" t="n">
        <x:f>Chart_Data!R67</x:f>
        <x:v>196.6495314187341</x:v>
      </x:c>
      <x:c r="E803" t="n">
        <x:f>Chart_Data!P67</x:f>
        <x:v>-27.5</x:v>
      </x:c>
      <x:c r="F803" t="n">
        <x:f>Chart_Data!S67</x:f>
        <x:v>35.22053181526857</x:v>
      </x:c>
      <x:c r="G803" t="n">
        <x:f>Chart_Data!P67</x:f>
        <x:v>-27.5</x:v>
      </x:c>
      <x:c r="H803" t="n">
        <x:f>Chart_Data!T67</x:f>
        <x:v>29.5269566694796</x:v>
      </x:c>
    </x:row>
    <x:row r="804">
      <x:c r="A804" t="n">
        <x:f>Chart_Data!P68</x:f>
        <x:v>-27</x:v>
      </x:c>
      <x:c r="B804" t="n">
        <x:f>Chart_Data!Q68</x:f>
        <x:v>230.3342535144111</x:v>
      </x:c>
      <x:c r="C804" t="n">
        <x:f>Chart_Data!P68</x:f>
        <x:v>-27</x:v>
      </x:c>
      <x:c r="D804" t="n">
        <x:f>Chart_Data!R68</x:f>
        <x:v>220.46869172654624</x:v>
      </x:c>
      <x:c r="E804" t="n">
        <x:f>Chart_Data!P68</x:f>
        <x:v>-27</x:v>
      </x:c>
      <x:c r="F804" t="n">
        <x:f>Chart_Data!S68</x:f>
        <x:v>34.58472274991158</x:v>
      </x:c>
      <x:c r="G804" t="n">
        <x:f>Chart_Data!P68</x:f>
        <x:v>-27</x:v>
      </x:c>
      <x:c r="H804" t="n">
        <x:f>Chart_Data!T68</x:f>
        <x:v>33.10340716614809</x:v>
      </x:c>
    </x:row>
    <x:row r="805">
      <x:c r="A805" t="n">
        <x:f>Chart_Data!P69</x:f>
        <x:v>-26.5</x:v>
      </x:c>
      <x:c r="B805" t="n">
        <x:f>Chart_Data!Q69</x:f>
        <x:v>226.0981075584823</x:v>
      </x:c>
      <x:c r="C805" t="n">
        <x:f>Chart_Data!P69</x:f>
        <x:v>-26.5</x:v>
      </x:c>
      <x:c r="D805" t="n">
        <x:f>Chart_Data!R69</x:f>
        <x:v>198.23751812764385</x:v>
      </x:c>
      <x:c r="E805" t="n">
        <x:f>Chart_Data!P69</x:f>
        <x:v>-26.5</x:v>
      </x:c>
      <x:c r="F805" t="n">
        <x:f>Chart_Data!S69</x:f>
        <x:v>33.94866479857092</x:v>
      </x:c>
      <x:c r="G805" t="n">
        <x:f>Chart_Data!P69</x:f>
        <x:v>-26.5</x:v>
      </x:c>
      <x:c r="H805" t="n">
        <x:f>Chart_Data!T69</x:f>
        <x:v>29.765393112258838</x:v>
      </x:c>
    </x:row>
    <x:row r="806">
      <x:c r="A806" t="n">
        <x:f>Chart_Data!P70</x:f>
        <x:v>-26</x:v>
      </x:c>
      <x:c r="B806" t="n">
        <x:f>Chart_Data!Q70</x:f>
        <x:v>221.86033326770485</x:v>
      </x:c>
      <x:c r="C806" t="n">
        <x:f>Chart_Data!P70</x:f>
        <x:v>-26</x:v>
      </x:c>
      <x:c r="D806" t="n">
        <x:f>Chart_Data!R70</x:f>
        <x:v>192.02568655455252</x:v>
      </x:c>
      <x:c r="E806" t="n">
        <x:f>Chart_Data!P70</x:f>
        <x:v>-26</x:v>
      </x:c>
      <x:c r="F806" t="n">
        <x:f>Chart_Data!S70</x:f>
        <x:v>33.31236235250824</x:v>
      </x:c>
      <x:c r="G806" t="n">
        <x:f>Chart_Data!P70</x:f>
        <x:v>-26</x:v>
      </x:c>
      <x:c r="H806" t="n">
        <x:f>Chart_Data!T70</x:f>
        <x:v>28.83268566885173</x:v>
      </x:c>
    </x:row>
    <x:row r="807">
      <x:c r="A807" t="n">
        <x:f>Chart_Data!P71</x:f>
        <x:v>-25.5</x:v>
      </x:c>
      <x:c r="B807" t="n">
        <x:f>Chart_Data!Q71</x:f>
        <x:v>217.6209599799222</x:v>
      </x:c>
      <x:c r="C807" t="n">
        <x:f>Chart_Data!P71</x:f>
        <x:v>-25.5</x:v>
      </x:c>
      <x:c r="D807" t="n">
        <x:f>Chart_Data!R71</x:f>
        <x:v>199.48475681912896</x:v>
      </x:c>
      <x:c r="E807" t="n">
        <x:f>Chart_Data!P71</x:f>
        <x:v>-25.5</x:v>
      </x:c>
      <x:c r="F807" t="n">
        <x:f>Chart_Data!S71</x:f>
        <x:v>32.67581981680514</x:v>
      </x:c>
      <x:c r="G807" t="n">
        <x:f>Chart_Data!P71</x:f>
        <x:v>-25.5</x:v>
      </x:c>
      <x:c r="H807" t="n">
        <x:f>Chart_Data!T71</x:f>
        <x:v>29.952666189058405</x:v>
      </x:c>
    </x:row>
    <x:row r="808">
      <x:c r="A808" t="n">
        <x:f>Chart_Data!P72</x:f>
        <x:v>-25</x:v>
      </x:c>
      <x:c r="B808" t="n">
        <x:f>Chart_Data!Q72</x:f>
        <x:v>213.38001711119432</x:v>
      </x:c>
      <x:c r="C808" t="n">
        <x:f>Chart_Data!P72</x:f>
        <x:v>-25</x:v>
      </x:c>
      <x:c r="D808" t="n">
        <x:f>Chart_Data!R72</x:f>
        <x:v>221.0725897208249</x:v>
      </x:c>
      <x:c r="E808" t="n">
        <x:f>Chart_Data!P72</x:f>
        <x:v>-25</x:v>
      </x:c>
      <x:c r="F808" t="n">
        <x:f>Chart_Data!S72</x:f>
        <x:v>32.03904160828744</x:v>
      </x:c>
      <x:c r="G808" t="n">
        <x:f>Chart_Data!P72</x:f>
        <x:v>-25</x:v>
      </x:c>
      <x:c r="H808" t="n">
        <x:f>Chart_Data!T72</x:f>
        <x:v>33.194082540664404</x:v>
      </x:c>
    </x:row>
    <x:row r="809">
      <x:c r="A809" t="n">
        <x:f>Chart_Data!P73</x:f>
        <x:v>-24.5</x:v>
      </x:c>
      <x:c r="B809" t="n">
        <x:f>Chart_Data!Q73</x:f>
        <x:v>209.13753414824896</x:v>
      </x:c>
      <x:c r="C809" t="n">
        <x:f>Chart_Data!P73</x:f>
        <x:v>-24.5</x:v>
      </x:c>
      <x:c r="D809" t="n">
        <x:f>Chart_Data!R73</x:f>
        <x:v>222.45043993452782</x:v>
      </x:c>
      <x:c r="E809" t="n">
        <x:f>Chart_Data!P73</x:f>
        <x:v>-24.5</x:v>
      </x:c>
      <x:c r="F809" t="n">
        <x:f>Chart_Data!S73</x:f>
        <x:v>31.402032154391737</x:v>
      </x:c>
      <x:c r="G809" t="n">
        <x:f>Chart_Data!P73</x:f>
        <x:v>-24.5</x:v>
      </x:c>
      <x:c r="H809" t="n">
        <x:f>Chart_Data!T73</x:f>
        <x:v>33.40096695713631</x:v>
      </x:c>
    </x:row>
    <x:row r="810">
      <x:c r="A810" t="n">
        <x:f>Chart_Data!P74</x:f>
        <x:v>-24</x:v>
      </x:c>
      <x:c r="B810" t="n">
        <x:f>Chart_Data!Q74</x:f>
        <x:v>204.89354065312</x:v>
      </x:c>
      <x:c r="C810" t="n">
        <x:f>Chart_Data!P74</x:f>
        <x:v>-24</x:v>
      </x:c>
      <x:c r="D810" t="n">
        <x:f>Chart_Data!R74</x:f>
        <x:v>200.92529767707674</x:v>
      </x:c>
      <x:c r="E810" t="n">
        <x:f>Chart_Data!P74</x:f>
        <x:v>-24</x:v>
      </x:c>
      <x:c r="F810" t="n">
        <x:f>Chart_Data!S74</x:f>
        <x:v>30.764795893861866</x:v>
      </x:c>
      <x:c r="G810" t="n">
        <x:f>Chart_Data!P74</x:f>
        <x:v>-24</x:v>
      </x:c>
      <x:c r="H810" t="n">
        <x:f>Chart_Data!T74</x:f>
        <x:v>30.16896361517669</x:v>
      </x:c>
    </x:row>
    <x:row r="811">
      <x:c r="A811" t="n">
        <x:f>Chart_Data!P75</x:f>
        <x:v>-23.5</x:v>
      </x:c>
      <x:c r="B811" t="n">
        <x:f>Chart_Data!Q75</x:f>
        <x:v>200.64806626696736</x:v>
      </x:c>
      <x:c r="C811" t="n">
        <x:f>Chart_Data!P75</x:f>
        <x:v>-23.5</x:v>
      </x:c>
      <x:c r="D811" t="n">
        <x:f>Chart_Data!R75</x:f>
        <x:v>218.20922536780927</x:v>
      </x:c>
      <x:c r="E811" t="n">
        <x:f>Chart_Data!P75</x:f>
        <x:v>-23.5</x:v>
      </x:c>
      <x:c r="F811" t="n">
        <x:f>Chart_Data!S75</x:f>
        <x:v>30.12733727732243</x:v>
      </x:c>
      <x:c r="G811" t="n">
        <x:f>Chart_Data!P75</x:f>
        <x:v>-23.5</x:v>
      </x:c>
      <x:c r="H811" t="n">
        <x:f>Chart_Data!T75</x:f>
        <x:v>32.764147953124514</x:v>
      </x:c>
    </x:row>
    <x:row r="812">
      <x:c r="A812" t="n">
        <x:f>Chart_Data!P76</x:f>
        <x:v>-23</x:v>
      </x:c>
      <x:c r="B812" t="n">
        <x:f>Chart_Data!Q76</x:f>
        <x:v>196.40114070170966</x:v>
      </x:c>
      <x:c r="C812" t="n">
        <x:f>Chart_Data!P76</x:f>
        <x:v>-23</x:v>
      </x:c>
      <x:c r="D812" t="n">
        <x:f>Chart_Data!R76</x:f>
        <x:v>216.80914002981808</x:v>
      </x:c>
      <x:c r="E812" t="n">
        <x:f>Chart_Data!P76</x:f>
        <x:v>-23</x:v>
      </x:c>
      <x:c r="F812" t="n">
        <x:f>Chart_Data!S76</x:f>
        <x:v>29.489660766022475</x:v>
      </x:c>
      <x:c r="G812" t="n">
        <x:f>Chart_Data!P76</x:f>
        <x:v>-23</x:v>
      </x:c>
      <x:c r="H812" t="n">
        <x:f>Chart_Data!T76</x:f>
        <x:v>32.553924929402115</x:v>
      </x:c>
    </x:row>
    <x:row r="813">
      <x:c r="A813" t="n">
        <x:f>Chart_Data!P77</x:f>
        <x:v>-22.5</x:v>
      </x:c>
      <x:c r="B813" t="n">
        <x:f>Chart_Data!Q77</x:f>
        <x:v>192.15279373456724</x:v>
      </x:c>
      <x:c r="C813" t="n">
        <x:f>Chart_Data!P77</x:f>
        <x:v>-22.5</x:v>
      </x:c>
      <x:c r="D813" t="n">
        <x:f>Chart_Data!R77</x:f>
        <x:v>251.21183481469416</x:v>
      </x:c>
      <x:c r="E813" t="n">
        <x:f>Chart_Data!P77</x:f>
        <x:v>-22.5</x:v>
      </x:c>
      <x:c r="F813" t="n">
        <x:f>Chart_Data!S77</x:f>
        <x:v>28.851770831016104</x:v>
      </x:c>
      <x:c r="G813" t="n">
        <x:f>Chart_Data!P77</x:f>
        <x:v>-22.5</x:v>
      </x:c>
      <x:c r="H813" t="n">
        <x:f>Chart_Data!T77</x:f>
        <x:v>37.71949471692105</x:v>
      </x:c>
    </x:row>
    <x:row r="814">
      <x:c r="A814" t="n">
        <x:f>Chart_Data!P78</x:f>
        <x:v>-22</x:v>
      </x:c>
      <x:c r="B814" t="n">
        <x:f>Chart_Data!Q78</x:f>
        <x:v>187.90305521988557</x:v>
      </x:c>
      <x:c r="C814" t="n">
        <x:f>Chart_Data!P78</x:f>
        <x:v>-22</x:v>
      </x:c>
      <x:c r="D814" t="n">
        <x:f>Chart_Data!R78</x:f>
        <x:v>260.81096796797283</x:v>
      </x:c>
      <x:c r="E814" t="n">
        <x:f>Chart_Data!P78</x:f>
        <x:v>-22</x:v>
      </x:c>
      <x:c r="F814" t="n">
        <x:f>Chart_Data!S78</x:f>
        <x:v>28.213671954937777</x:v>
      </x:c>
      <x:c r="G814" t="n">
        <x:f>Chart_Data!P78</x:f>
        <x:v>-22</x:v>
      </x:c>
      <x:c r="H814" t="n">
        <x:f>Chart_Data!T78</x:f>
        <x:v>39.16080600119712</x:v>
      </x:c>
    </x:row>
    <x:row r="815">
      <x:c r="A815" t="n">
        <x:f>Chart_Data!P79</x:f>
        <x:v>-21.5</x:v>
      </x:c>
      <x:c r="B815" t="n">
        <x:f>Chart_Data!Q79</x:f>
        <x:v>183.65195507121825</x:v>
      </x:c>
      <x:c r="C815" t="n">
        <x:f>Chart_Data!P79</x:f>
        <x:v>-21.5</x:v>
      </x:c>
      <x:c r="D815" t="n">
        <x:f>Chart_Data!R79</x:f>
        <x:v>185.84239228039223</x:v>
      </x:c>
      <x:c r="E815" t="n">
        <x:f>Chart_Data!P79</x:f>
        <x:v>-21.5</x:v>
      </x:c>
      <x:c r="F815" t="n">
        <x:f>Chart_Data!S79</x:f>
        <x:v>27.575368629312052</x:v>
      </x:c>
      <x:c r="G815" t="n">
        <x:f>Chart_Data!P79</x:f>
        <x:v>-21.5</x:v>
      </x:c>
      <x:c r="H815" t="n">
        <x:f>Chart_Data!T79</x:f>
        <x:v>27.904263105164002</x:v>
      </x:c>
    </x:row>
    <x:row r="816">
      <x:c r="A816" t="n">
        <x:f>Chart_Data!P80</x:f>
        <x:v>-21</x:v>
      </x:c>
      <x:c r="B816" t="n">
        <x:f>Chart_Data!Q80</x:f>
        <x:v>179.3995232830639</x:v>
      </x:c>
      <x:c r="C816" t="n">
        <x:f>Chart_Data!P80</x:f>
        <x:v>-21</x:v>
      </x:c>
      <x:c r="D816" t="n">
        <x:f>Chart_Data!R80</x:f>
        <x:v>196.90678698616466</x:v>
      </x:c>
      <x:c r="E816" t="n">
        <x:f>Chart_Data!P80</x:f>
        <x:v>-21</x:v>
      </x:c>
      <x:c r="F816" t="n">
        <x:f>Chart_Data!S80</x:f>
        <x:v>26.936865357817403</x:v>
      </x:c>
      <x:c r="G816" t="n">
        <x:f>Chart_Data!P80</x:f>
        <x:v>-21</x:v>
      </x:c>
      <x:c r="H816" t="n">
        <x:f>Chart_Data!T80</x:f>
        <x:v>29.565583631556258</x:v>
      </x:c>
    </x:row>
    <x:row r="817">
      <x:c r="A817" t="n">
        <x:f>Chart_Data!P81</x:f>
        <x:v>-20.5</x:v>
      </x:c>
      <x:c r="B817" t="n">
        <x:f>Chart_Data!Q81</x:f>
        <x:v>175.14578990121663</x:v>
      </x:c>
      <x:c r="C817" t="n">
        <x:f>Chart_Data!P81</x:f>
        <x:v>-20.5</x:v>
      </x:c>
      <x:c r="D817" t="n">
        <x:f>Chart_Data!R81</x:f>
        <x:v>207.46841210884668</x:v>
      </x:c>
      <x:c r="E817" t="n">
        <x:f>Chart_Data!P81</x:f>
        <x:v>-20.5</x:v>
      </x:c>
      <x:c r="F817" t="n">
        <x:f>Chart_Data!S81</x:f>
        <x:v>26.298166651834332</x:v>
      </x:c>
      <x:c r="G817" t="n">
        <x:f>Chart_Data!P81</x:f>
        <x:v>-20.5</x:v>
      </x:c>
      <x:c r="H817" t="n">
        <x:f>Chart_Data!T81</x:f>
        <x:v>31.15141322955656</x:v>
      </x:c>
    </x:row>
    <x:row r="818">
      <x:c r="A818" t="n">
        <x:f>Chart_Data!P82</x:f>
        <x:v>-20</x:v>
      </x:c>
      <x:c r="B818" t="n">
        <x:f>Chart_Data!Q82</x:f>
        <x:v>170.89078503895507</x:v>
      </x:c>
      <x:c r="C818" t="n">
        <x:f>Chart_Data!P82</x:f>
        <x:v>-20</x:v>
      </x:c>
      <x:c r="D818" t="n">
        <x:f>Chart_Data!R82</x:f>
        <x:v>203.53163798381502</x:v>
      </x:c>
      <x:c r="E818" t="n">
        <x:f>Chart_Data!P82</x:f>
        <x:v>-20</x:v>
      </x:c>
      <x:c r="F818" t="n">
        <x:f>Chart_Data!S82</x:f>
        <x:v>25.65927703287614</x:v>
      </x:c>
      <x:c r="G818" t="n">
        <x:f>Chart_Data!P82</x:f>
        <x:v>-20</x:v>
      </x:c>
      <x:c r="H818" t="n">
        <x:f>Chart_Data!T82</x:f>
        <x:v>30.560306003575832</x:v>
      </x:c>
    </x:row>
    <x:row r="819">
      <x:c r="A819" t="n">
        <x:f>Chart_Data!P83</x:f>
        <x:v>-19.5</x:v>
      </x:c>
      <x:c r="B819" t="n">
        <x:f>Chart_Data!Q83</x:f>
        <x:v>166.6345388791342</x:v>
      </x:c>
      <x:c r="C819" t="n">
        <x:f>Chart_Data!P83</x:f>
        <x:v>-19.5</x:v>
      </x:c>
      <x:c r="D819" t="n">
        <x:f>Chart_Data!R83</x:f>
        <x:v>219.32626696361694</x:v>
      </x:c>
      <x:c r="E819" t="n">
        <x:f>Chart_Data!P83</x:f>
        <x:v>-19.5</x:v>
      </x:c>
      <x:c r="F819" t="n">
        <x:f>Chart_Data!S83</x:f>
        <x:v>25.020201032903035</x:v>
      </x:c>
      <x:c r="G819" t="n">
        <x:f>Chart_Data!P83</x:f>
        <x:v>-19.5</x:v>
      </x:c>
      <x:c r="H819" t="n">
        <x:f>Chart_Data!T83</x:f>
        <x:v>32.931871916459</x:v>
      </x:c>
    </x:row>
    <x:row r="820">
      <x:c r="A820" t="n">
        <x:f>Chart_Data!P84</x:f>
        <x:v>-19</x:v>
      </x:c>
      <x:c r="B820" t="n">
        <x:f>Chart_Data!Q84</x:f>
        <x:v>162.37708165526783</x:v>
      </x:c>
      <x:c r="C820" t="n">
        <x:f>Chart_Data!P84</x:f>
        <x:v>-19</x:v>
      </x:c>
      <x:c r="D820" t="n">
        <x:f>Chart_Data!R84</x:f>
        <x:v>165.46845659795508</x:v>
      </x:c>
      <x:c r="E820" t="n">
        <x:f>Chart_Data!P84</x:f>
        <x:v>-19</x:v>
      </x:c>
      <x:c r="F820" t="n">
        <x:f>Chart_Data!S84</x:f>
        <x:v>24.38094319148166</x:v>
      </x:c>
      <x:c r="G820" t="n">
        <x:f>Chart_Data!P84</x:f>
        <x:v>-19</x:v>
      </x:c>
      <x:c r="H820" t="n">
        <x:f>Chart_Data!T84</x:f>
        <x:v>24.84511360329656</x:v>
      </x:c>
    </x:row>
    <x:row r="821">
      <x:c r="A821" t="n">
        <x:f>Chart_Data!P85</x:f>
        <x:v>-18.5</x:v>
      </x:c>
      <x:c r="B821" t="n">
        <x:f>Chart_Data!Q85</x:f>
        <x:v>158.1184436692638</x:v>
      </x:c>
      <x:c r="C821" t="n">
        <x:f>Chart_Data!P85</x:f>
        <x:v>-18.5</x:v>
      </x:c>
      <x:c r="D821" t="n">
        <x:f>Chart_Data!R85</x:f>
        <x:v>191.40687485714807</x:v>
      </x:c>
      <x:c r="E821" t="n">
        <x:f>Chart_Data!P85</x:f>
        <x:v>-18.5</x:v>
      </x:c>
      <x:c r="F821" t="n">
        <x:f>Chart_Data!S85</x:f>
        <x:v>23.74150805844802</x:v>
      </x:c>
      <x:c r="G821" t="n">
        <x:f>Chart_Data!P85</x:f>
        <x:v>-18.5</x:v>
      </x:c>
      <x:c r="H821" t="n">
        <x:f>Chart_Data!T85</x:f>
        <x:v>28.739770999571785</x:v>
      </x:c>
    </x:row>
    <x:row r="822">
      <x:c r="A822" t="n">
        <x:f>Chart_Data!P86</x:f>
        <x:v>-18</x:v>
      </x:c>
      <x:c r="B822" t="n">
        <x:f>Chart_Data!Q86</x:f>
        <x:v>153.85865527787246</x:v>
      </x:c>
      <x:c r="C822" t="n">
        <x:f>Chart_Data!P86</x:f>
        <x:v>-18</x:v>
      </x:c>
      <x:c r="D822" t="n">
        <x:f>Chart_Data!R86</x:f>
        <x:v>203.94346546299857</x:v>
      </x:c>
      <x:c r="E822" t="n">
        <x:f>Chart_Data!P86</x:f>
        <x:v>-18</x:v>
      </x:c>
      <x:c r="F822" t="n">
        <x:f>Chart_Data!S86</x:f>
        <x:v>23.101900191872744</x:v>
      </x:c>
      <x:c r="G822" t="n">
        <x:f>Chart_Data!P86</x:f>
        <x:v>-18</x:v>
      </x:c>
      <x:c r="H822" t="n">
        <x:f>Chart_Data!T86</x:f>
        <x:v>30.6221419614112</x:v>
      </x:c>
    </x:row>
    <x:row r="823">
      <x:c r="A823" t="n">
        <x:f>Chart_Data!P87</x:f>
        <x:v>-17.5</x:v>
      </x:c>
      <x:c r="B823" t="n">
        <x:f>Chart_Data!Q87</x:f>
        <x:v>149.59774689641563</x:v>
      </x:c>
      <x:c r="C823" t="n">
        <x:f>Chart_Data!P87</x:f>
        <x:v>-17.5</x:v>
      </x:c>
      <x:c r="D823" t="n">
        <x:f>Chart_Data!R87</x:f>
        <x:v>132.74258327064672</x:v>
      </x:c>
      <x:c r="E823" t="n">
        <x:f>Chart_Data!P87</x:f>
        <x:v>-17.5</x:v>
      </x:c>
      <x:c r="F823" t="n">
        <x:f>Chart_Data!S87</x:f>
        <x:v>22.462124158620966</x:v>
      </x:c>
      <x:c r="G823" t="n">
        <x:f>Chart_Data!P87</x:f>
        <x:v>-17.5</x:v>
      </x:c>
      <x:c r="H823" t="n">
        <x:f>Chart_Data!T87</x:f>
        <x:v>19.931318809406417</x:v>
      </x:c>
    </x:row>
    <x:row r="824">
      <x:c r="A824" t="n">
        <x:f>Chart_Data!P88</x:f>
        <x:v>-17</x:v>
      </x:c>
      <x:c r="B824" t="n">
        <x:f>Chart_Data!Q88</x:f>
        <x:v>145.33574898605366</x:v>
      </x:c>
      <x:c r="C824" t="n">
        <x:f>Chart_Data!P88</x:f>
        <x:v>-17</x:v>
      </x:c>
      <x:c r="D824" t="n">
        <x:f>Chart_Data!R88</x:f>
        <x:v>129.62617697667156</x:v>
      </x:c>
      <x:c r="E824" t="n">
        <x:f>Chart_Data!P88</x:f>
        <x:v>-17</x:v>
      </x:c>
      <x:c r="F824" t="n">
        <x:f>Chart_Data!S88</x:f>
        <x:v>21.82218453244049</x:v>
      </x:c>
      <x:c r="G824" t="n">
        <x:f>Chart_Data!P88</x:f>
        <x:v>-17</x:v>
      </x:c>
      <x:c r="H824" t="n">
        <x:f>Chart_Data!T88</x:f>
        <x:v>19.463389936437174</x:v>
      </x:c>
    </x:row>
    <x:row r="825">
      <x:c r="A825" t="n">
        <x:f>Chart_Data!P89</x:f>
        <x:v>-16.5</x:v>
      </x:c>
      <x:c r="B825" t="n">
        <x:f>Chart_Data!Q89</x:f>
        <x:v>141.07269207324862</x:v>
      </x:c>
      <x:c r="C825" t="n">
        <x:f>Chart_Data!P89</x:f>
        <x:v>-16.5</x:v>
      </x:c>
      <x:c r="D825" t="n">
        <x:f>Chart_Data!R89</x:f>
        <x:v>192.02559108462083</x:v>
      </x:c>
      <x:c r="E825" t="n">
        <x:f>Chart_Data!P89</x:f>
        <x:v>-16.5</x:v>
      </x:c>
      <x:c r="F825" t="n">
        <x:f>Chart_Data!S89</x:f>
        <x:v>21.18208589688418</x:v>
      </x:c>
      <x:c r="G825" t="n">
        <x:f>Chart_Data!P89</x:f>
        <x:v>-16.5</x:v>
      </x:c>
      <x:c r="H825" t="n">
        <x:f>Chart_Data!T89</x:f>
        <x:v>28.832671334027154</x:v>
      </x:c>
    </x:row>
    <x:row r="826">
      <x:c r="A826" t="n">
        <x:f>Chart_Data!P90</x:f>
        <x:v>-16</x:v>
      </x:c>
      <x:c r="B826" t="n">
        <x:f>Chart_Data!Q90</x:f>
        <x:v>136.80860673657662</x:v>
      </x:c>
      <x:c r="C826" t="n">
        <x:f>Chart_Data!P90</x:f>
        <x:v>-16</x:v>
      </x:c>
      <x:c r="D826" t="n">
        <x:f>Chart_Data!R90</x:f>
        <x:v>165.6403437944391</x:v>
      </x:c>
      <x:c r="E826" t="n">
        <x:f>Chart_Data!P90</x:f>
        <x:v>-16</x:v>
      </x:c>
      <x:c r="F826" t="n">
        <x:f>Chart_Data!S90</x:f>
        <x:v>20.541832843329825</x:v>
      </x:c>
      <x:c r="G826" t="n">
        <x:f>Chart_Data!P90</x:f>
        <x:v>-16</x:v>
      </x:c>
      <x:c r="H826" t="n">
        <x:f>Chart_Data!T90</x:f>
        <x:v>24.870922491657524</x:v>
      </x:c>
    </x:row>
    <x:row r="827">
      <x:c r="A827" t="n">
        <x:f>Chart_Data!P91</x:f>
        <x:v>-15.5</x:v>
      </x:c>
      <x:c r="B827" t="n">
        <x:f>Chart_Data!Q91</x:f>
        <x:v>132.5435235945406</x:v>
      </x:c>
      <x:c r="C827" t="n">
        <x:f>Chart_Data!P91</x:f>
        <x:v>-15.5</x:v>
      </x:c>
      <x:c r="D827" t="n">
        <x:f>Chart_Data!R91</x:f>
        <x:v>137.95639615773325</x:v>
      </x:c>
      <x:c r="E827" t="n">
        <x:f>Chart_Data!P91</x:f>
        <x:v>-15.5</x:v>
      </x:c>
      <x:c r="F827" t="n">
        <x:f>Chart_Data!S91</x:f>
        <x:v>19.901429969150243</x:v>
      </x:c>
      <x:c r="G827" t="n">
        <x:f>Chart_Data!P91</x:f>
        <x:v>-15.5</x:v>
      </x:c>
      <x:c r="H827" t="n">
        <x:f>Chart_Data!T91</x:f>
        <x:v>20.714173597257247</x:v>
      </x:c>
    </x:row>
    <x:row r="828">
      <x:c r="A828" t="n">
        <x:f>Chart_Data!P92</x:f>
        <x:v>-15</x:v>
      </x:c>
      <x:c r="B828" t="n">
        <x:f>Chart_Data!Q92</x:f>
        <x:v>128.2774733243059</x:v>
      </x:c>
      <x:c r="C828" t="n">
        <x:f>Chart_Data!P92</x:f>
        <x:v>-15</x:v>
      </x:c>
      <x:c r="D828" t="n">
        <x:f>Chart_Data!R92</x:f>
        <x:v>160.4549174724525</x:v>
      </x:c>
      <x:c r="E828" t="n">
        <x:f>Chart_Data!P92</x:f>
        <x:v>-15</x:v>
      </x:c>
      <x:c r="F828" t="n">
        <x:f>Chart_Data!S92</x:f>
        <x:v>19.260881880526412</x:v>
      </x:c>
      <x:c r="G828" t="n">
        <x:f>Chart_Data!P92</x:f>
        <x:v>-15</x:v>
      </x:c>
      <x:c r="H828" t="n">
        <x:f>Chart_Data!T92</x:f>
        <x:v>24.092329950818698</x:v>
      </x:c>
    </x:row>
    <x:row r="829">
      <x:c r="A829" t="n">
        <x:f>Chart_Data!P93</x:f>
        <x:v>-14.5</x:v>
      </x:c>
      <x:c r="B829" t="n">
        <x:f>Chart_Data!Q93</x:f>
        <x:v>124.0104866564252</x:v>
      </x:c>
      <x:c r="C829" t="n">
        <x:f>Chart_Data!P93</x:f>
        <x:v>-14.5</x:v>
      </x:c>
      <x:c r="D829" t="n">
        <x:f>Chart_Data!R93</x:f>
        <x:v>131.00044031953075</x:v>
      </x:c>
      <x:c r="E829" t="n">
        <x:f>Chart_Data!P93</x:f>
        <x:v>-14.5</x:v>
      </x:c>
      <x:c r="F829" t="n">
        <x:f>Chart_Data!S93</x:f>
        <x:v>18.62019319165544</x:v>
      </x:c>
      <x:c r="G829" t="n">
        <x:f>Chart_Data!P93</x:f>
        <x:v>-14.5</x:v>
      </x:c>
      <x:c r="H829" t="n">
        <x:f>Chart_Data!T93</x:f>
        <x:v>19.669735783713328</x:v>
      </x:c>
    </x:row>
    <x:row r="830">
      <x:c r="A830" t="n">
        <x:f>Chart_Data!P94</x:f>
        <x:v>-14</x:v>
      </x:c>
      <x:c r="B830" t="n">
        <x:f>Chart_Data!Q94</x:f>
        <x:v>119.7425943531016</x:v>
      </x:c>
      <x:c r="C830" t="n">
        <x:f>Chart_Data!P94</x:f>
        <x:v>-14</x:v>
      </x:c>
      <x:c r="D830" t="n">
        <x:f>Chart_Data!R94</x:f>
        <x:v>109.40700518340236</x:v>
      </x:c>
      <x:c r="E830" t="n">
        <x:f>Chart_Data!P94</x:f>
        <x:v>-14</x:v>
      </x:c>
      <x:c r="F830" t="n">
        <x:f>Chart_Data!S94</x:f>
        <x:v>17.979368521486727</x:v>
      </x:c>
      <x:c r="G830" t="n">
        <x:f>Chart_Data!P94</x:f>
        <x:v>-14</x:v>
      </x:c>
      <x:c r="H830" t="n">
        <x:f>Chart_Data!T94</x:f>
        <x:v>16.427478255766122</x:v>
      </x:c>
    </x:row>
    <x:row r="831">
      <x:c r="A831" t="n">
        <x:f>Chart_Data!P95</x:f>
        <x:v>-13.5</x:v>
      </x:c>
      <x:c r="B831" t="n">
        <x:f>Chart_Data!Q95</x:f>
        <x:v>115.4738272234681</x:v>
      </x:c>
      <x:c r="C831" t="n">
        <x:f>Chart_Data!P95</x:f>
        <x:v>-13.5</x:v>
      </x:c>
      <x:c r="D831" t="n">
        <x:f>Chart_Data!R95</x:f>
        <x:v>134.57088687846408</x:v>
      </x:c>
      <x:c r="E831" t="n">
        <x:f>Chart_Data!P95</x:f>
        <x:v>-13.5</x:v>
      </x:c>
      <x:c r="F831" t="n">
        <x:f>Chart_Data!S95</x:f>
        <x:v>17.338412496016232</x:v>
      </x:c>
      <x:c r="G831" t="n">
        <x:f>Chart_Data!P95</x:f>
        <x:v>-13.5</x:v>
      </x:c>
      <x:c r="H831" t="n">
        <x:f>Chart_Data!T95</x:f>
        <x:v>20.205838870640253</x:v>
      </x:c>
    </x:row>
    <x:row r="832">
      <x:c r="A832" t="n">
        <x:f>Chart_Data!P96</x:f>
        <x:v>-13</x:v>
      </x:c>
      <x:c r="B832" t="n">
        <x:f>Chart_Data!Q96</x:f>
        <x:v>111.20421613486542</x:v>
      </x:c>
      <x:c r="C832" t="n">
        <x:f>Chart_Data!P96</x:f>
        <x:v>-13</x:v>
      </x:c>
      <x:c r="D832" t="n">
        <x:f>Chart_Data!R96</x:f>
        <x:v>159.26135976260412</x:v>
      </x:c>
      <x:c r="E832" t="n">
        <x:f>Chart_Data!P96</x:f>
        <x:v>-13</x:v>
      </x:c>
      <x:c r="F832" t="n">
        <x:f>Chart_Data!S96</x:f>
        <x:v>16.697329749979794</x:v>
      </x:c>
      <x:c r="G832" t="n">
        <x:f>Chart_Data!P96</x:f>
        <x:v>-13</x:v>
      </x:c>
      <x:c r="H832" t="n">
        <x:f>Chart_Data!T96</x:f>
        <x:v>23.91311708147209</x:v>
      </x:c>
    </x:row>
    <x:row r="833">
      <x:c r="A833" t="n">
        <x:f>Chart_Data!P97</x:f>
        <x:v>-12.5</x:v>
      </x:c>
      <x:c r="B833" t="n">
        <x:f>Chart_Data!Q97</x:f>
        <x:v>106.9337919834652</x:v>
      </x:c>
      <x:c r="C833" t="n">
        <x:f>Chart_Data!P97</x:f>
        <x:v>-12.5</x:v>
      </x:c>
      <x:c r="D833" t="n">
        <x:f>Chart_Data!R97</x:f>
        <x:v>115.15921534473819</x:v>
      </x:c>
      <x:c r="E833" t="n">
        <x:f>Chart_Data!P97</x:f>
        <x:v>-12.5</x:v>
      </x:c>
      <x:c r="F833" t="n">
        <x:f>Chart_Data!S97</x:f>
        <x:v>16.056124922442223</x:v>
      </x:c>
      <x:c r="G833" t="n">
        <x:f>Chart_Data!P97</x:f>
        <x:v>-12.5</x:v>
      </x:c>
      <x:c r="H833" t="n">
        <x:f>Chart_Data!T97</x:f>
        <x:v>17.291173475185914</x:v>
      </x:c>
    </x:row>
    <x:row r="834">
      <x:c r="A834" t="n">
        <x:f>Chart_Data!P98</x:f>
        <x:v>-12</x:v>
      </x:c>
      <x:c r="B834" t="n">
        <x:f>Chart_Data!Q98</x:f>
        <x:v>102.66258570945865</x:v>
      </x:c>
      <x:c r="C834" t="n">
        <x:f>Chart_Data!P98</x:f>
        <x:v>-12</x:v>
      </x:c>
      <x:c r="D834" t="n">
        <x:f>Chart_Data!R98</x:f>
        <x:v>118.75489251451654</x:v>
      </x:c>
      <x:c r="E834" t="n">
        <x:f>Chart_Data!P98</x:f>
        <x:v>-12</x:v>
      </x:c>
      <x:c r="F834" t="n">
        <x:f>Chart_Data!S98</x:f>
        <x:v>15.414802659077877</x:v>
      </x:c>
      <x:c r="G834" t="n">
        <x:f>Chart_Data!P98</x:f>
        <x:v>-12</x:v>
      </x:c>
      <x:c r="H834" t="n">
        <x:f>Chart_Data!T98</x:f>
        <x:v>17.831064942119603</x:v>
      </x:c>
    </x:row>
    <x:row r="835">
      <x:c r="A835" t="n">
        <x:f>Chart_Data!P99</x:f>
        <x:v>-11.5</x:v>
      </x:c>
      <x:c r="B835" t="n">
        <x:f>Chart_Data!Q99</x:f>
        <x:v>98.39062828850729</x:v>
      </x:c>
      <x:c r="C835" t="n">
        <x:f>Chart_Data!P99</x:f>
        <x:v>-11.5</x:v>
      </x:c>
      <x:c r="D835" t="n">
        <x:f>Chart_Data!R99</x:f>
        <x:v>137.6040267078679</x:v>
      </x:c>
      <x:c r="E835" t="n">
        <x:f>Chart_Data!P99</x:f>
        <x:v>-11.5</x:v>
      </x:c>
      <x:c r="F835" t="n">
        <x:f>Chart_Data!S99</x:f>
        <x:v>14.77336761088698</x:v>
      </x:c>
      <x:c r="G835" t="n">
        <x:f>Chart_Data!P99</x:f>
        <x:v>-11.5</x:v>
      </x:c>
      <x:c r="H835" t="n">
        <x:f>Chart_Data!T99</x:f>
        <x:v>20.661265271451636</x:v>
      </x:c>
    </x:row>
    <x:row r="836">
      <x:c r="A836" t="n">
        <x:f>Chart_Data!P100</x:f>
        <x:v>-11</x:v>
      </x:c>
      <x:c r="B836" t="n">
        <x:f>Chart_Data!Q100</x:f>
        <x:v>94.1179507391098</x:v>
      </x:c>
      <x:c r="C836" t="n">
        <x:f>Chart_Data!P100</x:f>
        <x:v>-11</x:v>
      </x:c>
      <x:c r="D836" t="n">
        <x:f>Chart_Data!R100</x:f>
        <x:v>112.0371558296938</x:v>
      </x:c>
      <x:c r="E836" t="n">
        <x:f>Chart_Data!P100</x:f>
        <x:v>-11</x:v>
      </x:c>
      <x:c r="F836" t="n">
        <x:f>Chart_Data!S100</x:f>
        <x:v>14.131824435301773</x:v>
      </x:c>
      <x:c r="G836" t="n">
        <x:f>Chart_Data!P100</x:f>
        <x:v>-11</x:v>
      </x:c>
      <x:c r="H836" t="n">
        <x:f>Chart_Data!T100</x:f>
        <x:v>16.822395770224297</x:v>
      </x:c>
    </x:row>
    <x:row r="837">
      <x:c r="A837" t="n">
        <x:f>Chart_Data!P101</x:f>
        <x:v>-10.5</x:v>
      </x:c>
      <x:c r="B837" t="n">
        <x:f>Chart_Data!Q101</x:f>
        <x:v>89.8445841135981</x:v>
      </x:c>
      <x:c r="C837" t="n">
        <x:f>Chart_Data!P101</x:f>
        <x:v>-10.5</x:v>
      </x:c>
      <x:c r="D837" t="n">
        <x:f>Chart_Data!R101</x:f>
        <x:v>104.22636697785492</x:v>
      </x:c>
      <x:c r="E837" t="n">
        <x:f>Chart_Data!P101</x:f>
        <x:v>-10.5</x:v>
      </x:c>
      <x:c r="F837" t="n">
        <x:f>Chart_Data!S101</x:f>
        <x:v>13.490177794834551</x:v>
      </x:c>
      <x:c r="G837" t="n">
        <x:f>Chart_Data!P101</x:f>
        <x:v>-10.5</x:v>
      </x:c>
      <x:c r="H837" t="n">
        <x:f>Chart_Data!T101</x:f>
        <x:v>15.64960465132957</x:v>
      </x:c>
    </x:row>
    <x:row r="838">
      <x:c r="A838" t="n">
        <x:f>Chart_Data!P102</x:f>
        <x:v>-10</x:v>
      </x:c>
      <x:c r="B838" t="n">
        <x:f>Chart_Data!Q102</x:f>
        <x:v>85.5705594970459</x:v>
      </x:c>
      <x:c r="C838" t="n">
        <x:f>Chart_Data!P102</x:f>
        <x:v>-10</x:v>
      </x:c>
      <x:c r="D838" t="n">
        <x:f>Chart_Data!R102</x:f>
        <x:v>86.40918325254461</x:v>
      </x:c>
      <x:c r="E838" t="n">
        <x:f>Chart_Data!P102</x:f>
        <x:v>-10</x:v>
      </x:c>
      <x:c r="F838" t="n">
        <x:f>Chart_Data!S102</x:f>
        <x:v>12.8484323569138</x:v>
      </x:c>
      <x:c r="G838" t="n">
        <x:f>Chart_Data!P102</x:f>
        <x:v>-10</x:v>
      </x:c>
      <x:c r="H838" t="n">
        <x:f>Chart_Data!T102</x:f>
        <x:v>12.974351839721415</x:v>
      </x:c>
    </x:row>
    <x:row r="839">
      <x:c r="A839" t="n">
        <x:f>Chart_Data!P103</x:f>
        <x:v>-9.5</x:v>
      </x:c>
      <x:c r="B839" t="n">
        <x:f>Chart_Data!Q103</x:f>
        <x:v>81.2959080145447</x:v>
      </x:c>
      <x:c r="C839" t="n">
        <x:f>Chart_Data!P103</x:f>
        <x:v>-9.5</x:v>
      </x:c>
      <x:c r="D839" t="n">
        <x:f>Chart_Data!R103</x:f>
        <x:v>95.88133801144068</x:v>
      </x:c>
      <x:c r="E839" t="n">
        <x:f>Chart_Data!P103</x:f>
        <x:v>-9.5</x:v>
      </x:c>
      <x:c r="F839" t="n">
        <x:f>Chart_Data!S103</x:f>
        <x:v>12.206592794976682</x:v>
      </x:c>
      <x:c r="G839" t="n">
        <x:f>Chart_Data!P103</x:f>
        <x:v>-9.5</x:v>
      </x:c>
      <x:c r="H839" t="n">
        <x:f>Chart_Data!T103</x:f>
        <x:v>14.396597299015118</x:v>
      </x:c>
    </x:row>
    <x:row r="840">
      <x:c r="A840" t="n">
        <x:f>Chart_Data!P104</x:f>
        <x:v>-9</x:v>
      </x:c>
      <x:c r="B840" t="n">
        <x:f>Chart_Data!Q104</x:f>
        <x:v>77.0206608074659</x:v>
      </x:c>
      <x:c r="C840" t="n">
        <x:f>Chart_Data!P104</x:f>
        <x:v>-9</x:v>
      </x:c>
      <x:c r="D840" t="n">
        <x:f>Chart_Data!R104</x:f>
        <x:v>61.203996322819876</x:v>
      </x:c>
      <x:c r="E840" t="n">
        <x:f>Chart_Data!P104</x:f>
        <x:v>-9</x:v>
      </x:c>
      <x:c r="F840" t="n">
        <x:f>Chart_Data!S104</x:f>
        <x:v>11.564663784904791</x:v>
      </x:c>
      <x:c r="G840" t="n">
        <x:f>Chart_Data!P104</x:f>
        <x:v>-9</x:v>
      </x:c>
      <x:c r="H840" t="n">
        <x:f>Chart_Data!T104</x:f>
        <x:v>9.189789237660642</x:v>
      </x:c>
    </x:row>
    <x:row r="841">
      <x:c r="A841" t="n">
        <x:f>Chart_Data!P105</x:f>
        <x:v>-8.5</x:v>
      </x:c>
      <x:c r="B841" t="n">
        <x:f>Chart_Data!Q105</x:f>
        <x:v>72.74484905628924</x:v>
      </x:c>
      <x:c r="C841" t="n">
        <x:f>Chart_Data!P105</x:f>
        <x:v>-8.5</x:v>
      </x:c>
      <x:c r="D841" t="n">
        <x:f>Chart_Data!R105</x:f>
        <x:v>64.91178834112361</x:v>
      </x:c>
      <x:c r="E841" t="n">
        <x:f>Chart_Data!P105</x:f>
        <x:v>-8.5</x:v>
      </x:c>
      <x:c r="F841" t="n">
        <x:f>Chart_Data!S105</x:f>
        <x:v>10.92265000845184</x:v>
      </x:c>
      <x:c r="G841" t="n">
        <x:f>Chart_Data!P105</x:f>
        <x:v>-8.5</x:v>
      </x:c>
      <x:c r="H841" t="n">
        <x:f>Chart_Data!T105</x:f>
        <x:v>9.746514765934476</x:v>
      </x:c>
    </x:row>
    <x:row r="842">
      <x:c r="A842" t="n">
        <x:f>Chart_Data!P106</x:f>
        <x:v>-8</x:v>
      </x:c>
      <x:c r="B842" t="n">
        <x:f>Chart_Data!Q106</x:f>
        <x:v>68.46850397168964</x:v>
      </x:c>
      <x:c r="C842" t="n">
        <x:f>Chart_Data!P106</x:f>
        <x:v>-8</x:v>
      </x:c>
      <x:c r="D842" t="n">
        <x:f>Chart_Data!R106</x:f>
        <x:v>83.90391525563246</x:v>
      </x:c>
      <x:c r="E842" t="n">
        <x:f>Chart_Data!P106</x:f>
        <x:v>-8</x:v>
      </x:c>
      <x:c r="F842" t="n">
        <x:f>Chart_Data!S106</x:f>
        <x:v>10.280556151905353</x:v>
      </x:c>
      <x:c r="G842" t="n">
        <x:f>Chart_Data!P106</x:f>
        <x:v>-8</x:v>
      </x:c>
      <x:c r="H842" t="n">
        <x:f>Chart_Data!T106</x:f>
        <x:v>12.598185473818688</x:v>
      </x:c>
    </x:row>
    <x:row r="843">
      <x:c r="A843" t="n">
        <x:f>Chart_Data!P107</x:f>
        <x:v>-7.5</x:v>
      </x:c>
      <x:c r="B843" t="n">
        <x:f>Chart_Data!Q107</x:f>
        <x:v>64.19165678507852</x:v>
      </x:c>
      <x:c r="C843" t="n">
        <x:f>Chart_Data!P107</x:f>
        <x:v>-7.5</x:v>
      </x:c>
      <x:c r="D843" t="n">
        <x:f>Chart_Data!R107</x:f>
        <x:v>12.086959146927256</x:v>
      </x:c>
      <x:c r="E843" t="n">
        <x:f>Chart_Data!P107</x:f>
        <x:v>-7.5</x:v>
      </x:c>
      <x:c r="F843" t="n">
        <x:f>Chart_Data!S107</x:f>
        <x:v>9.638386904666445</x:v>
      </x:c>
      <x:c r="G843" t="n">
        <x:f>Chart_Data!P107</x:f>
        <x:v>-7.5</x:v>
      </x:c>
      <x:c r="H843" t="n">
        <x:f>Chart_Data!T107</x:f>
        <x:v>1.8148587307698585</x:v>
      </x:c>
    </x:row>
    <x:row r="844">
      <x:c r="A844" t="n">
        <x:f>Chart_Data!P108</x:f>
        <x:v>-7</x:v>
      </x:c>
      <x:c r="B844" t="n">
        <x:f>Chart_Data!Q108</x:f>
        <x:v>59.914338766157016</x:v>
      </x:c>
      <x:c r="C844" t="n">
        <x:f>Chart_Data!P108</x:f>
        <x:v>-7</x:v>
      </x:c>
      <x:c r="D844" t="n">
        <x:f>Chart_Data!R108</x:f>
        <x:v>36.91531491022033</x:v>
      </x:c>
      <x:c r="E844" t="n">
        <x:f>Chart_Data!P108</x:f>
        <x:v>-7</x:v>
      </x:c>
      <x:c r="F844" t="n">
        <x:f>Chart_Data!S108</x:f>
        <x:v>8.996146961885438</x:v>
      </x:c>
      <x:c r="G844" t="n">
        <x:f>Chart_Data!P108</x:f>
        <x:v>-7</x:v>
      </x:c>
      <x:c r="H844" t="n">
        <x:f>Chart_Data!T108</x:f>
        <x:v>5.54284007660966</x:v>
      </x:c>
    </x:row>
    <x:row r="845">
      <x:c r="A845" t="n">
        <x:f>Chart_Data!P109</x:f>
        <x:v>-6.5</x:v>
      </x:c>
      <x:c r="B845" t="n">
        <x:f>Chart_Data!Q109</x:f>
        <x:v>55.63658118935564</x:v>
      </x:c>
      <x:c r="C845" t="n">
        <x:f>Chart_Data!P109</x:f>
        <x:v>-6.5</x:v>
      </x:c>
      <x:c r="D845" t="n">
        <x:f>Chart_Data!R109</x:f>
        <x:v>63.33079653877576</x:v>
      </x:c>
      <x:c r="E845" t="n">
        <x:f>Chart_Data!P109</x:f>
        <x:v>-6.5</x:v>
      </x:c>
      <x:c r="F845" t="n">
        <x:f>Chart_Data!S109</x:f>
        <x:v>8.353841019422768</x:v>
      </x:c>
      <x:c r="G845" t="n">
        <x:f>Chart_Data!P109</x:f>
        <x:v>-6.5</x:v>
      </x:c>
      <x:c r="H845" t="n">
        <x:f>Chart_Data!T109</x:f>
        <x:v>9.50912860942579</x:v>
      </x:c>
    </x:row>
    <x:row r="846">
      <x:c r="A846" t="n">
        <x:f>Chart_Data!P110</x:f>
        <x:v>-6</x:v>
      </x:c>
      <x:c r="B846" t="n">
        <x:f>Chart_Data!Q110</x:f>
        <x:v>51.35841535866348</x:v>
      </x:c>
      <x:c r="C846" t="n">
        <x:f>Chart_Data!P110</x:f>
        <x:v>-6</x:v>
      </x:c>
      <x:c r="D846" t="n">
        <x:f>Chart_Data!R110</x:f>
        <x:v>21.772271344889305</x:v>
      </x:c>
      <x:c r="E846" t="n">
        <x:f>Chart_Data!P110</x:f>
        <x:v>-6</x:v>
      </x:c>
      <x:c r="F846" t="n">
        <x:f>Chart_Data!S110</x:f>
        <x:v>7.711473777577099</x:v>
      </x:c>
      <x:c r="G846" t="n">
        <x:f>Chart_Data!P110</x:f>
        <x:v>-6</x:v>
      </x:c>
      <x:c r="H846" t="n">
        <x:f>Chart_Data!T110</x:f>
        <x:v>3.269109811544941</x:v>
      </x:c>
    </x:row>
    <x:row r="847">
      <x:c r="A847" t="n">
        <x:f>Chart_Data!P111</x:f>
        <x:v>-5.5</x:v>
      </x:c>
      <x:c r="B847" t="n">
        <x:f>Chart_Data!Q111</x:f>
        <x:v>47.07987260953814</x:v>
      </x:c>
      <x:c r="C847" t="n">
        <x:f>Chart_Data!P111</x:f>
        <x:v>-5.5</x:v>
      </x:c>
      <x:c r="D847" t="n">
        <x:f>Chart_Data!R111</x:f>
        <x:v>13.213910555714392</x:v>
      </x:c>
      <x:c r="E847" t="n">
        <x:f>Chart_Data!P111</x:f>
        <x:v>-5.5</x:v>
      </x:c>
      <x:c r="F847" t="n">
        <x:f>Chart_Data!S111</x:f>
        <x:v>7.069049941372094</x:v>
      </x:c>
      <x:c r="G847" t="n">
        <x:f>Chart_Data!P111</x:f>
        <x:v>-5.5</x:v>
      </x:c>
      <x:c r="H847" t="n">
        <x:f>Chart_Data!T111</x:f>
        <x:v>1.98407065401117</x:v>
      </x:c>
    </x:row>
    <x:row r="848">
      <x:c r="A848" t="n">
        <x:f>Chart_Data!P112</x:f>
        <x:v>-5</x:v>
      </x:c>
      <x:c r="B848" t="n">
        <x:f>Chart_Data!Q112</x:f>
        <x:v>42.80098427389021</x:v>
      </x:c>
      <x:c r="C848" t="n">
        <x:f>Chart_Data!P112</x:f>
        <x:v>-5</x:v>
      </x:c>
      <x:c r="D848" t="n">
        <x:f>Chart_Data!R112</x:f>
        <x:v>20.623816407260165</x:v>
      </x:c>
      <x:c r="E848" t="n">
        <x:f>Chart_Data!P112</x:f>
        <x:v>-5</x:v>
      </x:c>
      <x:c r="F848" t="n">
        <x:f>Chart_Data!S112</x:f>
        <x:v>6.426574215298831</x:v>
      </x:c>
      <x:c r="G848" t="n">
        <x:f>Chart_Data!P112</x:f>
        <x:v>-5</x:v>
      </x:c>
      <x:c r="H848" t="n">
        <x:f>Chart_Data!T112</x:f>
        <x:v>3.096669130219244</x:v>
      </x:c>
    </x:row>
    <x:row r="849">
      <x:c r="A849" t="n">
        <x:f>Chart_Data!P113</x:f>
        <x:v>-4.5</x:v>
      </x:c>
      <x:c r="B849" t="n">
        <x:f>Chart_Data!Q113</x:f>
        <x:v>38.521781712279335</x:v>
      </x:c>
      <x:c r="C849" t="n">
        <x:f>Chart_Data!P113</x:f>
        <x:v>-4.5</x:v>
      </x:c>
      <x:c r="D849" t="n">
        <x:f>Chart_Data!R113</x:f>
        <x:v>37.7856622314539</x:v>
      </x:c>
      <x:c r="E849" t="n">
        <x:f>Chart_Data!P113</x:f>
        <x:v>-4.5</x:v>
      </x:c>
      <x:c r="F849" t="n">
        <x:f>Chart_Data!S113</x:f>
        <x:v>5.784051308150051</x:v>
      </x:c>
      <x:c r="G849" t="n">
        <x:f>Chart_Data!P113</x:f>
        <x:v>-4.5</x:v>
      </x:c>
      <x:c r="H849" t="n">
        <x:f>Chart_Data!T113</x:f>
        <x:v>5.67352285757566</x:v>
      </x:c>
    </x:row>
    <x:row r="850">
      <x:c r="A850" t="n">
        <x:f>Chart_Data!P114</x:f>
        <x:v>-4</x:v>
      </x:c>
      <x:c r="B850" t="n">
        <x:f>Chart_Data!Q114</x:f>
        <x:v>34.24229631555136</x:v>
      </x:c>
      <x:c r="C850" t="n">
        <x:f>Chart_Data!P114</x:f>
        <x:v>-4</x:v>
      </x:c>
      <x:c r="D850" t="n">
        <x:f>Chart_Data!R114</x:f>
        <x:v>5.015861759875406</x:v>
      </x:c>
      <x:c r="E850" t="n">
        <x:f>Chart_Data!P114</x:f>
        <x:v>-4</x:v>
      </x:c>
      <x:c r="F850" t="n">
        <x:f>Chart_Data!S114</x:f>
        <x:v>5.14148593326597</x:v>
      </x:c>
      <x:c r="G850" t="n">
        <x:f>Chart_Data!P114</x:f>
        <x:v>-4</x:v>
      </x:c>
      <x:c r="H850" t="n">
        <x:f>Chart_Data!T114</x:f>
        <x:v>0.7531323963776887</x:v>
      </x:c>
    </x:row>
    <x:row r="851">
      <x:c r="A851" t="n">
        <x:f>Chart_Data!P115</x:f>
        <x:v>-3.5</x:v>
      </x:c>
      <x:c r="B851" t="n">
        <x:f>Chart_Data!Q115</x:f>
        <x:v>29.962559468549443</x:v>
      </x:c>
      <x:c r="C851" t="n">
        <x:f>Chart_Data!P115</x:f>
        <x:v>-3.5</x:v>
      </x:c>
      <x:c r="D851" t="n">
        <x:f>Chart_Data!R115</x:f>
        <x:v>20.627472611704434</x:v>
      </x:c>
      <x:c r="E851" t="n">
        <x:f>Chart_Data!P115</x:f>
        <x:v>-3.5</x:v>
      </x:c>
      <x:c r="F851" t="n">
        <x:f>Chart_Data!S115</x:f>
        <x:v>4.498882803085502</x:v>
      </x:c>
      <x:c r="G851" t="n">
        <x:f>Chart_Data!P115</x:f>
        <x:v>-3.5</x:v>
      </x:c>
      <x:c r="H851" t="n">
        <x:f>Chart_Data!T115</x:f>
        <x:v>3.0972181098655307</x:v>
      </x:c>
    </x:row>
    <x:row r="852">
      <x:c r="A852" t="n">
        <x:f>Chart_Data!P116</x:f>
        <x:v>-3</x:v>
      </x:c>
      <x:c r="B852" t="n">
        <x:f>Chart_Data!Q116</x:f>
        <x:v>25.68260257039583</x:v>
      </x:c>
      <x:c r="C852" t="n">
        <x:f>Chart_Data!P116</x:f>
        <x:v>-3</x:v>
      </x:c>
      <x:c r="D852" t="n">
        <x:f>Chart_Data!R116</x:f>
        <x:v>51.23987583838243</x:v>
      </x:c>
      <x:c r="E852" t="n">
        <x:f>Chart_Data!P116</x:f>
        <x:v>-3</x:v>
      </x:c>
      <x:c r="F852" t="n">
        <x:f>Chart_Data!S116</x:f>
        <x:v>3.8562466321915663</x:v>
      </x:c>
      <x:c r="G852" t="n">
        <x:f>Chart_Data!P116</x:f>
        <x:v>-3</x:v>
      </x:c>
      <x:c r="H852" t="n">
        <x:f>Chart_Data!T116</x:f>
        <x:v>7.6936750508081735</x:v>
      </x:c>
    </x:row>
    <x:row r="853">
      <x:c r="A853" t="n">
        <x:f>Chart_Data!P117</x:f>
        <x:v>-2.5</x:v>
      </x:c>
      <x:c r="B853" t="n">
        <x:f>Chart_Data!Q117</x:f>
        <x:v>21.402457042222522</x:v>
      </x:c>
      <x:c r="C853" t="n">
        <x:f>Chart_Data!P117</x:f>
        <x:v>-2.5</x:v>
      </x:c>
      <x:c r="D853" t="n">
        <x:f>Chart_Data!R117</x:f>
        <x:v>46.67733826336189</x:v>
      </x:c>
      <x:c r="E853" t="n">
        <x:f>Chart_Data!P117</x:f>
        <x:v>-2.5</x:v>
      </x:c>
      <x:c r="F853" t="n">
        <x:f>Chart_Data!S117</x:f>
        <x:v>3.2135821384718506</x:v>
      </x:c>
      <x:c r="G853" t="n">
        <x:f>Chart_Data!P117</x:f>
        <x:v>-2.5</x:v>
      </x:c>
      <x:c r="H853" t="n">
        <x:f>Chart_Data!T117</x:f>
        <x:v>7.008609348853137</x:v>
      </x:c>
    </x:row>
    <x:row r="854">
      <x:c r="A854" t="n">
        <x:f>Chart_Data!P118</x:f>
        <x:v>-2</x:v>
      </x:c>
      <x:c r="B854" t="n">
        <x:f>Chart_Data!Q118</x:f>
        <x:v>17.12215430170545</x:v>
      </x:c>
      <x:c r="C854" t="n">
        <x:f>Chart_Data!P118</x:f>
        <x:v>-2</x:v>
      </x:c>
      <x:c r="D854" t="n">
        <x:f>Chart_Data!R118</x:f>
        <x:v>33.29255923435994</x:v>
      </x:c>
      <x:c r="E854" t="n">
        <x:f>Chart_Data!P118</x:f>
        <x:v>-2</x:v>
      </x:c>
      <x:c r="F854" t="n">
        <x:f>Chart_Data!S118</x:f>
        <x:v>2.570894039295113</x:v>
      </x:c>
      <x:c r="G854" t="n">
        <x:f>Chart_Data!P118</x:f>
        <x:v>-2</x:v>
      </x:c>
      <x:c r="H854" t="n">
        <x:f>Chart_Data!T118</x:f>
        <x:v>4.998882767921914</x:v>
      </x:c>
    </x:row>
    <x:row r="855">
      <x:c r="A855" t="n">
        <x:f>Chart_Data!P119</x:f>
        <x:v>-1.5</x:v>
      </x:c>
      <x:c r="B855" t="n">
        <x:f>Chart_Data!Q119</x:f>
        <x:v>12.841725789530756</x:v>
      </x:c>
      <x:c r="C855" t="n">
        <x:f>Chart_Data!P119</x:f>
        <x:v>-1.5</x:v>
      </x:c>
      <x:c r="D855" t="n">
        <x:f>Chart_Data!R119</x:f>
        <x:v>20.845477274997393</x:v>
      </x:c>
      <x:c r="E855" t="n">
        <x:f>Chart_Data!P119</x:f>
        <x:v>-1.5</x:v>
      </x:c>
      <x:c r="F855" t="n">
        <x:f>Chart_Data!S119</x:f>
        <x:v>1.9281870554850986</x:v>
      </x:c>
      <x:c r="G855" t="n">
        <x:f>Chart_Data!P119</x:f>
        <x:v>-1.5</x:v>
      </x:c>
      <x:c r="H855" t="n">
        <x:f>Chart_Data!T119</x:f>
        <x:v>3.1299515427924014</x:v>
      </x:c>
    </x:row>
    <x:row r="856">
      <x:c r="A856" t="n">
        <x:f>Chart_Data!P120</x:f>
        <x:v>-1</x:v>
      </x:c>
      <x:c r="B856" t="n">
        <x:f>Chart_Data!Q120</x:f>
        <x:v>8.561202941109514</x:v>
      </x:c>
      <x:c r="C856" t="n">
        <x:f>Chart_Data!P120</x:f>
        <x:v>-1</x:v>
      </x:c>
      <x:c r="D856" t="n">
        <x:f>Chart_Data!R120</x:f>
        <x:v>77.35858270280005</x:v>
      </x:c>
      <x:c r="E856" t="n">
        <x:f>Chart_Data!P120</x:f>
        <x:v>-1</x:v>
      </x:c>
      <x:c r="F856" t="n">
        <x:f>Chart_Data!S120</x:f>
        <x:v>1.2854659070735006</x:v>
      </x:c>
      <x:c r="G856" t="n">
        <x:f>Chart_Data!P120</x:f>
        <x:v>-1</x:v>
      </x:c>
      <x:c r="H856" t="n">
        <x:f>Chart_Data!T120</x:f>
        <x:v>11.615402808228236</x:v>
      </x:c>
    </x:row>
    <x:row r="857">
      <x:c r="A857" t="n">
        <x:f>Chart_Data!P121</x:f>
        <x:v>-0.5</x:v>
      </x:c>
      <x:c r="B857" t="n">
        <x:f>Chart_Data!Q121</x:f>
        <x:v>4.280617193035141</x:v>
      </x:c>
      <x:c r="C857" t="n">
        <x:f>Chart_Data!P121</x:f>
        <x:v>-0.5</x:v>
      </x:c>
      <x:c r="D857" t="n">
        <x:f>Chart_Data!R121</x:f>
        <x:v>67.21549524045258</x:v>
      </x:c>
      <x:c r="E857" t="n">
        <x:f>Chart_Data!P121</x:f>
        <x:v>-0.5</x:v>
      </x:c>
      <x:c r="F857" t="n">
        <x:f>Chart_Data!S121</x:f>
        <x:v>0.6427353142695408</x:v>
      </x:c>
      <x:c r="G857" t="n">
        <x:f>Chart_Data!P121</x:f>
        <x:v>-0.5</x:v>
      </x:c>
      <x:c r="H857" t="n">
        <x:f>Chart_Data!T121</x:f>
        <x:v>10.09241670277066</x:v>
      </x:c>
    </x:row>
    <x:row r="858">
      <x:c r="A858" t="n">
        <x:f>Chart_Data!P122</x:f>
        <x:v>0</x:v>
      </x:c>
      <x:c r="B858" t="n">
        <x:f>Chart_Data!Q122</x:f>
        <x:v>0</x:v>
      </x:c>
      <x:c r="C858" t="n">
        <x:f>Chart_Data!P122</x:f>
        <x:v>0</x:v>
      </x:c>
      <x:c r="D858" t="n">
        <x:f>Chart_Data!R122</x:f>
        <x:v>13.577875871487777</x:v>
      </x:c>
      <x:c r="E858" t="n">
        <x:f>Chart_Data!P122</x:f>
        <x:v>0</x:v>
      </x:c>
      <x:c r="F858" t="n">
        <x:f>Chart_Data!S122</x:f>
        <x:v>0</x:v>
      </x:c>
      <x:c r="G858" t="n">
        <x:f>Chart_Data!P122</x:f>
        <x:v>0</x:v>
      </x:c>
      <x:c r="H858" t="n">
        <x:f>Chart_Data!T122</x:f>
        <x:v>2.0387201008239906</x:v>
      </x:c>
    </x:row>
    <x:row r="859">
      <x:c r="A859" t="n">
        <x:f>Chart_Data!P123</x:f>
        <x:v>0.5</x:v>
      </x:c>
      <x:c r="B859" t="n">
        <x:f>Chart_Data!Q123</x:f>
        <x:v>-4.280617193035141</x:v>
      </x:c>
      <x:c r="C859" t="n">
        <x:f>Chart_Data!P123</x:f>
        <x:v>0.5</x:v>
      </x:c>
      <x:c r="D859" t="n">
        <x:f>Chart_Data!R123</x:f>
        <x:v>23.04487073324708</x:v>
      </x:c>
      <x:c r="E859" t="n">
        <x:f>Chart_Data!P123</x:f>
        <x:v>0.5</x:v>
      </x:c>
      <x:c r="F859" t="n">
        <x:f>Chart_Data!S123</x:f>
        <x:v>-0.6427353142695408</x:v>
      </x:c>
      <x:c r="G859" t="n">
        <x:f>Chart_Data!P123</x:f>
        <x:v>0.5</x:v>
      </x:c>
      <x:c r="H859" t="n">
        <x:f>Chart_Data!T123</x:f>
        <x:v>3.46019080078785</x:v>
      </x:c>
    </x:row>
    <x:row r="860">
      <x:c r="A860" t="n">
        <x:f>Chart_Data!P124</x:f>
        <x:v>1</x:v>
      </x:c>
      <x:c r="B860" t="n">
        <x:f>Chart_Data!Q124</x:f>
        <x:v>-8.561202941109514</x:v>
      </x:c>
      <x:c r="C860" t="n">
        <x:f>Chart_Data!P124</x:f>
        <x:v>1</x:v>
      </x:c>
      <x:c r="D860" t="n">
        <x:f>Chart_Data!R124</x:f>
        <x:v>45.85282185325923</x:v>
      </x:c>
      <x:c r="E860" t="n">
        <x:f>Chart_Data!P124</x:f>
        <x:v>1</x:v>
      </x:c>
      <x:c r="F860" t="n">
        <x:f>Chart_Data!S124</x:f>
        <x:v>-1.2854659070735006</x:v>
      </x:c>
      <x:c r="G860" t="n">
        <x:f>Chart_Data!P124</x:f>
        <x:v>1</x:v>
      </x:c>
      <x:c r="H860" t="n">
        <x:f>Chart_Data!T124</x:f>
        <x:v>6.88480808607496</x:v>
      </x:c>
    </x:row>
    <x:row r="861">
      <x:c r="A861" t="n">
        <x:f>Chart_Data!P125</x:f>
        <x:v>1.5</x:v>
      </x:c>
      <x:c r="B861" t="n">
        <x:f>Chart_Data!Q125</x:f>
        <x:v>-12.841725789530756</x:v>
      </x:c>
      <x:c r="C861" t="n">
        <x:f>Chart_Data!P125</x:f>
        <x:v>1.5</x:v>
      </x:c>
      <x:c r="D861" t="n">
        <x:f>Chart_Data!R125</x:f>
        <x:v>46.04321213610092</x:v>
      </x:c>
      <x:c r="E861" t="n">
        <x:f>Chart_Data!P125</x:f>
        <x:v>1.5</x:v>
      </x:c>
      <x:c r="F861" t="n">
        <x:f>Chart_Data!S125</x:f>
        <x:v>-1.9281870554850986</x:v>
      </x:c>
      <x:c r="G861" t="n">
        <x:f>Chart_Data!P125</x:f>
        <x:v>1.5</x:v>
      </x:c>
      <x:c r="H861" t="n">
        <x:f>Chart_Data!T125</x:f>
        <x:v>6.91339521563077</x:v>
      </x:c>
    </x:row>
    <x:row r="862">
      <x:c r="A862" t="n">
        <x:f>Chart_Data!P126</x:f>
        <x:v>2</x:v>
      </x:c>
      <x:c r="B862" t="n">
        <x:f>Chart_Data!Q126</x:f>
        <x:v>-17.12215430170545</x:v>
      </x:c>
      <x:c r="C862" t="n">
        <x:f>Chart_Data!P126</x:f>
        <x:v>2</x:v>
      </x:c>
      <x:c r="D862" t="n">
        <x:f>Chart_Data!R126</x:f>
        <x:v>35.28480728100476</x:v>
      </x:c>
      <x:c r="E862" t="n">
        <x:f>Chart_Data!P126</x:f>
        <x:v>2</x:v>
      </x:c>
      <x:c r="F862" t="n">
        <x:f>Chart_Data!S126</x:f>
        <x:v>-2.570894039295113</x:v>
      </x:c>
      <x:c r="G862" t="n">
        <x:f>Chart_Data!P126</x:f>
        <x:v>2</x:v>
      </x:c>
      <x:c r="H862" t="n">
        <x:f>Chart_Data!T126</x:f>
        <x:v>5.2980191112619766</x:v>
      </x:c>
    </x:row>
    <x:row r="863">
      <x:c r="A863" t="n">
        <x:f>Chart_Data!P127</x:f>
        <x:v>2.5</x:v>
      </x:c>
      <x:c r="B863" t="n">
        <x:f>Chart_Data!Q127</x:f>
        <x:v>-21.402457042222522</x:v>
      </x:c>
      <x:c r="C863" t="n">
        <x:f>Chart_Data!P127</x:f>
        <x:v>2.5</x:v>
      </x:c>
      <x:c r="D863" t="n">
        <x:f>Chart_Data!R127</x:f>
        <x:v>-17.696456895737356</x:v>
      </x:c>
      <x:c r="E863" t="n">
        <x:f>Chart_Data!P127</x:f>
        <x:v>2.5</x:v>
      </x:c>
      <x:c r="F863" t="n">
        <x:f>Chart_Data!S127</x:f>
        <x:v>-3.2135821384718506</x:v>
      </x:c>
      <x:c r="G863" t="n">
        <x:f>Chart_Data!P127</x:f>
        <x:v>2.5</x:v>
      </x:c>
      <x:c r="H863" t="n">
        <x:f>Chart_Data!T127</x:f>
        <x:v>-2.657125660020624</x:v>
      </x:c>
    </x:row>
    <x:row r="864">
      <x:c r="A864" t="n">
        <x:f>Chart_Data!P128</x:f>
        <x:v>3</x:v>
      </x:c>
      <x:c r="B864" t="n">
        <x:f>Chart_Data!Q128</x:f>
        <x:v>-25.68260257039583</x:v>
      </x:c>
      <x:c r="C864" t="n">
        <x:f>Chart_Data!P128</x:f>
        <x:v>3</x:v>
      </x:c>
      <x:c r="D864" t="n">
        <x:f>Chart_Data!R128</x:f>
        <x:v>-4.673549830840784</x:v>
      </x:c>
      <x:c r="E864" t="n">
        <x:f>Chart_Data!P128</x:f>
        <x:v>3</x:v>
      </x:c>
      <x:c r="F864" t="n">
        <x:f>Chart_Data!S128</x:f>
        <x:v>-3.8562466321915663</x:v>
      </x:c>
      <x:c r="G864" t="n">
        <x:f>Chart_Data!P128</x:f>
        <x:v>3</x:v>
      </x:c>
      <x:c r="H864" t="n">
        <x:f>Chart_Data!T128</x:f>
        <x:v>-0.7017342088349526</x:v>
      </x:c>
    </x:row>
    <x:row r="865">
      <x:c r="A865" t="n">
        <x:f>Chart_Data!P129</x:f>
        <x:v>3.5</x:v>
      </x:c>
      <x:c r="B865" t="n">
        <x:f>Chart_Data!Q129</x:f>
        <x:v>-29.962559468549443</x:v>
      </x:c>
      <x:c r="C865" t="n">
        <x:f>Chart_Data!P129</x:f>
        <x:v>3.5</x:v>
      </x:c>
      <x:c r="D865" t="n">
        <x:f>Chart_Data!R129</x:f>
        <x:v>9.605232374906336</x:v>
      </x:c>
      <x:c r="E865" t="n">
        <x:f>Chart_Data!P129</x:f>
        <x:v>3.5</x:v>
      </x:c>
      <x:c r="F865" t="n">
        <x:f>Chart_Data!S129</x:f>
        <x:v>-4.498882803085502</x:v>
      </x:c>
      <x:c r="G865" t="n">
        <x:f>Chart_Data!P129</x:f>
        <x:v>3.5</x:v>
      </x:c>
      <x:c r="H865" t="n">
        <x:f>Chart_Data!T129</x:f>
        <x:v>1.4422270833192699</x:v>
      </x:c>
    </x:row>
    <x:row r="866">
      <x:c r="A866" t="n">
        <x:f>Chart_Data!P130</x:f>
        <x:v>4</x:v>
      </x:c>
      <x:c r="B866" t="n">
        <x:f>Chart_Data!Q130</x:f>
        <x:v>-34.24229631555136</x:v>
      </x:c>
      <x:c r="C866" t="n">
        <x:f>Chart_Data!P130</x:f>
        <x:v>4</x:v>
      </x:c>
      <x:c r="D866" t="n">
        <x:f>Chart_Data!R130</x:f>
        <x:v>-25.147264343559073</x:v>
      </x:c>
      <x:c r="E866" t="n">
        <x:f>Chart_Data!P130</x:f>
        <x:v>4</x:v>
      </x:c>
      <x:c r="F866" t="n">
        <x:f>Chart_Data!S130</x:f>
        <x:v>-5.14148593326597</x:v>
      </x:c>
      <x:c r="G866" t="n">
        <x:f>Chart_Data!P130</x:f>
        <x:v>4</x:v>
      </x:c>
      <x:c r="H866" t="n">
        <x:f>Chart_Data!T130</x:f>
        <x:v>-3.7758655170509123</x:v>
      </x:c>
    </x:row>
    <x:row r="867">
      <x:c r="A867" t="n">
        <x:f>Chart_Data!P131</x:f>
        <x:v>4.5</x:v>
      </x:c>
      <x:c r="B867" t="n">
        <x:f>Chart_Data!Q131</x:f>
        <x:v>-38.521781712279335</x:v>
      </x:c>
      <x:c r="C867" t="n">
        <x:f>Chart_Data!P131</x:f>
        <x:v>4.5</x:v>
      </x:c>
      <x:c r="D867" t="n">
        <x:f>Chart_Data!R131</x:f>
        <x:v>-59.06357460689833</x:v>
      </x:c>
      <x:c r="E867" t="n">
        <x:f>Chart_Data!P131</x:f>
        <x:v>4.5</x:v>
      </x:c>
      <x:c r="F867" t="n">
        <x:f>Chart_Data!S131</x:f>
        <x:v>-5.784051308150051</x:v>
      </x:c>
      <x:c r="G867" t="n">
        <x:f>Chart_Data!P131</x:f>
        <x:v>4.5</x:v>
      </x:c>
      <x:c r="H867" t="n">
        <x:f>Chart_Data!T131</x:f>
        <x:v>-8.86840459563038</x:v>
      </x:c>
    </x:row>
    <x:row r="868">
      <x:c r="A868" t="n">
        <x:f>Chart_Data!P132</x:f>
        <x:v>5</x:v>
      </x:c>
      <x:c r="B868" t="n">
        <x:f>Chart_Data!Q132</x:f>
        <x:v>-42.80098427389021</x:v>
      </x:c>
      <x:c r="C868" t="n">
        <x:f>Chart_Data!P132</x:f>
        <x:v>5</x:v>
      </x:c>
      <x:c r="D868" t="n">
        <x:f>Chart_Data!R132</x:f>
        <x:v>-89.29079603231003</x:v>
      </x:c>
      <x:c r="E868" t="n">
        <x:f>Chart_Data!P132</x:f>
        <x:v>5</x:v>
      </x:c>
      <x:c r="F868" t="n">
        <x:f>Chart_Data!S132</x:f>
        <x:v>-6.426574215298831</x:v>
      </x:c>
      <x:c r="G868" t="n">
        <x:f>Chart_Data!P132</x:f>
        <x:v>5</x:v>
      </x:c>
      <x:c r="H868" t="n">
        <x:f>Chart_Data!T132</x:f>
        <x:v>-13.407026431277783</x:v>
      </x:c>
    </x:row>
    <x:row r="869">
      <x:c r="A869" t="n">
        <x:f>Chart_Data!P133</x:f>
        <x:v>5.5</x:v>
      </x:c>
      <x:c r="B869" t="n">
        <x:f>Chart_Data!Q133</x:f>
        <x:v>-47.07987260953814</x:v>
      </x:c>
      <x:c r="C869" t="n">
        <x:f>Chart_Data!P133</x:f>
        <x:v>5.5</x:v>
      </x:c>
      <x:c r="D869" t="n">
        <x:f>Chart_Data!R133</x:f>
        <x:v>-71.24450372502906</x:v>
      </x:c>
      <x:c r="E869" t="n">
        <x:f>Chart_Data!P133</x:f>
        <x:v>5.5</x:v>
      </x:c>
      <x:c r="F869" t="n">
        <x:f>Chart_Data!S133</x:f>
        <x:v>-7.069049941372094</x:v>
      </x:c>
      <x:c r="G869" t="n">
        <x:f>Chart_Data!P133</x:f>
        <x:v>5.5</x:v>
      </x:c>
      <x:c r="H869" t="n">
        <x:f>Chart_Data!T133</x:f>
        <x:v>-10.697372931686047</x:v>
      </x:c>
    </x:row>
    <x:row r="870">
      <x:c r="A870" t="n">
        <x:f>Chart_Data!P134</x:f>
        <x:v>6</x:v>
      </x:c>
      <x:c r="B870" t="n">
        <x:f>Chart_Data!Q134</x:f>
        <x:v>-51.35841535866348</x:v>
      </x:c>
      <x:c r="C870" t="n">
        <x:f>Chart_Data!P134</x:f>
        <x:v>6</x:v>
      </x:c>
      <x:c r="D870" t="n">
        <x:f>Chart_Data!R134</x:f>
        <x:v>-75.48150197753785</x:v>
      </x:c>
      <x:c r="E870" t="n">
        <x:f>Chart_Data!P134</x:f>
        <x:v>6</x:v>
      </x:c>
      <x:c r="F870" t="n">
        <x:f>Chart_Data!S134</x:f>
        <x:v>-7.711473777577099</x:v>
      </x:c>
      <x:c r="G870" t="n">
        <x:f>Chart_Data!P134</x:f>
        <x:v>6</x:v>
      </x:c>
      <x:c r="H870" t="n">
        <x:f>Chart_Data!T134</x:f>
        <x:v>-11.333558855486164</x:v>
      </x:c>
    </x:row>
    <x:row r="871">
      <x:c r="A871" t="n">
        <x:f>Chart_Data!P135</x:f>
        <x:v>6.5</x:v>
      </x:c>
      <x:c r="B871" t="n">
        <x:f>Chart_Data!Q135</x:f>
        <x:v>-55.63658118935564</x:v>
      </x:c>
      <x:c r="C871" t="n">
        <x:f>Chart_Data!P135</x:f>
        <x:v>6.5</x:v>
      </x:c>
      <x:c r="D871" t="n">
        <x:f>Chart_Data!R135</x:f>
        <x:v>-54.54940081717723</x:v>
      </x:c>
      <x:c r="E871" t="n">
        <x:f>Chart_Data!P135</x:f>
        <x:v>6.5</x:v>
      </x:c>
      <x:c r="F871" t="n">
        <x:f>Chart_Data!S135</x:f>
        <x:v>-8.353841019422768</x:v>
      </x:c>
      <x:c r="G871" t="n">
        <x:f>Chart_Data!P135</x:f>
        <x:v>6.5</x:v>
      </x:c>
      <x:c r="H871" t="n">
        <x:f>Chart_Data!T135</x:f>
        <x:v>-8.190600723299886</x:v>
      </x:c>
    </x:row>
    <x:row r="872">
      <x:c r="A872" t="n">
        <x:f>Chart_Data!P136</x:f>
        <x:v>7</x:v>
      </x:c>
      <x:c r="B872" t="n">
        <x:f>Chart_Data!Q136</x:f>
        <x:v>-59.914338766157016</x:v>
      </x:c>
      <x:c r="C872" t="n">
        <x:f>Chart_Data!P136</x:f>
        <x:v>7</x:v>
      </x:c>
      <x:c r="D872" t="n">
        <x:f>Chart_Data!R136</x:f>
        <x:v>-93.36744727406767</x:v>
      </x:c>
      <x:c r="E872" t="n">
        <x:f>Chart_Data!P136</x:f>
        <x:v>7</x:v>
      </x:c>
      <x:c r="F872" t="n">
        <x:f>Chart_Data!S136</x:f>
        <x:v>-8.996146961885438</x:v>
      </x:c>
      <x:c r="G872" t="n">
        <x:f>Chart_Data!P136</x:f>
        <x:v>7</x:v>
      </x:c>
      <x:c r="H872" t="n">
        <x:f>Chart_Data!T136</x:f>
        <x:v>-14.019136227337489</x:v>
      </x:c>
    </x:row>
    <x:row r="873">
      <x:c r="A873" t="n">
        <x:f>Chart_Data!P137</x:f>
        <x:v>7.5</x:v>
      </x:c>
      <x:c r="B873" t="n">
        <x:f>Chart_Data!Q137</x:f>
        <x:v>-64.19165678507852</x:v>
      </x:c>
      <x:c r="C873" t="n">
        <x:f>Chart_Data!P137</x:f>
        <x:v>7.5</x:v>
      </x:c>
      <x:c r="D873" t="n">
        <x:f>Chart_Data!R137</x:f>
        <x:v>-123.54267273130972</x:v>
      </x:c>
      <x:c r="E873" t="n">
        <x:f>Chart_Data!P137</x:f>
        <x:v>7.5</x:v>
      </x:c>
      <x:c r="F873" t="n">
        <x:f>Chart_Data!S137</x:f>
        <x:v>-9.638386904666445</x:v>
      </x:c>
      <x:c r="G873" t="n">
        <x:f>Chart_Data!P137</x:f>
        <x:v>7.5</x:v>
      </x:c>
      <x:c r="H873" t="n">
        <x:f>Chart_Data!T137</x:f>
        <x:v>-18.54995086055702</x:v>
      </x:c>
    </x:row>
    <x:row r="874">
      <x:c r="A874" t="n">
        <x:f>Chart_Data!P138</x:f>
        <x:v>8</x:v>
      </x:c>
      <x:c r="B874" t="n">
        <x:f>Chart_Data!Q138</x:f>
        <x:v>-68.46850397168964</x:v>
      </x:c>
      <x:c r="C874" t="n">
        <x:f>Chart_Data!P138</x:f>
        <x:v>8</x:v>
      </x:c>
      <x:c r="D874" t="n">
        <x:f>Chart_Data!R138</x:f>
        <x:v>-106.61121304219705</x:v>
      </x:c>
      <x:c r="E874" t="n">
        <x:f>Chart_Data!P138</x:f>
        <x:v>8</x:v>
      </x:c>
      <x:c r="F874" t="n">
        <x:f>Chart_Data!S138</x:f>
        <x:v>-10.280556151905353</x:v>
      </x:c>
      <x:c r="G874" t="n">
        <x:f>Chart_Data!P138</x:f>
        <x:v>8</x:v>
      </x:c>
      <x:c r="H874" t="n">
        <x:f>Chart_Data!T138</x:f>
        <x:v>-16.007689645975535</x:v>
      </x:c>
    </x:row>
    <x:row r="875">
      <x:c r="A875" t="n">
        <x:f>Chart_Data!P139</x:f>
        <x:v>8.5</x:v>
      </x:c>
      <x:c r="B875" t="n">
        <x:f>Chart_Data!Q139</x:f>
        <x:v>-72.74484905628924</x:v>
      </x:c>
      <x:c r="C875" t="n">
        <x:f>Chart_Data!P139</x:f>
        <x:v>8.5</x:v>
      </x:c>
      <x:c r="D875" t="n">
        <x:f>Chart_Data!R139</x:f>
        <x:v>-98.32283519044722</x:v>
      </x:c>
      <x:c r="E875" t="n">
        <x:f>Chart_Data!P139</x:f>
        <x:v>8.5</x:v>
      </x:c>
      <x:c r="F875" t="n">
        <x:f>Chart_Data!S139</x:f>
        <x:v>-10.92265000845184</x:v>
      </x:c>
      <x:c r="G875" t="n">
        <x:f>Chart_Data!P139</x:f>
        <x:v>8.5</x:v>
      </x:c>
      <x:c r="H875" t="n">
        <x:f>Chart_Data!T139</x:f>
        <x:v>-14.76318846703412</x:v>
      </x:c>
    </x:row>
    <x:row r="876">
      <x:c r="A876" t="n">
        <x:f>Chart_Data!P140</x:f>
        <x:v>9</x:v>
      </x:c>
      <x:c r="B876" t="n">
        <x:f>Chart_Data!Q140</x:f>
        <x:v>-77.0206608074659</x:v>
      </x:c>
      <x:c r="C876" t="n">
        <x:f>Chart_Data!P140</x:f>
        <x:v>9</x:v>
      </x:c>
      <x:c r="D876" t="n">
        <x:f>Chart_Data!R140</x:f>
        <x:v>-79.19680840677756</x:v>
      </x:c>
      <x:c r="E876" t="n">
        <x:f>Chart_Data!P140</x:f>
        <x:v>9</x:v>
      </x:c>
      <x:c r="F876" t="n">
        <x:f>Chart_Data!S140</x:f>
        <x:v>-11.564663784904791</x:v>
      </x:c>
      <x:c r="G876" t="n">
        <x:f>Chart_Data!P140</x:f>
        <x:v>9</x:v>
      </x:c>
      <x:c r="H876" t="n">
        <x:f>Chart_Data!T140</x:f>
        <x:v>-11.891412673690326</x:v>
      </x:c>
    </x:row>
    <x:row r="877">
      <x:c r="A877" t="n">
        <x:f>Chart_Data!P141</x:f>
        <x:v>9.5</x:v>
      </x:c>
      <x:c r="B877" t="n">
        <x:f>Chart_Data!Q141</x:f>
        <x:v>-81.2959080145447</x:v>
      </x:c>
      <x:c r="C877" t="n">
        <x:f>Chart_Data!P141</x:f>
        <x:v>9.5</x:v>
      </x:c>
      <x:c r="D877" t="n">
        <x:f>Chart_Data!R141</x:f>
        <x:v>-124.45092927709993</x:v>
      </x:c>
      <x:c r="E877" t="n">
        <x:f>Chart_Data!P141</x:f>
        <x:v>9.5</x:v>
      </x:c>
      <x:c r="F877" t="n">
        <x:f>Chart_Data!S141</x:f>
        <x:v>-12.206592794976682</x:v>
      </x:c>
      <x:c r="G877" t="n">
        <x:f>Chart_Data!P141</x:f>
        <x:v>9.5</x:v>
      </x:c>
      <x:c r="H877" t="n">
        <x:f>Chart_Data!T141</x:f>
        <x:v>-18.686325717282273</x:v>
      </x:c>
    </x:row>
    <x:row r="878">
      <x:c r="A878" t="n">
        <x:f>Chart_Data!P142</x:f>
        <x:v>10</x:v>
      </x:c>
      <x:c r="B878" t="n">
        <x:f>Chart_Data!Q142</x:f>
        <x:v>-85.5705594970459</x:v>
      </x:c>
      <x:c r="C878" t="n">
        <x:f>Chart_Data!P142</x:f>
        <x:v>10</x:v>
      </x:c>
      <x:c r="D878" t="n">
        <x:f>Chart_Data!R142</x:f>
        <x:v>-149.95775995867007</x:v>
      </x:c>
      <x:c r="E878" t="n">
        <x:f>Chart_Data!P142</x:f>
        <x:v>10</x:v>
      </x:c>
      <x:c r="F878" t="n">
        <x:f>Chart_Data!S142</x:f>
        <x:v>-12.8484323569138</x:v>
      </x:c>
      <x:c r="G878" t="n">
        <x:f>Chart_Data!P142</x:f>
        <x:v>10</x:v>
      </x:c>
      <x:c r="H878" t="n">
        <x:f>Chart_Data!T142</x:f>
        <x:v>-22.516180173974487</x:v>
      </x:c>
    </x:row>
    <x:row r="879">
      <x:c r="A879" t="n">
        <x:f>Chart_Data!P143</x:f>
        <x:v>10.5</x:v>
      </x:c>
      <x:c r="B879" t="n">
        <x:f>Chart_Data!Q143</x:f>
        <x:v>-89.8445841135981</x:v>
      </x:c>
      <x:c r="C879" t="n">
        <x:f>Chart_Data!P143</x:f>
        <x:v>10.5</x:v>
      </x:c>
      <x:c r="D879" t="n">
        <x:f>Chart_Data!R143</x:f>
        <x:v>-104.68639668342803</x:v>
      </x:c>
      <x:c r="E879" t="n">
        <x:f>Chart_Data!P143</x:f>
        <x:v>10.5</x:v>
      </x:c>
      <x:c r="F879" t="n">
        <x:f>Chart_Data!S143</x:f>
        <x:v>-13.490177794834551</x:v>
      </x:c>
      <x:c r="G879" t="n">
        <x:f>Chart_Data!P143</x:f>
        <x:v>10.5</x:v>
      </x:c>
      <x:c r="H879" t="n">
        <x:f>Chart_Data!T143</x:f>
        <x:v>-15.718678180694901</x:v>
      </x:c>
    </x:row>
    <x:row r="880">
      <x:c r="A880" t="n">
        <x:f>Chart_Data!P144</x:f>
        <x:v>11</x:v>
      </x:c>
      <x:c r="B880" t="n">
        <x:f>Chart_Data!Q144</x:f>
        <x:v>-94.1179507391098</x:v>
      </x:c>
      <x:c r="C880" t="n">
        <x:f>Chart_Data!P144</x:f>
        <x:v>11</x:v>
      </x:c>
      <x:c r="D880" t="n">
        <x:f>Chart_Data!R144</x:f>
        <x:v>-99.76180605999616</x:v>
      </x:c>
      <x:c r="E880" t="n">
        <x:f>Chart_Data!P144</x:f>
        <x:v>11</x:v>
      </x:c>
      <x:c r="F880" t="n">
        <x:f>Chart_Data!S144</x:f>
        <x:v>-14.131824435301773</x:v>
      </x:c>
      <x:c r="G880" t="n">
        <x:f>Chart_Data!P144</x:f>
        <x:v>11</x:v>
      </x:c>
      <x:c r="H880" t="n">
        <x:f>Chart_Data!T144</x:f>
        <x:v>-14.979250159158584</x:v>
      </x:c>
    </x:row>
    <x:row r="881">
      <x:c r="A881" t="n">
        <x:f>Chart_Data!P145</x:f>
        <x:v>11.5</x:v>
      </x:c>
      <x:c r="B881" t="n">
        <x:f>Chart_Data!Q145</x:f>
        <x:v>-98.39062828850729</x:v>
      </x:c>
      <x:c r="C881" t="n">
        <x:f>Chart_Data!P145</x:f>
        <x:v>11.5</x:v>
      </x:c>
      <x:c r="D881" t="n">
        <x:f>Chart_Data!R145</x:f>
        <x:v>-133.6965623294418</x:v>
      </x:c>
      <x:c r="E881" t="n">
        <x:f>Chart_Data!P145</x:f>
        <x:v>11.5</x:v>
      </x:c>
      <x:c r="F881" t="n">
        <x:f>Chart_Data!S145</x:f>
        <x:v>-14.77336761088698</x:v>
      </x:c>
      <x:c r="G881" t="n">
        <x:f>Chart_Data!P145</x:f>
        <x:v>11.5</x:v>
      </x:c>
      <x:c r="H881" t="n">
        <x:f>Chart_Data!T145</x:f>
        <x:v>-20.074558908324597</x:v>
      </x:c>
    </x:row>
    <x:row r="882">
      <x:c r="A882" t="n">
        <x:f>Chart_Data!P146</x:f>
        <x:v>12</x:v>
      </x:c>
      <x:c r="B882" t="n">
        <x:f>Chart_Data!Q146</x:f>
        <x:v>-102.66258570945865</x:v>
      </x:c>
      <x:c r="C882" t="n">
        <x:f>Chart_Data!P146</x:f>
        <x:v>12</x:v>
      </x:c>
      <x:c r="D882" t="n">
        <x:f>Chart_Data!R146</x:f>
        <x:v>-103.25466974927622</x:v>
      </x:c>
      <x:c r="E882" t="n">
        <x:f>Chart_Data!P146</x:f>
        <x:v>12</x:v>
      </x:c>
      <x:c r="F882" t="n">
        <x:f>Chart_Data!S146</x:f>
        <x:v>-15.414802659077877</x:v>
      </x:c>
      <x:c r="G882" t="n">
        <x:f>Chart_Data!P146</x:f>
        <x:v>12</x:v>
      </x:c>
      <x:c r="H882" t="n">
        <x:f>Chart_Data!T146</x:f>
        <x:v>-15.503704166557991</x:v>
      </x:c>
    </x:row>
    <x:row r="883">
      <x:c r="A883" t="n">
        <x:f>Chart_Data!P147</x:f>
        <x:v>12.5</x:v>
      </x:c>
      <x:c r="B883" t="n">
        <x:f>Chart_Data!Q147</x:f>
        <x:v>-106.9337919834652</x:v>
      </x:c>
      <x:c r="C883" t="n">
        <x:f>Chart_Data!P147</x:f>
        <x:v>12.5</x:v>
      </x:c>
      <x:c r="D883" t="n">
        <x:f>Chart_Data!R147</x:f>
        <x:v>-97.45932921296117</x:v>
      </x:c>
      <x:c r="E883" t="n">
        <x:f>Chart_Data!P147</x:f>
        <x:v>12.5</x:v>
      </x:c>
      <x:c r="F883" t="n">
        <x:f>Chart_Data!S147</x:f>
        <x:v>-16.056124922442223</x:v>
      </x:c>
      <x:c r="G883" t="n">
        <x:f>Chart_Data!P147</x:f>
        <x:v>12.5</x:v>
      </x:c>
      <x:c r="H883" t="n">
        <x:f>Chart_Data!T147</x:f>
        <x:v>-14.633532914859035</x:v>
      </x:c>
    </x:row>
    <x:row r="884">
      <x:c r="A884" t="n">
        <x:f>Chart_Data!P148</x:f>
        <x:v>13</x:v>
      </x:c>
      <x:c r="B884" t="n">
        <x:f>Chart_Data!Q148</x:f>
        <x:v>-111.20421613486542</x:v>
      </x:c>
      <x:c r="C884" t="n">
        <x:f>Chart_Data!P148</x:f>
        <x:v>13</x:v>
      </x:c>
      <x:c r="D884" t="n">
        <x:f>Chart_Data!R148</x:f>
        <x:v>-151.57657912886862</x:v>
      </x:c>
      <x:c r="E884" t="n">
        <x:f>Chart_Data!P148</x:f>
        <x:v>13</x:v>
      </x:c>
      <x:c r="F884" t="n">
        <x:f>Chart_Data!S148</x:f>
        <x:v>-16.697329749979794</x:v>
      </x:c>
      <x:c r="G884" t="n">
        <x:f>Chart_Data!P148</x:f>
        <x:v>13</x:v>
      </x:c>
      <x:c r="H884" t="n">
        <x:f>Chart_Data!T148</x:f>
        <x:v>-22.75924611544574</x:v>
      </x:c>
    </x:row>
    <x:row r="885">
      <x:c r="A885" t="n">
        <x:f>Chart_Data!P149</x:f>
        <x:v>13.5</x:v>
      </x:c>
      <x:c r="B885" t="n">
        <x:f>Chart_Data!Q149</x:f>
        <x:v>-115.4738272234681</x:v>
      </x:c>
      <x:c r="C885" t="n">
        <x:f>Chart_Data!P149</x:f>
        <x:v>13.5</x:v>
      </x:c>
      <x:c r="D885" t="n">
        <x:f>Chart_Data!R149</x:f>
        <x:v>-141.51365191682999</x:v>
      </x:c>
      <x:c r="E885" t="n">
        <x:f>Chart_Data!P149</x:f>
        <x:v>13.5</x:v>
      </x:c>
      <x:c r="F885" t="n">
        <x:f>Chart_Data!S149</x:f>
        <x:v>-17.338412496016232</x:v>
      </x:c>
      <x:c r="G885" t="n">
        <x:f>Chart_Data!P149</x:f>
        <x:v>13.5</x:v>
      </x:c>
      <x:c r="H885" t="n">
        <x:f>Chart_Data!T149</x:f>
        <x:v>-21.248296083608107</x:v>
      </x:c>
    </x:row>
    <x:row r="886">
      <x:c r="A886" t="n">
        <x:f>Chart_Data!P150</x:f>
        <x:v>14</x:v>
      </x:c>
      <x:c r="B886" t="n">
        <x:f>Chart_Data!Q150</x:f>
        <x:v>-119.7425943531016</x:v>
      </x:c>
      <x:c r="C886" t="n">
        <x:f>Chart_Data!P150</x:f>
        <x:v>14</x:v>
      </x:c>
      <x:c r="D886" t="n">
        <x:f>Chart_Data!R150</x:f>
        <x:v>-109.12181689409408</x:v>
      </x:c>
      <x:c r="E886" t="n">
        <x:f>Chart_Data!P150</x:f>
        <x:v>14</x:v>
      </x:c>
      <x:c r="F886" t="n">
        <x:f>Chart_Data!S150</x:f>
        <x:v>-17.979368521486727</x:v>
      </x:c>
      <x:c r="G886" t="n">
        <x:f>Chart_Data!P150</x:f>
        <x:v>14</x:v>
      </x:c>
      <x:c r="H886" t="n">
        <x:f>Chart_Data!T150</x:f>
        <x:v>-16.38465719130542</x:v>
      </x:c>
    </x:row>
    <x:row r="887">
      <x:c r="A887" t="n">
        <x:f>Chart_Data!P151</x:f>
        <x:v>14.5</x:v>
      </x:c>
      <x:c r="B887" t="n">
        <x:f>Chart_Data!Q151</x:f>
        <x:v>-124.0104866564252</x:v>
      </x:c>
      <x:c r="C887" t="n">
        <x:f>Chart_Data!P151</x:f>
        <x:v>14.5</x:v>
      </x:c>
      <x:c r="D887" t="n">
        <x:f>Chart_Data!R151</x:f>
        <x:v>-145.14355631799845</x:v>
      </x:c>
      <x:c r="E887" t="n">
        <x:f>Chart_Data!P151</x:f>
        <x:v>14.5</x:v>
      </x:c>
      <x:c r="F887" t="n">
        <x:f>Chart_Data!S151</x:f>
        <x:v>-18.62019319165544</x:v>
      </x:c>
      <x:c r="G887" t="n">
        <x:f>Chart_Data!P151</x:f>
        <x:v>14.5</x:v>
      </x:c>
      <x:c r="H887" t="n">
        <x:f>Chart_Data!T151</x:f>
        <x:v>-21.79332677447424</x:v>
      </x:c>
    </x:row>
    <x:row r="888">
      <x:c r="A888" t="n">
        <x:f>Chart_Data!P152</x:f>
        <x:v>15</x:v>
      </x:c>
      <x:c r="B888" t="n">
        <x:f>Chart_Data!Q152</x:f>
        <x:v>-128.2774733243059</x:v>
      </x:c>
      <x:c r="C888" t="n">
        <x:f>Chart_Data!P152</x:f>
        <x:v>15</x:v>
      </x:c>
      <x:c r="D888" t="n">
        <x:f>Chart_Data!R152</x:f>
        <x:v>-160.1607348960897</x:v>
      </x:c>
      <x:c r="E888" t="n">
        <x:f>Chart_Data!P152</x:f>
        <x:v>15</x:v>
      </x:c>
      <x:c r="F888" t="n">
        <x:f>Chart_Data!S152</x:f>
        <x:v>-19.260881880526412</x:v>
      </x:c>
      <x:c r="G888" t="n">
        <x:f>Chart_Data!P152</x:f>
        <x:v>15</x:v>
      </x:c>
      <x:c r="H888" t="n">
        <x:f>Chart_Data!T152</x:f>
        <x:v>-24.048158392806265</x:v>
      </x:c>
    </x:row>
    <x:row r="889">
      <x:c r="A889" t="n">
        <x:f>Chart_Data!P153</x:f>
        <x:v>15.5</x:v>
      </x:c>
      <x:c r="B889" t="n">
        <x:f>Chart_Data!Q153</x:f>
        <x:v>-132.5435235945406</x:v>
      </x:c>
      <x:c r="C889" t="n">
        <x:f>Chart_Data!P153</x:f>
        <x:v>15.5</x:v>
      </x:c>
      <x:c r="D889" t="n">
        <x:f>Chart_Data!R153</x:f>
        <x:v>-131.10580275870234</x:v>
      </x:c>
      <x:c r="E889" t="n">
        <x:f>Chart_Data!P153</x:f>
        <x:v>15.5</x:v>
      </x:c>
      <x:c r="F889" t="n">
        <x:f>Chart_Data!S153</x:f>
        <x:v>-19.901429969150243</x:v>
      </x:c>
      <x:c r="G889" t="n">
        <x:f>Chart_Data!P153</x:f>
        <x:v>15.5</x:v>
      </x:c>
      <x:c r="H889" t="n">
        <x:f>Chart_Data!T153</x:f>
        <x:v>-19.685555969775127</x:v>
      </x:c>
    </x:row>
    <x:row r="890">
      <x:c r="A890" t="n">
        <x:f>Chart_Data!P154</x:f>
        <x:v>16</x:v>
      </x:c>
      <x:c r="B890" t="n">
        <x:f>Chart_Data!Q154</x:f>
        <x:v>-136.80860673657662</x:v>
      </x:c>
      <x:c r="C890" t="n">
        <x:f>Chart_Data!P154</x:f>
        <x:v>16</x:v>
      </x:c>
      <x:c r="D890" t="n">
        <x:f>Chart_Data!R154</x:f>
        <x:v>-120.04510651404416</x:v>
      </x:c>
      <x:c r="E890" t="n">
        <x:f>Chart_Data!P154</x:f>
        <x:v>16</x:v>
      </x:c>
      <x:c r="F890" t="n">
        <x:f>Chart_Data!S154</x:f>
        <x:v>-20.541832843329825</x:v>
      </x:c>
      <x:c r="G890" t="n">
        <x:f>Chart_Data!P154</x:f>
        <x:v>16</x:v>
      </x:c>
      <x:c r="H890" t="n">
        <x:f>Chart_Data!T154</x:f>
        <x:v>-18.0247907678745</x:v>
      </x:c>
    </x:row>
    <x:row r="891">
      <x:c r="A891" t="n">
        <x:f>Chart_Data!P155</x:f>
        <x:v>16.5</x:v>
      </x:c>
      <x:c r="B891" t="n">
        <x:f>Chart_Data!Q155</x:f>
        <x:v>-141.07269207324862</x:v>
      </x:c>
      <x:c r="C891" t="n">
        <x:f>Chart_Data!P155</x:f>
        <x:v>16.5</x:v>
      </x:c>
      <x:c r="D891" t="n">
        <x:f>Chart_Data!R155</x:f>
        <x:v>-137.05256517414455</x:v>
      </x:c>
      <x:c r="E891" t="n">
        <x:f>Chart_Data!P155</x:f>
        <x:v>16.5</x:v>
      </x:c>
      <x:c r="F891" t="n">
        <x:f>Chart_Data!S155</x:f>
        <x:v>-21.18208589688418</x:v>
      </x:c>
      <x:c r="G891" t="n">
        <x:f>Chart_Data!P155</x:f>
        <x:v>16.5</x:v>
      </x:c>
      <x:c r="H891" t="n">
        <x:f>Chart_Data!T155</x:f>
        <x:v>-20.578463239361046</x:v>
      </x:c>
    </x:row>
    <x:row r="892">
      <x:c r="A892" t="n">
        <x:f>Chart_Data!P156</x:f>
        <x:v>17</x:v>
      </x:c>
      <x:c r="B892" t="n">
        <x:f>Chart_Data!Q156</x:f>
        <x:v>-145.33574898605366</x:v>
      </x:c>
      <x:c r="C892" t="n">
        <x:f>Chart_Data!P156</x:f>
        <x:v>17</x:v>
      </x:c>
      <x:c r="D892" t="n">
        <x:f>Chart_Data!R156</x:f>
        <x:v>-135.2580367196424</x:v>
      </x:c>
      <x:c r="E892" t="n">
        <x:f>Chart_Data!P156</x:f>
        <x:v>17</x:v>
      </x:c>
      <x:c r="F892" t="n">
        <x:f>Chart_Data!S156</x:f>
        <x:v>-21.82218453244049</x:v>
      </x:c>
      <x:c r="G892" t="n">
        <x:f>Chart_Data!P156</x:f>
        <x:v>17</x:v>
      </x:c>
      <x:c r="H892" t="n">
        <x:f>Chart_Data!T156</x:f>
        <x:v>-20.309014522468832</x:v>
      </x:c>
    </x:row>
    <x:row r="893">
      <x:c r="A893" t="n">
        <x:f>Chart_Data!P157</x:f>
        <x:v>17.5</x:v>
      </x:c>
      <x:c r="B893" t="n">
        <x:f>Chart_Data!Q157</x:f>
        <x:v>-149.59774689641563</x:v>
      </x:c>
      <x:c r="C893" t="n">
        <x:f>Chart_Data!P157</x:f>
        <x:v>17.5</x:v>
      </x:c>
      <x:c r="D893" t="n">
        <x:f>Chart_Data!R157</x:f>
        <x:v>-126.66363410589838</x:v>
      </x:c>
      <x:c r="E893" t="n">
        <x:f>Chart_Data!P157</x:f>
        <x:v>17.5</x:v>
      </x:c>
      <x:c r="F893" t="n">
        <x:f>Chart_Data!S157</x:f>
        <x:v>-22.462124158620966</x:v>
      </x:c>
      <x:c r="G893" t="n">
        <x:f>Chart_Data!P157</x:f>
        <x:v>17.5</x:v>
      </x:c>
      <x:c r="H893" t="n">
        <x:f>Chart_Data!T157</x:f>
        <x:v>-19.018563679564323</x:v>
      </x:c>
    </x:row>
    <x:row r="894">
      <x:c r="A894" t="n">
        <x:f>Chart_Data!P158</x:f>
        <x:v>18</x:v>
      </x:c>
      <x:c r="B894" t="n">
        <x:f>Chart_Data!Q158</x:f>
        <x:v>-153.85865527787246</x:v>
      </x:c>
      <x:c r="C894" t="n">
        <x:f>Chart_Data!P158</x:f>
        <x:v>18</x:v>
      </x:c>
      <x:c r="D894" t="n">
        <x:f>Chart_Data!R158</x:f>
        <x:v>-151.69053844329028</x:v>
      </x:c>
      <x:c r="E894" t="n">
        <x:f>Chart_Data!P158</x:f>
        <x:v>18</x:v>
      </x:c>
      <x:c r="F894" t="n">
        <x:f>Chart_Data!S158</x:f>
        <x:v>-23.101900191872744</x:v>
      </x:c>
      <x:c r="G894" t="n">
        <x:f>Chart_Data!P158</x:f>
        <x:v>18</x:v>
      </x:c>
      <x:c r="H894" t="n">
        <x:f>Chart_Data!T158</x:f>
        <x:v>-22.77635712361716</x:v>
      </x:c>
    </x:row>
    <x:row r="895">
      <x:c r="A895" t="n">
        <x:f>Chart_Data!P159</x:f>
        <x:v>18.5</x:v>
      </x:c>
      <x:c r="B895" t="n">
        <x:f>Chart_Data!Q159</x:f>
        <x:v>-158.1184436692638</x:v>
      </x:c>
      <x:c r="C895" t="n">
        <x:f>Chart_Data!P159</x:f>
        <x:v>18.5</x:v>
      </x:c>
      <x:c r="D895" t="n">
        <x:f>Chart_Data!R159</x:f>
        <x:v>-139.1757167734795</x:v>
      </x:c>
      <x:c r="E895" t="n">
        <x:f>Chart_Data!P159</x:f>
        <x:v>18.5</x:v>
      </x:c>
      <x:c r="F895" t="n">
        <x:f>Chart_Data!S159</x:f>
        <x:v>-23.74150805844802</x:v>
      </x:c>
      <x:c r="G895" t="n">
        <x:f>Chart_Data!P159</x:f>
        <x:v>18.5</x:v>
      </x:c>
      <x:c r="H895" t="n">
        <x:f>Chart_Data!T159</x:f>
        <x:v>-20.89725477079272</x:v>
      </x:c>
    </x:row>
    <x:row r="896">
      <x:c r="A896" t="n">
        <x:f>Chart_Data!P160</x:f>
        <x:v>19</x:v>
      </x:c>
      <x:c r="B896" t="n">
        <x:f>Chart_Data!Q160</x:f>
        <x:v>-162.37708165526783</x:v>
      </x:c>
      <x:c r="C896" t="n">
        <x:f>Chart_Data!P160</x:f>
        <x:v>19</x:v>
      </x:c>
      <x:c r="D896" t="n">
        <x:f>Chart_Data!R160</x:f>
        <x:v>-126.46437359499032</x:v>
      </x:c>
      <x:c r="E896" t="n">
        <x:f>Chart_Data!P160</x:f>
        <x:v>19</x:v>
      </x:c>
      <x:c r="F896" t="n">
        <x:f>Chart_Data!S160</x:f>
        <x:v>-24.38094319148166</x:v>
      </x:c>
      <x:c r="G896" t="n">
        <x:f>Chart_Data!P160</x:f>
        <x:v>19</x:v>
      </x:c>
      <x:c r="H896" t="n">
        <x:f>Chart_Data!T160</x:f>
        <x:v>-18.98864468393248</x:v>
      </x:c>
    </x:row>
    <x:row r="897">
      <x:c r="A897" t="n">
        <x:f>Chart_Data!P161</x:f>
        <x:v>19.5</x:v>
      </x:c>
      <x:c r="B897" t="n">
        <x:f>Chart_Data!Q161</x:f>
        <x:v>-166.6345388791342</x:v>
      </x:c>
      <x:c r="C897" t="n">
        <x:f>Chart_Data!P161</x:f>
        <x:v>19.5</x:v>
      </x:c>
      <x:c r="D897" t="n">
        <x:f>Chart_Data!R161</x:f>
        <x:v>-151.36712018684193</x:v>
      </x:c>
      <x:c r="E897" t="n">
        <x:f>Chart_Data!P161</x:f>
        <x:v>19.5</x:v>
      </x:c>
      <x:c r="F897" t="n">
        <x:f>Chart_Data!S161</x:f>
        <x:v>-25.020201032903035</x:v>
      </x:c>
      <x:c r="G897" t="n">
        <x:f>Chart_Data!P161</x:f>
        <x:v>19.5</x:v>
      </x:c>
      <x:c r="H897" t="n">
        <x:f>Chart_Data!T161</x:f>
        <x:v>-22.72779582385014</x:v>
      </x:c>
    </x:row>
    <x:row r="898">
      <x:c r="A898" t="n">
        <x:f>Chart_Data!P162</x:f>
        <x:v>20</x:v>
      </x:c>
      <x:c r="B898" t="n">
        <x:f>Chart_Data!Q162</x:f>
        <x:v>-170.89078503895507</x:v>
      </x:c>
      <x:c r="C898" t="n">
        <x:f>Chart_Data!P162</x:f>
        <x:v>20</x:v>
      </x:c>
      <x:c r="D898" t="n">
        <x:f>Chart_Data!R162</x:f>
        <x:v>-162.90904520274125</x:v>
      </x:c>
      <x:c r="E898" t="n">
        <x:f>Chart_Data!P162</x:f>
        <x:v>20</x:v>
      </x:c>
      <x:c r="F898" t="n">
        <x:f>Chart_Data!S162</x:f>
        <x:v>-25.65927703287614</x:v>
      </x:c>
      <x:c r="G898" t="n">
        <x:f>Chart_Data!P162</x:f>
        <x:v>20</x:v>
      </x:c>
      <x:c r="H898" t="n">
        <x:f>Chart_Data!T162</x:f>
        <x:v>-24.4608175980092</x:v>
      </x:c>
    </x:row>
    <x:row r="899">
      <x:c r="A899" t="n">
        <x:f>Chart_Data!P163</x:f>
        <x:v>20.5</x:v>
      </x:c>
      <x:c r="B899" t="n">
        <x:f>Chart_Data!Q163</x:f>
        <x:v>-175.14578990121663</x:v>
      </x:c>
      <x:c r="C899" t="n">
        <x:f>Chart_Data!P163</x:f>
        <x:v>20.5</x:v>
      </x:c>
      <x:c r="D899" t="n">
        <x:f>Chart_Data!R163</x:f>
        <x:v>-171.7163481087482</x:v>
      </x:c>
      <x:c r="E899" t="n">
        <x:f>Chart_Data!P163</x:f>
        <x:v>20.5</x:v>
      </x:c>
      <x:c r="F899" t="n">
        <x:f>Chart_Data!S163</x:f>
        <x:v>-26.298166651834332</x:v>
      </x:c>
      <x:c r="G899" t="n">
        <x:f>Chart_Data!P163</x:f>
        <x:v>20.5</x:v>
      </x:c>
      <x:c r="H899" t="n">
        <x:f>Chart_Data!T163</x:f>
        <x:v>-25.783235451763996</x:v>
      </x:c>
    </x:row>
    <x:row r="900">
      <x:c r="A900" t="n">
        <x:f>Chart_Data!P164</x:f>
        <x:v>21</x:v>
      </x:c>
      <x:c r="B900" t="n">
        <x:f>Chart_Data!Q164</x:f>
        <x:v>-179.3995232830639</x:v>
      </x:c>
      <x:c r="C900" t="n">
        <x:f>Chart_Data!P164</x:f>
        <x:v>21</x:v>
      </x:c>
      <x:c r="D900" t="n">
        <x:f>Chart_Data!R164</x:f>
        <x:v>-175.76256821785137</x:v>
      </x:c>
      <x:c r="E900" t="n">
        <x:f>Chart_Data!P164</x:f>
        <x:v>21</x:v>
      </x:c>
      <x:c r="F900" t="n">
        <x:f>Chart_Data!S164</x:f>
        <x:v>-26.936865357817403</x:v>
      </x:c>
      <x:c r="G900" t="n">
        <x:f>Chart_Data!P164</x:f>
        <x:v>21</x:v>
      </x:c>
      <x:c r="H900" t="n">
        <x:f>Chart_Data!T164</x:f>
        <x:v>-26.390776008686395</x:v>
      </x:c>
    </x:row>
    <x:row r="901">
      <x:c r="A901" t="n">
        <x:f>Chart_Data!P165</x:f>
        <x:v>21.5</x:v>
      </x:c>
      <x:c r="B901" t="n">
        <x:f>Chart_Data!Q165</x:f>
        <x:v>-183.65195507121825</x:v>
      </x:c>
      <x:c r="C901" t="n">
        <x:f>Chart_Data!P165</x:f>
        <x:v>21.5</x:v>
      </x:c>
      <x:c r="D901" t="n">
        <x:f>Chart_Data!R165</x:f>
        <x:v>-173.414639069415</x:v>
      </x:c>
      <x:c r="E901" t="n">
        <x:f>Chart_Data!P165</x:f>
        <x:v>21.5</x:v>
      </x:c>
      <x:c r="F901" t="n">
        <x:f>Chart_Data!S165</x:f>
        <x:v>-27.575368629312052</x:v>
      </x:c>
      <x:c r="G901" t="n">
        <x:f>Chart_Data!P165</x:f>
        <x:v>21.5</x:v>
      </x:c>
      <x:c r="H901" t="n">
        <x:f>Chart_Data!T165</x:f>
        <x:v>-26.03823409450676</x:v>
      </x:c>
    </x:row>
    <x:row r="902">
      <x:c r="A902" t="n">
        <x:f>Chart_Data!P166</x:f>
        <x:v>22</x:v>
      </x:c>
      <x:c r="B902" t="n">
        <x:f>Chart_Data!Q166</x:f>
        <x:v>-187.90305521988557</x:v>
      </x:c>
      <x:c r="C902" t="n">
        <x:f>Chart_Data!P166</x:f>
        <x:v>22</x:v>
      </x:c>
      <x:c r="D902" t="n">
        <x:f>Chart_Data!R166</x:f>
        <x:v>-190.64828334176127</x:v>
      </x:c>
      <x:c r="E902" t="n">
        <x:f>Chart_Data!P166</x:f>
        <x:v>22</x:v>
      </x:c>
      <x:c r="F902" t="n">
        <x:f>Chart_Data!S166</x:f>
        <x:v>-28.213671954937777</x:v>
      </x:c>
      <x:c r="G902" t="n">
        <x:f>Chart_Data!P166</x:f>
        <x:v>22</x:v>
      </x:c>
      <x:c r="H902" t="n">
        <x:f>Chart_Data!T166</x:f>
        <x:v>-28.625868369633828</x:v>
      </x:c>
    </x:row>
    <x:row r="903">
      <x:c r="A903" t="n">
        <x:f>Chart_Data!P167</x:f>
        <x:v>22.5</x:v>
      </x:c>
      <x:c r="B903" t="n">
        <x:f>Chart_Data!Q167</x:f>
        <x:v>-192.15279373456724</x:v>
      </x:c>
      <x:c r="C903" t="n">
        <x:f>Chart_Data!P167</x:f>
        <x:v>22.5</x:v>
      </x:c>
      <x:c r="D903" t="n">
        <x:f>Chart_Data!R167</x:f>
        <x:v>-207.66237126308624</x:v>
      </x:c>
      <x:c r="E903" t="n">
        <x:f>Chart_Data!P167</x:f>
        <x:v>22.5</x:v>
      </x:c>
      <x:c r="F903" t="n">
        <x:f>Chart_Data!S167</x:f>
        <x:v>-28.851770831016104</x:v>
      </x:c>
      <x:c r="G903" t="n">
        <x:f>Chart_Data!P167</x:f>
        <x:v>22.5</x:v>
      </x:c>
      <x:c r="H903" t="n">
        <x:f>Chart_Data!T167</x:f>
        <x:v>-31.180536225688627</x:v>
      </x:c>
    </x:row>
    <x:row r="904">
      <x:c r="A904" t="n">
        <x:f>Chart_Data!P168</x:f>
        <x:v>23</x:v>
      </x:c>
      <x:c r="B904" t="n">
        <x:f>Chart_Data!Q168</x:f>
        <x:v>-196.40114070170966</x:v>
      </x:c>
      <x:c r="C904" t="n">
        <x:f>Chart_Data!P168</x:f>
        <x:v>23</x:v>
      </x:c>
      <x:c r="D904" t="n">
        <x:f>Chart_Data!R168</x:f>
        <x:v>-214.52838117938882</x:v>
      </x:c>
      <x:c r="E904" t="n">
        <x:f>Chart_Data!P168</x:f>
        <x:v>23</x:v>
      </x:c>
      <x:c r="F904" t="n">
        <x:f>Chart_Data!S168</x:f>
        <x:v>-29.489660766022475</x:v>
      </x:c>
      <x:c r="G904" t="n">
        <x:f>Chart_Data!P168</x:f>
        <x:v>23</x:v>
      </x:c>
      <x:c r="H904" t="n">
        <x:f>Chart_Data!T168</x:f>
        <x:v>-32.21146864555388</x:v>
      </x:c>
    </x:row>
    <x:row r="905">
      <x:c r="A905" t="n">
        <x:f>Chart_Data!P169</x:f>
        <x:v>23.5</x:v>
      </x:c>
      <x:c r="B905" t="n">
        <x:f>Chart_Data!Q169</x:f>
        <x:v>-200.64806626696736</x:v>
      </x:c>
      <x:c r="C905" t="n">
        <x:f>Chart_Data!P169</x:f>
        <x:v>23.5</x:v>
      </x:c>
      <x:c r="D905" t="n">
        <x:f>Chart_Data!R169</x:f>
        <x:v>-195.82322653741357</x:v>
      </x:c>
      <x:c r="E905" t="n">
        <x:f>Chart_Data!P169</x:f>
        <x:v>23.5</x:v>
      </x:c>
      <x:c r="F905" t="n">
        <x:f>Chart_Data!S169</x:f>
        <x:v>-30.12733727732243</x:v>
      </x:c>
      <x:c r="G905" t="n">
        <x:f>Chart_Data!P169</x:f>
        <x:v>23.5</x:v>
      </x:c>
      <x:c r="H905" t="n">
        <x:f>Chart_Data!T169</x:f>
        <x:v>-29.40288686747952</x:v>
      </x:c>
    </x:row>
    <x:row r="906">
      <x:c r="A906" t="n">
        <x:f>Chart_Data!P170</x:f>
        <x:v>24</x:v>
      </x:c>
      <x:c r="B906" t="n">
        <x:f>Chart_Data!Q170</x:f>
        <x:v>-204.89354065312</x:v>
      </x:c>
      <x:c r="C906" t="n">
        <x:f>Chart_Data!P170</x:f>
        <x:v>24</x:v>
      </x:c>
      <x:c r="D906" t="n">
        <x:f>Chart_Data!R170</x:f>
        <x:v>-230.14401414493477</x:v>
      </x:c>
      <x:c r="E906" t="n">
        <x:f>Chart_Data!P170</x:f>
        <x:v>24</x:v>
      </x:c>
      <x:c r="F906" t="n">
        <x:f>Chart_Data!S170</x:f>
        <x:v>-30.764795893861866</x:v>
      </x:c>
      <x:c r="G906" t="n">
        <x:f>Chart_Data!P170</x:f>
        <x:v>24</x:v>
      </x:c>
      <x:c r="H906" t="n">
        <x:f>Chart_Data!T170</x:f>
        <x:v>-34.55615828002024</x:v>
      </x:c>
    </x:row>
    <x:row r="907">
      <x:c r="A907" t="n">
        <x:f>Chart_Data!P171</x:f>
        <x:v>24.5</x:v>
      </x:c>
      <x:c r="B907" t="n">
        <x:f>Chart_Data!Q171</x:f>
        <x:v>-209.13753414824896</x:v>
      </x:c>
      <x:c r="C907" t="n">
        <x:f>Chart_Data!P171</x:f>
        <x:v>24.5</x:v>
      </x:c>
      <x:c r="D907" t="n">
        <x:f>Chart_Data!R171</x:f>
        <x:v>-244.97379562135393</x:v>
      </x:c>
      <x:c r="E907" t="n">
        <x:f>Chart_Data!P171</x:f>
        <x:v>24.5</x:v>
      </x:c>
      <x:c r="F907" t="n">
        <x:f>Chart_Data!S171</x:f>
        <x:v>-31.402032154391737</x:v>
      </x:c>
      <x:c r="G907" t="n">
        <x:f>Chart_Data!P171</x:f>
        <x:v>24.5</x:v>
      </x:c>
      <x:c r="H907" t="n">
        <x:f>Chart_Data!T171</x:f>
        <x:v>-36.78285219539849</x:v>
      </x:c>
    </x:row>
    <x:row r="908">
      <x:c r="A908" t="n">
        <x:f>Chart_Data!P172</x:f>
        <x:v>25</x:v>
      </x:c>
      <x:c r="B908" t="n">
        <x:f>Chart_Data!Q172</x:f>
        <x:v>-213.38001711119432</x:v>
      </x:c>
      <x:c r="C908" t="n">
        <x:f>Chart_Data!P172</x:f>
        <x:v>25</x:v>
      </x:c>
      <x:c r="D908" t="n">
        <x:f>Chart_Data!R172</x:f>
        <x:v>-253.7362306406976</x:v>
      </x:c>
      <x:c r="E908" t="n">
        <x:f>Chart_Data!P172</x:f>
        <x:v>25</x:v>
      </x:c>
      <x:c r="F908" t="n">
        <x:f>Chart_Data!S172</x:f>
        <x:v>-32.03904160828744</x:v>
      </x:c>
      <x:c r="G908" t="n">
        <x:f>Chart_Data!P172</x:f>
        <x:v>25</x:v>
      </x:c>
      <x:c r="H908" t="n">
        <x:f>Chart_Data!T172</x:f>
        <x:v>-38.09853312923388</x:v>
      </x:c>
    </x:row>
    <x:row r="909">
      <x:c r="A909" t="n">
        <x:f>Chart_Data!P173</x:f>
        <x:v>25.5</x:v>
      </x:c>
      <x:c r="B909" t="n">
        <x:f>Chart_Data!Q173</x:f>
        <x:v>-217.6209599799222</x:v>
      </x:c>
      <x:c r="C909" t="n">
        <x:f>Chart_Data!P173</x:f>
        <x:v>25.5</x:v>
      </x:c>
      <x:c r="D909" t="n">
        <x:f>Chart_Data!R173</x:f>
        <x:v>-267.79701353634664</x:v>
      </x:c>
      <x:c r="E909" t="n">
        <x:f>Chart_Data!P173</x:f>
        <x:v>25.5</x:v>
      </x:c>
      <x:c r="F909" t="n">
        <x:f>Chart_Data!S173</x:f>
        <x:v>-32.67581981680514</x:v>
      </x:c>
      <x:c r="G909" t="n">
        <x:f>Chart_Data!P173</x:f>
        <x:v>25.5</x:v>
      </x:c>
      <x:c r="H909" t="n">
        <x:f>Chart_Data!T173</x:f>
        <x:v>-40.209761792244244</x:v>
      </x:c>
    </x:row>
    <x:row r="910">
      <x:c r="A910" t="n">
        <x:f>Chart_Data!P174</x:f>
        <x:v>26</x:v>
      </x:c>
      <x:c r="B910" t="n">
        <x:f>Chart_Data!Q174</x:f>
        <x:v>-221.86033326770485</x:v>
      </x:c>
      <x:c r="C910" t="n">
        <x:f>Chart_Data!P174</x:f>
        <x:v>26</x:v>
      </x:c>
      <x:c r="D910" t="n">
        <x:f>Chart_Data!R174</x:f>
        <x:v>-232.61930903145185</x:v>
      </x:c>
      <x:c r="E910" t="n">
        <x:f>Chart_Data!P174</x:f>
        <x:v>26</x:v>
      </x:c>
      <x:c r="F910" t="n">
        <x:f>Chart_Data!S174</x:f>
        <x:v>-33.31236235250824</x:v>
      </x:c>
      <x:c r="G910" t="n">
        <x:f>Chart_Data!P174</x:f>
        <x:v>26</x:v>
      </x:c>
      <x:c r="H910" t="n">
        <x:f>Chart_Data!T174</x:f>
        <x:v>-34.92782417889668</x:v>
      </x:c>
    </x:row>
    <x:row r="911">
      <x:c r="A911" t="n">
        <x:f>Chart_Data!P175</x:f>
        <x:v>26.5</x:v>
      </x:c>
      <x:c r="B911" t="n">
        <x:f>Chart_Data!Q175</x:f>
        <x:v>-226.0981075584823</x:v>
      </x:c>
      <x:c r="C911" t="n">
        <x:f>Chart_Data!P175</x:f>
        <x:v>26.5</x:v>
      </x:c>
      <x:c r="D911" t="n">
        <x:f>Chart_Data!R175</x:f>
        <x:v>-291.65466654148986</x:v>
      </x:c>
      <x:c r="E911" t="n">
        <x:f>Chart_Data!P175</x:f>
        <x:v>26.5</x:v>
      </x:c>
      <x:c r="F911" t="n">
        <x:f>Chart_Data!S175</x:f>
        <x:v>-33.94866479857092</x:v>
      </x:c>
      <x:c r="G911" t="n">
        <x:f>Chart_Data!P175</x:f>
        <x:v>26.5</x:v>
      </x:c>
      <x:c r="H911" t="n">
        <x:f>Chart_Data!T175</x:f>
        <x:v>-43.79199197319668</x:v>
      </x:c>
    </x:row>
    <x:row r="912">
      <x:c r="A912" t="n">
        <x:f>Chart_Data!P176</x:f>
        <x:v>27</x:v>
      </x:c>
      <x:c r="B912" t="n">
        <x:f>Chart_Data!Q176</x:f>
        <x:v>-230.3342535144111</x:v>
      </x:c>
      <x:c r="C912" t="n">
        <x:f>Chart_Data!P176</x:f>
        <x:v>27</x:v>
      </x:c>
      <x:c r="D912" t="n">
        <x:f>Chart_Data!R176</x:f>
        <x:v>-304.31541811476563</x:v>
      </x:c>
      <x:c r="E912" t="n">
        <x:f>Chart_Data!P176</x:f>
        <x:v>27</x:v>
      </x:c>
      <x:c r="F912" t="n">
        <x:f>Chart_Data!S176</x:f>
        <x:v>-34.58472274991158</x:v>
      </x:c>
      <x:c r="G912" t="n">
        <x:f>Chart_Data!P176</x:f>
        <x:v>27</x:v>
      </x:c>
      <x:c r="H912" t="n">
        <x:f>Chart_Data!T176</x:f>
        <x:v>-45.693005722937784</x:v>
      </x:c>
    </x:row>
    <x:row r="913">
      <x:c r="A913" t="n">
        <x:f>Chart_Data!P177</x:f>
        <x:v>27.5</x:v>
      </x:c>
      <x:c r="B913" t="n">
        <x:f>Chart_Data!Q177</x:f>
        <x:v>-234.56874188968868</x:v>
      </x:c>
      <x:c r="C913" t="n">
        <x:f>Chart_Data!P177</x:f>
        <x:v>27.5</x:v>
      </x:c>
      <x:c r="D913" t="n">
        <x:f>Chart_Data!R177</x:f>
        <x:v>-288.8126042343174</x:v>
      </x:c>
      <x:c r="E913" t="n">
        <x:f>Chart_Data!P177</x:f>
        <x:v>27.5</x:v>
      </x:c>
      <x:c r="F913" t="n">
        <x:f>Chart_Data!S177</x:f>
        <x:v>-35.22053181526857</x:v>
      </x:c>
      <x:c r="G913" t="n">
        <x:f>Chart_Data!P177</x:f>
        <x:v>27.5</x:v>
      </x:c>
      <x:c r="H913" t="n">
        <x:f>Chart_Data!T177</x:f>
        <x:v>-43.36525589103865</x:v>
      </x:c>
    </x:row>
    <x:row r="914">
      <x:c r="A914" t="n">
        <x:f>Chart_Data!P178</x:f>
        <x:v>28</x:v>
      </x:c>
      <x:c r="B914" t="n">
        <x:f>Chart_Data!Q178</x:f>
        <x:v>-238.80154350054</x:v>
      </x:c>
      <x:c r="C914" t="n">
        <x:f>Chart_Data!P178</x:f>
        <x:v>28</x:v>
      </x:c>
      <x:c r="D914" t="n">
        <x:f>Chart_Data!R178</x:f>
        <x:v>-281.15917075083416</x:v>
      </x:c>
      <x:c r="E914" t="n">
        <x:f>Chart_Data!P178</x:f>
        <x:v>28</x:v>
      </x:c>
      <x:c r="F914" t="n">
        <x:f>Chart_Data!S178</x:f>
        <x:v>-35.8560876126937</x:v>
      </x:c>
      <x:c r="G914" t="n">
        <x:f>Chart_Data!P178</x:f>
        <x:v>28</x:v>
      </x:c>
      <x:c r="H914" t="n">
        <x:f>Chart_Data!T178</x:f>
        <x:v>-42.21609170432946</x:v>
      </x:c>
    </x:row>
    <x:row r="915">
      <x:c r="A915" t="n">
        <x:f>Chart_Data!P179</x:f>
        <x:v>28.5</x:v>
      </x:c>
      <x:c r="B915" t="n">
        <x:f>Chart_Data!Q179</x:f>
        <x:v>-243.03262925423041</x:v>
      </x:c>
      <x:c r="C915" t="n">
        <x:f>Chart_Data!P179</x:f>
        <x:v>28.5</x:v>
      </x:c>
      <x:c r="D915" t="n">
        <x:f>Chart_Data!R179</x:f>
        <x:v>-287.9698524754531</x:v>
      </x:c>
      <x:c r="E915" t="n">
        <x:f>Chart_Data!P179</x:f>
        <x:v>28.5</x:v>
      </x:c>
      <x:c r="F915" t="n">
        <x:f>Chart_Data!S179</x:f>
        <x:v>-36.491385773908476</x:v>
      </x:c>
      <x:c r="G915" t="n">
        <x:f>Chart_Data!P179</x:f>
        <x:v>28.5</x:v>
      </x:c>
      <x:c r="H915" t="n">
        <x:f>Chart_Data!T179</x:f>
        <x:v>-43.23871658790587</x:v>
      </x:c>
    </x:row>
    <x:row r="916">
      <x:c r="A916" t="n">
        <x:f>Chart_Data!P180</x:f>
        <x:v>29</x:v>
      </x:c>
      <x:c r="B916" t="n">
        <x:f>Chart_Data!Q180</x:f>
        <x:v>-247.26197014497302</x:v>
      </x:c>
      <x:c r="C916" t="n">
        <x:f>Chart_Data!P180</x:f>
        <x:v>29</x:v>
      </x:c>
      <x:c r="D916" t="n">
        <x:f>Chart_Data!R180</x:f>
        <x:v>-321.95858402801605</x:v>
      </x:c>
      <x:c r="E916" t="n">
        <x:f>Chart_Data!P180</x:f>
        <x:v>29</x:v>
      </x:c>
      <x:c r="F916" t="n">
        <x:f>Chart_Data!S180</x:f>
        <x:v>-37.12642194368964</x:v>
      </x:c>
      <x:c r="G916" t="n">
        <x:f>Chart_Data!P180</x:f>
        <x:v>29</x:v>
      </x:c>
      <x:c r="H916" t="n">
        <x:f>Chart_Data!T180</x:f>
        <x:v>-48.342129733936346</x:v>
      </x:c>
    </x:row>
    <x:row r="917">
      <x:c r="A917" t="n">
        <x:f>Chart_Data!P181</x:f>
        <x:v>29.5</x:v>
      </x:c>
      <x:c r="B917" t="n">
        <x:f>Chart_Data!Q181</x:f>
        <x:v>-251.4895372385581</x:v>
      </x:c>
      <x:c r="C917" t="n">
        <x:f>Chart_Data!P181</x:f>
        <x:v>29.5</x:v>
      </x:c>
      <x:c r="D917" t="n">
        <x:f>Chart_Data!R181</x:f>
        <x:v>-292.2747079845067</x:v>
      </x:c>
      <x:c r="E917" t="n">
        <x:f>Chart_Data!P181</x:f>
        <x:v>29.5</x:v>
      </x:c>
      <x:c r="F917" t="n">
        <x:f>Chart_Data!S181</x:f>
        <x:v>-37.76119177756128</x:v>
      </x:c>
      <x:c r="G917" t="n">
        <x:f>Chart_Data!P181</x:f>
        <x:v>29.5</x:v>
      </x:c>
      <x:c r="H917" t="n">
        <x:f>Chart_Data!T181</x:f>
        <x:v>-43.88509128896497</x:v>
      </x:c>
    </x:row>
    <x:row r="918">
      <x:c r="A918" t="n">
        <x:f>Chart_Data!P182</x:f>
        <x:v>30</x:v>
      </x:c>
      <x:c r="B918" t="n">
        <x:f>Chart_Data!Q182</x:f>
        <x:v>-255.71530170509504</x:v>
      </x:c>
      <x:c r="C918" t="n">
        <x:f>Chart_Data!P182</x:f>
        <x:v>30</x:v>
      </x:c>
      <x:c r="D918" t="n">
        <x:f>Chart_Data!R182</x:f>
        <x:v>-293.2127943361593</x:v>
      </x:c>
      <x:c r="E918" t="n">
        <x:f>Chart_Data!P182</x:f>
        <x:v>30</x:v>
      </x:c>
      <x:c r="F918" t="n">
        <x:f>Chart_Data!S182</x:f>
        <x:v>-38.39569094671097</x:v>
      </x:c>
      <x:c r="G918" t="n">
        <x:f>Chart_Data!P182</x:f>
        <x:v>30</x:v>
      </x:c>
      <x:c r="H918" t="n">
        <x:f>Chart_Data!T182</x:f>
        <x:v>-44.02594509551942</x:v>
      </x:c>
    </x:row>
    <x:row r="919">
      <x:c r="A919" t="n">
        <x:f>Chart_Data!P183</x:f>
        <x:v>30.5</x:v>
      </x:c>
      <x:c r="B919" t="n">
        <x:f>Chart_Data!Q183</x:f>
        <x:v>-259.939234788817</x:v>
      </x:c>
      <x:c r="C919" t="n">
        <x:f>Chart_Data!P183</x:f>
        <x:v>30.5</x:v>
      </x:c>
      <x:c r="D919" t="n">
        <x:f>Chart_Data!R183</x:f>
        <x:v>-289.90851072876467</x:v>
      </x:c>
      <x:c r="E919" t="n">
        <x:f>Chart_Data!P183</x:f>
        <x:v>30.5</x:v>
      </x:c>
      <x:c r="F919" t="n">
        <x:f>Chart_Data!S183</x:f>
        <x:v>-39.02991513345601</x:v>
      </x:c>
      <x:c r="G919" t="n">
        <x:f>Chart_Data!P183</x:f>
        <x:v>30.5</x:v>
      </x:c>
      <x:c r="H919" t="n">
        <x:f>Chart_Data!T183</x:f>
        <x:v>-43.529806415730434</x:v>
      </x:c>
    </x:row>
    <x:row r="920">
      <x:c r="A920" t="n">
        <x:f>Chart_Data!P184</x:f>
        <x:v>31</x:v>
      </x:c>
      <x:c r="B920" t="n">
        <x:f>Chart_Data!Q184</x:f>
        <x:v>-264.16130781663014</x:v>
      </x:c>
      <x:c r="C920" t="n">
        <x:f>Chart_Data!P184</x:f>
        <x:v>31</x:v>
      </x:c>
      <x:c r="D920" t="n">
        <x:f>Chart_Data!R184</x:f>
        <x:v>-301.4594318800846</x:v>
      </x:c>
      <x:c r="E920" t="n">
        <x:f>Chart_Data!P184</x:f>
        <x:v>31</x:v>
      </x:c>
      <x:c r="F920" t="n">
        <x:f>Chart_Data!S184</x:f>
        <x:v>-39.663860032527054</x:v>
      </x:c>
      <x:c r="G920" t="n">
        <x:f>Chart_Data!P184</x:f>
        <x:v>31</x:v>
      </x:c>
      <x:c r="H920" t="n">
        <x:f>Chart_Data!T184</x:f>
        <x:v>-45.264178960973666</x:v>
      </x:c>
    </x:row>
    <x:row r="921">
      <x:c r="A921" t="n">
        <x:f>Chart_Data!P185</x:f>
        <x:v>31.5</x:v>
      </x:c>
      <x:c r="B921" t="n">
        <x:f>Chart_Data!Q185</x:f>
        <x:v>-268.38149222203356</x:v>
      </x:c>
      <x:c r="C921" t="n">
        <x:f>Chart_Data!P185</x:f>
        <x:v>31.5</x:v>
      </x:c>
      <x:c r="D921" t="n">
        <x:f>Chart_Data!R185</x:f>
        <x:v>-295.7054253145543</x:v>
      </x:c>
      <x:c r="E921" t="n">
        <x:f>Chart_Data!P185</x:f>
        <x:v>31.5</x:v>
      </x:c>
      <x:c r="F921" t="n">
        <x:f>Chart_Data!S185</x:f>
        <x:v>-40.29752135465969</x:v>
      </x:c>
      <x:c r="G921" t="n">
        <x:f>Chart_Data!P185</x:f>
        <x:v>31.5</x:v>
      </x:c>
      <x:c r="H921" t="n">
        <x:f>Chart_Data!T185</x:f>
        <x:v>-44.40021401119434</x:v>
      </x:c>
    </x:row>
    <x:row r="922">
      <x:c r="A922" t="n">
        <x:f>Chart_Data!P186</x:f>
        <x:v>32</x:v>
      </x:c>
      <x:c r="B922" t="n">
        <x:f>Chart_Data!Q186</x:f>
        <x:v>-272.599759519926</x:v>
      </x:c>
      <x:c r="C922" t="n">
        <x:f>Chart_Data!P186</x:f>
        <x:v>32</x:v>
      </x:c>
      <x:c r="D922" t="n">
        <x:f>Chart_Data!R186</x:f>
        <x:v>-254.59907467848097</x:v>
      </x:c>
      <x:c r="E922" t="n">
        <x:f>Chart_Data!P186</x:f>
        <x:v>32</x:v>
      </x:c>
      <x:c r="F922" t="n">
        <x:f>Chart_Data!S186</x:f>
        <x:v>-40.930894822811716</x:v>
      </x:c>
      <x:c r="G922" t="n">
        <x:f>Chart_Data!P186</x:f>
        <x:v>32</x:v>
      </x:c>
      <x:c r="H922" t="n">
        <x:f>Chart_Data!T186</x:f>
        <x:v>-38.22808929106321</x:v>
      </x:c>
    </x:row>
    <x:row r="923">
      <x:c r="A923" t="n">
        <x:f>Chart_Data!P187</x:f>
        <x:v>32.5</x:v>
      </x:c>
      <x:c r="B923" t="n">
        <x:f>Chart_Data!Q187</x:f>
        <x:v>-276.81608131206303</x:v>
      </x:c>
      <x:c r="C923" t="n">
        <x:f>Chart_Data!P187</x:f>
        <x:v>32.5</x:v>
      </x:c>
      <x:c r="D923" t="n">
        <x:f>Chart_Data!R187</x:f>
        <x:v>-271.14112996578115</x:v>
      </x:c>
      <x:c r="E923" t="n">
        <x:f>Chart_Data!P187</x:f>
        <x:v>32.5</x:v>
      </x:c>
      <x:c r="F923" t="n">
        <x:f>Chart_Data!S187</x:f>
        <x:v>-41.56397617298244</x:v>
      </x:c>
      <x:c r="G923" t="n">
        <x:f>Chart_Data!P187</x:f>
        <x:v>32.5</x:v>
      </x:c>
      <x:c r="H923" t="n">
        <x:f>Chart_Data!T187</x:f>
        <x:v>-40.71188137624342</x:v>
      </x:c>
    </x:row>
    <x:row r="924">
      <x:c r="A924" t="n">
        <x:f>Chart_Data!P188</x:f>
        <x:v>33</x:v>
      </x:c>
      <x:c r="B924" t="n">
        <x:f>Chart_Data!Q188</x:f>
        <x:v>-281.0304293043373</x:v>
      </x:c>
      <x:c r="C924" t="n">
        <x:f>Chart_Data!P188</x:f>
        <x:v>33</x:v>
      </x:c>
      <x:c r="D924" t="n">
        <x:f>Chart_Data!R188</x:f>
        <x:v>-283.8938267223057</x:v>
      </x:c>
      <x:c r="E924" t="n">
        <x:f>Chart_Data!P188</x:f>
        <x:v>33</x:v>
      </x:c>
      <x:c r="F924" t="n">
        <x:f>Chart_Data!S188</x:f>
        <x:v>-42.196761156807405</x:v>
      </x:c>
      <x:c r="G924" t="n">
        <x:f>Chart_Data!P188</x:f>
        <x:v>33</x:v>
      </x:c>
      <x:c r="H924" t="n">
        <x:f>Chart_Data!T188</x:f>
        <x:v>-42.62670070905491</x:v>
      </x:c>
    </x:row>
    <x:row r="925">
      <x:c r="A925" t="n">
        <x:f>Chart_Data!P189</x:f>
        <x:v>33.5</x:v>
      </x:c>
      <x:c r="B925" t="n">
        <x:f>Chart_Data!Q189</x:f>
        <x:v>-285.24277529395476</x:v>
      </x:c>
      <x:c r="C925" t="n">
        <x:f>Chart_Data!P189</x:f>
        <x:v>33.5</x:v>
      </x:c>
      <x:c r="D925" t="n">
        <x:f>Chart_Data!R189</x:f>
        <x:v>-258.09890866003116</x:v>
      </x:c>
      <x:c r="E925" t="n">
        <x:f>Chart_Data!P189</x:f>
        <x:v>33.5</x:v>
      </x:c>
      <x:c r="F925" t="n">
        <x:f>Chart_Data!S189</x:f>
        <x:v>-42.82924553963285</x:v>
      </x:c>
      <x:c r="G925" t="n">
        <x:f>Chart_Data!P189</x:f>
        <x:v>33.5</x:v>
      </x:c>
      <x:c r="H925" t="n">
        <x:f>Chart_Data!T189</x:f>
        <x:v>-38.75358988889357</x:v>
      </x:c>
    </x:row>
    <x:row r="926">
      <x:c r="A926" t="n">
        <x:f>Chart_Data!P190</x:f>
        <x:v>34</x:v>
      </x:c>
      <x:c r="B926" t="n">
        <x:f>Chart_Data!Q190</x:f>
        <x:v>-289.4530911666152</x:v>
      </x:c>
      <x:c r="C926" t="n">
        <x:f>Chart_Data!P190</x:f>
        <x:v>34</x:v>
      </x:c>
      <x:c r="D926" t="n">
        <x:f>Chart_Data!R190</x:f>
        <x:v>-253.7267367678396</x:v>
      </x:c>
      <x:c r="E926" t="n">
        <x:f>Chart_Data!P190</x:f>
        <x:v>34</x:v>
      </x:c>
      <x:c r="F926" t="n">
        <x:f>Chart_Data!S190</x:f>
        <x:v>-43.46142510009238</x:v>
      </x:c>
      <x:c r="G926" t="n">
        <x:f>Chart_Data!P190</x:f>
        <x:v>34</x:v>
      </x:c>
      <x:c r="H926" t="n">
        <x:f>Chart_Data!T190</x:f>
        <x:v>-38.097107622798745</x:v>
      </x:c>
    </x:row>
    <x:row r="927">
      <x:c r="A927" t="n">
        <x:f>Chart_Data!P191</x:f>
        <x:v>34.5</x:v>
      </x:c>
      <x:c r="B927" t="n">
        <x:f>Chart_Data!Q191</x:f>
        <x:v>-293.66134891224647</x:v>
      </x:c>
      <x:c r="C927" t="n">
        <x:f>Chart_Data!P191</x:f>
        <x:v>34.5</x:v>
      </x:c>
      <x:c r="D927" t="n">
        <x:f>Chart_Data!R191</x:f>
        <x:v>-295.78985259904584</x:v>
      </x:c>
      <x:c r="E927" t="n">
        <x:f>Chart_Data!P191</x:f>
        <x:v>34.5</x:v>
      </x:c>
      <x:c r="F927" t="n">
        <x:f>Chart_Data!S191</x:f>
        <x:v>-44.09329563246944</x:v>
      </x:c>
      <x:c r="G927" t="n">
        <x:f>Chart_Data!P191</x:f>
        <x:v>34.5</x:v>
      </x:c>
      <x:c r="H927" t="n">
        <x:f>Chart_Data!T191</x:f>
        <x:v>-44.41289078063752</x:v>
      </x:c>
    </x:row>
    <x:row r="928">
      <x:c r="A928" t="n">
        <x:f>Chart_Data!P192</x:f>
        <x:v>35</x:v>
      </x:c>
      <x:c r="B928" t="n">
        <x:f>Chart_Data!Q192</x:f>
        <x:v>-297.8675206210937</x:v>
      </x:c>
      <x:c r="C928" t="n">
        <x:f>Chart_Data!P192</x:f>
        <x:v>35</x:v>
      </x:c>
      <x:c r="D928" t="n">
        <x:f>Chart_Data!R192</x:f>
        <x:v>-307.8352331618589</x:v>
      </x:c>
      <x:c r="E928" t="n">
        <x:f>Chart_Data!P192</x:f>
        <x:v>35</x:v>
      </x:c>
      <x:c r="F928" t="n">
        <x:f>Chart_Data!S192</x:f>
        <x:v>-44.72485294611017</x:v>
      </x:c>
      <x:c r="G928" t="n">
        <x:f>Chart_Data!P192</x:f>
        <x:v>35</x:v>
      </x:c>
      <x:c r="H928" t="n">
        <x:f>Chart_Data!T192</x:f>
        <x:v>-46.2215064807596</x:v>
      </x:c>
    </x:row>
    <x:row r="929">
      <x:c r="A929" t="n">
        <x:f>Chart_Data!P193</x:f>
        <x:v>35.5</x:v>
      </x:c>
      <x:c r="B929" t="n">
        <x:f>Chart_Data!Q193</x:f>
        <x:v>-302.0715784808999</x:v>
      </x:c>
      <x:c r="C929" t="n">
        <x:f>Chart_Data!P193</x:f>
        <x:v>35.5</x:v>
      </x:c>
      <x:c r="D929" t="n">
        <x:f>Chart_Data!R193</x:f>
        <x:v>-286.6069943915136</x:v>
      </x:c>
      <x:c r="E929" t="n">
        <x:f>Chart_Data!P193</x:f>
        <x:v>35.5</x:v>
      </x:c>
      <x:c r="F929" t="n">
        <x:f>Chart_Data!S193</x:f>
        <x:v>-45.356092864999994</x:v>
      </x:c>
      <x:c r="G929" t="n">
        <x:f>Chart_Data!P193</x:f>
        <x:v>35.5</x:v>
      </x:c>
      <x:c r="H929" t="n">
        <x:f>Chart_Data!T193</x:f>
        <x:v>-43.03408324196901</x:v>
      </x:c>
    </x:row>
    <x:row r="930">
      <x:c r="A930" t="n">
        <x:f>Chart_Data!P194</x:f>
        <x:v>36</x:v>
      </x:c>
      <x:c r="B930" t="n">
        <x:f>Chart_Data!Q194</x:f>
        <x:v>-306.2734947710851</x:v>
      </x:c>
      <x:c r="C930" t="n">
        <x:f>Chart_Data!P194</x:f>
        <x:v>36</x:v>
      </x:c>
      <x:c r="D930" t="n">
        <x:f>Chart_Data!R194</x:f>
        <x:v>-256.20808419480454</x:v>
      </x:c>
      <x:c r="E930" t="n">
        <x:f>Chart_Data!P194</x:f>
        <x:v>36</x:v>
      </x:c>
      <x:c r="F930" t="n">
        <x:f>Chart_Data!S194</x:f>
        <x:v>-45.987011226889656</x:v>
      </x:c>
      <x:c r="G930" t="n">
        <x:f>Chart_Data!P194</x:f>
        <x:v>36</x:v>
      </x:c>
      <x:c r="H930" t="n">
        <x:f>Chart_Data!T194</x:f>
        <x:v>-38.46968231153222</x:v>
      </x:c>
    </x:row>
    <x:row r="931">
      <x:c r="A931" t="n">
        <x:f>Chart_Data!P195</x:f>
        <x:v>36.5</x:v>
      </x:c>
      <x:c r="B931" t="n">
        <x:f>Chart_Data!Q195</x:f>
        <x:v>-310.4732418857566</x:v>
      </x:c>
      <x:c r="C931" t="n">
        <x:f>Chart_Data!P195</x:f>
        <x:v>36.5</x:v>
      </x:c>
      <x:c r="D931" t="n">
        <x:f>Chart_Data!R195</x:f>
        <x:v>-270.33211644011317</x:v>
      </x:c>
      <x:c r="E931" t="n">
        <x:f>Chart_Data!P195</x:f>
        <x:v>36.5</x:v>
      </x:c>
      <x:c r="F931" t="n">
        <x:f>Chart_Data!S195</x:f>
        <x:v>-46.61760388675024</x:v>
      </x:c>
      <x:c r="G931" t="n">
        <x:f>Chart_Data!P195</x:f>
        <x:v>36.5</x:v>
      </x:c>
      <x:c r="H931" t="n">
        <x:f>Chart_Data!T195</x:f>
        <x:v>-40.59040787389087</x:v>
      </x:c>
    </x:row>
    <x:row r="932">
      <x:c r="A932" t="n">
        <x:f>Chart_Data!P196</x:f>
        <x:v>37</x:v>
      </x:c>
      <x:c r="B932" t="n">
        <x:f>Chart_Data!Q196</x:f>
        <x:v>-314.6707923143367</x:v>
      </x:c>
      <x:c r="C932" t="n">
        <x:f>Chart_Data!P196</x:f>
        <x:v>37</x:v>
      </x:c>
      <x:c r="D932" t="n">
        <x:f>Chart_Data!R196</x:f>
        <x:v>-304.7320025682893</x:v>
      </x:c>
      <x:c r="E932" t="n">
        <x:f>Chart_Data!P196</x:f>
        <x:v>37</x:v>
      </x:c>
      <x:c r="F932" t="n">
        <x:f>Chart_Data!S196</x:f>
        <x:v>-47.247866713864376</x:v>
      </x:c>
      <x:c r="G932" t="n">
        <x:f>Chart_Data!P196</x:f>
        <x:v>37</x:v>
      </x:c>
      <x:c r="H932" t="n">
        <x:f>Chart_Data!T196</x:f>
        <x:v>-45.75555594118459</x:v>
      </x:c>
    </x:row>
    <x:row r="933">
      <x:c r="A933" t="n">
        <x:f>Chart_Data!P197</x:f>
        <x:v>37.5</x:v>
      </x:c>
      <x:c r="B933" t="n">
        <x:f>Chart_Data!Q197</x:f>
        <x:v>-318.8661186490208</x:v>
      </x:c>
      <x:c r="C933" t="n">
        <x:f>Chart_Data!P197</x:f>
        <x:v>37.5</x:v>
      </x:c>
      <x:c r="D933" t="n">
        <x:f>Chart_Data!R197</x:f>
        <x:v>-310.94330885744057</x:v>
      </x:c>
      <x:c r="E933" t="n">
        <x:f>Chart_Data!P197</x:f>
        <x:v>37.5</x:v>
      </x:c>
      <x:c r="F933" t="n">
        <x:f>Chart_Data!S197</x:f>
        <x:v>-47.87779559294607</x:v>
      </x:c>
      <x:c r="G933" t="n">
        <x:f>Chart_Data!P197</x:f>
        <x:v>37.5</x:v>
      </x:c>
      <x:c r="H933" t="n">
        <x:f>Chart_Data!T197</x:f>
        <x:v>-46.688184513129215</x:v>
      </x:c>
    </x:row>
    <x:row r="934">
      <x:c r="A934" t="n">
        <x:f>Chart_Data!P198</x:f>
        <x:v>38</x:v>
      </x:c>
      <x:c r="B934" t="n">
        <x:f>Chart_Data!Q198</x:f>
        <x:v>-323.0591935966004</x:v>
      </x:c>
      <x:c r="C934" t="n">
        <x:f>Chart_Data!P198</x:f>
        <x:v>38</x:v>
      </x:c>
      <x:c r="D934" t="n">
        <x:f>Chart_Data!R198</x:f>
        <x:v>-274.9239634749756</x:v>
      </x:c>
      <x:c r="E934" t="n">
        <x:f>Chart_Data!P198</x:f>
        <x:v>38</x:v>
      </x:c>
      <x:c r="F934" t="n">
        <x:f>Chart_Data!S198</x:f>
        <x:v>-48.507386425915975</x:v>
      </x:c>
      <x:c r="G934" t="n">
        <x:f>Chart_Data!P198</x:f>
        <x:v>38</x:v>
      </x:c>
      <x:c r="H934" t="n">
        <x:f>Chart_Data!T198</x:f>
        <x:v>-41.27987439564199</x:v>
      </x:c>
    </x:row>
    <x:row r="935">
      <x:c r="A935" t="n">
        <x:f>Chart_Data!P199</x:f>
        <x:v>38.5</x:v>
      </x:c>
      <x:c r="B935" t="n">
        <x:f>Chart_Data!Q199</x:f>
        <x:v>-327.2499899624563</x:v>
      </x:c>
      <x:c r="C935" t="n">
        <x:f>Chart_Data!P199</x:f>
        <x:v>38.5</x:v>
      </x:c>
      <x:c r="D935" t="n">
        <x:f>Chart_Data!R199</x:f>
        <x:v>-295.00116253339</x:v>
      </x:c>
      <x:c r="E935" t="n">
        <x:f>Chart_Data!P199</x:f>
        <x:v>38.5</x:v>
      </x:c>
      <x:c r="F935" t="n">
        <x:f>Chart_Data!S199</x:f>
        <x:v>-49.13663512949795</x:v>
      </x:c>
      <x:c r="G935" t="n">
        <x:f>Chart_Data!P199</x:f>
        <x:v>38.5</x:v>
      </x:c>
      <x:c r="H935" t="n">
        <x:f>Chart_Data!T199</x:f>
        <x:v>-44.29446884885736</x:v>
      </x:c>
    </x:row>
    <x:row r="936">
      <x:c r="A936" t="n">
        <x:f>Chart_Data!P200</x:f>
        <x:v>39</x:v>
      </x:c>
      <x:c r="B936" t="n">
        <x:f>Chart_Data!Q200</x:f>
        <x:v>-331.4384806597445</x:v>
      </x:c>
      <x:c r="C936" t="n">
        <x:f>Chart_Data!P200</x:f>
        <x:v>39</x:v>
      </x:c>
      <x:c r="D936" t="n">
        <x:f>Chart_Data!R200</x:f>
        <x:v>-351.0190914843406</x:v>
      </x:c>
      <x:c r="E936" t="n">
        <x:f>Chart_Data!P200</x:f>
        <x:v>39</x:v>
      </x:c>
      <x:c r="F936" t="n">
        <x:f>Chart_Data!S200</x:f>
        <x:v>-49.76553763659828</x:v>
      </x:c>
      <x:c r="G936" t="n">
        <x:f>Chart_Data!P200</x:f>
        <x:v>39</x:v>
      </x:c>
      <x:c r="H936" t="n">
        <x:f>Chart_Data!T200</x:f>
        <x:v>-52.705569291943036</x:v>
      </x:c>
    </x:row>
    <x:row r="937">
      <x:c r="A937" t="n">
        <x:f>Chart_Data!P201</x:f>
        <x:v>39.5</x:v>
      </x:c>
      <x:c r="B937" t="n">
        <x:f>Chart_Data!Q201</x:f>
        <x:v>-335.62463871039654</x:v>
      </x:c>
      <x:c r="C937" t="n">
        <x:f>Chart_Data!P201</x:f>
        <x:v>39.5</x:v>
      </x:c>
      <x:c r="D937" t="n">
        <x:f>Chart_Data!R201</x:f>
        <x:v>-332.6760334270148</x:v>
      </x:c>
      <x:c r="E937" t="n">
        <x:f>Chart_Data!P201</x:f>
        <x:v>39.5</x:v>
      </x:c>
      <x:c r="F937" t="n">
        <x:f>Chart_Data!S201</x:f>
        <x:v>-50.39408989645594</x:v>
      </x:c>
      <x:c r="G937" t="n">
        <x:f>Chart_Data!P201</x:f>
        <x:v>39.5</x:v>
      </x:c>
      <x:c r="H937" t="n">
        <x:f>Chart_Data!T201</x:f>
        <x:v>-49.951356370422644</x:v>
      </x:c>
    </x:row>
    <x:row r="938">
      <x:c r="A938" t="n">
        <x:f>Chart_Data!P202</x:f>
        <x:v>40</x:v>
      </x:c>
      <x:c r="B938" t="n">
        <x:f>Chart_Data!Q202</x:f>
        <x:v>-339.80843724993974</x:v>
      </x:c>
      <x:c r="C938" t="n">
        <x:f>Chart_Data!P202</x:f>
        <x:v>40</x:v>
      </x:c>
      <x:c r="D938" t="n">
        <x:f>Chart_Data!R202</x:f>
        <x:v>-337.1917719139674</x:v>
      </x:c>
      <x:c r="E938" t="n">
        <x:f>Chart_Data!P202</x:f>
        <x:v>40</x:v>
      </x:c>
      <x:c r="F938" t="n">
        <x:f>Chart_Data!S202</x:f>
        <x:v>-51.02228787536633</x:v>
      </x:c>
      <x:c r="G938" t="n">
        <x:f>Chart_Data!P202</x:f>
        <x:v>40</x:v>
      </x:c>
      <x:c r="H938" t="n">
        <x:f>Chart_Data!T202</x:f>
        <x:v>-50.62939518227739</x:v>
      </x:c>
    </x:row>
    <x:row r="939">
      <x:c r="A939" t="n">
        <x:f>Chart_Data!P203</x:f>
        <x:v>40.5</x:v>
      </x:c>
      <x:c r="B939" t="n">
        <x:f>Chart_Data!Q203</x:f>
        <x:v>-343.98984952458704</x:v>
      </x:c>
      <x:c r="C939" t="n">
        <x:f>Chart_Data!P203</x:f>
        <x:v>40.5</x:v>
      </x:c>
      <x:c r="D939" t="n">
        <x:f>Chart_Data!R203</x:f>
        <x:v>-388.8944572384389</x:v>
      </x:c>
      <x:c r="E939" t="n">
        <x:f>Chart_Data!P203</x:f>
        <x:v>40.5</x:v>
      </x:c>
      <x:c r="F939" t="n">
        <x:f>Chart_Data!S203</x:f>
        <x:v>-51.65012755624431</x:v>
      </x:c>
      <x:c r="G939" t="n">
        <x:f>Chart_Data!P203</x:f>
        <x:v>40.5</x:v>
      </x:c>
      <x:c r="H939" t="n">
        <x:f>Chart_Data!T203</x:f>
        <x:v>-58.392561146912755</x:v>
      </x:c>
    </x:row>
    <x:row r="940">
      <x:c r="A940" t="n">
        <x:f>Chart_Data!P204</x:f>
        <x:v>41</x:v>
      </x:c>
      <x:c r="B940" t="n">
        <x:f>Chart_Data!Q204</x:f>
        <x:v>-348.16884888314235</x:v>
      </x:c>
      <x:c r="C940" t="n">
        <x:f>Chart_Data!P204</x:f>
        <x:v>41</x:v>
      </x:c>
      <x:c r="D940" t="n">
        <x:f>Chart_Data!R204</x:f>
        <x:v>-398.15439784842965</x:v>
      </x:c>
      <x:c r="E940" t="n">
        <x:f>Chart_Data!P204</x:f>
        <x:v>41</x:v>
      </x:c>
      <x:c r="F940" t="n">
        <x:f>Chart_Data!S204</x:f>
        <x:v>-52.27760493740877</x:v>
      </x:c>
      <x:c r="G940" t="n">
        <x:f>Chart_Data!P204</x:f>
        <x:v>41</x:v>
      </x:c>
      <x:c r="H940" t="n">
        <x:f>Chart_Data!T204</x:f>
        <x:v>-59.78294261988434</x:v>
      </x:c>
    </x:row>
    <x:row r="941">
      <x:c r="A941" t="n">
        <x:f>Chart_Data!P205</x:f>
        <x:v>41.5</x:v>
      </x:c>
      <x:c r="B941" t="n">
        <x:f>Chart_Data!Q205</x:f>
        <x:v>-352.3454087967366</x:v>
      </x:c>
      <x:c r="C941" t="n">
        <x:f>Chart_Data!P205</x:f>
        <x:v>41.5</x:v>
      </x:c>
      <x:c r="D941" t="n">
        <x:f>Chart_Data!R205</x:f>
        <x:v>-361.1079984811113</x:v>
      </x:c>
      <x:c r="E941" t="n">
        <x:f>Chart_Data!P205</x:f>
        <x:v>41.5</x:v>
      </x:c>
      <x:c r="F941" t="n">
        <x:f>Chart_Data!S205</x:f>
        <x:v>-52.90471603554604</x:v>
      </x:c>
      <x:c r="G941" t="n">
        <x:f>Chart_Data!P205</x:f>
        <x:v>41.5</x:v>
      </x:c>
      <x:c r="H941" t="n">
        <x:f>Chart_Data!T205</x:f>
        <x:v>-54.22042019235906</x:v>
      </x:c>
    </x:row>
    <x:row r="942">
      <x:c r="A942" t="n">
        <x:f>Chart_Data!P206</x:f>
        <x:v>42</x:v>
      </x:c>
      <x:c r="B942" t="n">
        <x:f>Chart_Data!Q206</x:f>
        <x:v>-356.5195028526432</x:v>
      </x:c>
      <x:c r="C942" t="n">
        <x:f>Chart_Data!P206</x:f>
        <x:v>42</x:v>
      </x:c>
      <x:c r="D942" t="n">
        <x:f>Chart_Data!R206</x:f>
        <x:v>-371.61471890167377</x:v>
      </x:c>
      <x:c r="E942" t="n">
        <x:f>Chart_Data!P206</x:f>
        <x:v>42</x:v>
      </x:c>
      <x:c r="F942" t="n">
        <x:f>Chart_Data!S206</x:f>
        <x:v>-53.531456884781264</x:v>
      </x:c>
      <x:c r="G942" t="n">
        <x:f>Chart_Data!P206</x:f>
        <x:v>42</x:v>
      </x:c>
      <x:c r="H942" t="n">
        <x:f>Chart_Data!T206</x:f>
        <x:v>-55.79800584109216</x:v>
      </x:c>
    </x:row>
    <x:row r="943">
      <x:c r="A943" t="n">
        <x:f>Chart_Data!P207</x:f>
        <x:v>42.5</x:v>
      </x:c>
      <x:c r="B943" t="n">
        <x:f>Chart_Data!Q207</x:f>
        <x:v>-360.6911047401809</x:v>
      </x:c>
      <x:c r="C943" t="n">
        <x:f>Chart_Data!P207</x:f>
        <x:v>42.5</x:v>
      </x:c>
      <x:c r="D943" t="n">
        <x:f>Chart_Data!R207</x:f>
        <x:v>-398.58972229558276</x:v>
      </x:c>
      <x:c r="E943" t="n">
        <x:f>Chart_Data!P207</x:f>
        <x:v>42.5</x:v>
      </x:c>
      <x:c r="F943" t="n">
        <x:f>Chart_Data!S207</x:f>
        <x:v>-54.1578235345617</x:v>
      </x:c>
      <x:c r="G943" t="n">
        <x:f>Chart_Data!P207</x:f>
        <x:v>42.5</x:v>
      </x:c>
      <x:c r="H943" t="n">
        <x:f>Chart_Data!T207</x:f>
        <x:v>-59.848306650988405</x:v>
      </x:c>
    </x:row>
    <x:row r="944">
      <x:c r="A944" t="n">
        <x:f>Chart_Data!P208</x:f>
        <x:v>43</x:v>
      </x:c>
      <x:c r="B944" t="n">
        <x:f>Chart_Data!Q208</x:f>
        <x:v>-364.8601882793628</x:v>
      </x:c>
      <x:c r="C944" t="n">
        <x:f>Chart_Data!P208</x:f>
        <x:v>43</x:v>
      </x:c>
      <x:c r="D944" t="n">
        <x:f>Chart_Data!R208</x:f>
        <x:v>-419.4335216990112</x:v>
      </x:c>
      <x:c r="E944" t="n">
        <x:f>Chart_Data!P208</x:f>
        <x:v>43</x:v>
      </x:c>
      <x:c r="F944" t="n">
        <x:f>Chart_Data!S208</x:f>
        <x:v>-54.78381205395838</x:v>
      </x:c>
      <x:c r="G944" t="n">
        <x:f>Chart_Data!P208</x:f>
        <x:v>43</x:v>
      </x:c>
      <x:c r="H944" t="n">
        <x:f>Chart_Data!T208</x:f>
        <x:v>-62.978006261112796</x:v>
      </x:c>
    </x:row>
    <x:row r="945">
      <x:c r="A945" t="n">
        <x:f>Chart_Data!P209</x:f>
        <x:v>43.5</x:v>
      </x:c>
      <x:c r="B945" t="n">
        <x:f>Chart_Data!Q209</x:f>
        <x:v>-369.0267273985228</x:v>
      </x:c>
      <x:c r="C945" t="n">
        <x:f>Chart_Data!P209</x:f>
        <x:v>43.5</x:v>
      </x:c>
      <x:c r="D945" t="n">
        <x:f>Chart_Data!R209</x:f>
        <x:v>-429.9051877553211</x:v>
      </x:c>
      <x:c r="E945" t="n">
        <x:f>Chart_Data!P209</x:f>
        <x:v>43.5</x:v>
      </x:c>
      <x:c r="F945" t="n">
        <x:f>Chart_Data!S209</x:f>
        <x:v>-55.40941852830673</x:v>
      </x:c>
      <x:c r="G945" t="n">
        <x:f>Chart_Data!P209</x:f>
        <x:v>43.5</x:v>
      </x:c>
      <x:c r="H945" t="n">
        <x:f>Chart_Data!T209</x:f>
        <x:v>-64.55032849178995</x:v>
      </x:c>
    </x:row>
    <x:row r="946">
      <x:c r="A946" t="n">
        <x:f>Chart_Data!P210</x:f>
        <x:v>44</x:v>
      </x:c>
      <x:c r="B946" t="n">
        <x:f>Chart_Data!Q210</x:f>
        <x:v>-373.1906961457753</x:v>
      </x:c>
      <x:c r="C946" t="n">
        <x:f>Chart_Data!P210</x:f>
        <x:v>44</x:v>
      </x:c>
      <x:c r="D946" t="n">
        <x:f>Chart_Data!R210</x:f>
        <x:v>-446.6345676146375</x:v>
      </x:c>
      <x:c r="E946" t="n">
        <x:f>Chart_Data!P210</x:f>
        <x:v>44</x:v>
      </x:c>
      <x:c r="F946" t="n">
        <x:f>Chart_Data!S210</x:f>
        <x:v>-56.034639060927226</x:v>
      </x:c>
      <x:c r="G946" t="n">
        <x:f>Chart_Data!P210</x:f>
        <x:v>44</x:v>
      </x:c>
      <x:c r="H946" t="n">
        <x:f>Chart_Data!T210</x:f>
        <x:v>-67.06224738958521</x:v>
      </x:c>
    </x:row>
    <x:row r="947">
      <x:c r="A947" t="n">
        <x:f>Chart_Data!P211</x:f>
        <x:v>44.5</x:v>
      </x:c>
      <x:c r="B947" t="n">
        <x:f>Chart_Data!Q211</x:f>
        <x:v>-377.3520686901975</x:v>
      </x:c>
      <x:c r="C947" t="n">
        <x:f>Chart_Data!P211</x:f>
        <x:v>44.5</x:v>
      </x:c>
      <x:c r="D947" t="n">
        <x:f>Chart_Data!R211</x:f>
        <x:v>-446.31989555336986</x:v>
      </x:c>
      <x:c r="E947" t="n">
        <x:f>Chart_Data!P211</x:f>
        <x:v>44.5</x:v>
      </x:c>
      <x:c r="F947" t="n">
        <x:f>Chart_Data!S211</x:f>
        <x:v>-56.65946977330293</x:v>
      </x:c>
      <x:c r="G947" t="n">
        <x:f>Chart_Data!P211</x:f>
        <x:v>44.5</x:v>
      </x:c>
      <x:c r="H947" t="n">
        <x:f>Chart_Data!T211</x:f>
        <x:v>-67.01499933233782</x:v>
      </x:c>
    </x:row>
    <x:row r="948">
      <x:c r="A948" t="n">
        <x:f>Chart_Data!P212</x:f>
        <x:v>45</x:v>
      </x:c>
      <x:c r="B948" t="n">
        <x:f>Chart_Data!Q212</x:f>
        <x:v>-381.5108193193737</x:v>
      </x:c>
      <x:c r="C948" t="n">
        <x:f>Chart_Data!P212</x:f>
        <x:v>45</x:v>
      </x:c>
      <x:c r="D948" t="n">
        <x:f>Chart_Data!R212</x:f>
        <x:v>-397.70995031030907</x:v>
      </x:c>
      <x:c r="E948" t="n">
        <x:f>Chart_Data!P212</x:f>
        <x:v>45</x:v>
      </x:c>
      <x:c r="F948" t="n">
        <x:f>Chart_Data!S212</x:f>
        <x:v>-57.28390680471077</x:v>
      </x:c>
      <x:c r="G948" t="n">
        <x:f>Chart_Data!P212</x:f>
        <x:v>45</x:v>
      </x:c>
      <x:c r="H948" t="n">
        <x:f>Chart_Data!T212</x:f>
        <x:v>-59.716208755301665</x:v>
      </x:c>
    </x:row>
    <x:row r="949">
      <x:c r="A949" t="n">
        <x:f>Chart_Data!P213</x:f>
        <x:v>45.5</x:v>
      </x:c>
      <x:c r="B949" t="n">
        <x:f>Chart_Data!Q213</x:f>
        <x:v>-385.6669224382131</x:v>
      </x:c>
      <x:c r="C949" t="n">
        <x:f>Chart_Data!P213</x:f>
        <x:v>45.5</x:v>
      </x:c>
      <x:c r="D949" t="n">
        <x:f>Chart_Data!R213</x:f>
        <x:v>-414.2659457460468</x:v>
      </x:c>
      <x:c r="E949" t="n">
        <x:f>Chart_Data!P213</x:f>
        <x:v>45.5</x:v>
      </x:c>
      <x:c r="F949" t="n">
        <x:f>Chart_Data!S213</x:f>
        <x:v>-57.90794631204401</x:v>
      </x:c>
      <x:c r="G949" t="n">
        <x:f>Chart_Data!P213</x:f>
        <x:v>45.5</x:v>
      </x:c>
      <x:c r="H949" t="n">
        <x:f>Chart_Data!T213</x:f>
        <x:v>-62.202093955862885</x:v>
      </x:c>
    </x:row>
    <x:row r="950">
      <x:c r="A950" t="n">
        <x:f>Chart_Data!P214</x:f>
        <x:v>46</x:v>
      </x:c>
      <x:c r="B950" t="n">
        <x:f>Chart_Data!Q214</x:f>
        <x:v>-389.8203525829558</x:v>
      </x:c>
      <x:c r="C950" t="n">
        <x:f>Chart_Data!P214</x:f>
        <x:v>46</x:v>
      </x:c>
      <x:c r="D950" t="n">
        <x:f>Chart_Data!R214</x:f>
        <x:v>-458.6307151440451</x:v>
      </x:c>
      <x:c r="E950" t="n">
        <x:f>Chart_Data!P214</x:f>
        <x:v>46</x:v>
      </x:c>
      <x:c r="F950" t="n">
        <x:f>Chart_Data!S214</x:f>
        <x:v>-58.531584471915295</x:v>
      </x:c>
      <x:c r="G950" t="n">
        <x:f>Chart_Data!P214</x:f>
        <x:v>46</x:v>
      </x:c>
      <x:c r="H950" t="n">
        <x:f>Chart_Data!T214</x:f>
        <x:v>-68.86347074234912</x:v>
      </x:c>
    </x:row>
    <x:row r="951">
      <x:c r="A951" t="n">
        <x:f>Chart_Data!P215</x:f>
        <x:v>46.5</x:v>
      </x:c>
      <x:c r="B951" t="n">
        <x:f>Chart_Data!Q215</x:f>
        <x:v>-393.9710844109868</x:v>
      </x:c>
      <x:c r="C951" t="n">
        <x:f>Chart_Data!P215</x:f>
        <x:v>46.5</x:v>
      </x:c>
      <x:c r="D951" t="n">
        <x:f>Chart_Data!R215</x:f>
        <x:v>-438.4974537015296</x:v>
      </x:c>
      <x:c r="E951" t="n">
        <x:f>Chart_Data!P215</x:f>
        <x:v>46.5</x:v>
      </x:c>
      <x:c r="F951" t="n">
        <x:f>Chart_Data!S215</x:f>
        <x:v>-59.15481747912715</x:v>
      </x:c>
      <x:c r="G951" t="n">
        <x:f>Chart_Data!P215</x:f>
        <x:v>46.5</x:v>
      </x:c>
      <x:c r="H951" t="n">
        <x:f>Chart_Data!T215</x:f>
        <x:v>-65.84045851374319</x:v>
      </x:c>
    </x:row>
    <x:row r="952">
      <x:c r="A952" t="n">
        <x:f>Chart_Data!P216</x:f>
        <x:v>47</x:v>
      </x:c>
      <x:c r="B952" t="n">
        <x:f>Chart_Data!Q216</x:f>
        <x:v>-398.1190926891031</x:v>
      </x:c>
      <x:c r="C952" t="n">
        <x:f>Chart_Data!P216</x:f>
        <x:v>47</x:v>
      </x:c>
      <x:c r="D952" t="n">
        <x:f>Chart_Data!R216</x:f>
        <x:v>-425.83713410422206</x:v>
      </x:c>
      <x:c r="E952" t="n">
        <x:f>Chart_Data!P216</x:f>
        <x:v>47</x:v>
      </x:c>
      <x:c r="F952" t="n">
        <x:f>Chart_Data!S216</x:f>
        <x:v>-59.77764154491039</x:v>
      </x:c>
      <x:c r="G952" t="n">
        <x:f>Chart_Data!P216</x:f>
        <x:v>47</x:v>
      </x:c>
      <x:c r="H952" t="n">
        <x:f>Chart_Data!T216</x:f>
        <x:v>-63.93950962525857</x:v>
      </x:c>
    </x:row>
    <x:row r="953">
      <x:c r="A953" t="n">
        <x:f>Chart_Data!P217</x:f>
        <x:v>47.5</x:v>
      </x:c>
      <x:c r="B953" t="n">
        <x:f>Chart_Data!Q217</x:f>
        <x:v>-402.26435232361837</x:v>
      </x:c>
      <x:c r="C953" t="n">
        <x:f>Chart_Data!P217</x:f>
        <x:v>47.5</x:v>
      </x:c>
      <x:c r="D953" t="n">
        <x:f>Chart_Data!R217</x:f>
        <x:v>-393.00673283623837</x:v>
      </x:c>
      <x:c r="E953" t="n">
        <x:f>Chart_Data!P217</x:f>
        <x:v>47.5</x:v>
      </x:c>
      <x:c r="F953" t="n">
        <x:f>Chart_Data!S217</x:f>
        <x:v>-60.400052901444205</x:v>
      </x:c>
      <x:c r="G953" t="n">
        <x:f>Chart_Data!P217</x:f>
        <x:v>47.5</x:v>
      </x:c>
      <x:c r="H953" t="n">
        <x:f>Chart_Data!T217</x:f>
        <x:v>-59.01001994538114</x:v>
      </x:c>
    </x:row>
    <x:row r="954">
      <x:c r="A954" t="n">
        <x:f>Chart_Data!P218</x:f>
        <x:v>48</x:v>
      </x:c>
      <x:c r="B954" t="n">
        <x:f>Chart_Data!Q218</x:f>
        <x:v>-406.40683834462834</x:v>
      </x:c>
      <x:c r="C954" t="n">
        <x:f>Chart_Data!P218</x:f>
        <x:v>48</x:v>
      </x:c>
      <x:c r="D954" t="n">
        <x:f>Chart_Data!R218</x:f>
        <x:v>-396.2138094164402</x:v>
      </x:c>
      <x:c r="E954" t="n">
        <x:f>Chart_Data!P218</x:f>
        <x:v>48</x:v>
      </x:c>
      <x:c r="F954" t="n">
        <x:f>Chart_Data!S218</x:f>
        <x:v>-61.02204779949375</x:v>
      </x:c>
      <x:c r="G954" t="n">
        <x:f>Chart_Data!P218</x:f>
        <x:v>48</x:v>
      </x:c>
      <x:c r="H954" t="n">
        <x:f>Chart_Data!T218</x:f>
        <x:v>-59.491562975441475</x:v>
      </x:c>
    </x:row>
    <x:row r="955">
      <x:c r="A955" t="n">
        <x:f>Chart_Data!P219</x:f>
        <x:v>48.5</x:v>
      </x:c>
      <x:c r="B955" t="n">
        <x:f>Chart_Data!Q219</x:f>
        <x:v>-410.54652591110425</x:v>
      </x:c>
      <x:c r="C955" t="n">
        <x:f>Chart_Data!P219</x:f>
        <x:v>48.5</x:v>
      </x:c>
      <x:c r="D955" t="n">
        <x:f>Chart_Data!R219</x:f>
        <x:v>-435.0026550449911</x:v>
      </x:c>
      <x:c r="E955" t="n">
        <x:f>Chart_Data!P219</x:f>
        <x:v>48.5</x:v>
      </x:c>
      <x:c r="F955" t="n">
        <x:f>Chart_Data!S219</x:f>
        <x:v>-61.64362250917482</x:v>
      </x:c>
      <x:c r="G955" t="n">
        <x:f>Chart_Data!P219</x:f>
        <x:v>48.5</x:v>
      </x:c>
      <x:c r="H955" t="n">
        <x:f>Chart_Data!T219</x:f>
        <x:v>-65.31571397071939</x:v>
      </x:c>
    </x:row>
    <x:row r="956">
      <x:c r="A956" t="n">
        <x:f>Chart_Data!P220</x:f>
        <x:v>49</x:v>
      </x:c>
      <x:c r="B956" t="n">
        <x:f>Chart_Data!Q220</x:f>
        <x:v>-414.6833903003426</x:v>
      </x:c>
      <x:c r="C956" t="n">
        <x:f>Chart_Data!P220</x:f>
        <x:v>49</x:v>
      </x:c>
      <x:c r="D956" t="n">
        <x:f>Chart_Data!R220</x:f>
        <x:v>-412.3174071446556</x:v>
      </x:c>
      <x:c r="E956" t="n">
        <x:f>Chart_Data!P220</x:f>
        <x:v>49</x:v>
      </x:c>
      <x:c r="F956" t="n">
        <x:f>Chart_Data!S220</x:f>
        <x:v>-62.26477331836976</x:v>
      </x:c>
      <x:c r="G956" t="n">
        <x:f>Chart_Data!P220</x:f>
        <x:v>49</x:v>
      </x:c>
      <x:c r="H956" t="n">
        <x:f>Chart_Data!T220</x:f>
        <x:v>-61.90952059229063</x:v>
      </x:c>
    </x:row>
    <x:row r="957">
      <x:c r="A957" t="n">
        <x:f>Chart_Data!P221</x:f>
        <x:v>49.5</x:v>
      </x:c>
      <x:c r="B957" t="n">
        <x:f>Chart_Data!Q221</x:f>
        <x:v>-418.81740692178937</x:v>
      </x:c>
      <x:c r="C957" t="n">
        <x:f>Chart_Data!P221</x:f>
        <x:v>49.5</x:v>
      </x:c>
      <x:c r="D957" t="n">
        <x:f>Chart_Data!R221</x:f>
        <x:v>-409.9288273368984</x:v>
      </x:c>
      <x:c r="E957" t="n">
        <x:f>Chart_Data!P221</x:f>
        <x:v>49.5</x:v>
      </x:c>
      <x:c r="F957" t="n">
        <x:f>Chart_Data!S221</x:f>
        <x:v>-62.88549653480322</x:v>
      </x:c>
      <x:c r="G957" t="n">
        <x:f>Chart_Data!P221</x:f>
        <x:v>49.5</x:v>
      </x:c>
      <x:c r="H957" t="n">
        <x:f>Chart_Data!T221</x:f>
        <x:v>-61.550874975510276</x:v>
      </x:c>
    </x:row>
    <x:row r="958">
      <x:c r="A958" t="n">
        <x:f>Chart_Data!P222</x:f>
        <x:v>50</x:v>
      </x:c>
      <x:c r="B958" t="n">
        <x:f>Chart_Data!Q222</x:f>
        <x:v>-422.9485513214968</x:v>
      </x:c>
      <x:c r="C958" t="n">
        <x:f>Chart_Data!P222</x:f>
        <x:v>50</x:v>
      </x:c>
      <x:c r="D958" t="n">
        <x:f>Chart_Data!R222</x:f>
        <x:v>-389.68272555466683</x:v>
      </x:c>
      <x:c r="E958" t="n">
        <x:f>Chart_Data!P222</x:f>
        <x:v>50</x:v>
      </x:c>
      <x:c r="F958" t="n">
        <x:f>Chart_Data!S222</x:f>
        <x:v>-63.50578848671123</x:v>
      </x:c>
      <x:c r="G958" t="n">
        <x:f>Chart_Data!P222</x:f>
        <x:v>50</x:v>
      </x:c>
      <x:c r="H958" t="n">
        <x:f>Chart_Data!T222</x:f>
        <x:v>-58.51091975295298</x:v>
      </x:c>
    </x:row>
    <x:row r="959">
      <x:c r="A959" t="n">
        <x:f>Chart_Data!P223</x:f>
        <x:v>50.5</x:v>
      </x:c>
      <x:c r="B959" t="n">
        <x:f>Chart_Data!Q223</x:f>
        <x:v>-427.0767991610228</x:v>
      </x:c>
      <x:c r="C959" t="n">
        <x:f>Chart_Data!P223</x:f>
        <x:v>50.5</x:v>
      </x:c>
      <x:c r="D959" t="n">
        <x:f>Chart_Data!R223</x:f>
        <x:v>-392.7478406424598</x:v>
      </x:c>
      <x:c r="E959" t="n">
        <x:f>Chart_Data!P223</x:f>
        <x:v>50.5</x:v>
      </x:c>
      <x:c r="F959" t="n">
        <x:f>Chart_Data!S223</x:f>
        <x:v>-64.1256455196731</x:v>
      </x:c>
      <x:c r="G959" t="n">
        <x:f>Chart_Data!P223</x:f>
        <x:v>50.5</x:v>
      </x:c>
      <x:c r="H959" t="n">
        <x:f>Chart_Data!T223</x:f>
        <x:v>-58.971147243612585</x:v>
      </x:c>
    </x:row>
    <x:row r="960">
      <x:c r="A960" t="n">
        <x:f>Chart_Data!P224</x:f>
        <x:v>51</x:v>
      </x:c>
      <x:c r="B960" t="n">
        <x:f>Chart_Data!Q224</x:f>
        <x:v>-431.2021262460803</x:v>
      </x:c>
      <x:c r="C960" t="n">
        <x:f>Chart_Data!P224</x:f>
        <x:v>51</x:v>
      </x:c>
      <x:c r="D960" t="n">
        <x:f>Chart_Data!R224</x:f>
        <x:v>-395.66337661017315</x:v>
      </x:c>
      <x:c r="E960" t="n">
        <x:f>Chart_Data!P224</x:f>
        <x:v>51</x:v>
      </x:c>
      <x:c r="F960" t="n">
        <x:f>Chart_Data!S224</x:f>
        <x:v>-64.74506400091296</x:v>
      </x:c>
      <x:c r="G960" t="n">
        <x:f>Chart_Data!P224</x:f>
        <x:v>51</x:v>
      </x:c>
      <x:c r="H960" t="n">
        <x:f>Chart_Data!T224</x:f>
        <x:v>-59.40891540693291</x:v>
      </x:c>
    </x:row>
    <x:row r="961">
      <x:c r="A961" t="n">
        <x:f>Chart_Data!P225</x:f>
        <x:v>51.5</x:v>
      </x:c>
      <x:c r="B961" t="n">
        <x:f>Chart_Data!Q225</x:f>
        <x:v>-435.32450851025715</x:v>
      </x:c>
      <x:c r="C961" t="n">
        <x:f>Chart_Data!P225</x:f>
        <x:v>51.5</x:v>
      </x:c>
      <x:c r="D961" t="n">
        <x:f>Chart_Data!R225</x:f>
        <x:v>-388.336184705895</x:v>
      </x:c>
      <x:c r="E961" t="n">
        <x:f>Chart_Data!P225</x:f>
        <x:v>51.5</x:v>
      </x:c>
      <x:c r="F961" t="n">
        <x:f>Chart_Data!S225</x:f>
        <x:v>-65.36404031685544</x:v>
      </x:c>
      <x:c r="G961" t="n">
        <x:f>Chart_Data!P225</x:f>
        <x:v>51.5</x:v>
      </x:c>
      <x:c r="H961" t="n">
        <x:f>Chart_Data!T225</x:f>
        <x:v>-58.308736442326584</x:v>
      </x:c>
    </x:row>
    <x:row r="962">
      <x:c r="A962" t="n">
        <x:f>Chart_Data!P226</x:f>
        <x:v>52</x:v>
      </x:c>
      <x:c r="B962" t="n">
        <x:f>Chart_Data!Q226</x:f>
        <x:v>-439.4439220161985</x:v>
      </x:c>
      <x:c r="C962" t="n">
        <x:f>Chart_Data!P226</x:f>
        <x:v>52</x:v>
      </x:c>
      <x:c r="D962" t="n">
        <x:f>Chart_Data!R226</x:f>
        <x:v>-432.5621530304488</x:v>
      </x:c>
      <x:c r="E962" t="n">
        <x:f>Chart_Data!P226</x:f>
        <x:v>52</x:v>
      </x:c>
      <x:c r="F962" t="n">
        <x:f>Chart_Data!S226</x:f>
        <x:v>-65.98257087330308</x:v>
      </x:c>
      <x:c r="G962" t="n">
        <x:f>Chart_Data!P226</x:f>
        <x:v>52</x:v>
      </x:c>
      <x:c r="H962" t="n">
        <x:f>Chart_Data!T226</x:f>
        <x:v>-64.94927222679412</x:v>
      </x:c>
    </x:row>
    <x:row r="963">
      <x:c r="A963" t="n">
        <x:f>Chart_Data!P227</x:f>
        <x:v>52.5</x:v>
      </x:c>
      <x:c r="B963" t="n">
        <x:f>Chart_Data!Q227</x:f>
        <x:v>-443.56034297125007</x:v>
      </x:c>
      <x:c r="C963" t="n">
        <x:f>Chart_Data!P227</x:f>
        <x:v>52.5</x:v>
      </x:c>
      <x:c r="D963" t="n">
        <x:f>Chart_Data!R227</x:f>
        <x:v>-417.6767255714367</x:v>
      </x:c>
      <x:c r="E963" t="n">
        <x:f>Chart_Data!P227</x:f>
        <x:v>52.5</x:v>
      </x:c>
      <x:c r="F963" t="n">
        <x:f>Chart_Data!S227</x:f>
        <x:v>-66.6006520977853</x:v>
      </x:c>
      <x:c r="G963" t="n">
        <x:f>Chart_Data!P227</x:f>
        <x:v>52.5</x:v>
      </x:c>
      <x:c r="H963" t="n">
        <x:f>Chart_Data!T227</x:f>
        <x:v>-62.71422305877428</x:v>
      </x:c>
    </x:row>
    <x:row r="964">
      <x:c r="A964" t="n">
        <x:f>Chart_Data!P228</x:f>
        <x:v>53</x:v>
      </x:c>
      <x:c r="B964" t="n">
        <x:f>Chart_Data!Q228</x:f>
        <x:v>-447.67374769307935</x:v>
      </x:c>
      <x:c r="C964" t="n">
        <x:f>Chart_Data!P228</x:f>
        <x:v>53</x:v>
      </x:c>
      <x:c r="D964" t="n">
        <x:f>Chart_Data!R228</x:f>
        <x:v>-421.09802518143624</x:v>
      </x:c>
      <x:c r="E964" t="n">
        <x:f>Chart_Data!P228</x:f>
        <x:v>53</x:v>
      </x:c>
      <x:c r="F964" t="n">
        <x:f>Chart_Data!S228</x:f>
        <x:v>-67.2182804343963</x:v>
      </x:c>
      <x:c r="G964" t="n">
        <x:f>Chart_Data!P228</x:f>
        <x:v>53</x:v>
      </x:c>
      <x:c r="H964" t="n">
        <x:f>Chart_Data!T228</x:f>
        <x:v>-63.227931708924366</x:v>
      </x:c>
    </x:row>
    <x:row r="965">
      <x:c r="A965" t="n">
        <x:f>Chart_Data!P229</x:f>
        <x:v>53.5</x:v>
      </x:c>
      <x:c r="B965" t="n">
        <x:f>Chart_Data!Q229</x:f>
        <x:v>-451.7841126563326</x:v>
      </x:c>
      <x:c r="C965" t="n">
        <x:f>Chart_Data!P229</x:f>
        <x:v>53.5</x:v>
      </x:c>
      <x:c r="D965" t="n">
        <x:f>Chart_Data!R229</x:f>
        <x:v>-455.0459523180507</x:v>
      </x:c>
      <x:c r="E965" t="n">
        <x:f>Chart_Data!P229</x:f>
        <x:v>53.5</x:v>
      </x:c>
      <x:c r="F965" t="n">
        <x:f>Chart_Data!S229</x:f>
        <x:v>-67.8354523508007</x:v>
      </x:c>
      <x:c r="G965" t="n">
        <x:f>Chart_Data!P229</x:f>
        <x:v>53.5</x:v>
      </x:c>
      <x:c r="H965" t="n">
        <x:f>Chart_Data!T229</x:f>
        <x:v>-68.32521806577338</x:v>
      </x:c>
    </x:row>
    <x:row r="966">
      <x:c r="A966" t="n">
        <x:f>Chart_Data!P230</x:f>
        <x:v>54</x:v>
      </x:c>
      <x:c r="B966" t="n">
        <x:f>Chart_Data!Q230</x:f>
        <x:v>-455.89141447326256</x:v>
      </x:c>
      <x:c r="C966" t="n">
        <x:f>Chart_Data!P230</x:f>
        <x:v>54</x:v>
      </x:c>
      <x:c r="D966" t="n">
        <x:f>Chart_Data!R230</x:f>
        <x:v>-462.8956826819376</x:v>
      </x:c>
      <x:c r="E966" t="n">
        <x:f>Chart_Data!P230</x:f>
        <x:v>54</x:v>
      </x:c>
      <x:c r="F966" t="n">
        <x:f>Chart_Data!S230</x:f>
        <x:v>-68.45216433532471</x:v>
      </x:c>
      <x:c r="G966" t="n">
        <x:f>Chart_Data!P230</x:f>
        <x:v>54</x:v>
      </x:c>
      <x:c r="H966" t="n">
        <x:f>Chart_Data!T230</x:f>
        <x:v>-69.50385625854919</x:v>
      </x:c>
    </x:row>
    <x:row r="967">
      <x:c r="A967" t="n">
        <x:f>Chart_Data!P231</x:f>
        <x:v>54.5</x:v>
      </x:c>
      <x:c r="B967" t="n">
        <x:f>Chart_Data!Q231</x:f>
        <x:v>-459.9956298745383</x:v>
      </x:c>
      <x:c r="C967" t="n">
        <x:f>Chart_Data!P231</x:f>
        <x:v>54.5</x:v>
      </x:c>
      <x:c r="D967" t="n">
        <x:f>Chart_Data!R231</x:f>
        <x:v>-449.1931834153547</x:v>
      </x:c>
      <x:c r="E967" t="n">
        <x:f>Chart_Data!P231</x:f>
        <x:v>54.5</x:v>
      </x:c>
      <x:c r="F967" t="n">
        <x:f>Chart_Data!S231</x:f>
        <x:v>-69.06841289407483</x:v>
      </x:c>
      <x:c r="G967" t="n">
        <x:f>Chart_Data!P231</x:f>
        <x:v>54.5</x:v>
      </x:c>
      <x:c r="H967" t="n">
        <x:f>Chart_Data!T231</x:f>
        <x:v>-67.44642393623946</x:v>
      </x:c>
    </x:row>
    <x:row r="968">
      <x:c r="A968" t="n">
        <x:f>Chart_Data!P232</x:f>
        <x:v>55</x:v>
      </x:c>
      <x:c r="B968" t="n">
        <x:f>Chart_Data!Q232</x:f>
        <x:v>-464.0967357390764</x:v>
      </x:c>
      <x:c r="C968" t="n">
        <x:f>Chart_Data!P232</x:f>
        <x:v>55</x:v>
      </x:c>
      <x:c r="D968" t="n">
        <x:f>Chart_Data!R232</x:f>
        <x:v>-455.00982441772067</x:v>
      </x:c>
      <x:c r="E968" t="n">
        <x:f>Chart_Data!P232</x:f>
        <x:v>55</x:v>
      </x:c>
      <x:c r="F968" t="n">
        <x:f>Chart_Data!S232</x:f>
        <x:v>-69.68419455541688</x:v>
      </x:c>
      <x:c r="G968" t="n">
        <x:f>Chart_Data!P232</x:f>
        <x:v>55</x:v>
      </x:c>
      <x:c r="H968" t="n">
        <x:f>Chart_Data!T232</x:f>
        <x:v>-68.31979345611423</x:v>
      </x:c>
    </x:row>
    <x:row r="969">
      <x:c r="A969" t="n">
        <x:f>Chart_Data!P233</x:f>
        <x:v>55.5</x:v>
      </x:c>
      <x:c r="B969" t="n">
        <x:f>Chart_Data!Q233</x:f>
        <x:v>-468.1947090801259</x:v>
      </x:c>
      <x:c r="C969" t="n">
        <x:f>Chart_Data!P233</x:f>
        <x:v>55.5</x:v>
      </x:c>
      <x:c r="D969" t="n">
        <x:f>Chart_Data!R233</x:f>
        <x:v>-470.8662445768823</x:v>
      </x:c>
      <x:c r="E969" t="n">
        <x:f>Chart_Data!P233</x:f>
        <x:v>55.5</x:v>
      </x:c>
      <x:c r="F969" t="n">
        <x:f>Chart_Data!S233</x:f>
        <x:v>-70.29950586788678</x:v>
      </x:c>
      <x:c r="G969" t="n">
        <x:f>Chart_Data!P233</x:f>
        <x:v>55.5</x:v>
      </x:c>
      <x:c r="H969" t="n">
        <x:f>Chart_Data!T233</x:f>
        <x:v>-70.70063732385621</x:v>
      </x:c>
    </x:row>
    <x:row r="970">
      <x:c r="A970" t="n">
        <x:f>Chart_Data!P234</x:f>
        <x:v>56</x:v>
      </x:c>
      <x:c r="B970" t="n">
        <x:f>Chart_Data!Q234</x:f>
        <x:v>-472.2895270569097</x:v>
      </x:c>
      <x:c r="C970" t="n">
        <x:f>Chart_Data!P234</x:f>
        <x:v>56</x:v>
      </x:c>
      <x:c r="D970" t="n">
        <x:f>Chart_Data!R234</x:f>
        <x:v>-460.6295562019113</x:v>
      </x:c>
      <x:c r="E970" t="n">
        <x:f>Chart_Data!P234</x:f>
        <x:v>56</x:v>
      </x:c>
      <x:c r="F970" t="n">
        <x:f>Chart_Data!S234</x:f>
        <x:v>-70.9143434019384</x:v>
      </x:c>
      <x:c r="G970" t="n">
        <x:f>Chart_Data!P234</x:f>
        <x:v>56</x:v>
      </x:c>
      <x:c r="H970" t="n">
        <x:f>Chart_Data!T234</x:f>
        <x:v>-69.16359702731403</x:v>
      </x:c>
    </x:row>
    <x:row r="971">
      <x:c r="A971" t="n">
        <x:f>Chart_Data!P235</x:f>
        <x:v>56.5</x:v>
      </x:c>
      <x:c r="B971" t="n">
        <x:f>Chart_Data!Q235</x:f>
        <x:v>-476.38116695534336</x:v>
      </x:c>
      <x:c r="C971" t="n">
        <x:f>Chart_Data!P235</x:f>
        <x:v>56.5</x:v>
      </x:c>
      <x:c r="D971" t="n">
        <x:f>Chart_Data!R235</x:f>
        <x:v>-454.89450199102066</x:v>
      </x:c>
      <x:c r="E971" t="n">
        <x:f>Chart_Data!P235</x:f>
        <x:v>56.5</x:v>
      </x:c>
      <x:c r="F971" t="n">
        <x:f>Chart_Data!S235</x:f>
        <x:v>-71.52870374704855</x:v>
      </x:c>
      <x:c r="G971" t="n">
        <x:f>Chart_Data!P235</x:f>
        <x:v>56.5</x:v>
      </x:c>
      <x:c r="H971" t="n">
        <x:f>Chart_Data!T235</x:f>
        <x:v>-68.30247777642954</x:v>
      </x:c>
    </x:row>
    <x:row r="972">
      <x:c r="A972" t="n">
        <x:f>Chart_Data!P236</x:f>
        <x:v>57</x:v>
      </x:c>
      <x:c r="B972" t="n">
        <x:f>Chart_Data!Q236</x:f>
        <x:v>-480.4696062107723</x:v>
      </x:c>
      <x:c r="C972" t="n">
        <x:f>Chart_Data!P236</x:f>
        <x:v>57</x:v>
      </x:c>
      <x:c r="D972" t="n">
        <x:f>Chart_Data!R236</x:f>
        <x:v>-499.14395786781824</x:v>
      </x:c>
      <x:c r="E972" t="n">
        <x:f>Chart_Data!P236</x:f>
        <x:v>57</x:v>
      </x:c>
      <x:c r="F972" t="n">
        <x:f>Chart_Data!S236</x:f>
        <x:v>-72.14258351513098</x:v>
      </x:c>
      <x:c r="G972" t="n">
        <x:f>Chart_Data!P236</x:f>
        <x:v>57</x:v>
      </x:c>
      <x:c r="H972" t="n">
        <x:f>Chart_Data!T236</x:f>
        <x:v>-74.94654022039313</x:v>
      </x:c>
    </x:row>
    <x:row r="973">
      <x:c r="A973" t="n">
        <x:f>Chart_Data!P237</x:f>
        <x:v>57.5</x:v>
      </x:c>
      <x:c r="B973" t="n">
        <x:f>Chart_Data!Q237</x:f>
        <x:v>-484.554822402788</x:v>
      </x:c>
      <x:c r="C973" t="n">
        <x:f>Chart_Data!P237</x:f>
        <x:v>57.5</x:v>
      </x:c>
      <x:c r="D973" t="n">
        <x:f>Chart_Data!R237</x:f>
        <x:v>-494.387775107225</x:v>
      </x:c>
      <x:c r="E973" t="n">
        <x:f>Chart_Data!P237</x:f>
        <x:v>57.5</x:v>
      </x:c>
      <x:c r="F973" t="n">
        <x:f>Chart_Data!S237</x:f>
        <x:v>-72.75597933975796</x:v>
      </x:c>
      <x:c r="G973" t="n">
        <x:f>Chart_Data!P237</x:f>
        <x:v>57.5</x:v>
      </x:c>
      <x:c r="H973" t="n">
        <x:f>Chart_Data!T237</x:f>
        <x:v>-74.2323986647485</x:v>
      </x:c>
    </x:row>
    <x:row r="974">
      <x:c r="A974" t="n">
        <x:f>Chart_Data!P238</x:f>
        <x:v>58</x:v>
      </x:c>
      <x:c r="B974" t="n">
        <x:f>Chart_Data!Q238</x:f>
        <x:v>-488.63679323794713</x:v>
      </x:c>
      <x:c r="C974" t="n">
        <x:f>Chart_Data!P238</x:f>
        <x:v>58</x:v>
      </x:c>
      <x:c r="D974" t="n">
        <x:f>Chart_Data!R238</x:f>
        <x:v>-473.0108753379682</x:v>
      </x:c>
      <x:c r="E974" t="n">
        <x:f>Chart_Data!P238</x:f>
        <x:v>58</x:v>
      </x:c>
      <x:c r="F974" t="n">
        <x:f>Chart_Data!S238</x:f>
        <x:v>-73.36888787356564</x:v>
      </x:c>
      <x:c r="G974" t="n">
        <x:f>Chart_Data!P238</x:f>
        <x:v>58</x:v>
      </x:c>
      <x:c r="H974" t="n">
        <x:f>Chart_Data!T238</x:f>
        <x:v>-71.02265395464988</x:v>
      </x:c>
    </x:row>
    <x:row r="975">
      <x:c r="A975" t="n">
        <x:f>Chart_Data!P239</x:f>
        <x:v>58.5</x:v>
      </x:c>
      <x:c r="B975" t="n">
        <x:f>Chart_Data!Q239</x:f>
        <x:v>-492.71549658133154</x:v>
      </x:c>
      <x:c r="C975" t="n">
        <x:f>Chart_Data!P239</x:f>
        <x:v>58.5</x:v>
      </x:c>
      <x:c r="D975" t="n">
        <x:f>Chart_Data!R239</x:f>
        <x:v>-494.11679295681097</x:v>
      </x:c>
      <x:c r="E975" t="n">
        <x:f>Chart_Data!P239</x:f>
        <x:v>58.5</x:v>
      </x:c>
      <x:c r="F975" t="n">
        <x:f>Chart_Data!S239</x:f>
        <x:v>-73.98130579299273</x:v>
      </x:c>
      <x:c r="G975" t="n">
        <x:f>Chart_Data!P239</x:f>
        <x:v>58.5</x:v>
      </x:c>
      <x:c r="H975" t="n">
        <x:f>Chart_Data!T239</x:f>
        <x:v>-74.19171065417582</x:v>
      </x:c>
    </x:row>
    <x:row r="976">
      <x:c r="A976" t="n">
        <x:f>Chart_Data!P240</x:f>
        <x:v>59</x:v>
      </x:c>
      <x:c r="B976" t="n">
        <x:f>Chart_Data!Q240</x:f>
        <x:v>-496.7909104278988</x:v>
      </x:c>
      <x:c r="C976" t="n">
        <x:f>Chart_Data!P240</x:f>
        <x:v>59</x:v>
      </x:c>
      <x:c r="D976" t="n">
        <x:f>Chart_Data!R240</x:f>
        <x:v>-527.305412295209</x:v>
      </x:c>
      <x:c r="E976" t="n">
        <x:f>Chart_Data!P240</x:f>
        <x:v>59</x:v>
      </x:c>
      <x:c r="F976" t="n">
        <x:f>Chart_Data!S240</x:f>
        <x:v>-74.59322979397881</x:v>
      </x:c>
      <x:c r="G976" t="n">
        <x:f>Chart_Data!P240</x:f>
        <x:v>59</x:v>
      </x:c>
      <x:c r="H976" t="n">
        <x:f>Chart_Data!T240</x:f>
        <x:v>-79.17498683111246</x:v>
      </x:c>
    </x:row>
    <x:row r="977">
      <x:c r="A977" t="n">
        <x:f>Chart_Data!P241</x:f>
        <x:v>59.5</x:v>
      </x:c>
      <x:c r="B977" t="n">
        <x:f>Chart_Data!Q241</x:f>
        <x:v>-500.86301291985365</x:v>
      </x:c>
      <x:c r="C977" t="n">
        <x:f>Chart_Data!P241</x:f>
        <x:v>59.5</x:v>
      </x:c>
      <x:c r="D977" t="n">
        <x:f>Chart_Data!R241</x:f>
        <x:v>-523.5958188716722</x:v>
      </x:c>
      <x:c r="E977" t="n">
        <x:f>Chart_Data!P241</x:f>
        <x:v>59.5</x:v>
      </x:c>
      <x:c r="F977" t="n">
        <x:f>Chart_Data!S241</x:f>
        <x:v>-75.20465659457263</x:v>
      </x:c>
      <x:c r="G977" t="n">
        <x:f>Chart_Data!P241</x:f>
        <x:v>59.5</x:v>
      </x:c>
      <x:c r="H977" t="n">
        <x:f>Chart_Data!T241</x:f>
        <x:v>-78.61799082157242</x:v>
      </x:c>
    </x:row>
    <x:row r="978">
      <x:c r="A978" t="n">
        <x:f>Chart_Data!P242</x:f>
        <x:v>60</x:v>
      </x:c>
      <x:c r="B978" t="n">
        <x:f>Chart_Data!Q242</x:f>
        <x:v>-502.89823360690207</x:v>
      </x:c>
      <x:c r="C978" t="n">
        <x:f>Chart_Data!P242</x:f>
        <x:v>60</x:v>
      </x:c>
      <x:c r="D978" t="n">
        <x:f>Chart_Data!R242</x:f>
        <x:v>-470.52756543034775</x:v>
      </x:c>
      <x:c r="E978" t="n">
        <x:f>Chart_Data!P242</x:f>
        <x:v>60</x:v>
      </x:c>
      <x:c r="F978" t="n">
        <x:f>Chart_Data!S242</x:f>
        <x:v>-75.51024528632163</x:v>
      </x:c>
      <x:c r="G978" t="n">
        <x:f>Chart_Data!P242</x:f>
        <x:v>60</x:v>
      </x:c>
      <x:c r="H978" t="n">
        <x:f>Chart_Data!T242</x:f>
        <x:v>-70.64978459915132</x:v>
      </x:c>
    </x:row>
    <x:row r="981">
      <x:c r="A981" t="inlineStr">
        <x:is>
          <x:t xml:space="preserve">Nadir Radar Delay by Flyby: Without Topography</x:t>
        </x:is>
      </x:c>
    </x:row>
    <x:row r="982">
      <x:c r="A982" t="inlineStr">
        <x:is>
          <x:t xml:space="preserve">Custom 400 km / 120 km pass x</x:t>
        </x:is>
      </x:c>
      <x:c r="B982" t="inlineStr">
        <x:is>
          <x:t xml:space="preserve">Custom 400 km / 120 km pass</x:t>
        </x:is>
      </x:c>
      <x:c r="C982" t="inlineStr">
        <x:is>
          <x:t xml:space="preserve">Paper low-altitude 35 km / 800 km pass x</x:t>
        </x:is>
      </x:c>
      <x:c r="D982" t="inlineStr">
        <x:is>
          <x:t xml:space="preserve">Paper low-altitude 35 km / 800 km pass</x:t>
        </x:is>
      </x:c>
      <x:c r="E982" t="inlineStr">
        <x:is>
          <x:t xml:space="preserve">Paper ice-ocean 35 km / 1600 km pass x</x:t>
        </x:is>
      </x:c>
      <x:c r="F982" t="inlineStr">
        <x:is>
          <x:t xml:space="preserve">Paper ice-ocean 35 km / 1600 km pass</x:t>
        </x:is>
      </x:c>
      <x:c r="G982" t="inlineStr">
        <x:is>
          <x:t xml:space="preserve">Operating 25 km / 1600 km pass x</x:t>
        </x:is>
      </x:c>
      <x:c r="H982" t="inlineStr">
        <x:is>
          <x:t xml:space="preserve">Operating 25 km / 1600 km pass</x:t>
        </x:is>
      </x:c>
    </x:row>
    <x:row r="983">
      <x:c r="A983" t="n">
        <x:f>Dashboard_Live_Data!O2</x:f>
        <x:v>-60</x:v>
      </x:c>
      <x:c r="B983" t="n">
        <x:f>Dashboard_Live_Data!P2</x:f>
        <x:v>2695.1978892010684</x:v>
      </x:c>
      <x:c r="C983" t="n">
        <x:f>Dashboard_Live_Data!Q2</x:f>
        <x:v>-400</x:v>
      </x:c>
      <x:c r="D983" t="n">
        <x:f>Dashboard_Live_Data!R2</x:f>
        <x:v>2668.5127615852166</x:v>
      </x:c>
      <x:c r="E983" t="n">
        <x:f>Dashboard_Live_Data!S2</x:f>
        <x:v>-800</x:v>
      </x:c>
      <x:c r="F983" t="n">
        <x:f>Dashboard_Live_Data!T2</x:f>
        <x:v>6671.281903963041</x:v>
      </x:c>
      <x:c r="G983" t="n">
        <x:f>Dashboard_Live_Data!U2</x:f>
        <x:v>-800</x:v>
      </x:c>
      <x:c r="H983" t="n">
        <x:f>Dashboard_Live_Data!V2</x:f>
        <x:v>6671.281903963041</x:v>
      </x:c>
    </x:row>
    <x:row r="984">
      <x:c r="A984" t="n">
        <x:f>Dashboard_Live_Data!O3</x:f>
        <x:v>-59.519999999999996</x:v>
      </x:c>
      <x:c r="B984" t="n">
        <x:f>Dashboard_Live_Data!P3</x:f>
        <x:v>2694.7726350073826</x:v>
      </x:c>
      <x:c r="C984" t="n">
        <x:f>Dashboard_Live_Data!Q3</x:f>
        <x:v>-396.8</x:v>
      </x:c>
      <x:c r="D984" t="n">
        <x:f>Dashboard_Live_Data!R3</x:f>
        <x:v>2629.7083164113487</x:v>
      </x:c>
      <x:c r="E984" t="n">
        <x:f>Dashboard_Live_Data!S3</x:f>
        <x:v>-793.6</x:v>
      </x:c>
      <x:c r="F984" t="n">
        <x:f>Dashboard_Live_Data!T3</x:f>
        <x:v>6568.689329736241</x:v>
      </x:c>
      <x:c r="G984" t="n">
        <x:f>Dashboard_Live_Data!U3</x:f>
        <x:v>-793.6</x:v>
      </x:c>
      <x:c r="H984" t="n">
        <x:f>Dashboard_Live_Data!V3</x:f>
        <x:v>6567.626194252024</x:v>
      </x:c>
    </x:row>
    <x:row r="985">
      <x:c r="A985" t="n">
        <x:f>Dashboard_Live_Data!O4</x:f>
        <x:v>-58.98</x:v>
      </x:c>
      <x:c r="B985" t="n">
        <x:f>Dashboard_Live_Data!P4</x:f>
        <x:v>2694.2983068640106</x:v>
      </x:c>
      <x:c r="C985" t="n">
        <x:f>Dashboard_Live_Data!Q4</x:f>
        <x:v>-393.2</x:v>
      </x:c>
      <x:c r="D985" t="n">
        <x:f>Dashboard_Live_Data!R4</x:f>
        <x:v>2586.4258733286742</x:v>
      </x:c>
      <x:c r="E985" t="n">
        <x:f>Dashboard_Live_Data!S4</x:f>
        <x:v>-786.4</x:v>
      </x:c>
      <x:c r="F985" t="n">
        <x:f>Dashboard_Live_Data!T4</x:f>
        <x:v>6454.2576651478</x:v>
      </x:c>
      <x:c r="G985" t="n">
        <x:f>Dashboard_Live_Data!U4</x:f>
        <x:v>-786.4</x:v>
      </x:c>
      <x:c r="H985" t="n">
        <x:f>Dashboard_Live_Data!V4</x:f>
        <x:v>6452.008709305155</x:v>
      </x:c>
    </x:row>
    <x:row r="986">
      <x:c r="A986" t="n">
        <x:f>Dashboard_Live_Data!O5</x:f>
        <x:v>-58.5</x:v>
      </x:c>
      <x:c r="B986" t="n">
        <x:f>Dashboard_Live_Data!P5</x:f>
        <x:v>2693.8803110250356</x:v>
      </x:c>
      <x:c r="C986" t="n">
        <x:f>Dashboard_Live_Data!Q5</x:f>
        <x:v>-390</x:v>
      </x:c>
      <x:c r="D986" t="n">
        <x:f>Dashboard_Live_Data!R5</x:f>
        <x:v>2548.2837530222323</x:v>
      </x:c>
      <x:c r="E986" t="n">
        <x:f>Dashboard_Live_Data!S5</x:f>
        <x:v>-780</x:v>
      </x:c>
      <x:c r="F986" t="n">
        <x:f>Dashboard_Live_Data!T5</x:f>
        <x:v>6353.416168995152</x:v>
      </x:c>
      <x:c r="G986" t="n">
        <x:f>Dashboard_Live_Data!U5</x:f>
        <x:v>-780</x:v>
      </x:c>
      <x:c r="H986" t="n">
        <x:f>Dashboard_Live_Data!V5</x:f>
        <x:v>6350.12222355507</x:v>
      </x:c>
    </x:row>
    <x:row r="987">
      <x:c r="A987" t="n">
        <x:f>Dashboard_Live_Data!O6</x:f>
        <x:v>-58.019999999999996</x:v>
      </x:c>
      <x:c r="B987" t="n">
        <x:f>Dashboard_Live_Data!P6</x:f>
        <x:v>2693.465730882396</x:v>
      </x:c>
      <x:c r="C987" t="n">
        <x:f>Dashboard_Live_Data!Q6</x:f>
        <x:v>-386.8</x:v>
      </x:c>
      <x:c r="D987" t="n">
        <x:f>Dashboard_Live_Data!R6</x:f>
        <x:v>2510.4533150063435</x:v>
      </x:c>
      <x:c r="E987" t="n">
        <x:f>Dashboard_Live_Data!S6</x:f>
        <x:v>-773.6</x:v>
      </x:c>
      <x:c r="F987" t="n">
        <x:f>Dashboard_Live_Data!T6</x:f>
        <x:v>6253.398709583282</x:v>
      </x:c>
      <x:c r="G987" t="n">
        <x:f>Dashboard_Live_Data!U6</x:f>
        <x:v>-773.6</x:v>
      </x:c>
      <x:c r="H987" t="n">
        <x:f>Dashboard_Live_Data!V6</x:f>
        <x:v>6249.068313786602</x:v>
      </x:c>
    </x:row>
    <x:row r="988">
      <x:c r="A988" t="n">
        <x:f>Dashboard_Live_Data!O7</x:f>
        <x:v>-57.48</x:v>
      </x:c>
      <x:c r="B988" t="n">
        <x:f>Dashboard_Live_Data!P7</x:f>
        <x:v>2693.0034110464517</x:v>
      </x:c>
      <x:c r="C988" t="n">
        <x:f>Dashboard_Live_Data!Q7</x:f>
        <x:v>-383.2</x:v>
      </x:c>
      <x:c r="D988" t="n">
        <x:f>Dashboard_Live_Data!R7</x:f>
        <x:v>2468.266629976395</x:v>
      </x:c>
      <x:c r="E988" t="n">
        <x:f>Dashboard_Live_Data!S7</x:f>
        <x:v>-766.4</x:v>
      </x:c>
      <x:c r="F988" t="n">
        <x:f>Dashboard_Live_Data!T7</x:f>
        <x:v>6141.864049161637</x:v>
      </x:c>
      <x:c r="G988" t="n">
        <x:f>Dashboard_Live_Data!U7</x:f>
        <x:v>-766.4</x:v>
      </x:c>
      <x:c r="H988" t="n">
        <x:f>Dashboard_Live_Data!V7</x:f>
        <x:v>6136.377853775093</x:v>
      </x:c>
    </x:row>
    <x:row r="989">
      <x:c r="A989" t="n">
        <x:f>Dashboard_Live_Data!O8</x:f>
        <x:v>-57</x:v>
      </x:c>
      <x:c r="B989" t="n">
        <x:f>Dashboard_Live_Data!P8</x:f>
        <x:v>2692.596089258523</x:v>
      </x:c>
      <x:c r="C989" t="n">
        <x:f>Dashboard_Live_Data!Q8</x:f>
        <x:v>-380</x:v>
      </x:c>
      <x:c r="D989" t="n">
        <x:f>Dashboard_Live_Data!R8</x:f>
        <x:v>2431.0985168279312</x:v>
      </x:c>
      <x:c r="E989" t="n">
        <x:f>Dashboard_Live_Data!S8</x:f>
        <x:v>-760</x:v>
      </x:c>
      <x:c r="F989" t="n">
        <x:f>Dashboard_Live_Data!T8</x:f>
        <x:v>6043.597667823918</x:v>
      </x:c>
      <x:c r="G989" t="n">
        <x:f>Dashboard_Live_Data!U8</x:f>
        <x:v>-760</x:v>
      </x:c>
      <x:c r="H989" t="n">
        <x:f>Dashboard_Live_Data!V8</x:f>
        <x:v>6037.093167967554</x:v>
      </x:c>
    </x:row>
    <x:row r="990">
      <x:c r="A990" t="n">
        <x:f>Dashboard_Live_Data!O9</x:f>
        <x:v>-56.519999999999996</x:v>
      </x:c>
      <x:c r="B990" t="n">
        <x:f>Dashboard_Live_Data!P9</x:f>
        <x:v>2692.1921831669297</x:v>
      </x:c>
      <x:c r="C990" t="n">
        <x:f>Dashboard_Live_Data!Q9</x:f>
        <x:v>-376.79999999999995</x:v>
      </x:c>
      <x:c r="D990" t="n">
        <x:f>Dashboard_Live_Data!R9</x:f>
        <x:v>2394.2420859700205</x:v>
      </x:c>
      <x:c r="E990" t="n">
        <x:f>Dashboard_Live_Data!S9</x:f>
        <x:v>-753.5999999999999</x:v>
      </x:c>
      <x:c r="F990" t="n">
        <x:f>Dashboard_Live_Data!T9</x:f>
        <x:v>5946.155323226975</x:v>
      </x:c>
      <x:c r="G990" t="n">
        <x:f>Dashboard_Live_Data!U9</x:f>
        <x:v>-753.5999999999999</x:v>
      </x:c>
      <x:c r="H990" t="n">
        <x:f>Dashboard_Live_Data!V9</x:f>
        <x:v>5938.6410581416285</x:v>
      </x:c>
    </x:row>
    <x:row r="991">
      <x:c r="A991" t="n">
        <x:f>Dashboard_Live_Data!O10</x:f>
        <x:v>-55.980000000000004</x:v>
      </x:c>
      <x:c r="B991" t="n">
        <x:f>Dashboard_Live_Data!P10</x:f>
        <x:v>2691.7418716384122</x:v>
      </x:c>
      <x:c r="C991" t="n">
        <x:f>Dashboard_Live_Data!Q10</x:f>
        <x:v>-373.20000000000005</x:v>
      </x:c>
      <x:c r="D991" t="n">
        <x:f>Dashboard_Live_Data!R10</x:f>
        <x:v>2353.1511589928</x:v>
      </x:c>
      <x:c r="E991" t="n">
        <x:f>Dashboard_Live_Data!S10</x:f>
        <x:v>-746.4000000000001</x:v>
      </x:c>
      <x:c r="F991" t="n">
        <x:f>Dashboard_Live_Data!T10</x:f>
        <x:v>5837.51766697213</x:v>
      </x:c>
      <x:c r="G991" t="n">
        <x:f>Dashboard_Live_Data!U10</x:f>
        <x:v>-746.4000000000001</x:v>
      </x:c>
      <x:c r="H991" t="n">
        <x:f>Dashboard_Live_Data!V10</x:f>
        <x:v>5828.87762306549</x:v>
      </x:c>
    </x:row>
    <x:row r="992">
      <x:c r="A992" t="n">
        <x:f>Dashboard_Live_Data!O11</x:f>
        <x:v>-55.5</x:v>
      </x:c>
      <x:c r="B992" t="n">
        <x:f>Dashboard_Live_Data!P11</x:f>
        <x:v>2691.34522390153</x:v>
      </x:c>
      <x:c r="C992" t="n">
        <x:f>Dashboard_Live_Data!Q11</x:f>
        <x:v>-370</x:v>
      </x:c>
      <x:c r="D992" t="n">
        <x:f>Dashboard_Live_Data!R11</x:f>
        <x:v>2316.957053002314</x:v>
      </x:c>
      <x:c r="E992" t="n">
        <x:f>Dashboard_Live_Data!S11</x:f>
        <x:v>-740</x:v>
      </x:c>
      <x:c r="F992" t="n">
        <x:f>Dashboard_Live_Data!T11</x:f>
        <x:v>5741.82640044934</x:v>
      </x:c>
      <x:c r="G992" t="n">
        <x:f>Dashboard_Live_Data!U11</x:f>
        <x:v>-740</x:v>
      </x:c>
      <x:c r="H992" t="n">
        <x:f>Dashboard_Live_Data!V11</x:f>
        <x:v>5732.194737200494</x:v>
      </x:c>
    </x:row>
    <x:row r="993">
      <x:c r="A993" t="n">
        <x:f>Dashboard_Live_Data!O12</x:f>
        <x:v>-55.02</x:v>
      </x:c>
      <x:c r="B993" t="n">
        <x:f>Dashboard_Live_Data!P12</x:f>
        <x:v>2690.951991860983</x:v>
      </x:c>
      <x:c r="C993" t="n">
        <x:f>Dashboard_Live_Data!Q12</x:f>
        <x:v>-366.8</x:v>
      </x:c>
      <x:c r="D993" t="n">
        <x:f>Dashboard_Live_Data!R12</x:f>
        <x:v>2281.0746293023826</x:v>
      </x:c>
      <x:c r="E993" t="n">
        <x:f>Dashboard_Live_Data!S12</x:f>
        <x:v>-733.6</x:v>
      </x:c>
      <x:c r="F993" t="n">
        <x:f>Dashboard_Live_Data!T12</x:f>
        <x:v>5646.959170667329</x:v>
      </x:c>
      <x:c r="G993" t="n">
        <x:f>Dashboard_Live_Data!U12</x:f>
        <x:v>-733.6</x:v>
      </x:c>
      <x:c r="H993" t="n">
        <x:f>Dashboard_Live_Data!V12</x:f>
        <x:v>5636.344427317114</x:v>
      </x:c>
    </x:row>
    <x:row r="994">
      <x:c r="A994" t="n">
        <x:f>Dashboard_Live_Data!O13</x:f>
        <x:v>-54.480000000000004</x:v>
      </x:c>
      <x:c r="B994" t="n">
        <x:f>Dashboard_Live_Data!P13</x:f>
        <x:v>2690.5136886398923</x:v>
      </x:c>
      <x:c r="C994" t="n">
        <x:f>Dashboard_Live_Data!Q13</x:f>
        <x:v>-363.2</x:v>
      </x:c>
      <x:c r="D994" t="n">
        <x:f>Dashboard_Live_Data!R13</x:f>
        <x:v>2241.0794603778854</x:v>
      </x:c>
      <x:c r="E994" t="n">
        <x:f>Dashboard_Live_Data!S13</x:f>
        <x:v>-726.4</x:v>
      </x:c>
      <x:c r="F994" t="n">
        <x:f>Dashboard_Live_Data!T13</x:f>
        <x:v>5541.218518579276</x:v>
      </x:c>
      <x:c r="G994" t="n">
        <x:f>Dashboard_Live_Data!U13</x:f>
        <x:v>-726.4</x:v>
      </x:c>
      <x:c r="H994" t="n">
        <x:f>Dashboard_Live_Data!V13</x:f>
        <x:v>5529.508017176336</x:v>
      </x:c>
    </x:row>
    <x:row r="995">
      <x:c r="A995" t="n">
        <x:f>Dashboard_Live_Data!O14</x:f>
        <x:v>-54</x:v>
      </x:c>
      <x:c r="B995" t="n">
        <x:f>Dashboard_Live_Data!P14</x:f>
        <x:v>2690.1277149540565</x:v>
      </x:c>
      <x:c r="C995" t="n">
        <x:f>Dashboard_Live_Data!Q14</x:f>
        <x:v>-360</x:v>
      </x:c>
      <x:c r="D995" t="n">
        <x:f>Dashboard_Live_Data!R14</x:f>
        <x:v>2205.8593615453797</x:v>
      </x:c>
      <x:c r="E995" t="n">
        <x:f>Dashboard_Live_Data!S14</x:f>
        <x:v>-720</x:v>
      </x:c>
      <x:c r="F995" t="n">
        <x:f>Dashboard_Live_Data!T14</x:f>
        <x:v>5448.102366871419</x:v>
      </x:c>
      <x:c r="G995" t="n">
        <x:f>Dashboard_Live_Data!U14</x:f>
        <x:v>-720</x:v>
      </x:c>
      <x:c r="H995" t="n">
        <x:f>Dashboard_Live_Data!V14</x:f>
        <x:v>5435.426931253887</x:v>
      </x:c>
    </x:row>
    <x:row r="996">
      <x:c r="A996" t="n">
        <x:f>Dashboard_Live_Data!O15</x:f>
        <x:v>-53.52</x:v>
      </x:c>
      <x:c r="B996" t="n">
        <x:f>Dashboard_Live_Data!P15</x:f>
        <x:v>2689.745156964556</x:v>
      </x:c>
      <x:c r="C996" t="n">
        <x:f>Dashboard_Live_Data!Q15</x:f>
        <x:v>-356.8</x:v>
      </x:c>
      <x:c r="D996" t="n">
        <x:f>Dashboard_Live_Data!R15</x:f>
        <x:v>2170.9509450034266</x:v>
      </x:c>
      <x:c r="E996" t="n">
        <x:f>Dashboard_Live_Data!S15</x:f>
        <x:v>-713.6</x:v>
      </x:c>
      <x:c r="F996" t="n">
        <x:f>Dashboard_Live_Data!T15</x:f>
        <x:v>5355.810251904337</x:v>
      </x:c>
      <x:c r="G996" t="n">
        <x:f>Dashboard_Live_Data!U15</x:f>
        <x:v>-713.6</x:v>
      </x:c>
      <x:c r="H996" t="n">
        <x:f>Dashboard_Live_Data!V15</x:f>
        <x:v>5342.178421313054</x:v>
      </x:c>
    </x:row>
    <x:row r="997">
      <x:c r="A997" t="n">
        <x:f>Dashboard_Live_Data!O16</x:f>
        <x:v>-52.980000000000004</x:v>
      </x:c>
      <x:c r="B997" t="n">
        <x:f>Dashboard_Live_Data!P16</x:f>
        <x:v>2689.3188620508927</x:v>
      </x:c>
      <x:c r="C997" t="n">
        <x:f>Dashboard_Live_Data!Q16</x:f>
        <x:v>-353.2</x:v>
      </x:c>
      <x:c r="D997" t="n">
        <x:f>Dashboard_Live_Data!R16</x:f>
        <x:v>2132.051534131656</x:v>
      </x:c>
      <x:c r="E997" t="n">
        <x:f>Dashboard_Live_Data!S16</x:f>
        <x:v>-706.4</x:v>
      </x:c>
      <x:c r="F997" t="n">
        <x:f>Dashboard_Live_Data!T16</x:f>
        <x:v>5252.966603983079</x:v>
      </x:c>
      <x:c r="G997" t="n">
        <x:f>Dashboard_Live_Data!U16</x:f>
        <x:v>-706.4</x:v>
      </x:c>
      <x:c r="H997" t="n">
        <x:f>Dashboard_Live_Data!V16</x:f>
        <x:v>5238.269036107639</x:v>
      </x:c>
    </x:row>
    <x:row r="998">
      <x:c r="A998" t="n">
        <x:f>Dashboard_Live_Data!O17</x:f>
        <x:v>-52.5</x:v>
      </x:c>
      <x:c r="B998" t="n">
        <x:f>Dashboard_Live_Data!P17</x:f>
        <x:v>2688.9435624161033</x:v>
      </x:c>
      <x:c r="C998" t="n">
        <x:f>Dashboard_Live_Data!Q17</x:f>
        <x:v>-350</x:v>
      </x:c>
      <x:c r="D998" t="n">
        <x:f>Dashboard_Live_Data!R17</x:f>
        <x:v>2097.8054424571283</x:v>
      </x:c>
      <x:c r="E998" t="n">
        <x:f>Dashboard_Live_Data!S17</x:f>
        <x:v>-700</x:v>
      </x:c>
      <x:c r="F998" t="n">
        <x:f>Dashboard_Live_Data!T17</x:f>
        <x:v>5162.42556709015</x:v>
      </x:c>
      <x:c r="G998" t="n">
        <x:f>Dashboard_Live_Data!U17</x:f>
        <x:v>-700</x:v>
      </x:c>
      <x:c r="H998" t="n">
        <x:f>Dashboard_Live_Data!V17</x:f>
        <x:v>5146.789750127737</x:v>
      </x:c>
    </x:row>
    <x:row r="999">
      <x:c r="A999" t="n">
        <x:f>Dashboard_Live_Data!O18</x:f>
        <x:v>-52.019999999999996</x:v>
      </x:c>
      <x:c r="B999" t="n">
        <x:f>Dashboard_Live_Data!P18</x:f>
        <x:v>2688.5716784776487</x:v>
      </x:c>
      <x:c r="C999" t="n">
        <x:f>Dashboard_Live_Data!Q18</x:f>
        <x:v>-346.8</x:v>
      </x:c>
      <x:c r="D999" t="n">
        <x:f>Dashboard_Live_Data!R18</x:f>
        <x:v>2063.8710330731533</x:v>
      </x:c>
      <x:c r="E999" t="n">
        <x:f>Dashboard_Live_Data!S18</x:f>
        <x:v>-693.6</x:v>
      </x:c>
      <x:c r="F999" t="n">
        <x:f>Dashboard_Live_Data!T18</x:f>
        <x:v>5072.708566937998</x:v>
      </x:c>
      <x:c r="G999" t="n">
        <x:f>Dashboard_Live_Data!U18</x:f>
        <x:v>-693.6</x:v>
      </x:c>
      <x:c r="H999" t="n">
        <x:f>Dashboard_Live_Data!V18</x:f>
        <x:v>5056.143040129448</x:v>
      </x:c>
    </x:row>
    <x:row r="1000">
      <x:c r="A1000" t="n">
        <x:f>Dashboard_Live_Data!O19</x:f>
        <x:v>-51.48</x:v>
      </x:c>
      <x:c r="B1000" t="n">
        <x:f>Dashboard_Live_Data!P19</x:f>
        <x:v>2688.1573918714125</x:v>
      </x:c>
      <x:c r="C1000" t="n">
        <x:f>Dashboard_Live_Data!Q19</x:f>
        <x:v>-343.2</x:v>
      </x:c>
      <x:c r="D1000" t="n">
        <x:f>Dashboard_Live_Data!R19</x:f>
        <x:v>2026.067380254109</x:v>
      </x:c>
      <x:c r="E1000" t="n">
        <x:f>Dashboard_Live_Data!S19</x:f>
        <x:v>-686.4</x:v>
      </x:c>
      <x:c r="F1000" t="n">
        <x:f>Dashboard_Live_Data!T19</x:f>
        <x:v>4972.761923183538</x:v>
      </x:c>
      <x:c r="G1000" t="n">
        <x:f>Dashboard_Live_Data!U19</x:f>
        <x:v>-686.4</x:v>
      </x:c>
      <x:c r="H1000" t="n">
        <x:f>Dashboard_Live_Data!V19</x:f>
        <x:v>4955.1606798593975</x:v>
      </x:c>
    </x:row>
    <x:row r="1001">
      <x:c r="A1001" t="n">
        <x:f>Dashboard_Live_Data!O20</x:f>
        <x:v>-51</x:v>
      </x:c>
      <x:c r="B1001" t="n">
        <x:f>Dashboard_Live_Data!P20</x:f>
        <x:v>2687.7927662876696</x:v>
      </x:c>
      <x:c r="C1001" t="n">
        <x:f>Dashboard_Live_Data!Q20</x:f>
        <x:v>-340</x:v>
      </x:c>
      <x:c r="D1001" t="n">
        <x:f>Dashboard_Live_Data!R20</x:f>
        <x:v>1992.7952957375599</x:v>
      </x:c>
      <x:c r="E1001" t="n">
        <x:f>Dashboard_Live_Data!S20</x:f>
        <x:v>-680</x:v>
      </x:c>
      <x:c r="F1001" t="n">
        <x:f>Dashboard_Live_Data!T20</x:f>
        <x:v>4884.7960011055375</x:v>
      </x:c>
      <x:c r="G1001" t="n">
        <x:f>Dashboard_Live_Data!U20</x:f>
        <x:v>-680</x:v>
      </x:c>
      <x:c r="H1001" t="n">
        <x:f>Dashboard_Live_Data!V20</x:f>
        <x:v>4866.28319382204</x:v>
      </x:c>
    </x:row>
    <x:row r="1002">
      <x:c r="A1002" t="n">
        <x:f>Dashboard_Live_Data!O21</x:f>
        <x:v>-50.519999999999996</x:v>
      </x:c>
      <x:c r="B1002" t="n">
        <x:f>Dashboard_Live_Data!P21</x:f>
        <x:v>2687.431556400261</x:v>
      </x:c>
      <x:c r="C1002" t="n">
        <x:f>Dashboard_Live_Data!Q21</x:f>
        <x:v>-336.8</x:v>
      </x:c>
      <x:c r="D1002" t="n">
        <x:f>Dashboard_Live_Data!R21</x:f>
        <x:v>1959.8348935115644</x:v>
      </x:c>
      <x:c r="E1002" t="n">
        <x:f>Dashboard_Live_Data!S21</x:f>
        <x:v>-673.6</x:v>
      </x:c>
      <x:c r="F1002" t="n">
        <x:f>Dashboard_Live_Data!T21</x:f>
        <x:v>4797.654115768317</x:v>
      </x:c>
      <x:c r="G1002" t="n">
        <x:f>Dashboard_Live_Data!U21</x:f>
        <x:v>-673.6</x:v>
      </x:c>
      <x:c r="H1002" t="n">
        <x:f>Dashboard_Live_Data!V21</x:f>
        <x:v>4778.238283766299</x:v>
      </x:c>
    </x:row>
    <x:row r="1003">
      <x:c r="A1003" t="n">
        <x:f>Dashboard_Live_Data!O22</x:f>
        <x:v>-49.98</x:v>
      </x:c>
      <x:c r="B1003" t="n">
        <x:f>Dashboard_Live_Data!P22</x:f>
        <x:v>2687.0292781014527</x:v>
      </x:c>
      <x:c r="C1003" t="n">
        <x:f>Dashboard_Live_Data!Q22</x:f>
        <x:v>-333.2</x:v>
      </x:c>
      <x:c r="D1003" t="n">
        <x:f>Dashboard_Live_Data!R22</x:f>
        <x:v>1923.1269987452456</x:v>
      </x:c>
      <x:c r="E1003" t="n">
        <x:f>Dashboard_Live_Data!S22</x:f>
        <x:v>-666.4</x:v>
      </x:c>
      <x:c r="F1003" t="n">
        <x:f>Dashboard_Live_Data!T22</x:f>
        <x:v>4700.604476180652</x:v>
      </x:c>
      <x:c r="G1003" t="n">
        <x:f>Dashboard_Live_Data!U22</x:f>
        <x:v>-666.4</x:v>
      </x:c>
      <x:c r="H1003" t="n">
        <x:f>Dashboard_Live_Data!V22</x:f>
        <x:v>4680.182948431611</x:v>
      </x:c>
    </x:row>
    <x:row r="1004">
      <x:c r="A1004" t="n">
        <x:f>Dashboard_Live_Data!O23</x:f>
        <x:v>-49.5</x:v>
      </x:c>
      <x:c r="B1004" t="n">
        <x:f>Dashboard_Live_Data!P23</x:f>
        <x:v>2686.6753265687557</x:v>
      </x:c>
      <x:c r="C1004" t="n">
        <x:f>Dashboard_Live_Data!Q23</x:f>
        <x:v>-330</x:v>
      </x:c>
      <x:c r="D1004" t="n">
        <x:f>Dashboard_Live_Data!R23</x:f>
        <x:v>1890.8289213866744</x:v>
      </x:c>
      <x:c r="E1004" t="n">
        <x:f>Dashboard_Live_Data!S23</x:f>
        <x:v>-660</x:v>
      </x:c>
      <x:c r="F1004" t="n">
        <x:f>Dashboard_Live_Data!T23</x:f>
        <x:v>4615.213668917581</x:v>
      </x:c>
      <x:c r="G1004" t="n">
        <x:f>Dashboard_Live_Data!U23</x:f>
        <x:v>-660</x:v>
      </x:c>
      <x:c r="H1004" t="n">
        <x:f>Dashboard_Live_Data!V23</x:f>
        <x:v>4593.907262336798</x:v>
      </x:c>
    </x:row>
    <x:row r="1005">
      <x:c r="A1005" t="n">
        <x:f>Dashboard_Live_Data!O24</x:f>
        <x:v>-49.019999999999996</x:v>
      </x:c>
      <x:c r="B1005" t="n">
        <x:f>Dashboard_Live_Data!P24</x:f>
        <x:v>2686.324790732394</x:v>
      </x:c>
      <x:c r="C1005" t="n">
        <x:f>Dashboard_Live_Data!Q24</x:f>
        <x:v>-326.79999999999995</x:v>
      </x:c>
      <x:c r="D1005" t="n">
        <x:f>Dashboard_Live_Data!R24</x:f>
        <x:v>1858.8425263186568</x:v>
      </x:c>
      <x:c r="E1005" t="n">
        <x:f>Dashboard_Live_Data!S24</x:f>
        <x:v>-653.5999999999999</x:v>
      </x:c>
      <x:c r="F1005" t="n">
        <x:f>Dashboard_Live_Data!T24</x:f>
        <x:v>4530.646898395288</x:v>
      </x:c>
      <x:c r="G1005" t="n">
        <x:f>Dashboard_Live_Data!U24</x:f>
        <x:v>-653.5999999999999</x:v>
      </x:c>
      <x:c r="H1005" t="n">
        <x:f>Dashboard_Live_Data!V24</x:f>
        <x:v>4508.464152223602</x:v>
      </x:c>
    </x:row>
    <x:row r="1006">
      <x:c r="A1006" t="n">
        <x:f>Dashboard_Live_Data!O25</x:f>
        <x:v>-48.480000000000004</x:v>
      </x:c>
      <x:c r="B1006" t="n">
        <x:f>Dashboard_Live_Data!P25</x:f>
        <x:v>2685.9345207410115</x:v>
      </x:c>
      <x:c r="C1006" t="n">
        <x:f>Dashboard_Live_Data!Q25</x:f>
        <x:v>-323.20000000000005</x:v>
      </x:c>
      <x:c r="D1006" t="n">
        <x:f>Dashboard_Live_Data!R25</x:f>
        <x:v>1823.2303896050653</x:v>
      </x:c>
      <x:c r="E1006" t="n">
        <x:f>Dashboard_Live_Data!S25</x:f>
        <x:v>-646.4000000000001</x:v>
      </x:c>
      <x:c r="F1006" t="n">
        <x:f>Dashboard_Live_Data!T25</x:f>
        <x:v>4436.494262974422</x:v>
      </x:c>
      <x:c r="G1006" t="n">
        <x:f>Dashboard_Live_Data!U25</x:f>
        <x:v>-646.4000000000001</x:v>
      </x:c>
      <x:c r="H1006" t="n">
        <x:f>Dashboard_Live_Data!V25</x:f>
        <x:v>4413.3358418242815</x:v>
      </x:c>
    </x:row>
    <x:row r="1007">
      <x:c r="A1007" t="n">
        <x:f>Dashboard_Live_Data!O26</x:f>
        <x:v>-48</x:v>
      </x:c>
      <x:c r="B1007" t="n">
        <x:f>Dashboard_Live_Data!P26</x:f>
        <x:v>2685.591243259362</x:v>
      </x:c>
      <x:c r="C1007" t="n">
        <x:f>Dashboard_Live_Data!Q26</x:f>
        <x:v>-320</x:v>
      </x:c>
      <x:c r="D1007" t="n">
        <x:f>Dashboard_Live_Data!R26</x:f>
        <x:v>1791.9063194044727</x:v>
      </x:c>
      <x:c r="E1007" t="n">
        <x:f>Dashboard_Live_Data!S26</x:f>
        <x:v>-640</x:v>
      </x:c>
      <x:c r="F1007" t="n">
        <x:f>Dashboard_Live_Data!T26</x:f>
        <x:v>4353.678570526281</x:v>
      </x:c>
      <x:c r="G1007" t="n">
        <x:f>Dashboard_Live_Data!U26</x:f>
        <x:v>-640</x:v>
      </x:c>
      <x:c r="H1007" t="n">
        <x:f>Dashboard_Live_Data!V26</x:f>
        <x:v>4329.661955672014</x:v>
      </x:c>
    </x:row>
    <x:row r="1008">
      <x:c r="A1008" t="n">
        <x:f>Dashboard_Live_Data!O27</x:f>
        <x:v>-47.52</x:v>
      </x:c>
      <x:c r="B1008" t="n">
        <x:f>Dashboard_Live_Data!P27</x:f>
        <x:v>2685.251381474046</x:v>
      </x:c>
      <x:c r="C1008" t="n">
        <x:f>Dashboard_Live_Data!Q27</x:f>
        <x:v>-316.8</x:v>
      </x:c>
      <x:c r="D1008" t="n">
        <x:f>Dashboard_Live_Data!R27</x:f>
        <x:v>1760.8939314944344</x:v>
      </x:c>
      <x:c r="E1008" t="n">
        <x:f>Dashboard_Live_Data!S27</x:f>
        <x:v>-633.6</x:v>
      </x:c>
      <x:c r="F1008" t="n">
        <x:f>Dashboard_Live_Data!T27</x:f>
        <x:v>4271.686914818919</x:v>
      </x:c>
      <x:c r="G1008" t="n">
        <x:f>Dashboard_Live_Data!U27</x:f>
        <x:v>-633.6</x:v>
      </x:c>
      <x:c r="H1008" t="n">
        <x:f>Dashboard_Live_Data!V27</x:f>
        <x:v>4246.820645501362</x:v>
      </x:c>
    </x:row>
    <x:row r="1009">
      <x:c r="A1009" t="n">
        <x:f>Dashboard_Live_Data!O28</x:f>
        <x:v>-46.980000000000004</x:v>
      </x:c>
      <x:c r="B1009" t="n">
        <x:f>Dashboard_Live_Data!P28</x:f>
        <x:v>2684.873119790092</x:v>
      </x:c>
      <x:c r="C1009" t="n">
        <x:f>Dashboard_Live_Data!Q28</x:f>
        <x:v>-313.20000000000005</x:v>
      </x:c>
      <x:c r="D1009" t="n">
        <x:f>Dashboard_Live_Data!R28</x:f>
        <x:v>1726.3775528335677</x:v>
      </x:c>
      <x:c r="E1009" t="n">
        <x:f>Dashboard_Live_Data!S28</x:f>
        <x:v>-626.4000000000001</x:v>
      </x:c>
      <x:c r="F1009" t="n">
        <x:f>Dashboard_Live_Data!T28</x:f>
        <x:v>4180.431283564847</x:v>
      </x:c>
      <x:c r="G1009" t="n">
        <x:f>Dashboard_Live_Data!U28</x:f>
        <x:v>-626.4000000000001</x:v>
      </x:c>
      <x:c r="H1009" t="n">
        <x:f>Dashboard_Live_Data!V28</x:f>
        <x:v>4154.619360037404</x:v>
      </x:c>
    </x:row>
    <x:row r="1010">
      <x:c r="A1010" t="n">
        <x:f>Dashboard_Live_Data!O29</x:f>
        <x:v>-46.5</x:v>
      </x:c>
      <x:c r="B1010" t="n">
        <x:f>Dashboard_Live_Data!P29</x:f>
        <x:v>2684.540516359488</x:v>
      </x:c>
      <x:c r="C1010" t="n">
        <x:f>Dashboard_Live_Data!Q29</x:f>
        <x:v>-310</x:v>
      </x:c>
      <x:c r="D1010" t="n">
        <x:f>Dashboard_Live_Data!R29</x:f>
        <x:v>1696.0274897909542</x:v>
      </x:c>
      <x:c r="E1010" t="n">
        <x:f>Dashboard_Live_Data!S29</x:f>
        <x:v>-620</x:v>
      </x:c>
      <x:c r="F1010" t="n">
        <x:f>Dashboard_Live_Data!T29</x:f>
        <x:v>4100.190705931635</x:v>
      </x:c>
      <x:c r="G1010" t="n">
        <x:f>Dashboard_Live_Data!U29</x:f>
        <x:v>-620</x:v>
      </x:c>
      <x:c r="H1010" t="n">
        <x:f>Dashboard_Live_Data!V29</x:f>
        <x:v>4073.547273827683</x:v>
      </x:c>
    </x:row>
    <x:row r="1011">
      <x:c r="A1011" t="n">
        <x:f>Dashboard_Live_Data!O30</x:f>
        <x:v>-46.02</x:v>
      </x:c>
      <x:c r="B1011" t="n">
        <x:f>Dashboard_Live_Data!P30</x:f>
        <x:v>2684.211328625219</x:v>
      </x:c>
      <x:c r="C1011" t="n">
        <x:f>Dashboard_Live_Data!Q30</x:f>
        <x:v>-306.8</x:v>
      </x:c>
      <x:c r="D1011" t="n">
        <x:f>Dashboard_Live_Data!R30</x:f>
        <x:v>1665.989109038894</x:v>
      </x:c>
      <x:c r="E1011" t="n">
        <x:f>Dashboard_Live_Data!S30</x:f>
        <x:v>-613.6</x:v>
      </x:c>
      <x:c r="F1011" t="n">
        <x:f>Dashboard_Live_Data!T30</x:f>
        <x:v>4020.774165039202</x:v>
      </x:c>
      <x:c r="G1011" t="n">
        <x:f>Dashboard_Live_Data!U30</x:f>
        <x:v>-613.6</x:v>
      </x:c>
      <x:c r="H1011" t="n">
        <x:f>Dashboard_Live_Data!V30</x:f>
        <x:v>3993.3077635995774</x:v>
      </x:c>
    </x:row>
    <x:row r="1012">
      <x:c r="A1012" t="n">
        <x:f>Dashboard_Live_Data!O31</x:f>
        <x:v>-45.480000000000004</x:v>
      </x:c>
      <x:c r="B1012" t="n">
        <x:f>Dashboard_Live_Data!P31</x:f>
        <x:v>2683.8450752486906</x:v>
      </x:c>
      <x:c r="C1012" t="n">
        <x:f>Dashboard_Live_Data!Q31</x:f>
        <x:v>-303.2</x:v>
      </x:c>
      <x:c r="D1012" t="n">
        <x:f>Dashboard_Live_Data!R31</x:f>
        <x:v>1632.568488430753</x:v>
      </x:c>
      <x:c r="E1012" t="n">
        <x:f>Dashboard_Live_Data!S31</x:f>
        <x:v>-606.4</x:v>
      </x:c>
      <x:c r="F1012" t="n">
        <x:f>Dashboard_Live_Data!T31</x:f>
        <x:v>3932.415537951925</x:v>
      </x:c>
      <x:c r="G1012" t="n">
        <x:f>Dashboard_Live_Data!U31</x:f>
        <x:v>-606.4</x:v>
      </x:c>
      <x:c r="H1012" t="n">
        <x:f>Dashboard_Live_Data!V31</x:f>
        <x:v>3904.0335030709807</x:v>
      </x:c>
    </x:row>
    <x:row r="1013">
      <x:c r="A1013" t="n">
        <x:f>Dashboard_Live_Data!O32</x:f>
        <x:v>-45</x:v>
      </x:c>
      <x:c r="B1013" t="n">
        <x:f>Dashboard_Live_Data!P32</x:f>
        <x:v>2683.5231458691333</x:v>
      </x:c>
      <x:c r="C1013" t="n">
        <x:f>Dashboard_Live_Data!Q32</x:f>
        <x:v>-300</x:v>
      </x:c>
      <x:c r="D1013" t="n">
        <x:f>Dashboard_Live_Data!R32</x:f>
        <x:v>1603.1924325461182</x:v>
      </x:c>
      <x:c r="E1013" t="n">
        <x:f>Dashboard_Live_Data!S32</x:f>
        <x:v>-600</x:v>
      </x:c>
      <x:c r="F1013" t="n">
        <x:f>Dashboard_Live_Data!T32</x:f>
        <x:v>3854.7500751336447</x:v>
      </x:c>
      <x:c r="G1013" t="n">
        <x:f>Dashboard_Live_Data!U32</x:f>
        <x:v>-600</x:v>
      </x:c>
      <x:c r="H1013" t="n">
        <x:f>Dashboard_Live_Data!V32</x:f>
        <x:v>3825.5632168038064</x:v>
      </x:c>
    </x:row>
    <x:row r="1014">
      <x:c r="A1014" t="n">
        <x:f>Dashboard_Live_Data!O33</x:f>
        <x:v>-44.519999999999996</x:v>
      </x:c>
      <x:c r="B1014" t="n">
        <x:f>Dashboard_Live_Data!P33</x:f>
        <x:v>2683.20463218591</x:v>
      </x:c>
      <x:c r="C1014" t="n">
        <x:f>Dashboard_Live_Data!Q33</x:f>
        <x:v>-296.8</x:v>
      </x:c>
      <x:c r="D1014" t="n">
        <x:f>Dashboard_Live_Data!R33</x:f>
        <x:v>1574.1280589520366</x:v>
      </x:c>
      <x:c r="E1014" t="n">
        <x:f>Dashboard_Live_Data!S33</x:f>
        <x:v>-593.6</x:v>
      </x:c>
      <x:c r="F1014" t="n">
        <x:f>Dashboard_Live_Data!T33</x:f>
        <x:v>3777.908649056141</x:v>
      </x:c>
      <x:c r="G1014" t="n">
        <x:f>Dashboard_Live_Data!U33</x:f>
        <x:v>-593.6</x:v>
      </x:c>
      <x:c r="H1014" t="n">
        <x:f>Dashboard_Live_Data!V33</x:f>
        <x:v>3747.925506518246</x:v>
      </x:c>
    </x:row>
    <x:row r="1015">
      <x:c r="A1015" t="n">
        <x:f>Dashboard_Live_Data!O34</x:f>
        <x:v>-43.980000000000004</x:v>
      </x:c>
      <x:c r="B1015" t="n">
        <x:f>Dashboard_Live_Data!P34</x:f>
        <x:v>2682.85038711681</x:v>
      </x:c>
      <x:c r="C1015" t="n">
        <x:f>Dashboard_Live_Data!Q34</x:f>
        <x:v>-293.2</x:v>
      </x:c>
      <x:c r="D1015" t="n">
        <x:f>Dashboard_Live_Data!R34</x:f>
        <x:v>1541.8031963966218</x:v>
      </x:c>
      <x:c r="E1015" t="n">
        <x:f>Dashboard_Live_Data!S34</x:f>
        <x:v>-586.4</x:v>
      </x:c>
      <x:c r="F1015" t="n">
        <x:f>Dashboard_Live_Data!T34</x:f>
        <x:v>3692.447026135661</x:v>
      </x:c>
      <x:c r="G1015" t="n">
        <x:f>Dashboard_Live_Data!U34</x:f>
        <x:v>-586.4</x:v>
      </x:c>
      <x:c r="H1015" t="n">
        <x:f>Dashboard_Live_Data!V34</x:f>
        <x:v>3661.5782709250147</x:v>
      </x:c>
    </x:row>
    <x:row r="1016">
      <x:c r="A1016" t="n">
        <x:f>Dashboard_Live_Data!O35</x:f>
        <x:v>-43.5</x:v>
      </x:c>
      <x:c r="B1016" t="n">
        <x:f>Dashboard_Live_Data!P35</x:f>
        <x:v>2682.539131788299</x:v>
      </x:c>
      <x:c r="C1016" t="n">
        <x:f>Dashboard_Live_Data!Q35</x:f>
        <x:v>-290</x:v>
      </x:c>
      <x:c r="D1016" t="n">
        <x:f>Dashboard_Live_Data!R35</x:f>
        <x:v>1513.401147669966</x:v>
      </x:c>
      <x:c r="E1016" t="n">
        <x:f>Dashboard_Live_Data!S35</x:f>
        <x:v>-580</x:v>
      </x:c>
      <x:c r="F1016" t="n">
        <x:f>Dashboard_Live_Data!T35</x:f>
        <x:v>3617.3566781323107</x:v>
      </x:c>
      <x:c r="G1016" t="n">
        <x:f>Dashboard_Live_Data!U35</x:f>
        <x:v>-580</x:v>
      </x:c>
      <x:c r="H1016" t="n">
        <x:f>Dashboard_Live_Data!V35</x:f>
        <x:v>3585.709784600385</x:v>
      </x:c>
    </x:row>
    <x:row r="1017">
      <x:c r="A1017" t="n">
        <x:f>Dashboard_Live_Data!O36</x:f>
        <x:v>-43.019999999999996</x:v>
      </x:c>
      <x:c r="B1017" t="n">
        <x:f>Dashboard_Live_Data!P36</x:f>
        <x:v>2682.231292156122</x:v>
      </x:c>
      <x:c r="C1017" t="n">
        <x:f>Dashboard_Live_Data!Q36</x:f>
        <x:v>-286.79999999999995</x:v>
      </x:c>
      <x:c r="D1017" t="n">
        <x:f>Dashboard_Live_Data!R36</x:f>
        <x:v>1485.3107812338621</x:v>
      </x:c>
      <x:c r="E1017" t="n">
        <x:f>Dashboard_Live_Data!S36</x:f>
        <x:v>-573.5999999999999</x:v>
      </x:c>
      <x:c r="F1017" t="n">
        <x:f>Dashboard_Live_Data!T36</x:f>
        <x:v>3543.0903668697347</x:v>
      </x:c>
      <x:c r="G1017" t="n">
        <x:f>Dashboard_Live_Data!U36</x:f>
        <x:v>-573.5999999999999</x:v>
      </x:c>
      <x:c r="H1017" t="n">
        <x:f>Dashboard_Live_Data!V36</x:f>
        <x:v>3510.67387425737</x:v>
      </x:c>
    </x:row>
    <x:row r="1018">
      <x:c r="A1018" t="n">
        <x:f>Dashboard_Live_Data!O37</x:f>
        <x:v>-42.48</x:v>
      </x:c>
      <x:c r="B1018" t="n">
        <x:f>Dashboard_Live_Data!P37</x:f>
        <x:v>2681.8890553944493</x:v>
      </x:c>
      <x:c r="C1018" t="n">
        <x:f>Dashboard_Live_Data!Q37</x:f>
        <x:v>-283.2</x:v>
      </x:c>
      <x:c r="D1018" t="n">
        <x:f>Dashboard_Live_Data!R37</x:f>
        <x:v>1454.0816767311737</x:v>
      </x:c>
      <x:c r="E1018" t="n">
        <x:f>Dashboard_Live_Data!S37</x:f>
        <x:v>-566.4</x:v>
      </x:c>
      <x:c r="F1018" t="n">
        <x:f>Dashboard_Live_Data!T37</x:f>
        <x:v>3460.525748116051</x:v>
      </x:c>
      <x:c r="G1018" t="n">
        <x:f>Dashboard_Live_Data!U37</x:f>
        <x:v>-566.4</x:v>
      </x:c>
      <x:c r="H1018" t="n">
        <x:f>Dashboard_Live_Data!V37</x:f>
        <x:v>3427.2536635995016</x:v>
      </x:c>
    </x:row>
    <x:row r="1019">
      <x:c r="A1019" t="n">
        <x:f>Dashboard_Live_Data!O38</x:f>
        <x:v>-42</x:v>
      </x:c>
      <x:c r="B1019" t="n">
        <x:f>Dashboard_Live_Data!P38</x:f>
        <x:v>2681.588474116984</x:v>
      </x:c>
      <x:c r="C1019" t="n">
        <x:f>Dashboard_Live_Data!Q38</x:f>
        <x:v>-280</x:v>
      </x:c>
      <x:c r="D1019" t="n">
        <x:f>Dashboard_Live_Data!R38</x:f>
        <x:v>1426.6536351624961</x:v>
      </x:c>
      <x:c r="E1019" t="n">
        <x:f>Dashboard_Live_Data!S38</x:f>
        <x:v>-560</x:v>
      </x:c>
      <x:c r="F1019" t="n">
        <x:f>Dashboard_Live_Data!T38</x:f>
        <x:v>3388.01051492763</x:v>
      </x:c>
      <x:c r="G1019" t="n">
        <x:f>Dashboard_Live_Data!U38</x:f>
        <x:v>-560</x:v>
      </x:c>
      <x:c r="H1019" t="n">
        <x:f>Dashboard_Live_Data!V38</x:f>
        <x:v>3353.9869772174184</x:v>
      </x:c>
    </x:row>
    <x:row r="1020">
      <x:c r="A1020" t="n">
        <x:f>Dashboard_Live_Data!O39</x:f>
        <x:v>-41.519999999999996</x:v>
      </x:c>
      <x:c r="B1020" t="n">
        <x:f>Dashboard_Live_Data!P39</x:f>
        <x:v>2681.2913085358537</x:v>
      </x:c>
      <x:c r="C1020" t="n">
        <x:f>Dashboard_Live_Data!Q39</x:f>
        <x:v>-276.79999999999995</x:v>
      </x:c>
      <x:c r="D1020" t="n">
        <x:f>Dashboard_Live_Data!R39</x:f>
        <x:v>1399.5372758843714</x:v>
      </x:c>
      <x:c r="E1020" t="n">
        <x:f>Dashboard_Live_Data!S39</x:f>
        <x:v>-553.5999999999999</x:v>
      </x:c>
      <x:c r="F1020" t="n">
        <x:f>Dashboard_Live_Data!T39</x:f>
        <x:v>3316.319318479985</x:v>
      </x:c>
      <x:c r="G1020" t="n">
        <x:f>Dashboard_Live_Data!U39</x:f>
        <x:v>-553.5999999999999</x:v>
      </x:c>
      <x:c r="H1020" t="n">
        <x:f>Dashboard_Live_Data!V39</x:f>
        <x:v>3281.552866816948</x:v>
      </x:c>
    </x:row>
    <x:row r="1021">
      <x:c r="A1021" t="n">
        <x:f>Dashboard_Live_Data!O40</x:f>
        <x:v>-40.980000000000004</x:v>
      </x:c>
      <x:c r="B1021" t="n">
        <x:f>Dashboard_Live_Data!P40</x:f>
        <x:v>2680.9610800816076</x:v>
      </x:c>
      <x:c r="C1021" t="n">
        <x:f>Dashboard_Live_Data!Q40</x:f>
        <x:v>-273.20000000000005</x:v>
      </x:c>
      <x:c r="D1021" t="n">
        <x:f>Dashboard_Live_Data!R40</x:f>
        <x:v>1369.4039294344093</x:v>
      </x:c>
      <x:c r="E1021" t="n">
        <x:f>Dashboard_Live_Data!S40</x:f>
        <x:v>-546.4000000000001</x:v>
      </x:c>
      <x:c r="F1021" t="n">
        <x:f>Dashboard_Live_Data!T40</x:f>
        <x:v>3236.6517038930992</x:v>
      </x:c>
      <x:c r="G1021" t="n">
        <x:f>Dashboard_Live_Data!U40</x:f>
        <x:v>-546.4000000000001</x:v>
      </x:c>
      <x:c r="H1021" t="n">
        <x:f>Dashboard_Live_Data!V40</x:f>
        <x:v>3201.059681094447</x:v>
      </x:c>
    </x:row>
    <x:row r="1022">
      <x:c r="A1022" t="n">
        <x:f>Dashboard_Live_Data!O41</x:f>
        <x:v>-40.5</x:v>
      </x:c>
      <x:c r="B1022" t="n">
        <x:f>Dashboard_Live_Data!P41</x:f>
        <x:v>2680.671172855189</x:v>
      </x:c>
      <x:c r="C1022" t="n">
        <x:f>Dashboard_Live_Data!Q41</x:f>
        <x:v>-270</x:v>
      </x:c>
      <x:c r="D1022" t="n">
        <x:f>Dashboard_Live_Data!R41</x:f>
        <x:v>1342.9498950237103</x:v>
      </x:c>
      <x:c r="E1022" t="n">
        <x:f>Dashboard_Live_Data!S41</x:f>
        <x:v>-540</x:v>
      </x:c>
      <x:c r="F1022" t="n">
        <x:f>Dashboard_Live_Data!T41</x:f>
        <x:v>3166.7115855196066</x:v>
      </x:c>
      <x:c r="G1022" t="n">
        <x:f>Dashboard_Live_Data!U41</x:f>
        <x:v>-540</x:v>
      </x:c>
      <x:c r="H1022" t="n">
        <x:f>Dashboard_Live_Data!V41</x:f>
        <x:v>3130.3947946549083</x:v>
      </x:c>
    </x:row>
    <x:row r="1023">
      <x:c r="A1023" t="n">
        <x:f>Dashboard_Live_Data!O42</x:f>
        <x:v>-40.02</x:v>
      </x:c>
      <x:c r="B1023" t="n">
        <x:f>Dashboard_Live_Data!P42</x:f>
        <x:v>2680.3846813251052</x:v>
      </x:c>
      <x:c r="C1023" t="n">
        <x:f>Dashboard_Live_Data!Q42</x:f>
        <x:v>-266.8</x:v>
      </x:c>
      <x:c r="D1023" t="n">
        <x:f>Dashboard_Live_Data!R42</x:f>
        <x:v>1316.8075429035646</x:v>
      </x:c>
      <x:c r="E1023" t="n">
        <x:f>Dashboard_Live_Data!S42</x:f>
        <x:v>-533.6</x:v>
      </x:c>
      <x:c r="F1023" t="n">
        <x:f>Dashboard_Live_Data!T42</x:f>
        <x:v>3097.5955038868924</x:v>
      </x:c>
      <x:c r="G1023" t="n">
        <x:f>Dashboard_Live_Data!U42</x:f>
        <x:v>-533.6</x:v>
      </x:c>
      <x:c r="H1023" t="n">
        <x:f>Dashboard_Live_Data!V42</x:f>
        <x:v>3060.5624841969843</x:v>
      </x:c>
    </x:row>
    <x:row r="1024">
      <x:c r="A1024" t="n">
        <x:f>Dashboard_Live_Data!O43</x:f>
        <x:v>-39.480000000000004</x:v>
      </x:c>
      <x:c r="B1024" t="n">
        <x:f>Dashboard_Live_Data!P43</x:f>
        <x:v>2680.0664611782863</x:v>
      </x:c>
      <x:c r="C1024" t="n">
        <x:f>Dashboard_Live_Data!Q43</x:f>
        <x:v>-263.20000000000005</x:v>
      </x:c>
      <x:c r="D1024" t="n">
        <x:f>Dashboard_Live_Data!R43</x:f>
        <x:v>1287.7699545063276</x:v>
      </x:c>
      <x:c r="E1024" t="n">
        <x:f>Dashboard_Live_Data!S43</x:f>
        <x:v>-526.4000000000001</x:v>
      </x:c>
      <x:c r="F1024" t="n">
        <x:f>Dashboard_Live_Data!T43</x:f>
        <x:v>3020.824893466801</x:v>
      </x:c>
      <x:c r="G1024" t="n">
        <x:f>Dashboard_Live_Data!U43</x:f>
        <x:v>-526.4000000000001</x:v>
      </x:c>
      <x:c r="H1024" t="n">
        <x:f>Dashboard_Live_Data!V43</x:f>
        <x:v>2982.9963234098454</x:v>
      </x:c>
    </x:row>
    <x:row r="1025">
      <x:c r="A1025" t="n">
        <x:f>Dashboard_Live_Data!O44</x:f>
        <x:v>-39</x:v>
      </x:c>
      <x:c r="B1025" t="n">
        <x:f>Dashboard_Live_Data!P44</x:f>
        <x:v>2679.7872280029137</x:v>
      </x:c>
      <x:c r="C1025" t="n">
        <x:f>Dashboard_Live_Data!Q44</x:f>
        <x:v>-260</x:v>
      </x:c>
      <x:c r="D1025" t="n">
        <x:f>Dashboard_Live_Data!R44</x:f>
        <x:v>1262.2899272536067</x:v>
      </x:c>
      <x:c r="E1025" t="n">
        <x:f>Dashboard_Live_Data!S44</x:f>
        <x:v>-520</x:v>
      </x:c>
      <x:c r="F1025" t="n">
        <x:f>Dashboard_Live_Data!T44</x:f>
        <x:v>2953.459889908238</x:v>
      </x:c>
      <x:c r="G1025" t="n">
        <x:f>Dashboard_Live_Data!U44</x:f>
        <x:v>-520</x:v>
      </x:c>
      <x:c r="H1025" t="n">
        <x:f>Dashboard_Live_Data!V44</x:f>
        <x:v>2914.9332369128515</x:v>
      </x:c>
    </x:row>
    <x:row r="1026">
      <x:c r="A1026" t="n">
        <x:f>Dashboard_Live_Data!O45</x:f>
        <x:v>-38.519999999999996</x:v>
      </x:c>
      <x:c r="B1026" t="n">
        <x:f>Dashboard_Live_Data!P45</x:f>
        <x:v>2679.5114105238763</x:v>
      </x:c>
      <x:c r="C1026" t="n">
        <x:f>Dashboard_Live_Data!Q45</x:f>
        <x:v>-256.8</x:v>
      </x:c>
      <x:c r="D1026" t="n">
        <x:f>Dashboard_Live_Data!R45</x:f>
        <x:v>1237.1215822914398</x:v>
      </x:c>
      <x:c r="E1026" t="n">
        <x:f>Dashboard_Live_Data!S45</x:f>
        <x:v>-513.6</x:v>
      </x:c>
      <x:c r="F1026" t="n">
        <x:f>Dashboard_Live_Data!T45</x:f>
        <x:v>2886.9189230904535</x:v>
      </x:c>
      <x:c r="G1026" t="n">
        <x:f>Dashboard_Live_Data!U45</x:f>
        <x:v>-513.6</x:v>
      </x:c>
      <x:c r="H1026" t="n">
        <x:f>Dashboard_Live_Data!V45</x:f>
        <x:v>2847.7027263974737</x:v>
      </x:c>
    </x:row>
    <x:row r="1027">
      <x:c r="A1027" t="n">
        <x:f>Dashboard_Live_Data!O46</x:f>
        <x:v>-37.980000000000004</x:v>
      </x:c>
      <x:c r="B1027" t="n">
        <x:f>Dashboard_Live_Data!P46</x:f>
        <x:v>2679.205198684485</x:v>
      </x:c>
      <x:c r="C1027" t="n">
        <x:f>Dashboard_Live_Data!Q46</x:f>
        <x:v>-253.2</x:v>
      </x:c>
      <x:c r="D1027" t="n">
        <x:f>Dashboard_Live_Data!R46</x:f>
        <x:v>1209.1797519469287</x:v>
      </x:c>
      <x:c r="E1027" t="n">
        <x:f>Dashboard_Live_Data!S46</x:f>
        <x:v>-506.4</x:v>
      </x:c>
      <x:c r="F1027" t="n">
        <x:f>Dashboard_Live_Data!T46</x:f>
        <x:v>2813.045316837157</x:v>
      </x:c>
      <x:c r="G1027" t="n">
        <x:f>Dashboard_Live_Data!U46</x:f>
        <x:v>-506.4</x:v>
      </x:c>
      <x:c r="H1027" t="n">
        <x:f>Dashboard_Live_Data!V46</x:f>
        <x:v>2773.063590545697</x:v>
      </x:c>
    </x:row>
    <x:row r="1028">
      <x:c r="A1028" t="n">
        <x:f>Dashboard_Live_Data!O47</x:f>
        <x:v>-37.5</x:v>
      </x:c>
      <x:c r="B1028" t="n">
        <x:f>Dashboard_Live_Data!P47</x:f>
        <x:v>2678.9366395601587</x:v>
      </x:c>
      <x:c r="C1028" t="n">
        <x:f>Dashboard_Live_Data!Q47</x:f>
        <x:v>-250</x:v>
      </x:c>
      <x:c r="D1028" t="n">
        <x:f>Dashboard_Live_Data!R47</x:f>
        <x:v>1184.6737318521868</x:v>
      </x:c>
      <x:c r="E1028" t="n">
        <x:f>Dashboard_Live_Data!S47</x:f>
        <x:v>-500</x:v>
      </x:c>
      <x:c r="F1028" t="n">
        <x:f>Dashboard_Live_Data!T47</x:f>
        <x:v>2748.2554280935246</x:v>
      </x:c>
      <x:c r="G1028" t="n">
        <x:f>Dashboard_Live_Data!U47</x:f>
        <x:v>-500</x:v>
      </x:c>
      <x:c r="H1028" t="n">
        <x:f>Dashboard_Live_Data!V47</x:f>
        <x:v>2707.6023039912498</x:v>
      </x:c>
    </x:row>
    <x:row r="1029">
      <x:c r="A1029" t="n">
        <x:f>Dashboard_Live_Data!O48</x:f>
        <x:v>-37.019999999999996</x:v>
      </x:c>
      <x:c r="B1029" t="n">
        <x:f>Dashboard_Live_Data!P48</x:f>
        <x:v>2678.6714961321677</x:v>
      </x:c>
      <x:c r="C1029" t="n">
        <x:f>Dashboard_Live_Data!Q48</x:f>
        <x:v>-246.8</x:v>
      </x:c>
      <x:c r="D1029" t="n">
        <x:f>Dashboard_Live_Data!R48</x:f>
        <x:v>1160.4793940479983</x:v>
      </x:c>
      <x:c r="E1029" t="n">
        <x:f>Dashboard_Live_Data!S48</x:f>
        <x:v>-493.6</x:v>
      </x:c>
      <x:c r="F1029" t="n">
        <x:f>Dashboard_Live_Data!T48</x:f>
        <x:v>2684.2895760906704</x:v>
      </x:c>
      <x:c r="G1029" t="n">
        <x:f>Dashboard_Live_Data!U48</x:f>
        <x:v>-493.6</x:v>
      </x:c>
      <x:c r="H1029" t="n">
        <x:f>Dashboard_Live_Data!V48</x:f>
        <x:v>2642.9735934184177</x:v>
      </x:c>
    </x:row>
    <x:row r="1030">
      <x:c r="A1030" t="n">
        <x:f>Dashboard_Live_Data!O49</x:f>
        <x:v>-36.480000000000004</x:v>
      </x:c>
      <x:c r="B1030" t="n">
        <x:f>Dashboard_Live_Data!P49</x:f>
        <x:v>2678.377292600203</x:v>
      </x:c>
      <x:c r="C1030" t="n">
        <x:f>Dashboard_Live_Data!Q49</x:f>
        <x:v>-243.2</x:v>
      </x:c>
      <x:c r="D1030" t="n">
        <x:f>Dashboard_Live_Data!R49</x:f>
        <x:v>1133.633321756213</x:v>
      </x:c>
      <x:c r="E1030" t="n">
        <x:f>Dashboard_Live_Data!S49</x:f>
        <x:v>-486.4</x:v>
      </x:c>
      <x:c r="F1030" t="n">
        <x:f>Dashboard_Live_Data!T49</x:f>
        <x:v>2613.312974004169</x:v>
      </x:c>
      <x:c r="G1030" t="n">
        <x:f>Dashboard_Live_Data!U49</x:f>
        <x:v>-486.4</x:v>
      </x:c>
      <x:c r="H1030" t="n">
        <x:f>Dashboard_Live_Data!V49</x:f>
        <x:v>2571.2614825020046</x:v>
      </x:c>
    </x:row>
    <x:row r="1031">
      <x:c r="A1031" t="n">
        <x:f>Dashboard_Live_Data!O50</x:f>
        <x:v>-36</x:v>
      </x:c>
      <x:c r="B1031" t="n">
        <x:f>Dashboard_Live_Data!P50</x:f>
        <x:v>2678.119407526923</x:v>
      </x:c>
      <x:c r="C1031" t="n">
        <x:f>Dashboard_Live_Data!Q50</x:f>
        <x:v>-240</x:v>
      </x:c>
      <x:c r="D1031" t="n">
        <x:f>Dashboard_Live_Data!R50</x:f>
        <x:v>1110.1013088194502</x:v>
      </x:c>
      <x:c r="E1031" t="n">
        <x:f>Dashboard_Live_Data!S50</x:f>
        <x:v>-480</x:v>
      </x:c>
      <x:c r="F1031" t="n">
        <x:f>Dashboard_Live_Data!T50</x:f>
        <x:v>2551.098200075467</x:v>
      </x:c>
      <x:c r="G1031" t="n">
        <x:f>Dashboard_Live_Data!U50</x:f>
        <x:v>-480</x:v>
      </x:c>
      <x:c r="H1031" t="n">
        <x:f>Dashboard_Live_Data!V50</x:f>
        <x:v>2508.4019958901035</x:v>
      </x:c>
    </x:row>
    <x:row r="1032">
      <x:c r="A1032" t="n">
        <x:f>Dashboard_Live_Data!O51</x:f>
        <x:v>-35.519999999999996</x:v>
      </x:c>
      <x:c r="B1032" t="n">
        <x:f>Dashboard_Live_Data!P51</x:f>
        <x:v>2677.8649381499786</x:v>
      </x:c>
      <x:c r="C1032" t="n">
        <x:f>Dashboard_Live_Data!Q51</x:f>
        <x:v>-236.79999999999998</x:v>
      </x:c>
      <x:c r="D1032" t="n">
        <x:f>Dashboard_Live_Data!R51</x:f>
        <x:v>1086.88097817324</x:v>
      </x:c>
      <x:c r="E1032" t="n">
        <x:f>Dashboard_Live_Data!S51</x:f>
        <x:v>-473.59999999999997</x:v>
      </x:c>
      <x:c r="F1032" t="n">
        <x:f>Dashboard_Live_Data!T51</x:f>
        <x:v>2489.7074628875416</x:v>
      </x:c>
      <x:c r="G1032" t="n">
        <x:f>Dashboard_Live_Data!U51</x:f>
        <x:v>-473.59999999999997</x:v>
      </x:c>
      <x:c r="H1032" t="n">
        <x:f>Dashboard_Live_Data!V51</x:f>
        <x:v>2446.3750852598164</x:v>
      </x:c>
    </x:row>
    <x:row r="1033">
      <x:c r="A1033" t="n">
        <x:f>Dashboard_Live_Data!O52</x:f>
        <x:v>-34.98</x:v>
      </x:c>
      <x:c r="B1033" t="n">
        <x:f>Dashboard_Live_Data!P52</x:f>
        <x:v>2677.582742925441</x:v>
      </x:c>
      <x:c r="C1033" t="n">
        <x:f>Dashboard_Live_Data!Q52</x:f>
        <x:v>-233.2</x:v>
      </x:c>
      <x:c r="D1033" t="n">
        <x:f>Dashboard_Live_Data!R52</x:f>
        <x:v>1061.1306639341806</x:v>
      </x:c>
      <x:c r="E1033" t="n">
        <x:f>Dashboard_Live_Data!S52</x:f>
        <x:v>-466.4</x:v>
      </x:c>
      <x:c r="F1033" t="n">
        <x:f>Dashboard_Live_Data!T52</x:f>
        <x:v>2421.627864967837</x:v>
      </x:c>
      <x:c r="G1033" t="n">
        <x:f>Dashboard_Live_Data!U52</x:f>
        <x:v>-466.4</x:v>
      </x:c>
      <x:c r="H1033" t="n">
        <x:f>Dashboard_Live_Data!V52</x:f>
        <x:v>2377.5899992787677</x:v>
      </x:c>
    </x:row>
    <x:row r="1034">
      <x:c r="A1034" t="n">
        <x:f>Dashboard_Live_Data!O53</x:f>
        <x:v>-34.5</x:v>
      </x:c>
      <x:c r="B1034" t="n">
        <x:f>Dashboard_Live_Data!P53</x:f>
        <x:v>2677.3355319032075</x:v>
      </x:c>
      <x:c r="C1034" t="n">
        <x:f>Dashboard_Live_Data!Q53</x:f>
        <x:v>-229.99999999999997</x:v>
      </x:c>
      <x:c r="D1034" t="n">
        <x:f>Dashboard_Live_Data!R53</x:f>
        <x:v>1038.572658155396</x:v>
      </x:c>
      <x:c r="E1034" t="n">
        <x:f>Dashboard_Live_Data!S53</x:f>
        <x:v>-459.99999999999994</x:v>
      </x:c>
      <x:c r="F1034" t="n">
        <x:f>Dashboard_Live_Data!T53</x:f>
        <x:v>2361.988205854064</x:v>
      </x:c>
      <x:c r="G1034" t="n">
        <x:f>Dashboard_Live_Data!U53</x:f>
        <x:v>-459.99999999999994</x:v>
      </x:c>
      <x:c r="H1034" t="n">
        <x:f>Dashboard_Live_Data!V53</x:f>
        <x:v>2317.3323126094115</x:v>
      </x:c>
    </x:row>
    <x:row r="1035">
      <x:c r="A1035" t="n">
        <x:f>Dashboard_Live_Data!O54</x:f>
        <x:v>-34.019999999999996</x:v>
      </x:c>
      <x:c r="B1035" t="n">
        <x:f>Dashboard_Live_Data!P54</x:f>
        <x:v>2677.091736577309</x:v>
      </x:c>
      <x:c r="C1035" t="n">
        <x:f>Dashboard_Live_Data!Q54</x:f>
        <x:v>-226.79999999999998</x:v>
      </x:c>
      <x:c r="D1035" t="n">
        <x:f>Dashboard_Live_Data!R54</x:f>
        <x:v>1016.3263346671649</x:v>
      </x:c>
      <x:c r="E1035" t="n">
        <x:f>Dashboard_Live_Data!S54</x:f>
        <x:v>-453.59999999999997</x:v>
      </x:c>
      <x:c r="F1035" t="n">
        <x:f>Dashboard_Live_Data!T54</x:f>
        <x:v>2303.172583481069</x:v>
      </x:c>
      <x:c r="G1035" t="n">
        <x:f>Dashboard_Live_Data!U54</x:f>
        <x:v>-453.59999999999997</x:v>
      </x:c>
      <x:c r="H1035" t="n">
        <x:f>Dashboard_Live_Data!V54</x:f>
        <x:v>2257.9072019216705</x:v>
      </x:c>
    </x:row>
    <x:row r="1036">
      <x:c r="A1036" t="n">
        <x:f>Dashboard_Live_Data!O55</x:f>
        <x:v>-33.480000000000004</x:v>
      </x:c>
      <x:c r="B1036" t="n">
        <x:f>Dashboard_Live_Data!P55</x:f>
        <x:v>2676.821549660199</x:v>
      </x:c>
      <x:c r="C1036" t="n">
        <x:f>Dashboard_Live_Data!Q55</x:f>
        <x:v>-223.20000000000002</x:v>
      </x:c>
      <x:c r="D1036" t="n">
        <x:f>Dashboard_Live_Data!R55</x:f>
        <x:v>991.6717784808318</x:v>
      </x:c>
      <x:c r="E1036" t="n">
        <x:f>Dashboard_Live_Data!S55</x:f>
        <x:v>-446.40000000000003</x:v>
      </x:c>
      <x:c r="F1036" t="n">
        <x:f>Dashboard_Live_Data!T55</x:f>
        <x:v>2237.989989728161</x:v>
      </x:c>
      <x:c r="G1036" t="n">
        <x:f>Dashboard_Live_Data!U55</x:f>
        <x:v>-446.40000000000003</x:v>
      </x:c>
      <x:c r="H1036" t="n">
        <x:f>Dashboard_Live_Data!V55</x:f>
        <x:v>2192.049140875986</x:v>
      </x:c>
    </x:row>
    <x:row r="1037">
      <x:c r="A1037" t="n">
        <x:f>Dashboard_Live_Data!O56</x:f>
        <x:v>-33</x:v>
      </x:c>
      <x:c r="B1037" t="n">
        <x:f>Dashboard_Live_Data!P56</x:f>
        <x:v>2676.585012689012</x:v>
      </x:c>
      <x:c r="C1037" t="n">
        <x:f>Dashboard_Live_Data!Q56</x:f>
        <x:v>-220.00000000000003</x:v>
      </x:c>
      <x:c r="D1037" t="n">
        <x:f>Dashboard_Live_Data!R56</x:f>
        <x:v>970.0877798600259</x:v>
      </x:c>
      <x:c r="E1037" t="n">
        <x:f>Dashboard_Live_Data!S56</x:f>
        <x:v>-440.00000000000006</x:v>
      </x:c>
      <x:c r="F1037" t="n">
        <x:f>Dashboard_Live_Data!T56</x:f>
        <x:v>2180.9254454293177</x:v>
      </x:c>
      <x:c r="G1037" t="n">
        <x:f>Dashboard_Live_Data!U56</x:f>
        <x:v>-440.00000000000006</x:v>
      </x:c>
      <x:c r="H1037" t="n">
        <x:f>Dashboard_Live_Data!V56</x:f>
        <x:v>2134.393254149176</x:v>
      </x:c>
    </x:row>
    <x:row r="1038">
      <x:c r="A1038" t="n">
        <x:f>Dashboard_Live_Data!O57</x:f>
        <x:v>-32.52</x:v>
      </x:c>
      <x:c r="B1038" t="n">
        <x:f>Dashboard_Live_Data!P57</x:f>
        <x:v>2676.3518914141596</x:v>
      </x:c>
      <x:c r="C1038" t="n">
        <x:f>Dashboard_Live_Data!Q57</x:f>
        <x:v>-216.8</x:v>
      </x:c>
      <x:c r="D1038" t="n">
        <x:f>Dashboard_Live_Data!R57</x:f>
        <x:v>948.8154635297731</x:v>
      </x:c>
      <x:c r="E1038" t="n">
        <x:f>Dashboard_Live_Data!S57</x:f>
        <x:v>-433.6</x:v>
      </x:c>
      <x:c r="F1038" t="n">
        <x:f>Dashboard_Live_Data!T57</x:f>
        <x:v>2124.6849378712523</x:v>
      </x:c>
      <x:c r="G1038" t="n">
        <x:f>Dashboard_Live_Data!U57</x:f>
        <x:v>-433.6</x:v>
      </x:c>
      <x:c r="H1038" t="n">
        <x:f>Dashboard_Live_Data!V57</x:f>
        <x:v>2077.56994340398</x:v>
      </x:c>
    </x:row>
    <x:row r="1039">
      <x:c r="A1039" t="n">
        <x:f>Dashboard_Live_Data!O58</x:f>
        <x:v>-31.98</x:v>
      </x:c>
      <x:c r="B1039" t="n">
        <x:f>Dashboard_Live_Data!P58</x:f>
        <x:v>2676.093712804476</x:v>
      </x:c>
      <x:c r="C1039" t="n">
        <x:f>Dashboard_Live_Data!Q58</x:f>
        <x:v>-213.20000000000002</x:v>
      </x:c>
      <x:c r="D1039" t="n">
        <x:f>Dashboard_Live_Data!R58</x:f>
        <x:v>925.2566653961659</x:v>
      </x:c>
      <x:c r="E1039" t="n">
        <x:f>Dashboard_Live_Data!S58</x:f>
        <x:v>-426.40000000000003</x:v>
      </x:c>
      <x:c r="F1039" t="n">
        <x:f>Dashboard_Live_Data!T58</x:f>
        <x:v>2062.3993482851392</x:v>
      </x:c>
      <x:c r="G1039" t="n">
        <x:f>Dashboard_Live_Data!U58</x:f>
        <x:v>-426.40000000000003</x:v>
      </x:c>
      <x:c r="H1039" t="n">
        <x:f>Dashboard_Live_Data!V58</x:f>
        <x:v>2014.6389072936586</x:v>
      </x:c>
    </x:row>
    <x:row r="1040">
      <x:c r="A1040" t="n">
        <x:f>Dashboard_Live_Data!O59</x:f>
        <x:v>-31.5</x:v>
      </x:c>
      <x:c r="B1040" t="n">
        <x:f>Dashboard_Live_Data!P59</x:f>
        <x:v>2675.867849884336</x:v>
      </x:c>
      <x:c r="C1040" t="n">
        <x:f>Dashboard_Live_Data!Q59</x:f>
        <x:v>-210</x:v>
      </x:c>
      <x:c r="D1040" t="n">
        <x:f>Dashboard_Live_Data!R59</x:f>
        <x:v>904.6466739333382</x:v>
      </x:c>
      <x:c r="E1040" t="n">
        <x:f>Dashboard_Live_Data!S59</x:f>
        <x:v>-420</x:v>
      </x:c>
      <x:c r="F1040" t="n">
        <x:f>Dashboard_Live_Data!T59</x:f>
        <x:v>2007.9099188012265</x:v>
      </x:c>
      <x:c r="G1040" t="n">
        <x:f>Dashboard_Live_Data!U59</x:f>
        <x:v>-420</x:v>
      </x:c>
      <x:c r="H1040" t="n">
        <x:f>Dashboard_Live_Data!V59</x:f>
        <x:v>1959.584820509394</x:v>
      </x:c>
    </x:row>
    <x:row r="1041">
      <x:c r="A1041" t="n">
        <x:f>Dashboard_Live_Data!O60</x:f>
        <x:v>-31.02</x:v>
      </x:c>
      <x:c r="B1041" t="n">
        <x:f>Dashboard_Live_Data!P60</x:f>
        <x:v>2675.6454026605297</x:v>
      </x:c>
      <x:c r="C1041" t="n">
        <x:f>Dashboard_Live_Data!Q60</x:f>
        <x:v>-206.8</x:v>
      </x:c>
      <x:c r="D1041" t="n">
        <x:f>Dashboard_Live_Data!R60</x:f>
        <x:v>884.3483647610641</x:v>
      </x:c>
      <x:c r="E1041" t="n">
        <x:f>Dashboard_Live_Data!S60</x:f>
        <x:v>-413.6</x:v>
      </x:c>
      <x:c r="F1041" t="n">
        <x:f>Dashboard_Live_Data!T60</x:f>
        <x:v>1954.2445260580903</x:v>
      </x:c>
      <x:c r="G1041" t="n">
        <x:f>Dashboard_Live_Data!U60</x:f>
        <x:v>-413.6</x:v>
      </x:c>
      <x:c r="H1041" t="n">
        <x:f>Dashboard_Live_Data!V60</x:f>
        <x:v>1905.3633097067436</x:v>
      </x:c>
    </x:row>
    <x:row r="1042">
      <x:c r="A1042" t="n">
        <x:f>Dashboard_Live_Data!O61</x:f>
        <x:v>-30.48</x:v>
      </x:c>
      <x:c r="B1042" t="n">
        <x:f>Dashboard_Live_Data!P61</x:f>
        <x:v>2675.3992323582734</x:v>
      </x:c>
      <x:c r="C1042" t="n">
        <x:f>Dashboard_Live_Data!Q61</x:f>
        <x:v>-203.2</x:v>
      </x:c>
      <x:c r="D1042" t="n">
        <x:f>Dashboard_Live_Data!R61</x:f>
        <x:v>861.8853246801826</x:v>
      </x:c>
      <x:c r="E1042" t="n">
        <x:f>Dashboard_Live_Data!S61</x:f>
        <x:v>-406.4</x:v>
      </x:c>
      <x:c r="F1042" t="n">
        <x:f>Dashboard_Live_Data!T61</x:f>
        <x:v>1894.8559406387737</x:v>
      </x:c>
      <x:c r="G1042" t="n">
        <x:f>Dashboard_Live_Data!U61</x:f>
        <x:v>-406.4</x:v>
      </x:c>
      <x:c r="H1042" t="n">
        <x:f>Dashboard_Live_Data!V61</x:f>
        <x:v>1845.3592985317862</x:v>
      </x:c>
    </x:row>
    <x:row r="1043">
      <x:c r="A1043" t="n">
        <x:f>Dashboard_Live_Data!O62</x:f>
        <x:v>-30</x:v>
      </x:c>
      <x:c r="B1043" t="n">
        <x:f>Dashboard_Live_Data!P62</x:f>
        <x:v>2675.184043489179</x:v>
      </x:c>
      <x:c r="C1043" t="n">
        <x:f>Dashboard_Live_Data!Q62</x:f>
        <x:v>-200</x:v>
      </x:c>
      <x:c r="D1043" t="n">
        <x:f>Dashboard_Live_Data!R62</x:f>
        <x:v>842.2493403753339</x:v>
      </x:c>
      <x:c r="E1043" t="n">
        <x:f>Dashboard_Live_Data!S62</x:f>
        <x:v>-400</x:v>
      </x:c>
      <x:c r="F1043" t="n">
        <x:f>Dashboard_Live_Data!T62</x:f>
        <x:v>1842.9416259697903</x:v>
      </x:c>
      <x:c r="G1043" t="n">
        <x:f>Dashboard_Live_Data!U62</x:f>
        <x:v>-400</x:v>
      </x:c>
      <x:c r="H1043" t="n">
        <x:f>Dashboard_Live_Data!V62</x:f>
        <x:v>1792.9070116900673</x:v>
      </x:c>
    </x:row>
    <x:row r="1044">
      <x:c r="A1044" t="n">
        <x:f>Dashboard_Live_Data!O63</x:f>
        <x:v>-29.52</x:v>
      </x:c>
      <x:c r="B1044" t="n">
        <x:f>Dashboard_Live_Data!P63</x:f>
        <x:v>2674.9722703164202</x:v>
      </x:c>
      <x:c r="C1044" t="n">
        <x:f>Dashboard_Live_Data!Q63</x:f>
        <x:v>-196.8</x:v>
      </x:c>
      <x:c r="D1044" t="n">
        <x:f>Dashboard_Live_Data!R63</x:f>
        <x:v>822.9250383610386</x:v>
      </x:c>
      <x:c r="E1044" t="n">
        <x:f>Dashboard_Live_Data!S63</x:f>
        <x:v>-393.6</x:v>
      </x:c>
      <x:c r="F1044" t="n">
        <x:f>Dashboard_Live_Data!T63</x:f>
        <x:v>1791.851348041584</x:v>
      </x:c>
      <x:c r="G1044" t="n">
        <x:f>Dashboard_Live_Data!U63</x:f>
        <x:v>-393.6</x:v>
      </x:c>
      <x:c r="H1044" t="n">
        <x:f>Dashboard_Live_Data!V63</x:f>
        <x:v>1741.2873008299634</x:v>
      </x:c>
    </x:row>
    <x:row r="1045">
      <x:c r="A1045" t="n">
        <x:f>Dashboard_Live_Data!O64</x:f>
        <x:v>-28.98</x:v>
      </x:c>
      <x:c r="B1045" t="n">
        <x:f>Dashboard_Live_Data!P64</x:f>
        <x:v>2674.738108321591</x:v>
      </x:c>
      <x:c r="C1045" t="n">
        <x:f>Dashboard_Live_Data!Q64</x:f>
        <x:v>-193.2</x:v>
      </x:c>
      <x:c r="D1045" t="n">
        <x:f>Dashboard_Live_Data!R64</x:f>
        <x:v>801.5577563328827</x:v>
      </x:c>
      <x:c r="E1045" t="n">
        <x:f>Dashboard_Live_Data!S64</x:f>
        <x:v>-386.4</x:v>
      </x:c>
      <x:c r="F1045" t="n">
        <x:f>Dashboard_Live_Data!T64</x:f>
        <x:v>1735.3597667890629</x:v>
      </x:c>
      <x:c r="G1045" t="n">
        <x:f>Dashboard_Live_Data!U64</x:f>
        <x:v>-386.4</x:v>
      </x:c>
      <x:c r="H1045" t="n">
        <x:f>Dashboard_Live_Data!V64</x:f>
        <x:v>1684.2103145903689</x:v>
      </x:c>
    </x:row>
    <x:row r="1046">
      <x:c r="A1046" t="n">
        <x:f>Dashboard_Live_Data!O65</x:f>
        <x:v>-28.5</x:v>
      </x:c>
      <x:c r="B1046" t="n">
        <x:f>Dashboard_Live_Data!P65</x:f>
        <x:v>2674.5335935035428</x:v>
      </x:c>
      <x:c r="C1046" t="n">
        <x:f>Dashboard_Live_Data!Q65</x:f>
        <x:v>-190</x:v>
      </x:c>
      <x:c r="D1046" t="n">
        <x:f>Dashboard_Live_Data!R65</x:f>
        <x:v>782.8957791860126</x:v>
      </x:c>
      <x:c r="E1046" t="n">
        <x:f>Dashboard_Live_Data!S65</x:f>
        <x:v>-380</x:v>
      </x:c>
      <x:c r="F1046" t="n">
        <x:f>Dashboard_Live_Data!T65</x:f>
        <x:v>1686.0205669350094</x:v>
      </x:c>
      <x:c r="G1046" t="n">
        <x:f>Dashboard_Live_Data!U65</x:f>
        <x:v>-380</x:v>
      </x:c>
      <x:c r="H1046" t="n">
        <x:f>Dashboard_Live_Data!V65</x:f>
        <x:v>1634.3598276911957</x:v>
      </x:c>
    </x:row>
    <x:row r="1047">
      <x:c r="A1047" t="n">
        <x:f>Dashboard_Live_Data!O66</x:f>
        <x:v>-28.020000000000003</x:v>
      </x:c>
      <x:c r="B1047" t="n">
        <x:f>Dashboard_Live_Data!P66</x:f>
        <x:v>2674.33249438183</x:v>
      </x:c>
      <x:c r="C1047" t="n">
        <x:f>Dashboard_Live_Data!Q66</x:f>
        <x:v>-186.80000000000004</x:v>
      </x:c>
      <x:c r="D1047" t="n">
        <x:f>Dashboard_Live_Data!R66</x:f>
        <x:v>764.545484329696</x:v>
      </x:c>
      <x:c r="E1047" t="n">
        <x:f>Dashboard_Live_Data!S66</x:f>
        <x:v>-373.6000000000001</x:v>
      </x:c>
      <x:c r="F1047" t="n">
        <x:f>Dashboard_Live_Data!T66</x:f>
        <x:v>1637.5054038217336</x:v>
      </x:c>
      <x:c r="G1047" t="n">
        <x:f>Dashboard_Live_Data!U66</x:f>
        <x:v>-373.6000000000001</x:v>
      </x:c>
      <x:c r="H1047" t="n">
        <x:f>Dashboard_Live_Data!V66</x:f>
        <x:v>1585.3419167736374</x:v>
      </x:c>
    </x:row>
    <x:row r="1048">
      <x:c r="A1048" t="n">
        <x:f>Dashboard_Live_Data!O67</x:f>
        <x:v>-27.479999999999997</x:v>
      </x:c>
      <x:c r="B1048" t="n">
        <x:f>Dashboard_Live_Data!P67</x:f>
        <x:v>2674.1103406944285</x:v>
      </x:c>
      <x:c r="C1048" t="n">
        <x:f>Dashboard_Live_Data!Q67</x:f>
        <x:v>-183.2</x:v>
      </x:c>
      <x:c r="D1048" t="n">
        <x:f>Dashboard_Live_Data!R67</x:f>
        <x:v>744.2739603542661</x:v>
      </x:c>
      <x:c r="E1048" t="n">
        <x:f>Dashboard_Live_Data!S67</x:f>
        <x:v>-366.4</x:v>
      </x:c>
      <x:c r="F1048" t="n">
        <x:f>Dashboard_Live_Data!T67</x:f>
        <x:v>1583.910826736008</x:v>
      </x:c>
      <x:c r="G1048" t="n">
        <x:f>Dashboard_Live_Data!U67</x:f>
        <x:v>-366.4</x:v>
      </x:c>
      <x:c r="H1048" t="n">
        <x:f>Dashboard_Live_Data!V67</x:f>
        <x:v>1531.1919554694066</x:v>
      </x:c>
    </x:row>
    <x:row r="1049">
      <x:c r="A1049" t="n">
        <x:f>Dashboard_Live_Data!O68</x:f>
        <x:v>-27</x:v>
      </x:c>
      <x:c r="B1049" t="n">
        <x:f>Dashboard_Live_Data!P68</x:f>
        <x:v>2673.9164999274262</x:v>
      </x:c>
      <x:c r="C1049" t="n">
        <x:f>Dashboard_Live_Data!Q68</x:f>
        <x:v>-179.99999999999997</x:v>
      </x:c>
      <x:c r="D1049" t="n">
        <x:f>Dashboard_Live_Data!R68</x:f>
        <x:v>726.5859903653746</x:v>
      </x:c>
      <x:c r="E1049" t="n">
        <x:f>Dashboard_Live_Data!S68</x:f>
        <x:v>-359.99999999999994</x:v>
      </x:c>
      <x:c r="F1049" t="n">
        <x:f>Dashboard_Live_Data!T68</x:f>
        <x:v>1537.146741696884</x:v>
      </x:c>
      <x:c r="G1049" t="n">
        <x:f>Dashboard_Live_Data!U68</x:f>
        <x:v>-359.99999999999994</x:v>
      </x:c>
      <x:c r="H1049" t="n">
        <x:f>Dashboard_Live_Data!V68</x:f>
        <x:v>1483.9432685127788</x:v>
      </x:c>
    </x:row>
    <x:row r="1050">
      <x:c r="A1050" t="n">
        <x:f>Dashboard_Live_Data!O69</x:f>
        <x:v>-26.519999999999996</x:v>
      </x:c>
      <x:c r="B1050" t="n">
        <x:f>Dashboard_Live_Data!P69</x:f>
        <x:v>2673.7260748567596</x:v>
      </x:c>
      <x:c r="C1050" t="n">
        <x:f>Dashboard_Live_Data!Q69</x:f>
        <x:v>-176.79999999999998</x:v>
      </x:c>
      <x:c r="D1050" t="n">
        <x:f>Dashboard_Live_Data!R69</x:f>
        <x:v>709.2097026670363</x:v>
      </x:c>
      <x:c r="E1050" t="n">
        <x:f>Dashboard_Live_Data!S69</x:f>
        <x:v>-353.59999999999997</x:v>
      </x:c>
      <x:c r="F1050" t="n">
        <x:f>Dashboard_Live_Data!T69</x:f>
        <x:v>1491.2066933985375</x:v>
      </x:c>
      <x:c r="G1050" t="n">
        <x:f>Dashboard_Live_Data!U69</x:f>
        <x:v>-353.59999999999997</x:v>
      </x:c>
      <x:c r="H1050" t="n">
        <x:f>Dashboard_Live_Data!V69</x:f>
        <x:v>1437.5271575377656</x:v>
      </x:c>
    </x:row>
    <x:row r="1051">
      <x:c r="A1051" t="n">
        <x:f>Dashboard_Live_Data!O70</x:f>
        <x:v>-25.980000000000004</x:v>
      </x:c>
      <x:c r="B1051" t="n">
        <x:f>Dashboard_Live_Data!P70</x:f>
        <x:v>2673.515929476785</x:v>
      </x:c>
      <x:c r="C1051" t="n">
        <x:f>Dashboard_Live_Data!Q70</x:f>
        <x:v>-173.20000000000002</x:v>
      </x:c>
      <x:c r="D1051" t="n">
        <x:f>Dashboard_Live_Data!R70</x:f>
        <x:v>690.0339367443328</x:v>
      </x:c>
      <x:c r="E1051" t="n">
        <x:f>Dashboard_Live_Data!S70</x:f>
        <x:v>-346.40000000000003</x:v>
      </x:c>
      <x:c r="F1051" t="n">
        <x:f>Dashboard_Live_Data!T70</x:f>
        <x:v>1440.509120479609</x:v>
      </x:c>
      <x:c r="G1051" t="n">
        <x:f>Dashboard_Live_Data!U70</x:f>
        <x:v>-346.40000000000003</x:v>
      </x:c>
      <x:c r="H1051" t="n">
        <x:f>Dashboard_Live_Data!V70</x:f>
        <x:v>1386.3042211688996</x:v>
      </x:c>
    </x:row>
    <x:row r="1052">
      <x:c r="A1052" t="n">
        <x:f>Dashboard_Live_Data!O71</x:f>
        <x:v>-25.5</x:v>
      </x:c>
      <x:c r="B1052" t="n">
        <x:f>Dashboard_Live_Data!P71</x:f>
        <x:v>2673.3327627608296</x:v>
      </x:c>
      <x:c r="C1052" t="n">
        <x:f>Dashboard_Live_Data!Q71</x:f>
        <x:v>-170.00000000000003</x:v>
      </x:c>
      <x:c r="D1052" t="n">
        <x:f>Dashboard_Live_Data!R71</x:f>
        <x:v>673.3199739134199</x:v>
      </x:c>
      <x:c r="E1052" t="n">
        <x:f>Dashboard_Live_Data!S71</x:f>
        <x:v>-340.00000000000006</x:v>
      </x:c>
      <x:c r="F1052" t="n">
        <x:f>Dashboard_Live_Data!T71</x:f>
        <x:v>1396.3201502554145</x:v>
      </x:c>
      <x:c r="G1052" t="n">
        <x:f>Dashboard_Live_Data!U71</x:f>
        <x:v>-340.00000000000006</x:v>
      </x:c>
      <x:c r="H1052" t="n">
        <x:f>Dashboard_Live_Data!V71</x:f>
        <x:v>1341.6573341548174</x:v>
      </x:c>
    </x:row>
    <x:row r="1053">
      <x:c r="A1053" t="n">
        <x:f>Dashboard_Live_Data!O72</x:f>
        <x:v>-25.020000000000003</x:v>
      </x:c>
      <x:c r="B1053" t="n">
        <x:f>Dashboard_Live_Data!P72</x:f>
        <x:v>2673.1530117412094</x:v>
      </x:c>
      <x:c r="C1053" t="n">
        <x:f>Dashboard_Live_Data!Q72</x:f>
        <x:v>-166.8</x:v>
      </x:c>
      <x:c r="D1053" t="n">
        <x:f>Dashboard_Live_Data!R72</x:f>
        <x:v>656.9176933730602</x:v>
      </x:c>
      <x:c r="E1053" t="n">
        <x:f>Dashboard_Live_Data!S72</x:f>
        <x:v>-333.6</x:v>
      </x:c>
      <x:c r="F1053" t="n">
        <x:f>Dashboard_Live_Data!T72</x:f>
        <x:v>1352.955216771998</x:v>
      </x:c>
      <x:c r="G1053" t="n">
        <x:f>Dashboard_Live_Data!U72</x:f>
        <x:v>-333.6</x:v>
      </x:c>
      <x:c r="H1053" t="n">
        <x:f>Dashboard_Live_Data!V72</x:f>
        <x:v>1297.8430231223497</x:v>
      </x:c>
    </x:row>
    <x:row r="1054">
      <x:c r="A1054" t="n">
        <x:f>Dashboard_Live_Data!O73</x:f>
        <x:v>-24.479999999999997</x:v>
      </x:c>
      <x:c r="B1054" t="n">
        <x:f>Dashboard_Live_Data!P73</x:f>
        <x:v>2672.954874668662</x:v>
      </x:c>
      <x:c r="C1054" t="n">
        <x:f>Dashboard_Live_Data!Q73</x:f>
        <x:v>-163.19999999999996</x:v>
      </x:c>
      <x:c r="D1054" t="n">
        <x:f>Dashboard_Live_Data!R73</x:f>
        <x:v>638.8376855030822</x:v>
      </x:c>
      <x:c r="E1054" t="n">
        <x:f>Dashboard_Live_Data!S73</x:f>
        <x:v>-326.3999999999999</x:v>
      </x:c>
      <x:c r="F1054" t="n">
        <x:f>Dashboard_Live_Data!T73</x:f>
        <x:v>1305.154648019864</x:v>
      </x:c>
      <x:c r="G1054" t="n">
        <x:f>Dashboard_Live_Data!U73</x:f>
        <x:v>-326.3999999999999</x:v>
      </x:c>
      <x:c r="H1054" t="n">
        <x:f>Dashboard_Live_Data!V73</x:f>
        <x:v>1249.5471116888466</x:v>
      </x:c>
    </x:row>
    <x:row r="1055">
      <x:c r="A1055" t="n">
        <x:f>Dashboard_Live_Data!O74</x:f>
        <x:v>-24</x:v>
      </x:c>
      <x:c r="B1055" t="n">
        <x:f>Dashboard_Live_Data!P74</x:f>
        <x:v>2672.782382003753</x:v>
      </x:c>
      <x:c r="C1055" t="n">
        <x:f>Dashboard_Live_Data!Q74</x:f>
        <x:v>-160</x:v>
      </x:c>
      <x:c r="D1055" t="n">
        <x:f>Dashboard_Live_Data!R74</x:f>
        <x:v>623.097729830148</x:v>
      </x:c>
      <x:c r="E1055" t="n">
        <x:f>Dashboard_Live_Data!S74</x:f>
        <x:v>-320</x:v>
      </x:c>
      <x:c r="F1055" t="n">
        <x:f>Dashboard_Live_Data!T74</x:f>
        <x:v>1263.5407926106002</x:v>
      </x:c>
      <x:c r="G1055" t="n">
        <x:f>Dashboard_Live_Data!U74</x:f>
        <x:v>-320</x:v>
      </x:c>
      <x:c r="H1055" t="n">
        <x:f>Dashboard_Live_Data!V74</x:f>
        <x:v>1207.5020246173106</x:v>
      </x:c>
    </x:row>
    <x:row r="1056">
      <x:c r="A1056" t="n">
        <x:f>Dashboard_Live_Data!O75</x:f>
        <x:v>-23.520000000000003</x:v>
      </x:c>
      <x:c r="B1056" t="n">
        <x:f>Dashboard_Live_Data!P75</x:f>
        <x:v>2672.6133050351787</x:v>
      </x:c>
      <x:c r="C1056" t="n">
        <x:f>Dashboard_Live_Data!Q75</x:f>
        <x:v>-156.8</x:v>
      </x:c>
      <x:c r="D1056" t="n">
        <x:f>Dashboard_Live_Data!R75</x:f>
        <x:v>607.6694564477671</x:v>
      </x:c>
      <x:c r="E1056" t="n">
        <x:f>Dashboard_Live_Data!S75</x:f>
        <x:v>-313.6</x:v>
      </x:c>
      <x:c r="F1056" t="n">
        <x:f>Dashboard_Live_Data!T75</x:f>
        <x:v>1222.750973942113</x:v>
      </x:c>
      <x:c r="G1056" t="n">
        <x:f>Dashboard_Live_Data!U75</x:f>
        <x:v>-313.6</x:v>
      </x:c>
      <x:c r="H1056" t="n">
        <x:f>Dashboard_Live_Data!V75</x:f>
        <x:v>1166.2895135273884</x:v>
      </x:c>
    </x:row>
    <x:row r="1057">
      <x:c r="A1057" t="n">
        <x:f>Dashboard_Live_Data!O76</x:f>
        <x:v>-22.980000000000004</x:v>
      </x:c>
      <x:c r="B1057" t="n">
        <x:f>Dashboard_Live_Data!P76</x:f>
        <x:v>2672.427176270058</x:v>
      </x:c>
      <x:c r="C1057" t="n">
        <x:f>Dashboard_Live_Data!Q76</x:f>
        <x:v>-153.2</x:v>
      </x:c>
      <x:c r="D1057" t="n">
        <x:f>Dashboard_Live_Data!R76</x:f>
        <x:v>590.685206630515</x:v>
      </x:c>
      <x:c r="E1057" t="n">
        <x:f>Dashboard_Live_Data!S76</x:f>
        <x:v>-306.4</x:v>
      </x:c>
      <x:c r="F1057" t="n">
        <x:f>Dashboard_Live_Data!T76</x:f>
        <x:v>1177.8474093567754</x:v>
      </x:c>
      <x:c r="G1057" t="n">
        <x:f>Dashboard_Live_Data!U76</x:f>
        <x:v>-306.4</x:v>
      </x:c>
      <x:c r="H1057" t="n">
        <x:f>Dashboard_Live_Data!V76</x:f>
        <x:v>1120.9206270292493</x:v>
      </x:c>
    </x:row>
    <x:row r="1058">
      <x:c r="A1058" t="n">
        <x:f>Dashboard_Live_Data!O77</x:f>
        <x:v>-22.5</x:v>
      </x:c>
      <x:c r="B1058" t="n">
        <x:f>Dashboard_Live_Data!P77</x:f>
        <x:v>2672.2653576561956</x:v>
      </x:c>
      <x:c r="C1058" t="n">
        <x:f>Dashboard_Live_Data!Q77</x:f>
        <x:v>-150</x:v>
      </x:c>
      <x:c r="D1058" t="n">
        <x:f>Dashboard_Live_Data!R77</x:f>
        <x:v>575.9192581155594</x:v>
      </x:c>
      <x:c r="E1058" t="n">
        <x:f>Dashboard_Live_Data!S77</x:f>
        <x:v>-300</x:v>
      </x:c>
      <x:c r="F1058" t="n">
        <x:f>Dashboard_Live_Data!T77</x:f>
        <x:v>1138.808668762441</x:v>
      </x:c>
      <x:c r="G1058" t="n">
        <x:f>Dashboard_Live_Data!U77</x:f>
        <x:v>-300</x:v>
      </x:c>
      <x:c r="H1058" t="n">
        <x:f>Dashboard_Live_Data!V77</x:f>
        <x:v>1081.4773399002586</x:v>
      </x:c>
    </x:row>
    <x:row r="1059">
      <x:c r="A1059" t="n">
        <x:f>Dashboard_Live_Data!O78</x:f>
        <x:v>-22.019999999999996</x:v>
      </x:c>
      <x:c r="B1059" t="n">
        <x:f>Dashboard_Live_Data!P78</x:f>
        <x:v>2672.106954738668</x:v>
      </x:c>
      <x:c r="C1059" t="n">
        <x:f>Dashboard_Live_Data!Q78</x:f>
        <x:v>-146.8</x:v>
      </x:c>
      <x:c r="D1059" t="n">
        <x:f>Dashboard_Live_Data!R78</x:f>
        <x:v>561.464991891157</x:v>
      </x:c>
      <x:c r="E1059" t="n">
        <x:f>Dashboard_Live_Data!S78</x:f>
        <x:v>-293.6</x:v>
      </x:c>
      <x:c r="F1059" t="n">
        <x:f>Dashboard_Live_Data!T78</x:f>
        <x:v>1100.593964908884</x:v>
      </x:c>
      <x:c r="G1059" t="n">
        <x:f>Dashboard_Live_Data!U78</x:f>
        <x:v>-293.6</x:v>
      </x:c>
      <x:c r="H1059" t="n">
        <x:f>Dashboard_Live_Data!V78</x:f>
        <x:v>1042.8666287528822</x:v>
      </x:c>
    </x:row>
    <x:row r="1060">
      <x:c r="A1060" t="n">
        <x:f>Dashboard_Live_Data!O79</x:f>
        <x:v>-21.479999999999997</x:v>
      </x:c>
      <x:c r="B1060" t="n">
        <x:f>Dashboard_Live_Data!P79</x:f>
        <x:v>2671.932834280975</x:v>
      </x:c>
      <x:c r="C1060" t="n">
        <x:f>Dashboard_Live_Data!Q79</x:f>
        <x:v>-143.2</x:v>
      </x:c>
      <x:c r="D1060" t="n">
        <x:f>Dashboard_Live_Data!R79</x:f>
        <x:v>545.576500126631</x:v>
      </x:c>
      <x:c r="E1060" t="n">
        <x:f>Dashboard_Live_Data!S79</x:f>
        <x:v>-286.4</x:v>
      </x:c>
      <x:c r="F1060" t="n">
        <x:f>Dashboard_Live_Data!T79</x:f>
        <x:v>1058.5874044903424</x:v>
      </x:c>
      <x:c r="G1060" t="n">
        <x:f>Dashboard_Live_Data!U79</x:f>
        <x:v>-286.4</x:v>
      </x:c>
      <x:c r="H1060" t="n">
        <x:f>Dashboard_Live_Data!V79</x:f>
        <x:v>1000.4247671901072</x:v>
      </x:c>
    </x:row>
    <x:row r="1061">
      <x:c r="A1061" t="n">
        <x:f>Dashboard_Live_Data!O80</x:f>
        <x:v>-21</x:v>
      </x:c>
      <x:c r="B1061" t="n">
        <x:f>Dashboard_Live_Data!P80</x:f>
        <x:v>2671.7816897181583</x:v>
      </x:c>
      <x:c r="C1061" t="n">
        <x:f>Dashboard_Live_Data!Q80</x:f>
        <x:v>-140</x:v>
      </x:c>
      <x:c r="D1061" t="n">
        <x:f>Dashboard_Live_Data!R80</x:f>
        <x:v>531.7845587696538</x:v>
      </x:c>
      <x:c r="E1061" t="n">
        <x:f>Dashboard_Live_Data!S80</x:f>
        <x:v>-280</x:v>
      </x:c>
      <x:c r="F1061" t="n">
        <x:f>Dashboard_Live_Data!T80</x:f>
        <x:v>1022.1237787109374</x:v>
      </x:c>
      <x:c r="G1061" t="n">
        <x:f>Dashboard_Live_Data!U80</x:f>
        <x:v>-280</x:v>
      </x:c>
      <x:c r="H1061" t="n">
        <x:f>Dashboard_Live_Data!V80</x:f>
        <x:v>963.5832800036617</x:v>
      </x:c>
    </x:row>
    <x:row r="1062">
      <x:c r="A1062" t="n">
        <x:f>Dashboard_Live_Data!O81</x:f>
        <x:v>-20.520000000000003</x:v>
      </x:c>
      <x:c r="B1062" t="n">
        <x:f>Dashboard_Live_Data!P81</x:f>
        <x:v>2671.633960851677</x:v>
      </x:c>
      <x:c r="C1062" t="n">
        <x:f>Dashboard_Live_Data!Q81</x:f>
        <x:v>-136.8</x:v>
      </x:c>
      <x:c r="D1062" t="n">
        <x:f>Dashboard_Live_Data!R81</x:f>
        <x:v>518.3042997032301</x:v>
      </x:c>
      <x:c r="E1062" t="n">
        <x:f>Dashboard_Live_Data!S81</x:f>
        <x:v>-273.6</x:v>
      </x:c>
      <x:c r="F1062" t="n">
        <x:f>Dashboard_Live_Data!T81</x:f>
        <x:v>986.4841896723101</x:v>
      </x:c>
      <x:c r="G1062" t="n">
        <x:f>Dashboard_Live_Data!U81</x:f>
        <x:v>-273.6</x:v>
      </x:c>
      <x:c r="H1062" t="n">
        <x:f>Dashboard_Live_Data!V81</x:f>
        <x:v>927.574368798831</x:v>
      </x:c>
    </x:row>
    <x:row r="1063">
      <x:c r="A1063" t="n">
        <x:f>Dashboard_Live_Data!O82</x:f>
        <x:v>-19.979999999999997</x:v>
      </x:c>
      <x:c r="B1063" t="n">
        <x:f>Dashboard_Live_Data!P82</x:f>
        <x:v>2671.4718487014106</x:v>
      </x:c>
      <x:c r="C1063" t="n">
        <x:f>Dashboard_Live_Data!Q82</x:f>
        <x:v>-133.2</x:v>
      </x:c>
      <x:c r="D1063" t="n">
        <x:f>Dashboard_Live_Data!R82</x:f>
        <x:v>503.51156599142996</x:v>
      </x:c>
      <x:c r="E1063" t="n">
        <x:f>Dashboard_Live_Data!S82</x:f>
        <x:v>-266.4</x:v>
      </x:c>
      <x:c r="F1063" t="n">
        <x:f>Dashboard_Live_Data!T82</x:f>
        <x:v>947.3746334205645</x:v>
      </x:c>
      <x:c r="G1063" t="n">
        <x:f>Dashboard_Live_Data!U82</x:f>
        <x:v>-266.4</x:v>
      </x:c>
      <x:c r="H1063" t="n">
        <x:f>Dashboard_Live_Data!V82</x:f>
        <x:v>888.0595321714195</x:v>
      </x:c>
    </x:row>
    <x:row r="1064">
      <x:c r="A1064" t="n">
        <x:f>Dashboard_Live_Data!O83</x:f>
        <x:v>-19.5</x:v>
      </x:c>
      <x:c r="B1064" t="n">
        <x:f>Dashboard_Live_Data!P83</x:f>
        <x:v>2671.331378189641</x:v>
      </x:c>
      <x:c r="C1064" t="n">
        <x:f>Dashboard_Live_Data!Q83</x:f>
        <x:v>-130</x:v>
      </x:c>
      <x:c r="D1064" t="n">
        <x:f>Dashboard_Live_Data!R83</x:f>
        <x:v>490.6936317924316</x:v>
      </x:c>
      <x:c r="E1064" t="n">
        <x:f>Dashboard_Live_Data!S83</x:f>
        <x:v>-260</x:v>
      </x:c>
      <x:c r="F1064" t="n">
        <x:f>Dashboard_Live_Data!T83</x:f>
        <x:v>913.4861224560894</x:v>
      </x:c>
      <x:c r="G1064" t="n">
        <x:f>Dashboard_Live_Data!U83</x:f>
        <x:v>-260</x:v>
      </x:c>
      <x:c r="H1064" t="n">
        <x:f>Dashboard_Live_Data!V83</x:f>
        <x:v>853.8198449275199</x:v>
      </x:c>
    </x:row>
    <x:row r="1065">
      <x:c r="A1065" t="n">
        <x:f>Dashboard_Live_Data!O84</x:f>
        <x:v>-19.019999999999996</x:v>
      </x:c>
      <x:c r="B1065" t="n">
        <x:f>Dashboard_Live_Data!P84</x:f>
        <x:v>2671.194323374206</x:v>
      </x:c>
      <x:c r="C1065" t="n">
        <x:f>Dashboard_Live_Data!Q84</x:f>
        <x:v>-126.79999999999995</x:v>
      </x:c>
      <x:c r="D1065" t="n">
        <x:f>Dashboard_Live_Data!R84</x:f>
        <x:v>478.18737988398607</x:v>
      </x:c>
      <x:c r="E1065" t="n">
        <x:f>Dashboard_Live_Data!S84</x:f>
        <x:v>-253.5999999999999</x:v>
      </x:c>
      <x:c r="F1065" t="n">
        <x:f>Dashboard_Live_Data!T84</x:f>
        <x:v>880.421648232391</x:v>
      </x:c>
      <x:c r="G1065" t="n">
        <x:f>Dashboard_Live_Data!U84</x:f>
        <x:v>-253.5999999999999</x:v>
      </x:c>
      <x:c r="H1065" t="n">
        <x:f>Dashboard_Live_Data!V84</x:f>
        <x:v>820.4127336652341</x:v>
      </x:c>
    </x:row>
    <x:row r="1066">
      <x:c r="A1066" t="n">
        <x:f>Dashboard_Live_Data!O85</x:f>
        <x:v>-18.480000000000004</x:v>
      </x:c>
      <x:c r="B1066" t="n">
        <x:f>Dashboard_Live_Data!P85</x:f>
        <x:v>2671.0442195313667</x:v>
      </x:c>
      <x:c r="C1066" t="n">
        <x:f>Dashboard_Live_Data!Q85</x:f>
        <x:v>-123.20000000000005</x:v>
      </x:c>
      <x:c r="D1066" t="n">
        <x:f>Dashboard_Live_Data!R85</x:f>
        <x:v>464.49040422491237</x:v>
      </x:c>
      <x:c r="E1066" t="n">
        <x:f>Dashboard_Live_Data!S85</x:f>
        <x:v>-246.4000000000001</x:v>
      </x:c>
      <x:c r="F1066" t="n">
        <x:f>Dashboard_Live_Data!T85</x:f>
        <x:v>844.2090961474427</x:v>
      </x:c>
      <x:c r="G1066" t="n">
        <x:f>Dashboard_Live_Data!U85</x:f>
        <x:v>-246.4000000000001</x:v>
      </x:c>
      <x:c r="H1066" t="n">
        <x:f>Dashboard_Live_Data!V85</x:f>
        <x:v>783.8249219731875</x:v>
      </x:c>
    </x:row>
    <x:row r="1067">
      <x:c r="A1067" t="n">
        <x:f>Dashboard_Live_Data!O86</x:f>
        <x:v>-18</x:v>
      </x:c>
      <x:c r="B1067" t="n">
        <x:f>Dashboard_Live_Data!P86</x:f>
        <x:v>2670.914423070643</x:v>
      </x:c>
      <x:c r="C1067" t="n">
        <x:f>Dashboard_Live_Data!Q86</x:f>
        <x:v>-120</x:v>
      </x:c>
      <x:c r="D1067" t="n">
        <x:f>Dashboard_Live_Data!R86</x:f>
        <x:v>452.64647718389233</x:v>
      </x:c>
      <x:c r="E1067" t="n">
        <x:f>Dashboard_Live_Data!S86</x:f>
        <x:v>-240</x:v>
      </x:c>
      <x:c r="F1067" t="n">
        <x:f>Dashboard_Live_Data!T86</x:f>
        <x:v>812.8956999978966</x:v>
      </x:c>
      <x:c r="G1067" t="n">
        <x:f>Dashboard_Live_Data!U86</x:f>
        <x:v>-240</x:v>
      </x:c>
      <x:c r="H1067" t="n">
        <x:f>Dashboard_Live_Data!V86</x:f>
        <x:v>752.1870346718329</x:v>
      </x:c>
    </x:row>
    <x:row r="1068">
      <x:c r="A1068" t="n">
        <x:f>Dashboard_Live_Data!O87</x:f>
        <x:v>-17.520000000000003</x:v>
      </x:c>
      <x:c r="B1068" t="n">
        <x:f>Dashboard_Live_Data!P87</x:f>
        <x:v>2670.7880423062543</x:v>
      </x:c>
      <x:c r="C1068" t="n">
        <x:f>Dashboard_Live_Data!Q87</x:f>
        <x:v>-116.80000000000001</x:v>
      </x:c>
      <x:c r="D1068" t="n">
        <x:f>Dashboard_Live_Data!R87</x:f>
        <x:v>441.11423243342574</x:v>
      </x:c>
      <x:c r="E1068" t="n">
        <x:f>Dashboard_Live_Data!S87</x:f>
        <x:v>-233.60000000000002</x:v>
      </x:c>
      <x:c r="F1068" t="n">
        <x:f>Dashboard_Live_Data!T87</x:f>
        <x:v>782.4063405891286</x:v>
      </x:c>
      <x:c r="G1068" t="n">
        <x:f>Dashboard_Live_Data!U87</x:f>
        <x:v>-233.60000000000002</x:v>
      </x:c>
      <x:c r="H1068" t="n">
        <x:f>Dashboard_Live_Data!V87</x:f>
        <x:v>721.3817233520933</x:v>
      </x:c>
    </x:row>
    <x:row r="1069">
      <x:c r="A1069" t="n">
        <x:f>Dashboard_Live_Data!O88</x:f>
        <x:v>-16.979999999999997</x:v>
      </x:c>
      <x:c r="B1069" t="n">
        <x:f>Dashboard_Live_Data!P88</x:f>
        <x:v>2670.6499467708427</x:v>
      </x:c>
      <x:c r="C1069" t="n">
        <x:f>Dashboard_Live_Data!Q88</x:f>
        <x:v>-113.19999999999999</x:v>
      </x:c>
      <x:c r="D1069" t="n">
        <x:f>Dashboard_Live_Data!R88</x:f>
        <x:v>428.5130148270775</x:v>
      </x:c>
      <x:c r="E1069" t="n">
        <x:f>Dashboard_Live_Data!S88</x:f>
        <x:v>-226.39999999999998</x:v>
      </x:c>
      <x:c r="F1069" t="n">
        <x:f>Dashboard_Live_Data!T88</x:f>
        <x:v>749.090792670975</x:v>
      </x:c>
      <x:c r="G1069" t="n">
        <x:f>Dashboard_Live_Data!U88</x:f>
        <x:v>-226.39999999999998</x:v>
      </x:c>
      <x:c r="H1069" t="n">
        <x:f>Dashboard_Live_Data!V88</x:f>
        <x:v>687.7209365954095</x:v>
      </x:c>
    </x:row>
    <x:row r="1070">
      <x:c r="A1070" t="n">
        <x:f>Dashboard_Live_Data!O89</x:f>
        <x:v>-16.5</x:v>
      </x:c>
      <x:c r="B1070" t="n">
        <x:f>Dashboard_Live_Data!P89</x:f>
        <x:v>2670.5308243611653</x:v>
      </x:c>
      <x:c r="C1070" t="n">
        <x:f>Dashboard_Live_Data!Q89</x:f>
        <x:v>-110</x:v>
      </x:c>
      <x:c r="D1070" t="n">
        <x:f>Dashboard_Live_Data!R89</x:f>
        <x:v>417.6430949440363</x:v>
      </x:c>
      <x:c r="E1070" t="n">
        <x:f>Dashboard_Live_Data!S89</x:f>
        <x:v>-220</x:v>
      </x:c>
      <x:c r="F1070" t="n">
        <x:f>Dashboard_Live_Data!T89</x:f>
        <x:v>720.3525113363593</x:v>
      </x:c>
      <x:c r="G1070" t="n">
        <x:f>Dashboard_Live_Data!U89</x:f>
        <x:v>-220</x:v>
      </x:c>
      <x:c r="H1070" t="n">
        <x:f>Dashboard_Live_Data!V89</x:f>
        <x:v>658.6848492366009</x:v>
      </x:c>
    </x:row>
    <x:row r="1071">
      <x:c r="A1071" t="n">
        <x:f>Dashboard_Live_Data!O90</x:f>
        <x:v>-16.020000000000003</x:v>
      </x:c>
      <x:c r="B1071" t="n">
        <x:f>Dashboard_Live_Data!P90</x:f>
        <x:v>2670.4151176478226</x:v>
      </x:c>
      <x:c r="C1071" t="n">
        <x:f>Dashboard_Live_Data!Q90</x:f>
        <x:v>-106.80000000000001</x:v>
      </x:c>
      <x:c r="D1071" t="n">
        <x:f>Dashboard_Live_Data!R90</x:f>
        <x:v>407.0848573515482</x:v>
      </x:c>
      <x:c r="E1071" t="n">
        <x:f>Dashboard_Live_Data!S90</x:f>
        <x:v>-213.60000000000002</x:v>
      </x:c>
      <x:c r="F1071" t="n">
        <x:f>Dashboard_Live_Data!T90</x:f>
        <x:v>692.4382667425209</x:v>
      </x:c>
      <x:c r="G1071" t="n">
        <x:f>Dashboard_Live_Data!U90</x:f>
        <x:v>-213.60000000000002</x:v>
      </x:c>
      <x:c r="H1071" t="n">
        <x:f>Dashboard_Live_Data!V90</x:f>
        <x:v>630.4813378594068</x:v>
      </x:c>
    </x:row>
    <x:row r="1072">
      <x:c r="A1072" t="n">
        <x:f>Dashboard_Live_Data!O91</x:f>
        <x:v>-15.480000000000004</x:v>
      </x:c>
      <x:c r="B1072" t="n">
        <x:f>Dashboard_Live_Data!P91</x:f>
        <x:v>2670.2890304198377</x:v>
      </x:c>
      <x:c r="C1072" t="n">
        <x:f>Dashboard_Live_Data!Q91</x:f>
        <x:v>-103.19999999999999</x:v>
      </x:c>
      <x:c r="D1072" t="n">
        <x:f>Dashboard_Live_Data!R91</x:f>
        <x:v>395.5793977979259</x:v>
      </x:c>
      <x:c r="E1072" t="n">
        <x:f>Dashboard_Live_Data!S91</x:f>
        <x:v>-206.39999999999998</x:v>
      </x:c>
      <x:c r="F1072" t="n">
        <x:f>Dashboard_Live_Data!T91</x:f>
        <x:v>662.0197229911632</x:v>
      </x:c>
      <x:c r="G1072" t="n">
        <x:f>Dashboard_Live_Data!U91</x:f>
        <x:v>-206.39999999999998</x:v>
      </x:c>
      <x:c r="H1072" t="n">
        <x:f>Dashboard_Live_Data!V91</x:f>
        <x:v>599.7475760380869</x:v>
      </x:c>
    </x:row>
    <x:row r="1073">
      <x:c r="A1073" t="n">
        <x:f>Dashboard_Live_Data!O92</x:f>
        <x:v>-15</x:v>
      </x:c>
      <x:c r="B1073" t="n">
        <x:f>Dashboard_Live_Data!P92</x:f>
        <x:v>2670.180582061207</x:v>
      </x:c>
      <x:c r="C1073" t="n">
        <x:f>Dashboard_Live_Data!Q92</x:f>
        <x:v>-100</x:v>
      </x:c>
      <x:c r="D1073" t="n">
        <x:f>Dashboard_Live_Data!R92</x:f>
        <x:v>385.68348507286333</x:v>
      </x:c>
      <x:c r="E1073" t="n">
        <x:f>Dashboard_Live_Data!S92</x:f>
        <x:v>-200</x:v>
      </x:c>
      <x:c r="F1073" t="n">
        <x:f>Dashboard_Live_Data!T92</x:f>
        <x:v>635.8565564714773</x:v>
      </x:c>
      <x:c r="G1073" t="n">
        <x:f>Dashboard_Live_Data!U92</x:f>
        <x:v>-200</x:v>
      </x:c>
      <x:c r="H1073" t="n">
        <x:f>Dashboard_Live_Data!V92</x:f>
        <x:v>573.3132886218239</x:v>
      </x:c>
    </x:row>
    <x:row r="1074">
      <x:c r="A1074" t="n">
        <x:f>Dashboard_Live_Data!O93</x:f>
        <x:v>-14.519999999999996</x:v>
      </x:c>
      <x:c r="B1074" t="n">
        <x:f>Dashboard_Live_Data!P93</x:f>
        <x:v>2670.075549398911</x:v>
      </x:c>
      <x:c r="C1074" t="n">
        <x:f>Dashboard_Live_Data!Q93</x:f>
        <x:v>-96.80000000000001</x:v>
      </x:c>
      <x:c r="D1074" t="n">
        <x:f>Dashboard_Live_Data!R93</x:f>
        <x:v>376.09925463835384</x:v>
      </x:c>
      <x:c r="E1074" t="n">
        <x:f>Dashboard_Live_Data!S93</x:f>
        <x:v>-193.60000000000002</x:v>
      </x:c>
      <x:c r="F1074" t="n">
        <x:f>Dashboard_Live_Data!T93</x:f>
        <x:v>610.5174266925688</x:v>
      </x:c>
      <x:c r="G1074" t="n">
        <x:f>Dashboard_Live_Data!U93</x:f>
        <x:v>-193.60000000000002</x:v>
      </x:c>
      <x:c r="H1074" t="n">
        <x:f>Dashboard_Live_Data!V93</x:f>
        <x:v>547.7115771871754</x:v>
      </x:c>
    </x:row>
    <x:row r="1075">
      <x:c r="A1075" t="n">
        <x:f>Dashboard_Live_Data!O94</x:f>
        <x:v>-13.979999999999997</x:v>
      </x:c>
      <x:c r="B1075" t="n">
        <x:f>Dashboard_Live_Data!P94</x:f>
        <x:v>2669.9614704783535</x:v>
      </x:c>
      <x:c r="C1075" t="n">
        <x:f>Dashboard_Live_Data!Q94</x:f>
        <x:v>-93.19999999999999</x:v>
      </x:c>
      <x:c r="D1075" t="n">
        <x:f>Dashboard_Live_Data!R94</x:f>
        <x:v>365.6895531374575</x:v>
      </x:c>
      <x:c r="E1075" t="n">
        <x:f>Dashboard_Live_Data!S94</x:f>
        <x:v>-186.39999999999998</x:v>
      </x:c>
      <x:c r="F1075" t="n">
        <x:f>Dashboard_Live_Data!T94</x:f>
        <x:v>582.9958871080072</x:v>
      </x:c>
      <x:c r="G1075" t="n">
        <x:f>Dashboard_Live_Data!U94</x:f>
        <x:v>-186.39999999999998</x:v>
      </x:c>
      <x:c r="H1075" t="n">
        <x:f>Dashboard_Live_Data!V94</x:f>
        <x:v>519.9048403012193</x:v>
      </x:c>
    </x:row>
    <x:row r="1076">
      <x:c r="A1076" t="n">
        <x:f>Dashboard_Live_Data!O95</x:f>
        <x:v>-13.5</x:v>
      </x:c>
      <x:c r="B1076" t="n">
        <x:f>Dashboard_Live_Data!P95</x:f>
        <x:v>2669.863696170769</x:v>
      </x:c>
      <x:c r="C1076" t="n">
        <x:f>Dashboard_Live_Data!Q95</x:f>
        <x:v>-90</x:v>
      </x:c>
      <x:c r="D1076" t="n">
        <x:f>Dashboard_Live_Data!R95</x:f>
        <x:v>356.7676475703735</x:v>
      </x:c>
      <x:c r="E1076" t="n">
        <x:f>Dashboard_Live_Data!S95</x:f>
        <x:v>-180</x:v>
      </x:c>
      <x:c r="F1076" t="n">
        <x:f>Dashboard_Live_Data!T95</x:f>
        <x:v>559.4078354032508</x:v>
      </x:c>
      <x:c r="G1076" t="n">
        <x:f>Dashboard_Live_Data!U95</x:f>
        <x:v>-180</x:v>
      </x:c>
      <x:c r="H1076" t="n">
        <x:f>Dashboard_Live_Data!V95</x:f>
        <x:v>496.0723528275018</x:v>
      </x:c>
    </x:row>
    <x:row r="1077">
      <x:c r="A1077" t="n">
        <x:f>Dashboard_Live_Data!O96</x:f>
        <x:v>-13.019999999999996</x:v>
      </x:c>
      <x:c r="B1077" t="n">
        <x:f>Dashboard_Live_Data!P96</x:f>
        <x:v>2669.769337559519</x:v>
      </x:c>
      <x:c r="C1077" t="n">
        <x:f>Dashboard_Live_Data!Q96</x:f>
        <x:v>-86.80000000000001</x:v>
      </x:c>
      <x:c r="D1077" t="n">
        <x:f>Dashboard_Live_Data!R96</x:f>
        <x:v>348.1574242938427</x:v>
      </x:c>
      <x:c r="E1077" t="n">
        <x:f>Dashboard_Live_Data!S96</x:f>
        <x:v>-173.60000000000002</x:v>
      </x:c>
      <x:c r="F1077" t="n">
        <x:f>Dashboard_Live_Data!T96</x:f>
        <x:v>536.6438204392722</x:v>
      </x:c>
      <x:c r="G1077" t="n">
        <x:f>Dashboard_Live_Data!U96</x:f>
        <x:v>-173.60000000000002</x:v>
      </x:c>
      <x:c r="H1077" t="n">
        <x:f>Dashboard_Live_Data!V96</x:f>
        <x:v>473.0724413353988</x:v>
      </x:c>
    </x:row>
    <x:row r="1078">
      <x:c r="A1078" t="n">
        <x:f>Dashboard_Live_Data!O97</x:f>
        <x:v>-12.479999999999997</x:v>
      </x:c>
      <x:c r="B1078" t="n">
        <x:f>Dashboard_Live_Data!P97</x:f>
        <x:v>2669.6672669463883</x:v>
      </x:c>
      <x:c r="C1078" t="n">
        <x:f>Dashboard_Live_Data!Q97</x:f>
        <x:v>-83.19999999999999</x:v>
      </x:c>
      <x:c r="D1078" t="n">
        <x:f>Dashboard_Live_Data!R97</x:f>
        <x:v>338.8434808456722</x:v>
      </x:c>
      <x:c r="E1078" t="n">
        <x:f>Dashboard_Live_Data!S97</x:f>
        <x:v>-166.39999999999998</x:v>
      </x:c>
      <x:c r="F1078" t="n">
        <x:f>Dashboard_Live_Data!T97</x:f>
        <x:v>512.0192850215063</x:v>
      </x:c>
      <x:c r="G1078" t="n">
        <x:f>Dashboard_Live_Data!U97</x:f>
        <x:v>-166.39999999999998</x:v>
      </x:c>
      <x:c r="H1078" t="n">
        <x:f>Dashboard_Live_Data!V97</x:f>
        <x:v>448.1927293848065</x:v>
      </x:c>
    </x:row>
    <x:row r="1079">
      <x:c r="A1079" t="n">
        <x:f>Dashboard_Live_Data!O98</x:f>
        <x:v>-12</x:v>
      </x:c>
      <x:c r="B1079" t="n">
        <x:f>Dashboard_Live_Data!P98</x:f>
        <x:v>2669.5801666898506</x:v>
      </x:c>
      <x:c r="C1079" t="n">
        <x:f>Dashboard_Live_Data!Q98</x:f>
        <x:v>-80</x:v>
      </x:c>
      <x:c r="D1079" t="n">
        <x:f>Dashboard_Live_Data!R98</x:f>
        <x:v>330.8955824365668</x:v>
      </x:c>
      <x:c r="E1079" t="n">
        <x:f>Dashboard_Live_Data!S98</x:f>
        <x:v>-160</x:v>
      </x:c>
      <x:c r="F1079" t="n">
        <x:f>Dashboard_Live_Data!T98</x:f>
        <x:v>491.00634813167994</x:v>
      </x:c>
      <x:c r="G1079" t="n">
        <x:f>Dashboard_Live_Data!U98</x:f>
        <x:v>-160</x:v>
      </x:c>
      <x:c r="H1079" t="n">
        <x:f>Dashboard_Live_Data!V98</x:f>
        <x:v>426.9620418536346</x:v>
      </x:c>
    </x:row>
    <x:row r="1080">
      <x:c r="A1080" t="n">
        <x:f>Dashboard_Live_Data!O99</x:f>
        <x:v>-11.519999999999996</x:v>
      </x:c>
      <x:c r="B1080" t="n">
        <x:f>Dashboard_Live_Data!P99</x:f>
        <x:v>2669.496482129647</x:v>
      </x:c>
      <x:c r="C1080" t="n">
        <x:f>Dashboard_Live_Data!Q99</x:f>
        <x:v>-76.79999999999995</x:v>
      </x:c>
      <x:c r="D1080" t="n">
        <x:f>Dashboard_Live_Data!R99</x:f>
        <x:v>323.2593663180145</x:v>
      </x:c>
      <x:c r="E1080" t="n">
        <x:f>Dashboard_Live_Data!S99</x:f>
        <x:v>-153.5999999999999</x:v>
      </x:c>
      <x:c r="F1080" t="n">
        <x:f>Dashboard_Live_Data!T99</x:f>
        <x:v>470.8174479826305</x:v>
      </x:c>
      <x:c r="G1080" t="n">
        <x:f>Dashboard_Live_Data!U99</x:f>
        <x:v>-153.5999999999999</x:v>
      </x:c>
      <x:c r="H1080" t="n">
        <x:f>Dashboard_Live_Data!V99</x:f>
        <x:v>406.563930304077</x:v>
      </x:c>
    </x:row>
    <x:row r="1081">
      <x:c r="A1081" t="n">
        <x:f>Dashboard_Live_Data!O100</x:f>
        <x:v>-10.980000000000004</x:v>
      </x:c>
      <x:c r="B1081" t="n">
        <x:f>Dashboard_Live_Data!P100</x:f>
        <x:v>2669.406419823944</x:v>
      </x:c>
      <x:c r="C1081" t="n">
        <x:f>Dashboard_Live_Data!Q100</x:f>
        <x:v>-73.20000000000005</x:v>
      </x:c>
      <x:c r="D1081" t="n">
        <x:f>Dashboard_Live_Data!R100</x:f>
        <x:v>315.04118092257016</x:v>
      </x:c>
      <x:c r="E1081" t="n">
        <x:f>Dashboard_Live_Data!S100</x:f>
        <x:v>-146.4000000000001</x:v>
      </x:c>
      <x:c r="F1081" t="n">
        <x:f>Dashboard_Live_Data!T100</x:f>
        <x:v>449.08991673166133</x:v>
      </x:c>
      <x:c r="G1081" t="n">
        <x:f>Dashboard_Live_Data!U100</x:f>
        <x:v>-146.4000000000001</x:v>
      </x:c>
      <x:c r="H1081" t="n">
        <x:f>Dashboard_Live_Data!V100</x:f>
        <x:v>384.6112432888491</x:v>
      </x:c>
    </x:row>
    <x:row r="1082">
      <x:c r="A1082" t="n">
        <x:f>Dashboard_Live_Data!O101</x:f>
        <x:v>-10.5</x:v>
      </x:c>
      <x:c r="B1082" t="n">
        <x:f>Dashboard_Live_Data!P101</x:f>
        <x:v>2669.329993618452</x:v>
      </x:c>
      <x:c r="C1082" t="n">
        <x:f>Dashboard_Live_Data!Q101</x:f>
        <x:v>-70</x:v>
      </x:c>
      <x:c r="D1082" t="n">
        <x:f>Dashboard_Live_Data!R101</x:f>
        <x:v>308.0672896714433</x:v>
      </x:c>
      <x:c r="E1082" t="n">
        <x:f>Dashboard_Live_Data!S101</x:f>
        <x:v>-140</x:v>
      </x:c>
      <x:c r="F1082" t="n">
        <x:f>Dashboard_Live_Data!T101</x:f>
        <x:v>430.6520946567642</x:v>
      </x:c>
      <x:c r="G1082" t="n">
        <x:f>Dashboard_Live_Data!U101</x:f>
        <x:v>-140</x:v>
      </x:c>
      <x:c r="H1082" t="n">
        <x:f>Dashboard_Live_Data!V101</x:f>
        <x:v>365.98235570022246</x:v>
      </x:c>
    </x:row>
    <x:row r="1083">
      <x:c r="A1083" t="n">
        <x:f>Dashboard_Live_Data!O102</x:f>
        <x:v>-10.020000000000003</x:v>
      </x:c>
      <x:c r="B1083" t="n">
        <x:f>Dashboard_Live_Data!P102</x:f>
        <x:v>2669.256983109295</x:v>
      </x:c>
      <x:c r="C1083" t="n">
        <x:f>Dashboard_Live_Data!Q102</x:f>
        <x:v>-66.80000000000001</x:v>
      </x:c>
      <x:c r="D1083" t="n">
        <x:f>Dashboard_Live_Data!R102</x:f>
        <x:v>301.40508071086964</x:v>
      </x:c>
      <x:c r="E1083" t="n">
        <x:f>Dashboard_Live_Data!S102</x:f>
        <x:v>-133.60000000000002</x:v>
      </x:c>
      <x:c r="F1083" t="n">
        <x:f>Dashboard_Live_Data!T102</x:f>
        <x:v>413.03830932264486</x:v>
      </x:c>
      <x:c r="G1083" t="n">
        <x:f>Dashboard_Live_Data!U102</x:f>
        <x:v>-133.60000000000002</x:v>
      </x:c>
      <x:c r="H1083" t="n">
        <x:f>Dashboard_Live_Data!V102</x:f>
        <x:v>348.1860440932107</x:v>
      </x:c>
    </x:row>
    <x:row r="1084">
      <x:c r="A1084" t="n">
        <x:f>Dashboard_Live_Data!O103</x:f>
        <x:v>-9.480000000000004</x:v>
      </x:c>
      <x:c r="B1084" t="n">
        <x:f>Dashboard_Live_Data!P103</x:f>
        <x:v>2669.1789291110185</x:v>
      </x:c>
      <x:c r="C1084" t="n">
        <x:f>Dashboard_Live_Data!Q103</x:f>
        <x:v>-63.19999999999999</x:v>
      </x:c>
      <x:c r="D1084" t="n">
        <x:f>Dashboard_Live_Data!R103</x:f>
        <x:v>294.2826533681511</x:v>
      </x:c>
      <x:c r="E1084" t="n">
        <x:f>Dashboard_Live_Data!S103</x:f>
        <x:v>-126.39999999999998</x:v>
      </x:c>
      <x:c r="F1084" t="n">
        <x:f>Dashboard_Live_Data!T103</x:f>
        <x:v>394.2077822384711</x:v>
      </x:c>
      <x:c r="G1084" t="n">
        <x:f>Dashboard_Live_Data!U103</x:f>
        <x:v>-126.39999999999998</x:v>
      </x:c>
      <x:c r="H1084" t="n">
        <x:f>Dashboard_Live_Data!V103</x:f>
        <x:v>329.160382013346</x:v>
      </x:c>
    </x:row>
    <x:row r="1085">
      <x:c r="A1085" t="n">
        <x:f>Dashboard_Live_Data!O104</x:f>
        <x:v>-9</x:v>
      </x:c>
      <x:c r="B1085" t="n">
        <x:f>Dashboard_Live_Data!P104</x:f>
        <x:v>2669.113176956573</x:v>
      </x:c>
      <x:c r="C1085" t="n">
        <x:f>Dashboard_Live_Data!Q104</x:f>
        <x:v>-60</x:v>
      </x:c>
      <x:c r="D1085" t="n">
        <x:f>Dashboard_Live_Data!R104</x:f>
        <x:v>288.2827692750029</x:v>
      </x:c>
      <x:c r="E1085" t="n">
        <x:f>Dashboard_Live_Data!S104</x:f>
        <x:v>-120</x:v>
      </x:c>
      <x:c r="F1085" t="n">
        <x:f>Dashboard_Live_Data!T104</x:f>
        <x:v>378.345074978504</x:v>
      </x:c>
      <x:c r="G1085" t="n">
        <x:f>Dashboard_Live_Data!U104</x:f>
        <x:v>-120</x:v>
      </x:c>
      <x:c r="H1085" t="n">
        <x:f>Dashboard_Live_Data!V104</x:f>
        <x:v>313.13329436726525</x:v>
      </x:c>
    </x:row>
    <x:row r="1086">
      <x:c r="A1086" t="n">
        <x:f>Dashboard_Live_Data!O105</x:f>
        <x:v>-8.520000000000003</x:v>
      </x:c>
      <x:c r="B1086" t="n">
        <x:f>Dashboard_Live_Data!P105</x:f>
        <x:v>2669.050840498462</x:v>
      </x:c>
      <x:c r="C1086" t="n">
        <x:f>Dashboard_Live_Data!Q105</x:f>
        <x:v>-56.80000000000001</x:v>
      </x:c>
      <x:c r="D1086" t="n">
        <x:f>Dashboard_Live_Data!R105</x:f>
        <x:v>282.5945674724079</x:v>
      </x:c>
      <x:c r="E1086" t="n">
        <x:f>Dashboard_Live_Data!S105</x:f>
        <x:v>-113.60000000000002</x:v>
      </x:c>
      <x:c r="F1086" t="n">
        <x:f>Dashboard_Live_Data!T105</x:f>
        <x:v>363.30640445931436</x:v>
      </x:c>
      <x:c r="G1086" t="n">
        <x:f>Dashboard_Live_Data!U105</x:f>
        <x:v>-113.60000000000002</x:v>
      </x:c>
      <x:c r="H1086" t="n">
        <x:f>Dashboard_Live_Data!V105</x:f>
        <x:v>297.9387827027991</x:v>
      </x:c>
    </x:row>
    <x:row r="1087">
      <x:c r="A1087" t="n">
        <x:f>Dashboard_Live_Data!O106</x:f>
        <x:v>-7.980000000000004</x:v>
      </x:c>
      <x:c r="B1087" t="n">
        <x:f>Dashboard_Live_Data!P106</x:f>
        <x:v>2668.984794807613</x:v>
      </x:c>
      <x:c r="C1087" t="n">
        <x:f>Dashboard_Live_Data!Q106</x:f>
        <x:v>-53.19999999999999</x:v>
      </x:c>
      <x:c r="D1087" t="n">
        <x:f>Dashboard_Live_Data!R106</x:f>
        <x:v>276.56789818241526</x:v>
      </x:c>
      <x:c r="E1087" t="n">
        <x:f>Dashboard_Live_Data!S106</x:f>
        <x:v>-106.39999999999998</x:v>
      </x:c>
      <x:c r="F1087" t="n">
        <x:f>Dashboard_Live_Data!T106</x:f>
        <x:v>347.3728815419365</x:v>
      </x:c>
      <x:c r="G1087" t="n">
        <x:f>Dashboard_Live_Data!U106</x:f>
        <x:v>-106.39999999999998</x:v>
      </x:c>
      <x:c r="H1087" t="n">
        <x:f>Dashboard_Live_Data!V106</x:f>
        <x:v>281.84014555829816</x:v>
      </x:c>
    </x:row>
    <x:row r="1088">
      <x:c r="A1088" t="n">
        <x:f>Dashboard_Live_Data!O107</x:f>
        <x:v>-7.5</x:v>
      </x:c>
      <x:c r="B1088" t="n">
        <x:f>Dashboard_Live_Data!P107</x:f>
        <x:v>2668.929716704214</x:v>
      </x:c>
      <x:c r="C1088" t="n">
        <x:f>Dashboard_Live_Data!Q107</x:f>
        <x:v>-50</x:v>
      </x:c>
      <x:c r="D1088" t="n">
        <x:f>Dashboard_Live_Data!R107</x:f>
        <x:v>271.54202124724566</x:v>
      </x:c>
      <x:c r="E1088" t="n">
        <x:f>Dashboard_Live_Data!S107</x:f>
        <x:v>-100</x:v>
      </x:c>
      <x:c r="F1088" t="n">
        <x:f>Dashboard_Live_Data!T107</x:f>
        <x:v>334.08528909689915</x:v>
      </x:c>
      <x:c r="G1088" t="n">
        <x:f>Dashboard_Live_Data!U107</x:f>
        <x:v>-100</x:v>
      </x:c>
      <x:c r="H1088" t="n">
        <x:f>Dashboard_Live_Data!V107</x:f>
        <x:v>268.414857854763</x:v>
      </x:c>
    </x:row>
    <x:row r="1089">
      <x:c r="A1089" t="n">
        <x:f>Dashboard_Live_Data!O108</x:f>
        <x:v>-7.019999999999996</x:v>
      </x:c>
      <x:c r="B1089" t="n">
        <x:f>Dashboard_Live_Data!P108</x:f>
        <x:v>2668.8780542971494</x:v>
      </x:c>
      <x:c r="C1089" t="n">
        <x:f>Dashboard_Live_Data!Q108</x:f>
        <x:v>-46.80000000000001</x:v>
      </x:c>
      <x:c r="D1089" t="n">
        <x:f>Dashboard_Live_Data!R108</x:f>
        <x:v>266.8278266026293</x:v>
      </x:c>
      <x:c r="E1089" t="n">
        <x:f>Dashboard_Live_Data!S108</x:f>
        <x:v>-93.60000000000002</x:v>
      </x:c>
      <x:c r="F1089" t="n">
        <x:f>Dashboard_Live_Data!T108</x:f>
        <x:v>321.6217333926393</x:v>
      </x:c>
      <x:c r="G1089" t="n">
        <x:f>Dashboard_Live_Data!U108</x:f>
        <x:v>-93.60000000000002</x:v>
      </x:c>
      <x:c r="H1089" t="n">
        <x:f>Dashboard_Live_Data!V108</x:f>
        <x:v>255.82214613284236</x:v>
      </x:c>
    </x:row>
    <x:row r="1090">
      <x:c r="A1090" t="n">
        <x:f>Dashboard_Live_Data!O109</x:f>
        <x:v>-6.479999999999997</x:v>
      </x:c>
      <x:c r="B1090" t="n">
        <x:f>Dashboard_Live_Data!P109</x:f>
        <x:v>2668.8240169137275</x:v>
      </x:c>
      <x:c r="C1090" t="n">
        <x:f>Dashboard_Live_Data!Q109</x:f>
        <x:v>-43.19999999999999</x:v>
      </x:c>
      <x:c r="D1090" t="n">
        <x:f>Dashboard_Live_Data!R109</x:f>
        <x:v>261.89691536536253</x:v>
      </x:c>
      <x:c r="E1090" t="n">
        <x:f>Dashboard_Live_Data!S109</x:f>
        <x:v>-86.39999999999998</x:v>
      </x:c>
      <x:c r="F1090" t="n">
        <x:f>Dashboard_Live_Data!T109</x:f>
        <x:v>308.58521464205745</x:v>
      </x:c>
      <x:c r="G1090" t="n">
        <x:f>Dashboard_Live_Data!U109</x:f>
        <x:v>-86.39999999999998</x:v>
      </x:c>
      <x:c r="H1090" t="n">
        <x:f>Dashboard_Live_Data!V109</x:f>
        <x:v>242.6505339237053</x:v>
      </x:c>
    </x:row>
    <x:row r="1091">
      <x:c r="A1091" t="n">
        <x:f>Dashboard_Live_Data!O110</x:f>
        <x:v>-6</x:v>
      </x:c>
      <x:c r="B1091" t="n">
        <x:f>Dashboard_Live_Data!P110</x:f>
        <x:v>2668.779612861375</x:v>
      </x:c>
      <x:c r="C1091" t="n">
        <x:f>Dashboard_Live_Data!Q110</x:f>
        <x:v>-40</x:v>
      </x:c>
      <x:c r="D1091" t="n">
        <x:f>Dashboard_Live_Data!R110</x:f>
        <x:v>257.8450455881715</x:v>
      </x:c>
      <x:c r="E1091" t="n">
        <x:f>Dashboard_Live_Data!S110</x:f>
        <x:v>-80</x:v>
      </x:c>
      <x:c r="F1091" t="n">
        <x:f>Dashboard_Live_Data!T110</x:f>
        <x:v>297.8727370119498</x:v>
      </x:c>
      <x:c r="G1091" t="n">
        <x:f>Dashboard_Live_Data!U110</x:f>
        <x:v>-80</x:v>
      </x:c>
      <x:c r="H1091" t="n">
        <x:f>Dashboard_Live_Data!V110</x:f>
        <x:v>231.82704616271567</x:v>
      </x:c>
    </x:row>
    <x:row r="1092">
      <x:c r="A1092" t="n">
        <x:f>Dashboard_Live_Data!O111</x:f>
        <x:v>-5.519999999999996</x:v>
      </x:c>
      <x:c r="B1092" t="n">
        <x:f>Dashboard_Live_Data!P111</x:f>
        <x:v>2668.738624505357</x:v>
      </x:c>
      <x:c r="C1092" t="n">
        <x:f>Dashboard_Live_Data!Q111</x:f>
        <x:v>-36.80000000000001</x:v>
      </x:c>
      <x:c r="D1092" t="n">
        <x:f>Dashboard_Live_Data!R111</x:f>
        <x:v>254.1048581015337</x:v>
      </x:c>
      <x:c r="E1092" t="n">
        <x:f>Dashboard_Live_Data!S111</x:f>
        <x:v>-73.60000000000002</x:v>
      </x:c>
      <x:c r="F1092" t="n">
        <x:f>Dashboard_Live_Data!T111</x:f>
        <x:v>287.98429612261964</x:v>
      </x:c>
      <x:c r="G1092" t="n">
        <x:f>Dashboard_Live_Data!U111</x:f>
        <x:v>-73.60000000000002</x:v>
      </x:c>
      <x:c r="H1092" t="n">
        <x:f>Dashboard_Live_Data!V111</x:f>
        <x:v>221.8361343833407</x:v>
      </x:c>
    </x:row>
    <x:row r="1093">
      <x:c r="A1093" t="n">
        <x:f>Dashboard_Live_Data!O112</x:f>
        <x:v>-4.979999999999997</x:v>
      </x:c>
      <x:c r="B1093" t="n">
        <x:f>Dashboard_Live_Data!P112</x:f>
        <x:v>2668.696595429362</x:v>
      </x:c>
      <x:c r="C1093" t="n">
        <x:f>Dashboard_Live_Data!Q112</x:f>
        <x:v>-33.19999999999999</x:v>
      </x:c>
      <x:c r="D1093" t="n">
        <x:f>Dashboard_Live_Data!R112</x:f>
        <x:v>250.26970491699296</x:v>
      </x:c>
      <x:c r="E1093" t="n">
        <x:f>Dashboard_Live_Data!S112</x:f>
        <x:v>-66.39999999999998</x:v>
      </x:c>
      <x:c r="F1093" t="n">
        <x:f>Dashboard_Live_Data!T112</x:f>
        <x:v>277.84478153883373</x:v>
      </x:c>
      <x:c r="G1093" t="n">
        <x:f>Dashboard_Live_Data!U112</x:f>
        <x:v>-66.39999999999998</x:v>
      </x:c>
      <x:c r="H1093" t="n">
        <x:f>Dashboard_Live_Data!V112</x:f>
        <x:v>211.59154710956733</x:v>
      </x:c>
    </x:row>
    <x:row r="1094">
      <x:c r="A1094" t="n">
        <x:f>Dashboard_Live_Data!O113</x:f>
        <x:v>-4.5</x:v>
      </x:c>
      <x:c r="B1094" t="n">
        <x:f>Dashboard_Live_Data!P113</x:f>
        <x:v>2668.6628654280557</x:v>
      </x:c>
      <x:c r="C1094" t="n">
        <x:f>Dashboard_Live_Data!Q113</x:f>
        <x:v>-30</x:v>
      </x:c>
      <x:c r="D1094" t="n">
        <x:f>Dashboard_Live_Data!R113</x:f>
        <x:v>247.19184229778054</x:v>
      </x:c>
      <x:c r="E1094" t="n">
        <x:f>Dashboard_Live_Data!S113</x:f>
        <x:v>-60</x:v>
      </x:c>
      <x:c r="F1094" t="n">
        <x:f>Dashboard_Live_Data!T113</x:f>
        <x:v>269.7074187236558</x:v>
      </x:c>
      <x:c r="G1094" t="n">
        <x:f>Dashboard_Live_Data!U113</x:f>
        <x:v>-60</x:v>
      </x:c>
      <x:c r="H1094" t="n">
        <x:f>Dashboard_Live_Data!V113</x:f>
        <x:v>203.36985929112333</x:v>
      </x:c>
    </x:row>
    <x:row r="1095">
      <x:c r="A1095" t="n">
        <x:f>Dashboard_Live_Data!O114</x:f>
        <x:v>-4.019999999999996</x:v>
      </x:c>
      <x:c r="B1095" t="n">
        <x:f>Dashboard_Live_Data!P114</x:f>
        <x:v>2668.632551123084</x:v>
      </x:c>
      <x:c r="C1095" t="n">
        <x:f>Dashboard_Live_Data!Q114</x:f>
        <x:v>-26.799999999999955</x:v>
      </x:c>
      <x:c r="D1095" t="n">
        <x:f>Dashboard_Live_Data!R114</x:f>
        <x:v>244.42566196912128</x:v>
      </x:c>
      <x:c r="E1095" t="n">
        <x:f>Dashboard_Live_Data!S114</x:f>
        <x:v>-53.59999999999991</x:v>
      </x:c>
      <x:c r="F1095" t="n">
        <x:f>Dashboard_Live_Data!T114</x:f>
        <x:v>262.3940926492553</x:v>
      </x:c>
      <x:c r="G1095" t="n">
        <x:f>Dashboard_Live_Data!U114</x:f>
        <x:v>-53.59999999999991</x:v>
      </x:c>
      <x:c r="H1095" t="n">
        <x:f>Dashboard_Live_Data!V114</x:f>
        <x:v>195.98074745429378</x:v>
      </x:c>
    </x:row>
    <x:row r="1096">
      <x:c r="A1096" t="n">
        <x:f>Dashboard_Live_Data!O115</x:f>
        <x:v>-3.480000000000004</x:v>
      </x:c>
      <x:c r="B1096" t="n">
        <x:f>Dashboard_Live_Data!P115</x:f>
        <x:v>2668.602530354516</x:v>
      </x:c>
      <x:c r="C1096" t="n">
        <x:f>Dashboard_Live_Data!Q115</x:f>
        <x:v>-23.200000000000045</x:v>
      </x:c>
      <x:c r="D1096" t="n">
        <x:f>Dashboard_Live_Data!R115</x:f>
        <x:v>241.68626683730656</x:v>
      </x:c>
      <x:c r="E1096" t="n">
        <x:f>Dashboard_Live_Data!S115</x:f>
        <x:v>-46.40000000000009</x:v>
      </x:c>
      <x:c r="F1096" t="n">
        <x:f>Dashboard_Live_Data!T115</x:f>
        <x:v>255.1515822322656</x:v>
      </x:c>
      <x:c r="G1096" t="n">
        <x:f>Dashboard_Live_Data!U115</x:f>
        <x:v>-46.40000000000009</x:v>
      </x:c>
      <x:c r="H1096" t="n">
        <x:f>Dashboard_Live_Data!V115</x:f>
        <x:v>188.66318511588446</x:v>
      </x:c>
    </x:row>
    <x:row r="1097">
      <x:c r="A1097" t="n">
        <x:f>Dashboard_Live_Data!O116</x:f>
        <x:v>-3</x:v>
      </x:c>
      <x:c r="B1097" t="n">
        <x:f>Dashboard_Live_Data!P116</x:f>
        <x:v>2668.579474404256</x:v>
      </x:c>
      <x:c r="C1097" t="n">
        <x:f>Dashboard_Live_Data!Q116</x:f>
        <x:v>-20</x:v>
      </x:c>
      <x:c r="D1097" t="n">
        <x:f>Dashboard_Live_Data!R116</x:f>
        <x:v>239.5824113760727</x:v>
      </x:c>
      <x:c r="E1097" t="n">
        <x:f>Dashboard_Live_Data!S116</x:f>
        <x:v>-40</x:v>
      </x:c>
      <x:c r="F1097" t="n">
        <x:f>Dashboard_Live_Data!T116</x:f>
        <x:v>249.58933423201725</x:v>
      </x:c>
      <x:c r="G1097" t="n">
        <x:f>Dashboard_Live_Data!U116</x:f>
        <x:v>-40</x:v>
      </x:c>
      <x:c r="H1097" t="n">
        <x:f>Dashboard_Live_Data!V116</x:f>
        <x:v>183.04329723998595</x:v>
      </x:c>
    </x:row>
    <x:row r="1098">
      <x:c r="A1098" t="n">
        <x:f>Dashboard_Live_Data!O117</x:f>
        <x:v>-2.520000000000003</x:v>
      </x:c>
      <x:c r="B1098" t="n">
        <x:f>Dashboard_Live_Data!P117</x:f>
        <x:v>2668.5598341503305</x:v>
      </x:c>
      <x:c r="C1098" t="n">
        <x:f>Dashboard_Live_Data!Q117</x:f>
        <x:v>-16.80000000000001</x:v>
      </x:c>
      <x:c r="D1098" t="n">
        <x:f>Dashboard_Live_Data!R117</x:f>
        <x:v>237.7902382053921</x:v>
      </x:c>
      <x:c r="E1098" t="n">
        <x:f>Dashboard_Live_Data!S117</x:f>
        <x:v>-33.60000000000002</x:v>
      </x:c>
      <x:c r="F1098" t="n">
        <x:f>Dashboard_Live_Data!T117</x:f>
        <x:v>244.85112297254656</x:v>
      </x:c>
      <x:c r="G1098" t="n">
        <x:f>Dashboard_Live_Data!U117</x:f>
        <x:v>-33.60000000000002</x:v>
      </x:c>
      <x:c r="H1098" t="n">
        <x:f>Dashboard_Live_Data!V117</x:f>
        <x:v>178.25598534570207</x:v>
      </x:c>
    </x:row>
    <x:row r="1099">
      <x:c r="A1099" t="n">
        <x:f>Dashboard_Live_Data!O118</x:f>
        <x:v>-1.980000000000004</x:v>
      </x:c>
      <x:c r="B1099" t="n">
        <x:f>Dashboard_Live_Data!P118</x:f>
        <x:v>2668.54182168919</x:v>
      </x:c>
      <x:c r="C1099" t="n">
        <x:f>Dashboard_Live_Data!Q118</x:f>
        <x:v>-13.199999999999989</x:v>
      </x:c>
      <x:c r="D1099" t="n">
        <x:f>Dashboard_Live_Data!R118</x:f>
        <x:v>236.14660112630315</x:v>
      </x:c>
      <x:c r="E1099" t="n">
        <x:f>Dashboard_Live_Data!S118</x:f>
        <x:v>-26.399999999999977</x:v>
      </x:c>
      <x:c r="F1099" t="n">
        <x:f>Dashboard_Live_Data!T118</x:f>
        <x:v>240.50561672235264</x:v>
      </x:c>
      <x:c r="G1099" t="n">
        <x:f>Dashboard_Live_Data!U118</x:f>
        <x:v>-26.399999999999977</x:v>
      </x:c>
      <x:c r="H1099" t="n">
        <x:f>Dashboard_Live_Data!V118</x:f>
        <x:v>173.86544794265637</x:v>
      </x:c>
    </x:row>
    <x:row r="1100">
      <x:c r="A1100" t="n">
        <x:f>Dashboard_Live_Data!O119</x:f>
        <x:v>-1.5</x:v>
      </x:c>
      <x:c r="B1100" t="n">
        <x:f>Dashboard_Live_Data!P119</x:f>
        <x:v>2668.5294397899765</x:v>
      </x:c>
      <x:c r="C1100" t="n">
        <x:f>Dashboard_Live_Data!Q119</x:f>
        <x:v>-10</x:v>
      </x:c>
      <x:c r="D1100" t="n">
        <x:f>Dashboard_Live_Data!R119</x:f>
        <x:v>235.01675282304802</x:v>
      </x:c>
      <x:c r="E1100" t="n">
        <x:f>Dashboard_Live_Data!S119</x:f>
        <x:v>-20</x:v>
      </x:c>
      <x:c r="F1100" t="n">
        <x:f>Dashboard_Live_Data!T119</x:f>
        <x:v>237.51848353703414</x:v>
      </x:c>
      <x:c r="G1100" t="n">
        <x:f>Dashboard_Live_Data!U119</x:f>
        <x:v>-20</x:v>
      </x:c>
      <x:c r="H1100" t="n">
        <x:f>Dashboard_Live_Data!V119</x:f>
        <x:v>170.8473600093035</x:v>
      </x:c>
    </x:row>
    <x:row r="1101">
      <x:c r="A1101" t="n">
        <x:f>Dashboard_Live_Data!O120</x:f>
        <x:v>-1.0200000000000031</x:v>
      </x:c>
      <x:c r="B1101" t="n">
        <x:f>Dashboard_Live_Data!P120</x:f>
        <x:v>2668.520473587097</x:v>
      </x:c>
      <x:c r="C1101" t="n">
        <x:f>Dashboard_Live_Data!Q120</x:f>
        <x:v>-6.800000000000011</x:v>
      </x:c>
      <x:c r="D1101" t="n">
        <x:f>Dashboard_Live_Data!R120</x:f>
        <x:v>234.19858681034597</x:v>
      </x:c>
      <x:c r="E1101" t="n">
        <x:f>Dashboard_Live_Data!S120</x:f>
        <x:v>-13.600000000000023</x:v>
      </x:c>
      <x:c r="F1101" t="n">
        <x:f>Dashboard_Live_Data!T120</x:f>
        <x:v>235.35538709249317</x:v>
      </x:c>
      <x:c r="G1101" t="n">
        <x:f>Dashboard_Live_Data!U120</x:f>
        <x:v>-13.600000000000023</x:v>
      </x:c>
      <x:c r="H1101" t="n">
        <x:f>Dashboard_Live_Data!V120</x:f>
        <x:v>168.6618480575652</x:v>
      </x:c>
    </x:row>
    <x:row r="1102">
      <x:c r="A1102" t="n">
        <x:f>Dashboard_Live_Data!O121</x:f>
        <x:v>-0.480000000000004</x:v>
      </x:c>
      <x:c r="B1102" t="n">
        <x:f>Dashboard_Live_Data!P121</x:f>
        <x:v>2668.514469433384</x:v>
      </x:c>
      <x:c r="C1102" t="n">
        <x:f>Dashboard_Live_Data!Q121</x:f>
        <x:v>-3.1999999999999886</x:v>
      </x:c>
      <x:c r="D1102" t="n">
        <x:f>Dashboard_Live_Data!R121</x:f>
        <x:v>233.65070778398297</x:v>
      </x:c>
      <x:c r="E1102" t="n">
        <x:f>Dashboard_Live_Data!S121</x:f>
        <x:v>-6.399999999999977</x:v>
      </x:c>
      <x:c r="F1102" t="n">
        <x:f>Dashboard_Live_Data!T121</x:f>
        <x:v>233.9068850090952</x:v>
      </x:c>
      <x:c r="G1102" t="n">
        <x:f>Dashboard_Live_Data!U121</x:f>
        <x:v>-6.399999999999977</x:v>
      </x:c>
      <x:c r="H1102" t="n">
        <x:f>Dashboard_Live_Data!V121</x:f>
        <x:v>167.19833558988333</x:v>
      </x:c>
    </x:row>
    <x:row r="1103">
      <x:c r="A1103" t="n">
        <x:f>Dashboard_Live_Data!O122</x:f>
        <x:v>0</x:v>
      </x:c>
      <x:c r="B1103" t="n">
        <x:f>Dashboard_Live_Data!P122</x:f>
        <x:v>2668.5127615852166</x:v>
      </x:c>
      <x:c r="C1103" t="n">
        <x:f>Dashboard_Live_Data!Q122</x:f>
        <x:v>0</x:v>
      </x:c>
      <x:c r="D1103" t="n">
        <x:f>Dashboard_Live_Data!R122</x:f>
        <x:v>233.49486663870644</x:v>
      </x:c>
      <x:c r="E1103" t="n">
        <x:f>Dashboard_Live_Data!S122</x:f>
        <x:v>0</x:v>
      </x:c>
      <x:c r="F1103" t="n">
        <x:f>Dashboard_Live_Data!T122</x:f>
        <x:v>233.49486663870644</x:v>
      </x:c>
      <x:c r="G1103" t="n">
        <x:f>Dashboard_Live_Data!U122</x:f>
        <x:v>0</x:v>
      </x:c>
      <x:c r="H1103" t="n">
        <x:f>Dashboard_Live_Data!V122</x:f>
        <x:v>166.78204759907604</x:v>
      </x:c>
    </x:row>
    <x:row r="1104">
      <x:c r="A1104" t="n">
        <x:f>Dashboard_Live_Data!O123</x:f>
        <x:v>0.480000000000004</x:v>
      </x:c>
      <x:c r="B1104" t="n">
        <x:f>Dashboard_Live_Data!P123</x:f>
        <x:v>2668.514469433384</x:v>
      </x:c>
      <x:c r="C1104" t="n">
        <x:f>Dashboard_Live_Data!Q123</x:f>
        <x:v>3.1999999999999886</x:v>
      </x:c>
      <x:c r="D1104" t="n">
        <x:f>Dashboard_Live_Data!R123</x:f>
        <x:v>233.65070778398297</x:v>
      </x:c>
      <x:c r="E1104" t="n">
        <x:f>Dashboard_Live_Data!S123</x:f>
        <x:v>6.399999999999977</x:v>
      </x:c>
      <x:c r="F1104" t="n">
        <x:f>Dashboard_Live_Data!T123</x:f>
        <x:v>233.9068850090952</x:v>
      </x:c>
      <x:c r="G1104" t="n">
        <x:f>Dashboard_Live_Data!U123</x:f>
        <x:v>6.399999999999977</x:v>
      </x:c>
      <x:c r="H1104" t="n">
        <x:f>Dashboard_Live_Data!V123</x:f>
        <x:v>167.19833558988333</x:v>
      </x:c>
    </x:row>
    <x:row r="1105">
      <x:c r="A1105" t="n">
        <x:f>Dashboard_Live_Data!O124</x:f>
        <x:v>1.019999999999996</x:v>
      </x:c>
      <x:c r="B1105" t="n">
        <x:f>Dashboard_Live_Data!P124</x:f>
        <x:v>2668.520473587097</x:v>
      </x:c>
      <x:c r="C1105" t="n">
        <x:f>Dashboard_Live_Data!Q124</x:f>
        <x:v>6.7999999999999545</x:v>
      </x:c>
      <x:c r="D1105" t="n">
        <x:f>Dashboard_Live_Data!R124</x:f>
        <x:v>234.19858681034597</x:v>
      </x:c>
      <x:c r="E1105" t="n">
        <x:f>Dashboard_Live_Data!S124</x:f>
        <x:v>13.599999999999909</x:v>
      </x:c>
      <x:c r="F1105" t="n">
        <x:f>Dashboard_Live_Data!T124</x:f>
        <x:v>235.35538709249312</x:v>
      </x:c>
      <x:c r="G1105" t="n">
        <x:f>Dashboard_Live_Data!U124</x:f>
        <x:v>13.599999999999909</x:v>
      </x:c>
      <x:c r="H1105" t="n">
        <x:f>Dashboard_Live_Data!V124</x:f>
        <x:v>168.66184805756518</x:v>
      </x:c>
    </x:row>
    <x:row r="1106">
      <x:c r="A1106" t="n">
        <x:f>Dashboard_Live_Data!O125</x:f>
        <x:v>1.499999999999993</x:v>
      </x:c>
      <x:c r="B1106" t="n">
        <x:f>Dashboard_Live_Data!P125</x:f>
        <x:v>2668.5294397899765</x:v>
      </x:c>
      <x:c r="C1106" t="n">
        <x:f>Dashboard_Live_Data!Q125</x:f>
        <x:v>9.999999999999943</x:v>
      </x:c>
      <x:c r="D1106" t="n">
        <x:f>Dashboard_Live_Data!R125</x:f>
        <x:v>235.01675282304802</x:v>
      </x:c>
      <x:c r="E1106" t="n">
        <x:f>Dashboard_Live_Data!S125</x:f>
        <x:v>19.999999999999886</x:v>
      </x:c>
      <x:c r="F1106" t="n">
        <x:f>Dashboard_Live_Data!T125</x:f>
        <x:v>237.51848353703411</x:v>
      </x:c>
      <x:c r="G1106" t="n">
        <x:f>Dashboard_Live_Data!U125</x:f>
        <x:v>19.999999999999886</x:v>
      </x:c>
      <x:c r="H1106" t="n">
        <x:f>Dashboard_Live_Data!V125</x:f>
        <x:v>170.84736000930343</x:v>
      </x:c>
    </x:row>
    <x:row r="1107">
      <x:c r="A1107" t="n">
        <x:f>Dashboard_Live_Data!O126</x:f>
        <x:v>1.9799999999999969</x:v>
      </x:c>
      <x:c r="B1107" t="n">
        <x:f>Dashboard_Live_Data!P126</x:f>
        <x:v>2668.54182168919</x:v>
      </x:c>
      <x:c r="C1107" t="n">
        <x:f>Dashboard_Live_Data!Q126</x:f>
        <x:v>13.199999999999989</x:v>
      </x:c>
      <x:c r="D1107" t="n">
        <x:f>Dashboard_Live_Data!R126</x:f>
        <x:v>236.14660112630315</x:v>
      </x:c>
      <x:c r="E1107" t="n">
        <x:f>Dashboard_Live_Data!S126</x:f>
        <x:v>26.399999999999977</x:v>
      </x:c>
      <x:c r="F1107" t="n">
        <x:f>Dashboard_Live_Data!T126</x:f>
        <x:v>240.50561672235264</x:v>
      </x:c>
      <x:c r="G1107" t="n">
        <x:f>Dashboard_Live_Data!U126</x:f>
        <x:v>26.399999999999977</x:v>
      </x:c>
      <x:c r="H1107" t="n">
        <x:f>Dashboard_Live_Data!V126</x:f>
        <x:v>173.86544794265637</x:v>
      </x:c>
    </x:row>
    <x:row r="1108">
      <x:c r="A1108" t="n">
        <x:f>Dashboard_Live_Data!O127</x:f>
        <x:v>2.520000000000003</x:v>
      </x:c>
      <x:c r="B1108" t="n">
        <x:f>Dashboard_Live_Data!P127</x:f>
        <x:v>2668.5598341503305</x:v>
      </x:c>
      <x:c r="C1108" t="n">
        <x:f>Dashboard_Live_Data!Q127</x:f>
        <x:v>16.80000000000001</x:v>
      </x:c>
      <x:c r="D1108" t="n">
        <x:f>Dashboard_Live_Data!R127</x:f>
        <x:v>237.7902382053921</x:v>
      </x:c>
      <x:c r="E1108" t="n">
        <x:f>Dashboard_Live_Data!S127</x:f>
        <x:v>33.60000000000002</x:v>
      </x:c>
      <x:c r="F1108" t="n">
        <x:f>Dashboard_Live_Data!T127</x:f>
        <x:v>244.85112297254656</x:v>
      </x:c>
      <x:c r="G1108" t="n">
        <x:f>Dashboard_Live_Data!U127</x:f>
        <x:v>33.60000000000002</x:v>
      </x:c>
      <x:c r="H1108" t="n">
        <x:f>Dashboard_Live_Data!V127</x:f>
        <x:v>178.25598534570207</x:v>
      </x:c>
    </x:row>
    <x:row r="1109">
      <x:c r="A1109" t="n">
        <x:f>Dashboard_Live_Data!O128</x:f>
        <x:v>3</x:v>
      </x:c>
      <x:c r="B1109" t="n">
        <x:f>Dashboard_Live_Data!P128</x:f>
        <x:v>2668.579474404256</x:v>
      </x:c>
      <x:c r="C1109" t="n">
        <x:f>Dashboard_Live_Data!Q128</x:f>
        <x:v>20</x:v>
      </x:c>
      <x:c r="D1109" t="n">
        <x:f>Dashboard_Live_Data!R128</x:f>
        <x:v>239.5824113760727</x:v>
      </x:c>
      <x:c r="E1109" t="n">
        <x:f>Dashboard_Live_Data!S128</x:f>
        <x:v>40</x:v>
      </x:c>
      <x:c r="F1109" t="n">
        <x:f>Dashboard_Live_Data!T128</x:f>
        <x:v>249.58933423201725</x:v>
      </x:c>
      <x:c r="G1109" t="n">
        <x:f>Dashboard_Live_Data!U128</x:f>
        <x:v>40</x:v>
      </x:c>
      <x:c r="H1109" t="n">
        <x:f>Dashboard_Live_Data!V128</x:f>
        <x:v>183.04329723998595</x:v>
      </x:c>
    </x:row>
    <x:row r="1110">
      <x:c r="A1110" t="n">
        <x:f>Dashboard_Live_Data!O129</x:f>
        <x:v>3.480000000000004</x:v>
      </x:c>
      <x:c r="B1110" t="n">
        <x:f>Dashboard_Live_Data!P129</x:f>
        <x:v>2668.602530354516</x:v>
      </x:c>
      <x:c r="C1110" t="n">
        <x:f>Dashboard_Live_Data!Q129</x:f>
        <x:v>23.200000000000045</x:v>
      </x:c>
      <x:c r="D1110" t="n">
        <x:f>Dashboard_Live_Data!R129</x:f>
        <x:v>241.68626683730656</x:v>
      </x:c>
      <x:c r="E1110" t="n">
        <x:f>Dashboard_Live_Data!S129</x:f>
        <x:v>46.40000000000009</x:v>
      </x:c>
      <x:c r="F1110" t="n">
        <x:f>Dashboard_Live_Data!T129</x:f>
        <x:v>255.1515822322656</x:v>
      </x:c>
      <x:c r="G1110" t="n">
        <x:f>Dashboard_Live_Data!U129</x:f>
        <x:v>46.40000000000009</x:v>
      </x:c>
      <x:c r="H1110" t="n">
        <x:f>Dashboard_Live_Data!V129</x:f>
        <x:v>188.66318511588446</x:v>
      </x:c>
    </x:row>
    <x:row r="1111">
      <x:c r="A1111" t="n">
        <x:f>Dashboard_Live_Data!O130</x:f>
        <x:v>4.019999999999996</x:v>
      </x:c>
      <x:c r="B1111" t="n">
        <x:f>Dashboard_Live_Data!P130</x:f>
        <x:v>2668.632551123084</x:v>
      </x:c>
      <x:c r="C1111" t="n">
        <x:f>Dashboard_Live_Data!Q130</x:f>
        <x:v>26.799999999999955</x:v>
      </x:c>
      <x:c r="D1111" t="n">
        <x:f>Dashboard_Live_Data!R130</x:f>
        <x:v>244.42566196912128</x:v>
      </x:c>
      <x:c r="E1111" t="n">
        <x:f>Dashboard_Live_Data!S130</x:f>
        <x:v>53.59999999999991</x:v>
      </x:c>
      <x:c r="F1111" t="n">
        <x:f>Dashboard_Live_Data!T130</x:f>
        <x:v>262.3940926492553</x:v>
      </x:c>
      <x:c r="G1111" t="n">
        <x:f>Dashboard_Live_Data!U130</x:f>
        <x:v>53.59999999999991</x:v>
      </x:c>
      <x:c r="H1111" t="n">
        <x:f>Dashboard_Live_Data!V130</x:f>
        <x:v>195.98074745429378</x:v>
      </x:c>
    </x:row>
    <x:row r="1112">
      <x:c r="A1112" t="n">
        <x:f>Dashboard_Live_Data!O131</x:f>
        <x:v>4.5</x:v>
      </x:c>
      <x:c r="B1112" t="n">
        <x:f>Dashboard_Live_Data!P131</x:f>
        <x:v>2668.6628654280557</x:v>
      </x:c>
      <x:c r="C1112" t="n">
        <x:f>Dashboard_Live_Data!Q131</x:f>
        <x:v>30</x:v>
      </x:c>
      <x:c r="D1112" t="n">
        <x:f>Dashboard_Live_Data!R131</x:f>
        <x:v>247.19184229778054</x:v>
      </x:c>
      <x:c r="E1112" t="n">
        <x:f>Dashboard_Live_Data!S131</x:f>
        <x:v>60</x:v>
      </x:c>
      <x:c r="F1112" t="n">
        <x:f>Dashboard_Live_Data!T131</x:f>
        <x:v>269.7074187236558</x:v>
      </x:c>
      <x:c r="G1112" t="n">
        <x:f>Dashboard_Live_Data!U131</x:f>
        <x:v>60</x:v>
      </x:c>
      <x:c r="H1112" t="n">
        <x:f>Dashboard_Live_Data!V131</x:f>
        <x:v>203.36985929112333</x:v>
      </x:c>
    </x:row>
    <x:row r="1113">
      <x:c r="A1113" t="n">
        <x:f>Dashboard_Live_Data!O132</x:f>
        <x:v>4.980000000000004</x:v>
      </x:c>
      <x:c r="B1113" t="n">
        <x:f>Dashboard_Live_Data!P132</x:f>
        <x:v>2668.696595429362</x:v>
      </x:c>
      <x:c r="C1113" t="n">
        <x:f>Dashboard_Live_Data!Q132</x:f>
        <x:v>33.19999999999999</x:v>
      </x:c>
      <x:c r="D1113" t="n">
        <x:f>Dashboard_Live_Data!R132</x:f>
        <x:v>250.26970491699296</x:v>
      </x:c>
      <x:c r="E1113" t="n">
        <x:f>Dashboard_Live_Data!S132</x:f>
        <x:v>66.39999999999998</x:v>
      </x:c>
      <x:c r="F1113" t="n">
        <x:f>Dashboard_Live_Data!T132</x:f>
        <x:v>277.84478153883373</x:v>
      </x:c>
      <x:c r="G1113" t="n">
        <x:f>Dashboard_Live_Data!U132</x:f>
        <x:v>66.39999999999998</x:v>
      </x:c>
      <x:c r="H1113" t="n">
        <x:f>Dashboard_Live_Data!V132</x:f>
        <x:v>211.59154710956733</x:v>
      </x:c>
    </x:row>
    <x:row r="1114">
      <x:c r="A1114" t="n">
        <x:f>Dashboard_Live_Data!O133</x:f>
        <x:v>5.52000000000001</x:v>
      </x:c>
      <x:c r="B1114" t="n">
        <x:f>Dashboard_Live_Data!P133</x:f>
        <x:v>2668.738624505357</x:v>
      </x:c>
      <x:c r="C1114" t="n">
        <x:f>Dashboard_Live_Data!Q133</x:f>
        <x:v>36.80000000000001</x:v>
      </x:c>
      <x:c r="D1114" t="n">
        <x:f>Dashboard_Live_Data!R133</x:f>
        <x:v>254.1048581015337</x:v>
      </x:c>
      <x:c r="E1114" t="n">
        <x:f>Dashboard_Live_Data!S133</x:f>
        <x:v>73.60000000000002</x:v>
      </x:c>
      <x:c r="F1114" t="n">
        <x:f>Dashboard_Live_Data!T133</x:f>
        <x:v>287.98429612261964</x:v>
      </x:c>
      <x:c r="G1114" t="n">
        <x:f>Dashboard_Live_Data!U133</x:f>
        <x:v>73.60000000000002</x:v>
      </x:c>
      <x:c r="H1114" t="n">
        <x:f>Dashboard_Live_Data!V133</x:f>
        <x:v>221.8361343833407</x:v>
      </x:c>
    </x:row>
    <x:row r="1115">
      <x:c r="A1115" t="n">
        <x:f>Dashboard_Live_Data!O134</x:f>
        <x:v>6</x:v>
      </x:c>
      <x:c r="B1115" t="n">
        <x:f>Dashboard_Live_Data!P134</x:f>
        <x:v>2668.779612861375</x:v>
      </x:c>
      <x:c r="C1115" t="n">
        <x:f>Dashboard_Live_Data!Q134</x:f>
        <x:v>40.00000000000006</x:v>
      </x:c>
      <x:c r="D1115" t="n">
        <x:f>Dashboard_Live_Data!R134</x:f>
        <x:v>257.8450455881716</x:v>
      </x:c>
      <x:c r="E1115" t="n">
        <x:f>Dashboard_Live_Data!S134</x:f>
        <x:v>80.00000000000011</x:v>
      </x:c>
      <x:c r="F1115" t="n">
        <x:f>Dashboard_Live_Data!T134</x:f>
        <x:v>297.87273701195</x:v>
      </x:c>
      <x:c r="G1115" t="n">
        <x:f>Dashboard_Live_Data!U134</x:f>
        <x:v>80.00000000000011</x:v>
      </x:c>
      <x:c r="H1115" t="n">
        <x:f>Dashboard_Live_Data!V134</x:f>
        <x:v>231.82704616271587</x:v>
      </x:c>
    </x:row>
    <x:row r="1116">
      <x:c r="A1116" t="n">
        <x:f>Dashboard_Live_Data!O135</x:f>
        <x:v>6.480000000000004</x:v>
      </x:c>
      <x:c r="B1116" t="n">
        <x:f>Dashboard_Live_Data!P135</x:f>
        <x:v>2668.8240169137275</x:v>
      </x:c>
      <x:c r="C1116" t="n">
        <x:f>Dashboard_Live_Data!Q135</x:f>
        <x:v>43.200000000000045</x:v>
      </x:c>
      <x:c r="D1116" t="n">
        <x:f>Dashboard_Live_Data!R135</x:f>
        <x:v>261.8969153653626</x:v>
      </x:c>
      <x:c r="E1116" t="n">
        <x:f>Dashboard_Live_Data!S135</x:f>
        <x:v>86.40000000000009</x:v>
      </x:c>
      <x:c r="F1116" t="n">
        <x:f>Dashboard_Live_Data!T135</x:f>
        <x:v>308.5852146420577</x:v>
      </x:c>
      <x:c r="G1116" t="n">
        <x:f>Dashboard_Live_Data!U135</x:f>
        <x:v>86.40000000000009</x:v>
      </x:c>
      <x:c r="H1116" t="n">
        <x:f>Dashboard_Live_Data!V135</x:f>
        <x:v>242.65053392370547</x:v>
      </x:c>
    </x:row>
    <x:row r="1117">
      <x:c r="A1117" t="n">
        <x:f>Dashboard_Live_Data!O136</x:f>
        <x:v>7.019999999999996</x:v>
      </x:c>
      <x:c r="B1117" t="n">
        <x:f>Dashboard_Live_Data!P136</x:f>
        <x:v>2668.8780542971494</x:v>
      </x:c>
      <x:c r="C1117" t="n">
        <x:f>Dashboard_Live_Data!Q136</x:f>
        <x:v>46.80000000000001</x:v>
      </x:c>
      <x:c r="D1117" t="n">
        <x:f>Dashboard_Live_Data!R136</x:f>
        <x:v>266.8278266026293</x:v>
      </x:c>
      <x:c r="E1117" t="n">
        <x:f>Dashboard_Live_Data!S136</x:f>
        <x:v>93.60000000000002</x:v>
      </x:c>
      <x:c r="F1117" t="n">
        <x:f>Dashboard_Live_Data!T136</x:f>
        <x:v>321.6217333926393</x:v>
      </x:c>
      <x:c r="G1117" t="n">
        <x:f>Dashboard_Live_Data!U136</x:f>
        <x:v>93.60000000000002</x:v>
      </x:c>
      <x:c r="H1117" t="n">
        <x:f>Dashboard_Live_Data!V136</x:f>
        <x:v>255.82214613284236</x:v>
      </x:c>
    </x:row>
    <x:row r="1118">
      <x:c r="A1118" t="n">
        <x:f>Dashboard_Live_Data!O137</x:f>
        <x:v>7.5</x:v>
      </x:c>
      <x:c r="B1118" t="n">
        <x:f>Dashboard_Live_Data!P137</x:f>
        <x:v>2668.929716704214</x:v>
      </x:c>
      <x:c r="C1118" t="n">
        <x:f>Dashboard_Live_Data!Q137</x:f>
        <x:v>50</x:v>
      </x:c>
      <x:c r="D1118" t="n">
        <x:f>Dashboard_Live_Data!R137</x:f>
        <x:v>271.54202124724566</x:v>
      </x:c>
      <x:c r="E1118" t="n">
        <x:f>Dashboard_Live_Data!S137</x:f>
        <x:v>100</x:v>
      </x:c>
      <x:c r="F1118" t="n">
        <x:f>Dashboard_Live_Data!T137</x:f>
        <x:v>334.08528909689915</x:v>
      </x:c>
      <x:c r="G1118" t="n">
        <x:f>Dashboard_Live_Data!U137</x:f>
        <x:v>100</x:v>
      </x:c>
      <x:c r="H1118" t="n">
        <x:f>Dashboard_Live_Data!V137</x:f>
        <x:v>268.414857854763</x:v>
      </x:c>
    </x:row>
    <x:row r="1119">
      <x:c r="A1119" t="n">
        <x:f>Dashboard_Live_Data!O138</x:f>
        <x:v>7.980000000000004</x:v>
      </x:c>
      <x:c r="B1119" t="n">
        <x:f>Dashboard_Live_Data!P138</x:f>
        <x:v>2668.984794807613</x:v>
      </x:c>
      <x:c r="C1119" t="n">
        <x:f>Dashboard_Live_Data!Q138</x:f>
        <x:v>53.19999999999999</x:v>
      </x:c>
      <x:c r="D1119" t="n">
        <x:f>Dashboard_Live_Data!R138</x:f>
        <x:v>276.56789818241526</x:v>
      </x:c>
      <x:c r="E1119" t="n">
        <x:f>Dashboard_Live_Data!S138</x:f>
        <x:v>106.39999999999998</x:v>
      </x:c>
      <x:c r="F1119" t="n">
        <x:f>Dashboard_Live_Data!T138</x:f>
        <x:v>347.3728815419365</x:v>
      </x:c>
      <x:c r="G1119" t="n">
        <x:f>Dashboard_Live_Data!U138</x:f>
        <x:v>106.39999999999998</x:v>
      </x:c>
      <x:c r="H1119" t="n">
        <x:f>Dashboard_Live_Data!V138</x:f>
        <x:v>281.84014555829816</x:v>
      </x:c>
    </x:row>
    <x:row r="1120">
      <x:c r="A1120" t="n">
        <x:f>Dashboard_Live_Data!O139</x:f>
        <x:v>8.519999999999996</x:v>
      </x:c>
      <x:c r="B1120" t="n">
        <x:f>Dashboard_Live_Data!P139</x:f>
        <x:v>2669.050840498462</x:v>
      </x:c>
      <x:c r="C1120" t="n">
        <x:f>Dashboard_Live_Data!Q139</x:f>
        <x:v>56.799999999999955</x:v>
      </x:c>
      <x:c r="D1120" t="n">
        <x:f>Dashboard_Live_Data!R139</x:f>
        <x:v>282.5945674724078</x:v>
      </x:c>
      <x:c r="E1120" t="n">
        <x:f>Dashboard_Live_Data!S139</x:f>
        <x:v>113.59999999999991</x:v>
      </x:c>
      <x:c r="F1120" t="n">
        <x:f>Dashboard_Live_Data!T139</x:f>
        <x:v>363.30640445931414</x:v>
      </x:c>
      <x:c r="G1120" t="n">
        <x:f>Dashboard_Live_Data!U139</x:f>
        <x:v>113.59999999999991</x:v>
      </x:c>
      <x:c r="H1120" t="n">
        <x:f>Dashboard_Live_Data!V139</x:f>
        <x:v>297.9387827027988</x:v>
      </x:c>
    </x:row>
    <x:row r="1121">
      <x:c r="A1121" t="n">
        <x:f>Dashboard_Live_Data!O140</x:f>
        <x:v>9</x:v>
      </x:c>
      <x:c r="B1121" t="n">
        <x:f>Dashboard_Live_Data!P140</x:f>
        <x:v>2669.113176956573</x:v>
      </x:c>
      <x:c r="C1121" t="n">
        <x:f>Dashboard_Live_Data!Q140</x:f>
        <x:v>59.99999999999994</x:v>
      </x:c>
      <x:c r="D1121" t="n">
        <x:f>Dashboard_Live_Data!R140</x:f>
        <x:v>288.2827692750028</x:v>
      </x:c>
      <x:c r="E1121" t="n">
        <x:f>Dashboard_Live_Data!S140</x:f>
        <x:v>119.99999999999989</x:v>
      </x:c>
      <x:c r="F1121" t="n">
        <x:f>Dashboard_Live_Data!T140</x:f>
        <x:v>378.3450749785037</x:v>
      </x:c>
      <x:c r="G1121" t="n">
        <x:f>Dashboard_Live_Data!U140</x:f>
        <x:v>119.99999999999989</x:v>
      </x:c>
      <x:c r="H1121" t="n">
        <x:f>Dashboard_Live_Data!V140</x:f>
        <x:v>313.1332943672649</x:v>
      </x:c>
    </x:row>
    <x:row r="1122">
      <x:c r="A1122" t="n">
        <x:f>Dashboard_Live_Data!O141</x:f>
        <x:v>9.47999999999999</x:v>
      </x:c>
      <x:c r="B1122" t="n">
        <x:f>Dashboard_Live_Data!P141</x:f>
        <x:v>2669.1789291110185</x:v>
      </x:c>
      <x:c r="C1122" t="n">
        <x:f>Dashboard_Live_Data!Q141</x:f>
        <x:v>63.19999999999999</x:v>
      </x:c>
      <x:c r="D1122" t="n">
        <x:f>Dashboard_Live_Data!R141</x:f>
        <x:v>294.2826533681511</x:v>
      </x:c>
      <x:c r="E1122" t="n">
        <x:f>Dashboard_Live_Data!S141</x:f>
        <x:v>126.39999999999998</x:v>
      </x:c>
      <x:c r="F1122" t="n">
        <x:f>Dashboard_Live_Data!T141</x:f>
        <x:v>394.2077822384711</x:v>
      </x:c>
      <x:c r="G1122" t="n">
        <x:f>Dashboard_Live_Data!U141</x:f>
        <x:v>126.39999999999998</x:v>
      </x:c>
      <x:c r="H1122" t="n">
        <x:f>Dashboard_Live_Data!V141</x:f>
        <x:v>329.160382013346</x:v>
      </x:c>
    </x:row>
    <x:row r="1123">
      <x:c r="A1123" t="n">
        <x:f>Dashboard_Live_Data!O142</x:f>
        <x:v>10.019999999999996</x:v>
      </x:c>
      <x:c r="B1123" t="n">
        <x:f>Dashboard_Live_Data!P142</x:f>
        <x:v>2669.256983109295</x:v>
      </x:c>
      <x:c r="C1123" t="n">
        <x:f>Dashboard_Live_Data!Q142</x:f>
        <x:v>66.80000000000001</x:v>
      </x:c>
      <x:c r="D1123" t="n">
        <x:f>Dashboard_Live_Data!R142</x:f>
        <x:v>301.40508071086964</x:v>
      </x:c>
      <x:c r="E1123" t="n">
        <x:f>Dashboard_Live_Data!S142</x:f>
        <x:v>133.60000000000002</x:v>
      </x:c>
      <x:c r="F1123" t="n">
        <x:f>Dashboard_Live_Data!T142</x:f>
        <x:v>413.03830932264486</x:v>
      </x:c>
      <x:c r="G1123" t="n">
        <x:f>Dashboard_Live_Data!U142</x:f>
        <x:v>133.60000000000002</x:v>
      </x:c>
      <x:c r="H1123" t="n">
        <x:f>Dashboard_Live_Data!V142</x:f>
        <x:v>348.1860440932107</x:v>
      </x:c>
    </x:row>
    <x:row r="1124">
      <x:c r="A1124" t="n">
        <x:f>Dashboard_Live_Data!O143</x:f>
        <x:v>10.5</x:v>
      </x:c>
      <x:c r="B1124" t="n">
        <x:f>Dashboard_Live_Data!P143</x:f>
        <x:v>2669.329993618452</x:v>
      </x:c>
      <x:c r="C1124" t="n">
        <x:f>Dashboard_Live_Data!Q143</x:f>
        <x:v>70</x:v>
      </x:c>
      <x:c r="D1124" t="n">
        <x:f>Dashboard_Live_Data!R143</x:f>
        <x:v>308.0672896714433</x:v>
      </x:c>
      <x:c r="E1124" t="n">
        <x:f>Dashboard_Live_Data!S143</x:f>
        <x:v>140</x:v>
      </x:c>
      <x:c r="F1124" t="n">
        <x:f>Dashboard_Live_Data!T143</x:f>
        <x:v>430.6520946567642</x:v>
      </x:c>
      <x:c r="G1124" t="n">
        <x:f>Dashboard_Live_Data!U143</x:f>
        <x:v>140</x:v>
      </x:c>
      <x:c r="H1124" t="n">
        <x:f>Dashboard_Live_Data!V143</x:f>
        <x:v>365.98235570022246</x:v>
      </x:c>
    </x:row>
    <x:row r="1125">
      <x:c r="A1125" t="n">
        <x:f>Dashboard_Live_Data!O144</x:f>
        <x:v>10.980000000000004</x:v>
      </x:c>
      <x:c r="B1125" t="n">
        <x:f>Dashboard_Live_Data!P144</x:f>
        <x:v>2669.406419823944</x:v>
      </x:c>
      <x:c r="C1125" t="n">
        <x:f>Dashboard_Live_Data!Q144</x:f>
        <x:v>73.20000000000005</x:v>
      </x:c>
      <x:c r="D1125" t="n">
        <x:f>Dashboard_Live_Data!R144</x:f>
        <x:v>315.04118092257016</x:v>
      </x:c>
      <x:c r="E1125" t="n">
        <x:f>Dashboard_Live_Data!S144</x:f>
        <x:v>146.4000000000001</x:v>
      </x:c>
      <x:c r="F1125" t="n">
        <x:f>Dashboard_Live_Data!T144</x:f>
        <x:v>449.08991673166133</x:v>
      </x:c>
      <x:c r="G1125" t="n">
        <x:f>Dashboard_Live_Data!U144</x:f>
        <x:v>146.4000000000001</x:v>
      </x:c>
      <x:c r="H1125" t="n">
        <x:f>Dashboard_Live_Data!V144</x:f>
        <x:v>384.6112432888491</x:v>
      </x:c>
    </x:row>
    <x:row r="1126">
      <x:c r="A1126" t="n">
        <x:f>Dashboard_Live_Data!O145</x:f>
        <x:v>11.519999999999996</x:v>
      </x:c>
      <x:c r="B1126" t="n">
        <x:f>Dashboard_Live_Data!P145</x:f>
        <x:v>2669.496482129647</x:v>
      </x:c>
      <x:c r="C1126" t="n">
        <x:f>Dashboard_Live_Data!Q145</x:f>
        <x:v>76.79999999999995</x:v>
      </x:c>
      <x:c r="D1126" t="n">
        <x:f>Dashboard_Live_Data!R145</x:f>
        <x:v>323.2593663180145</x:v>
      </x:c>
      <x:c r="E1126" t="n">
        <x:f>Dashboard_Live_Data!S145</x:f>
        <x:v>153.5999999999999</x:v>
      </x:c>
      <x:c r="F1126" t="n">
        <x:f>Dashboard_Live_Data!T145</x:f>
        <x:v>470.8174479826305</x:v>
      </x:c>
      <x:c r="G1126" t="n">
        <x:f>Dashboard_Live_Data!U145</x:f>
        <x:v>153.5999999999999</x:v>
      </x:c>
      <x:c r="H1126" t="n">
        <x:f>Dashboard_Live_Data!V145</x:f>
        <x:v>406.563930304077</x:v>
      </x:c>
    </x:row>
    <x:row r="1127">
      <x:c r="A1127" t="n">
        <x:f>Dashboard_Live_Data!O146</x:f>
        <x:v>12</x:v>
      </x:c>
      <x:c r="B1127" t="n">
        <x:f>Dashboard_Live_Data!P146</x:f>
        <x:v>2669.5801666898506</x:v>
      </x:c>
      <x:c r="C1127" t="n">
        <x:f>Dashboard_Live_Data!Q146</x:f>
        <x:v>80</x:v>
      </x:c>
      <x:c r="D1127" t="n">
        <x:f>Dashboard_Live_Data!R146</x:f>
        <x:v>330.8955824365668</x:v>
      </x:c>
      <x:c r="E1127" t="n">
        <x:f>Dashboard_Live_Data!S146</x:f>
        <x:v>160</x:v>
      </x:c>
      <x:c r="F1127" t="n">
        <x:f>Dashboard_Live_Data!T146</x:f>
        <x:v>491.00634813167994</x:v>
      </x:c>
      <x:c r="G1127" t="n">
        <x:f>Dashboard_Live_Data!U146</x:f>
        <x:v>160</x:v>
      </x:c>
      <x:c r="H1127" t="n">
        <x:f>Dashboard_Live_Data!V146</x:f>
        <x:v>426.9620418536346</x:v>
      </x:c>
    </x:row>
    <x:row r="1128">
      <x:c r="A1128" t="n">
        <x:f>Dashboard_Live_Data!O147</x:f>
        <x:v>12.480000000000004</x:v>
      </x:c>
      <x:c r="B1128" t="n">
        <x:f>Dashboard_Live_Data!P147</x:f>
        <x:v>2669.6672669463883</x:v>
      </x:c>
      <x:c r="C1128" t="n">
        <x:f>Dashboard_Live_Data!Q147</x:f>
        <x:v>83.19999999999999</x:v>
      </x:c>
      <x:c r="D1128" t="n">
        <x:f>Dashboard_Live_Data!R147</x:f>
        <x:v>338.8434808456722</x:v>
      </x:c>
      <x:c r="E1128" t="n">
        <x:f>Dashboard_Live_Data!S147</x:f>
        <x:v>166.39999999999998</x:v>
      </x:c>
      <x:c r="F1128" t="n">
        <x:f>Dashboard_Live_Data!T147</x:f>
        <x:v>512.0192850215063</x:v>
      </x:c>
      <x:c r="G1128" t="n">
        <x:f>Dashboard_Live_Data!U147</x:f>
        <x:v>166.39999999999998</x:v>
      </x:c>
      <x:c r="H1128" t="n">
        <x:f>Dashboard_Live_Data!V147</x:f>
        <x:v>448.1927293848065</x:v>
      </x:c>
    </x:row>
    <x:row r="1129">
      <x:c r="A1129" t="n">
        <x:f>Dashboard_Live_Data!O148</x:f>
        <x:v>13.02000000000001</x:v>
      </x:c>
      <x:c r="B1129" t="n">
        <x:f>Dashboard_Live_Data!P148</x:f>
        <x:v>2669.769337559519</x:v>
      </x:c>
      <x:c r="C1129" t="n">
        <x:f>Dashboard_Live_Data!Q148</x:f>
        <x:v>86.80000000000001</x:v>
      </x:c>
      <x:c r="D1129" t="n">
        <x:f>Dashboard_Live_Data!R148</x:f>
        <x:v>348.1574242938427</x:v>
      </x:c>
      <x:c r="E1129" t="n">
        <x:f>Dashboard_Live_Data!S148</x:f>
        <x:v>173.60000000000002</x:v>
      </x:c>
      <x:c r="F1129" t="n">
        <x:f>Dashboard_Live_Data!T148</x:f>
        <x:v>536.6438204392722</x:v>
      </x:c>
      <x:c r="G1129" t="n">
        <x:f>Dashboard_Live_Data!U148</x:f>
        <x:v>173.60000000000002</x:v>
      </x:c>
      <x:c r="H1129" t="n">
        <x:f>Dashboard_Live_Data!V148</x:f>
        <x:v>473.0724413353988</x:v>
      </x:c>
    </x:row>
    <x:row r="1130">
      <x:c r="A1130" t="n">
        <x:f>Dashboard_Live_Data!O149</x:f>
        <x:v>13.5</x:v>
      </x:c>
      <x:c r="B1130" t="n">
        <x:f>Dashboard_Live_Data!P149</x:f>
        <x:v>2669.863696170769</x:v>
      </x:c>
      <x:c r="C1130" t="n">
        <x:f>Dashboard_Live_Data!Q149</x:f>
        <x:v>90.00000000000006</x:v>
      </x:c>
      <x:c r="D1130" t="n">
        <x:f>Dashboard_Live_Data!R149</x:f>
        <x:v>356.76764757037364</x:v>
      </x:c>
      <x:c r="E1130" t="n">
        <x:f>Dashboard_Live_Data!S149</x:f>
        <x:v>180.0000000000001</x:v>
      </x:c>
      <x:c r="F1130" t="n">
        <x:f>Dashboard_Live_Data!T149</x:f>
        <x:v>559.4078354032513</x:v>
      </x:c>
      <x:c r="G1130" t="n">
        <x:f>Dashboard_Live_Data!U149</x:f>
        <x:v>180.0000000000001</x:v>
      </x:c>
      <x:c r="H1130" t="n">
        <x:f>Dashboard_Live_Data!V149</x:f>
        <x:v>496.0723528275021</x:v>
      </x:c>
    </x:row>
    <x:row r="1131">
      <x:c r="A1131" t="n">
        <x:f>Dashboard_Live_Data!O150</x:f>
        <x:v>13.980000000000004</x:v>
      </x:c>
      <x:c r="B1131" t="n">
        <x:f>Dashboard_Live_Data!P150</x:f>
        <x:v>2669.9614704783535</x:v>
      </x:c>
      <x:c r="C1131" t="n">
        <x:f>Dashboard_Live_Data!Q150</x:f>
        <x:v>93.20000000000005</x:v>
      </x:c>
      <x:c r="D1131" t="n">
        <x:f>Dashboard_Live_Data!R150</x:f>
        <x:v>365.68955313745766</x:v>
      </x:c>
      <x:c r="E1131" t="n">
        <x:f>Dashboard_Live_Data!S150</x:f>
        <x:v>186.4000000000001</x:v>
      </x:c>
      <x:c r="F1131" t="n">
        <x:f>Dashboard_Live_Data!T150</x:f>
        <x:v>582.9958871080077</x:v>
      </x:c>
      <x:c r="G1131" t="n">
        <x:f>Dashboard_Live_Data!U150</x:f>
        <x:v>186.4000000000001</x:v>
      </x:c>
      <x:c r="H1131" t="n">
        <x:f>Dashboard_Live_Data!V150</x:f>
        <x:v>519.9048403012197</x:v>
      </x:c>
    </x:row>
    <x:row r="1132">
      <x:c r="A1132" t="n">
        <x:f>Dashboard_Live_Data!O151</x:f>
        <x:v>14.519999999999996</x:v>
      </x:c>
      <x:c r="B1132" t="n">
        <x:f>Dashboard_Live_Data!P151</x:f>
        <x:v>2670.075549398911</x:v>
      </x:c>
      <x:c r="C1132" t="n">
        <x:f>Dashboard_Live_Data!Q151</x:f>
        <x:v>96.80000000000001</x:v>
      </x:c>
      <x:c r="D1132" t="n">
        <x:f>Dashboard_Live_Data!R151</x:f>
        <x:v>376.09925463835384</x:v>
      </x:c>
      <x:c r="E1132" t="n">
        <x:f>Dashboard_Live_Data!S151</x:f>
        <x:v>193.60000000000002</x:v>
      </x:c>
      <x:c r="F1132" t="n">
        <x:f>Dashboard_Live_Data!T151</x:f>
        <x:v>610.5174266925688</x:v>
      </x:c>
      <x:c r="G1132" t="n">
        <x:f>Dashboard_Live_Data!U151</x:f>
        <x:v>193.60000000000002</x:v>
      </x:c>
      <x:c r="H1132" t="n">
        <x:f>Dashboard_Live_Data!V151</x:f>
        <x:v>547.7115771871754</x:v>
      </x:c>
    </x:row>
    <x:row r="1133">
      <x:c r="A1133" t="n">
        <x:f>Dashboard_Live_Data!O152</x:f>
        <x:v>15</x:v>
      </x:c>
      <x:c r="B1133" t="n">
        <x:f>Dashboard_Live_Data!P152</x:f>
        <x:v>2670.180582061207</x:v>
      </x:c>
      <x:c r="C1133" t="n">
        <x:f>Dashboard_Live_Data!Q152</x:f>
        <x:v>100</x:v>
      </x:c>
      <x:c r="D1133" t="n">
        <x:f>Dashboard_Live_Data!R152</x:f>
        <x:v>385.68348507286333</x:v>
      </x:c>
      <x:c r="E1133" t="n">
        <x:f>Dashboard_Live_Data!S152</x:f>
        <x:v>200</x:v>
      </x:c>
      <x:c r="F1133" t="n">
        <x:f>Dashboard_Live_Data!T152</x:f>
        <x:v>635.8565564714773</x:v>
      </x:c>
      <x:c r="G1133" t="n">
        <x:f>Dashboard_Live_Data!U152</x:f>
        <x:v>200</x:v>
      </x:c>
      <x:c r="H1133" t="n">
        <x:f>Dashboard_Live_Data!V152</x:f>
        <x:v>573.3132886218239</x:v>
      </x:c>
    </x:row>
    <x:row r="1134">
      <x:c r="A1134" t="n">
        <x:f>Dashboard_Live_Data!O153</x:f>
        <x:v>15.480000000000004</x:v>
      </x:c>
      <x:c r="B1134" t="n">
        <x:f>Dashboard_Live_Data!P153</x:f>
        <x:v>2670.2890304198377</x:v>
      </x:c>
      <x:c r="C1134" t="n">
        <x:f>Dashboard_Live_Data!Q153</x:f>
        <x:v>103.19999999999999</x:v>
      </x:c>
      <x:c r="D1134" t="n">
        <x:f>Dashboard_Live_Data!R153</x:f>
        <x:v>395.5793977979259</x:v>
      </x:c>
      <x:c r="E1134" t="n">
        <x:f>Dashboard_Live_Data!S153</x:f>
        <x:v>206.39999999999998</x:v>
      </x:c>
      <x:c r="F1134" t="n">
        <x:f>Dashboard_Live_Data!T153</x:f>
        <x:v>662.0197229911632</x:v>
      </x:c>
      <x:c r="G1134" t="n">
        <x:f>Dashboard_Live_Data!U153</x:f>
        <x:v>206.39999999999998</x:v>
      </x:c>
      <x:c r="H1134" t="n">
        <x:f>Dashboard_Live_Data!V153</x:f>
        <x:v>599.7475760380869</x:v>
      </x:c>
    </x:row>
    <x:row r="1135">
      <x:c r="A1135" t="n">
        <x:f>Dashboard_Live_Data!O154</x:f>
        <x:v>16.019999999999996</x:v>
      </x:c>
      <x:c r="B1135" t="n">
        <x:f>Dashboard_Live_Data!P154</x:f>
        <x:v>2670.4151176478226</x:v>
      </x:c>
      <x:c r="C1135" t="n">
        <x:f>Dashboard_Live_Data!Q154</x:f>
        <x:v>106.79999999999995</x:v>
      </x:c>
      <x:c r="D1135" t="n">
        <x:f>Dashboard_Live_Data!R154</x:f>
        <x:v>407.08485735154807</x:v>
      </x:c>
      <x:c r="E1135" t="n">
        <x:f>Dashboard_Live_Data!S154</x:f>
        <x:v>213.5999999999999</x:v>
      </x:c>
      <x:c r="F1135" t="n">
        <x:f>Dashboard_Live_Data!T154</x:f>
        <x:v>692.4382667425206</x:v>
      </x:c>
      <x:c r="G1135" t="n">
        <x:f>Dashboard_Live_Data!U154</x:f>
        <x:v>213.5999999999999</x:v>
      </x:c>
      <x:c r="H1135" t="n">
        <x:f>Dashboard_Live_Data!V154</x:f>
        <x:v>630.4813378594064</x:v>
      </x:c>
    </x:row>
    <x:row r="1136">
      <x:c r="A1136" t="n">
        <x:f>Dashboard_Live_Data!O155</x:f>
        <x:v>16.5</x:v>
      </x:c>
      <x:c r="B1136" t="n">
        <x:f>Dashboard_Live_Data!P155</x:f>
        <x:v>2670.5308243611653</x:v>
      </x:c>
      <x:c r="C1136" t="n">
        <x:f>Dashboard_Live_Data!Q155</x:f>
        <x:v>109.99999999999994</x:v>
      </x:c>
      <x:c r="D1136" t="n">
        <x:f>Dashboard_Live_Data!R155</x:f>
        <x:v>417.6430949440361</x:v>
      </x:c>
      <x:c r="E1136" t="n">
        <x:f>Dashboard_Live_Data!S155</x:f>
        <x:v>219.9999999999999</x:v>
      </x:c>
      <x:c r="F1136" t="n">
        <x:f>Dashboard_Live_Data!T155</x:f>
        <x:v>720.3525113363587</x:v>
      </x:c>
      <x:c r="G1136" t="n">
        <x:f>Dashboard_Live_Data!U155</x:f>
        <x:v>219.9999999999999</x:v>
      </x:c>
      <x:c r="H1136" t="n">
        <x:f>Dashboard_Live_Data!V155</x:f>
        <x:v>658.6848492366003</x:v>
      </x:c>
    </x:row>
    <x:row r="1137">
      <x:c r="A1137" t="n">
        <x:f>Dashboard_Live_Data!O156</x:f>
        <x:v>16.97999999999999</x:v>
      </x:c>
      <x:c r="B1137" t="n">
        <x:f>Dashboard_Live_Data!P156</x:f>
        <x:v>2670.6499467708427</x:v>
      </x:c>
      <x:c r="C1137" t="n">
        <x:f>Dashboard_Live_Data!Q156</x:f>
        <x:v>113.19999999999993</x:v>
      </x:c>
      <x:c r="D1137" t="n">
        <x:f>Dashboard_Live_Data!R156</x:f>
        <x:v>428.51301482707726</x:v>
      </x:c>
      <x:c r="E1137" t="n">
        <x:f>Dashboard_Live_Data!S156</x:f>
        <x:v>226.39999999999986</x:v>
      </x:c>
      <x:c r="F1137" t="n">
        <x:f>Dashboard_Live_Data!T156</x:f>
        <x:v>749.0907926709743</x:v>
      </x:c>
      <x:c r="G1137" t="n">
        <x:f>Dashboard_Live_Data!U156</x:f>
        <x:v>226.39999999999986</x:v>
      </x:c>
      <x:c r="H1137" t="n">
        <x:f>Dashboard_Live_Data!V156</x:f>
        <x:v>687.7209365954091</x:v>
      </x:c>
    </x:row>
    <x:row r="1138">
      <x:c r="A1138" t="n">
        <x:f>Dashboard_Live_Data!O157</x:f>
        <x:v>17.519999999999996</x:v>
      </x:c>
      <x:c r="B1138" t="n">
        <x:f>Dashboard_Live_Data!P157</x:f>
        <x:v>2670.7880423062543</x:v>
      </x:c>
      <x:c r="C1138" t="n">
        <x:f>Dashboard_Live_Data!Q157</x:f>
        <x:v>116.80000000000007</x:v>
      </x:c>
      <x:c r="D1138" t="n">
        <x:f>Dashboard_Live_Data!R157</x:f>
        <x:v>441.11423243342597</x:v>
      </x:c>
      <x:c r="E1138" t="n">
        <x:f>Dashboard_Live_Data!S157</x:f>
        <x:v>233.60000000000014</x:v>
      </x:c>
      <x:c r="F1138" t="n">
        <x:f>Dashboard_Live_Data!T157</x:f>
        <x:v>782.4063405891291</x:v>
      </x:c>
      <x:c r="G1138" t="n">
        <x:f>Dashboard_Live_Data!U157</x:f>
        <x:v>233.60000000000014</x:v>
      </x:c>
      <x:c r="H1138" t="n">
        <x:f>Dashboard_Live_Data!V157</x:f>
        <x:v>721.3817233520938</x:v>
      </x:c>
    </x:row>
    <x:row r="1139">
      <x:c r="A1139" t="n">
        <x:f>Dashboard_Live_Data!O158</x:f>
        <x:v>18</x:v>
      </x:c>
      <x:c r="B1139" t="n">
        <x:f>Dashboard_Live_Data!P158</x:f>
        <x:v>2670.914423070643</x:v>
      </x:c>
      <x:c r="C1139" t="n">
        <x:f>Dashboard_Live_Data!Q158</x:f>
        <x:v>120</x:v>
      </x:c>
      <x:c r="D1139" t="n">
        <x:f>Dashboard_Live_Data!R158</x:f>
        <x:v>452.64647718389233</x:v>
      </x:c>
      <x:c r="E1139" t="n">
        <x:f>Dashboard_Live_Data!S158</x:f>
        <x:v>240</x:v>
      </x:c>
      <x:c r="F1139" t="n">
        <x:f>Dashboard_Live_Data!T158</x:f>
        <x:v>812.8956999978966</x:v>
      </x:c>
      <x:c r="G1139" t="n">
        <x:f>Dashboard_Live_Data!U158</x:f>
        <x:v>240</x:v>
      </x:c>
      <x:c r="H1139" t="n">
        <x:f>Dashboard_Live_Data!V158</x:f>
        <x:v>752.1870346718329</x:v>
      </x:c>
    </x:row>
    <x:row r="1140">
      <x:c r="A1140" t="n">
        <x:f>Dashboard_Live_Data!O159</x:f>
        <x:v>18.480000000000004</x:v>
      </x:c>
      <x:c r="B1140" t="n">
        <x:f>Dashboard_Live_Data!P159</x:f>
        <x:v>2671.0442195313667</x:v>
      </x:c>
      <x:c r="C1140" t="n">
        <x:f>Dashboard_Live_Data!Q159</x:f>
        <x:v>123.20000000000005</x:v>
      </x:c>
      <x:c r="D1140" t="n">
        <x:f>Dashboard_Live_Data!R159</x:f>
        <x:v>464.49040422491237</x:v>
      </x:c>
      <x:c r="E1140" t="n">
        <x:f>Dashboard_Live_Data!S159</x:f>
        <x:v>246.4000000000001</x:v>
      </x:c>
      <x:c r="F1140" t="n">
        <x:f>Dashboard_Live_Data!T159</x:f>
        <x:v>844.2090961474427</x:v>
      </x:c>
      <x:c r="G1140" t="n">
        <x:f>Dashboard_Live_Data!U159</x:f>
        <x:v>246.4000000000001</x:v>
      </x:c>
      <x:c r="H1140" t="n">
        <x:f>Dashboard_Live_Data!V159</x:f>
        <x:v>783.8249219731875</x:v>
      </x:c>
    </x:row>
    <x:row r="1141">
      <x:c r="A1141" t="n">
        <x:f>Dashboard_Live_Data!O160</x:f>
        <x:v>19.019999999999996</x:v>
      </x:c>
      <x:c r="B1141" t="n">
        <x:f>Dashboard_Live_Data!P160</x:f>
        <x:v>2671.194323374206</x:v>
      </x:c>
      <x:c r="C1141" t="n">
        <x:f>Dashboard_Live_Data!Q160</x:f>
        <x:v>126.79999999999995</x:v>
      </x:c>
      <x:c r="D1141" t="n">
        <x:f>Dashboard_Live_Data!R160</x:f>
        <x:v>478.18737988398607</x:v>
      </x:c>
      <x:c r="E1141" t="n">
        <x:f>Dashboard_Live_Data!S160</x:f>
        <x:v>253.5999999999999</x:v>
      </x:c>
      <x:c r="F1141" t="n">
        <x:f>Dashboard_Live_Data!T160</x:f>
        <x:v>880.421648232391</x:v>
      </x:c>
      <x:c r="G1141" t="n">
        <x:f>Dashboard_Live_Data!U160</x:f>
        <x:v>253.5999999999999</x:v>
      </x:c>
      <x:c r="H1141" t="n">
        <x:f>Dashboard_Live_Data!V160</x:f>
        <x:v>820.4127336652341</x:v>
      </x:c>
    </x:row>
    <x:row r="1142">
      <x:c r="A1142" t="n">
        <x:f>Dashboard_Live_Data!O161</x:f>
        <x:v>19.5</x:v>
      </x:c>
      <x:c r="B1142" t="n">
        <x:f>Dashboard_Live_Data!P161</x:f>
        <x:v>2671.331378189641</x:v>
      </x:c>
      <x:c r="C1142" t="n">
        <x:f>Dashboard_Live_Data!Q161</x:f>
        <x:v>130</x:v>
      </x:c>
      <x:c r="D1142" t="n">
        <x:f>Dashboard_Live_Data!R161</x:f>
        <x:v>490.6936317924316</x:v>
      </x:c>
      <x:c r="E1142" t="n">
        <x:f>Dashboard_Live_Data!S161</x:f>
        <x:v>260</x:v>
      </x:c>
      <x:c r="F1142" t="n">
        <x:f>Dashboard_Live_Data!T161</x:f>
        <x:v>913.4861224560894</x:v>
      </x:c>
      <x:c r="G1142" t="n">
        <x:f>Dashboard_Live_Data!U161</x:f>
        <x:v>260</x:v>
      </x:c>
      <x:c r="H1142" t="n">
        <x:f>Dashboard_Live_Data!V161</x:f>
        <x:v>853.8198449275199</x:v>
      </x:c>
    </x:row>
    <x:row r="1143">
      <x:c r="A1143" t="n">
        <x:f>Dashboard_Live_Data!O162</x:f>
        <x:v>19.980000000000004</x:v>
      </x:c>
      <x:c r="B1143" t="n">
        <x:f>Dashboard_Live_Data!P162</x:f>
        <x:v>2671.4718487014106</x:v>
      </x:c>
      <x:c r="C1143" t="n">
        <x:f>Dashboard_Live_Data!Q162</x:f>
        <x:v>133.19999999999993</x:v>
      </x:c>
      <x:c r="D1143" t="n">
        <x:f>Dashboard_Live_Data!R162</x:f>
        <x:v>503.51156599142973</x:v>
      </x:c>
      <x:c r="E1143" t="n">
        <x:f>Dashboard_Live_Data!S162</x:f>
        <x:v>266.39999999999986</x:v>
      </x:c>
      <x:c r="F1143" t="n">
        <x:f>Dashboard_Live_Data!T162</x:f>
        <x:v>947.3746334205639</x:v>
      </x:c>
      <x:c r="G1143" t="n">
        <x:f>Dashboard_Live_Data!U162</x:f>
        <x:v>266.39999999999986</x:v>
      </x:c>
      <x:c r="H1143" t="n">
        <x:f>Dashboard_Live_Data!V162</x:f>
        <x:v>888.059532171419</x:v>
      </x:c>
    </x:row>
    <x:row r="1144">
      <x:c r="A1144" t="n">
        <x:f>Dashboard_Live_Data!O163</x:f>
        <x:v>20.52000000000001</x:v>
      </x:c>
      <x:c r="B1144" t="n">
        <x:f>Dashboard_Live_Data!P163</x:f>
        <x:v>2671.633960851677</x:v>
      </x:c>
      <x:c r="C1144" t="n">
        <x:f>Dashboard_Live_Data!Q163</x:f>
        <x:v>136.80000000000007</x:v>
      </x:c>
      <x:c r="D1144" t="n">
        <x:f>Dashboard_Live_Data!R163</x:f>
        <x:v>518.3042997032304</x:v>
      </x:c>
      <x:c r="E1144" t="n">
        <x:f>Dashboard_Live_Data!S163</x:f>
        <x:v>273.60000000000014</x:v>
      </x:c>
      <x:c r="F1144" t="n">
        <x:f>Dashboard_Live_Data!T163</x:f>
        <x:v>986.484189672311</x:v>
      </x:c>
      <x:c r="G1144" t="n">
        <x:f>Dashboard_Live_Data!U163</x:f>
        <x:v>273.60000000000014</x:v>
      </x:c>
      <x:c r="H1144" t="n">
        <x:f>Dashboard_Live_Data!V163</x:f>
        <x:v>927.5743687988318</x:v>
      </x:c>
    </x:row>
    <x:row r="1145">
      <x:c r="A1145" t="n">
        <x:f>Dashboard_Live_Data!O164</x:f>
        <x:v>21</x:v>
      </x:c>
      <x:c r="B1145" t="n">
        <x:f>Dashboard_Live_Data!P164</x:f>
        <x:v>2671.7816897181583</x:v>
      </x:c>
      <x:c r="C1145" t="n">
        <x:f>Dashboard_Live_Data!Q164</x:f>
        <x:v>140</x:v>
      </x:c>
      <x:c r="D1145" t="n">
        <x:f>Dashboard_Live_Data!R164</x:f>
        <x:v>531.7845587696538</x:v>
      </x:c>
      <x:c r="E1145" t="n">
        <x:f>Dashboard_Live_Data!S164</x:f>
        <x:v>280</x:v>
      </x:c>
      <x:c r="F1145" t="n">
        <x:f>Dashboard_Live_Data!T164</x:f>
        <x:v>1022.1237787109374</x:v>
      </x:c>
      <x:c r="G1145" t="n">
        <x:f>Dashboard_Live_Data!U164</x:f>
        <x:v>280</x:v>
      </x:c>
      <x:c r="H1145" t="n">
        <x:f>Dashboard_Live_Data!V164</x:f>
        <x:v>963.5832800036617</x:v>
      </x:c>
    </x:row>
    <x:row r="1146">
      <x:c r="A1146" t="n">
        <x:f>Dashboard_Live_Data!O165</x:f>
        <x:v>21.480000000000004</x:v>
      </x:c>
      <x:c r="B1146" t="n">
        <x:f>Dashboard_Live_Data!P165</x:f>
        <x:v>2671.932834280975</x:v>
      </x:c>
      <x:c r="C1146" t="n">
        <x:f>Dashboard_Live_Data!Q165</x:f>
        <x:v>143.20000000000005</x:v>
      </x:c>
      <x:c r="D1146" t="n">
        <x:f>Dashboard_Live_Data!R165</x:f>
        <x:v>545.5765001266311</x:v>
      </x:c>
      <x:c r="E1146" t="n">
        <x:f>Dashboard_Live_Data!S165</x:f>
        <x:v>286.4000000000001</x:v>
      </x:c>
      <x:c r="F1146" t="n">
        <x:f>Dashboard_Live_Data!T165</x:f>
        <x:v>1058.5874044903426</x:v>
      </x:c>
      <x:c r="G1146" t="n">
        <x:f>Dashboard_Live_Data!U165</x:f>
        <x:v>286.4000000000001</x:v>
      </x:c>
      <x:c r="H1146" t="n">
        <x:f>Dashboard_Live_Data!V165</x:f>
        <x:v>1000.4247671901077</x:v>
      </x:c>
    </x:row>
    <x:row r="1147">
      <x:c r="A1147" t="n">
        <x:f>Dashboard_Live_Data!O166</x:f>
        <x:v>22.019999999999996</x:v>
      </x:c>
      <x:c r="B1147" t="n">
        <x:f>Dashboard_Live_Data!P166</x:f>
        <x:v>2672.106954738668</x:v>
      </x:c>
      <x:c r="C1147" t="n">
        <x:f>Dashboard_Live_Data!Q166</x:f>
        <x:v>146.79999999999995</x:v>
      </x:c>
      <x:c r="D1147" t="n">
        <x:f>Dashboard_Live_Data!R166</x:f>
        <x:v>561.4649918911567</x:v>
      </x:c>
      <x:c r="E1147" t="n">
        <x:f>Dashboard_Live_Data!S166</x:f>
        <x:v>293.5999999999999</x:v>
      </x:c>
      <x:c r="F1147" t="n">
        <x:f>Dashboard_Live_Data!T166</x:f>
        <x:v>1100.5939649088832</x:v>
      </x:c>
      <x:c r="G1147" t="n">
        <x:f>Dashboard_Live_Data!U166</x:f>
        <x:v>293.5999999999999</x:v>
      </x:c>
      <x:c r="H1147" t="n">
        <x:f>Dashboard_Live_Data!V166</x:f>
        <x:v>1042.8666287528815</x:v>
      </x:c>
    </x:row>
    <x:row r="1148">
      <x:c r="A1148" t="n">
        <x:f>Dashboard_Live_Data!O167</x:f>
        <x:v>22.5</x:v>
      </x:c>
      <x:c r="B1148" t="n">
        <x:f>Dashboard_Live_Data!P167</x:f>
        <x:v>2672.2653576561956</x:v>
      </x:c>
      <x:c r="C1148" t="n">
        <x:f>Dashboard_Live_Data!Q167</x:f>
        <x:v>150</x:v>
      </x:c>
      <x:c r="D1148" t="n">
        <x:f>Dashboard_Live_Data!R167</x:f>
        <x:v>575.9192581155594</x:v>
      </x:c>
      <x:c r="E1148" t="n">
        <x:f>Dashboard_Live_Data!S167</x:f>
        <x:v>300</x:v>
      </x:c>
      <x:c r="F1148" t="n">
        <x:f>Dashboard_Live_Data!T167</x:f>
        <x:v>1138.808668762441</x:v>
      </x:c>
      <x:c r="G1148" t="n">
        <x:f>Dashboard_Live_Data!U167</x:f>
        <x:v>300</x:v>
      </x:c>
      <x:c r="H1148" t="n">
        <x:f>Dashboard_Live_Data!V167</x:f>
        <x:v>1081.4773399002586</x:v>
      </x:c>
    </x:row>
    <x:row r="1149">
      <x:c r="A1149" t="n">
        <x:f>Dashboard_Live_Data!O168</x:f>
        <x:v>22.980000000000004</x:v>
      </x:c>
      <x:c r="B1149" t="n">
        <x:f>Dashboard_Live_Data!P168</x:f>
        <x:v>2672.427176270058</x:v>
      </x:c>
      <x:c r="C1149" t="n">
        <x:f>Dashboard_Live_Data!Q168</x:f>
        <x:v>153.20000000000005</x:v>
      </x:c>
      <x:c r="D1149" t="n">
        <x:f>Dashboard_Live_Data!R168</x:f>
        <x:v>590.6852066305153</x:v>
      </x:c>
      <x:c r="E1149" t="n">
        <x:f>Dashboard_Live_Data!S168</x:f>
        <x:v>306.4000000000001</x:v>
      </x:c>
      <x:c r="F1149" t="n">
        <x:f>Dashboard_Live_Data!T168</x:f>
        <x:v>1177.8474093567763</x:v>
      </x:c>
      <x:c r="G1149" t="n">
        <x:f>Dashboard_Live_Data!U168</x:f>
        <x:v>306.4000000000001</x:v>
      </x:c>
      <x:c r="H1149" t="n">
        <x:f>Dashboard_Live_Data!V168</x:f>
        <x:v>1120.9206270292505</x:v>
      </x:c>
    </x:row>
    <x:row r="1150">
      <x:c r="A1150" t="n">
        <x:f>Dashboard_Live_Data!O169</x:f>
        <x:v>23.519999999999996</x:v>
      </x:c>
      <x:c r="B1150" t="n">
        <x:f>Dashboard_Live_Data!P169</x:f>
        <x:v>2672.6133050351787</x:v>
      </x:c>
      <x:c r="C1150" t="n">
        <x:f>Dashboard_Live_Data!Q169</x:f>
        <x:v>156.79999999999995</x:v>
      </x:c>
      <x:c r="D1150" t="n">
        <x:f>Dashboard_Live_Data!R169</x:f>
        <x:v>607.6694564477666</x:v>
      </x:c>
      <x:c r="E1150" t="n">
        <x:f>Dashboard_Live_Data!S169</x:f>
        <x:v>313.5999999999999</x:v>
      </x:c>
      <x:c r="F1150" t="n">
        <x:f>Dashboard_Live_Data!T169</x:f>
        <x:v>1222.7509739421123</x:v>
      </x:c>
      <x:c r="G1150" t="n">
        <x:f>Dashboard_Live_Data!U169</x:f>
        <x:v>313.5999999999999</x:v>
      </x:c>
      <x:c r="H1150" t="n">
        <x:f>Dashboard_Live_Data!V169</x:f>
        <x:v>1166.2895135273877</x:v>
      </x:c>
    </x:row>
    <x:row r="1151">
      <x:c r="A1151" t="n">
        <x:f>Dashboard_Live_Data!O170</x:f>
        <x:v>24</x:v>
      </x:c>
      <x:c r="B1151" t="n">
        <x:f>Dashboard_Live_Data!P170</x:f>
        <x:v>2672.782382003753</x:v>
      </x:c>
      <x:c r="C1151" t="n">
        <x:f>Dashboard_Live_Data!Q170</x:f>
        <x:v>160</x:v>
      </x:c>
      <x:c r="D1151" t="n">
        <x:f>Dashboard_Live_Data!R170</x:f>
        <x:v>623.097729830148</x:v>
      </x:c>
      <x:c r="E1151" t="n">
        <x:f>Dashboard_Live_Data!S170</x:f>
        <x:v>320</x:v>
      </x:c>
      <x:c r="F1151" t="n">
        <x:f>Dashboard_Live_Data!T170</x:f>
        <x:v>1263.5407926106002</x:v>
      </x:c>
      <x:c r="G1151" t="n">
        <x:f>Dashboard_Live_Data!U170</x:f>
        <x:v>320</x:v>
      </x:c>
      <x:c r="H1151" t="n">
        <x:f>Dashboard_Live_Data!V170</x:f>
        <x:v>1207.5020246173106</x:v>
      </x:c>
    </x:row>
    <x:row r="1152">
      <x:c r="A1152" t="n">
        <x:f>Dashboard_Live_Data!O171</x:f>
        <x:v>24.47999999999999</x:v>
      </x:c>
      <x:c r="B1152" t="n">
        <x:f>Dashboard_Live_Data!P171</x:f>
        <x:v>2672.954874668662</x:v>
      </x:c>
      <x:c r="C1152" t="n">
        <x:f>Dashboard_Live_Data!Q171</x:f>
        <x:v>163.19999999999993</x:v>
      </x:c>
      <x:c r="D1152" t="n">
        <x:f>Dashboard_Live_Data!R171</x:f>
        <x:v>638.8376855030817</x:v>
      </x:c>
      <x:c r="E1152" t="n">
        <x:f>Dashboard_Live_Data!S171</x:f>
        <x:v>326.39999999999986</x:v>
      </x:c>
      <x:c r="F1152" t="n">
        <x:f>Dashboard_Live_Data!T171</x:f>
        <x:v>1305.1546480198635</x:v>
      </x:c>
      <x:c r="G1152" t="n">
        <x:f>Dashboard_Live_Data!U171</x:f>
        <x:v>326.39999999999986</x:v>
      </x:c>
      <x:c r="H1152" t="n">
        <x:f>Dashboard_Live_Data!V171</x:f>
        <x:v>1249.5471116888461</x:v>
      </x:c>
    </x:row>
    <x:row r="1153">
      <x:c r="A1153" t="n">
        <x:f>Dashboard_Live_Data!O172</x:f>
        <x:v>25.019999999999996</x:v>
      </x:c>
      <x:c r="B1153" t="n">
        <x:f>Dashboard_Live_Data!P172</x:f>
        <x:v>2673.1530117412094</x:v>
      </x:c>
      <x:c r="C1153" t="n">
        <x:f>Dashboard_Live_Data!Q172</x:f>
        <x:v>166.80000000000007</x:v>
      </x:c>
      <x:c r="D1153" t="n">
        <x:f>Dashboard_Live_Data!R172</x:f>
        <x:v>656.9176933730604</x:v>
      </x:c>
      <x:c r="E1153" t="n">
        <x:f>Dashboard_Live_Data!S172</x:f>
        <x:v>333.60000000000014</x:v>
      </x:c>
      <x:c r="F1153" t="n">
        <x:f>Dashboard_Live_Data!T172</x:f>
        <x:v>1352.9552167719985</x:v>
      </x:c>
      <x:c r="G1153" t="n">
        <x:f>Dashboard_Live_Data!U172</x:f>
        <x:v>333.60000000000014</x:v>
      </x:c>
      <x:c r="H1153" t="n">
        <x:f>Dashboard_Live_Data!V172</x:f>
        <x:v>1297.8430231223504</x:v>
      </x:c>
    </x:row>
    <x:row r="1154">
      <x:c r="A1154" t="n">
        <x:f>Dashboard_Live_Data!O173</x:f>
        <x:v>25.5</x:v>
      </x:c>
      <x:c r="B1154" t="n">
        <x:f>Dashboard_Live_Data!P173</x:f>
        <x:v>2673.3327627608296</x:v>
      </x:c>
      <x:c r="C1154" t="n">
        <x:f>Dashboard_Live_Data!Q173</x:f>
        <x:v>170</x:v>
      </x:c>
      <x:c r="D1154" t="n">
        <x:f>Dashboard_Live_Data!R173</x:f>
        <x:v>673.3199739134197</x:v>
      </x:c>
      <x:c r="E1154" t="n">
        <x:f>Dashboard_Live_Data!S173</x:f>
        <x:v>340</x:v>
      </x:c>
      <x:c r="F1154" t="n">
        <x:f>Dashboard_Live_Data!T173</x:f>
        <x:v>1396.3201502554143</x:v>
      </x:c>
      <x:c r="G1154" t="n">
        <x:f>Dashboard_Live_Data!U173</x:f>
        <x:v>340</x:v>
      </x:c>
      <x:c r="H1154" t="n">
        <x:f>Dashboard_Live_Data!V173</x:f>
        <x:v>1341.6573341548171</x:v>
      </x:c>
    </x:row>
    <x:row r="1155">
      <x:c r="A1155" t="n">
        <x:f>Dashboard_Live_Data!O174</x:f>
        <x:v>25.980000000000004</x:v>
      </x:c>
      <x:c r="B1155" t="n">
        <x:f>Dashboard_Live_Data!P174</x:f>
        <x:v>2673.515929476785</x:v>
      </x:c>
      <x:c r="C1155" t="n">
        <x:f>Dashboard_Live_Data!Q174</x:f>
        <x:v>173.20000000000005</x:v>
      </x:c>
      <x:c r="D1155" t="n">
        <x:f>Dashboard_Live_Data!R174</x:f>
        <x:v>690.0339367443329</x:v>
      </x:c>
      <x:c r="E1155" t="n">
        <x:f>Dashboard_Live_Data!S174</x:f>
        <x:v>346.4000000000001</x:v>
      </x:c>
      <x:c r="F1155" t="n">
        <x:f>Dashboard_Live_Data!T174</x:f>
        <x:v>1440.5091204796092</x:v>
      </x:c>
      <x:c r="G1155" t="n">
        <x:f>Dashboard_Live_Data!U174</x:f>
        <x:v>346.4000000000001</x:v>
      </x:c>
      <x:c r="H1155" t="n">
        <x:f>Dashboard_Live_Data!V174</x:f>
        <x:v>1386.3042211689</x:v>
      </x:c>
    </x:row>
    <x:row r="1156">
      <x:c r="A1156" t="n">
        <x:f>Dashboard_Live_Data!O175</x:f>
        <x:v>26.519999999999996</x:v>
      </x:c>
      <x:c r="B1156" t="n">
        <x:f>Dashboard_Live_Data!P175</x:f>
        <x:v>2673.7260748567596</x:v>
      </x:c>
      <x:c r="C1156" t="n">
        <x:f>Dashboard_Live_Data!Q175</x:f>
        <x:v>176.79999999999995</x:v>
      </x:c>
      <x:c r="D1156" t="n">
        <x:f>Dashboard_Live_Data!R175</x:f>
        <x:v>709.2097026670361</x:v>
      </x:c>
      <x:c r="E1156" t="n">
        <x:f>Dashboard_Live_Data!S175</x:f>
        <x:v>353.5999999999999</x:v>
      </x:c>
      <x:c r="F1156" t="n">
        <x:f>Dashboard_Live_Data!T175</x:f>
        <x:v>1491.206693398537</x:v>
      </x:c>
      <x:c r="G1156" t="n">
        <x:f>Dashboard_Live_Data!U175</x:f>
        <x:v>353.5999999999999</x:v>
      </x:c>
      <x:c r="H1156" t="n">
        <x:f>Dashboard_Live_Data!V175</x:f>
        <x:v>1437.527157537765</x:v>
      </x:c>
    </x:row>
    <x:row r="1157">
      <x:c r="A1157" t="n">
        <x:f>Dashboard_Live_Data!O176</x:f>
        <x:v>27</x:v>
      </x:c>
      <x:c r="B1157" t="n">
        <x:f>Dashboard_Live_Data!P176</x:f>
        <x:v>2673.9164999274262</x:v>
      </x:c>
      <x:c r="C1157" t="n">
        <x:f>Dashboard_Live_Data!Q176</x:f>
        <x:v>180</x:v>
      </x:c>
      <x:c r="D1157" t="n">
        <x:f>Dashboard_Live_Data!R176</x:f>
        <x:v>726.5859903653748</x:v>
      </x:c>
      <x:c r="E1157" t="n">
        <x:f>Dashboard_Live_Data!S176</x:f>
        <x:v>360</x:v>
      </x:c>
      <x:c r="F1157" t="n">
        <x:f>Dashboard_Live_Data!T176</x:f>
        <x:v>1537.1467416968844</x:v>
      </x:c>
      <x:c r="G1157" t="n">
        <x:f>Dashboard_Live_Data!U176</x:f>
        <x:v>360</x:v>
      </x:c>
      <x:c r="H1157" t="n">
        <x:f>Dashboard_Live_Data!V176</x:f>
        <x:v>1483.943268512779</x:v>
      </x:c>
    </x:row>
    <x:row r="1158">
      <x:c r="A1158" t="n">
        <x:f>Dashboard_Live_Data!O177</x:f>
        <x:v>27.480000000000004</x:v>
      </x:c>
      <x:c r="B1158" t="n">
        <x:f>Dashboard_Live_Data!P177</x:f>
        <x:v>2674.1103406944285</x:v>
      </x:c>
      <x:c r="C1158" t="n">
        <x:f>Dashboard_Live_Data!Q177</x:f>
        <x:v>183.19999999999993</x:v>
      </x:c>
      <x:c r="D1158" t="n">
        <x:f>Dashboard_Live_Data!R177</x:f>
        <x:v>744.2739603542658</x:v>
      </x:c>
      <x:c r="E1158" t="n">
        <x:f>Dashboard_Live_Data!S177</x:f>
        <x:v>366.39999999999986</x:v>
      </x:c>
      <x:c r="F1158" t="n">
        <x:f>Dashboard_Live_Data!T177</x:f>
        <x:v>1583.9108267360073</x:v>
      </x:c>
      <x:c r="G1158" t="n">
        <x:f>Dashboard_Live_Data!U177</x:f>
        <x:v>366.39999999999986</x:v>
      </x:c>
      <x:c r="H1158" t="n">
        <x:f>Dashboard_Live_Data!V177</x:f>
        <x:v>1531.191955469406</x:v>
      </x:c>
    </x:row>
    <x:row r="1159">
      <x:c r="A1159" t="n">
        <x:f>Dashboard_Live_Data!O178</x:f>
        <x:v>28.02000000000001</x:v>
      </x:c>
      <x:c r="B1159" t="n">
        <x:f>Dashboard_Live_Data!P178</x:f>
        <x:v>2674.33249438183</x:v>
      </x:c>
      <x:c r="C1159" t="n">
        <x:f>Dashboard_Live_Data!Q178</x:f>
        <x:v>186.80000000000007</x:v>
      </x:c>
      <x:c r="D1159" t="n">
        <x:f>Dashboard_Live_Data!R178</x:f>
        <x:v>764.5454843296961</x:v>
      </x:c>
      <x:c r="E1159" t="n">
        <x:f>Dashboard_Live_Data!S178</x:f>
        <x:v>373.60000000000014</x:v>
      </x:c>
      <x:c r="F1159" t="n">
        <x:f>Dashboard_Live_Data!T178</x:f>
        <x:v>1637.5054038217343</x:v>
      </x:c>
      <x:c r="G1159" t="n">
        <x:f>Dashboard_Live_Data!U178</x:f>
        <x:v>373.60000000000014</x:v>
      </x:c>
      <x:c r="H1159" t="n">
        <x:f>Dashboard_Live_Data!V178</x:f>
        <x:v>1585.341916773638</x:v>
      </x:c>
    </x:row>
    <x:row r="1160">
      <x:c r="A1160" t="n">
        <x:f>Dashboard_Live_Data!O179</x:f>
        <x:v>28.5</x:v>
      </x:c>
      <x:c r="B1160" t="n">
        <x:f>Dashboard_Live_Data!P179</x:f>
        <x:v>2674.5335935035428</x:v>
      </x:c>
      <x:c r="C1160" t="n">
        <x:f>Dashboard_Live_Data!Q179</x:f>
        <x:v>190</x:v>
      </x:c>
      <x:c r="D1160" t="n">
        <x:f>Dashboard_Live_Data!R179</x:f>
        <x:v>782.8957791860126</x:v>
      </x:c>
      <x:c r="E1160" t="n">
        <x:f>Dashboard_Live_Data!S179</x:f>
        <x:v>380</x:v>
      </x:c>
      <x:c r="F1160" t="n">
        <x:f>Dashboard_Live_Data!T179</x:f>
        <x:v>1686.0205669350094</x:v>
      </x:c>
      <x:c r="G1160" t="n">
        <x:f>Dashboard_Live_Data!U179</x:f>
        <x:v>380</x:v>
      </x:c>
      <x:c r="H1160" t="n">
        <x:f>Dashboard_Live_Data!V179</x:f>
        <x:v>1634.3598276911957</x:v>
      </x:c>
    </x:row>
    <x:row r="1161">
      <x:c r="A1161" t="n">
        <x:f>Dashboard_Live_Data!O180</x:f>
        <x:v>28.980000000000004</x:v>
      </x:c>
      <x:c r="B1161" t="n">
        <x:f>Dashboard_Live_Data!P180</x:f>
        <x:v>2674.738108321591</x:v>
      </x:c>
      <x:c r="C1161" t="n">
        <x:f>Dashboard_Live_Data!Q180</x:f>
        <x:v>193.20000000000005</x:v>
      </x:c>
      <x:c r="D1161" t="n">
        <x:f>Dashboard_Live_Data!R180</x:f>
        <x:v>801.557756332883</x:v>
      </x:c>
      <x:c r="E1161" t="n">
        <x:f>Dashboard_Live_Data!S180</x:f>
        <x:v>386.4000000000001</x:v>
      </x:c>
      <x:c r="F1161" t="n">
        <x:f>Dashboard_Live_Data!T180</x:f>
        <x:v>1735.3597667890638</x:v>
      </x:c>
      <x:c r="G1161" t="n">
        <x:f>Dashboard_Live_Data!U180</x:f>
        <x:v>386.4000000000001</x:v>
      </x:c>
      <x:c r="H1161" t="n">
        <x:f>Dashboard_Live_Data!V180</x:f>
        <x:v>1684.2103145903695</x:v>
      </x:c>
    </x:row>
    <x:row r="1162">
      <x:c r="A1162" t="n">
        <x:f>Dashboard_Live_Data!O181</x:f>
        <x:v>29.519999999999996</x:v>
      </x:c>
      <x:c r="B1162" t="n">
        <x:f>Dashboard_Live_Data!P181</x:f>
        <x:v>2674.9722703164202</x:v>
      </x:c>
      <x:c r="C1162" t="n">
        <x:f>Dashboard_Live_Data!Q181</x:f>
        <x:v>196.79999999999995</x:v>
      </x:c>
      <x:c r="D1162" t="n">
        <x:f>Dashboard_Live_Data!R181</x:f>
        <x:v>822.9250383610382</x:v>
      </x:c>
      <x:c r="E1162" t="n">
        <x:f>Dashboard_Live_Data!S181</x:f>
        <x:v>393.5999999999999</x:v>
      </x:c>
      <x:c r="F1162" t="n">
        <x:f>Dashboard_Live_Data!T181</x:f>
        <x:v>1791.8513480415836</x:v>
      </x:c>
      <x:c r="G1162" t="n">
        <x:f>Dashboard_Live_Data!U181</x:f>
        <x:v>393.5999999999999</x:v>
      </x:c>
      <x:c r="H1162" t="n">
        <x:f>Dashboard_Live_Data!V181</x:f>
        <x:v>1741.2873008299623</x:v>
      </x:c>
    </x:row>
    <x:row r="1163">
      <x:c r="A1163" t="n">
        <x:f>Dashboard_Live_Data!O182</x:f>
        <x:v>30</x:v>
      </x:c>
      <x:c r="B1163" t="n">
        <x:f>Dashboard_Live_Data!P182</x:f>
        <x:v>2675.184043489179</x:v>
      </x:c>
      <x:c r="C1163" t="n">
        <x:f>Dashboard_Live_Data!Q182</x:f>
        <x:v>200</x:v>
      </x:c>
      <x:c r="D1163" t="n">
        <x:f>Dashboard_Live_Data!R182</x:f>
        <x:v>842.2493403753339</x:v>
      </x:c>
      <x:c r="E1163" t="n">
        <x:f>Dashboard_Live_Data!S182</x:f>
        <x:v>400</x:v>
      </x:c>
      <x:c r="F1163" t="n">
        <x:f>Dashboard_Live_Data!T182</x:f>
        <x:v>1842.9416259697903</x:v>
      </x:c>
      <x:c r="G1163" t="n">
        <x:f>Dashboard_Live_Data!U182</x:f>
        <x:v>400</x:v>
      </x:c>
      <x:c r="H1163" t="n">
        <x:f>Dashboard_Live_Data!V182</x:f>
        <x:v>1792.9070116900673</x:v>
      </x:c>
    </x:row>
    <x:row r="1164">
      <x:c r="A1164" t="n">
        <x:f>Dashboard_Live_Data!O183</x:f>
        <x:v>30.480000000000004</x:v>
      </x:c>
      <x:c r="B1164" t="n">
        <x:f>Dashboard_Live_Data!P183</x:f>
        <x:v>2675.3992323582734</x:v>
      </x:c>
      <x:c r="C1164" t="n">
        <x:f>Dashboard_Live_Data!Q183</x:f>
        <x:v>203.20000000000005</x:v>
      </x:c>
      <x:c r="D1164" t="n">
        <x:f>Dashboard_Live_Data!R183</x:f>
        <x:v>861.8853246801829</x:v>
      </x:c>
      <x:c r="E1164" t="n">
        <x:f>Dashboard_Live_Data!S183</x:f>
        <x:v>406.4000000000001</x:v>
      </x:c>
      <x:c r="F1164" t="n">
        <x:f>Dashboard_Live_Data!T183</x:f>
        <x:v>1894.8559406387742</x:v>
      </x:c>
      <x:c r="G1164" t="n">
        <x:f>Dashboard_Live_Data!U183</x:f>
        <x:v>406.4000000000001</x:v>
      </x:c>
      <x:c r="H1164" t="n">
        <x:f>Dashboard_Live_Data!V183</x:f>
        <x:v>1845.3592985317866</x:v>
      </x:c>
    </x:row>
    <x:row r="1165">
      <x:c r="A1165" t="n">
        <x:f>Dashboard_Live_Data!O184</x:f>
        <x:v>31.019999999999996</x:v>
      </x:c>
      <x:c r="B1165" t="n">
        <x:f>Dashboard_Live_Data!P184</x:f>
        <x:v>2675.6454026605297</x:v>
      </x:c>
      <x:c r="C1165" t="n">
        <x:f>Dashboard_Live_Data!Q184</x:f>
        <x:v>206.79999999999995</x:v>
      </x:c>
      <x:c r="D1165" t="n">
        <x:f>Dashboard_Live_Data!R184</x:f>
        <x:v>884.3483647610641</x:v>
      </x:c>
      <x:c r="E1165" t="n">
        <x:f>Dashboard_Live_Data!S184</x:f>
        <x:v>413.5999999999999</x:v>
      </x:c>
      <x:c r="F1165" t="n">
        <x:f>Dashboard_Live_Data!T184</x:f>
        <x:v>1954.2445260580898</x:v>
      </x:c>
      <x:c r="G1165" t="n">
        <x:f>Dashboard_Live_Data!U184</x:f>
        <x:v>413.5999999999999</x:v>
      </x:c>
      <x:c r="H1165" t="n">
        <x:f>Dashboard_Live_Data!V184</x:f>
        <x:v>1905.3633097067434</x:v>
      </x:c>
    </x:row>
    <x:row r="1166">
      <x:c r="A1166" t="n">
        <x:f>Dashboard_Live_Data!O185</x:f>
        <x:v>31.5</x:v>
      </x:c>
      <x:c r="B1166" t="n">
        <x:f>Dashboard_Live_Data!P185</x:f>
        <x:v>2675.867849884336</x:v>
      </x:c>
      <x:c r="C1166" t="n">
        <x:f>Dashboard_Live_Data!Q185</x:f>
        <x:v>210</x:v>
      </x:c>
      <x:c r="D1166" t="n">
        <x:f>Dashboard_Live_Data!R185</x:f>
        <x:v>904.6466739333382</x:v>
      </x:c>
      <x:c r="E1166" t="n">
        <x:f>Dashboard_Live_Data!S185</x:f>
        <x:v>420</x:v>
      </x:c>
      <x:c r="F1166" t="n">
        <x:f>Dashboard_Live_Data!T185</x:f>
        <x:v>2007.9099188012265</x:v>
      </x:c>
      <x:c r="G1166" t="n">
        <x:f>Dashboard_Live_Data!U185</x:f>
        <x:v>420</x:v>
      </x:c>
      <x:c r="H1166" t="n">
        <x:f>Dashboard_Live_Data!V185</x:f>
        <x:v>1959.584820509394</x:v>
      </x:c>
    </x:row>
    <x:row r="1167">
      <x:c r="A1167" t="n">
        <x:f>Dashboard_Live_Data!O186</x:f>
        <x:v>31.97999999999999</x:v>
      </x:c>
      <x:c r="B1167" t="n">
        <x:f>Dashboard_Live_Data!P186</x:f>
        <x:v>2676.093712804476</x:v>
      </x:c>
      <x:c r="C1167" t="n">
        <x:f>Dashboard_Live_Data!Q186</x:f>
        <x:v>213.19999999999993</x:v>
      </x:c>
      <x:c r="D1167" t="n">
        <x:f>Dashboard_Live_Data!R186</x:f>
        <x:v>925.256665396165</x:v>
      </x:c>
      <x:c r="E1167" t="n">
        <x:f>Dashboard_Live_Data!S186</x:f>
        <x:v>426.39999999999986</x:v>
      </x:c>
      <x:c r="F1167" t="n">
        <x:f>Dashboard_Live_Data!T186</x:f>
        <x:v>2062.3993482851374</x:v>
      </x:c>
      <x:c r="G1167" t="n">
        <x:f>Dashboard_Live_Data!U186</x:f>
        <x:v>426.39999999999986</x:v>
      </x:c>
      <x:c r="H1167" t="n">
        <x:f>Dashboard_Live_Data!V186</x:f>
        <x:v>2014.638907293657</x:v>
      </x:c>
    </x:row>
    <x:row r="1168">
      <x:c r="A1168" t="n">
        <x:f>Dashboard_Live_Data!O187</x:f>
        <x:v>32.519999999999996</x:v>
      </x:c>
      <x:c r="B1168" t="n">
        <x:f>Dashboard_Live_Data!P187</x:f>
        <x:v>2676.3518914141596</x:v>
      </x:c>
      <x:c r="C1168" t="n">
        <x:f>Dashboard_Live_Data!Q187</x:f>
        <x:v>216.80000000000007</x:v>
      </x:c>
      <x:c r="D1168" t="n">
        <x:f>Dashboard_Live_Data!R187</x:f>
        <x:v>948.8154635297733</x:v>
      </x:c>
      <x:c r="E1168" t="n">
        <x:f>Dashboard_Live_Data!S187</x:f>
        <x:v>433.60000000000014</x:v>
      </x:c>
      <x:c r="F1168" t="n">
        <x:f>Dashboard_Live_Data!T187</x:f>
        <x:v>2124.684937871253</x:v>
      </x:c>
      <x:c r="G1168" t="n">
        <x:f>Dashboard_Live_Data!U187</x:f>
        <x:v>433.60000000000014</x:v>
      </x:c>
      <x:c r="H1168" t="n">
        <x:f>Dashboard_Live_Data!V187</x:f>
        <x:v>2077.5699434039807</x:v>
      </x:c>
    </x:row>
    <x:row r="1169">
      <x:c r="A1169" t="n">
        <x:f>Dashboard_Live_Data!O188</x:f>
        <x:v>33</x:v>
      </x:c>
      <x:c r="B1169" t="n">
        <x:f>Dashboard_Live_Data!P188</x:f>
        <x:v>2676.585012689012</x:v>
      </x:c>
      <x:c r="C1169" t="n">
        <x:f>Dashboard_Live_Data!Q188</x:f>
        <x:v>220</x:v>
      </x:c>
      <x:c r="D1169" t="n">
        <x:f>Dashboard_Live_Data!R188</x:f>
        <x:v>970.0877798600259</x:v>
      </x:c>
      <x:c r="E1169" t="n">
        <x:f>Dashboard_Live_Data!S188</x:f>
        <x:v>440</x:v>
      </x:c>
      <x:c r="F1169" t="n">
        <x:f>Dashboard_Live_Data!T188</x:f>
        <x:v>2180.9254454293177</x:v>
      </x:c>
      <x:c r="G1169" t="n">
        <x:f>Dashboard_Live_Data!U188</x:f>
        <x:v>440</x:v>
      </x:c>
      <x:c r="H1169" t="n">
        <x:f>Dashboard_Live_Data!V188</x:f>
        <x:v>2134.393254149176</x:v>
      </x:c>
    </x:row>
    <x:row r="1170">
      <x:c r="A1170" t="n">
        <x:f>Dashboard_Live_Data!O189</x:f>
        <x:v>33.480000000000004</x:v>
      </x:c>
      <x:c r="B1170" t="n">
        <x:f>Dashboard_Live_Data!P189</x:f>
        <x:v>2676.821549660199</x:v>
      </x:c>
      <x:c r="C1170" t="n">
        <x:f>Dashboard_Live_Data!Q189</x:f>
        <x:v>223.20000000000005</x:v>
      </x:c>
      <x:c r="D1170" t="n">
        <x:f>Dashboard_Live_Data!R189</x:f>
        <x:v>991.671778480832</x:v>
      </x:c>
      <x:c r="E1170" t="n">
        <x:f>Dashboard_Live_Data!S189</x:f>
        <x:v>446.4000000000001</x:v>
      </x:c>
      <x:c r="F1170" t="n">
        <x:f>Dashboard_Live_Data!T189</x:f>
        <x:v>2237.989989728162</x:v>
      </x:c>
      <x:c r="G1170" t="n">
        <x:f>Dashboard_Live_Data!U189</x:f>
        <x:v>446.4000000000001</x:v>
      </x:c>
      <x:c r="H1170" t="n">
        <x:f>Dashboard_Live_Data!V189</x:f>
        <x:v>2192.0491408759867</x:v>
      </x:c>
    </x:row>
    <x:row r="1171">
      <x:c r="A1171" t="n">
        <x:f>Dashboard_Live_Data!O190</x:f>
        <x:v>34.019999999999996</x:v>
      </x:c>
      <x:c r="B1171" t="n">
        <x:f>Dashboard_Live_Data!P190</x:f>
        <x:v>2677.091736577309</x:v>
      </x:c>
      <x:c r="C1171" t="n">
        <x:f>Dashboard_Live_Data!Q190</x:f>
        <x:v>226.79999999999995</x:v>
      </x:c>
      <x:c r="D1171" t="n">
        <x:f>Dashboard_Live_Data!R190</x:f>
        <x:v>1016.3263346671646</x:v>
      </x:c>
      <x:c r="E1171" t="n">
        <x:f>Dashboard_Live_Data!S190</x:f>
        <x:v>453.5999999999999</x:v>
      </x:c>
      <x:c r="F1171" t="n">
        <x:f>Dashboard_Live_Data!T190</x:f>
        <x:v>2303.1725834810677</x:v>
      </x:c>
      <x:c r="G1171" t="n">
        <x:f>Dashboard_Live_Data!U190</x:f>
        <x:v>453.5999999999999</x:v>
      </x:c>
      <x:c r="H1171" t="n">
        <x:f>Dashboard_Live_Data!V190</x:f>
        <x:v>2257.90720192167</x:v>
      </x:c>
    </x:row>
    <x:row r="1172">
      <x:c r="A1172" t="n">
        <x:f>Dashboard_Live_Data!O191</x:f>
        <x:v>34.5</x:v>
      </x:c>
      <x:c r="B1172" t="n">
        <x:f>Dashboard_Live_Data!P191</x:f>
        <x:v>2677.3355319032075</x:v>
      </x:c>
      <x:c r="C1172" t="n">
        <x:f>Dashboard_Live_Data!Q191</x:f>
        <x:v>230</x:v>
      </x:c>
      <x:c r="D1172" t="n">
        <x:f>Dashboard_Live_Data!R191</x:f>
        <x:v>1038.572658155396</x:v>
      </x:c>
      <x:c r="E1172" t="n">
        <x:f>Dashboard_Live_Data!S191</x:f>
        <x:v>460</x:v>
      </x:c>
      <x:c r="F1172" t="n">
        <x:f>Dashboard_Live_Data!T191</x:f>
        <x:v>2361.988205854064</x:v>
      </x:c>
      <x:c r="G1172" t="n">
        <x:f>Dashboard_Live_Data!U191</x:f>
        <x:v>460</x:v>
      </x:c>
      <x:c r="H1172" t="n">
        <x:f>Dashboard_Live_Data!V191</x:f>
        <x:v>2317.3323126094115</x:v>
      </x:c>
    </x:row>
    <x:row r="1173">
      <x:c r="A1173" t="n">
        <x:f>Dashboard_Live_Data!O192</x:f>
        <x:v>34.980000000000004</x:v>
      </x:c>
      <x:c r="B1173" t="n">
        <x:f>Dashboard_Live_Data!P192</x:f>
        <x:v>2677.582742925441</x:v>
      </x:c>
      <x:c r="C1173" t="n">
        <x:f>Dashboard_Live_Data!Q192</x:f>
        <x:v>233.19999999999993</x:v>
      </x:c>
      <x:c r="D1173" t="n">
        <x:f>Dashboard_Live_Data!R192</x:f>
        <x:v>1061.1306639341801</x:v>
      </x:c>
      <x:c r="E1173" t="n">
        <x:f>Dashboard_Live_Data!S192</x:f>
        <x:v>466.39999999999986</x:v>
      </x:c>
      <x:c r="F1173" t="n">
        <x:f>Dashboard_Live_Data!T192</x:f>
        <x:v>2421.627864967836</x:v>
      </x:c>
      <x:c r="G1173" t="n">
        <x:f>Dashboard_Live_Data!U192</x:f>
        <x:v>466.39999999999986</x:v>
      </x:c>
      <x:c r="H1173" t="n">
        <x:f>Dashboard_Live_Data!V192</x:f>
        <x:v>2377.5899992787668</x:v>
      </x:c>
    </x:row>
    <x:row r="1174">
      <x:c r="A1174" t="n">
        <x:f>Dashboard_Live_Data!O193</x:f>
        <x:v>35.52000000000001</x:v>
      </x:c>
      <x:c r="B1174" t="n">
        <x:f>Dashboard_Live_Data!P193</x:f>
        <x:v>2677.8649381499786</x:v>
      </x:c>
      <x:c r="C1174" t="n">
        <x:f>Dashboard_Live_Data!Q193</x:f>
        <x:v>236.80000000000007</x:v>
      </x:c>
      <x:c r="D1174" t="n">
        <x:f>Dashboard_Live_Data!R193</x:f>
        <x:v>1086.8809781732407</x:v>
      </x:c>
      <x:c r="E1174" t="n">
        <x:f>Dashboard_Live_Data!S193</x:f>
        <x:v>473.60000000000014</x:v>
      </x:c>
      <x:c r="F1174" t="n">
        <x:f>Dashboard_Live_Data!T193</x:f>
        <x:v>2489.7074628875434</x:v>
      </x:c>
      <x:c r="G1174" t="n">
        <x:f>Dashboard_Live_Data!U193</x:f>
        <x:v>473.60000000000014</x:v>
      </x:c>
      <x:c r="H1174" t="n">
        <x:f>Dashboard_Live_Data!V193</x:f>
        <x:v>2446.3750852598187</x:v>
      </x:c>
    </x:row>
    <x:row r="1175">
      <x:c r="A1175" t="n">
        <x:f>Dashboard_Live_Data!O194</x:f>
        <x:v>36</x:v>
      </x:c>
      <x:c r="B1175" t="n">
        <x:f>Dashboard_Live_Data!P194</x:f>
        <x:v>2678.119407526923</x:v>
      </x:c>
      <x:c r="C1175" t="n">
        <x:f>Dashboard_Live_Data!Q194</x:f>
        <x:v>240</x:v>
      </x:c>
      <x:c r="D1175" t="n">
        <x:f>Dashboard_Live_Data!R194</x:f>
        <x:v>1110.1013088194502</x:v>
      </x:c>
      <x:c r="E1175" t="n">
        <x:f>Dashboard_Live_Data!S194</x:f>
        <x:v>480</x:v>
      </x:c>
      <x:c r="F1175" t="n">
        <x:f>Dashboard_Live_Data!T194</x:f>
        <x:v>2551.098200075467</x:v>
      </x:c>
      <x:c r="G1175" t="n">
        <x:f>Dashboard_Live_Data!U194</x:f>
        <x:v>480</x:v>
      </x:c>
      <x:c r="H1175" t="n">
        <x:f>Dashboard_Live_Data!V194</x:f>
        <x:v>2508.4019958901035</x:v>
      </x:c>
    </x:row>
    <x:row r="1176">
      <x:c r="A1176" t="n">
        <x:f>Dashboard_Live_Data!O195</x:f>
        <x:v>36.480000000000004</x:v>
      </x:c>
      <x:c r="B1176" t="n">
        <x:f>Dashboard_Live_Data!P195</x:f>
        <x:v>2678.377292600203</x:v>
      </x:c>
      <x:c r="C1176" t="n">
        <x:f>Dashboard_Live_Data!Q195</x:f>
        <x:v>243.20000000000005</x:v>
      </x:c>
      <x:c r="D1176" t="n">
        <x:f>Dashboard_Live_Data!R195</x:f>
        <x:v>1133.6333217562135</x:v>
      </x:c>
      <x:c r="E1176" t="n">
        <x:f>Dashboard_Live_Data!S195</x:f>
        <x:v>486.4000000000001</x:v>
      </x:c>
      <x:c r="F1176" t="n">
        <x:f>Dashboard_Live_Data!T195</x:f>
        <x:v>2613.31297400417</x:v>
      </x:c>
      <x:c r="G1176" t="n">
        <x:f>Dashboard_Live_Data!U195</x:f>
        <x:v>486.4000000000001</x:v>
      </x:c>
      <x:c r="H1176" t="n">
        <x:f>Dashboard_Live_Data!V195</x:f>
        <x:v>2571.2614825020055</x:v>
      </x:c>
    </x:row>
    <x:row r="1177">
      <x:c r="A1177" t="n">
        <x:f>Dashboard_Live_Data!O196</x:f>
        <x:v>37.019999999999996</x:v>
      </x:c>
      <x:c r="B1177" t="n">
        <x:f>Dashboard_Live_Data!P196</x:f>
        <x:v>2678.6714961321677</x:v>
      </x:c>
      <x:c r="C1177" t="n">
        <x:f>Dashboard_Live_Data!Q196</x:f>
        <x:v>246.79999999999995</x:v>
      </x:c>
      <x:c r="D1177" t="n">
        <x:f>Dashboard_Live_Data!R196</x:f>
        <x:v>1160.4793940479979</x:v>
      </x:c>
      <x:c r="E1177" t="n">
        <x:f>Dashboard_Live_Data!S196</x:f>
        <x:v>493.5999999999999</x:v>
      </x:c>
      <x:c r="F1177" t="n">
        <x:f>Dashboard_Live_Data!T196</x:f>
        <x:v>2684.289576090669</x:v>
      </x:c>
      <x:c r="G1177" t="n">
        <x:f>Dashboard_Live_Data!U196</x:f>
        <x:v>493.5999999999999</x:v>
      </x:c>
      <x:c r="H1177" t="n">
        <x:f>Dashboard_Live_Data!V196</x:f>
        <x:v>2642.973593418417</x:v>
      </x:c>
    </x:row>
    <x:row r="1178">
      <x:c r="A1178" t="n">
        <x:f>Dashboard_Live_Data!O197</x:f>
        <x:v>37.5</x:v>
      </x:c>
      <x:c r="B1178" t="n">
        <x:f>Dashboard_Live_Data!P197</x:f>
        <x:v>2678.9366395601587</x:v>
      </x:c>
      <x:c r="C1178" t="n">
        <x:f>Dashboard_Live_Data!Q197</x:f>
        <x:v>250</x:v>
      </x:c>
      <x:c r="D1178" t="n">
        <x:f>Dashboard_Live_Data!R197</x:f>
        <x:v>1184.6737318521868</x:v>
      </x:c>
      <x:c r="E1178" t="n">
        <x:f>Dashboard_Live_Data!S197</x:f>
        <x:v>500</x:v>
      </x:c>
      <x:c r="F1178" t="n">
        <x:f>Dashboard_Live_Data!T197</x:f>
        <x:v>2748.2554280935246</x:v>
      </x:c>
      <x:c r="G1178" t="n">
        <x:f>Dashboard_Live_Data!U197</x:f>
        <x:v>500</x:v>
      </x:c>
      <x:c r="H1178" t="n">
        <x:f>Dashboard_Live_Data!V197</x:f>
        <x:v>2707.6023039912498</x:v>
      </x:c>
    </x:row>
    <x:row r="1179">
      <x:c r="A1179" t="n">
        <x:f>Dashboard_Live_Data!O198</x:f>
        <x:v>37.980000000000004</x:v>
      </x:c>
      <x:c r="B1179" t="n">
        <x:f>Dashboard_Live_Data!P198</x:f>
        <x:v>2679.205198684485</x:v>
      </x:c>
      <x:c r="C1179" t="n">
        <x:f>Dashboard_Live_Data!Q198</x:f>
        <x:v>253.20000000000005</x:v>
      </x:c>
      <x:c r="D1179" t="n">
        <x:f>Dashboard_Live_Data!R198</x:f>
        <x:v>1209.1797519469292</x:v>
      </x:c>
      <x:c r="E1179" t="n">
        <x:f>Dashboard_Live_Data!S198</x:f>
        <x:v>506.4000000000001</x:v>
      </x:c>
      <x:c r="F1179" t="n">
        <x:f>Dashboard_Live_Data!T198</x:f>
        <x:v>2813.0453168371578</x:v>
      </x:c>
      <x:c r="G1179" t="n">
        <x:f>Dashboard_Live_Data!U198</x:f>
        <x:v>506.4000000000001</x:v>
      </x:c>
      <x:c r="H1179" t="n">
        <x:f>Dashboard_Live_Data!V198</x:f>
        <x:v>2773.0635905456975</x:v>
      </x:c>
    </x:row>
    <x:row r="1180">
      <x:c r="A1180" t="n">
        <x:f>Dashboard_Live_Data!O199</x:f>
        <x:v>38.519999999999996</x:v>
      </x:c>
      <x:c r="B1180" t="n">
        <x:f>Dashboard_Live_Data!P199</x:f>
        <x:v>2679.5114105238763</x:v>
      </x:c>
      <x:c r="C1180" t="n">
        <x:f>Dashboard_Live_Data!Q199</x:f>
        <x:v>256.79999999999995</x:v>
      </x:c>
      <x:c r="D1180" t="n">
        <x:f>Dashboard_Live_Data!R199</x:f>
        <x:v>1237.1215822914396</x:v>
      </x:c>
      <x:c r="E1180" t="n">
        <x:f>Dashboard_Live_Data!S199</x:f>
        <x:v>513.5999999999999</x:v>
      </x:c>
      <x:c r="F1180" t="n">
        <x:f>Dashboard_Live_Data!T199</x:f>
        <x:v>2886.918923090452</x:v>
      </x:c>
      <x:c r="G1180" t="n">
        <x:f>Dashboard_Live_Data!U199</x:f>
        <x:v>513.5999999999999</x:v>
      </x:c>
      <x:c r="H1180" t="n">
        <x:f>Dashboard_Live_Data!V199</x:f>
        <x:v>2847.7027263974724</x:v>
      </x:c>
    </x:row>
    <x:row r="1181">
      <x:c r="A1181" t="n">
        <x:f>Dashboard_Live_Data!O200</x:f>
        <x:v>39</x:v>
      </x:c>
      <x:c r="B1181" t="n">
        <x:f>Dashboard_Live_Data!P200</x:f>
        <x:v>2679.7872280029137</x:v>
      </x:c>
      <x:c r="C1181" t="n">
        <x:f>Dashboard_Live_Data!Q200</x:f>
        <x:v>260</x:v>
      </x:c>
      <x:c r="D1181" t="n">
        <x:f>Dashboard_Live_Data!R200</x:f>
        <x:v>1262.2899272536067</x:v>
      </x:c>
      <x:c r="E1181" t="n">
        <x:f>Dashboard_Live_Data!S200</x:f>
        <x:v>520</x:v>
      </x:c>
      <x:c r="F1181" t="n">
        <x:f>Dashboard_Live_Data!T200</x:f>
        <x:v>2953.459889908238</x:v>
      </x:c>
      <x:c r="G1181" t="n">
        <x:f>Dashboard_Live_Data!U200</x:f>
        <x:v>520</x:v>
      </x:c>
      <x:c r="H1181" t="n">
        <x:f>Dashboard_Live_Data!V200</x:f>
        <x:v>2914.9332369128515</x:v>
      </x:c>
    </x:row>
    <x:row r="1182">
      <x:c r="A1182" t="n">
        <x:f>Dashboard_Live_Data!O201</x:f>
        <x:v>39.47999999999999</x:v>
      </x:c>
      <x:c r="B1182" t="n">
        <x:f>Dashboard_Live_Data!P201</x:f>
        <x:v>2680.0664611782863</x:v>
      </x:c>
      <x:c r="C1182" t="n">
        <x:f>Dashboard_Live_Data!Q201</x:f>
        <x:v>263.19999999999993</x:v>
      </x:c>
      <x:c r="D1182" t="n">
        <x:f>Dashboard_Live_Data!R201</x:f>
        <x:v>1287.7699545063265</x:v>
      </x:c>
      <x:c r="E1182" t="n">
        <x:f>Dashboard_Live_Data!S201</x:f>
        <x:v>526.3999999999999</x:v>
      </x:c>
      <x:c r="F1182" t="n">
        <x:f>Dashboard_Live_Data!T201</x:f>
        <x:v>3020.8248934667977</x:v>
      </x:c>
      <x:c r="G1182" t="n">
        <x:f>Dashboard_Live_Data!U201</x:f>
        <x:v>526.3999999999999</x:v>
      </x:c>
      <x:c r="H1182" t="n">
        <x:f>Dashboard_Live_Data!V201</x:f>
        <x:v>2982.996323409842</x:v>
      </x:c>
    </x:row>
    <x:row r="1183">
      <x:c r="A1183" t="n">
        <x:f>Dashboard_Live_Data!O202</x:f>
        <x:v>40.019999999999996</x:v>
      </x:c>
      <x:c r="B1183" t="n">
        <x:f>Dashboard_Live_Data!P202</x:f>
        <x:v>2680.3846813251052</x:v>
      </x:c>
      <x:c r="C1183" t="n">
        <x:f>Dashboard_Live_Data!Q202</x:f>
        <x:v>266.80000000000007</x:v>
      </x:c>
      <x:c r="D1183" t="n">
        <x:f>Dashboard_Live_Data!R202</x:f>
        <x:v>1316.8075429035648</x:v>
      </x:c>
      <x:c r="E1183" t="n">
        <x:f>Dashboard_Live_Data!S202</x:f>
        <x:v>533.6000000000001</x:v>
      </x:c>
      <x:c r="F1183" t="n">
        <x:f>Dashboard_Live_Data!T202</x:f>
        <x:v>3097.5955038868938</x:v>
      </x:c>
      <x:c r="G1183" t="n">
        <x:f>Dashboard_Live_Data!U202</x:f>
        <x:v>533.6000000000001</x:v>
      </x:c>
      <x:c r="H1183" t="n">
        <x:f>Dashboard_Live_Data!V202</x:f>
        <x:v>3060.562484196985</x:v>
      </x:c>
    </x:row>
    <x:row r="1184">
      <x:c r="A1184" t="n">
        <x:f>Dashboard_Live_Data!O203</x:f>
        <x:v>40.5</x:v>
      </x:c>
      <x:c r="B1184" t="n">
        <x:f>Dashboard_Live_Data!P203</x:f>
        <x:v>2680.671172855189</x:v>
      </x:c>
      <x:c r="C1184" t="n">
        <x:f>Dashboard_Live_Data!Q203</x:f>
        <x:v>270</x:v>
      </x:c>
      <x:c r="D1184" t="n">
        <x:f>Dashboard_Live_Data!R203</x:f>
        <x:v>1342.9498950237103</x:v>
      </x:c>
      <x:c r="E1184" t="n">
        <x:f>Dashboard_Live_Data!S203</x:f>
        <x:v>540</x:v>
      </x:c>
      <x:c r="F1184" t="n">
        <x:f>Dashboard_Live_Data!T203</x:f>
        <x:v>3166.7115855196066</x:v>
      </x:c>
      <x:c r="G1184" t="n">
        <x:f>Dashboard_Live_Data!U203</x:f>
        <x:v>540</x:v>
      </x:c>
      <x:c r="H1184" t="n">
        <x:f>Dashboard_Live_Data!V203</x:f>
        <x:v>3130.3947946549083</x:v>
      </x:c>
    </x:row>
    <x:row r="1185">
      <x:c r="A1185" t="n">
        <x:f>Dashboard_Live_Data!O204</x:f>
        <x:v>40.980000000000004</x:v>
      </x:c>
      <x:c r="B1185" t="n">
        <x:f>Dashboard_Live_Data!P204</x:f>
        <x:v>2680.9610800816076</x:v>
      </x:c>
      <x:c r="C1185" t="n">
        <x:f>Dashboard_Live_Data!Q204</x:f>
        <x:v>273.20000000000005</x:v>
      </x:c>
      <x:c r="D1185" t="n">
        <x:f>Dashboard_Live_Data!R204</x:f>
        <x:v>1369.4039294344093</x:v>
      </x:c>
      <x:c r="E1185" t="n">
        <x:f>Dashboard_Live_Data!S204</x:f>
        <x:v>546.4000000000001</x:v>
      </x:c>
      <x:c r="F1185" t="n">
        <x:f>Dashboard_Live_Data!T204</x:f>
        <x:v>3236.6517038930992</x:v>
      </x:c>
      <x:c r="G1185" t="n">
        <x:f>Dashboard_Live_Data!U204</x:f>
        <x:v>546.4000000000001</x:v>
      </x:c>
      <x:c r="H1185" t="n">
        <x:f>Dashboard_Live_Data!V204</x:f>
        <x:v>3201.059681094447</x:v>
      </x:c>
    </x:row>
    <x:row r="1186">
      <x:c r="A1186" t="n">
        <x:f>Dashboard_Live_Data!O205</x:f>
        <x:v>41.519999999999996</x:v>
      </x:c>
      <x:c r="B1186" t="n">
        <x:f>Dashboard_Live_Data!P205</x:f>
        <x:v>2681.2913085358537</x:v>
      </x:c>
      <x:c r="C1186" t="n">
        <x:f>Dashboard_Live_Data!Q205</x:f>
        <x:v>276.79999999999995</x:v>
      </x:c>
      <x:c r="D1186" t="n">
        <x:f>Dashboard_Live_Data!R205</x:f>
        <x:v>1399.5372758843714</x:v>
      </x:c>
      <x:c r="E1186" t="n">
        <x:f>Dashboard_Live_Data!S205</x:f>
        <x:v>553.5999999999999</x:v>
      </x:c>
      <x:c r="F1186" t="n">
        <x:f>Dashboard_Live_Data!T205</x:f>
        <x:v>3316.319318479985</x:v>
      </x:c>
      <x:c r="G1186" t="n">
        <x:f>Dashboard_Live_Data!U205</x:f>
        <x:v>553.5999999999999</x:v>
      </x:c>
      <x:c r="H1186" t="n">
        <x:f>Dashboard_Live_Data!V205</x:f>
        <x:v>3281.552866816948</x:v>
      </x:c>
    </x:row>
    <x:row r="1187">
      <x:c r="A1187" t="n">
        <x:f>Dashboard_Live_Data!O206</x:f>
        <x:v>42</x:v>
      </x:c>
      <x:c r="B1187" t="n">
        <x:f>Dashboard_Live_Data!P206</x:f>
        <x:v>2681.588474116984</x:v>
      </x:c>
      <x:c r="C1187" t="n">
        <x:f>Dashboard_Live_Data!Q206</x:f>
        <x:v>280</x:v>
      </x:c>
      <x:c r="D1187" t="n">
        <x:f>Dashboard_Live_Data!R206</x:f>
        <x:v>1426.6536351624961</x:v>
      </x:c>
      <x:c r="E1187" t="n">
        <x:f>Dashboard_Live_Data!S206</x:f>
        <x:v>560</x:v>
      </x:c>
      <x:c r="F1187" t="n">
        <x:f>Dashboard_Live_Data!T206</x:f>
        <x:v>3388.01051492763</x:v>
      </x:c>
      <x:c r="G1187" t="n">
        <x:f>Dashboard_Live_Data!U206</x:f>
        <x:v>560</x:v>
      </x:c>
      <x:c r="H1187" t="n">
        <x:f>Dashboard_Live_Data!V206</x:f>
        <x:v>3353.9869772174184</x:v>
      </x:c>
    </x:row>
    <x:row r="1188">
      <x:c r="A1188" t="n">
        <x:f>Dashboard_Live_Data!O207</x:f>
        <x:v>42.480000000000004</x:v>
      </x:c>
      <x:c r="B1188" t="n">
        <x:f>Dashboard_Live_Data!P207</x:f>
        <x:v>2681.8890553944493</x:v>
      </x:c>
      <x:c r="C1188" t="n">
        <x:f>Dashboard_Live_Data!Q207</x:f>
        <x:v>283.19999999999993</x:v>
      </x:c>
      <x:c r="D1188" t="n">
        <x:f>Dashboard_Live_Data!R207</x:f>
        <x:v>1454.0816767311733</x:v>
      </x:c>
      <x:c r="E1188" t="n">
        <x:f>Dashboard_Live_Data!S207</x:f>
        <x:v>566.3999999999999</x:v>
      </x:c>
      <x:c r="F1188" t="n">
        <x:f>Dashboard_Live_Data!T207</x:f>
        <x:v>3460.5257481160506</x:v>
      </x:c>
      <x:c r="G1188" t="n">
        <x:f>Dashboard_Live_Data!U207</x:f>
        <x:v>566.3999999999999</x:v>
      </x:c>
      <x:c r="H1188" t="n">
        <x:f>Dashboard_Live_Data!V207</x:f>
        <x:v>3427.2536635995016</x:v>
      </x:c>
    </x:row>
    <x:row r="1189">
      <x:c r="A1189" t="n">
        <x:f>Dashboard_Live_Data!O208</x:f>
        <x:v>43.02000000000001</x:v>
      </x:c>
      <x:c r="B1189" t="n">
        <x:f>Dashboard_Live_Data!P208</x:f>
        <x:v>2682.231292156122</x:v>
      </x:c>
      <x:c r="C1189" t="n">
        <x:f>Dashboard_Live_Data!Q208</x:f>
        <x:v>286.80000000000007</x:v>
      </x:c>
      <x:c r="D1189" t="n">
        <x:f>Dashboard_Live_Data!R208</x:f>
        <x:v>1485.3107812338633</x:v>
      </x:c>
      <x:c r="E1189" t="n">
        <x:f>Dashboard_Live_Data!S208</x:f>
        <x:v>573.6000000000001</x:v>
      </x:c>
      <x:c r="F1189" t="n">
        <x:f>Dashboard_Live_Data!T208</x:f>
        <x:v>3543.090366869737</x:v>
      </x:c>
      <x:c r="G1189" t="n">
        <x:f>Dashboard_Live_Data!U208</x:f>
        <x:v>573.6000000000001</x:v>
      </x:c>
      <x:c r="H1189" t="n">
        <x:f>Dashboard_Live_Data!V208</x:f>
        <x:v>3510.673874257372</x:v>
      </x:c>
    </x:row>
    <x:row r="1190">
      <x:c r="A1190" t="n">
        <x:f>Dashboard_Live_Data!O209</x:f>
        <x:v>43.5</x:v>
      </x:c>
      <x:c r="B1190" t="n">
        <x:f>Dashboard_Live_Data!P209</x:f>
        <x:v>2682.539131788299</x:v>
      </x:c>
      <x:c r="C1190" t="n">
        <x:f>Dashboard_Live_Data!Q209</x:f>
        <x:v>290</x:v>
      </x:c>
      <x:c r="D1190" t="n">
        <x:f>Dashboard_Live_Data!R209</x:f>
        <x:v>1513.401147669966</x:v>
      </x:c>
      <x:c r="E1190" t="n">
        <x:f>Dashboard_Live_Data!S209</x:f>
        <x:v>580</x:v>
      </x:c>
      <x:c r="F1190" t="n">
        <x:f>Dashboard_Live_Data!T209</x:f>
        <x:v>3617.3566781323107</x:v>
      </x:c>
      <x:c r="G1190" t="n">
        <x:f>Dashboard_Live_Data!U209</x:f>
        <x:v>580</x:v>
      </x:c>
      <x:c r="H1190" t="n">
        <x:f>Dashboard_Live_Data!V209</x:f>
        <x:v>3585.709784600385</x:v>
      </x:c>
    </x:row>
    <x:row r="1191">
      <x:c r="A1191" t="n">
        <x:f>Dashboard_Live_Data!O210</x:f>
        <x:v>43.980000000000004</x:v>
      </x:c>
      <x:c r="B1191" t="n">
        <x:f>Dashboard_Live_Data!P210</x:f>
        <x:v>2682.85038711681</x:v>
      </x:c>
      <x:c r="C1191" t="n">
        <x:f>Dashboard_Live_Data!Q210</x:f>
        <x:v>293.20000000000005</x:v>
      </x:c>
      <x:c r="D1191" t="n">
        <x:f>Dashboard_Live_Data!R210</x:f>
        <x:v>1541.803196396622</x:v>
      </x:c>
      <x:c r="E1191" t="n">
        <x:f>Dashboard_Live_Data!S210</x:f>
        <x:v>586.4000000000001</x:v>
      </x:c>
      <x:c r="F1191" t="n">
        <x:f>Dashboard_Live_Data!T210</x:f>
        <x:v>3692.4470261356614</x:v>
      </x:c>
      <x:c r="G1191" t="n">
        <x:f>Dashboard_Live_Data!U210</x:f>
        <x:v>586.4000000000001</x:v>
      </x:c>
      <x:c r="H1191" t="n">
        <x:f>Dashboard_Live_Data!V210</x:f>
        <x:v>3661.5782709250157</x:v>
      </x:c>
    </x:row>
    <x:row r="1192">
      <x:c r="A1192" t="n">
        <x:f>Dashboard_Live_Data!O211</x:f>
        <x:v>44.519999999999996</x:v>
      </x:c>
      <x:c r="B1192" t="n">
        <x:f>Dashboard_Live_Data!P211</x:f>
        <x:v>2683.20463218591</x:v>
      </x:c>
      <x:c r="C1192" t="n">
        <x:f>Dashboard_Live_Data!Q211</x:f>
        <x:v>296.79999999999995</x:v>
      </x:c>
      <x:c r="D1192" t="n">
        <x:f>Dashboard_Live_Data!R211</x:f>
        <x:v>1574.1280589520366</x:v>
      </x:c>
      <x:c r="E1192" t="n">
        <x:f>Dashboard_Live_Data!S211</x:f>
        <x:v>593.5999999999999</x:v>
      </x:c>
      <x:c r="F1192" t="n">
        <x:f>Dashboard_Live_Data!T211</x:f>
        <x:v>3777.90864905614</x:v>
      </x:c>
      <x:c r="G1192" t="n">
        <x:f>Dashboard_Live_Data!U211</x:f>
        <x:v>593.5999999999999</x:v>
      </x:c>
      <x:c r="H1192" t="n">
        <x:f>Dashboard_Live_Data!V211</x:f>
        <x:v>3747.9255065182456</x:v>
      </x:c>
    </x:row>
    <x:row r="1193">
      <x:c r="A1193" t="n">
        <x:f>Dashboard_Live_Data!O212</x:f>
        <x:v>45</x:v>
      </x:c>
      <x:c r="B1193" t="n">
        <x:f>Dashboard_Live_Data!P212</x:f>
        <x:v>2683.5231458691333</x:v>
      </x:c>
      <x:c r="C1193" t="n">
        <x:f>Dashboard_Live_Data!Q212</x:f>
        <x:v>300</x:v>
      </x:c>
      <x:c r="D1193" t="n">
        <x:f>Dashboard_Live_Data!R212</x:f>
        <x:v>1603.1924325461182</x:v>
      </x:c>
      <x:c r="E1193" t="n">
        <x:f>Dashboard_Live_Data!S212</x:f>
        <x:v>600</x:v>
      </x:c>
      <x:c r="F1193" t="n">
        <x:f>Dashboard_Live_Data!T212</x:f>
        <x:v>3854.7500751336447</x:v>
      </x:c>
      <x:c r="G1193" t="n">
        <x:f>Dashboard_Live_Data!U212</x:f>
        <x:v>600</x:v>
      </x:c>
      <x:c r="H1193" t="n">
        <x:f>Dashboard_Live_Data!V212</x:f>
        <x:v>3825.5632168038064</x:v>
      </x:c>
    </x:row>
    <x:row r="1194">
      <x:c r="A1194" t="n">
        <x:f>Dashboard_Live_Data!O213</x:f>
        <x:v>45.480000000000004</x:v>
      </x:c>
      <x:c r="B1194" t="n">
        <x:f>Dashboard_Live_Data!P213</x:f>
        <x:v>2683.8450752486906</x:v>
      </x:c>
      <x:c r="C1194" t="n">
        <x:f>Dashboard_Live_Data!Q213</x:f>
        <x:v>303.20000000000005</x:v>
      </x:c>
      <x:c r="D1194" t="n">
        <x:f>Dashboard_Live_Data!R213</x:f>
        <x:v>1632.5684884307536</x:v>
      </x:c>
      <x:c r="E1194" t="n">
        <x:f>Dashboard_Live_Data!S213</x:f>
        <x:v>606.4000000000001</x:v>
      </x:c>
      <x:c r="F1194" t="n">
        <x:f>Dashboard_Live_Data!T213</x:f>
        <x:v>3932.4155379519266</x:v>
      </x:c>
      <x:c r="G1194" t="n">
        <x:f>Dashboard_Live_Data!U213</x:f>
        <x:v>606.4000000000001</x:v>
      </x:c>
      <x:c r="H1194" t="n">
        <x:f>Dashboard_Live_Data!V213</x:f>
        <x:v>3904.0335030709825</x:v>
      </x:c>
    </x:row>
    <x:row r="1195">
      <x:c r="A1195" t="n">
        <x:f>Dashboard_Live_Data!O214</x:f>
        <x:v>46.019999999999996</x:v>
      </x:c>
      <x:c r="B1195" t="n">
        <x:f>Dashboard_Live_Data!P214</x:f>
        <x:v>2684.211328625219</x:v>
      </x:c>
      <x:c r="C1195" t="n">
        <x:f>Dashboard_Live_Data!Q214</x:f>
        <x:v>306.79999999999995</x:v>
      </x:c>
      <x:c r="D1195" t="n">
        <x:f>Dashboard_Live_Data!R214</x:f>
        <x:v>1665.9891090388933</x:v>
      </x:c>
      <x:c r="E1195" t="n">
        <x:f>Dashboard_Live_Data!S214</x:f>
        <x:v>613.5999999999999</x:v>
      </x:c>
      <x:c r="F1195" t="n">
        <x:f>Dashboard_Live_Data!T214</x:f>
        <x:v>4020.7741650392004</x:v>
      </x:c>
      <x:c r="G1195" t="n">
        <x:f>Dashboard_Live_Data!U214</x:f>
        <x:v>613.5999999999999</x:v>
      </x:c>
      <x:c r="H1195" t="n">
        <x:f>Dashboard_Live_Data!V214</x:f>
        <x:v>3993.3077635995755</x:v>
      </x:c>
    </x:row>
    <x:row r="1196">
      <x:c r="A1196" t="n">
        <x:f>Dashboard_Live_Data!O215</x:f>
        <x:v>46.5</x:v>
      </x:c>
      <x:c r="B1196" t="n">
        <x:f>Dashboard_Live_Data!P215</x:f>
        <x:v>2684.540516359488</x:v>
      </x:c>
      <x:c r="C1196" t="n">
        <x:f>Dashboard_Live_Data!Q215</x:f>
        <x:v>310</x:v>
      </x:c>
      <x:c r="D1196" t="n">
        <x:f>Dashboard_Live_Data!R215</x:f>
        <x:v>1696.0274897909542</x:v>
      </x:c>
      <x:c r="E1196" t="n">
        <x:f>Dashboard_Live_Data!S215</x:f>
        <x:v>620</x:v>
      </x:c>
      <x:c r="F1196" t="n">
        <x:f>Dashboard_Live_Data!T215</x:f>
        <x:v>4100.190705931635</x:v>
      </x:c>
      <x:c r="G1196" t="n">
        <x:f>Dashboard_Live_Data!U215</x:f>
        <x:v>620</x:v>
      </x:c>
      <x:c r="H1196" t="n">
        <x:f>Dashboard_Live_Data!V215</x:f>
        <x:v>4073.547273827683</x:v>
      </x:c>
    </x:row>
    <x:row r="1197">
      <x:c r="A1197" t="n">
        <x:f>Dashboard_Live_Data!O216</x:f>
        <x:v>46.97999999999999</x:v>
      </x:c>
      <x:c r="B1197" t="n">
        <x:f>Dashboard_Live_Data!P216</x:f>
        <x:v>2684.873119790092</x:v>
      </x:c>
      <x:c r="C1197" t="n">
        <x:f>Dashboard_Live_Data!Q216</x:f>
        <x:v>313.19999999999993</x:v>
      </x:c>
      <x:c r="D1197" t="n">
        <x:f>Dashboard_Live_Data!R216</x:f>
        <x:v>1726.3775528335661</x:v>
      </x:c>
      <x:c r="E1197" t="n">
        <x:f>Dashboard_Live_Data!S216</x:f>
        <x:v>626.3999999999999</x:v>
      </x:c>
      <x:c r="F1197" t="n">
        <x:f>Dashboard_Live_Data!T216</x:f>
        <x:v>4180.4312835648425</x:v>
      </x:c>
      <x:c r="G1197" t="n">
        <x:f>Dashboard_Live_Data!U216</x:f>
        <x:v>626.3999999999999</x:v>
      </x:c>
      <x:c r="H1197" t="n">
        <x:f>Dashboard_Live_Data!V216</x:f>
        <x:v>4154.619360037401</x:v>
      </x:c>
    </x:row>
    <x:row r="1198">
      <x:c r="A1198" t="n">
        <x:f>Dashboard_Live_Data!O217</x:f>
        <x:v>47.519999999999996</x:v>
      </x:c>
      <x:c r="B1198" t="n">
        <x:f>Dashboard_Live_Data!P217</x:f>
        <x:v>2685.251381474046</x:v>
      </x:c>
      <x:c r="C1198" t="n">
        <x:f>Dashboard_Live_Data!Q217</x:f>
        <x:v>316.80000000000007</x:v>
      </x:c>
      <x:c r="D1198" t="n">
        <x:f>Dashboard_Live_Data!R217</x:f>
        <x:v>1760.893931494435</x:v>
      </x:c>
      <x:c r="E1198" t="n">
        <x:f>Dashboard_Live_Data!S217</x:f>
        <x:v>633.6000000000001</x:v>
      </x:c>
      <x:c r="F1198" t="n">
        <x:f>Dashboard_Live_Data!T217</x:f>
        <x:v>4271.68691481892</x:v>
      </x:c>
      <x:c r="G1198" t="n">
        <x:f>Dashboard_Live_Data!U217</x:f>
        <x:v>633.6000000000001</x:v>
      </x:c>
      <x:c r="H1198" t="n">
        <x:f>Dashboard_Live_Data!V217</x:f>
        <x:v>4246.820645501364</x:v>
      </x:c>
    </x:row>
    <x:row r="1199">
      <x:c r="A1199" t="n">
        <x:f>Dashboard_Live_Data!O218</x:f>
        <x:v>48</x:v>
      </x:c>
      <x:c r="B1199" t="n">
        <x:f>Dashboard_Live_Data!P218</x:f>
        <x:v>2685.591243259362</x:v>
      </x:c>
      <x:c r="C1199" t="n">
        <x:f>Dashboard_Live_Data!Q218</x:f>
        <x:v>320</x:v>
      </x:c>
      <x:c r="D1199" t="n">
        <x:f>Dashboard_Live_Data!R218</x:f>
        <x:v>1791.9063194044727</x:v>
      </x:c>
      <x:c r="E1199" t="n">
        <x:f>Dashboard_Live_Data!S218</x:f>
        <x:v>640</x:v>
      </x:c>
      <x:c r="F1199" t="n">
        <x:f>Dashboard_Live_Data!T218</x:f>
        <x:v>4353.678570526281</x:v>
      </x:c>
      <x:c r="G1199" t="n">
        <x:f>Dashboard_Live_Data!U218</x:f>
        <x:v>640</x:v>
      </x:c>
      <x:c r="H1199" t="n">
        <x:f>Dashboard_Live_Data!V218</x:f>
        <x:v>4329.661955672014</x:v>
      </x:c>
    </x:row>
    <x:row r="1200">
      <x:c r="A1200" t="n">
        <x:f>Dashboard_Live_Data!O219</x:f>
        <x:v>48.480000000000004</x:v>
      </x:c>
      <x:c r="B1200" t="n">
        <x:f>Dashboard_Live_Data!P219</x:f>
        <x:v>2685.9345207410115</x:v>
      </x:c>
      <x:c r="C1200" t="n">
        <x:f>Dashboard_Live_Data!Q219</x:f>
        <x:v>323.20000000000005</x:v>
      </x:c>
      <x:c r="D1200" t="n">
        <x:f>Dashboard_Live_Data!R219</x:f>
        <x:v>1823.2303896050653</x:v>
      </x:c>
      <x:c r="E1200" t="n">
        <x:f>Dashboard_Live_Data!S219</x:f>
        <x:v>646.4000000000001</x:v>
      </x:c>
      <x:c r="F1200" t="n">
        <x:f>Dashboard_Live_Data!T219</x:f>
        <x:v>4436.494262974422</x:v>
      </x:c>
      <x:c r="G1200" t="n">
        <x:f>Dashboard_Live_Data!U219</x:f>
        <x:v>646.4000000000001</x:v>
      </x:c>
      <x:c r="H1200" t="n">
        <x:f>Dashboard_Live_Data!V219</x:f>
        <x:v>4413.3358418242815</x:v>
      </x:c>
    </x:row>
    <x:row r="1201">
      <x:c r="A1201" t="n">
        <x:f>Dashboard_Live_Data!O220</x:f>
        <x:v>49.019999999999996</x:v>
      </x:c>
      <x:c r="B1201" t="n">
        <x:f>Dashboard_Live_Data!P220</x:f>
        <x:v>2686.324790732394</x:v>
      </x:c>
      <x:c r="C1201" t="n">
        <x:f>Dashboard_Live_Data!Q220</x:f>
        <x:v>326.79999999999995</x:v>
      </x:c>
      <x:c r="D1201" t="n">
        <x:f>Dashboard_Live_Data!R220</x:f>
        <x:v>1858.8425263186568</x:v>
      </x:c>
      <x:c r="E1201" t="n">
        <x:f>Dashboard_Live_Data!S220</x:f>
        <x:v>653.5999999999999</x:v>
      </x:c>
      <x:c r="F1201" t="n">
        <x:f>Dashboard_Live_Data!T220</x:f>
        <x:v>4530.646898395288</x:v>
      </x:c>
      <x:c r="G1201" t="n">
        <x:f>Dashboard_Live_Data!U220</x:f>
        <x:v>653.5999999999999</x:v>
      </x:c>
      <x:c r="H1201" t="n">
        <x:f>Dashboard_Live_Data!V220</x:f>
        <x:v>4508.464152223602</x:v>
      </x:c>
    </x:row>
    <x:row r="1202">
      <x:c r="A1202" t="n">
        <x:f>Dashboard_Live_Data!O221</x:f>
        <x:v>49.5</x:v>
      </x:c>
      <x:c r="B1202" t="n">
        <x:f>Dashboard_Live_Data!P221</x:f>
        <x:v>2686.6753265687557</x:v>
      </x:c>
      <x:c r="C1202" t="n">
        <x:f>Dashboard_Live_Data!Q221</x:f>
        <x:v>330</x:v>
      </x:c>
      <x:c r="D1202" t="n">
        <x:f>Dashboard_Live_Data!R221</x:f>
        <x:v>1890.8289213866744</x:v>
      </x:c>
      <x:c r="E1202" t="n">
        <x:f>Dashboard_Live_Data!S221</x:f>
        <x:v>660</x:v>
      </x:c>
      <x:c r="F1202" t="n">
        <x:f>Dashboard_Live_Data!T221</x:f>
        <x:v>4615.213668917581</x:v>
      </x:c>
      <x:c r="G1202" t="n">
        <x:f>Dashboard_Live_Data!U221</x:f>
        <x:v>660</x:v>
      </x:c>
      <x:c r="H1202" t="n">
        <x:f>Dashboard_Live_Data!V221</x:f>
        <x:v>4593.907262336798</x:v>
      </x:c>
    </x:row>
    <x:row r="1203">
      <x:c r="A1203" t="n">
        <x:f>Dashboard_Live_Data!O222</x:f>
        <x:v>49.980000000000004</x:v>
      </x:c>
      <x:c r="B1203" t="n">
        <x:f>Dashboard_Live_Data!P222</x:f>
        <x:v>2687.0292781014527</x:v>
      </x:c>
      <x:c r="C1203" t="n">
        <x:f>Dashboard_Live_Data!Q222</x:f>
        <x:v>333.19999999999993</x:v>
      </x:c>
      <x:c r="D1203" t="n">
        <x:f>Dashboard_Live_Data!R222</x:f>
        <x:v>1923.1269987452447</x:v>
      </x:c>
      <x:c r="E1203" t="n">
        <x:f>Dashboard_Live_Data!S222</x:f>
        <x:v>666.3999999999999</x:v>
      </x:c>
      <x:c r="F1203" t="n">
        <x:f>Dashboard_Live_Data!T222</x:f>
        <x:v>4700.604476180651</x:v>
      </x:c>
      <x:c r="G1203" t="n">
        <x:f>Dashboard_Live_Data!U222</x:f>
        <x:v>666.3999999999999</x:v>
      </x:c>
      <x:c r="H1203" t="n">
        <x:f>Dashboard_Live_Data!V222</x:f>
        <x:v>4680.1829484316095</x:v>
      </x:c>
    </x:row>
    <x:row r="1204">
      <x:c r="A1204" t="n">
        <x:f>Dashboard_Live_Data!O223</x:f>
        <x:v>50.52000000000001</x:v>
      </x:c>
      <x:c r="B1204" t="n">
        <x:f>Dashboard_Live_Data!P223</x:f>
        <x:v>2687.431556400261</x:v>
      </x:c>
      <x:c r="C1204" t="n">
        <x:f>Dashboard_Live_Data!Q223</x:f>
        <x:v>336.80000000000007</x:v>
      </x:c>
      <x:c r="D1204" t="n">
        <x:f>Dashboard_Live_Data!R223</x:f>
        <x:v>1959.8348935115648</x:v>
      </x:c>
      <x:c r="E1204" t="n">
        <x:f>Dashboard_Live_Data!S223</x:f>
        <x:v>673.6000000000001</x:v>
      </x:c>
      <x:c r="F1204" t="n">
        <x:f>Dashboard_Live_Data!T223</x:f>
        <x:v>4797.654115768319</x:v>
      </x:c>
      <x:c r="G1204" t="n">
        <x:f>Dashboard_Live_Data!U223</x:f>
        <x:v>673.6000000000001</x:v>
      </x:c>
      <x:c r="H1204" t="n">
        <x:f>Dashboard_Live_Data!V223</x:f>
        <x:v>4778.2382837663</x:v>
      </x:c>
    </x:row>
    <x:row r="1205">
      <x:c r="A1205" t="n">
        <x:f>Dashboard_Live_Data!O224</x:f>
        <x:v>51</x:v>
      </x:c>
      <x:c r="B1205" t="n">
        <x:f>Dashboard_Live_Data!P224</x:f>
        <x:v>2687.7927662876696</x:v>
      </x:c>
      <x:c r="C1205" t="n">
        <x:f>Dashboard_Live_Data!Q224</x:f>
        <x:v>340</x:v>
      </x:c>
      <x:c r="D1205" t="n">
        <x:f>Dashboard_Live_Data!R224</x:f>
        <x:v>1992.7952957375599</x:v>
      </x:c>
      <x:c r="E1205" t="n">
        <x:f>Dashboard_Live_Data!S224</x:f>
        <x:v>680</x:v>
      </x:c>
      <x:c r="F1205" t="n">
        <x:f>Dashboard_Live_Data!T224</x:f>
        <x:v>4884.7960011055375</x:v>
      </x:c>
      <x:c r="G1205" t="n">
        <x:f>Dashboard_Live_Data!U224</x:f>
        <x:v>680</x:v>
      </x:c>
      <x:c r="H1205" t="n">
        <x:f>Dashboard_Live_Data!V224</x:f>
        <x:v>4866.28319382204</x:v>
      </x:c>
    </x:row>
    <x:row r="1206">
      <x:c r="A1206" t="n">
        <x:f>Dashboard_Live_Data!O225</x:f>
        <x:v>51.480000000000004</x:v>
      </x:c>
      <x:c r="B1206" t="n">
        <x:f>Dashboard_Live_Data!P225</x:f>
        <x:v>2688.1573918714125</x:v>
      </x:c>
      <x:c r="C1206" t="n">
        <x:f>Dashboard_Live_Data!Q225</x:f>
        <x:v>343.20000000000005</x:v>
      </x:c>
      <x:c r="D1206" t="n">
        <x:f>Dashboard_Live_Data!R225</x:f>
        <x:v>2026.0673802541094</x:v>
      </x:c>
      <x:c r="E1206" t="n">
        <x:f>Dashboard_Live_Data!S225</x:f>
        <x:v>686.4000000000001</x:v>
      </x:c>
      <x:c r="F1206" t="n">
        <x:f>Dashboard_Live_Data!T225</x:f>
        <x:v>4972.761923183538</x:v>
      </x:c>
      <x:c r="G1206" t="n">
        <x:f>Dashboard_Live_Data!U225</x:f>
        <x:v>686.4000000000001</x:v>
      </x:c>
      <x:c r="H1206" t="n">
        <x:f>Dashboard_Live_Data!V225</x:f>
        <x:v>4955.160679859399</x:v>
      </x:c>
    </x:row>
    <x:row r="1207">
      <x:c r="A1207" t="n">
        <x:f>Dashboard_Live_Data!O226</x:f>
        <x:v>52.019999999999996</x:v>
      </x:c>
      <x:c r="B1207" t="n">
        <x:f>Dashboard_Live_Data!P226</x:f>
        <x:v>2688.5716784776487</x:v>
      </x:c>
      <x:c r="C1207" t="n">
        <x:f>Dashboard_Live_Data!Q226</x:f>
        <x:v>346.79999999999995</x:v>
      </x:c>
      <x:c r="D1207" t="n">
        <x:f>Dashboard_Live_Data!R226</x:f>
        <x:v>2063.8710330731533</x:v>
      </x:c>
      <x:c r="E1207" t="n">
        <x:f>Dashboard_Live_Data!S226</x:f>
        <x:v>693.5999999999999</x:v>
      </x:c>
      <x:c r="F1207" t="n">
        <x:f>Dashboard_Live_Data!T226</x:f>
        <x:v>5072.708566937997</x:v>
      </x:c>
      <x:c r="G1207" t="n">
        <x:f>Dashboard_Live_Data!U226</x:f>
        <x:v>693.5999999999999</x:v>
      </x:c>
      <x:c r="H1207" t="n">
        <x:f>Dashboard_Live_Data!V226</x:f>
        <x:v>5056.143040129447</x:v>
      </x:c>
    </x:row>
    <x:row r="1208">
      <x:c r="A1208" t="n">
        <x:f>Dashboard_Live_Data!O227</x:f>
        <x:v>52.5</x:v>
      </x:c>
      <x:c r="B1208" t="n">
        <x:f>Dashboard_Live_Data!P227</x:f>
        <x:v>2688.9435624161033</x:v>
      </x:c>
      <x:c r="C1208" t="n">
        <x:f>Dashboard_Live_Data!Q227</x:f>
        <x:v>350</x:v>
      </x:c>
      <x:c r="D1208" t="n">
        <x:f>Dashboard_Live_Data!R227</x:f>
        <x:v>2097.8054424571283</x:v>
      </x:c>
      <x:c r="E1208" t="n">
        <x:f>Dashboard_Live_Data!S227</x:f>
        <x:v>700</x:v>
      </x:c>
      <x:c r="F1208" t="n">
        <x:f>Dashboard_Live_Data!T227</x:f>
        <x:v>5162.42556709015</x:v>
      </x:c>
      <x:c r="G1208" t="n">
        <x:f>Dashboard_Live_Data!U227</x:f>
        <x:v>700</x:v>
      </x:c>
      <x:c r="H1208" t="n">
        <x:f>Dashboard_Live_Data!V227</x:f>
        <x:v>5146.789750127737</x:v>
      </x:c>
    </x:row>
    <x:row r="1209">
      <x:c r="A1209" t="n">
        <x:f>Dashboard_Live_Data!O228</x:f>
        <x:v>52.980000000000004</x:v>
      </x:c>
      <x:c r="B1209" t="n">
        <x:f>Dashboard_Live_Data!P228</x:f>
        <x:v>2689.3188620508927</x:v>
      </x:c>
      <x:c r="C1209" t="n">
        <x:f>Dashboard_Live_Data!Q228</x:f>
        <x:v>353.20000000000005</x:v>
      </x:c>
      <x:c r="D1209" t="n">
        <x:f>Dashboard_Live_Data!R228</x:f>
        <x:v>2132.051534131657</x:v>
      </x:c>
      <x:c r="E1209" t="n">
        <x:f>Dashboard_Live_Data!S228</x:f>
        <x:v>706.4000000000001</x:v>
      </x:c>
      <x:c r="F1209" t="n">
        <x:f>Dashboard_Live_Data!T228</x:f>
        <x:v>5252.96660398308</x:v>
      </x:c>
      <x:c r="G1209" t="n">
        <x:f>Dashboard_Live_Data!U228</x:f>
        <x:v>706.4000000000001</x:v>
      </x:c>
      <x:c r="H1209" t="n">
        <x:f>Dashboard_Live_Data!V228</x:f>
        <x:v>5238.269036107641</x:v>
      </x:c>
    </x:row>
    <x:row r="1210">
      <x:c r="A1210" t="n">
        <x:f>Dashboard_Live_Data!O229</x:f>
        <x:v>53.519999999999996</x:v>
      </x:c>
      <x:c r="B1210" t="n">
        <x:f>Dashboard_Live_Data!P229</x:f>
        <x:v>2689.745156964556</x:v>
      </x:c>
      <x:c r="C1210" t="n">
        <x:f>Dashboard_Live_Data!Q229</x:f>
        <x:v>356.79999999999995</x:v>
      </x:c>
      <x:c r="D1210" t="n">
        <x:f>Dashboard_Live_Data!R229</x:f>
        <x:v>2170.9509450034257</x:v>
      </x:c>
      <x:c r="E1210" t="n">
        <x:f>Dashboard_Live_Data!S229</x:f>
        <x:v>713.5999999999999</x:v>
      </x:c>
      <x:c r="F1210" t="n">
        <x:f>Dashboard_Live_Data!T229</x:f>
        <x:v>5355.810251904335</x:v>
      </x:c>
      <x:c r="G1210" t="n">
        <x:f>Dashboard_Live_Data!U229</x:f>
        <x:v>713.5999999999999</x:v>
      </x:c>
      <x:c r="H1210" t="n">
        <x:f>Dashboard_Live_Data!V229</x:f>
        <x:v>5342.178421313052</x:v>
      </x:c>
    </x:row>
    <x:row r="1211">
      <x:c r="A1211" t="n">
        <x:f>Dashboard_Live_Data!O230</x:f>
        <x:v>54</x:v>
      </x:c>
      <x:c r="B1211" t="n">
        <x:f>Dashboard_Live_Data!P230</x:f>
        <x:v>2690.1277149540565</x:v>
      </x:c>
      <x:c r="C1211" t="n">
        <x:f>Dashboard_Live_Data!Q230</x:f>
        <x:v>360</x:v>
      </x:c>
      <x:c r="D1211" t="n">
        <x:f>Dashboard_Live_Data!R230</x:f>
        <x:v>2205.8593615453797</x:v>
      </x:c>
      <x:c r="E1211" t="n">
        <x:f>Dashboard_Live_Data!S230</x:f>
        <x:v>720</x:v>
      </x:c>
      <x:c r="F1211" t="n">
        <x:f>Dashboard_Live_Data!T230</x:f>
        <x:v>5448.102366871419</x:v>
      </x:c>
      <x:c r="G1211" t="n">
        <x:f>Dashboard_Live_Data!U230</x:f>
        <x:v>720</x:v>
      </x:c>
      <x:c r="H1211" t="n">
        <x:f>Dashboard_Live_Data!V230</x:f>
        <x:v>5435.426931253887</x:v>
      </x:c>
    </x:row>
    <x:row r="1212">
      <x:c r="A1212" t="n">
        <x:f>Dashboard_Live_Data!O231</x:f>
        <x:v>54.47999999999999</x:v>
      </x:c>
      <x:c r="B1212" t="n">
        <x:f>Dashboard_Live_Data!P231</x:f>
        <x:v>2690.5136886398923</x:v>
      </x:c>
      <x:c r="C1212" t="n">
        <x:f>Dashboard_Live_Data!Q231</x:f>
        <x:v>363.19999999999993</x:v>
      </x:c>
      <x:c r="D1212" t="n">
        <x:f>Dashboard_Live_Data!R231</x:f>
        <x:v>2241.079460377885</x:v>
      </x:c>
      <x:c r="E1212" t="n">
        <x:f>Dashboard_Live_Data!S231</x:f>
        <x:v>726.3999999999999</x:v>
      </x:c>
      <x:c r="F1212" t="n">
        <x:f>Dashboard_Live_Data!T231</x:f>
        <x:v>5541.218518579275</x:v>
      </x:c>
      <x:c r="G1212" t="n">
        <x:f>Dashboard_Live_Data!U231</x:f>
        <x:v>726.3999999999999</x:v>
      </x:c>
      <x:c r="H1212" t="n">
        <x:f>Dashboard_Live_Data!V231</x:f>
        <x:v>5529.508017176334</x:v>
      </x:c>
    </x:row>
    <x:row r="1213">
      <x:c r="A1213" t="n">
        <x:f>Dashboard_Live_Data!O232</x:f>
        <x:v>55.019999999999996</x:v>
      </x:c>
      <x:c r="B1213" t="n">
        <x:f>Dashboard_Live_Data!P232</x:f>
        <x:v>2690.951991860983</x:v>
      </x:c>
      <x:c r="C1213" t="n">
        <x:f>Dashboard_Live_Data!Q232</x:f>
        <x:v>366.80000000000007</x:v>
      </x:c>
      <x:c r="D1213" t="n">
        <x:f>Dashboard_Live_Data!R232</x:f>
        <x:v>2281.0746293023826</x:v>
      </x:c>
      <x:c r="E1213" t="n">
        <x:f>Dashboard_Live_Data!S232</x:f>
        <x:v>733.6000000000001</x:v>
      </x:c>
      <x:c r="F1213" t="n">
        <x:f>Dashboard_Live_Data!T232</x:f>
        <x:v>5646.95917066733</x:v>
      </x:c>
      <x:c r="G1213" t="n">
        <x:f>Dashboard_Live_Data!U232</x:f>
        <x:v>733.6000000000001</x:v>
      </x:c>
      <x:c r="H1213" t="n">
        <x:f>Dashboard_Live_Data!V232</x:f>
        <x:v>5636.344427317115</x:v>
      </x:c>
    </x:row>
    <x:row r="1214">
      <x:c r="A1214" t="n">
        <x:f>Dashboard_Live_Data!O233</x:f>
        <x:v>55.5</x:v>
      </x:c>
      <x:c r="B1214" t="n">
        <x:f>Dashboard_Live_Data!P233</x:f>
        <x:v>2691.34522390153</x:v>
      </x:c>
      <x:c r="C1214" t="n">
        <x:f>Dashboard_Live_Data!Q233</x:f>
        <x:v>370</x:v>
      </x:c>
      <x:c r="D1214" t="n">
        <x:f>Dashboard_Live_Data!R233</x:f>
        <x:v>2316.957053002314</x:v>
      </x:c>
      <x:c r="E1214" t="n">
        <x:f>Dashboard_Live_Data!S233</x:f>
        <x:v>740</x:v>
      </x:c>
      <x:c r="F1214" t="n">
        <x:f>Dashboard_Live_Data!T233</x:f>
        <x:v>5741.82640044934</x:v>
      </x:c>
      <x:c r="G1214" t="n">
        <x:f>Dashboard_Live_Data!U233</x:f>
        <x:v>740</x:v>
      </x:c>
      <x:c r="H1214" t="n">
        <x:f>Dashboard_Live_Data!V233</x:f>
        <x:v>5732.194737200494</x:v>
      </x:c>
    </x:row>
    <x:row r="1215">
      <x:c r="A1215" t="n">
        <x:f>Dashboard_Live_Data!O234</x:f>
        <x:v>55.980000000000004</x:v>
      </x:c>
      <x:c r="B1215" t="n">
        <x:f>Dashboard_Live_Data!P234</x:f>
        <x:v>2691.7418716384122</x:v>
      </x:c>
      <x:c r="C1215" t="n">
        <x:f>Dashboard_Live_Data!Q234</x:f>
        <x:v>373.20000000000005</x:v>
      </x:c>
      <x:c r="D1215" t="n">
        <x:f>Dashboard_Live_Data!R234</x:f>
        <x:v>2353.1511589928</x:v>
      </x:c>
      <x:c r="E1215" t="n">
        <x:f>Dashboard_Live_Data!S234</x:f>
        <x:v>746.4000000000001</x:v>
      </x:c>
      <x:c r="F1215" t="n">
        <x:f>Dashboard_Live_Data!T234</x:f>
        <x:v>5837.51766697213</x:v>
      </x:c>
      <x:c r="G1215" t="n">
        <x:f>Dashboard_Live_Data!U234</x:f>
        <x:v>746.4000000000001</x:v>
      </x:c>
      <x:c r="H1215" t="n">
        <x:f>Dashboard_Live_Data!V234</x:f>
        <x:v>5828.87762306549</x:v>
      </x:c>
    </x:row>
    <x:row r="1216">
      <x:c r="A1216" t="n">
        <x:f>Dashboard_Live_Data!O235</x:f>
        <x:v>56.519999999999996</x:v>
      </x:c>
      <x:c r="B1216" t="n">
        <x:f>Dashboard_Live_Data!P235</x:f>
        <x:v>2692.1921831669297</x:v>
      </x:c>
      <x:c r="C1216" t="n">
        <x:f>Dashboard_Live_Data!Q235</x:f>
        <x:v>376.79999999999995</x:v>
      </x:c>
      <x:c r="D1216" t="n">
        <x:f>Dashboard_Live_Data!R235</x:f>
        <x:v>2394.2420859700205</x:v>
      </x:c>
      <x:c r="E1216" t="n">
        <x:f>Dashboard_Live_Data!S235</x:f>
        <x:v>753.5999999999999</x:v>
      </x:c>
      <x:c r="F1216" t="n">
        <x:f>Dashboard_Live_Data!T235</x:f>
        <x:v>5946.155323226975</x:v>
      </x:c>
      <x:c r="G1216" t="n">
        <x:f>Dashboard_Live_Data!U235</x:f>
        <x:v>753.5999999999999</x:v>
      </x:c>
      <x:c r="H1216" t="n">
        <x:f>Dashboard_Live_Data!V235</x:f>
        <x:v>5938.6410581416285</x:v>
      </x:c>
    </x:row>
    <x:row r="1217">
      <x:c r="A1217" t="n">
        <x:f>Dashboard_Live_Data!O236</x:f>
        <x:v>57</x:v>
      </x:c>
      <x:c r="B1217" t="n">
        <x:f>Dashboard_Live_Data!P236</x:f>
        <x:v>2692.596089258523</x:v>
      </x:c>
      <x:c r="C1217" t="n">
        <x:f>Dashboard_Live_Data!Q236</x:f>
        <x:v>380</x:v>
      </x:c>
      <x:c r="D1217" t="n">
        <x:f>Dashboard_Live_Data!R236</x:f>
        <x:v>2431.0985168279312</x:v>
      </x:c>
      <x:c r="E1217" t="n">
        <x:f>Dashboard_Live_Data!S236</x:f>
        <x:v>760</x:v>
      </x:c>
      <x:c r="F1217" t="n">
        <x:f>Dashboard_Live_Data!T236</x:f>
        <x:v>6043.597667823918</x:v>
      </x:c>
      <x:c r="G1217" t="n">
        <x:f>Dashboard_Live_Data!U236</x:f>
        <x:v>760</x:v>
      </x:c>
      <x:c r="H1217" t="n">
        <x:f>Dashboard_Live_Data!V236</x:f>
        <x:v>6037.093167967554</x:v>
      </x:c>
    </x:row>
    <x:row r="1218">
      <x:c r="A1218" t="n">
        <x:f>Dashboard_Live_Data!O237</x:f>
        <x:v>57.480000000000004</x:v>
      </x:c>
      <x:c r="B1218" t="n">
        <x:f>Dashboard_Live_Data!P237</x:f>
        <x:v>2693.0034110464517</x:v>
      </x:c>
      <x:c r="C1218" t="n">
        <x:f>Dashboard_Live_Data!Q237</x:f>
        <x:v>383.19999999999993</x:v>
      </x:c>
      <x:c r="D1218" t="n">
        <x:f>Dashboard_Live_Data!R237</x:f>
        <x:v>2468.266629976394</x:v>
      </x:c>
      <x:c r="E1218" t="n">
        <x:f>Dashboard_Live_Data!S237</x:f>
        <x:v>766.3999999999999</x:v>
      </x:c>
      <x:c r="F1218" t="n">
        <x:f>Dashboard_Live_Data!T237</x:f>
        <x:v>6141.864049161635</x:v>
      </x:c>
      <x:c r="G1218" t="n">
        <x:f>Dashboard_Live_Data!U237</x:f>
        <x:v>766.3999999999999</x:v>
      </x:c>
      <x:c r="H1218" t="n">
        <x:f>Dashboard_Live_Data!V237</x:f>
        <x:v>6136.377853775092</x:v>
      </x:c>
    </x:row>
    <x:row r="1219">
      <x:c r="A1219" t="n">
        <x:f>Dashboard_Live_Data!O238</x:f>
        <x:v>58.02000000000001</x:v>
      </x:c>
      <x:c r="B1219" t="n">
        <x:f>Dashboard_Live_Data!P238</x:f>
        <x:v>2693.465730882396</x:v>
      </x:c>
      <x:c r="C1219" t="n">
        <x:f>Dashboard_Live_Data!Q238</x:f>
        <x:v>386.80000000000007</x:v>
      </x:c>
      <x:c r="D1219" t="n">
        <x:f>Dashboard_Live_Data!R238</x:f>
        <x:v>2510.4533150063444</x:v>
      </x:c>
      <x:c r="E1219" t="n">
        <x:f>Dashboard_Live_Data!S238</x:f>
        <x:v>773.6000000000001</x:v>
      </x:c>
      <x:c r="F1219" t="n">
        <x:f>Dashboard_Live_Data!T238</x:f>
        <x:v>6253.398709583284</x:v>
      </x:c>
      <x:c r="G1219" t="n">
        <x:f>Dashboard_Live_Data!U238</x:f>
        <x:v>773.6000000000001</x:v>
      </x:c>
      <x:c r="H1219" t="n">
        <x:f>Dashboard_Live_Data!V238</x:f>
        <x:v>6249.068313786602</x:v>
      </x:c>
    </x:row>
    <x:row r="1220">
      <x:c r="A1220" t="n">
        <x:f>Dashboard_Live_Data!O239</x:f>
        <x:v>58.5</x:v>
      </x:c>
      <x:c r="B1220" t="n">
        <x:f>Dashboard_Live_Data!P239</x:f>
        <x:v>2693.8803110250356</x:v>
      </x:c>
      <x:c r="C1220" t="n">
        <x:f>Dashboard_Live_Data!Q239</x:f>
        <x:v>390</x:v>
      </x:c>
      <x:c r="D1220" t="n">
        <x:f>Dashboard_Live_Data!R239</x:f>
        <x:v>2548.2837530222323</x:v>
      </x:c>
      <x:c r="E1220" t="n">
        <x:f>Dashboard_Live_Data!S239</x:f>
        <x:v>780</x:v>
      </x:c>
      <x:c r="F1220" t="n">
        <x:f>Dashboard_Live_Data!T239</x:f>
        <x:v>6353.416168995152</x:v>
      </x:c>
      <x:c r="G1220" t="n">
        <x:f>Dashboard_Live_Data!U239</x:f>
        <x:v>780</x:v>
      </x:c>
      <x:c r="H1220" t="n">
        <x:f>Dashboard_Live_Data!V239</x:f>
        <x:v>6350.12222355507</x:v>
      </x:c>
    </x:row>
    <x:row r="1221">
      <x:c r="A1221" t="n">
        <x:f>Dashboard_Live_Data!O240</x:f>
        <x:v>58.980000000000004</x:v>
      </x:c>
      <x:c r="B1221" t="n">
        <x:f>Dashboard_Live_Data!P240</x:f>
        <x:v>2694.2983068640106</x:v>
      </x:c>
      <x:c r="C1221" t="n">
        <x:f>Dashboard_Live_Data!Q240</x:f>
        <x:v>393.20000000000005</x:v>
      </x:c>
      <x:c r="D1221" t="n">
        <x:f>Dashboard_Live_Data!R240</x:f>
        <x:v>2586.425873328675</x:v>
      </x:c>
      <x:c r="E1221" t="n">
        <x:f>Dashboard_Live_Data!S240</x:f>
        <x:v>786.4000000000001</x:v>
      </x:c>
      <x:c r="F1221" t="n">
        <x:f>Dashboard_Live_Data!T240</x:f>
        <x:v>6454.257665147801</x:v>
      </x:c>
      <x:c r="G1221" t="n">
        <x:f>Dashboard_Live_Data!U240</x:f>
        <x:v>786.4000000000001</x:v>
      </x:c>
      <x:c r="H1221" t="n">
        <x:f>Dashboard_Live_Data!V240</x:f>
        <x:v>6452.008709305157</x:v>
      </x:c>
    </x:row>
    <x:row r="1222">
      <x:c r="A1222" t="n">
        <x:f>Dashboard_Live_Data!O241</x:f>
        <x:v>59.519999999999996</x:v>
      </x:c>
      <x:c r="B1222" t="n">
        <x:f>Dashboard_Live_Data!P241</x:f>
        <x:v>2694.7726350073826</x:v>
      </x:c>
      <x:c r="C1222" t="n">
        <x:f>Dashboard_Live_Data!Q241</x:f>
        <x:v>396.79999999999995</x:v>
      </x:c>
      <x:c r="D1222" t="n">
        <x:f>Dashboard_Live_Data!R241</x:f>
        <x:v>2629.708316411348</x:v>
      </x:c>
      <x:c r="E1222" t="n">
        <x:f>Dashboard_Live_Data!S241</x:f>
        <x:v>793.5999999999999</x:v>
      </x:c>
      <x:c r="F1222" t="n">
        <x:f>Dashboard_Live_Data!T241</x:f>
        <x:v>6568.689329736239</x:v>
      </x:c>
      <x:c r="G1222" t="n">
        <x:f>Dashboard_Live_Data!U241</x:f>
        <x:v>793.5999999999999</x:v>
      </x:c>
      <x:c r="H1222" t="n">
        <x:f>Dashboard_Live_Data!V241</x:f>
        <x:v>6567.626194252023</x:v>
      </x:c>
    </x:row>
    <x:row r="1223">
      <x:c r="A1223" t="n">
        <x:f>Dashboard_Live_Data!O242</x:f>
        <x:v>60</x:v>
      </x:c>
      <x:c r="B1223" t="n">
        <x:f>Dashboard_Live_Data!P242</x:f>
        <x:v>2695.1978892010684</x:v>
      </x:c>
      <x:c r="C1223" t="n">
        <x:f>Dashboard_Live_Data!Q242</x:f>
        <x:v>400</x:v>
      </x:c>
      <x:c r="D1223" t="n">
        <x:f>Dashboard_Live_Data!R242</x:f>
        <x:v>2668.5127615852166</x:v>
      </x:c>
      <x:c r="E1223" t="n">
        <x:f>Dashboard_Live_Data!S242</x:f>
        <x:v>800</x:v>
      </x:c>
      <x:c r="F1223" t="n">
        <x:f>Dashboard_Live_Data!T242</x:f>
        <x:v>6671.281903963041</x:v>
      </x:c>
      <x:c r="G1223" t="n">
        <x:f>Dashboard_Live_Data!U242</x:f>
        <x:v>800</x:v>
      </x:c>
      <x:c r="H1223" t="n">
        <x:f>Dashboard_Live_Data!V242</x:f>
        <x:v>6671.281903963041</x:v>
      </x:c>
    </x:row>
    <x:row r="1226">
      <x:c r="A1226" t="inlineStr">
        <x:is>
          <x:t xml:space="preserve">Nadir Radar Delay by Flyby: With Generated Topography</x:t>
        </x:is>
      </x:c>
    </x:row>
    <x:row r="1227">
      <x:c r="A1227" t="inlineStr">
        <x:is>
          <x:t xml:space="preserve">Custom 400 km / 120 km pass x</x:t>
        </x:is>
      </x:c>
      <x:c r="B1227" t="inlineStr">
        <x:is>
          <x:t xml:space="preserve">Custom 400 km / 120 km pass</x:t>
        </x:is>
      </x:c>
      <x:c r="C1227" t="inlineStr">
        <x:is>
          <x:t xml:space="preserve">Paper low-altitude 35 km / 800 km pass x</x:t>
        </x:is>
      </x:c>
      <x:c r="D1227" t="inlineStr">
        <x:is>
          <x:t xml:space="preserve">Paper low-altitude 35 km / 800 km pass</x:t>
        </x:is>
      </x:c>
      <x:c r="E1227" t="inlineStr">
        <x:is>
          <x:t xml:space="preserve">Paper ice-ocean 35 km / 1600 km pass x</x:t>
        </x:is>
      </x:c>
      <x:c r="F1227" t="inlineStr">
        <x:is>
          <x:t xml:space="preserve">Paper ice-ocean 35 km / 1600 km pass</x:t>
        </x:is>
      </x:c>
      <x:c r="G1227" t="inlineStr">
        <x:is>
          <x:t xml:space="preserve">Operating 25 km / 1600 km pass x</x:t>
        </x:is>
      </x:c>
      <x:c r="H1227" t="inlineStr">
        <x:is>
          <x:t xml:space="preserve">Operating 25 km / 1600 km pass</x:t>
        </x:is>
      </x:c>
    </x:row>
    <x:row r="1228">
      <x:c r="A1228" t="n">
        <x:f>Dashboard_Live_Data!X2</x:f>
        <x:v>-60</x:v>
      </x:c>
      <x:c r="B1228" t="n">
        <x:f>Dashboard_Live_Data!Y2</x:f>
        <x:v>2695.1794479163473</x:v>
      </x:c>
      <x:c r="C1228" t="n">
        <x:f>Dashboard_Live_Data!Z2</x:f>
        <x:v>-400</x:v>
      </x:c>
      <x:c r="D1228" t="n">
        <x:f>Dashboard_Live_Data!AA2</x:f>
        <x:v>2668.428145382045</x:v>
      </x:c>
      <x:c r="E1228" t="n">
        <x:f>Dashboard_Live_Data!AB2</x:f>
        <x:v>-800</x:v>
      </x:c>
      <x:c r="F1228" t="n">
        <x:f>Dashboard_Live_Data!AC2</x:f>
        <x:v>6671.247983955019</x:v>
      </x:c>
      <x:c r="G1228" t="n">
        <x:f>Dashboard_Live_Data!AD2</x:f>
        <x:v>-800</x:v>
      </x:c>
      <x:c r="H1228" t="n">
        <x:f>Dashboard_Live_Data!AE2</x:f>
        <x:v>6671.247983955019</x:v>
      </x:c>
    </x:row>
    <x:row r="1229">
      <x:c r="A1229" t="n">
        <x:f>Dashboard_Live_Data!X3</x:f>
        <x:v>-59.519999999999996</x:v>
      </x:c>
      <x:c r="B1229" t="n">
        <x:f>Dashboard_Live_Data!Y3</x:f>
        <x:v>2694.649504247689</x:v>
      </x:c>
      <x:c r="C1229" t="n">
        <x:f>Dashboard_Live_Data!Z3</x:f>
        <x:v>-396.8</x:v>
      </x:c>
      <x:c r="D1229" t="n">
        <x:f>Dashboard_Live_Data!AA3</x:f>
        <x:v>2629.6394627152467</x:v>
      </x:c>
      <x:c r="E1229" t="n">
        <x:f>Dashboard_Live_Data!AB3</x:f>
        <x:v>-793.6</x:v>
      </x:c>
      <x:c r="F1229" t="n">
        <x:f>Dashboard_Live_Data!AC3</x:f>
        <x:v>6568.698547910094</x:v>
      </x:c>
      <x:c r="G1229" t="n">
        <x:f>Dashboard_Live_Data!AD3</x:f>
        <x:v>-793.6</x:v>
      </x:c>
      <x:c r="H1229" t="n">
        <x:f>Dashboard_Live_Data!AE3</x:f>
        <x:v>6567.635412425879</x:v>
      </x:c>
    </x:row>
    <x:row r="1230">
      <x:c r="A1230" t="n">
        <x:f>Dashboard_Live_Data!X4</x:f>
        <x:v>-58.98</x:v>
      </x:c>
      <x:c r="B1230" t="n">
        <x:f>Dashboard_Live_Data!Y4</x:f>
        <x:v>2694.1888252313724</x:v>
      </x:c>
      <x:c r="C1230" t="n">
        <x:f>Dashboard_Live_Data!Z4</x:f>
        <x:v>-393.2</x:v>
      </x:c>
      <x:c r="D1230" t="n">
        <x:f>Dashboard_Live_Data!AA4</x:f>
        <x:v>2585.9914136189823</x:v>
      </x:c>
      <x:c r="E1230" t="n">
        <x:f>Dashboard_Live_Data!AB4</x:f>
        <x:v>-786.4</x:v>
      </x:c>
      <x:c r="F1230" t="n">
        <x:f>Dashboard_Live_Data!AC4</x:f>
        <x:v>6453.945176408153</x:v>
      </x:c>
      <x:c r="G1230" t="n">
        <x:f>Dashboard_Live_Data!AD4</x:f>
        <x:v>-786.4</x:v>
      </x:c>
      <x:c r="H1230" t="n">
        <x:f>Dashboard_Live_Data!AE4</x:f>
        <x:v>6451.696220565506</x:v>
      </x:c>
    </x:row>
    <x:row r="1231">
      <x:c r="A1231" t="n">
        <x:f>Dashboard_Live_Data!X5</x:f>
        <x:v>-58.5</x:v>
      </x:c>
      <x:c r="B1231" t="n">
        <x:f>Dashboard_Live_Data!Y5</x:f>
        <x:v>2693.7352285655793</x:v>
      </x:c>
      <x:c r="C1231" t="n">
        <x:f>Dashboard_Live_Data!Z5</x:f>
        <x:v>-390</x:v>
      </x:c>
      <x:c r="D1231" t="n">
        <x:f>Dashboard_Live_Data!AA5</x:f>
        <x:v>2547.8333970113854</x:v>
      </x:c>
      <x:c r="E1231" t="n">
        <x:f>Dashboard_Live_Data!AB5</x:f>
        <x:v>-780</x:v>
      </x:c>
      <x:c r="F1231" t="n">
        <x:f>Dashboard_Live_Data!AC5</x:f>
        <x:v>6353.461154685279</x:v>
      </x:c>
      <x:c r="G1231" t="n">
        <x:f>Dashboard_Live_Data!AD5</x:f>
        <x:v>-780</x:v>
      </x:c>
      <x:c r="H1231" t="n">
        <x:f>Dashboard_Live_Data!AE5</x:f>
        <x:v>6350.167209245198</x:v>
      </x:c>
    </x:row>
    <x:row r="1232">
      <x:c r="A1232" t="n">
        <x:f>Dashboard_Live_Data!X6</x:f>
        <x:v>-58.019999999999996</x:v>
      </x:c>
      <x:c r="B1232" t="n">
        <x:f>Dashboard_Live_Data!Y6</x:f>
        <x:v>2693.215329991879</x:v>
      </x:c>
      <x:c r="C1232" t="n">
        <x:f>Dashboard_Live_Data!Z6</x:f>
        <x:v>-386.8</x:v>
      </x:c>
      <x:c r="D1232" t="n">
        <x:f>Dashboard_Live_Data!AA6</x:f>
        <x:v>2510.4039491819062</x:v>
      </x:c>
      <x:c r="E1232" t="n">
        <x:f>Dashboard_Live_Data!AB6</x:f>
        <x:v>-773.6</x:v>
      </x:c>
      <x:c r="F1232" t="n">
        <x:f>Dashboard_Live_Data!AC6</x:f>
        <x:v>6253.070767176094</x:v>
      </x:c>
      <x:c r="G1232" t="n">
        <x:f>Dashboard_Live_Data!AD6</x:f>
        <x:v>-773.6</x:v>
      </x:c>
      <x:c r="H1232" t="n">
        <x:f>Dashboard_Live_Data!AE6</x:f>
        <x:v>6248.740371379414</x:v>
      </x:c>
    </x:row>
    <x:row r="1233">
      <x:c r="A1233" t="n">
        <x:f>Dashboard_Live_Data!X7</x:f>
        <x:v>-57.48</x:v>
      </x:c>
      <x:c r="B1233" t="n">
        <x:f>Dashboard_Live_Data!Y7</x:f>
        <x:v>2692.827045062799</x:v>
      </x:c>
      <x:c r="C1233" t="n">
        <x:f>Dashboard_Live_Data!Z7</x:f>
        <x:v>-383.2</x:v>
      </x:c>
      <x:c r="D1233" t="n">
        <x:f>Dashboard_Live_Data!AA7</x:f>
        <x:v>2468.416414407845</x:v>
      </x:c>
      <x:c r="E1233" t="n">
        <x:f>Dashboard_Live_Data!AB7</x:f>
        <x:v>-766.4</x:v>
      </x:c>
      <x:c r="F1233" t="n">
        <x:f>Dashboard_Live_Data!AC7</x:f>
        <x:v>6141.373980598753</x:v>
      </x:c>
      <x:c r="G1233" t="n">
        <x:f>Dashboard_Live_Data!AD7</x:f>
        <x:v>-766.4</x:v>
      </x:c>
      <x:c r="H1233" t="n">
        <x:f>Dashboard_Live_Data!AE7</x:f>
        <x:v>6135.887785212209</x:v>
      </x:c>
    </x:row>
    <x:row r="1234">
      <x:c r="A1234" t="n">
        <x:f>Dashboard_Live_Data!X8</x:f>
        <x:v>-57</x:v>
      </x:c>
      <x:c r="B1234" t="n">
        <x:f>Dashboard_Live_Data!Y8</x:f>
        <x:v>2692.226227498772</x:v>
      </x:c>
      <x:c r="C1234" t="n">
        <x:f>Dashboard_Live_Data!Z8</x:f>
        <x:v>-380</x:v>
      </x:c>
      <x:c r="D1234" t="n">
        <x:f>Dashboard_Live_Data!AA8</x:f>
        <x:v>2431.3222101605993</x:v>
      </x:c>
      <x:c r="E1234" t="n">
        <x:f>Dashboard_Live_Data!AB8</x:f>
        <x:v>-760</x:v>
      </x:c>
      <x:c r="F1234" t="n">
        <x:f>Dashboard_Live_Data!AC8</x:f>
        <x:v>6043.3407753063475</x:v>
      </x:c>
      <x:c r="G1234" t="n">
        <x:f>Dashboard_Live_Data!AD8</x:f>
        <x:v>-760</x:v>
      </x:c>
      <x:c r="H1234" t="n">
        <x:f>Dashboard_Live_Data!AE8</x:f>
        <x:v>6036.836275449983</x:v>
      </x:c>
    </x:row>
    <x:row r="1235">
      <x:c r="A1235" t="n">
        <x:f>Dashboard_Live_Data!X9</x:f>
        <x:v>-56.519999999999996</x:v>
      </x:c>
      <x:c r="B1235" t="n">
        <x:f>Dashboard_Live_Data!Y9</x:f>
        <x:v>2691.9513345452874</x:v>
      </x:c>
      <x:c r="C1235" t="n">
        <x:f>Dashboard_Live_Data!Z9</x:f>
        <x:v>-376.79999999999995</x:v>
      </x:c>
      <x:c r="D1235" t="n">
        <x:f>Dashboard_Live_Data!AA9</x:f>
        <x:v>2394.364951188643</x:v>
      </x:c>
      <x:c r="E1235" t="n">
        <x:f>Dashboard_Live_Data!AB9</x:f>
        <x:v>-753.5999999999999</x:v>
      </x:c>
      <x:c r="F1235" t="n">
        <x:f>Dashboard_Live_Data!AC9</x:f>
        <x:v>5945.633448560879</x:v>
      </x:c>
      <x:c r="G1235" t="n">
        <x:f>Dashboard_Live_Data!AD9</x:f>
        <x:v>-753.5999999999999</x:v>
      </x:c>
      <x:c r="H1235" t="n">
        <x:f>Dashboard_Live_Data!AE9</x:f>
        <x:v>5938.119183475531</x:v>
      </x:c>
    </x:row>
    <x:row r="1236">
      <x:c r="A1236" t="n">
        <x:f>Dashboard_Live_Data!X10</x:f>
        <x:v>-55.980000000000004</x:v>
      </x:c>
      <x:c r="B1236" t="n">
        <x:f>Dashboard_Live_Data!Y10</x:f>
        <x:v>2691.331788094177</x:v>
      </x:c>
      <x:c r="C1236" t="n">
        <x:f>Dashboard_Live_Data!Z10</x:f>
        <x:v>-373.20000000000005</x:v>
      </x:c>
      <x:c r="D1236" t="n">
        <x:f>Dashboard_Live_Data!AA10</x:f>
        <x:v>2353.0603134471708</x:v>
      </x:c>
      <x:c r="E1236" t="n">
        <x:f>Dashboard_Live_Data!AB10</x:f>
        <x:v>-746.4000000000001</x:v>
      </x:c>
      <x:c r="F1236" t="n">
        <x:f>Dashboard_Live_Data!AC10</x:f>
        <x:v>5837.185632869483</x:v>
      </x:c>
      <x:c r="G1236" t="n">
        <x:f>Dashboard_Live_Data!AD10</x:f>
        <x:v>-746.4000000000001</x:v>
      </x:c>
      <x:c r="H1236" t="n">
        <x:f>Dashboard_Live_Data!AE10</x:f>
        <x:v>5828.545588962842</x:v>
      </x:c>
    </x:row>
    <x:row r="1237">
      <x:c r="A1237" t="n">
        <x:f>Dashboard_Live_Data!X11</x:f>
        <x:v>-55.5</x:v>
      </x:c>
      <x:c r="B1237" t="n">
        <x:f>Dashboard_Live_Data!Y11</x:f>
        <x:v>2691.088402349562</x:v>
      </x:c>
      <x:c r="C1237" t="n">
        <x:f>Dashboard_Live_Data!Z11</x:f>
        <x:v>-370</x:v>
      </x:c>
      <x:c r="D1237" t="n">
        <x:f>Dashboard_Live_Data!AA11</x:f>
        <x:v>2316.8740711674914</x:v>
      </x:c>
      <x:c r="E1237" t="n">
        <x:f>Dashboard_Live_Data!AB11</x:f>
        <x:v>-740</x:v>
      </x:c>
      <x:c r="F1237" t="n">
        <x:f>Dashboard_Live_Data!AC11</x:f>
        <x:v>5741.729536296609</x:v>
      </x:c>
      <x:c r="G1237" t="n">
        <x:f>Dashboard_Live_Data!AD11</x:f>
        <x:v>-740</x:v>
      </x:c>
      <x:c r="H1237" t="n">
        <x:f>Dashboard_Live_Data!AE11</x:f>
        <x:v>5732.097873047763</x:v>
      </x:c>
    </x:row>
    <x:row r="1238">
      <x:c r="A1238" t="n">
        <x:f>Dashboard_Live_Data!X12</x:f>
        <x:v>-55.02</x:v>
      </x:c>
      <x:c r="B1238" t="n">
        <x:f>Dashboard_Live_Data!Y12</x:f>
        <x:v>2690.69544749007</x:v>
      </x:c>
      <x:c r="C1238" t="n">
        <x:f>Dashboard_Live_Data!Z12</x:f>
        <x:v>-366.8</x:v>
      </x:c>
      <x:c r="D1238" t="n">
        <x:f>Dashboard_Live_Data!AA12</x:f>
        <x:v>2281.42139016595</x:v>
      </x:c>
      <x:c r="E1238" t="n">
        <x:f>Dashboard_Live_Data!AB12</x:f>
        <x:v>-733.6</x:v>
      </x:c>
      <x:c r="F1238" t="n">
        <x:f>Dashboard_Live_Data!AC12</x:f>
        <x:v>5646.7277866164695</x:v>
      </x:c>
      <x:c r="G1238" t="n">
        <x:f>Dashboard_Live_Data!AD12</x:f>
        <x:v>-733.6</x:v>
      </x:c>
      <x:c r="H1238" t="n">
        <x:f>Dashboard_Live_Data!AE12</x:f>
        <x:v>5636.113043266254</x:v>
      </x:c>
    </x:row>
    <x:row r="1239">
      <x:c r="A1239" t="n">
        <x:f>Dashboard_Live_Data!X13</x:f>
        <x:v>-54.480000000000004</x:v>
      </x:c>
      <x:c r="B1239" t="n">
        <x:f>Dashboard_Live_Data!Y13</x:f>
        <x:v>2690.1320799792074</x:v>
      </x:c>
      <x:c r="C1239" t="n">
        <x:f>Dashboard_Live_Data!Z13</x:f>
        <x:v>-363.2</x:v>
      </x:c>
      <x:c r="D1239" t="n">
        <x:f>Dashboard_Live_Data!AA13</x:f>
        <x:v>2241.5050146309113</x:v>
      </x:c>
      <x:c r="E1239" t="n">
        <x:f>Dashboard_Live_Data!AB13</x:f>
        <x:v>-726.4</x:v>
      </x:c>
      <x:c r="F1239" t="n">
        <x:f>Dashboard_Live_Data!AC13</x:f>
        <x:v>5541.454225810645</x:v>
      </x:c>
      <x:c r="G1239" t="n">
        <x:f>Dashboard_Live_Data!AD13</x:f>
        <x:v>-726.4</x:v>
      </x:c>
      <x:c r="H1239" t="n">
        <x:f>Dashboard_Live_Data!AE13</x:f>
        <x:v>5529.743724407704</x:v>
      </x:c>
    </x:row>
    <x:row r="1240">
      <x:c r="A1240" t="n">
        <x:f>Dashboard_Live_Data!X14</x:f>
        <x:v>-54</x:v>
      </x:c>
      <x:c r="B1240" t="n">
        <x:f>Dashboard_Live_Data!Y14</x:f>
        <x:v>2689.8747687370624</x:v>
      </x:c>
      <x:c r="C1240" t="n">
        <x:f>Dashboard_Live_Data!Z14</x:f>
        <x:v>-360</x:v>
      </x:c>
      <x:c r="D1240" t="n">
        <x:f>Dashboard_Live_Data!AA14</x:f>
        <x:v>2205.928237430532</x:v>
      </x:c>
      <x:c r="E1240" t="n">
        <x:f>Dashboard_Live_Data!AB14</x:f>
        <x:v>-720</x:v>
      </x:c>
      <x:c r="F1240" t="n">
        <x:f>Dashboard_Live_Data!AC14</x:f>
        <x:v>5448.244174117028</x:v>
      </x:c>
      <x:c r="G1240" t="n">
        <x:f>Dashboard_Live_Data!AD14</x:f>
        <x:v>-720</x:v>
      </x:c>
      <x:c r="H1240" t="n">
        <x:f>Dashboard_Live_Data!AE14</x:f>
        <x:v>5435.568738499498</x:v>
      </x:c>
    </x:row>
    <x:row r="1241">
      <x:c r="A1241" t="n">
        <x:f>Dashboard_Live_Data!X15</x:f>
        <x:v>-53.52</x:v>
      </x:c>
      <x:c r="B1241" t="n">
        <x:f>Dashboard_Live_Data!Y15</x:f>
        <x:v>2689.409732962194</x:v>
      </x:c>
      <x:c r="C1241" t="n">
        <x:f>Dashboard_Live_Data!Z15</x:f>
        <x:v>-356.8</x:v>
      </x:c>
      <x:c r="D1241" t="n">
        <x:f>Dashboard_Live_Data!AA15</x:f>
        <x:v>2170.5785179125855</x:v>
      </x:c>
      <x:c r="E1241" t="n">
        <x:f>Dashboard_Live_Data!AB15</x:f>
        <x:v>-713.6</x:v>
      </x:c>
      <x:c r="F1241" t="n">
        <x:f>Dashboard_Live_Data!AC15</x:f>
        <x:v>5355.753564055641</x:v>
      </x:c>
      <x:c r="G1241" t="n">
        <x:f>Dashboard_Live_Data!AD15</x:f>
        <x:v>-713.6</x:v>
      </x:c>
      <x:c r="H1241" t="n">
        <x:f>Dashboard_Live_Data!AE15</x:f>
        <x:v>5342.121733464359</x:v>
      </x:c>
    </x:row>
    <x:row r="1242">
      <x:c r="A1242" t="n">
        <x:f>Dashboard_Live_Data!X16</x:f>
        <x:v>-52.980000000000004</x:v>
      </x:c>
      <x:c r="B1242" t="n">
        <x:f>Dashboard_Live_Data!Y16</x:f>
        <x:v>2688.980515660841</x:v>
      </x:c>
      <x:c r="C1242" t="n">
        <x:f>Dashboard_Live_Data!Z16</x:f>
        <x:v>-353.2</x:v>
      </x:c>
      <x:c r="D1242" t="n">
        <x:f>Dashboard_Live_Data!AA16</x:f>
        <x:v>2131.7740125261435</x:v>
      </x:c>
      <x:c r="E1242" t="n">
        <x:f>Dashboard_Live_Data!AB16</x:f>
        <x:v>-706.4</x:v>
      </x:c>
      <x:c r="F1242" t="n">
        <x:f>Dashboard_Live_Data!AC16</x:f>
        <x:v>5253.145120344409</x:v>
      </x:c>
      <x:c r="G1242" t="n">
        <x:f>Dashboard_Live_Data!AD16</x:f>
        <x:v>-706.4</x:v>
      </x:c>
      <x:c r="H1242" t="n">
        <x:f>Dashboard_Live_Data!AE16</x:f>
        <x:v>5238.447552468971</x:v>
      </x:c>
    </x:row>
    <x:row r="1243">
      <x:c r="A1243" t="n">
        <x:f>Dashboard_Live_Data!X17</x:f>
        <x:v>-52.5</x:v>
      </x:c>
      <x:c r="B1243" t="n">
        <x:f>Dashboard_Live_Data!Y17</x:f>
        <x:v>2688.663945378994</x:v>
      </x:c>
      <x:c r="C1243" t="n">
        <x:f>Dashboard_Live_Data!Z17</x:f>
        <x:v>-350</x:v>
      </x:c>
      <x:c r="D1243" t="n">
        <x:f>Dashboard_Live_Data!AA17</x:f>
        <x:v>2097.9403231136466</x:v>
      </x:c>
      <x:c r="E1243" t="n">
        <x:f>Dashboard_Live_Data!AB17</x:f>
        <x:v>-700</x:v>
      </x:c>
      <x:c r="F1243" t="n">
        <x:f>Dashboard_Live_Data!AC17</x:f>
        <x:v>5162.261744423182</x:v>
      </x:c>
      <x:c r="G1243" t="n">
        <x:f>Dashboard_Live_Data!AD17</x:f>
        <x:v>-700</x:v>
      </x:c>
      <x:c r="H1243" t="n">
        <x:f>Dashboard_Live_Data!AE17</x:f>
        <x:v>5146.625927460768</x:v>
      </x:c>
    </x:row>
    <x:row r="1244">
      <x:c r="A1244" t="n">
        <x:f>Dashboard_Live_Data!X18</x:f>
        <x:v>-52.019999999999996</x:v>
      </x:c>
      <x:c r="B1244" t="n">
        <x:f>Dashboard_Live_Data!Y18</x:f>
        <x:v>2688.3599201386814</x:v>
      </x:c>
      <x:c r="C1244" t="n">
        <x:f>Dashboard_Live_Data!Z18</x:f>
        <x:v>-346.8</x:v>
      </x:c>
      <x:c r="D1244" t="n">
        <x:f>Dashboard_Live_Data!AA18</x:f>
        <x:v>2064.052827462836</x:v>
      </x:c>
      <x:c r="E1244" t="n">
        <x:f>Dashboard_Live_Data!AB18</x:f>
        <x:v>-693.6</x:v>
      </x:c>
      <x:c r="F1244" t="n">
        <x:f>Dashboard_Live_Data!AC18</x:f>
        <x:v>5072.4876261424</x:v>
      </x:c>
      <x:c r="G1244" t="n">
        <x:f>Dashboard_Live_Data!AD18</x:f>
        <x:v>-693.6</x:v>
      </x:c>
      <x:c r="H1244" t="n">
        <x:f>Dashboard_Live_Data!AE18</x:f>
        <x:v>5055.92209933385</x:v>
      </x:c>
    </x:row>
    <x:row r="1245">
      <x:c r="A1245" t="n">
        <x:f>Dashboard_Live_Data!X19</x:f>
        <x:v>-51.48</x:v>
      </x:c>
      <x:c r="B1245" t="n">
        <x:f>Dashboard_Live_Data!Y19</x:f>
        <x:v>2687.8899442216875</x:v>
      </x:c>
      <x:c r="C1245" t="n">
        <x:f>Dashboard_Live_Data!Z19</x:f>
        <x:v>-343.2</x:v>
      </x:c>
      <x:c r="D1245" t="n">
        <x:f>Dashboard_Live_Data!AA19</x:f>
        <x:v>2025.8824537713756</x:v>
      </x:c>
      <x:c r="E1245" t="n">
        <x:f>Dashboard_Live_Data!AB19</x:f>
        <x:v>-686.4</x:v>
      </x:c>
      <x:c r="F1245" t="n">
        <x:f>Dashboard_Live_Data!AC19</x:f>
        <x:v>4972.64948397899</x:v>
      </x:c>
      <x:c r="G1245" t="n">
        <x:f>Dashboard_Live_Data!AD19</x:f>
        <x:v>-686.4</x:v>
      </x:c>
      <x:c r="H1245" t="n">
        <x:f>Dashboard_Live_Data!AE19</x:f>
        <x:v>4955.048240654851</x:v>
      </x:c>
    </x:row>
    <x:row r="1246">
      <x:c r="A1246" t="n">
        <x:f>Dashboard_Live_Data!X20</x:f>
        <x:v>-51</x:v>
      </x:c>
      <x:c r="B1246" t="n">
        <x:f>Dashboard_Live_Data!Y20</x:f>
        <x:v>2687.531860347289</x:v>
      </x:c>
      <x:c r="C1246" t="n">
        <x:f>Dashboard_Live_Data!Z20</x:f>
        <x:v>-340</x:v>
      </x:c>
      <x:c r="D1246" t="n">
        <x:f>Dashboard_Live_Data!AA20</x:f>
        <x:v>1992.3821270692197</x:v>
      </x:c>
      <x:c r="E1246" t="n">
        <x:f>Dashboard_Live_Data!AB20</x:f>
        <x:v>-680</x:v>
      </x:c>
      <x:c r="F1246" t="n">
        <x:f>Dashboard_Live_Data!AC20</x:f>
        <x:v>4884.268557637219</x:v>
      </x:c>
      <x:c r="G1246" t="n">
        <x:f>Dashboard_Live_Data!AD20</x:f>
        <x:v>-680</x:v>
      </x:c>
      <x:c r="H1246" t="n">
        <x:f>Dashboard_Live_Data!AE20</x:f>
        <x:v>4865.75575035372</x:v>
      </x:c>
    </x:row>
    <x:row r="1247">
      <x:c r="A1247" t="n">
        <x:f>Dashboard_Live_Data!X21</x:f>
        <x:v>-50.519999999999996</x:v>
      </x:c>
      <x:c r="B1247" t="n">
        <x:f>Dashboard_Live_Data!Y21</x:f>
        <x:v>2687.2430684507012</x:v>
      </x:c>
      <x:c r="C1247" t="n">
        <x:f>Dashboard_Live_Data!Z21</x:f>
        <x:v>-336.8</x:v>
      </x:c>
      <x:c r="D1247" t="n">
        <x:f>Dashboard_Live_Data!AA21</x:f>
        <x:v>1959.478663052429</x:v>
      </x:c>
      <x:c r="E1247" t="n">
        <x:f>Dashboard_Live_Data!AB21</x:f>
        <x:v>-673.6</x:v>
      </x:c>
      <x:c r="F1247" t="n">
        <x:f>Dashboard_Live_Data!AC21</x:f>
        <x:v>4797.520252737128</x:v>
      </x:c>
      <x:c r="G1247" t="n">
        <x:f>Dashboard_Live_Data!AD21</x:f>
        <x:v>-673.6</x:v>
      </x:c>
      <x:c r="H1247" t="n">
        <x:f>Dashboard_Live_Data!AE21</x:f>
        <x:v>4778.104420735111</x:v>
      </x:c>
    </x:row>
    <x:row r="1248">
      <x:c r="A1248" t="n">
        <x:f>Dashboard_Live_Data!X22</x:f>
        <x:v>-49.98</x:v>
      </x:c>
      <x:c r="B1248" t="n">
        <x:f>Dashboard_Live_Data!Y22</x:f>
        <x:v>2686.8370816958704</x:v>
      </x:c>
      <x:c r="C1248" t="n">
        <x:f>Dashboard_Live_Data!Z22</x:f>
        <x:v>-333.2</x:v>
      </x:c>
      <x:c r="D1248" t="n">
        <x:f>Dashboard_Live_Data!AA22</x:f>
        <x:v>1922.8302463603984</x:v>
      </x:c>
      <x:c r="E1248" t="n">
        <x:f>Dashboard_Live_Data!AB22</x:f>
        <x:v>-666.4</x:v>
      </x:c>
      <x:c r="F1248" t="n">
        <x:f>Dashboard_Live_Data!AC22</x:f>
        <x:v>4700.389166127263</x:v>
      </x:c>
      <x:c r="G1248" t="n">
        <x:f>Dashboard_Live_Data!AD22</x:f>
        <x:v>-666.4</x:v>
      </x:c>
      <x:c r="H1248" t="n">
        <x:f>Dashboard_Live_Data!AE22</x:f>
        <x:v>4679.967638378223</x:v>
      </x:c>
    </x:row>
    <x:row r="1249">
      <x:c r="A1249" t="n">
        <x:f>Dashboard_Live_Data!X23</x:f>
        <x:v>-49.5</x:v>
      </x:c>
      <x:c r="B1249" t="n">
        <x:f>Dashboard_Live_Data!Y23</x:f>
        <x:v>2686.329056234708</x:v>
      </x:c>
      <x:c r="C1249" t="n">
        <x:f>Dashboard_Live_Data!Z23</x:f>
        <x:v>-330</x:v>
      </x:c>
      <x:c r="D1249" t="n">
        <x:f>Dashboard_Live_Data!AA23</x:f>
        <x:v>1890.6642418919669</x:v>
      </x:c>
      <x:c r="E1249" t="n">
        <x:f>Dashboard_Live_Data!AB23</x:f>
        <x:v>-660</x:v>
      </x:c>
      <x:c r="F1249" t="n">
        <x:f>Dashboard_Live_Data!AC23</x:f>
        <x:v>4614.846299685641</x:v>
      </x:c>
      <x:c r="G1249" t="n">
        <x:f>Dashboard_Live_Data!AD23</x:f>
        <x:v>-660</x:v>
      </x:c>
      <x:c r="H1249" t="n">
        <x:f>Dashboard_Live_Data!AE23</x:f>
        <x:v>4593.5398931048585</x:v>
      </x:c>
    </x:row>
    <x:row r="1250">
      <x:c r="A1250" t="n">
        <x:f>Dashboard_Live_Data!X24</x:f>
        <x:v>-49.019999999999996</x:v>
      </x:c>
      <x:c r="B1250" t="n">
        <x:f>Dashboard_Live_Data!Y24</x:f>
        <x:v>2685.975086049943</x:v>
      </x:c>
      <x:c r="C1250" t="n">
        <x:f>Dashboard_Live_Data!Z24</x:f>
        <x:v>-326.79999999999995</x:v>
      </x:c>
      <x:c r="D1250" t="n">
        <x:f>Dashboard_Live_Data!AA24</x:f>
        <x:v>1858.6153385407672</x:v>
      </x:c>
      <x:c r="E1250" t="n">
        <x:f>Dashboard_Live_Data!AB24</x:f>
        <x:v>-653.5999999999999</x:v>
      </x:c>
      <x:c r="F1250" t="n">
        <x:f>Dashboard_Live_Data!AC24</x:f>
        <x:v>4530.509339233609</x:v>
      </x:c>
      <x:c r="G1250" t="n">
        <x:f>Dashboard_Live_Data!AD24</x:f>
        <x:v>-653.5999999999999</x:v>
      </x:c>
      <x:c r="H1250" t="n">
        <x:f>Dashboard_Live_Data!AE24</x:f>
        <x:v>4508.326593061924</x:v>
      </x:c>
    </x:row>
    <x:row r="1251">
      <x:c r="A1251" t="n">
        <x:f>Dashboard_Live_Data!X25</x:f>
        <x:v>-48.480000000000004</x:v>
      </x:c>
      <x:c r="B1251" t="n">
        <x:f>Dashboard_Live_Data!Y25</x:f>
        <x:v>2685.6117027895602</x:v>
      </x:c>
      <x:c r="C1251" t="n">
        <x:f>Dashboard_Live_Data!Z25</x:f>
        <x:v>-323.20000000000005</x:v>
      </x:c>
      <x:c r="D1251" t="n">
        <x:f>Dashboard_Live_Data!AA25</x:f>
        <x:v>1822.724543620418</x:v>
      </x:c>
      <x:c r="E1251" t="n">
        <x:f>Dashboard_Live_Data!AB25</x:f>
        <x:v>-646.4000000000001</x:v>
      </x:c>
      <x:c r="F1251" t="n">
        <x:f>Dashboard_Live_Data!AC25</x:f>
        <x:v>4436.086416176702</x:v>
      </x:c>
      <x:c r="G1251" t="n">
        <x:f>Dashboard_Live_Data!AD25</x:f>
        <x:v>-646.4000000000001</x:v>
      </x:c>
      <x:c r="H1251" t="n">
        <x:f>Dashboard_Live_Data!AE25</x:f>
        <x:v>4412.927995026562</x:v>
      </x:c>
    </x:row>
    <x:row r="1252">
      <x:c r="A1252" t="n">
        <x:f>Dashboard_Live_Data!X26</x:f>
        <x:v>-48</x:v>
      </x:c>
      <x:c r="B1252" t="n">
        <x:f>Dashboard_Live_Data!Y26</x:f>
        <x:v>2685.2198059365082</x:v>
      </x:c>
      <x:c r="C1252" t="n">
        <x:f>Dashboard_Live_Data!Z26</x:f>
        <x:v>-320</x:v>
      </x:c>
      <x:c r="D1252" t="n">
        <x:f>Dashboard_Live_Data!AA26</x:f>
        <x:v>1791.3103173149907</x:v>
      </x:c>
      <x:c r="E1252" t="n">
        <x:f>Dashboard_Live_Data!AB26</x:f>
        <x:v>-640</x:v>
      </x:c>
      <x:c r="F1252" t="n">
        <x:f>Dashboard_Live_Data!AC26</x:f>
        <x:v>4353.3618800404865</x:v>
      </x:c>
      <x:c r="G1252" t="n">
        <x:f>Dashboard_Live_Data!AD26</x:f>
        <x:v>-640</x:v>
      </x:c>
      <x:c r="H1252" t="n">
        <x:f>Dashboard_Live_Data!AE26</x:f>
        <x:v>4329.345265186219</x:v>
      </x:c>
    </x:row>
    <x:row r="1253">
      <x:c r="A1253" t="n">
        <x:f>Dashboard_Live_Data!X27</x:f>
        <x:v>-47.52</x:v>
      </x:c>
      <x:c r="B1253" t="n">
        <x:f>Dashboard_Live_Data!Y27</x:f>
        <x:v>2684.9493444150958</x:v>
      </x:c>
      <x:c r="C1253" t="n">
        <x:f>Dashboard_Live_Data!Z27</x:f>
        <x:v>-316.8</x:v>
      </x:c>
      <x:c r="D1253" t="n">
        <x:f>Dashboard_Live_Data!AA27</x:f>
        <x:v>1760.4310673656025</x:v>
      </x:c>
      <x:c r="E1253" t="n">
        <x:f>Dashboard_Live_Data!AB27</x:f>
        <x:v>-633.6</x:v>
      </x:c>
      <x:c r="F1253" t="n">
        <x:f>Dashboard_Live_Data!AC27</x:f>
        <x:v>4271.599231277331</x:v>
      </x:c>
      <x:c r="G1253" t="n">
        <x:f>Dashboard_Live_Data!AD27</x:f>
        <x:v>-633.6</x:v>
      </x:c>
      <x:c r="H1253" t="n">
        <x:f>Dashboard_Live_Data!AE27</x:f>
        <x:v>4246.732961959774</x:v>
      </x:c>
    </x:row>
    <x:row r="1254">
      <x:c r="A1254" t="n">
        <x:f>Dashboard_Live_Data!X28</x:f>
        <x:v>-46.980000000000004</x:v>
      </x:c>
      <x:c r="B1254" t="n">
        <x:f>Dashboard_Live_Data!Y28</x:f>
        <x:v>2684.621726220223</x:v>
      </x:c>
      <x:c r="C1254" t="n">
        <x:f>Dashboard_Live_Data!Z28</x:f>
        <x:v>-313.20000000000005</x:v>
      </x:c>
      <x:c r="D1254" t="n">
        <x:f>Dashboard_Live_Data!AA28</x:f>
        <x:v>1726.234115716435</x:v>
      </x:c>
      <x:c r="E1254" t="n">
        <x:f>Dashboard_Live_Data!AB28</x:f>
        <x:v>-626.4000000000001</x:v>
      </x:c>
      <x:c r="F1254" t="n">
        <x:f>Dashboard_Live_Data!AC28</x:f>
        <x:v>4179.935267849889</x:v>
      </x:c>
      <x:c r="G1254" t="n">
        <x:f>Dashboard_Live_Data!AD28</x:f>
        <x:v>-626.4000000000001</x:v>
      </x:c>
      <x:c r="H1254" t="n">
        <x:f>Dashboard_Live_Data!AE28</x:f>
        <x:v>4154.1233443224455</x:v>
      </x:c>
    </x:row>
    <x:row r="1255">
      <x:c r="A1255" t="n">
        <x:f>Dashboard_Live_Data!X29</x:f>
        <x:v>-46.5</x:v>
      </x:c>
      <x:c r="B1255" t="n">
        <x:f>Dashboard_Live_Data!Y29</x:f>
        <x:v>2684.1567187076917</x:v>
      </x:c>
      <x:c r="C1255" t="n">
        <x:f>Dashboard_Live_Data!Z29</x:f>
        <x:v>-310</x:v>
      </x:c>
      <x:c r="D1255" t="n">
        <x:f>Dashboard_Live_Data!AA29</x:f>
        <x:v>1695.8586735261722</x:v>
      </x:c>
      <x:c r="E1255" t="n">
        <x:f>Dashboard_Live_Data!AB29</x:f>
        <x:v>-620</x:v>
      </x:c>
      <x:c r="F1255" t="n">
        <x:f>Dashboard_Live_Data!AC29</x:f>
        <x:v>4099.965897790397</x:v>
      </x:c>
      <x:c r="G1255" t="n">
        <x:f>Dashboard_Live_Data!AD29</x:f>
        <x:v>-620</x:v>
      </x:c>
      <x:c r="H1255" t="n">
        <x:f>Dashboard_Live_Data!AE29</x:f>
        <x:v>4073.322465686445</x:v>
      </x:c>
    </x:row>
    <x:row r="1256">
      <x:c r="A1256" t="n">
        <x:f>Dashboard_Live_Data!X30</x:f>
        <x:v>-46.02</x:v>
      </x:c>
      <x:c r="B1256" t="n">
        <x:f>Dashboard_Live_Data!Y30</x:f>
        <x:v>2683.845136650238</x:v>
      </x:c>
      <x:c r="C1256" t="n">
        <x:f>Dashboard_Live_Data!Z30</x:f>
        <x:v>-306.8</x:v>
      </x:c>
      <x:c r="D1256" t="n">
        <x:f>Dashboard_Live_Data!AA30</x:f>
        <x:v>1665.8212925006906</x:v>
      </x:c>
      <x:c r="E1256" t="n">
        <x:f>Dashboard_Live_Data!AB30</x:f>
        <x:v>-613.6</x:v>
      </x:c>
      <x:c r="F1256" t="n">
        <x:f>Dashboard_Live_Data!AC30</x:f>
        <x:v>4020.642850016848</x:v>
      </x:c>
      <x:c r="G1256" t="n">
        <x:f>Dashboard_Live_Data!AD30</x:f>
        <x:v>-613.6</x:v>
      </x:c>
      <x:c r="H1256" t="n">
        <x:f>Dashboard_Live_Data!AE30</x:f>
        <x:v>3993.1764485772233</x:v>
      </x:c>
    </x:row>
    <x:row r="1257">
      <x:c r="A1257" t="n">
        <x:f>Dashboard_Live_Data!X31</x:f>
        <x:v>-45.480000000000004</x:v>
      </x:c>
      <x:c r="B1257" t="n">
        <x:f>Dashboard_Live_Data!Y31</x:f>
        <x:v>2683.5136176627734</x:v>
      </x:c>
      <x:c r="C1257" t="n">
        <x:f>Dashboard_Live_Data!Z31</x:f>
        <x:v>-303.2</x:v>
      </x:c>
      <x:c r="D1257" t="n">
        <x:f>Dashboard_Live_Data!AA31</x:f>
        <x:v>1632.376799481638</x:v>
      </x:c>
      <x:c r="E1257" t="n">
        <x:f>Dashboard_Live_Data!AB31</x:f>
        <x:v>-606.4</x:v>
      </x:c>
      <x:c r="F1257" t="n">
        <x:f>Dashboard_Live_Data!AC31</x:f>
        <x:v>3932.122421247776</x:v>
      </x:c>
      <x:c r="G1257" t="n">
        <x:f>Dashboard_Live_Data!AD31</x:f>
        <x:v>-606.4</x:v>
      </x:c>
      <x:c r="H1257" t="n">
        <x:f>Dashboard_Live_Data!AE31</x:f>
        <x:v>3903.7403863668314</x:v>
      </x:c>
    </x:row>
    <x:row r="1258">
      <x:c r="A1258" t="n">
        <x:f>Dashboard_Live_Data!X32</x:f>
        <x:v>-45</x:v>
      </x:c>
      <x:c r="B1258" t="n">
        <x:f>Dashboard_Live_Data!Y32</x:f>
        <x:v>2683.212269613844</x:v>
      </x:c>
      <x:c r="C1258" t="n">
        <x:f>Dashboard_Live_Data!Z32</x:f>
        <x:v>-300</x:v>
      </x:c>
      <x:c r="D1258" t="n">
        <x:f>Dashboard_Live_Data!AA32</x:f>
        <x:v>1602.8094295360397</x:v>
      </x:c>
      <x:c r="E1258" t="n">
        <x:f>Dashboard_Live_Data!AB32</x:f>
        <x:v>-600</x:v>
      </x:c>
      <x:c r="F1258" t="n">
        <x:f>Dashboard_Live_Data!AC32</x:f>
        <x:v>3854.83280751004</x:v>
      </x:c>
      <x:c r="G1258" t="n">
        <x:f>Dashboard_Live_Data!AD32</x:f>
        <x:v>-600</x:v>
      </x:c>
      <x:c r="H1258" t="n">
        <x:f>Dashboard_Live_Data!AE32</x:f>
        <x:v>3825.645949180202</x:v>
      </x:c>
    </x:row>
    <x:row r="1259">
      <x:c r="A1259" t="n">
        <x:f>Dashboard_Live_Data!X33</x:f>
        <x:v>-44.519999999999996</x:v>
      </x:c>
      <x:c r="B1259" t="n">
        <x:f>Dashboard_Live_Data!Y33</x:f>
        <x:v>2682.9899653906477</x:v>
      </x:c>
      <x:c r="C1259" t="n">
        <x:f>Dashboard_Live_Data!Z33</x:f>
        <x:v>-296.8</x:v>
      </x:c>
      <x:c r="D1259" t="n">
        <x:f>Dashboard_Live_Data!AA33</x:f>
        <x:v>1573.7599919685726</x:v>
      </x:c>
      <x:c r="E1259" t="n">
        <x:f>Dashboard_Live_Data!AB33</x:f>
        <x:v>-593.6</x:v>
      </x:c>
      <x:c r="F1259" t="n">
        <x:f>Dashboard_Live_Data!AC33</x:f>
        <x:v>3777.7390062611753</x:v>
      </x:c>
      <x:c r="G1259" t="n">
        <x:f>Dashboard_Live_Data!AD33</x:f>
        <x:v>-593.6</x:v>
      </x:c>
      <x:c r="H1259" t="n">
        <x:f>Dashboard_Live_Data!AE33</x:f>
        <x:v>3747.7558637232805</x:v>
      </x:c>
    </x:row>
    <x:row r="1260">
      <x:c r="A1260" t="n">
        <x:f>Dashboard_Live_Data!X34</x:f>
        <x:v>-43.980000000000004</x:v>
      </x:c>
      <x:c r="B1260" t="n">
        <x:f>Dashboard_Live_Data!Y34</x:f>
        <x:v>2682.6790087524896</x:v>
      </x:c>
      <x:c r="C1260" t="n">
        <x:f>Dashboard_Live_Data!Z34</x:f>
        <x:v>-293.2</x:v>
      </x:c>
      <x:c r="D1260" t="n">
        <x:f>Dashboard_Live_Data!AA34</x:f>
        <x:v>1541.9632012793968</x:v>
      </x:c>
      <x:c r="E1260" t="n">
        <x:f>Dashboard_Live_Data!AB34</x:f>
        <x:v>-586.4</x:v>
      </x:c>
      <x:c r="F1260" t="n">
        <x:f>Dashboard_Live_Data!AC34</x:f>
        <x:v>3692.4898473144344</x:v>
      </x:c>
      <x:c r="G1260" t="n">
        <x:f>Dashboard_Live_Data!AD34</x:f>
        <x:v>-586.4</x:v>
      </x:c>
      <x:c r="H1260" t="n">
        <x:f>Dashboard_Live_Data!AE34</x:f>
        <x:v>3661.621092103788</x:v>
      </x:c>
    </x:row>
    <x:row r="1261">
      <x:c r="A1261" t="n">
        <x:f>Dashboard_Live_Data!X35</x:f>
        <x:v>-43.5</x:v>
      </x:c>
      <x:c r="B1261" t="n">
        <x:f>Dashboard_Live_Data!Y35</x:f>
        <x:v>2682.3886623098647</x:v>
      </x:c>
      <x:c r="C1261" t="n">
        <x:f>Dashboard_Live_Data!Z35</x:f>
        <x:v>-290</x:v>
      </x:c>
      <x:c r="D1261" t="n">
        <x:f>Dashboard_Live_Data!AA35</x:f>
        <x:v>1513.653103462361</x:v>
      </x:c>
      <x:c r="E1261" t="n">
        <x:f>Dashboard_Live_Data!AB35</x:f>
        <x:v>-580</x:v>
      </x:c>
      <x:c r="F1261" t="n">
        <x:f>Dashboard_Live_Data!AC35</x:f>
        <x:v>3617.6794807622778</x:v>
      </x:c>
      <x:c r="G1261" t="n">
        <x:f>Dashboard_Live_Data!AD35</x:f>
        <x:v>-580</x:v>
      </x:c>
      <x:c r="H1261" t="n">
        <x:f>Dashboard_Live_Data!AE35</x:f>
        <x:v>3586.032587230352</x:v>
      </x:c>
    </x:row>
    <x:row r="1262">
      <x:c r="A1262" t="n">
        <x:f>Dashboard_Live_Data!X36</x:f>
        <x:v>-43.019999999999996</x:v>
      </x:c>
      <x:c r="B1262" t="n">
        <x:f>Dashboard_Live_Data!Y36</x:f>
        <x:v>2682.203202076833</x:v>
      </x:c>
      <x:c r="C1262" t="n">
        <x:f>Dashboard_Live_Data!Z36</x:f>
        <x:v>-286.79999999999995</x:v>
      </x:c>
      <x:c r="D1262" t="n">
        <x:f>Dashboard_Live_Data!AA36</x:f>
        <x:v>1485.0967429511395</x:v>
      </x:c>
      <x:c r="E1262" t="n">
        <x:f>Dashboard_Live_Data!AB36</x:f>
        <x:v>-573.5999999999999</x:v>
      </x:c>
      <x:c r="F1262" t="n">
        <x:f>Dashboard_Live_Data!AC36</x:f>
        <x:v>3542.9615560105917</x:v>
      </x:c>
      <x:c r="G1262" t="n">
        <x:f>Dashboard_Live_Data!AD36</x:f>
        <x:v>-573.5999999999999</x:v>
      </x:c>
      <x:c r="H1262" t="n">
        <x:f>Dashboard_Live_Data!AE36</x:f>
        <x:v>3510.545063398227</x:v>
      </x:c>
    </x:row>
    <x:row r="1263">
      <x:c r="A1263" t="n">
        <x:f>Dashboard_Live_Data!X37</x:f>
        <x:v>-42.48</x:v>
      </x:c>
      <x:c r="B1263" t="n">
        <x:f>Dashboard_Live_Data!Y37</x:f>
        <x:v>2681.7900212837867</x:v>
      </x:c>
      <x:c r="C1263" t="n">
        <x:f>Dashboard_Live_Data!Z37</x:f>
        <x:v>-283.2</x:v>
      </x:c>
      <x:c r="D1263" t="n">
        <x:f>Dashboard_Live_Data!AA37</x:f>
        <x:v>1453.6204263071954</x:v>
      </x:c>
      <x:c r="E1263" t="n">
        <x:f>Dashboard_Live_Data!AB37</x:f>
        <x:v>-566.4</x:v>
      </x:c>
      <x:c r="F1263" t="n">
        <x:f>Dashboard_Live_Data!AC37</x:f>
        <x:v>3460.5582527761903</x:v>
      </x:c>
      <x:c r="G1263" t="n">
        <x:f>Dashboard_Live_Data!AD37</x:f>
        <x:v>-566.4</x:v>
      </x:c>
      <x:c r="H1263" t="n">
        <x:f>Dashboard_Live_Data!AE37</x:f>
        <x:v>3427.2861682596404</x:v>
      </x:c>
    </x:row>
    <x:row r="1264">
      <x:c r="A1264" t="n">
        <x:f>Dashboard_Live_Data!X38</x:f>
        <x:v>-42</x:v>
      </x:c>
      <x:c r="B1264" t="n">
        <x:f>Dashboard_Live_Data!Y38</x:f>
        <x:v>2681.646456252919</x:v>
      </x:c>
      <x:c r="C1264" t="n">
        <x:f>Dashboard_Live_Data!Z38</x:f>
        <x:v>-280</x:v>
      </x:c>
      <x:c r="D1264" t="n">
        <x:f>Dashboard_Live_Data!AA38</x:f>
        <x:v>1426.4451757847892</x:v>
      </x:c>
      <x:c r="E1264" t="n">
        <x:f>Dashboard_Live_Data!AB38</x:f>
        <x:v>-560</x:v>
      </x:c>
      <x:c r="F1264" t="n">
        <x:f>Dashboard_Live_Data!AC38</x:f>
        <x:v>3387.9425003472197</x:v>
      </x:c>
      <x:c r="G1264" t="n">
        <x:f>Dashboard_Live_Data!AD38</x:f>
        <x:v>-560</x:v>
      </x:c>
      <x:c r="H1264" t="n">
        <x:f>Dashboard_Live_Data!AE38</x:f>
        <x:v>3353.9189626370085</x:v>
      </x:c>
    </x:row>
    <x:row r="1265">
      <x:c r="A1265" t="n">
        <x:f>Dashboard_Live_Data!X39</x:f>
        <x:v>-41.519999999999996</x:v>
      </x:c>
      <x:c r="B1265" t="n">
        <x:f>Dashboard_Live_Data!Y39</x:f>
        <x:v>2681.401843892318</x:v>
      </x:c>
      <x:c r="C1265" t="n">
        <x:f>Dashboard_Live_Data!Z39</x:f>
        <x:v>-276.79999999999995</x:v>
      </x:c>
      <x:c r="D1265" t="n">
        <x:f>Dashboard_Live_Data!AA39</x:f>
        <x:v>1399.6223178847788</x:v>
      </x:c>
      <x:c r="E1265" t="n">
        <x:f>Dashboard_Live_Data!AB39</x:f>
        <x:v>-553.5999999999999</x:v>
      </x:c>
      <x:c r="F1265" t="n">
        <x:f>Dashboard_Live_Data!AC39</x:f>
        <x:v>3315.7545835019173</x:v>
      </x:c>
      <x:c r="G1265" t="n">
        <x:f>Dashboard_Live_Data!AD39</x:f>
        <x:v>-553.5999999999999</x:v>
      </x:c>
      <x:c r="H1265" t="n">
        <x:f>Dashboard_Live_Data!AE39</x:f>
        <x:v>3280.9881318388802</x:v>
      </x:c>
    </x:row>
    <x:row r="1266">
      <x:c r="A1266" t="n">
        <x:f>Dashboard_Live_Data!X40</x:f>
        <x:v>-40.980000000000004</x:v>
      </x:c>
      <x:c r="B1266" t="n">
        <x:f>Dashboard_Live_Data!Y40</x:f>
        <x:v>2681.004627160038</x:v>
      </x:c>
      <x:c r="C1266" t="n">
        <x:f>Dashboard_Live_Data!Z40</x:f>
        <x:v>-273.20000000000005</x:v>
      </x:c>
      <x:c r="D1266" t="n">
        <x:f>Dashboard_Live_Data!AA40</x:f>
        <x:v>1369.53463092272</x:v>
      </x:c>
      <x:c r="E1266" t="n">
        <x:f>Dashboard_Live_Data!AB40</x:f>
        <x:v>-546.4000000000001</x:v>
      </x:c>
      <x:c r="F1266" t="n">
        <x:f>Dashboard_Live_Data!AC40</x:f>
        <x:v>3236.461382160853</x:v>
      </x:c>
      <x:c r="G1266" t="n">
        <x:f>Dashboard_Live_Data!AD40</x:f>
        <x:v>-546.4000000000001</x:v>
      </x:c>
      <x:c r="H1266" t="n">
        <x:f>Dashboard_Live_Data!AE40</x:f>
        <x:v>3200.8693593622015</x:v>
      </x:c>
    </x:row>
    <x:row r="1267">
      <x:c r="A1267" t="n">
        <x:f>Dashboard_Live_Data!X41</x:f>
        <x:v>-40.5</x:v>
      </x:c>
      <x:c r="B1267" t="n">
        <x:f>Dashboard_Live_Data!Y41</x:f>
        <x:v>2680.7715287985948</x:v>
      </x:c>
      <x:c r="C1267" t="n">
        <x:f>Dashboard_Live_Data!Z41</x:f>
        <x:v>-270</x:v>
      </x:c>
      <x:c r="D1267" t="n">
        <x:f>Dashboard_Live_Data!AA41</x:f>
        <x:v>1342.8567868048142</x:v>
      </x:c>
      <x:c r="E1267" t="n">
        <x:f>Dashboard_Live_Data!AB41</x:f>
        <x:v>-540</x:v>
      </x:c>
      <x:c r="F1267" t="n">
        <x:f>Dashboard_Live_Data!AC41</x:f>
        <x:v>3166.259400612072</x:v>
      </x:c>
      <x:c r="G1267" t="n">
        <x:f>Dashboard_Live_Data!AD41</x:f>
        <x:v>-540</x:v>
      </x:c>
      <x:c r="H1267" t="n">
        <x:f>Dashboard_Live_Data!AE41</x:f>
        <x:v>3129.9426097473734</x:v>
      </x:c>
    </x:row>
    <x:row r="1268">
      <x:c r="A1268" t="n">
        <x:f>Dashboard_Live_Data!X42</x:f>
        <x:v>-40.02</x:v>
      </x:c>
      <x:c r="B1268" t="n">
        <x:f>Dashboard_Live_Data!Y42</x:f>
        <x:v>2680.6232576705215</x:v>
      </x:c>
      <x:c r="C1268" t="n">
        <x:f>Dashboard_Live_Data!Z42</x:f>
        <x:v>-266.8</x:v>
      </x:c>
      <x:c r="D1268" t="n">
        <x:f>Dashboard_Live_Data!AA42</x:f>
        <x:v>1316.381263410234</x:v>
      </x:c>
      <x:c r="E1268" t="n">
        <x:f>Dashboard_Live_Data!AB42</x:f>
        <x:v>-533.6</x:v>
      </x:c>
      <x:c r="F1268" t="n">
        <x:f>Dashboard_Live_Data!AC42</x:f>
        <x:v>3096.909291927256</x:v>
      </x:c>
      <x:c r="G1268" t="n">
        <x:f>Dashboard_Live_Data!AD42</x:f>
        <x:v>-533.6</x:v>
      </x:c>
      <x:c r="H1268" t="n">
        <x:f>Dashboard_Live_Data!AE42</x:f>
        <x:v>3059.8762722373476</x:v>
      </x:c>
    </x:row>
    <x:row r="1269">
      <x:c r="A1269" t="n">
        <x:f>Dashboard_Live_Data!X43</x:f>
        <x:v>-39.480000000000004</x:v>
      </x:c>
      <x:c r="B1269" t="n">
        <x:f>Dashboard_Live_Data!Y43</x:f>
        <x:v>2680.3194831047786</x:v>
      </x:c>
      <x:c r="C1269" t="n">
        <x:f>Dashboard_Live_Data!Z43</x:f>
        <x:v>-263.20000000000005</x:v>
      </x:c>
      <x:c r="D1269" t="n">
        <x:f>Dashboard_Live_Data!AA43</x:f>
        <x:v>1287.3992463636328</x:v>
      </x:c>
      <x:c r="E1269" t="n">
        <x:f>Dashboard_Live_Data!AB43</x:f>
        <x:v>-526.4000000000001</x:v>
      </x:c>
      <x:c r="F1269" t="n">
        <x:f>Dashboard_Live_Data!AC43</x:f>
        <x:v>3020.7723219878835</x:v>
      </x:c>
      <x:c r="G1269" t="n">
        <x:f>Dashboard_Live_Data!AD43</x:f>
        <x:v>-526.4000000000001</x:v>
      </x:c>
      <x:c r="H1269" t="n">
        <x:f>Dashboard_Live_Data!AE43</x:f>
        <x:v>2982.9437519309276</x:v>
      </x:c>
    </x:row>
    <x:row r="1270">
      <x:c r="A1270" t="n">
        <x:f>Dashboard_Live_Data!X44</x:f>
        <x:v>-39</x:v>
      </x:c>
      <x:c r="B1270" t="n">
        <x:f>Dashboard_Live_Data!Y44</x:f>
        <x:v>2680.000843792842</x:v>
      </x:c>
      <x:c r="C1270" t="n">
        <x:f>Dashboard_Live_Data!Z44</x:f>
        <x:v>-260</x:v>
      </x:c>
      <x:c r="D1270" t="n">
        <x:f>Dashboard_Live_Data!AA44</x:f>
        <x:v>1262.192249150471</x:v>
      </x:c>
      <x:c r="E1270" t="n">
        <x:f>Dashboard_Live_Data!AB44</x:f>
        <x:v>-520</x:v>
      </x:c>
      <x:c r="F1270" t="n">
        <x:f>Dashboard_Live_Data!AC44</x:f>
        <x:v>2953.0454000908217</x:v>
      </x:c>
      <x:c r="G1270" t="n">
        <x:f>Dashboard_Live_Data!AD44</x:f>
        <x:v>-520</x:v>
      </x:c>
      <x:c r="H1270" t="n">
        <x:f>Dashboard_Live_Data!AE44</x:f>
        <x:v>2914.518747095435</x:v>
      </x:c>
    </x:row>
    <x:row r="1271">
      <x:c r="A1271" t="n">
        <x:f>Dashboard_Live_Data!X45</x:f>
        <x:v>-38.519999999999996</x:v>
      </x:c>
      <x:c r="B1271" t="n">
        <x:f>Dashboard_Live_Data!Y45</x:f>
        <x:v>2679.7722655199436</x:v>
      </x:c>
      <x:c r="C1271" t="n">
        <x:f>Dashboard_Live_Data!Z45</x:f>
        <x:v>-256.8</x:v>
      </x:c>
      <x:c r="D1271" t="n">
        <x:f>Dashboard_Live_Data!AA45</x:f>
        <x:v>1237.2988669437996</x:v>
      </x:c>
      <x:c r="E1271" t="n">
        <x:f>Dashboard_Live_Data!AB45</x:f>
        <x:v>-513.6</x:v>
      </x:c>
      <x:c r="F1271" t="n">
        <x:f>Dashboard_Live_Data!AC45</x:f>
        <x:v>2886.8093182607818</x:v>
      </x:c>
      <x:c r="G1271" t="n">
        <x:f>Dashboard_Live_Data!AD45</x:f>
        <x:v>-513.6</x:v>
      </x:c>
      <x:c r="H1271" t="n">
        <x:f>Dashboard_Live_Data!AE45</x:f>
        <x:v>2847.5931215678015</x:v>
      </x:c>
    </x:row>
    <x:row r="1272">
      <x:c r="A1272" t="n">
        <x:f>Dashboard_Live_Data!X46</x:f>
        <x:v>-37.980000000000004</x:v>
      </x:c>
      <x:c r="B1272" t="n">
        <x:f>Dashboard_Live_Data!Y46</x:f>
        <x:v>2679.480044723954</x:v>
      </x:c>
      <x:c r="C1272" t="n">
        <x:f>Dashboard_Live_Data!Z46</x:f>
        <x:v>-253.2</x:v>
      </x:c>
      <x:c r="D1272" t="n">
        <x:f>Dashboard_Live_Data!AA46</x:f>
        <x:v>1209.275771725714</x:v>
      </x:c>
      <x:c r="E1272" t="n">
        <x:f>Dashboard_Live_Data!AB46</x:f>
        <x:v>-506.4</x:v>
      </x:c>
      <x:c r="F1272" t="n">
        <x:f>Dashboard_Live_Data!AC46</x:f>
        <x:v>2813.212575155435</x:v>
      </x:c>
      <x:c r="G1272" t="n">
        <x:f>Dashboard_Live_Data!AD46</x:f>
        <x:v>-506.4</x:v>
      </x:c>
      <x:c r="H1272" t="n">
        <x:f>Dashboard_Live_Data!AE46</x:f>
        <x:v>2773.230848863975</x:v>
      </x:c>
    </x:row>
    <x:row r="1273">
      <x:c r="A1273" t="n">
        <x:f>Dashboard_Live_Data!X47</x:f>
        <x:v>-37.5</x:v>
      </x:c>
      <x:c r="B1273" t="n">
        <x:f>Dashboard_Live_Data!Y47</x:f>
        <x:v>2679.061348579185</x:v>
      </x:c>
      <x:c r="C1273" t="n">
        <x:f>Dashboard_Live_Data!Z47</x:f>
        <x:v>-250</x:v>
      </x:c>
      <x:c r="D1273" t="n">
        <x:f>Dashboard_Live_Data!AA47</x:f>
        <x:v>1184.3076782731637</x:v>
      </x:c>
      <x:c r="E1273" t="n">
        <x:f>Dashboard_Live_Data!AB47</x:f>
        <x:v>-500</x:v>
      </x:c>
      <x:c r="F1273" t="n">
        <x:f>Dashboard_Live_Data!AC47</x:f>
        <x:v>2747.97840059239</x:v>
      </x:c>
      <x:c r="G1273" t="n">
        <x:f>Dashboard_Live_Data!AD47</x:f>
        <x:v>-500</x:v>
      </x:c>
      <x:c r="H1273" t="n">
        <x:f>Dashboard_Live_Data!AE47</x:f>
        <x:v>2707.325276490115</x:v>
      </x:c>
    </x:row>
    <x:row r="1274">
      <x:c r="A1274" t="n">
        <x:f>Dashboard_Live_Data!X48</x:f>
        <x:v>-37.019999999999996</x:v>
      </x:c>
      <x:c r="B1274" t="n">
        <x:f>Dashboard_Live_Data!Y48</x:f>
        <x:v>2678.852471688513</x:v>
      </x:c>
      <x:c r="C1274" t="n">
        <x:f>Dashboard_Live_Data!Z48</x:f>
        <x:v>-246.8</x:v>
      </x:c>
      <x:c r="D1274" t="n">
        <x:f>Dashboard_Live_Data!AA48</x:f>
        <x:v>1160.1745172754654</x:v>
      </x:c>
      <x:c r="E1274" t="n">
        <x:f>Dashboard_Live_Data!AB48</x:f>
        <x:v>-493.6</x:v>
      </x:c>
      <x:c r="F1274" t="n">
        <x:f>Dashboard_Live_Data!AC48</x:f>
        <x:v>2684.529948367152</x:v>
      </x:c>
      <x:c r="G1274" t="n">
        <x:f>Dashboard_Live_Data!AD48</x:f>
        <x:v>-493.6</x:v>
      </x:c>
      <x:c r="H1274" t="n">
        <x:f>Dashboard_Live_Data!AE48</x:f>
        <x:v>2643.2139656948993</x:v>
      </x:c>
    </x:row>
    <x:row r="1275">
      <x:c r="A1275" t="n">
        <x:f>Dashboard_Live_Data!X49</x:f>
        <x:v>-36.480000000000004</x:v>
      </x:c>
      <x:c r="B1275" t="n">
        <x:f>Dashboard_Live_Data!Y49</x:f>
        <x:v>2678.5467573407996</x:v>
      </x:c>
      <x:c r="C1275" t="n">
        <x:f>Dashboard_Live_Data!Z49</x:f>
        <x:v>-243.2</x:v>
      </x:c>
      <x:c r="D1275" t="n">
        <x:f>Dashboard_Live_Data!AA49</x:f>
        <x:v>1133.8318204369273</x:v>
      </x:c>
      <x:c r="E1275" t="n">
        <x:f>Dashboard_Live_Data!AB49</x:f>
        <x:v>-486.4</x:v>
      </x:c>
      <x:c r="F1275" t="n">
        <x:f>Dashboard_Live_Data!AC49</x:f>
        <x:v>2613.1887828674326</x:v>
      </x:c>
      <x:c r="G1275" t="n">
        <x:f>Dashboard_Live_Data!AD49</x:f>
        <x:v>-486.4</x:v>
      </x:c>
      <x:c r="H1275" t="n">
        <x:f>Dashboard_Live_Data!AE49</x:f>
        <x:v>2571.137291365268</x:v>
      </x:c>
    </x:row>
    <x:row r="1276">
      <x:c r="A1276" t="n">
        <x:f>Dashboard_Live_Data!X50</x:f>
        <x:v>-36</x:v>
      </x:c>
      <x:c r="B1276" t="n">
        <x:f>Dashboard_Live_Data!Y50</x:f>
        <x:v>2678.134662495121</x:v>
      </x:c>
      <x:c r="C1276" t="n">
        <x:f>Dashboard_Live_Data!Z50</x:f>
        <x:v>-240</x:v>
      </x:c>
      <x:c r="D1276" t="n">
        <x:f>Dashboard_Live_Data!AA50</x:f>
        <x:v>1110.4114575267997</x:v>
      </x:c>
      <x:c r="E1276" t="n">
        <x:f>Dashboard_Live_Data!AB50</x:f>
        <x:v>-480</x:v>
      </x:c>
      <x:c r="F1276" t="n">
        <x:f>Dashboard_Live_Data!AC50</x:f>
        <x:v>2550.8882906400845</x:v>
      </x:c>
      <x:c r="G1276" t="n">
        <x:f>Dashboard_Live_Data!AD50</x:f>
        <x:v>-480</x:v>
      </x:c>
      <x:c r="H1276" t="n">
        <x:f>Dashboard_Live_Data!AE50</x:f>
        <x:v>2508.192086454721</x:v>
      </x:c>
    </x:row>
    <x:row r="1277">
      <x:c r="A1277" t="n">
        <x:f>Dashboard_Live_Data!X51</x:f>
        <x:v>-35.519999999999996</x:v>
      </x:c>
      <x:c r="B1277" t="n">
        <x:f>Dashboard_Live_Data!Y51</x:f>
        <x:v>2677.8312038609492</x:v>
      </x:c>
      <x:c r="C1277" t="n">
        <x:f>Dashboard_Live_Data!Z51</x:f>
        <x:v>-236.79999999999998</x:v>
      </x:c>
      <x:c r="D1277" t="n">
        <x:f>Dashboard_Live_Data!AA51</x:f>
        <x:v>1086.8427303999088</x:v>
      </x:c>
      <x:c r="E1277" t="n">
        <x:f>Dashboard_Live_Data!AB51</x:f>
        <x:v>-473.59999999999997</x:v>
      </x:c>
      <x:c r="F1277" t="n">
        <x:f>Dashboard_Live_Data!AC51</x:f>
        <x:v>2489.739262947348</x:v>
      </x:c>
      <x:c r="G1277" t="n">
        <x:f>Dashboard_Live_Data!AD51</x:f>
        <x:v>-473.59999999999997</x:v>
      </x:c>
      <x:c r="H1277" t="n">
        <x:f>Dashboard_Live_Data!AE51</x:f>
        <x:v>2446.4068853196227</x:v>
      </x:c>
    </x:row>
    <x:row r="1278">
      <x:c r="A1278" t="n">
        <x:f>Dashboard_Live_Data!X52</x:f>
        <x:v>-34.98</x:v>
      </x:c>
      <x:c r="B1278" t="n">
        <x:f>Dashboard_Live_Data!Y52</x:f>
        <x:v>2677.591373027257</x:v>
      </x:c>
      <x:c r="C1278" t="n">
        <x:f>Dashboard_Live_Data!Z52</x:f>
        <x:v>-233.2</x:v>
      </x:c>
      <x:c r="D1278" t="n">
        <x:f>Dashboard_Live_Data!AA52</x:f>
        <x:v>1061.12543171678</x:v>
      </x:c>
      <x:c r="E1278" t="n">
        <x:f>Dashboard_Live_Data!AB52</x:f>
        <x:v>-466.4</x:v>
      </x:c>
      <x:c r="F1278" t="n">
        <x:f>Dashboard_Live_Data!AC52</x:f>
        <x:v>2421.203933680219</x:v>
      </x:c>
      <x:c r="G1278" t="n">
        <x:f>Dashboard_Live_Data!AD52</x:f>
        <x:v>-466.4</x:v>
      </x:c>
      <x:c r="H1278" t="n">
        <x:f>Dashboard_Live_Data!AE52</x:f>
        <x:v>2377.1660679911497</x:v>
      </x:c>
    </x:row>
    <x:row r="1279">
      <x:c r="A1279" t="n">
        <x:f>Dashboard_Live_Data!X53</x:f>
        <x:v>-34.5</x:v>
      </x:c>
      <x:c r="B1279" t="n">
        <x:f>Dashboard_Live_Data!Y53</x:f>
        <x:v>2677.4013084133485</x:v>
      </x:c>
      <x:c r="C1279" t="n">
        <x:f>Dashboard_Live_Data!Z53</x:f>
        <x:v>-229.99999999999997</x:v>
      </x:c>
      <x:c r="D1279" t="n">
        <x:f>Dashboard_Live_Data!AA53</x:f>
        <x:v>1038.5909879836213</x:v>
      </x:c>
      <x:c r="E1279" t="n">
        <x:f>Dashboard_Live_Data!AB53</x:f>
        <x:v>-459.99999999999994</x:v>
      </x:c>
      <x:c r="F1279" t="n">
        <x:f>Dashboard_Live_Data!AC53</x:f>
        <x:v>2361.7787973155064</x:v>
      </x:c>
      <x:c r="G1279" t="n">
        <x:f>Dashboard_Live_Data!AD53</x:f>
        <x:v>-459.99999999999994</x:v>
      </x:c>
      <x:c r="H1279" t="n">
        <x:f>Dashboard_Live_Data!AE53</x:f>
        <x:v>2317.1229040708536</x:v>
      </x:c>
    </x:row>
    <x:row r="1280">
      <x:c r="A1280" t="n">
        <x:f>Dashboard_Live_Data!X54</x:f>
        <x:v>-34.019999999999996</x:v>
      </x:c>
      <x:c r="B1280" t="n">
        <x:f>Dashboard_Live_Data!Y54</x:f>
        <x:v>2677.108815515032</x:v>
      </x:c>
      <x:c r="C1280" t="n">
        <x:f>Dashboard_Live_Data!Z54</x:f>
        <x:v>-226.79999999999998</x:v>
      </x:c>
      <x:c r="D1280" t="n">
        <x:f>Dashboard_Live_Data!AA54</x:f>
        <x:v>1016.1344402669544</x:v>
      </x:c>
      <x:c r="E1280" t="n">
        <x:f>Dashboard_Live_Data!AB54</x:f>
        <x:v>-453.59999999999997</x:v>
      </x:c>
      <x:c r="F1280" t="n">
        <x:f>Dashboard_Live_Data!AC54</x:f>
        <x:v>2303.344286876124</x:v>
      </x:c>
      <x:c r="G1280" t="n">
        <x:f>Dashboard_Live_Data!AD54</x:f>
        <x:v>-453.59999999999997</x:v>
      </x:c>
      <x:c r="H1280" t="n">
        <x:f>Dashboard_Live_Data!AE54</x:f>
        <x:v>2258.078905316726</x:v>
      </x:c>
    </x:row>
    <x:row r="1281">
      <x:c r="A1281" t="n">
        <x:f>Dashboard_Live_Data!X55</x:f>
        <x:v>-33.480000000000004</x:v>
      </x:c>
      <x:c r="B1281" t="n">
        <x:f>Dashboard_Live_Data!Y55</x:f>
        <x:v>2676.694759763543</x:v>
      </x:c>
      <x:c r="C1281" t="n">
        <x:f>Dashboard_Live_Data!Z55</x:f>
        <x:v>-223.20000000000002</x:v>
      </x:c>
      <x:c r="D1281" t="n">
        <x:f>Dashboard_Live_Data!AA55</x:f>
        <x:v>991.5333258162572</x:v>
      </x:c>
      <x:c r="E1281" t="n">
        <x:f>Dashboard_Live_Data!AB55</x:f>
        <x:v>-446.40000000000003</x:v>
      </x:c>
      <x:c r="F1281" t="n">
        <x:f>Dashboard_Live_Data!AC55</x:f>
        <x:v>2237.6242728070965</x:v>
      </x:c>
      <x:c r="G1281" t="n">
        <x:f>Dashboard_Live_Data!AD55</x:f>
        <x:v>-446.40000000000003</x:v>
      </x:c>
      <x:c r="H1281" t="n">
        <x:f>Dashboard_Live_Data!AE55</x:f>
        <x:v>2191.683423954921</x:v>
      </x:c>
    </x:row>
    <x:row r="1282">
      <x:c r="A1282" t="n">
        <x:f>Dashboard_Live_Data!X56</x:f>
        <x:v>-33</x:v>
      </x:c>
      <x:c r="B1282" t="n">
        <x:f>Dashboard_Live_Data!Y56</x:f>
        <x:v>2676.499053404357</x:v>
      </x:c>
      <x:c r="C1282" t="n">
        <x:f>Dashboard_Live_Data!Z56</x:f>
        <x:v>-220.00000000000003</x:v>
      </x:c>
      <x:c r="D1282" t="n">
        <x:f>Dashboard_Live_Data!AA56</x:f>
        <x:v>970.1685104366036</x:v>
      </x:c>
      <x:c r="E1282" t="n">
        <x:f>Dashboard_Live_Data!AB56</x:f>
        <x:v>-440.00000000000006</x:v>
      </x:c>
      <x:c r="F1282" t="n">
        <x:f>Dashboard_Live_Data!AC56</x:f>
        <x:v>2180.866229244237</x:v>
      </x:c>
      <x:c r="G1282" t="n">
        <x:f>Dashboard_Live_Data!AD56</x:f>
        <x:v>-440.00000000000006</x:v>
      </x:c>
      <x:c r="H1282" t="n">
        <x:f>Dashboard_Live_Data!AE56</x:f>
        <x:v>2134.334037964095</x:v>
      </x:c>
    </x:row>
    <x:row r="1283">
      <x:c r="A1283" t="n">
        <x:f>Dashboard_Live_Data!X57</x:f>
        <x:v>-32.52</x:v>
      </x:c>
      <x:c r="B1283" t="n">
        <x:f>Dashboard_Live_Data!Y57</x:f>
        <x:v>2676.2200621956567</x:v>
      </x:c>
      <x:c r="C1283" t="n">
        <x:f>Dashboard_Live_Data!Z57</x:f>
        <x:v>-216.8</x:v>
      </x:c>
      <x:c r="D1283" t="n">
        <x:f>Dashboard_Live_Data!AA57</x:f>
        <x:v>948.7608368090656</x:v>
      </x:c>
      <x:c r="E1283" t="n">
        <x:f>Dashboard_Live_Data!AB57</x:f>
        <x:v>-433.6</x:v>
      </x:c>
      <x:c r="F1283" t="n">
        <x:f>Dashboard_Live_Data!AC57</x:f>
        <x:v>2124.696136137851</x:v>
      </x:c>
      <x:c r="G1283" t="n">
        <x:f>Dashboard_Live_Data!AD57</x:f>
        <x:v>-433.6</x:v>
      </x:c>
      <x:c r="H1283" t="n">
        <x:f>Dashboard_Live_Data!AE57</x:f>
        <x:v>2077.5811416705787</x:v>
      </x:c>
    </x:row>
    <x:row r="1284">
      <x:c r="A1284" t="n">
        <x:f>Dashboard_Live_Data!X58</x:f>
        <x:v>-31.98</x:v>
      </x:c>
      <x:c r="B1284" t="n">
        <x:f>Dashboard_Live_Data!Y58</x:f>
        <x:v>2676.1391391812404</x:v>
      </x:c>
      <x:c r="C1284" t="n">
        <x:f>Dashboard_Live_Data!Z58</x:f>
        <x:v>-213.20000000000002</x:v>
      </x:c>
      <x:c r="D1284" t="n">
        <x:f>Dashboard_Live_Data!AA58</x:f>
        <x:v>924.7601899779155</x:v>
      </x:c>
      <x:c r="E1284" t="n">
        <x:f>Dashboard_Live_Data!AB58</x:f>
        <x:v>-426.40000000000003</x:v>
      </x:c>
      <x:c r="F1284" t="n">
        <x:f>Dashboard_Live_Data!AC58</x:f>
        <x:v>2061.9306805806204</x:v>
      </x:c>
      <x:c r="G1284" t="n">
        <x:f>Dashboard_Live_Data!AD58</x:f>
        <x:v>-426.40000000000003</x:v>
      </x:c>
      <x:c r="H1284" t="n">
        <x:f>Dashboard_Live_Data!AE58</x:f>
        <x:v>2014.1702395891398</x:v>
      </x:c>
    </x:row>
    <x:row r="1285">
      <x:c r="A1285" t="n">
        <x:f>Dashboard_Live_Data!X59</x:f>
        <x:v>-31.5</x:v>
      </x:c>
      <x:c r="B1285" t="n">
        <x:f>Dashboard_Live_Data!Y59</x:f>
        <x:v>2675.80583486783</x:v>
      </x:c>
      <x:c r="C1285" t="n">
        <x:f>Dashboard_Live_Data!Z59</x:f>
        <x:v>-210</x:v>
      </x:c>
      <x:c r="D1285" t="n">
        <x:f>Dashboard_Live_Data!AA59</x:f>
        <x:v>904.2533098821133</x:v>
      </x:c>
      <x:c r="E1285" t="n">
        <x:f>Dashboard_Live_Data!AB59</x:f>
        <x:v>-420</x:v>
      </x:c>
      <x:c r="F1285" t="n">
        <x:f>Dashboard_Live_Data!AC59</x:f>
        <x:v>2007.8337102011103</x:v>
      </x:c>
      <x:c r="G1285" t="n">
        <x:f>Dashboard_Live_Data!AD59</x:f>
        <x:v>-420</x:v>
      </x:c>
      <x:c r="H1285" t="n">
        <x:f>Dashboard_Live_Data!AE59</x:f>
        <x:v>1959.5086119092775</x:v>
      </x:c>
    </x:row>
    <x:row r="1286">
      <x:c r="A1286" t="n">
        <x:f>Dashboard_Live_Data!X60</x:f>
        <x:v>-31.02</x:v>
      </x:c>
      <x:c r="B1286" t="n">
        <x:f>Dashboard_Live_Data!Y60</x:f>
        <x:v>2675.70219462797</x:v>
      </x:c>
      <x:c r="C1286" t="n">
        <x:f>Dashboard_Live_Data!Z60</x:f>
        <x:v>-206.8</x:v>
      </x:c>
      <x:c r="D1286" t="n">
        <x:f>Dashboard_Live_Data!AA60</x:f>
        <x:v>884.1203916379084</x:v>
      </x:c>
      <x:c r="E1286" t="n">
        <x:f>Dashboard_Live_Data!AB60</x:f>
        <x:v>-413.6</x:v>
      </x:c>
      <x:c r="F1286" t="n">
        <x:f>Dashboard_Live_Data!AC60</x:f>
        <x:v>1953.830454243079</x:v>
      </x:c>
      <x:c r="G1286" t="n">
        <x:f>Dashboard_Live_Data!AD60</x:f>
        <x:v>-413.6</x:v>
      </x:c>
      <x:c r="H1286" t="n">
        <x:f>Dashboard_Live_Data!AE60</x:f>
        <x:v>1904.9492378917325</x:v>
      </x:c>
    </x:row>
    <x:row r="1287">
      <x:c r="A1287" t="n">
        <x:f>Dashboard_Live_Data!X61</x:f>
        <x:v>-30.48</x:v>
      </x:c>
      <x:c r="B1287" t="n">
        <x:f>Dashboard_Live_Data!Y61</x:f>
        <x:v>2675.4695261018783</x:v>
      </x:c>
      <x:c r="C1287" t="n">
        <x:f>Dashboard_Live_Data!Z61</x:f>
        <x:v>-203.2</x:v>
      </x:c>
      <x:c r="D1287" t="n">
        <x:f>Dashboard_Live_Data!AA61</x:f>
        <x:v>861.7139405611684</x:v>
      </x:c>
      <x:c r="E1287" t="n">
        <x:f>Dashboard_Live_Data!AB61</x:f>
        <x:v>-406.4</x:v>
      </x:c>
      <x:c r="F1287" t="n">
        <x:f>Dashboard_Live_Data!AC61</x:f>
        <x:v>1894.3114493737276</x:v>
      </x:c>
      <x:c r="G1287" t="n">
        <x:f>Dashboard_Live_Data!AD61</x:f>
        <x:v>-406.4</x:v>
      </x:c>
      <x:c r="H1287" t="n">
        <x:f>Dashboard_Live_Data!AE61</x:f>
        <x:v>1844.81480726674</x:v>
      </x:c>
    </x:row>
    <x:row r="1288">
      <x:c r="A1288" t="n">
        <x:f>Dashboard_Live_Data!X62</x:f>
        <x:v>-30</x:v>
      </x:c>
      <x:c r="B1288" t="n">
        <x:f>Dashboard_Live_Data!Y62</x:f>
        <x:v>2675.3009110978614</x:v>
      </x:c>
      <x:c r="C1288" t="n">
        <x:f>Dashboard_Live_Data!Z62</x:f>
        <x:v>-200</x:v>
      </x:c>
      <x:c r="D1288" t="n">
        <x:f>Dashboard_Live_Data!AA62</x:f>
        <x:v>842.0910391477134</x:v>
      </x:c>
      <x:c r="E1288" t="n">
        <x:f>Dashboard_Live_Data!AB62</x:f>
        <x:v>-400</x:v>
      </x:c>
      <x:c r="F1288" t="n">
        <x:f>Dashboard_Live_Data!AC62</x:f>
        <x:v>1842.8570097666186</x:v>
      </x:c>
      <x:c r="G1288" t="n">
        <x:f>Dashboard_Live_Data!AD62</x:f>
        <x:v>-400</x:v>
      </x:c>
      <x:c r="H1288" t="n">
        <x:f>Dashboard_Live_Data!AE62</x:f>
        <x:v>1792.8223954868956</x:v>
      </x:c>
    </x:row>
    <x:row r="1289">
      <x:c r="A1289" t="n">
        <x:f>Dashboard_Live_Data!X63</x:f>
        <x:v>-29.52</x:v>
      </x:c>
      <x:c r="B1289" t="n">
        <x:f>Dashboard_Live_Data!Y63</x:f>
        <x:v>2675.1900720308854</x:v>
      </x:c>
      <x:c r="C1289" t="n">
        <x:f>Dashboard_Live_Data!Z63</x:f>
        <x:v>-196.8</x:v>
      </x:c>
      <x:c r="D1289" t="n">
        <x:f>Dashboard_Live_Data!AA63</x:f>
        <x:v>822.5520747808995</x:v>
      </x:c>
      <x:c r="E1289" t="n">
        <x:f>Dashboard_Live_Data!AB63</x:f>
        <x:v>-393.6</x:v>
      </x:c>
      <x:c r="F1289" t="n">
        <x:f>Dashboard_Live_Data!AC63</x:f>
        <x:v>1791.3583570829956</x:v>
      </x:c>
      <x:c r="G1289" t="n">
        <x:f>Dashboard_Live_Data!AD63</x:f>
        <x:v>-393.6</x:v>
      </x:c>
      <x:c r="H1289" t="n">
        <x:f>Dashboard_Live_Data!AE63</x:f>
        <x:v>1740.7943098713745</x:v>
      </x:c>
    </x:row>
    <x:row r="1290">
      <x:c r="A1290" t="n">
        <x:f>Dashboard_Live_Data!X64</x:f>
        <x:v>-28.98</x:v>
      </x:c>
      <x:c r="B1290" t="n">
        <x:f>Dashboard_Live_Data!Y64</x:f>
        <x:v>2674.966604122772</x:v>
      </x:c>
      <x:c r="C1290" t="n">
        <x:f>Dashboard_Live_Data!Z64</x:f>
        <x:v>-193.2</x:v>
      </x:c>
      <x:c r="D1290" t="n">
        <x:f>Dashboard_Live_Data!AA64</x:f>
        <x:v>800.788445167925</x:v>
      </x:c>
      <x:c r="E1290" t="n">
        <x:f>Dashboard_Live_Data!AB64</x:f>
        <x:v>-386.4</x:v>
      </x:c>
      <x:c r="F1290" t="n">
        <x:f>Dashboard_Live_Data!AC64</x:f>
        <x:v>1735.3520404808078</x:v>
      </x:c>
      <x:c r="G1290" t="n">
        <x:f>Dashboard_Live_Data!AD64</x:f>
        <x:v>-386.4</x:v>
      </x:c>
      <x:c r="H1290" t="n">
        <x:f>Dashboard_Live_Data!AE64</x:f>
        <x:v>1684.2025882821138</x:v>
      </x:c>
    </x:row>
    <x:row r="1291">
      <x:c r="A1291" t="n">
        <x:f>Dashboard_Live_Data!X65</x:f>
        <x:v>-28.5</x:v>
      </x:c>
      <x:c r="B1291" t="n">
        <x:f>Dashboard_Live_Data!Y65</x:f>
        <x:v>2674.73193988436</x:v>
      </x:c>
      <x:c r="C1291" t="n">
        <x:f>Dashboard_Live_Data!Z65</x:f>
        <x:v>-190</x:v>
      </x:c>
      <x:c r="D1291" t="n">
        <x:f>Dashboard_Live_Data!AA65</x:f>
        <x:v>782.182758595004</x:v>
      </x:c>
      <x:c r="E1291" t="n">
        <x:f>Dashboard_Live_Data!AB65</x:f>
        <x:v>-380</x:v>
      </x:c>
      <x:c r="F1291" t="n">
        <x:f>Dashboard_Live_Data!AC65</x:f>
        <x:v>1686.2442602676774</x:v>
      </x:c>
      <x:c r="G1291" t="n">
        <x:f>Dashboard_Live_Data!AD65</x:f>
        <x:v>-380</x:v>
      </x:c>
      <x:c r="H1291" t="n">
        <x:f>Dashboard_Live_Data!AE65</x:f>
        <x:v>1634.5835210238636</x:v>
      </x:c>
    </x:row>
    <x:row r="1292">
      <x:c r="A1292" t="n">
        <x:f>Dashboard_Live_Data!X66</x:f>
        <x:v>-28.020000000000003</x:v>
      </x:c>
      <x:c r="B1292" t="n">
        <x:f>Dashboard_Live_Data!Y66</x:f>
        <x:v>2674.723922285471</x:v>
      </x:c>
      <x:c r="C1292" t="n">
        <x:f>Dashboard_Live_Data!Z66</x:f>
        <x:v>-186.80000000000004</x:v>
      </x:c>
      <x:c r="D1292" t="n">
        <x:f>Dashboard_Live_Data!AA66</x:f>
        <x:v>764.2997508213764</x:v>
      </x:c>
      <x:c r="E1292" t="n">
        <x:f>Dashboard_Live_Data!AB66</x:f>
        <x:v>-373.6000000000001</x:v>
      </x:c>
      <x:c r="F1292" t="n">
        <x:f>Dashboard_Live_Data!AC66</x:f>
        <x:v>1637.3177434988154</x:v>
      </x:c>
      <x:c r="G1292" t="n">
        <x:f>Dashboard_Live_Data!AD66</x:f>
        <x:v>-373.6000000000001</x:v>
      </x:c>
      <x:c r="H1292" t="n">
        <x:f>Dashboard_Live_Data!AE66</x:f>
        <x:v>1585.154256450719</x:v>
      </x:c>
    </x:row>
    <x:row r="1293">
      <x:c r="A1293" t="n">
        <x:f>Dashboard_Live_Data!X67</x:f>
        <x:v>-27.479999999999997</x:v>
      </x:c>
      <x:c r="B1293" t="n">
        <x:f>Dashboard_Live_Data!Y67</x:f>
        <x:v>2674.5566383706246</x:v>
      </x:c>
      <x:c r="C1293" t="n">
        <x:f>Dashboard_Live_Data!Z67</x:f>
        <x:v>-183.2</x:v>
      </x:c>
      <x:c r="D1293" t="n">
        <x:f>Dashboard_Live_Data!AA67</x:f>
        <x:v>744.2996706468294</x:v>
      </x:c>
      <x:c r="E1293" t="n">
        <x:f>Dashboard_Live_Data!AB67</x:f>
        <x:v>-366.4</x:v>
      </x:c>
      <x:c r="F1293" t="n">
        <x:f>Dashboard_Live_Data!AC67</x:f>
        <x:v>1584.1474784934792</x:v>
      </x:c>
      <x:c r="G1293" t="n">
        <x:f>Dashboard_Live_Data!AD67</x:f>
        <x:v>-366.4</x:v>
      </x:c>
      <x:c r="H1293" t="n">
        <x:f>Dashboard_Live_Data!AE67</x:f>
        <x:v>1531.4286072268776</x:v>
      </x:c>
    </x:row>
    <x:row r="1294">
      <x:c r="A1294" t="n">
        <x:f>Dashboard_Live_Data!X68</x:f>
        <x:v>-27</x:v>
      </x:c>
      <x:c r="B1294" t="n">
        <x:f>Dashboard_Live_Data!Y68</x:f>
        <x:v>2674.381298406674</x:v>
      </x:c>
      <x:c r="C1294" t="n">
        <x:f>Dashboard_Live_Data!Z68</x:f>
        <x:v>-179.99999999999997</x:v>
      </x:c>
      <x:c r="D1294" t="n">
        <x:f>Dashboard_Live_Data!AA68</x:f>
        <x:v>726.3902763702735</x:v>
      </x:c>
      <x:c r="E1294" t="n">
        <x:f>Dashboard_Live_Data!AB68</x:f>
        <x:v>-359.99999999999994</x:v>
      </x:c>
      <x:c r="F1294" t="n">
        <x:f>Dashboard_Live_Data!AC68</x:f>
        <x:v>1537.2156175815205</x:v>
      </x:c>
      <x:c r="G1294" t="n">
        <x:f>Dashboard_Live_Data!AD68</x:f>
        <x:v>-359.99999999999994</x:v>
      </x:c>
      <x:c r="H1294" t="n">
        <x:f>Dashboard_Live_Data!AE68</x:f>
        <x:v>1484.0121443974156</x:v>
      </x:c>
    </x:row>
    <x:row r="1295">
      <x:c r="A1295" t="n">
        <x:f>Dashboard_Live_Data!X69</x:f>
        <x:v>-26.519999999999996</x:v>
      </x:c>
      <x:c r="B1295" t="n">
        <x:f>Dashboard_Live_Data!Y69</x:f>
        <x:v>2674.3335334564645</x:v>
      </x:c>
      <x:c r="C1295" t="n">
        <x:f>Dashboard_Live_Data!Z69</x:f>
        <x:v>-176.79999999999998</x:v>
      </x:c>
      <x:c r="D1295" t="n">
        <x:f>Dashboard_Live_Data!AA69</x:f>
        <x:v>708.5965223973278</x:v>
      </x:c>
      <x:c r="E1295" t="n">
        <x:f>Dashboard_Live_Data!AB69</x:f>
        <x:v>-353.59999999999997</x:v>
      </x:c>
      <x:c r="F1295" t="n">
        <x:f>Dashboard_Live_Data!AC69</x:f>
        <x:v>1491.014051093174</x:v>
      </x:c>
      <x:c r="G1295" t="n">
        <x:f>Dashboard_Live_Data!AD69</x:f>
        <x:v>-353.59999999999997</x:v>
      </x:c>
      <x:c r="H1295" t="n">
        <x:f>Dashboard_Live_Data!AE69</x:f>
        <x:v>1437.3345152324018</x:v>
      </x:c>
    </x:row>
    <x:row r="1296">
      <x:c r="A1296" t="n">
        <x:f>Dashboard_Live_Data!X70</x:f>
        <x:v>-25.980000000000004</x:v>
      </x:c>
      <x:c r="B1296" t="n">
        <x:f>Dashboard_Live_Data!Y70</x:f>
        <x:v>2674.121602551275</x:v>
      </x:c>
      <x:c r="C1296" t="n">
        <x:f>Dashboard_Live_Data!Z70</x:f>
        <x:v>-173.20000000000002</x:v>
      </x:c>
      <x:c r="D1296" t="n">
        <x:f>Dashboard_Live_Data!AA70</x:f>
        <x:v>689.6044707976647</x:v>
      </x:c>
      <x:c r="E1296" t="n">
        <x:f>Dashboard_Live_Data!AB70</x:f>
        <x:v>-346.40000000000003</x:v>
      </x:c>
      <x:c r="F1296" t="n">
        <x:f>Dashboard_Live_Data!AC70</x:f>
        <x:v>1440.7064420089464</x:v>
      </x:c>
      <x:c r="G1296" t="n">
        <x:f>Dashboard_Live_Data!AD70</x:f>
        <x:v>-346.40000000000003</x:v>
      </x:c>
      <x:c r="H1296" t="n">
        <x:f>Dashboard_Live_Data!AE70</x:f>
        <x:v>1386.501542698237</x:v>
      </x:c>
    </x:row>
    <x:row r="1297">
      <x:c r="A1297" t="n">
        <x:f>Dashboard_Live_Data!X71</x:f>
        <x:v>-25.5</x:v>
      </x:c>
      <x:c r="B1297" t="n">
        <x:f>Dashboard_Live_Data!Y71</x:f>
        <x:v>2674.028698460582</x:v>
      </x:c>
      <x:c r="C1297" t="n">
        <x:f>Dashboard_Live_Data!Z71</x:f>
        <x:v>-170.00000000000003</x:v>
      </x:c>
      <x:c r="D1297" t="n">
        <x:f>Dashboard_Live_Data!AA71</x:f>
        <x:v>673.529430210656</x:v>
      </x:c>
      <x:c r="E1297" t="n">
        <x:f>Dashboard_Live_Data!AB71</x:f>
        <x:v>-340.00000000000006</x:v>
      </x:c>
      <x:c r="F1297" t="n">
        <x:f>Dashboard_Live_Data!AC71</x:f>
        <x:v>1395.9069815926184</x:v>
      </x:c>
      <x:c r="G1297" t="n">
        <x:f>Dashboard_Live_Data!AD71</x:f>
        <x:v>-340.00000000000006</x:v>
      </x:c>
      <x:c r="H1297" t="n">
        <x:f>Dashboard_Live_Data!AE71</x:f>
        <x:v>1341.2441654920215</x:v>
      </x:c>
    </x:row>
    <x:row r="1298">
      <x:c r="A1298" t="n">
        <x:f>Dashboard_Live_Data!X72</x:f>
        <x:v>-25.020000000000003</x:v>
      </x:c>
      <x:c r="B1298" t="n">
        <x:f>Dashboard_Live_Data!Y72</x:f>
        <x:v>2673.836415166981</x:v>
      </x:c>
      <x:c r="C1298" t="n">
        <x:f>Dashboard_Live_Data!Z72</x:f>
        <x:v>-166.8</x:v>
      </x:c>
      <x:c r="D1298" t="n">
        <x:f>Dashboard_Live_Data!AA72</x:f>
        <x:v>657.1579289089054</x:v>
      </x:c>
      <x:c r="E1298" t="n">
        <x:f>Dashboard_Live_Data!AB72</x:f>
        <x:v>-333.6</x:v>
      </x:c>
      <x:c r="F1298" t="n">
        <x:f>Dashboard_Live_Data!AC72</x:f>
        <x:v>1352.5285718842533</x:v>
      </x:c>
      <x:c r="G1298" t="n">
        <x:f>Dashboard_Live_Data!AD72</x:f>
        <x:v>-333.6</x:v>
      </x:c>
      <x:c r="H1298" t="n">
        <x:f>Dashboard_Live_Data!AE72</x:f>
        <x:v>1297.4163782346052</x:v>
      </x:c>
    </x:row>
    <x:row r="1299">
      <x:c r="A1299" t="n">
        <x:f>Dashboard_Live_Data!X73</x:f>
        <x:v>-24.479999999999997</x:v>
      </x:c>
      <x:c r="B1299" t="n">
        <x:f>Dashboard_Live_Data!Y73</x:f>
        <x:v>2673.7029376385944</x:v>
      </x:c>
      <x:c r="C1299" t="n">
        <x:f>Dashboard_Live_Data!Z73</x:f>
        <x:v>-163.19999999999996</x:v>
      </x:c>
      <x:c r="D1299" t="n">
        <x:f>Dashboard_Live_Data!AA73</x:f>
        <x:v>638.7033528513318</x:v>
      </x:c>
      <x:c r="E1299" t="n">
        <x:f>Dashboard_Live_Data!AB73</x:f>
        <x:v>-326.3999999999999</x:v>
      </x:c>
      <x:c r="F1299" t="n">
        <x:f>Dashboard_Live_Data!AC73</x:f>
        <x:v>1304.9764199784206</x:v>
      </x:c>
      <x:c r="G1299" t="n">
        <x:f>Dashboard_Live_Data!AD73</x:f>
        <x:v>-326.3999999999999</x:v>
      </x:c>
      <x:c r="H1299" t="n">
        <x:f>Dashboard_Live_Data!AE73</x:f>
        <x:v>1249.3688836474032</x:v>
      </x:c>
    </x:row>
    <x:row r="1300">
      <x:c r="A1300" t="n">
        <x:f>Dashboard_Live_Data!X74</x:f>
        <x:v>-24</x:v>
      </x:c>
      <x:c r="B1300" t="n">
        <x:f>Dashboard_Live_Data!Y74</x:f>
        <x:v>2673.5261534625206</x:v>
      </x:c>
      <x:c r="C1300" t="n">
        <x:f>Dashboard_Live_Data!Z74</x:f>
        <x:v>-160</x:v>
      </x:c>
      <x:c r="D1300" t="n">
        <x:f>Dashboard_Live_Data!AA74</x:f>
        <x:v>622.9558192945855</x:v>
      </x:c>
      <x:c r="E1300" t="n">
        <x:f>Dashboard_Live_Data!AB74</x:f>
        <x:v>-320</x:v>
      </x:c>
      <x:c r="F1300" t="n">
        <x:f>Dashboard_Live_Data!AC74</x:f>
        <x:v>1262.944790521118</x:v>
      </x:c>
      <x:c r="G1300" t="n">
        <x:f>Dashboard_Live_Data!AD74</x:f>
        <x:v>-320</x:v>
      </x:c>
      <x:c r="H1300" t="n">
        <x:f>Dashboard_Live_Data!AE74</x:f>
        <x:v>1206.9060225278283</x:v>
      </x:c>
    </x:row>
    <x:row r="1301">
      <x:c r="A1301" t="n">
        <x:f>Dashboard_Live_Data!X75</x:f>
        <x:v>-23.520000000000003</x:v>
      </x:c>
      <x:c r="B1301" t="n">
        <x:f>Dashboard_Live_Data!Y75</x:f>
        <x:v>2673.5228751299887</x:v>
      </x:c>
      <x:c r="C1301" t="n">
        <x:f>Dashboard_Live_Data!Z75</x:f>
        <x:v>-156.8</x:v>
      </x:c>
      <x:c r="D1301" t="n">
        <x:f>Dashboard_Live_Data!AA75</x:f>
        <x:v>607.6984165072893</x:v>
      </x:c>
      <x:c r="E1301" t="n">
        <x:f>Dashboard_Live_Data!AB75</x:f>
        <x:v>-313.6</x:v>
      </x:c>
      <x:c r="F1301" t="n">
        <x:f>Dashboard_Live_Data!AC75</x:f>
        <x:v>1222.5976275941218</x:v>
      </x:c>
      <x:c r="G1301" t="n">
        <x:f>Dashboard_Live_Data!AD75</x:f>
        <x:v>-313.6</x:v>
      </x:c>
      <x:c r="H1301" t="n">
        <x:f>Dashboard_Live_Data!AE75</x:f>
        <x:v>1166.1361671793973</x:v>
      </x:c>
    </x:row>
    <x:row r="1302">
      <x:c r="A1302" t="n">
        <x:f>Dashboard_Live_Data!X76</x:f>
        <x:v>-22.980000000000004</x:v>
      </x:c>
      <x:c r="B1302" t="n">
        <x:f>Dashboard_Live_Data!Y76</x:f>
        <x:v>2673.292108029348</x:v>
      </x:c>
      <x:c r="C1302" t="n">
        <x:f>Dashboard_Live_Data!Z76</x:f>
        <x:v>-153.2</x:v>
      </x:c>
      <x:c r="D1302" t="n">
        <x:f>Dashboard_Live_Data!AA76</x:f>
        <x:v>590.6619711076781</x:v>
      </x:c>
      <x:c r="E1302" t="n">
        <x:f>Dashboard_Live_Data!AB76</x:f>
        <x:v>-306.4</x:v>
      </x:c>
      <x:c r="F1302" t="n">
        <x:f>Dashboard_Live_Data!AC76</x:f>
        <x:v>1177.579756144795</x:v>
      </x:c>
      <x:c r="G1302" t="n">
        <x:f>Dashboard_Live_Data!AD76</x:f>
        <x:v>-306.4</x:v>
      </x:c>
      <x:c r="H1302" t="n">
        <x:f>Dashboard_Live_Data!AE76</x:f>
        <x:v>1120.6529738172692</x:v>
      </x:c>
    </x:row>
    <x:row r="1303">
      <x:c r="A1303" t="n">
        <x:f>Dashboard_Live_Data!X77</x:f>
        <x:v>-22.5</x:v>
      </x:c>
      <x:c r="B1303" t="n">
        <x:f>Dashboard_Live_Data!Y77</x:f>
        <x:v>2673.18796223142</x:v>
      </x:c>
      <x:c r="C1303" t="n">
        <x:f>Dashboard_Live_Data!Z77</x:f>
        <x:v>-150</x:v>
      </x:c>
      <x:c r="D1303" t="n">
        <x:f>Dashboard_Live_Data!AA77</x:f>
        <x:v>576.2225881312249</x:v>
      </x:c>
      <x:c r="E1303" t="n">
        <x:f>Dashboard_Live_Data!AB77</x:f>
        <x:v>-300</x:v>
      </x:c>
      <x:c r="F1303" t="n">
        <x:f>Dashboard_Live_Data!AC77</x:f>
        <x:v>1138.4256657523622</x:v>
      </x:c>
      <x:c r="G1303" t="n">
        <x:f>Dashboard_Live_Data!AD77</x:f>
        <x:v>-300</x:v>
      </x:c>
      <x:c r="H1303" t="n">
        <x:f>Dashboard_Live_Data!AE77</x:f>
        <x:v>1081.0943368901799</x:v>
      </x:c>
    </x:row>
    <x:row r="1304">
      <x:c r="A1304" t="n">
        <x:f>Dashboard_Live_Data!X78</x:f>
        <x:v>-22.019999999999996</x:v>
      </x:c>
      <x:c r="B1304" t="n">
        <x:f>Dashboard_Live_Data!Y78</x:f>
        <x:v>2673.1305400369843</x:v>
      </x:c>
      <x:c r="C1304" t="n">
        <x:f>Dashboard_Live_Data!Z78</x:f>
        <x:v>-146.8</x:v>
      </x:c>
      <x:c r="D1304" t="n">
        <x:f>Dashboard_Live_Data!AA78</x:f>
        <x:v>561.8222462323213</x:v>
      </x:c>
      <x:c r="E1304" t="n">
        <x:f>Dashboard_Live_Data!AB78</x:f>
        <x:v>-293.6</x:v>
      </x:c>
      <x:c r="F1304" t="n">
        <x:f>Dashboard_Live_Data!AC78</x:f>
        <x:v>1100.5896963997259</x:v>
      </x:c>
      <x:c r="G1304" t="n">
        <x:f>Dashboard_Live_Data!AD78</x:f>
        <x:v>-293.6</x:v>
      </x:c>
      <x:c r="H1304" t="n">
        <x:f>Dashboard_Live_Data!AE78</x:f>
        <x:v>1042.862360243724</x:v>
      </x:c>
    </x:row>
    <x:row r="1305">
      <x:c r="A1305" t="n">
        <x:f>Dashboard_Live_Data!X79</x:f>
        <x:v>-21.479999999999997</x:v>
      </x:c>
      <x:c r="B1305" t="n">
        <x:f>Dashboard_Live_Data!Y79</x:f>
        <x:v>2672.9477639052798</x:v>
      </x:c>
      <x:c r="C1305" t="n">
        <x:f>Dashboard_Live_Data!Z79</x:f>
        <x:v>-143.2</x:v>
      </x:c>
      <x:c r="D1305" t="n">
        <x:f>Dashboard_Live_Data!AA79</x:f>
        <x:v>545.4683845610028</x:v>
      </x:c>
      <x:c r="E1305" t="n">
        <x:f>Dashboard_Live_Data!AB79</x:f>
        <x:v>-286.4</x:v>
      </x:c>
      <x:c r="F1305" t="n">
        <x:f>Dashboard_Live_Data!AC79</x:f>
        <x:v>1058.3002345586074</x:v>
      </x:c>
      <x:c r="G1305" t="n">
        <x:f>Dashboard_Live_Data!AD79</x:f>
        <x:v>-286.4</x:v>
      </x:c>
      <x:c r="H1305" t="n">
        <x:f>Dashboard_Live_Data!AE79</x:f>
        <x:v>1000.1375972583725</x:v>
      </x:c>
    </x:row>
    <x:row r="1306">
      <x:c r="A1306" t="n">
        <x:f>Dashboard_Live_Data!X80</x:f>
        <x:v>-21</x:v>
      </x:c>
      <x:c r="B1306" t="n">
        <x:f>Dashboard_Live_Data!Y80</x:f>
        <x:v>2672.7315331589957</x:v>
      </x:c>
      <x:c r="C1306" t="n">
        <x:f>Dashboard_Live_Data!Z80</x:f>
        <x:v>-140</x:v>
      </x:c>
      <x:c r="D1306" t="n">
        <x:f>Dashboard_Live_Data!AA80</x:f>
        <x:v>531.4420597563163</x:v>
      </x:c>
      <x:c r="E1306" t="n">
        <x:f>Dashboard_Live_Data!AB80</x:f>
        <x:v>-280</x:v>
      </x:c>
      <x:c r="F1306" t="n">
        <x:f>Dashboard_Live_Data!AC80</x:f>
        <x:v>1021.9153193332302</x:v>
      </x:c>
      <x:c r="G1306" t="n">
        <x:f>Dashboard_Live_Data!AD80</x:f>
        <x:v>-280</x:v>
      </x:c>
      <x:c r="H1306" t="n">
        <x:f>Dashboard_Live_Data!AE80</x:f>
        <x:v>963.3748206259548</x:v>
      </x:c>
    </x:row>
    <x:row r="1307">
      <x:c r="A1307" t="n">
        <x:f>Dashboard_Live_Data!X81</x:f>
        <x:v>-20.520000000000003</x:v>
      </x:c>
      <x:c r="B1307" t="n">
        <x:f>Dashboard_Live_Data!Y81</x:f>
        <x:v>2672.6976301058958</x:v>
      </x:c>
      <x:c r="C1307" t="n">
        <x:f>Dashboard_Live_Data!Z81</x:f>
        <x:v>-136.8</x:v>
      </x:c>
      <x:c r="D1307" t="n">
        <x:f>Dashboard_Live_Data!AA81</x:f>
        <x:v>518.30702957058</x:v>
      </x:c>
      <x:c r="E1307" t="n">
        <x:f>Dashboard_Live_Data!AB81</x:f>
        <x:v>-273.6</x:v>
      </x:c>
      <x:c r="F1307" t="n">
        <x:f>Dashboard_Live_Data!AC81</x:f>
        <x:v>986.6455688287625</x:v>
      </x:c>
      <x:c r="G1307" t="n">
        <x:f>Dashboard_Live_Data!AD81</x:f>
        <x:v>-273.6</x:v>
      </x:c>
      <x:c r="H1307" t="n">
        <x:f>Dashboard_Live_Data!AE81</x:f>
        <x:v>927.7357479552833</x:v>
      </x:c>
    </x:row>
    <x:row r="1308">
      <x:c r="A1308" t="n">
        <x:f>Dashboard_Live_Data!X82</x:f>
        <x:v>-19.979999999999997</x:v>
      </x:c>
      <x:c r="B1308" t="n">
        <x:f>Dashboard_Live_Data!Y82</x:f>
        <x:v>2672.4754623052013</x:v>
      </x:c>
      <x:c r="C1308" t="n">
        <x:f>Dashboard_Live_Data!Z82</x:f>
        <x:v>-133.2</x:v>
      </x:c>
      <x:c r="D1308" t="n">
        <x:f>Dashboard_Live_Data!AA82</x:f>
        <x:v>503.5300716509127</x:v>
      </x:c>
      <x:c r="E1308" t="n">
        <x:f>Dashboard_Live_Data!AB82</x:f>
        <x:v>-266.4</x:v>
      </x:c>
      <x:c r="F1308" t="n">
        <x:f>Dashboard_Live_Data!AC82</x:f>
        <x:v>946.9302890193869</x:v>
      </x:c>
      <x:c r="G1308" t="n">
        <x:f>Dashboard_Live_Data!AD82</x:f>
        <x:v>-266.4</x:v>
      </x:c>
      <x:c r="H1308" t="n">
        <x:f>Dashboard_Live_Data!AE82</x:f>
        <x:v>887.615187770242</x:v>
      </x:c>
    </x:row>
    <x:row r="1309">
      <x:c r="A1309" t="n">
        <x:f>Dashboard_Live_Data!X83</x:f>
        <x:v>-19.5</x:v>
      </x:c>
      <x:c r="B1309" t="n">
        <x:f>Dashboard_Live_Data!Y83</x:f>
        <x:v>2672.265680133479</x:v>
      </x:c>
      <x:c r="C1309" t="n">
        <x:f>Dashboard_Live_Data!Z83</x:f>
        <x:v>-130</x:v>
      </x:c>
      <x:c r="D1309" t="n">
        <x:f>Dashboard_Live_Data!AA83</x:f>
        <x:v>490.6119523498117</x:v>
      </x:c>
      <x:c r="E1309" t="n">
        <x:f>Dashboard_Live_Data!AB83</x:f>
        <x:v>-260</x:v>
      </x:c>
      <x:c r="F1309" t="n">
        <x:f>Dashboard_Live_Data!AC83</x:f>
        <x:v>913.3884443529537</x:v>
      </x:c>
      <x:c r="G1309" t="n">
        <x:f>Dashboard_Live_Data!AD83</x:f>
        <x:v>-260</x:v>
      </x:c>
      <x:c r="H1309" t="n">
        <x:f>Dashboard_Live_Data!AE83</x:f>
        <x:v>853.7221668243841</x:v>
      </x:c>
    </x:row>
    <x:row r="1310">
      <x:c r="A1310" t="n">
        <x:f>Dashboard_Live_Data!X84</x:f>
        <x:v>-19.019999999999996</x:v>
      </x:c>
      <x:c r="B1310" t="n">
        <x:f>Dashboard_Live_Data!Y84</x:f>
        <x:v>2672.115565841893</x:v>
      </x:c>
      <x:c r="C1310" t="n">
        <x:f>Dashboard_Live_Data!Z84</x:f>
        <x:v>-126.79999999999995</x:v>
      </x:c>
      <x:c r="D1310" t="n">
        <x:f>Dashboard_Live_Data!AA84</x:f>
        <x:v>478.15408387641</x:v>
      </x:c>
      <x:c r="E1310" t="n">
        <x:f>Dashboard_Live_Data!AB84</x:f>
        <x:v>-253.5999999999999</x:v>
      </x:c>
      <x:c r="F1310" t="n">
        <x:f>Dashboard_Live_Data!AC84</x:f>
        <x:v>880.5229562915246</x:v>
      </x:c>
      <x:c r="G1310" t="n">
        <x:f>Dashboard_Live_Data!AD84</x:f>
        <x:v>-253.5999999999999</x:v>
      </x:c>
      <x:c r="H1310" t="n">
        <x:f>Dashboard_Live_Data!AE84</x:f>
        <x:v>820.5140417243678</x:v>
      </x:c>
    </x:row>
    <x:row r="1311">
      <x:c r="A1311" t="n">
        <x:f>Dashboard_Live_Data!X85</x:f>
        <x:v>-18.480000000000004</x:v>
      </x:c>
      <x:c r="B1311" t="n">
        <x:f>Dashboard_Live_Data!Y85</x:f>
        <x:v>2671.975172884264</x:v>
      </x:c>
      <x:c r="C1311" t="n">
        <x:f>Dashboard_Live_Data!Z85</x:f>
        <x:v>-123.20000000000005</x:v>
      </x:c>
      <x:c r="D1311" t="n">
        <x:f>Dashboard_Live_Data!AA85</x:f>
        <x:v>464.2648822613425</x:v>
      </x:c>
      <x:c r="E1311" t="n">
        <x:f>Dashboard_Live_Data!AB85</x:f>
        <x:v>-246.4000000000001</x:v>
      </x:c>
      <x:c r="F1311" t="n">
        <x:f>Dashboard_Live_Data!AC85</x:f>
        <x:v>843.8524115089195</x:v>
      </x:c>
      <x:c r="G1311" t="n">
        <x:f>Dashboard_Live_Data!AD85</x:f>
        <x:v>-246.4000000000001</x:v>
      </x:c>
      <x:c r="H1311" t="n">
        <x:f>Dashboard_Live_Data!AE85</x:f>
        <x:v>783.4682373346647</x:v>
      </x:c>
    </x:row>
    <x:row r="1312">
      <x:c r="A1312" t="n">
        <x:f>Dashboard_Live_Data!X86</x:f>
        <x:v>-18</x:v>
      </x:c>
      <x:c r="B1312" t="n">
        <x:f>Dashboard_Live_Data!Y86</x:f>
        <x:v>2671.9092619653225</x:v>
      </x:c>
      <x:c r="C1312" t="n">
        <x:f>Dashboard_Live_Data!Z86</x:f>
        <x:v>-120</x:v>
      </x:c>
      <x:c r="D1312" t="n">
        <x:f>Dashboard_Live_Data!AA86</x:f>
        <x:v>452.12513673633794</x:v>
      </x:c>
      <x:c r="E1312" t="n">
        <x:f>Dashboard_Live_Data!AB86</x:f>
        <x:v>-240</x:v>
      </x:c>
      <x:c r="F1312" t="n">
        <x:f>Dashboard_Live_Data!AC86</x:f>
        <x:v>813.2058487052462</x:v>
      </x:c>
      <x:c r="G1312" t="n">
        <x:f>Dashboard_Live_Data!AD86</x:f>
        <x:v>-240</x:v>
      </x:c>
      <x:c r="H1312" t="n">
        <x:f>Dashboard_Live_Data!AE86</x:f>
        <x:v>752.4971833791826</x:v>
      </x:c>
    </x:row>
    <x:row r="1313">
      <x:c r="A1313" t="n">
        <x:f>Dashboard_Live_Data!X87</x:f>
        <x:v>-17.520000000000003</x:v>
      </x:c>
      <x:c r="B1313" t="n">
        <x:f>Dashboard_Live_Data!Y87</x:f>
        <x:v>2671.617255107805</x:v>
      </x:c>
      <x:c r="C1313" t="n">
        <x:f>Dashboard_Live_Data!Z87</x:f>
        <x:v>-116.80000000000001</x:v>
      </x:c>
      <x:c r="D1313" t="n">
        <x:f>Dashboard_Live_Data!AA87</x:f>
        <x:v>440.789520058493</x:v>
      </x:c>
      <x:c r="E1313" t="n">
        <x:f>Dashboard_Live_Data!AB87</x:f>
        <x:v>-233.60000000000002</x:v>
      </x:c>
      <x:c r="F1313" t="n">
        <x:f>Dashboard_Live_Data!AC87</x:f>
        <x:v>782.2383189807096</x:v>
      </x:c>
      <x:c r="G1313" t="n">
        <x:f>Dashboard_Live_Data!AD87</x:f>
        <x:v>-233.60000000000002</x:v>
      </x:c>
      <x:c r="H1313" t="n">
        <x:f>Dashboard_Live_Data!AE87</x:f>
        <x:v>721.2137017436742</x:v>
      </x:c>
    </x:row>
    <x:row r="1314">
      <x:c r="A1314" t="n">
        <x:f>Dashboard_Live_Data!X88</x:f>
        <x:v>-16.979999999999997</x:v>
      </x:c>
      <x:c r="B1314" t="n">
        <x:f>Dashboard_Live_Data!Y88</x:f>
        <x:v>2671.4755777744185</x:v>
      </x:c>
      <x:c r="C1314" t="n">
        <x:f>Dashboard_Live_Data!Z88</x:f>
        <x:v>-113.19999999999999</x:v>
      </x:c>
      <x:c r="D1314" t="n">
        <x:f>Dashboard_Live_Data!AA88</x:f>
        <x:v>428.42468286207804</x:v>
      </x:c>
      <x:c r="E1314" t="n">
        <x:f>Dashboard_Live_Data!AB88</x:f>
        <x:v>-226.39999999999998</x:v>
      </x:c>
      <x:c r="F1314" t="n">
        <x:f>Dashboard_Live_Data!AC88</x:f>
        <x:v>748.9308676883384</x:v>
      </x:c>
      <x:c r="G1314" t="n">
        <x:f>Dashboard_Live_Data!AD88</x:f>
        <x:v>-226.39999999999998</x:v>
      </x:c>
      <x:c r="H1314" t="n">
        <x:f>Dashboard_Live_Data!AE88</x:f>
        <x:v>687.5610116127729</x:v>
      </x:c>
    </x:row>
    <x:row r="1315">
      <x:c r="A1315" t="n">
        <x:f>Dashboard_Live_Data!X89</x:f>
        <x:v>-16.5</x:v>
      </x:c>
      <x:c r="B1315" t="n">
        <x:f>Dashboard_Live_Data!Y89</x:f>
        <x:v>2671.3571868013596</x:v>
      </x:c>
      <x:c r="C1315" t="n">
        <x:f>Dashboard_Live_Data!Z89</x:f>
        <x:v>-110</x:v>
      </x:c>
      <x:c r="D1315" t="n">
        <x:f>Dashboard_Live_Data!AA89</x:f>
        <x:v>417.67037608062077</x:v>
      </x:c>
      <x:c r="E1315" t="n">
        <x:f>Dashboard_Live_Data!AB89</x:f>
        <x:v>-220</x:v>
      </x:c>
      <x:c r="F1315" t="n">
        <x:f>Dashboard_Live_Data!AC89</x:f>
        <x:v>720.4332419129369</x:v>
      </x:c>
      <x:c r="G1315" t="n">
        <x:f>Dashboard_Live_Data!AD89</x:f>
        <x:v>-220</x:v>
      </x:c>
      <x:c r="H1315" t="n">
        <x:f>Dashboard_Live_Data!AE89</x:f>
        <x:v>658.7655798131786</x:v>
      </x:c>
    </x:row>
    <x:row r="1316">
      <x:c r="A1316" t="n">
        <x:f>Dashboard_Live_Data!X90</x:f>
        <x:v>-16.020000000000003</x:v>
      </x:c>
      <x:c r="B1316" t="n">
        <x:f>Dashboard_Live_Data!Y90</x:f>
        <x:v>2671.224880020979</x:v>
      </x:c>
      <x:c r="C1316" t="n">
        <x:f>Dashboard_Live_Data!Z90</x:f>
        <x:v>-106.80000000000001</x:v>
      </x:c>
      <x:c r="D1316" t="n">
        <x:f>Dashboard_Live_Data!AA90</x:f>
        <x:v>406.7470273897068</x:v>
      </x:c>
      <x:c r="E1316" t="n">
        <x:f>Dashboard_Live_Data!AB90</x:f>
        <x:v>-213.60000000000002</x:v>
      </x:c>
      <x:c r="F1316" t="n">
        <x:f>Dashboard_Live_Data!AC90</x:f>
        <x:v>691.9670551954491</x:v>
      </x:c>
      <x:c r="G1316" t="n">
        <x:f>Dashboard_Live_Data!AD90</x:f>
        <x:v>-213.60000000000002</x:v>
      </x:c>
      <x:c r="H1316" t="n">
        <x:f>Dashboard_Live_Data!AE90</x:f>
        <x:v>630.010126312335</x:v>
      </x:c>
    </x:row>
    <x:row r="1317">
      <x:c r="A1317" t="n">
        <x:f>Dashboard_Live_Data!X91</x:f>
        <x:v>-15.480000000000004</x:v>
      </x:c>
      <x:c r="B1317" t="n">
        <x:f>Dashboard_Live_Data!Y91</x:f>
        <x:v>2670.893062133703</x:v>
      </x:c>
      <x:c r="C1317" t="n">
        <x:f>Dashboard_Live_Data!Z91</x:f>
        <x:v>-103.19999999999999</x:v>
      </x:c>
      <x:c r="D1317" t="n">
        <x:f>Dashboard_Live_Data!AA91</x:f>
        <x:v>395.0892701821094</x:v>
      </x:c>
      <x:c r="E1317" t="n">
        <x:f>Dashboard_Live_Data!AB91</x:f>
        <x:v>-206.39999999999998</x:v>
      </x:c>
      <x:c r="F1317" t="n">
        <x:f>Dashboard_Live_Data!AC91</x:f>
        <x:v>661.6899994846148</x:v>
      </x:c>
      <x:c r="G1317" t="n">
        <x:f>Dashboard_Live_Data!AD91</x:f>
        <x:v>-206.39999999999998</x:v>
      </x:c>
      <x:c r="H1317" t="n">
        <x:f>Dashboard_Live_Data!AE91</x:f>
        <x:v>599.4178525315383</x:v>
      </x:c>
    </x:row>
    <x:row r="1318">
      <x:c r="A1318" t="n">
        <x:f>Dashboard_Live_Data!X92</x:f>
        <x:v>-15</x:v>
      </x:c>
      <x:c r="B1318" t="n">
        <x:f>Dashboard_Live_Data!Y92</x:f>
        <x:v>2670.784301778729</x:v>
      </x:c>
      <x:c r="C1318" t="n">
        <x:f>Dashboard_Live_Data!Z92</x:f>
        <x:v>-100</x:v>
      </x:c>
      <x:c r="D1318" t="n">
        <x:f>Dashboard_Live_Data!AA92</x:f>
        <x:v>385.3661380377797</x:v>
      </x:c>
      <x:c r="E1318" t="n">
        <x:f>Dashboard_Live_Data!AB92</x:f>
        <x:v>-200</x:v>
      </x:c>
      <x:c r="F1318" t="n">
        <x:f>Dashboard_Live_Data!AC92</x:f>
        <x:v>635.6982552438569</x:v>
      </x:c>
      <x:c r="G1318" t="n">
        <x:f>Dashboard_Live_Data!AD92</x:f>
        <x:v>-200</x:v>
      </x:c>
      <x:c r="H1318" t="n">
        <x:f>Dashboard_Live_Data!AE92</x:f>
        <x:v>573.1549873942034</x:v>
      </x:c>
    </x:row>
    <x:row r="1319">
      <x:c r="A1319" t="n">
        <x:f>Dashboard_Live_Data!X93</x:f>
        <x:v>-14.519999999999996</x:v>
      </x:c>
      <x:c r="B1319" t="n">
        <x:f>Dashboard_Live_Data!Y93</x:f>
        <x:v>2670.71087513689</x:v>
      </x:c>
      <x:c r="C1319" t="n">
        <x:f>Dashboard_Live_Data!Z93</x:f>
        <x:v>-96.80000000000001</x:v>
      </x:c>
      <x:c r="D1319" t="n">
        <x:f>Dashboard_Live_Data!AA93</x:f>
        <x:v>376.13515915351996</x:v>
      </x:c>
      <x:c r="E1319" t="n">
        <x:f>Dashboard_Live_Data!AB93</x:f>
        <x:v>-193.60000000000002</x:v>
      </x:c>
      <x:c r="F1319" t="n">
        <x:f>Dashboard_Live_Data!AC93</x:f>
        <x:v>609.849884961899</x:v>
      </x:c>
      <x:c r="G1319" t="n">
        <x:f>Dashboard_Live_Data!AD93</x:f>
        <x:v>-193.60000000000002</x:v>
      </x:c>
      <x:c r="H1319" t="n">
        <x:f>Dashboard_Live_Data!AE93</x:f>
        <x:v>547.0440354565055</x:v>
      </x:c>
    </x:row>
    <x:row r="1320">
      <x:c r="A1320" t="n">
        <x:f>Dashboard_Live_Data!X94</x:f>
        <x:v>-13.979999999999997</x:v>
      </x:c>
      <x:c r="B1320" t="n">
        <x:f>Dashboard_Live_Data!Y94</x:f>
        <x:v>2670.5085985921796</x:v>
      </x:c>
      <x:c r="C1320" t="n">
        <x:f>Dashboard_Live_Data!Z94</x:f>
        <x:v>-93.19999999999999</x:v>
      </x:c>
      <x:c r="D1320" t="n">
        <x:f>Dashboard_Live_Data!AA94</x:f>
        <x:v>365.6912781317871</x:v>
      </x:c>
      <x:c r="E1320" t="n">
        <x:f>Dashboard_Live_Data!AB94</x:f>
        <x:v>-186.39999999999998</x:v>
      </x:c>
      <x:c r="F1320" t="n">
        <x:f>Dashboard_Live_Data!AC94</x:f>
        <x:v>582.8251281434001</x:v>
      </x:c>
      <x:c r="G1320" t="n">
        <x:f>Dashboard_Live_Data!AD94</x:f>
        <x:v>-186.39999999999998</x:v>
      </x:c>
      <x:c r="H1320" t="n">
        <x:f>Dashboard_Live_Data!AE94</x:f>
        <x:v>519.7340813366122</x:v>
      </x:c>
    </x:row>
    <x:row r="1321">
      <x:c r="A1321" t="n">
        <x:f>Dashboard_Live_Data!X95</x:f>
        <x:v>-13.5</x:v>
      </x:c>
      <x:c r="B1321" t="n">
        <x:f>Dashboard_Live_Data!Y95</x:f>
        <x:v>2670.2708582144087</x:v>
      </x:c>
      <x:c r="C1321" t="n">
        <x:f>Dashboard_Live_Data!Z95</x:f>
        <x:v>-90</x:v>
      </x:c>
      <x:c r="D1321" t="n">
        <x:f>Dashboard_Live_Data!AA95</x:f>
        <x:v>356.4473590251376</x:v>
      </x:c>
      <x:c r="E1321" t="n">
        <x:f>Dashboard_Live_Data!AB95</x:f>
        <x:v>-180</x:v>
      </x:c>
      <x:c r="F1321" t="n">
        <x:f>Dashboard_Live_Data!AC95</x:f>
        <x:v>559.2121214109366</x:v>
      </x:c>
      <x:c r="G1321" t="n">
        <x:f>Dashboard_Live_Data!AD95</x:f>
        <x:v>-180</x:v>
      </x:c>
      <x:c r="H1321" t="n">
        <x:f>Dashboard_Live_Data!AE95</x:f>
        <x:v>495.87663883518746</x:v>
      </x:c>
    </x:row>
    <x:row r="1322">
      <x:c r="A1322" t="n">
        <x:f>Dashboard_Live_Data!X96</x:f>
        <x:v>-13.019999999999996</x:v>
      </x:c>
      <x:c r="B1322" t="n">
        <x:f>Dashboard_Live_Data!Y96</x:f>
        <x:v>2670.1536854385186</x:v>
      </x:c>
      <x:c r="C1322" t="n">
        <x:f>Dashboard_Live_Data!Z96</x:f>
        <x:v>-86.80000000000001</x:v>
      </x:c>
      <x:c r="D1322" t="n">
        <x:f>Dashboard_Live_Data!AA96</x:f>
        <x:v>347.79823047108033</x:v>
      </x:c>
      <x:c r="E1322" t="n">
        <x:f>Dashboard_Live_Data!AB96</x:f>
        <x:v>-173.60000000000002</x:v>
      </x:c>
      <x:c r="F1322" t="n">
        <x:f>Dashboard_Live_Data!AC96</x:f>
        <x:v>536.2003689690118</x:v>
      </x:c>
      <x:c r="G1322" t="n">
        <x:f>Dashboard_Live_Data!AD96</x:f>
        <x:v>-173.60000000000002</x:v>
      </x:c>
      <x:c r="H1322" t="n">
        <x:f>Dashboard_Live_Data!AE96</x:f>
        <x:v>472.6289898651386</x:v>
      </x:c>
    </x:row>
    <x:row r="1323">
      <x:c r="A1323" t="n">
        <x:f>Dashboard_Live_Data!X97</x:f>
        <x:v>-12.479999999999997</x:v>
      </x:c>
      <x:c r="B1323" t="n">
        <x:f>Dashboard_Live_Data!Y97</x:f>
        <x:v>2670.140214189564</x:v>
      </x:c>
      <x:c r="C1323" t="n">
        <x:f>Dashboard_Live_Data!Z97</x:f>
        <x:v>-83.19999999999999</x:v>
      </x:c>
      <x:c r="D1323" t="n">
        <x:f>Dashboard_Live_Data!AA97</x:f>
        <x:v>338.4523662185665</x:v>
      </x:c>
      <x:c r="E1323" t="n">
        <x:f>Dashboard_Live_Data!AB97</x:f>
        <x:v>-166.39999999999998</x:v>
      </x:c>
      <x:c r="F1323" t="n">
        <x:f>Dashboard_Live_Data!AC97</x:f>
        <x:v>512.3169245672518</x:v>
      </x:c>
      <x:c r="G1323" t="n">
        <x:f>Dashboard_Live_Data!AD97</x:f>
        <x:v>-166.39999999999998</x:v>
      </x:c>
      <x:c r="H1323" t="n">
        <x:f>Dashboard_Live_Data!AE97</x:f>
        <x:v>448.49036893055205</x:v>
      </x:c>
    </x:row>
    <x:row r="1324">
      <x:c r="A1324" t="n">
        <x:f>Dashboard_Live_Data!X98</x:f>
        <x:v>-12</x:v>
      </x:c>
      <x:c r="B1324" t="n">
        <x:f>Dashboard_Live_Data!Y98</x:f>
        <x:v>2669.897439151252</x:v>
      </x:c>
      <x:c r="C1324" t="n">
        <x:f>Dashboard_Live_Data!Z98</x:f>
        <x:v>-80</x:v>
      </x:c>
      <x:c r="D1324" t="n">
        <x:f>Dashboard_Live_Data!AA98</x:f>
        <x:v>330.8155353836898</x:v>
      </x:c>
      <x:c r="E1324" t="n">
        <x:f>Dashboard_Live_Data!AB98</x:f>
        <x:v>-160</x:v>
      </x:c>
      <x:c r="F1324" t="n">
        <x:f>Dashboard_Live_Data!AC98</x:f>
        <x:v>490.8644375961172</x:v>
      </x:c>
      <x:c r="G1324" t="n">
        <x:f>Dashboard_Live_Data!AD98</x:f>
        <x:v>-160</x:v>
      </x:c>
      <x:c r="H1324" t="n">
        <x:f>Dashboard_Live_Data!AE98</x:f>
        <x:v>426.82013131807196</x:v>
      </x:c>
    </x:row>
    <x:row r="1325">
      <x:c r="A1325" t="n">
        <x:f>Dashboard_Live_Data!X99</x:f>
        <x:v>-11.519999999999996</x:v>
      </x:c>
      <x:c r="B1325" t="n">
        <x:f>Dashboard_Live_Data!Y99</x:f>
        <x:v>2669.751857556238</x:v>
      </x:c>
      <x:c r="C1325" t="n">
        <x:f>Dashboard_Live_Data!Z99</x:f>
        <x:v>-76.79999999999995</x:v>
      </x:c>
      <x:c r="D1325" t="n">
        <x:f>Dashboard_Live_Data!AA99</x:f>
        <x:v>323.3793377034027</x:v>
      </x:c>
      <x:c r="E1325" t="n">
        <x:f>Dashboard_Live_Data!AB99</x:f>
        <x:v>-153.5999999999999</x:v>
      </x:c>
      <x:c r="F1325" t="n">
        <x:f>Dashboard_Live_Data!AC99</x:f>
        <x:v>470.8262366207247</x:v>
      </x:c>
      <x:c r="G1325" t="n">
        <x:f>Dashboard_Live_Data!AD99</x:f>
        <x:v>-153.5999999999999</x:v>
      </x:c>
      <x:c r="H1325" t="n">
        <x:f>Dashboard_Live_Data!AE99</x:f>
        <x:v>406.5727189421713</x:v>
      </x:c>
    </x:row>
    <x:row r="1326">
      <x:c r="A1326" t="n">
        <x:f>Dashboard_Live_Data!X100</x:f>
        <x:v>-10.980000000000004</x:v>
      </x:c>
      <x:c r="B1326" t="n">
        <x:f>Dashboard_Live_Data!Y100</x:f>
        <x:v>2669.6399802909527</x:v>
      </x:c>
      <x:c r="C1326" t="n">
        <x:f>Dashboard_Live_Data!Z100</x:f>
        <x:v>-73.20000000000005</x:v>
      </x:c>
      <x:c r="D1326" t="n">
        <x:f>Dashboard_Live_Data!AA100</x:f>
        <x:v>314.94112454596194</x:v>
      </x:c>
      <x:c r="E1326" t="n">
        <x:f>Dashboard_Live_Data!AB100</x:f>
        <x:v>-146.4000000000001</x:v>
      </x:c>
      <x:c r="F1326" t="n">
        <x:f>Dashboard_Live_Data!AC100</x:f>
        <x:v>449.3851411697194</x:v>
      </x:c>
      <x:c r="G1326" t="n">
        <x:f>Dashboard_Live_Data!AD100</x:f>
        <x:v>-146.4000000000001</x:v>
      </x:c>
      <x:c r="H1326" t="n">
        <x:f>Dashboard_Live_Data!AE100</x:f>
        <x:v>384.90646772690724</x:v>
      </x:c>
    </x:row>
    <x:row r="1327">
      <x:c r="A1327" t="n">
        <x:f>Dashboard_Live_Data!X101</x:f>
        <x:v>-10.5</x:v>
      </x:c>
      <x:c r="B1327" t="n">
        <x:f>Dashboard_Live_Data!Y101</x:f>
        <x:v>2669.6775428195497</x:v>
      </x:c>
      <x:c r="C1327" t="n">
        <x:f>Dashboard_Live_Data!Z101</x:f>
        <x:v>-70</x:v>
      </x:c>
      <x:c r="D1327" t="n">
        <x:f>Dashboard_Live_Data!AA101</x:f>
        <x:v>307.48456938359294</x:v>
      </x:c>
      <x:c r="E1327" t="n">
        <x:f>Dashboard_Live_Data!AB101</x:f>
        <x:v>-140</x:v>
      </x:c>
      <x:c r="F1327" t="n">
        <x:f>Dashboard_Live_Data!AC101</x:f>
        <x:v>430.3095956434267</x:v>
      </x:c>
      <x:c r="G1327" t="n">
        <x:f>Dashboard_Live_Data!AD101</x:f>
        <x:v>-140</x:v>
      </x:c>
      <x:c r="H1327" t="n">
        <x:f>Dashboard_Live_Data!AE101</x:f>
        <x:v>365.639856686885</x:v>
      </x:c>
    </x:row>
    <x:row r="1328">
      <x:c r="A1328" t="n">
        <x:f>Dashboard_Live_Data!X102</x:f>
        <x:v>-10.020000000000003</x:v>
      </x:c>
      <x:c r="B1328" t="n">
        <x:f>Dashboard_Live_Data!Y102</x:f>
        <x:v>2669.5329806107666</x:v>
      </x:c>
      <x:c r="C1328" t="n">
        <x:f>Dashboard_Live_Data!Z102</x:f>
        <x:v>-66.80000000000001</x:v>
      </x:c>
      <x:c r="D1328" t="n">
        <x:f>Dashboard_Live_Data!AA102</x:f>
        <x:v>300.7709446697845</x:v>
      </x:c>
      <x:c r="E1328" t="n">
        <x:f>Dashboard_Live_Data!AB102</x:f>
        <x:v>-133.60000000000002</x:v>
      </x:c>
      <x:c r="F1328" t="n">
        <x:f>Dashboard_Live_Data!AC102</x:f>
        <x:v>413.13501587361156</x:v>
      </x:c>
      <x:c r="G1328" t="n">
        <x:f>Dashboard_Live_Data!AD102</x:f>
        <x:v>-133.60000000000002</x:v>
      </x:c>
      <x:c r="H1328" t="n">
        <x:f>Dashboard_Live_Data!AE102</x:f>
        <x:v>348.2827506441774</x:v>
      </x:c>
    </x:row>
    <x:row r="1329">
      <x:c r="A1329" t="n">
        <x:f>Dashboard_Live_Data!X103</x:f>
        <x:v>-9.480000000000004</x:v>
      </x:c>
      <x:c r="B1329" t="n">
        <x:f>Dashboard_Live_Data!Y103</x:f>
        <x:v>2669.511245132921</x:v>
      </x:c>
      <x:c r="C1329" t="n">
        <x:f>Dashboard_Live_Data!Z103</x:f>
        <x:v>-63.19999999999999</x:v>
      </x:c>
      <x:c r="D1329" t="n">
        <x:f>Dashboard_Live_Data!AA103</x:f>
        <x:v>294.23661277989663</x:v>
      </x:c>
      <x:c r="E1329" t="n">
        <x:f>Dashboard_Live_Data!AB103</x:f>
        <x:v>-126.39999999999998</x:v>
      </x:c>
      <x:c r="F1329" t="n">
        <x:f>Dashboard_Live_Data!AC103</x:f>
        <x:v>394.10574765913475</x:v>
      </x:c>
      <x:c r="G1329" t="n">
        <x:f>Dashboard_Live_Data!AD103</x:f>
        <x:v>-126.39999999999998</x:v>
      </x:c>
      <x:c r="H1329" t="n">
        <x:f>Dashboard_Live_Data!AE103</x:f>
        <x:v>329.0583474340097</x:v>
      </x:c>
    </x:row>
    <x:row r="1330">
      <x:c r="A1330" t="n">
        <x:f>Dashboard_Live_Data!X104</x:f>
        <x:v>-9</x:v>
      </x:c>
      <x:c r="B1330" t="n">
        <x:f>Dashboard_Live_Data!Y104</x:f>
        <x:v>2669.4295389835215</x:v>
      </x:c>
      <x:c r="C1330" t="n">
        <x:f>Dashboard_Live_Data!Z104</x:f>
        <x:v>-60</x:v>
      </x:c>
      <x:c r="D1330" t="n">
        <x:f>Dashboard_Live_Data!AA104</x:f>
        <x:v>288.2643279902816</x:v>
      </x:c>
      <x:c r="E1330" t="n">
        <x:f>Dashboard_Live_Data!AB104</x:f>
        <x:v>-120</x:v>
      </x:c>
      <x:c r="F1330" t="n">
        <x:f>Dashboard_Live_Data!AC104</x:f>
        <x:v>377.82373453094965</x:v>
      </x:c>
      <x:c r="G1330" t="n">
        <x:f>Dashboard_Live_Data!AD104</x:f>
        <x:v>-120</x:v>
      </x:c>
      <x:c r="H1330" t="n">
        <x:f>Dashboard_Live_Data!AE104</x:f>
        <x:v>312.6119539197109</x:v>
      </x:c>
    </x:row>
    <x:row r="1331">
      <x:c r="A1331" t="n">
        <x:f>Dashboard_Live_Data!X105</x:f>
        <x:v>-8.520000000000003</x:v>
      </x:c>
      <x:c r="B1331" t="n">
        <x:f>Dashboard_Live_Data!Y105</x:f>
        <x:v>2669.3804992497408</x:v>
      </x:c>
      <x:c r="C1331" t="n">
        <x:f>Dashboard_Live_Data!Z105</x:f>
        <x:v>-56.80000000000001</x:v>
      </x:c>
      <x:c r="D1331" t="n">
        <x:f>Dashboard_Live_Data!AA105</x:f>
        <x:v>282.2269644534581</x:v>
      </x:c>
      <x:c r="E1331" t="n">
        <x:f>Dashboard_Live_Data!AB105</x:f>
        <x:v>-113.60000000000002</x:v>
      </x:c>
      <x:c r="F1331" t="n">
        <x:f>Dashboard_Live_Data!AC105</x:f>
        <x:v>363.28651770825104</x:v>
      </x:c>
      <x:c r="G1331" t="n">
        <x:f>Dashboard_Live_Data!AD105</x:f>
        <x:v>-113.60000000000002</x:v>
      </x:c>
      <x:c r="H1331" t="n">
        <x:f>Dashboard_Live_Data!AE105</x:f>
        <x:v>297.91889595173575</x:v>
      </x:c>
    </x:row>
    <x:row r="1332">
      <x:c r="A1332" t="n">
        <x:f>Dashboard_Live_Data!X106</x:f>
        <x:v>-7.980000000000004</x:v>
      </x:c>
      <x:c r="B1332" t="n">
        <x:f>Dashboard_Live_Data!Y106</x:f>
        <x:v>2669.298743883868</x:v>
      </x:c>
      <x:c r="C1332" t="n">
        <x:f>Dashboard_Live_Data!Z106</x:f>
        <x:v>-53.19999999999999</x:v>
      </x:c>
      <x:c r="D1332" t="n">
        <x:f>Dashboard_Live_Data!AA106</x:f>
        <x:v>276.2837891580153</x:v>
      </x:c>
      <x:c r="E1332" t="n">
        <x:f>Dashboard_Live_Data!AB106</x:f>
        <x:v>-106.39999999999998</x:v>
      </x:c>
      <x:c r="F1332" t="n">
        <x:f>Dashboard_Live_Data!AC106</x:f>
        <x:v>347.0216034279446</x:v>
      </x:c>
      <x:c r="G1332" t="n">
        <x:f>Dashboard_Live_Data!AD106</x:f>
        <x:v>-106.39999999999998</x:v>
      </x:c>
      <x:c r="H1332" t="n">
        <x:f>Dashboard_Live_Data!AE106</x:f>
        <x:v>281.48886744430627</x:v>
      </x:c>
    </x:row>
    <x:row r="1333">
      <x:c r="A1333" t="n">
        <x:f>Dashboard_Live_Data!X107</x:f>
        <x:v>-7.5</x:v>
      </x:c>
      <x:c r="B1333" t="n">
        <x:f>Dashboard_Live_Data!Y107</x:f>
        <x:v>2669.218074935372</x:v>
      </x:c>
      <x:c r="C1333" t="n">
        <x:f>Dashboard_Live_Data!Z107</x:f>
        <x:v>-50</x:v>
      </x:c>
      <x:c r="D1333" t="n">
        <x:f>Dashboard_Live_Data!AA107</x:f>
        <x:v>271.34832444874655</x:v>
      </x:c>
      <x:c r="E1333" t="n">
        <x:f>Dashboard_Live_Data!AB107</x:f>
        <x:v>-100</x:v>
      </x:c>
      <x:c r="F1333" t="n">
        <x:f>Dashboard_Live_Data!AC107</x:f>
        <x:v>333.7679420618156</x:v>
      </x:c>
      <x:c r="G1333" t="n">
        <x:f>Dashboard_Live_Data!AD107</x:f>
        <x:v>-100</x:v>
      </x:c>
      <x:c r="H1333" t="n">
        <x:f>Dashboard_Live_Data!AE107</x:f>
        <x:v>268.09751081967937</x:v>
      </x:c>
    </x:row>
    <x:row r="1334">
      <x:c r="A1334" t="n">
        <x:f>Dashboard_Live_Data!X108</x:f>
        <x:v>-7.019999999999996</x:v>
      </x:c>
      <x:c r="B1334" t="n">
        <x:f>Dashboard_Live_Data!Y108</x:f>
        <x:v>2669.21282651006</x:v>
      </x:c>
      <x:c r="C1334" t="n">
        <x:f>Dashboard_Live_Data!Z108</x:f>
        <x:v>-46.80000000000001</x:v>
      </x:c>
      <x:c r="D1334" t="n">
        <x:f>Dashboard_Live_Data!AA108</x:f>
        <x:v>266.4474931554244</x:v>
      </x:c>
      <x:c r="E1334" t="n">
        <x:f>Dashboard_Live_Data!AB108</x:f>
        <x:v>-93.60000000000002</x:v>
      </x:c>
      <x:c r="F1334" t="n">
        <x:f>Dashboard_Live_Data!AC108</x:f>
        <x:v>321.74541917953087</x:v>
      </x:c>
      <x:c r="G1334" t="n">
        <x:f>Dashboard_Live_Data!AD108</x:f>
        <x:v>-93.60000000000002</x:v>
      </x:c>
      <x:c r="H1334" t="n">
        <x:f>Dashboard_Live_Data!AE108</x:f>
        <x:v>255.945831919734</x:v>
      </x:c>
    </x:row>
    <x:row r="1335">
      <x:c r="A1335" t="n">
        <x:f>Dashboard_Live_Data!X109</x:f>
        <x:v>-6.479999999999997</x:v>
      </x:c>
      <x:c r="B1335" t="n">
        <x:f>Dashboard_Live_Data!Y109</x:f>
        <x:v>2669.153662121398</x:v>
      </x:c>
      <x:c r="C1335" t="n">
        <x:f>Dashboard_Live_Data!Z109</x:f>
        <x:v>-43.19999999999999</x:v>
      </x:c>
      <x:c r="D1335" t="n">
        <x:f>Dashboard_Live_Data!AA109</x:f>
        <x:v>261.83320614424036</x:v>
      </x:c>
      <x:c r="E1335" t="n">
        <x:f>Dashboard_Live_Data!AB109</x:f>
        <x:v>-86.39999999999998</x:v>
      </x:c>
      <x:c r="F1335" t="n">
        <x:f>Dashboard_Live_Data!AC109</x:f>
        <x:v>308.0933863732902</x:v>
      </x:c>
      <x:c r="G1335" t="n">
        <x:f>Dashboard_Live_Data!AD109</x:f>
        <x:v>-86.39999999999998</x:v>
      </x:c>
      <x:c r="H1335" t="n">
        <x:f>Dashboard_Live_Data!AE109</x:f>
        <x:v>242.15870565493802</x:v>
      </x:c>
    </x:row>
    <x:row r="1336">
      <x:c r="A1336" t="n">
        <x:f>Dashboard_Live_Data!X110</x:f>
        <x:v>-6</x:v>
      </x:c>
      <x:c r="B1336" t="n">
        <x:f>Dashboard_Live_Data!Y110</x:f>
        <x:v>2669.1872191485268</x:v>
      </x:c>
      <x:c r="C1336" t="n">
        <x:f>Dashboard_Live_Data!Z110</x:f>
        <x:v>-40</x:v>
      </x:c>
      <x:c r="D1336" t="n">
        <x:f>Dashboard_Live_Data!AA110</x:f>
        <x:v>258.0534011370244</x:v>
      </x:c>
      <x:c r="E1336" t="n">
        <x:f>Dashboard_Live_Data!AB110</x:f>
        <x:v>-80</x:v>
      </x:c>
      <x:c r="F1336" t="n">
        <x:f>Dashboard_Live_Data!AC110</x:f>
        <x:v>297.7926899590728</x:v>
      </x:c>
      <x:c r="G1336" t="n">
        <x:f>Dashboard_Live_Data!AD110</x:f>
        <x:v>-80</x:v>
      </x:c>
      <x:c r="H1336" t="n">
        <x:f>Dashboard_Live_Data!AE110</x:f>
        <x:v>231.74699910983864</x:v>
      </x:c>
    </x:row>
    <x:row r="1337">
      <x:c r="A1337" t="n">
        <x:f>Dashboard_Live_Data!X111</x:f>
        <x:v>-5.519999999999996</x:v>
      </x:c>
      <x:c r="B1337" t="n">
        <x:f>Dashboard_Live_Data!Y111</x:f>
        <x:v>2669.1819695313984</x:v>
      </x:c>
      <x:c r="C1337" t="n">
        <x:f>Dashboard_Live_Data!Z111</x:f>
        <x:v>-36.80000000000001</x:v>
      </x:c>
      <x:c r="D1337" t="n">
        <x:f>Dashboard_Live_Data!AA111</x:f>
        <x:v>254.26353690986213</x:v>
      </x:c>
      <x:c r="E1337" t="n">
        <x:f>Dashboard_Live_Data!AB111</x:f>
        <x:v>-73.60000000000002</x:v>
      </x:c>
      <x:c r="F1337" t="n">
        <x:f>Dashboard_Live_Data!AC111</x:f>
        <x:v>287.9944488822991</x:v>
      </x:c>
      <x:c r="G1337" t="n">
        <x:f>Dashboard_Live_Data!AD111</x:f>
        <x:v>-73.60000000000002</x:v>
      </x:c>
      <x:c r="H1337" t="n">
        <x:f>Dashboard_Live_Data!AE111</x:f>
        <x:v>221.84628714302016</x:v>
      </x:c>
    </x:row>
    <x:row r="1338">
      <x:c r="A1338" t="n">
        <x:f>Dashboard_Live_Data!X112</x:f>
        <x:v>-4.979999999999997</x:v>
      </x:c>
      <x:c r="B1338" t="n">
        <x:f>Dashboard_Live_Data!Y112</x:f>
        <x:v>2669.1403160796563</x:v>
      </x:c>
      <x:c r="C1338" t="n">
        <x:f>Dashboard_Live_Data!Z112</x:f>
        <x:v>-33.19999999999999</x:v>
      </x:c>
      <x:c r="D1338" t="n">
        <x:f>Dashboard_Live_Data!AA112</x:f>
        <x:v>250.22595087297077</x:v>
      </x:c>
      <x:c r="E1338" t="n">
        <x:f>Dashboard_Live_Data!AB112</x:f>
        <x:v>-66.39999999999998</x:v>
      </x:c>
      <x:c r="F1338" t="n">
        <x:f>Dashboard_Live_Data!AC112</x:f>
        <x:v>277.34427520472127</x:v>
      </x:c>
      <x:c r="G1338" t="n">
        <x:f>Dashboard_Live_Data!AD112</x:f>
        <x:v>-66.39999999999998</x:v>
      </x:c>
      <x:c r="H1338" t="n">
        <x:f>Dashboard_Live_Data!AE112</x:f>
        <x:v>211.09104077545487</x:v>
      </x:c>
    </x:row>
    <x:row r="1339">
      <x:c r="A1339" t="n">
        <x:f>Dashboard_Live_Data!X113</x:f>
        <x:v>-4.5</x:v>
      </x:c>
      <x:c r="B1339" t="n">
        <x:f>Dashboard_Live_Data!Y113</x:f>
        <x:v>2669.150465091966</x:v>
      </x:c>
      <x:c r="C1339" t="n">
        <x:f>Dashboard_Live_Data!Z113</x:f>
        <x:v>-30</x:v>
      </x:c>
      <x:c r="D1339" t="n">
        <x:f>Dashboard_Live_Data!AA113</x:f>
        <x:v>247.30870990646252</x:v>
      </x:c>
      <x:c r="E1339" t="n">
        <x:f>Dashboard_Live_Data!AB113</x:f>
        <x:v>-60</x:v>
      </x:c>
      <x:c r="F1339" t="n">
        <x:f>Dashboard_Live_Data!AC113</x:f>
        <x:v>269.6889774389345</x:v>
      </x:c>
      <x:c r="G1339" t="n">
        <x:f>Dashboard_Live_Data!AD113</x:f>
        <x:v>-60</x:v>
      </x:c>
      <x:c r="H1339" t="n">
        <x:f>Dashboard_Live_Data!AE113</x:f>
        <x:v>203.351418006402</x:v>
      </x:c>
    </x:row>
    <x:row r="1340">
      <x:c r="A1340" t="n">
        <x:f>Dashboard_Live_Data!X114</x:f>
        <x:v>-4.019999999999996</x:v>
      </x:c>
      <x:c r="B1340" t="n">
        <x:f>Dashboard_Live_Data!Y114</x:f>
        <x:v>2669.116445149462</x:v>
      </x:c>
      <x:c r="C1340" t="n">
        <x:f>Dashboard_Live_Data!Z114</x:f>
        <x:v>-26.799999999999955</x:v>
      </x:c>
      <x:c r="D1340" t="n">
        <x:f>Dashboard_Live_Data!AA114</x:f>
        <x:v>244.89455924676798</x:v>
      </x:c>
      <x:c r="E1340" t="n">
        <x:f>Dashboard_Live_Data!AB114</x:f>
        <x:v>-53.59999999999991</x:v>
      </x:c>
      <x:c r="F1340" t="n">
        <x:f>Dashboard_Live_Data!AC114</x:f>
        <x:v>262.1373262830445</x:v>
      </x:c>
      <x:c r="G1340" t="n">
        <x:f>Dashboard_Live_Data!AD114</x:f>
        <x:v>-53.59999999999991</x:v>
      </x:c>
      <x:c r="H1340" t="n">
        <x:f>Dashboard_Live_Data!AE114</x:f>
        <x:v>195.72398108808298</x:v>
      </x:c>
    </x:row>
    <x:row r="1341">
      <x:c r="A1341" t="n">
        <x:f>Dashboard_Live_Data!X115</x:f>
        <x:v>-3.480000000000004</x:v>
      </x:c>
      <x:c r="B1341" t="n">
        <x:f>Dashboard_Live_Data!Y115</x:f>
        <x:v>2669.071127146474</x:v>
      </x:c>
      <x:c r="C1341" t="n">
        <x:f>Dashboard_Live_Data!Z115</x:f>
        <x:v>-23.200000000000045</x:v>
      </x:c>
      <x:c r="D1341" t="n">
        <x:f>Dashboard_Live_Data!AA115</x:f>
        <x:v>242.50974664246002</x:v>
      </x:c>
      <x:c r="E1341" t="n">
        <x:f>Dashboard_Live_Data!AB115</x:f>
        <x:v>-46.40000000000009</x:v>
      </x:c>
      <x:c r="F1341" t="n">
        <x:f>Dashboard_Live_Data!AC115</x:f>
        <x:v>254.9051987890375</x:v>
      </x:c>
      <x:c r="G1341" t="n">
        <x:f>Dashboard_Live_Data!AD115</x:f>
        <x:v>-46.40000000000009</x:v>
      </x:c>
      <x:c r="H1341" t="n">
        <x:f>Dashboard_Live_Data!AE115</x:f>
        <x:v>188.41680167265642</x:v>
      </x:c>
    </x:row>
    <x:row r="1342">
      <x:c r="A1342" t="n">
        <x:f>Dashboard_Live_Data!X116</x:f>
        <x:v>-3</x:v>
      </x:c>
      <x:c r="B1342" t="n">
        <x:f>Dashboard_Live_Data!Y116</x:f>
        <x:v>2669.0309999552733</x:v>
      </x:c>
      <x:c r="C1342" t="n">
        <x:f>Dashboard_Live_Data!Z116</x:f>
        <x:v>-20</x:v>
      </x:c>
      <x:c r="D1342" t="n">
        <x:f>Dashboard_Live_Data!AA116</x:f>
        <x:v>240.55860819468157</x:v>
      </x:c>
      <x:c r="E1342" t="n">
        <x:f>Dashboard_Live_Data!AB116</x:f>
        <x:v>-40</x:v>
      </x:c>
      <x:c r="F1342" t="n">
        <x:f>Dashboard_Live_Data!AC116</x:f>
        <x:v>249.79768978087017</x:v>
      </x:c>
      <x:c r="G1342" t="n">
        <x:f>Dashboard_Live_Data!AD116</x:f>
        <x:v>-40</x:v>
      </x:c>
      <x:c r="H1342" t="n">
        <x:f>Dashboard_Live_Data!AE116</x:f>
        <x:v>183.25165278883884</x:v>
      </x:c>
    </x:row>
    <x:row r="1343">
      <x:c r="A1343" t="n">
        <x:f>Dashboard_Live_Data!X117</x:f>
        <x:v>-2.520000000000003</x:v>
      </x:c>
      <x:c r="B1343" t="n">
        <x:f>Dashboard_Live_Data!Y117</x:f>
        <x:v>2668.8889151109515</x:v>
      </x:c>
      <x:c r="C1343" t="n">
        <x:f>Dashboard_Live_Data!Z117</x:f>
        <x:v>-16.80000000000001</x:v>
      </x:c>
      <x:c r="D1343" t="n">
        <x:f>Dashboard_Live_Data!AA117</x:f>
        <x:v>238.60170190557463</x:v>
      </x:c>
      <x:c r="E1343" t="n">
        <x:f>Dashboard_Live_Data!AB117</x:f>
        <x:v>-33.60000000000002</x:v>
      </x:c>
      <x:c r="F1343" t="n">
        <x:f>Dashboard_Live_Data!AC117</x:f>
        <x:v>244.83703512320048</x:v>
      </x:c>
      <x:c r="G1343" t="n">
        <x:f>Dashboard_Live_Data!AD117</x:f>
        <x:v>-33.60000000000002</x:v>
      </x:c>
      <x:c r="H1343" t="n">
        <x:f>Dashboard_Live_Data!AE117</x:f>
        <x:v>178.24189749635596</x:v>
      </x:c>
    </x:row>
    <x:row r="1344">
      <x:c r="A1344" t="n">
        <x:f>Dashboard_Live_Data!X118</x:f>
        <x:v>-1.980000000000004</x:v>
      </x:c>
      <x:c r="B1344" t="n">
        <x:f>Dashboard_Live_Data!Y118</x:f>
        <x:v>2668.8599671350553</x:v>
      </x:c>
      <x:c r="C1344" t="n">
        <x:f>Dashboard_Live_Data!Z118</x:f>
        <x:v>-13.199999999999989</x:v>
      </x:c>
      <x:c r="D1344" t="n">
        <x:f>Dashboard_Live_Data!AA118</x:f>
        <x:v>236.54055700599343</x:v>
      </x:c>
      <x:c r="E1344" t="n">
        <x:f>Dashboard_Live_Data!AB118</x:f>
        <x:v>-26.399999999999977</x:v>
      </x:c>
      <x:c r="F1344" t="n">
        <x:f>Dashboard_Live_Data!AC118</x:f>
        <x:v>241.1070862491305</x:v>
      </x:c>
      <x:c r="G1344" t="n">
        <x:f>Dashboard_Live_Data!AD118</x:f>
        <x:v>-26.399999999999977</x:v>
      </x:c>
      <x:c r="H1344" t="n">
        <x:f>Dashboard_Live_Data!AE118</x:f>
        <x:v>174.4669174694342</x:v>
      </x:c>
    </x:row>
    <x:row r="1345">
      <x:c r="A1345" t="n">
        <x:f>Dashboard_Live_Data!X119</x:f>
        <x:v>-1.5</x:v>
      </x:c>
      <x:c r="B1345" t="n">
        <x:f>Dashboard_Live_Data!Y119</x:f>
        <x:v>2668.757294422114</x:v>
      </x:c>
      <x:c r="C1345" t="n">
        <x:f>Dashboard_Live_Data!Z119</x:f>
        <x:v>-10</x:v>
      </x:c>
      <x:c r="D1345" t="n">
        <x:f>Dashboard_Live_Data!AA119</x:f>
        <x:v>235.34646846600202</x:v>
      </x:c>
      <x:c r="E1345" t="n">
        <x:f>Dashboard_Live_Data!AB119</x:f>
        <x:v>-20</x:v>
      </x:c>
      <x:c r="F1345" t="n">
        <x:f>Dashboard_Live_Data!AC119</x:f>
        <x:v>238.49468035564297</x:v>
      </x:c>
      <x:c r="G1345" t="n">
        <x:f>Dashboard_Live_Data!AD119</x:f>
        <x:v>-20</x:v>
      </x:c>
      <x:c r="H1345" t="n">
        <x:f>Dashboard_Live_Data!AE119</x:f>
        <x:v>171.82355682791237</x:v>
      </x:c>
    </x:row>
    <x:row r="1346">
      <x:c r="A1346" t="n">
        <x:f>Dashboard_Live_Data!X120</x:f>
        <x:v>-1.0200000000000031</x:v>
      </x:c>
      <x:c r="B1346" t="n">
        <x:f>Dashboard_Live_Data!Y120</x:f>
        <x:v>2668.624622707822</x:v>
      </x:c>
      <x:c r="C1346" t="n">
        <x:f>Dashboard_Live_Data!Z120</x:f>
        <x:v>-6.800000000000011</x:v>
      </x:c>
      <x:c r="D1346" t="n">
        <x:f>Dashboard_Live_Data!AA120</x:f>
        <x:v>234.6431742328078</x:v>
      </x:c>
      <x:c r="E1346" t="n">
        <x:f>Dashboard_Live_Data!AB120</x:f>
        <x:v>-13.600000000000023</x:v>
      </x:c>
      <x:c r="F1346" t="n">
        <x:f>Dashboard_Live_Data!AC120</x:f>
        <x:v>235.9173120128643</x:v>
      </x:c>
      <x:c r="G1346" t="n">
        <x:f>Dashboard_Live_Data!AD120</x:f>
        <x:v>-13.600000000000023</x:v>
      </x:c>
      <x:c r="H1346" t="n">
        <x:f>Dashboard_Live_Data!AE120</x:f>
        <x:v>169.22377297793633</x:v>
      </x:c>
    </x:row>
    <x:row r="1347">
      <x:c r="A1347" t="n">
        <x:f>Dashboard_Live_Data!X121</x:f>
        <x:v>-0.480000000000004</x:v>
      </x:c>
      <x:c r="B1347" t="n">
        <x:f>Dashboard_Live_Data!Y121</x:f>
        <x:v>2668.6746994182126</x:v>
      </x:c>
      <x:c r="C1347" t="n">
        <x:f>Dashboard_Live_Data!Z121</x:f>
        <x:v>-3.1999999999999886</x:v>
      </x:c>
      <x:c r="D1347" t="n">
        <x:f>Dashboard_Live_Data!AA121</x:f>
        <x:v>234.10344532166638</x:v>
      </x:c>
      <x:c r="E1347" t="n">
        <x:f>Dashboard_Live_Data!AB121</x:f>
        <x:v>-6.399999999999977</x:v>
      </x:c>
      <x:c r="F1347" t="n">
        <x:f>Dashboard_Live_Data!AC121</x:f>
        <x:v>234.34957585937047</x:v>
      </x:c>
      <x:c r="G1347" t="n">
        <x:f>Dashboard_Live_Data!AD121</x:f>
        <x:v>-6.399999999999977</x:v>
      </x:c>
      <x:c r="H1347" t="n">
        <x:f>Dashboard_Live_Data!AE121</x:f>
        <x:v>167.6410264401586</x:v>
      </x:c>
    </x:row>
    <x:row r="1348">
      <x:c r="A1348" t="n">
        <x:f>Dashboard_Live_Data!X122</x:f>
        <x:v>0</x:v>
      </x:c>
      <x:c r="B1348" t="n">
        <x:f>Dashboard_Live_Data!Y122</x:f>
        <x:v>2668.545771937913</x:v>
      </x:c>
      <x:c r="C1348" t="n">
        <x:f>Dashboard_Live_Data!Z122</x:f>
        <x:v>0</x:v>
      </x:c>
      <x:c r="D1348" t="n">
        <x:f>Dashboard_Live_Data!AA122</x:f>
        <x:v>233.52787699140268</x:v>
      </x:c>
      <x:c r="E1348" t="n">
        <x:f>Dashboard_Live_Data!AB122</x:f>
        <x:v>0</x:v>
      </x:c>
      <x:c r="F1348" t="n">
        <x:f>Dashboard_Live_Data!AC122</x:f>
        <x:v>233.52787699140268</x:v>
      </x:c>
      <x:c r="G1348" t="n">
        <x:f>Dashboard_Live_Data!AD122</x:f>
        <x:v>0</x:v>
      </x:c>
      <x:c r="H1348" t="n">
        <x:f>Dashboard_Live_Data!AE122</x:f>
        <x:v>166.81505795177227</x:v>
      </x:c>
    </x:row>
    <x:row r="1349">
      <x:c r="A1349" t="n">
        <x:f>Dashboard_Live_Data!X123</x:f>
        <x:v>0.480000000000004</x:v>
      </x:c>
      <x:c r="B1349" t="n">
        <x:f>Dashboard_Live_Data!Y123</x:f>
        <x:v>2668.422832501423</x:v>
      </x:c>
      <x:c r="C1349" t="n">
        <x:f>Dashboard_Live_Data!Z123</x:f>
        <x:v>3.1999999999999886</x:v>
      </x:c>
      <x:c r="D1349" t="n">
        <x:f>Dashboard_Live_Data!AA123</x:f>
        <x:v>233.03942030536456</x:v>
      </x:c>
      <x:c r="E1349" t="n">
        <x:f>Dashboard_Live_Data!AB123</x:f>
        <x:v>6.399999999999977</x:v>
      </x:c>
      <x:c r="F1349" t="n">
        <x:f>Dashboard_Live_Data!AC123</x:f>
        <x:v>233.45037452297623</x:v>
      </x:c>
      <x:c r="G1349" t="n">
        <x:f>Dashboard_Live_Data!AD123</x:f>
        <x:v>6.399999999999977</x:v>
      </x:c>
      <x:c r="H1349" t="n">
        <x:f>Dashboard_Live_Data!AE123</x:f>
        <x:v>166.7418251037643</x:v>
      </x:c>
    </x:row>
    <x:row r="1350">
      <x:c r="A1350" t="n">
        <x:f>Dashboard_Live_Data!X124</x:f>
        <x:v>1.019999999999996</x:v>
      </x:c>
      <x:c r="B1350" t="n">
        <x:f>Dashboard_Live_Data!Y124</x:f>
        <x:v>2668.2784457720195</x:v>
      </x:c>
      <x:c r="C1350" t="n">
        <x:f>Dashboard_Live_Data!Z124</x:f>
        <x:v>6.7999999999999545</x:v>
      </x:c>
      <x:c r="D1350" t="n">
        <x:f>Dashboard_Live_Data!AA124</x:f>
        <x:v>233.69251190455986</x:v>
      </x:c>
      <x:c r="E1350" t="n">
        <x:f>Dashboard_Live_Data!AB124</x:f>
        <x:v>13.599999999999909</x:v>
      </x:c>
      <x:c r="F1350" t="n">
        <x:f>Dashboard_Live_Data!AC124</x:f>
        <x:v>235.19841567119786</x:v>
      </x:c>
      <x:c r="G1350" t="n">
        <x:f>Dashboard_Live_Data!AD124</x:f>
        <x:v>13.599999999999909</x:v>
      </x:c>
      <x:c r="H1350" t="n">
        <x:f>Dashboard_Live_Data!AE124</x:f>
        <x:v>168.50487663626993</x:v>
      </x:c>
    </x:row>
    <x:row r="1351">
      <x:c r="A1351" t="n">
        <x:f>Dashboard_Live_Data!X125</x:f>
        <x:v>1.499999999999993</x:v>
      </x:c>
      <x:c r="B1351" t="n">
        <x:f>Dashboard_Live_Data!Y125</x:f>
        <x:v>2668.2171240293146</x:v>
      </x:c>
      <x:c r="C1351" t="n">
        <x:f>Dashboard_Live_Data!Z125</x:f>
        <x:v>9.999999999999943</x:v>
      </x:c>
      <x:c r="D1351" t="n">
        <x:f>Dashboard_Live_Data!AA125</x:f>
        <x:v>235.07392198175725</x:v>
      </x:c>
      <x:c r="E1351" t="n">
        <x:f>Dashboard_Live_Data!AB125</x:f>
        <x:v>19.999999999999886</x:v>
      </x:c>
      <x:c r="F1351" t="n">
        <x:f>Dashboard_Live_Data!AC125</x:f>
        <x:v>237.0225960137918</x:v>
      </x:c>
      <x:c r="G1351" t="n">
        <x:f>Dashboard_Live_Data!AD125</x:f>
        <x:v>19.999999999999886</x:v>
      </x:c>
      <x:c r="H1351" t="n">
        <x:f>Dashboard_Live_Data!AE125</x:f>
        <x:v>170.3514724860612</x:v>
      </x:c>
    </x:row>
    <x:row r="1352">
      <x:c r="A1352" t="n">
        <x:f>Dashboard_Live_Data!X126</x:f>
        <x:v>1.9799999999999969</x:v>
      </x:c>
      <x:c r="B1352" t="n">
        <x:f>Dashboard_Live_Data!Y126</x:f>
        <x:v>2668.1155856737228</x:v>
      </x:c>
      <x:c r="C1352" t="n">
        <x:f>Dashboard_Live_Data!Z126</x:f>
        <x:v>13.199999999999989</x:v>
      </x:c>
      <x:c r="D1352" t="n">
        <x:f>Dashboard_Live_Data!AA126</x:f>
        <x:v>236.07895498772078</x:v>
      </x:c>
      <x:c r="E1352" t="n">
        <x:f>Dashboard_Live_Data!AB126</x:f>
        <x:v>26.399999999999977</x:v>
      </x:c>
      <x:c r="F1352" t="n">
        <x:f>Dashboard_Live_Data!AC126</x:f>
        <x:v>240.0956500649409</x:v>
      </x:c>
      <x:c r="G1352" t="n">
        <x:f>Dashboard_Live_Data!AD126</x:f>
        <x:v>26.399999999999977</x:v>
      </x:c>
      <x:c r="H1352" t="n">
        <x:f>Dashboard_Live_Data!AE126</x:f>
        <x:v>173.45548128524464</x:v>
      </x:c>
    </x:row>
    <x:row r="1353">
      <x:c r="A1353" t="n">
        <x:f>Dashboard_Live_Data!X127</x:f>
        <x:v>2.520000000000003</x:v>
      </x:c>
      <x:c r="B1353" t="n">
        <x:f>Dashboard_Live_Data!Y127</x:f>
        <x:v>2668.10404084736</x:v>
      </x:c>
      <x:c r="C1353" t="n">
        <x:f>Dashboard_Live_Data!Z127</x:f>
        <x:v>16.80000000000001</x:v>
      </x:c>
      <x:c r="D1353" t="n">
        <x:f>Dashboard_Live_Data!AA127</x:f>
        <x:v>237.32784196765127</x:v>
      </x:c>
      <x:c r="E1353" t="n">
        <x:f>Dashboard_Live_Data!AB127</x:f>
        <x:v>33.60000000000002</x:v>
      </x:c>
      <x:c r="F1353" t="n">
        <x:f>Dashboard_Live_Data!AC127</x:f>
        <x:v>244.71146714319235</x:v>
      </x:c>
      <x:c r="G1353" t="n">
        <x:f>Dashboard_Live_Data!AD127</x:f>
        <x:v>33.60000000000002</x:v>
      </x:c>
      <x:c r="H1353" t="n">
        <x:f>Dashboard_Live_Data!AE127</x:f>
        <x:v>178.1163295163478</x:v>
      </x:c>
    </x:row>
    <x:row r="1354">
      <x:c r="A1354" t="n">
        <x:f>Dashboard_Live_Data!X128</x:f>
        <x:v>3</x:v>
      </x:c>
      <x:c r="B1354" t="n">
        <x:f>Dashboard_Live_Data!Y128</x:f>
        <x:v>2668.031622957878</x:v>
      </x:c>
      <x:c r="C1354" t="n">
        <x:f>Dashboard_Live_Data!Z128</x:f>
        <x:v>20</x:v>
      </x:c>
      <x:c r="D1354" t="n">
        <x:f>Dashboard_Live_Data!AA128</x:f>
        <x:v>239.08652386019065</x:v>
      </x:c>
      <x:c r="E1354" t="n">
        <x:f>Dashboard_Live_Data!AB128</x:f>
        <x:v>40</x:v>
      </x:c>
      <x:c r="F1354" t="n">
        <x:f>Dashboard_Live_Data!AC128</x:f>
        <x:v>249.14725446361194</x:v>
      </x:c>
      <x:c r="G1354" t="n">
        <x:f>Dashboard_Live_Data!AD128</x:f>
        <x:v>40</x:v>
      </x:c>
      <x:c r="H1354" t="n">
        <x:f>Dashboard_Live_Data!AE128</x:f>
        <x:v>182.6012174715806</x:v>
      </x:c>
    </x:row>
    <x:row r="1355">
      <x:c r="A1355" t="n">
        <x:f>Dashboard_Live_Data!X129</x:f>
        <x:v>3.480000000000004</x:v>
      </x:c>
      <x:c r="B1355" t="n">
        <x:f>Dashboard_Live_Data!Y129</x:f>
        <x:v>2667.9465338834552</x:v>
      </x:c>
      <x:c r="C1355" t="n">
        <x:f>Dashboard_Live_Data!Z129</x:f>
        <x:v>23.200000000000045</x:v>
      </x:c>
      <x:c r="D1355" t="n">
        <x:f>Dashboard_Live_Data!AA129</x:f>
        <x:v>241.24252251869171</x:v>
      </x:c>
      <x:c r="E1355" t="n">
        <x:f>Dashboard_Live_Data!AB129</x:f>
        <x:v>46.40000000000009</x:v>
      </x:c>
      <x:c r="F1355" t="n">
        <x:f>Dashboard_Live_Data!AC129</x:f>
        <x:v>255.2187398952393</x:v>
      </x:c>
      <x:c r="G1355" t="n">
        <x:f>Dashboard_Live_Data!AD129</x:f>
        <x:v>46.40000000000009</x:v>
      </x:c>
      <x:c r="H1355" t="n">
        <x:f>Dashboard_Live_Data!AE129</x:f>
        <x:v>188.73034277885816</x:v>
      </x:c>
    </x:row>
    <x:row r="1356">
      <x:c r="A1356" t="n">
        <x:f>Dashboard_Live_Data!X130</x:f>
        <x:v>4.019999999999996</x:v>
      </x:c>
      <x:c r="B1356" t="n">
        <x:f>Dashboard_Live_Data!Y130</x:f>
        <x:v>2668.0413136983166</x:v>
      </x:c>
      <x:c r="C1356" t="n">
        <x:f>Dashboard_Live_Data!Z130</x:f>
        <x:v>26.799999999999955</x:v>
      </x:c>
      <x:c r="D1356" t="n">
        <x:f>Dashboard_Live_Data!AA130</x:f>
        <x:v>243.91411166454145</x:v>
      </x:c>
      <x:c r="E1356" t="n">
        <x:f>Dashboard_Live_Data!AB130</x:f>
        <x:v>53.59999999999991</x:v>
      </x:c>
      <x:c r="F1356" t="n">
        <x:f>Dashboard_Live_Data!AC130</x:f>
        <x:v>262.3743325123983</x:v>
      </x:c>
      <x:c r="G1356" t="n">
        <x:f>Dashboard_Live_Data!AD130</x:f>
        <x:v>53.59999999999991</x:v>
      </x:c>
      <x:c r="H1356" t="n">
        <x:f>Dashboard_Live_Data!AE130</x:f>
        <x:v>195.9609873174368</x:v>
      </x:c>
    </x:row>
    <x:row r="1357">
      <x:c r="A1357" t="n">
        <x:f>Dashboard_Live_Data!X131</x:f>
        <x:v>4.5</x:v>
      </x:c>
      <x:c r="B1357" t="n">
        <x:f>Dashboard_Live_Data!Y131</x:f>
        <x:v>2668.112351339356</x:v>
      </x:c>
      <x:c r="C1357" t="n">
        <x:f>Dashboard_Live_Data!Z131</x:f>
        <x:v>30</x:v>
      </x:c>
      <x:c r="D1357" t="n">
        <x:f>Dashboard_Live_Data!AA131</x:f>
        <x:v>247.1125933494017</x:v>
      </x:c>
      <x:c r="E1357" t="n">
        <x:f>Dashboard_Live_Data!AB131</x:f>
        <x:v>60</x:v>
      </x:c>
      <x:c r="F1357" t="n">
        <x:f>Dashboard_Live_Data!AC131</x:f>
        <x:v>269.49464398527886</x:v>
      </x:c>
      <x:c r="G1357" t="n">
        <x:f>Dashboard_Live_Data!AD131</x:f>
        <x:v>60</x:v>
      </x:c>
      <x:c r="H1357" t="n">
        <x:f>Dashboard_Live_Data!AE131</x:f>
        <x:v>203.15708455274637</x:v>
      </x:c>
    </x:row>
    <x:row r="1358">
      <x:c r="A1358" t="n">
        <x:f>Dashboard_Live_Data!X132</x:f>
        <x:v>4.980000000000004</x:v>
      </x:c>
      <x:c r="B1358" t="n">
        <x:f>Dashboard_Live_Data!Y132</x:f>
        <x:v>2668.024044371162</x:v>
      </x:c>
      <x:c r="C1358" t="n">
        <x:f>Dashboard_Live_Data!Z132</x:f>
        <x:v>33.19999999999999</x:v>
      </x:c>
      <x:c r="D1358" t="n">
        <x:f>Dashboard_Live_Data!AA132</x:f>
        <x:v>250.2681978626065</x:v>
      </x:c>
      <x:c r="E1358" t="n">
        <x:f>Dashboard_Live_Data!AB132</x:f>
        <x:v>66.39999999999998</x:v>
      </x:c>
      <x:c r="F1358" t="n">
        <x:f>Dashboard_Live_Data!AC132</x:f>
        <x:v>278.0034259719433</x:v>
      </x:c>
      <x:c r="G1358" t="n">
        <x:f>Dashboard_Live_Data!AD132</x:f>
        <x:v>66.39999999999998</x:v>
      </x:c>
      <x:c r="H1358" t="n">
        <x:f>Dashboard_Live_Data!AE132</x:f>
        <x:v>211.7501915426769</x:v>
      </x:c>
    </x:row>
    <x:row r="1359">
      <x:c r="A1359" t="n">
        <x:f>Dashboard_Live_Data!X133</x:f>
        <x:v>5.52000000000001</x:v>
      </x:c>
      <x:c r="B1359" t="n">
        <x:f>Dashboard_Live_Data!Y133</x:f>
        <x:v>2668.1188396643256</x:v>
      </x:c>
      <x:c r="C1359" t="n">
        <x:f>Dashboard_Live_Data!Z133</x:f>
        <x:v>36.80000000000001</x:v>
      </x:c>
      <x:c r="D1359" t="n">
        <x:f>Dashboard_Live_Data!AA133</x:f>
        <x:v>253.68974248855739</x:v>
      </x:c>
      <x:c r="E1359" t="n">
        <x:f>Dashboard_Live_Data!AB133</x:f>
        <x:v>73.60000000000002</x:v>
      </x:c>
      <x:c r="F1359" t="n">
        <x:f>Dashboard_Live_Data!AC133</x:f>
        <x:v>287.8679845367436</x:v>
      </x:c>
      <x:c r="G1359" t="n">
        <x:f>Dashboard_Live_Data!AD133</x:f>
        <x:v>73.60000000000002</x:v>
      </x:c>
      <x:c r="H1359" t="n">
        <x:f>Dashboard_Live_Data!AE133</x:f>
        <x:v>221.71982279746464</x:v>
      </x:c>
    </x:row>
    <x:row r="1360">
      <x:c r="A1360" t="n">
        <x:f>Dashboard_Live_Data!X134</x:f>
        <x:v>6</x:v>
      </x:c>
      <x:c r="B1360" t="n">
        <x:f>Dashboard_Live_Data!Y134</x:f>
        <x:v>2668.310337857269</x:v>
      </x:c>
      <x:c r="C1360" t="n">
        <x:f>Dashboard_Live_Data!Z134</x:f>
        <x:v>40.00000000000006</x:v>
      </x:c>
      <x:c r="D1360" t="n">
        <x:f>Dashboard_Live_Data!AA134</x:f>
        <x:v>257.40296582102707</x:v>
      </x:c>
      <x:c r="E1360" t="n">
        <x:f>Dashboard_Live_Data!AB134</x:f>
        <x:v>80.00000000000011</x:v>
      </x:c>
      <x:c r="F1360" t="n">
        <x:f>Dashboard_Live_Data!AC134</x:f>
        <x:v>297.5514467080143</x:v>
      </x:c>
      <x:c r="G1360" t="n">
        <x:f>Dashboard_Live_Data!AD134</x:f>
        <x:v>80.00000000000011</x:v>
      </x:c>
      <x:c r="H1360" t="n">
        <x:f>Dashboard_Live_Data!AE134</x:f>
        <x:v>231.5057558587802</x:v>
      </x:c>
    </x:row>
    <x:row r="1361">
      <x:c r="A1361" t="n">
        <x:f>Dashboard_Live_Data!X135</x:f>
        <x:v>6.480000000000004</x:v>
      </x:c>
      <x:c r="B1361" t="n">
        <x:f>Dashboard_Live_Data!Y135</x:f>
        <x:v>2668.3499734017573</x:v>
      </x:c>
      <x:c r="C1361" t="n">
        <x:f>Dashboard_Live_Data!Z135</x:f>
        <x:v>43.200000000000045</x:v>
      </x:c>
      <x:c r="D1361" t="n">
        <x:f>Dashboard_Live_Data!AA135</x:f>
        <x:v>261.6567098799098</x:v>
      </x:c>
      <x:c r="E1361" t="n">
        <x:f>Dashboard_Live_Data!AB135</x:f>
        <x:v>86.40000000000009</x:v>
      </x:c>
      <x:c r="F1361" t="n">
        <x:f>Dashboard_Live_Data!AC135</x:f>
        <x:v>308.68111860671877</x:v>
      </x:c>
      <x:c r="G1361" t="n">
        <x:f>Dashboard_Live_Data!AD135</x:f>
        <x:v>86.40000000000009</x:v>
      </x:c>
      <x:c r="H1361" t="n">
        <x:f>Dashboard_Live_Data!AE135</x:f>
        <x:v>242.74643788836661</x:v>
      </x:c>
    </x:row>
    <x:row r="1362">
      <x:c r="A1362" t="n">
        <x:f>Dashboard_Live_Data!X136</x:f>
        <x:v>7.019999999999996</x:v>
      </x:c>
      <x:c r="B1362" t="n">
        <x:f>Dashboard_Live_Data!Y136</x:f>
        <x:v>2668.4165060223545</x:v>
      </x:c>
      <x:c r="C1362" t="n">
        <x:f>Dashboard_Live_Data!Z136</x:f>
        <x:v>46.80000000000001</x:v>
      </x:c>
      <x:c r="D1362" t="n">
        <x:f>Dashboard_Live_Data!AA136</x:f>
        <x:v>266.87097786523987</x:v>
      </x:c>
      <x:c r="E1362" t="n">
        <x:f>Dashboard_Live_Data!AB136</x:f>
        <x:v>93.60000000000002</x:v>
      </x:c>
      <x:c r="F1362" t="n">
        <x:f>Dashboard_Live_Data!AC136</x:f>
        <x:v>321.2488938952046</x:v>
      </x:c>
      <x:c r="G1362" t="n">
        <x:f>Dashboard_Live_Data!AD136</x:f>
        <x:v>93.60000000000002</x:v>
      </x:c>
      <x:c r="H1362" t="n">
        <x:f>Dashboard_Live_Data!AE136</x:f>
        <x:v>255.4493066354077</x:v>
      </x:c>
    </x:row>
    <x:row r="1363">
      <x:c r="A1363" t="n">
        <x:f>Dashboard_Live_Data!X137</x:f>
        <x:v>7.5</x:v>
      </x:c>
      <x:c r="B1363" t="n">
        <x:f>Dashboard_Live_Data!Y137</x:f>
        <x:v>2668.554777068895</x:v>
      </x:c>
      <x:c r="C1363" t="n">
        <x:f>Dashboard_Live_Data!Z137</x:f>
        <x:v>50</x:v>
      </x:c>
      <x:c r="D1363" t="n">
        <x:f>Dashboard_Live_Data!AA137</x:f>
        <x:v>271.4874996062939</x:v>
      </x:c>
      <x:c r="E1363" t="n">
        <x:f>Dashboard_Live_Data!AB137</x:f>
        <x:v>100</x:v>
      </x:c>
      <x:c r="F1363" t="n">
        <x:f>Dashboard_Live_Data!AC137</x:f>
        <x:v>333.9690786324356</x:v>
      </x:c>
      <x:c r="G1363" t="n">
        <x:f>Dashboard_Live_Data!AD137</x:f>
        <x:v>100</x:v>
      </x:c>
      <x:c r="H1363" t="n">
        <x:f>Dashboard_Live_Data!AE137</x:f>
        <x:v>268.2986473902994</x:v>
      </x:c>
    </x:row>
    <x:row r="1364">
      <x:c r="A1364" t="n">
        <x:f>Dashboard_Live_Data!X138</x:f>
        <x:v>7.980000000000004</x:v>
      </x:c>
      <x:c r="B1364" t="n">
        <x:f>Dashboard_Live_Data!Y138</x:f>
        <x:v>2668.619160634821</x:v>
      </x:c>
      <x:c r="C1364" t="n">
        <x:f>Dashboard_Live_Data!Z138</x:f>
        <x:v>53.19999999999999</x:v>
      </x:c>
      <x:c r="D1364" t="n">
        <x:f>Dashboard_Live_Data!AA138</x:f>
        <x:v>276.56459491862387</x:v>
      </x:c>
      <x:c r="E1364" t="n">
        <x:f>Dashboard_Live_Data!AB138</x:f>
        <x:v>106.39999999999998</x:v>
      </x:c>
      <x:c r="F1364" t="n">
        <x:f>Dashboard_Live_Data!AC138</x:f>
        <x:v>347.47422266834957</x:v>
      </x:c>
      <x:c r="G1364" t="n">
        <x:f>Dashboard_Live_Data!AD138</x:f>
        <x:v>106.39999999999998</x:v>
      </x:c>
      <x:c r="H1364" t="n">
        <x:f>Dashboard_Live_Data!AE138</x:f>
        <x:v>281.9414866847112</x:v>
      </x:c>
    </x:row>
    <x:row r="1365">
      <x:c r="A1365" t="n">
        <x:f>Dashboard_Live_Data!X139</x:f>
        <x:v>8.519999999999996</x:v>
      </x:c>
      <x:c r="B1365" t="n">
        <x:f>Dashboard_Live_Data!Y139</x:f>
        <x:v>2668.93813045976</x:v>
      </x:c>
      <x:c r="C1365" t="n">
        <x:f>Dashboard_Live_Data!Z139</x:f>
        <x:v>56.799999999999955</x:v>
      </x:c>
      <x:c r="D1365" t="n">
        <x:f>Dashboard_Live_Data!AA139</x:f>
        <x:v>282.45267503280434</x:v>
      </x:c>
      <x:c r="E1365" t="n">
        <x:f>Dashboard_Live_Data!AB139</x:f>
        <x:v>113.59999999999991</x:v>
      </x:c>
      <x:c r="F1365" t="n">
        <x:f>Dashboard_Live_Data!AC139</x:f>
        <x:v>363.0011899782957</x:v>
      </x:c>
      <x:c r="G1365" t="n">
        <x:f>Dashboard_Live_Data!AD139</x:f>
        <x:v>113.59999999999991</x:v>
      </x:c>
      <x:c r="H1365" t="n">
        <x:f>Dashboard_Live_Data!AE139</x:f>
        <x:v>297.63356822178037</x:v>
      </x:c>
    </x:row>
    <x:row r="1366">
      <x:c r="A1366" t="n">
        <x:f>Dashboard_Live_Data!X140</x:f>
        <x:v>9</x:v>
      </x:c>
      <x:c r="B1366" t="n">
        <x:f>Dashboard_Live_Data!Y140</x:f>
        <x:v>2668.91551921749</x:v>
      </x:c>
      <x:c r="C1366" t="n">
        <x:f>Dashboard_Live_Data!Z140</x:f>
        <x:v>59.99999999999994</x:v>
      </x:c>
      <x:c r="D1366" t="n">
        <x:f>Dashboard_Live_Data!AA140</x:f>
        <x:v>288.06999454155164</x:v>
      </x:c>
      <x:c r="E1366" t="n">
        <x:f>Dashboard_Live_Data!AB140</x:f>
        <x:v>119.99999999999989</x:v>
      </x:c>
      <x:c r="F1366" t="n">
        <x:f>Dashboard_Live_Data!AC140</x:f>
        <x:v>378.4062789597639</x:v>
      </x:c>
      <x:c r="G1366" t="n">
        <x:f>Dashboard_Live_Data!AD140</x:f>
        <x:v>119.99999999999989</x:v>
      </x:c>
      <x:c r="H1366" t="n">
        <x:f>Dashboard_Live_Data!AE140</x:f>
        <x:v>313.19449834852514</x:v>
      </x:c>
    </x:row>
    <x:row r="1367">
      <x:c r="A1367" t="n">
        <x:f>Dashboard_Live_Data!X141</x:f>
        <x:v>9.47999999999999</x:v>
      </x:c>
      <x:c r="B1367" t="n">
        <x:f>Dashboard_Live_Data!Y141</x:f>
        <x:v>2669.0410756188267</x:v>
      </x:c>
      <x:c r="C1367" t="n">
        <x:f>Dashboard_Live_Data!Z141</x:f>
        <x:v>63.19999999999999</x:v>
      </x:c>
      <x:c r="D1367" t="n">
        <x:f>Dashboard_Live_Data!AA141</x:f>
        <x:v>294.08928666556926</x:v>
      </x:c>
      <x:c r="E1367" t="n">
        <x:f>Dashboard_Live_Data!AB141</x:f>
        <x:v>126.39999999999998</x:v>
      </x:c>
      <x:c r="F1367" t="n">
        <x:f>Dashboard_Live_Data!AC141</x:f>
        <x:v>393.9604119847854</x:v>
      </x:c>
      <x:c r="G1367" t="n">
        <x:f>Dashboard_Live_Data!AD141</x:f>
        <x:v>126.39999999999998</x:v>
      </x:c>
      <x:c r="H1367" t="n">
        <x:f>Dashboard_Live_Data!AE141</x:f>
        <x:v>328.9130117596604</x:v>
      </x:c>
    </x:row>
    <x:row r="1368">
      <x:c r="A1368" t="n">
        <x:f>Dashboard_Live_Data!X142</x:f>
        <x:v>10.019999999999996</x:v>
      </x:c>
      <x:c r="B1368" t="n">
        <x:f>Dashboard_Live_Data!Y142</x:f>
        <x:v>2669.291489917243</x:v>
      </x:c>
      <x:c r="C1368" t="n">
        <x:f>Dashboard_Live_Data!Z142</x:f>
        <x:v>66.80000000000001</x:v>
      </x:c>
      <x:c r="D1368" t="n">
        <x:f>Dashboard_Live_Data!AA142</x:f>
        <x:v>301.6540717423815</x:v>
      </x:c>
      <x:c r="E1368" t="n">
        <x:f>Dashboard_Live_Data!AB142</x:f>
        <x:v>133.60000000000002</x:v>
      </x:c>
      <x:c r="F1368" t="n">
        <x:f>Dashboard_Live_Data!AC142</x:f>
        <x:v>412.6730671989272</x:v>
      </x:c>
      <x:c r="G1368" t="n">
        <x:f>Dashboard_Live_Data!AD142</x:f>
        <x:v>133.60000000000002</x:v>
      </x:c>
      <x:c r="H1368" t="n">
        <x:f>Dashboard_Live_Data!AE142</x:f>
        <x:v>347.82080196949306</x:v>
      </x:c>
    </x:row>
    <x:row r="1369">
      <x:c r="A1369" t="n">
        <x:f>Dashboard_Live_Data!X143</x:f>
        <x:v>10.5</x:v>
      </x:c>
      <x:c r="B1369" t="n">
        <x:f>Dashboard_Live_Data!Y143</x:f>
        <x:v>2669.2970622335815</x:v>
      </x:c>
      <x:c r="C1369" t="n">
        <x:f>Dashboard_Live_Data!Z143</x:f>
        <x:v>70</x:v>
      </x:c>
      <x:c r="D1369" t="n">
        <x:f>Dashboard_Live_Data!AA143</x:f>
        <x:v>308.3339924924266</x:v>
      </x:c>
      <x:c r="E1369" t="n">
        <x:f>Dashboard_Live_Data!AB143</x:f>
        <x:v>140</x:v>
      </x:c>
      <x:c r="F1369" t="n">
        <x:f>Dashboard_Live_Data!AC143</x:f>
        <x:v>430.4704881029932</x:v>
      </x:c>
      <x:c r="G1369" t="n">
        <x:f>Dashboard_Live_Data!AD143</x:f>
        <x:v>140</x:v>
      </x:c>
      <x:c r="H1369" t="n">
        <x:f>Dashboard_Live_Data!AE143</x:f>
        <x:v>365.80074914645155</x:v>
      </x:c>
    </x:row>
    <x:row r="1370">
      <x:c r="A1370" t="n">
        <x:f>Dashboard_Live_Data!X144</x:f>
        <x:v>10.980000000000004</x:v>
      </x:c>
      <x:c r="B1370" t="n">
        <x:f>Dashboard_Live_Data!Y144</x:f>
        <x:v>2669.4129477465203</x:v>
      </x:c>
      <x:c r="C1370" t="n">
        <x:f>Dashboard_Live_Data!Z144</x:f>
        <x:v>73.20000000000005</x:v>
      </x:c>
      <x:c r="D1370" t="n">
        <x:f>Dashboard_Live_Data!AA144</x:f>
        <x:v>314.94191553996393</x:v>
      </x:c>
      <x:c r="E1370" t="n">
        <x:f>Dashboard_Live_Data!AB144</x:f>
        <x:v>146.4000000000001</x:v>
      </x:c>
      <x:c r="F1370" t="n">
        <x:f>Dashboard_Live_Data!AC144</x:f>
        <x:v>448.65774247510933</x:v>
      </x:c>
      <x:c r="G1370" t="n">
        <x:f>Dashboard_Live_Data!AD144</x:f>
        <x:v>146.4000000000001</x:v>
      </x:c>
      <x:c r="H1370" t="n">
        <x:f>Dashboard_Live_Data!AE144</x:f>
        <x:v>384.1790690322971</x:v>
      </x:c>
    </x:row>
    <x:row r="1371">
      <x:c r="A1371" t="n">
        <x:f>Dashboard_Live_Data!X145</x:f>
        <x:v>11.519999999999996</x:v>
      </x:c>
      <x:c r="B1371" t="n">
        <x:f>Dashboard_Live_Data!Y145</x:f>
        <x:v>2669.607567389517</x:v>
      </x:c>
      <x:c r="C1371" t="n">
        <x:f>Dashboard_Live_Data!Z145</x:f>
        <x:v>76.79999999999995</x:v>
      </x:c>
      <x:c r="D1371" t="n">
        <x:f>Dashboard_Live_Data!AA145</x:f>
        <x:v>322.83349393173665</x:v>
      </x:c>
      <x:c r="E1371" t="n">
        <x:f>Dashboard_Live_Data!AB145</x:f>
        <x:v>153.5999999999999</x:v>
      </x:c>
      <x:c r="F1371" t="n">
        <x:f>Dashboard_Live_Data!AC145</x:f>
        <x:v>470.3583475486286</x:v>
      </x:c>
      <x:c r="G1371" t="n">
        <x:f>Dashboard_Live_Data!AD145</x:f>
        <x:v>153.5999999999999</x:v>
      </x:c>
      <x:c r="H1371" t="n">
        <x:f>Dashboard_Live_Data!AE145</x:f>
        <x:v>406.1048298700752</x:v>
      </x:c>
    </x:row>
    <x:row r="1372">
      <x:c r="A1372" t="n">
        <x:f>Dashboard_Live_Data!X146</x:f>
        <x:v>12</x:v>
      </x:c>
      <x:c r="B1372" t="n">
        <x:f>Dashboard_Live_Data!Y146</x:f>
        <x:v>2669.5329747634537</x:v>
      </x:c>
      <x:c r="C1372" t="n">
        <x:f>Dashboard_Live_Data!Z146</x:f>
        <x:v>80</x:v>
      </x:c>
      <x:c r="D1372" t="n">
        <x:f>Dashboard_Live_Data!AA146</x:f>
        <x:v>330.5742921234309</x:v>
      </x:c>
      <x:c r="E1372" t="n">
        <x:f>Dashboard_Live_Data!AB146</x:f>
        <x:v>160</x:v>
      </x:c>
      <x:c r="F1372" t="n">
        <x:f>Dashboard_Live_Data!AC146</x:f>
        <x:v>490.82527033564</x:v>
      </x:c>
      <x:c r="G1372" t="n">
        <x:f>Dashboard_Live_Data!AD146</x:f>
        <x:v>160</x:v>
      </x:c>
      <x:c r="H1372" t="n">
        <x:f>Dashboard_Live_Data!AE146</x:f>
        <x:v>426.78096405759464</x:v>
      </x:c>
    </x:row>
    <x:row r="1373">
      <x:c r="A1373" t="n">
        <x:f>Dashboard_Live_Data!X147</x:f>
        <x:v>12.480000000000004</x:v>
      </x:c>
      <x:c r="B1373" t="n">
        <x:f>Dashboard_Live_Data!Y147</x:f>
        <x:v>2669.7418428985843</x:v>
      </x:c>
      <x:c r="C1373" t="n">
        <x:f>Dashboard_Live_Data!Z147</x:f>
        <x:v>83.19999999999999</x:v>
      </x:c>
      <x:c r="D1373" t="n">
        <x:f>Dashboard_Live_Data!AA147</x:f>
        <x:v>339.0028806621182</x:v>
      </x:c>
      <x:c r="E1373" t="n">
        <x:f>Dashboard_Live_Data!AB147</x:f>
        <x:v>166.39999999999998</x:v>
      </x:c>
      <x:c r="F1373" t="n">
        <x:f>Dashboard_Live_Data!AC147</x:f>
        <x:v>511.5210445892671</x:v>
      </x:c>
      <x:c r="G1373" t="n">
        <x:f>Dashboard_Live_Data!AD147</x:f>
        <x:v>166.39999999999998</x:v>
      </x:c>
      <x:c r="H1373" t="n">
        <x:f>Dashboard_Live_Data!AE147</x:f>
        <x:v>447.69448895256727</x:v>
      </x:c>
    </x:row>
    <x:row r="1374">
      <x:c r="A1374" t="n">
        <x:f>Dashboard_Live_Data!X148</x:f>
        <x:v>13.02000000000001</x:v>
      </x:c>
      <x:c r="B1374" t="n">
        <x:f>Dashboard_Live_Data!Y148</x:f>
        <x:v>2669.689058927443</x:v>
      </x:c>
      <x:c r="C1374" t="n">
        <x:f>Dashboard_Live_Data!Z148</x:f>
        <x:v>86.80000000000001</x:v>
      </x:c>
      <x:c r="D1374" t="n">
        <x:f>Dashboard_Live_Data!AA148</x:f>
        <x:v>348.1803410931297</x:v>
      </x:c>
      <x:c r="E1374" t="n">
        <x:f>Dashboard_Live_Data!AB148</x:f>
        <x:v>173.60000000000002</x:v>
      </x:c>
      <x:c r="F1374" t="n">
        <x:f>Dashboard_Live_Data!AC148</x:f>
        <x:v>536.6856283700555</x:v>
      </x:c>
      <x:c r="G1374" t="n">
        <x:f>Dashboard_Live_Data!AD148</x:f>
        <x:v>173.60000000000002</x:v>
      </x:c>
      <x:c r="H1374" t="n">
        <x:f>Dashboard_Live_Data!AE148</x:f>
        <x:v>473.11424926618224</x:v>
      </x:c>
    </x:row>
    <x:row r="1375">
      <x:c r="A1375" t="n">
        <x:f>Dashboard_Live_Data!X149</x:f>
        <x:v>13.5</x:v>
      </x:c>
      <x:c r="B1375" t="n">
        <x:f>Dashboard_Live_Data!Y149</x:f>
        <x:v>2669.863390884068</x:v>
      </x:c>
      <x:c r="C1375" t="n">
        <x:f>Dashboard_Live_Data!Z149</x:f>
        <x:v>90.00000000000006</x:v>
      </x:c>
      <x:c r="D1375" t="n">
        <x:f>Dashboard_Live_Data!AA149</x:f>
        <x:v>356.5873635970569</x:v>
      </x:c>
      <x:c r="E1375" t="n">
        <x:f>Dashboard_Live_Data!AB149</x:f>
        <x:v>180.0000000000001</x:v>
      </x:c>
      <x:c r="F1375" t="n">
        <x:f>Dashboard_Live_Data!AC149</x:f>
        <x:v>559.4378939715417</x:v>
      </x:c>
      <x:c r="G1375" t="n">
        <x:f>Dashboard_Live_Data!AD149</x:f>
        <x:v>180.0000000000001</x:v>
      </x:c>
      <x:c r="H1375" t="n">
        <x:f>Dashboard_Live_Data!AE149</x:f>
        <x:v>496.10241139579267</x:v>
      </x:c>
    </x:row>
    <x:row r="1376">
      <x:c r="A1376" t="n">
        <x:f>Dashboard_Live_Data!X150</x:f>
        <x:v>13.980000000000004</x:v>
      </x:c>
      <x:c r="B1376" t="n">
        <x:f>Dashboard_Live_Data!Y150</x:f>
        <x:v>2669.8639965508737</x:v>
      </x:c>
      <x:c r="C1376" t="n">
        <x:f>Dashboard_Live_Data!Z150</x:f>
        <x:v>93.20000000000005</x:v>
      </x:c>
      <x:c r="D1376" t="n">
        <x:f>Dashboard_Live_Data!AA150</x:f>
        <x:v>365.3275433938103</x:v>
      </x:c>
      <x:c r="E1376" t="n">
        <x:f>Dashboard_Live_Data!AB150</x:f>
        <x:v>186.4000000000001</x:v>
      </x:c>
      <x:c r="F1376" t="n">
        <x:f>Dashboard_Live_Data!AC150</x:f>
        <x:v>582.8549827037858</x:v>
      </x:c>
      <x:c r="G1376" t="n">
        <x:f>Dashboard_Live_Data!AD150</x:f>
        <x:v>186.4000000000001</x:v>
      </x:c>
      <x:c r="H1376" t="n">
        <x:f>Dashboard_Live_Data!AE150</x:f>
        <x:v>519.763935896998</x:v>
      </x:c>
    </x:row>
    <x:row r="1377">
      <x:c r="A1377" t="n">
        <x:f>Dashboard_Live_Data!X151</x:f>
        <x:v>14.519999999999996</x:v>
      </x:c>
      <x:c r="B1377" t="n">
        <x:f>Dashboard_Live_Data!Y151</x:f>
        <x:v>2669.8958574019107</x:v>
      </x:c>
      <x:c r="C1377" t="n">
        <x:f>Dashboard_Live_Data!Z151</x:f>
        <x:v>96.80000000000001</x:v>
      </x:c>
      <x:c r="D1377" t="n">
        <x:f>Dashboard_Live_Data!AA151</x:f>
        <x:v>375.71361777908754</x:v>
      </x:c>
      <x:c r="E1377" t="n">
        <x:f>Dashboard_Live_Data!AB151</x:f>
        <x:v>193.60000000000002</x:v>
      </x:c>
      <x:c r="F1377" t="n">
        <x:f>Dashboard_Live_Data!AC151</x:f>
        <x:v>610.8989509460198</x:v>
      </x:c>
      <x:c r="G1377" t="n">
        <x:f>Dashboard_Live_Data!AD151</x:f>
        <x:v>193.60000000000002</x:v>
      </x:c>
      <x:c r="H1377" t="n">
        <x:f>Dashboard_Live_Data!AE151</x:f>
        <x:v>548.0931014406264</x:v>
      </x:c>
    </x:row>
    <x:row r="1378">
      <x:c r="A1378" t="n">
        <x:f>Dashboard_Live_Data!X152</x:f>
        <x:v>15</x:v>
      </x:c>
      <x:c r="B1378" t="n">
        <x:f>Dashboard_Live_Data!Y152</x:f>
        <x:v>2669.877953329705</x:v>
      </x:c>
      <x:c r="C1378" t="n">
        <x:f>Dashboard_Live_Data!Z152</x:f>
        <x:v>100</x:v>
      </x:c>
      <x:c r="D1378" t="n">
        <x:f>Dashboard_Live_Data!AA152</x:f>
        <x:v>385.5672746083997</x:v>
      </x:c>
      <x:c r="E1378" t="n">
        <x:f>Dashboard_Live_Data!AB152</x:f>
        <x:v>200</x:v>
      </x:c>
      <x:c r="F1378" t="n">
        <x:f>Dashboard_Live_Data!AC152</x:f>
        <x:v>635.8244559490963</x:v>
      </x:c>
      <x:c r="G1378" t="n">
        <x:f>Dashboard_Live_Data!AD152</x:f>
        <x:v>200</x:v>
      </x:c>
      <x:c r="H1378" t="n">
        <x:f>Dashboard_Live_Data!AE152</x:f>
        <x:v>573.2811880994428</x:v>
      </x:c>
    </x:row>
    <x:row r="1379">
      <x:c r="A1379" t="n">
        <x:f>Dashboard_Live_Data!X153</x:f>
        <x:v>15.480000000000004</x:v>
      </x:c>
      <x:c r="B1379" t="n">
        <x:f>Dashboard_Live_Data!Y153</x:f>
        <x:v>2670.016099440619</x:v>
      </x:c>
      <x:c r="C1379" t="n">
        <x:f>Dashboard_Live_Data!Z153</x:f>
        <x:v>103.19999999999999</x:v>
      </x:c>
      <x:c r="D1379" t="n">
        <x:f>Dashboard_Live_Data!AA153</x:f>
        <x:v>395.8608639483147</x:v>
      </x:c>
      <x:c r="E1379" t="n">
        <x:f>Dashboard_Live_Data!AB153</x:f>
        <x:v>206.39999999999998</x:v>
      </x:c>
      <x:c r="F1379" t="n">
        <x:f>Dashboard_Live_Data!AC153</x:f>
        <x:v>661.951510687387</x:v>
      </x:c>
      <x:c r="G1379" t="n">
        <x:f>Dashboard_Live_Data!AD153</x:f>
        <x:v>206.39999999999998</x:v>
      </x:c>
      <x:c r="H1379" t="n">
        <x:f>Dashboard_Live_Data!AE153</x:f>
        <x:v>599.6793637343105</x:v>
      </x:c>
    </x:row>
    <x:row r="1380">
      <x:c r="A1380" t="n">
        <x:f>Dashboard_Live_Data!X154</x:f>
        <x:v>16.019999999999996</x:v>
      </x:c>
      <x:c r="B1380" t="n">
        <x:f>Dashboard_Live_Data!Y154</x:f>
        <x:v>2669.9938584403485</x:v>
      </x:c>
      <x:c r="C1380" t="n">
        <x:f>Dashboard_Live_Data!Z154</x:f>
        <x:v>106.79999999999995</x:v>
      </x:c>
      <x:c r="D1380" t="n">
        <x:f>Dashboard_Live_Data!AA154</x:f>
        <x:v>407.20518284516277</x:v>
      </x:c>
      <x:c r="E1380" t="n">
        <x:f>Dashboard_Live_Data!AB154</x:f>
        <x:v>213.5999999999999</x:v>
      </x:c>
      <x:c r="F1380" t="n">
        <x:f>Dashboard_Live_Data!AC154</x:f>
        <x:v>692.4932720409962</x:v>
      </x:c>
      <x:c r="G1380" t="n">
        <x:f>Dashboard_Live_Data!AD154</x:f>
        <x:v>213.5999999999999</x:v>
      </x:c>
      <x:c r="H1380" t="n">
        <x:f>Dashboard_Live_Data!AE154</x:f>
        <x:v>630.536343157882</x:v>
      </x:c>
    </x:row>
    <x:row r="1381">
      <x:c r="A1381" t="n">
        <x:f>Dashboard_Live_Data!X155</x:f>
        <x:v>16.5</x:v>
      </x:c>
      <x:c r="B1381" t="n">
        <x:f>Dashboard_Live_Data!Y155</x:f>
        <x:v>2670.053766339852</x:v>
      </x:c>
      <x:c r="C1381" t="n">
        <x:f>Dashboard_Live_Data!Z155</x:f>
        <x:v>109.99999999999994</x:v>
      </x:c>
      <x:c r="D1381" t="n">
        <x:f>Dashboard_Live_Data!AA155</x:f>
        <x:v>417.1722436975719</x:v>
      </x:c>
      <x:c r="E1381" t="n">
        <x:f>Dashboard_Live_Data!AB155</x:f>
        <x:v>219.9999999999999</x:v>
      </x:c>
      <x:c r="F1381" t="n">
        <x:f>Dashboard_Live_Data!AC155</x:f>
        <x:v>719.9887342761264</x:v>
      </x:c>
      <x:c r="G1381" t="n">
        <x:f>Dashboard_Live_Data!AD155</x:f>
        <x:v>219.9999999999999</x:v>
      </x:c>
      <x:c r="H1381" t="n">
        <x:f>Dashboard_Live_Data!AE155</x:f>
        <x:v>658.3210721763679</x:v>
      </x:c>
    </x:row>
    <x:row r="1382">
      <x:c r="A1382" t="n">
        <x:f>Dashboard_Live_Data!X156</x:f>
        <x:v>16.97999999999999</x:v>
      </x:c>
      <x:c r="B1382" t="n">
        <x:f>Dashboard_Live_Data!Y156</x:f>
        <x:v>2670.213148337437</x:v>
      </x:c>
      <x:c r="C1382" t="n">
        <x:f>Dashboard_Live_Data!Z156</x:f>
        <x:v>113.19999999999993</x:v>
      </x:c>
      <x:c r="D1382" t="n">
        <x:f>Dashboard_Live_Data!AA156</x:f>
        <x:v>428.1712603024178</x:v>
      </x:c>
      <x:c r="E1382" t="n">
        <x:f>Dashboard_Live_Data!AB156</x:f>
        <x:v>226.39999999999986</x:v>
      </x:c>
      <x:c r="F1382" t="n">
        <x:f>Dashboard_Live_Data!AC156</x:f>
        <x:v>748.8612775855718</x:v>
      </x:c>
      <x:c r="G1382" t="n">
        <x:f>Dashboard_Live_Data!AD156</x:f>
        <x:v>226.39999999999986</x:v>
      </x:c>
      <x:c r="H1382" t="n">
        <x:f>Dashboard_Live_Data!AE156</x:f>
        <x:v>687.4914215100064</x:v>
      </x:c>
    </x:row>
    <x:row r="1383">
      <x:c r="A1383" t="n">
        <x:f>Dashboard_Live_Data!X157</x:f>
        <x:v>17.519999999999996</x:v>
      </x:c>
      <x:c r="B1383" t="n">
        <x:f>Dashboard_Live_Data!Y157</x:f>
        <x:v>2670.3303197350824</x:v>
      </x:c>
      <x:c r="C1383" t="n">
        <x:f>Dashboard_Live_Data!Z157</x:f>
        <x:v>116.80000000000007</x:v>
      </x:c>
      <x:c r="D1383" t="n">
        <x:f>Dashboard_Live_Data!AA157</x:f>
        <x:v>441.15226021313686</x:v>
      </x:c>
      <x:c r="E1383" t="n">
        <x:f>Dashboard_Live_Data!AB157</x:f>
        <x:v>233.60000000000014</x:v>
      </x:c>
      <x:c r="F1383" t="n">
        <x:f>Dashboard_Live_Data!AC157</x:f>
        <x:v>782.0432729637541</x:v>
      </x:c>
      <x:c r="G1383" t="n">
        <x:f>Dashboard_Live_Data!AD157</x:f>
        <x:v>233.60000000000014</x:v>
      </x:c>
      <x:c r="H1383" t="n">
        <x:f>Dashboard_Live_Data!AE157</x:f>
        <x:v>721.0186557267189</x:v>
      </x:c>
    </x:row>
    <x:row r="1384">
      <x:c r="A1384" t="n">
        <x:f>Dashboard_Live_Data!X158</x:f>
        <x:v>18</x:v>
      </x:c>
      <x:c r="B1384" t="n">
        <x:f>Dashboard_Live_Data!Y158</x:f>
        <x:v>2670.444077775051</x:v>
      </x:c>
      <x:c r="C1384" t="n">
        <x:f>Dashboard_Live_Data!Z158</x:f>
        <x:v>120</x:v>
      </x:c>
      <x:c r="D1384" t="n">
        <x:f>Dashboard_Live_Data!AA158</x:f>
        <x:v>452.70768115682705</x:v>
      </x:c>
      <x:c r="E1384" t="n">
        <x:f>Dashboard_Live_Data!AB158</x:f>
        <x:v>240</x:v>
      </x:c>
      <x:c r="F1384" t="n">
        <x:f>Dashboard_Live_Data!AC158</x:f>
        <x:v>812.3078287201135</x:v>
      </x:c>
      <x:c r="G1384" t="n">
        <x:f>Dashboard_Live_Data!AD158</x:f>
        <x:v>240</x:v>
      </x:c>
      <x:c r="H1384" t="n">
        <x:f>Dashboard_Live_Data!AE158</x:f>
        <x:v>751.5991633940498</x:v>
      </x:c>
    </x:row>
    <x:row r="1385">
      <x:c r="A1385" t="n">
        <x:f>Dashboard_Live_Data!X159</x:f>
        <x:v>18.480000000000004</x:v>
      </x:c>
      <x:c r="B1385" t="n">
        <x:f>Dashboard_Live_Data!Y159</x:f>
        <x:v>2670.5153353694513</x:v>
      </x:c>
      <x:c r="C1385" t="n">
        <x:f>Dashboard_Live_Data!Z159</x:f>
        <x:v>123.20000000000005</x:v>
      </x:c>
      <x:c r="D1385" t="n">
        <x:f>Dashboard_Live_Data!AA159</x:f>
        <x:v>464.3422104497147</x:v>
      </x:c>
      <x:c r="E1385" t="n">
        <x:f>Dashboard_Live_Data!AB159</x:f>
        <x:v>246.4000000000001</x:v>
      </x:c>
      <x:c r="F1385" t="n">
        <x:f>Dashboard_Live_Data!AC159</x:f>
        <x:v>843.990239909538</x:v>
      </x:c>
      <x:c r="G1385" t="n">
        <x:f>Dashboard_Live_Data!AD159</x:f>
        <x:v>246.4000000000001</x:v>
      </x:c>
      <x:c r="H1385" t="n">
        <x:f>Dashboard_Live_Data!AE159</x:f>
        <x:v>783.6060657352831</x:v>
      </x:c>
    </x:row>
    <x:row r="1386">
      <x:c r="A1386" t="n">
        <x:f>Dashboard_Live_Data!X160</x:f>
        <x:v>19.019999999999996</x:v>
      </x:c>
      <x:c r="B1386" t="n">
        <x:f>Dashboard_Live_Data!Y160</x:f>
        <x:v>2670.7374273408423</x:v>
      </x:c>
      <x:c r="C1386" t="n">
        <x:f>Dashboard_Live_Data!Z160</x:f>
        <x:v>126.79999999999995</x:v>
      </x:c>
      <x:c r="D1386" t="n">
        <x:f>Dashboard_Live_Data!AA160</x:f>
        <x:v>477.97385498477803</x:v>
      </x:c>
      <x:c r="E1386" t="n">
        <x:f>Dashboard_Live_Data!AB160</x:f>
        <x:v>253.5999999999999</x:v>
      </x:c>
      <x:c r="F1386" t="n">
        <x:f>Dashboard_Live_Data!AC160</x:f>
        <x:v>880.1287937053022</x:v>
      </x:c>
      <x:c r="G1386" t="n">
        <x:f>Dashboard_Live_Data!AD160</x:f>
        <x:v>253.5999999999999</x:v>
      </x:c>
      <x:c r="H1386" t="n">
        <x:f>Dashboard_Live_Data!AE160</x:f>
        <x:v>820.1198791381454</x:v>
      </x:c>
    </x:row>
    <x:row r="1387">
      <x:c r="A1387" t="n">
        <x:f>Dashboard_Live_Data!X161</x:f>
        <x:v>19.5</x:v>
      </x:c>
      <x:c r="B1387" t="n">
        <x:f>Dashboard_Live_Data!Y161</x:f>
        <x:v>2670.797103322571</x:v>
      </x:c>
      <x:c r="C1387" t="n">
        <x:f>Dashboard_Live_Data!Z161</x:f>
        <x:v>130</x:v>
      </x:c>
      <x:c r="D1387" t="n">
        <x:f>Dashboard_Live_Data!AA161</x:f>
        <x:v>490.4820935126106</x:v>
      </x:c>
      <x:c r="E1387" t="n">
        <x:f>Dashboard_Live_Data!AB161</x:f>
        <x:v>260</x:v>
      </x:c>
      <x:c r="F1387" t="n">
        <x:f>Dashboard_Live_Data!AC161</x:f>
        <x:v>913.1515395520814</x:v>
      </x:c>
      <x:c r="G1387" t="n">
        <x:f>Dashboard_Live_Data!AD161</x:f>
        <x:v>260</x:v>
      </x:c>
      <x:c r="H1387" t="n">
        <x:f>Dashboard_Live_Data!AE161</x:f>
        <x:v>853.485262023512</x:v>
      </x:c>
    </x:row>
    <x:row r="1388">
      <x:c r="A1388" t="n">
        <x:f>Dashboard_Live_Data!X162</x:f>
        <x:v>19.980000000000004</x:v>
      </x:c>
      <x:c r="B1388" t="n">
        <x:f>Dashboard_Live_Data!Y162</x:f>
        <x:v>2670.9787828596327</x:v>
      </x:c>
      <x:c r="C1388" t="n">
        <x:f>Dashboard_Live_Data!Z162</x:f>
        <x:v>133.19999999999993</x:v>
      </x:c>
      <x:c r="D1388" t="n">
        <x:f>Dashboard_Live_Data!AA162</x:f>
        <x:v>503.19758645294866</x:v>
      </x:c>
      <x:c r="E1388" t="n">
        <x:f>Dashboard_Live_Data!AB162</x:f>
        <x:v>266.39999999999986</x:v>
      </x:c>
      <x:c r="F1388" t="n">
        <x:f>Dashboard_Live_Data!AC162</x:f>
        <x:v>947.335274155724</x:v>
      </x:c>
      <x:c r="G1388" t="n">
        <x:f>Dashboard_Live_Data!AD162</x:f>
        <x:v>266.39999999999986</x:v>
      </x:c>
      <x:c r="H1388" t="n">
        <x:f>Dashboard_Live_Data!AE162</x:f>
        <x:v>888.0201729065793</x:v>
      </x:c>
    </x:row>
    <x:row r="1389">
      <x:c r="A1389" t="n">
        <x:f>Dashboard_Live_Data!X163</x:f>
        <x:v>20.52000000000001</x:v>
      </x:c>
      <x:c r="B1389" t="n">
        <x:f>Dashboard_Live_Data!Y163</x:f>
        <x:v>2671.203786370632</x:v>
      </x:c>
      <x:c r="C1389" t="n">
        <x:f>Dashboard_Live_Data!Z163</x:f>
        <x:v>136.80000000000007</x:v>
      </x:c>
      <x:c r="D1389" t="n">
        <x:f>Dashboard_Live_Data!AA163</x:f>
        <x:v>518.040579966203</x:v>
      </x:c>
      <x:c r="E1389" t="n">
        <x:f>Dashboard_Live_Data!AB163</x:f>
        <x:v>273.60000000000014</x:v>
      </x:c>
      <x:c r="F1389" t="n">
        <x:f>Dashboard_Live_Data!AC163</x:f>
        <x:v>986.2109894672132</x:v>
      </x:c>
      <x:c r="G1389" t="n">
        <x:f>Dashboard_Live_Data!AD163</x:f>
        <x:v>273.60000000000014</x:v>
      </x:c>
      <x:c r="H1389" t="n">
        <x:f>Dashboard_Live_Data!AE163</x:f>
        <x:v>927.3011685937341</x:v>
      </x:c>
    </x:row>
    <x:row r="1390">
      <x:c r="A1390" t="n">
        <x:f>Dashboard_Live_Data!X164</x:f>
        <x:v>21</x:v>
      </x:c>
      <x:c r="B1390" t="n">
        <x:f>Dashboard_Live_Data!Y164</x:f>
        <x:v>2671.217258703795</x:v>
      </x:c>
      <x:c r="C1390" t="n">
        <x:f>Dashboard_Live_Data!Z164</x:f>
        <x:v>140</x:v>
      </x:c>
      <x:c r="D1390" t="n">
        <x:f>Dashboard_Live_Data!AA164</x:f>
        <x:v>531.602952215883</x:v>
      </x:c>
      <x:c r="E1390" t="n">
        <x:f>Dashboard_Live_Data!AB164</x:f>
        <x:v>280</x:v>
      </x:c>
      <x:c r="F1390" t="n">
        <x:f>Dashboard_Live_Data!AC164</x:f>
        <x:v>1021.9898236507371</x:v>
      </x:c>
      <x:c r="G1390" t="n">
        <x:f>Dashboard_Live_Data!AD164</x:f>
        <x:v>280</x:v>
      </x:c>
      <x:c r="H1390" t="n">
        <x:f>Dashboard_Live_Data!AE164</x:f>
        <x:v>963.4493249434615</x:v>
      </x:c>
    </x:row>
    <x:row r="1391">
      <x:c r="A1391" t="n">
        <x:f>Dashboard_Live_Data!X165</x:f>
        <x:v>21.480000000000004</x:v>
      </x:c>
      <x:c r="B1391" t="n">
        <x:f>Dashboard_Live_Data!Y165</x:f>
        <x:v>2671.3747102286848</x:v>
      </x:c>
      <x:c r="C1391" t="n">
        <x:f>Dashboard_Live_Data!Z165</x:f>
        <x:v>143.20000000000005</x:v>
      </x:c>
      <x:c r="D1391" t="n">
        <x:f>Dashboard_Live_Data!AA165</x:f>
        <x:v>545.2847603872583</x:v>
      </x:c>
      <x:c r="E1391" t="n">
        <x:f>Dashboard_Live_Data!AB165</x:f>
        <x:v>286.4000000000001</x:v>
      </x:c>
      <x:c r="F1391" t="n">
        <x:f>Dashboard_Live_Data!AC165</x:f>
        <x:v>1058.6458157350023</x:v>
      </x:c>
      <x:c r="G1391" t="n">
        <x:f>Dashboard_Live_Data!AD165</x:f>
        <x:v>286.4000000000001</x:v>
      </x:c>
      <x:c r="H1391" t="n">
        <x:f>Dashboard_Live_Data!AE165</x:f>
        <x:v>1000.4831784347671</x:v>
      </x:c>
    </x:row>
    <x:row r="1392">
      <x:c r="A1392" t="n">
        <x:f>Dashboard_Live_Data!X166</x:f>
        <x:v>22.019999999999996</x:v>
      </x:c>
      <x:c r="B1392" t="n">
        <x:f>Dashboard_Live_Data!Y166</x:f>
        <x:v>2671.607898305689</x:v>
      </x:c>
      <x:c r="C1392" t="n">
        <x:f>Dashboard_Live_Data!Z166</x:f>
        <x:v>146.79999999999995</x:v>
      </x:c>
      <x:c r="D1392" t="n">
        <x:f>Dashboard_Live_Data!AA166</x:f>
        <x:v>560.9838146656962</x:v>
      </x:c>
      <x:c r="E1392" t="n">
        <x:f>Dashboard_Live_Data!AB166</x:f>
        <x:v>293.5999999999999</x:v>
      </x:c>
      <x:c r="F1392" t="n">
        <x:f>Dashboard_Live_Data!AC166</x:f>
        <x:v>1100.2228354690478</x:v>
      </x:c>
      <x:c r="G1392" t="n">
        <x:f>Dashboard_Live_Data!AD166</x:f>
        <x:v>293.5999999999999</x:v>
      </x:c>
      <x:c r="H1392" t="n">
        <x:f>Dashboard_Live_Data!AE166</x:f>
        <x:v>1042.4954993130461</x:v>
      </x:c>
    </x:row>
    <x:row r="1393">
      <x:c r="A1393" t="n">
        <x:f>Dashboard_Live_Data!X167</x:f>
        <x:v>22.5</x:v>
      </x:c>
      <x:c r="B1393" t="n">
        <x:f>Dashboard_Live_Data!Y167</x:f>
        <x:v>2671.772595292662</x:v>
      </x:c>
      <x:c r="C1393" t="n">
        <x:f>Dashboard_Live_Data!Z167</x:f>
        <x:v>150</x:v>
      </x:c>
      <x:c r="D1393" t="n">
        <x:f>Dashboard_Live_Data!AA167</x:f>
        <x:v>575.2592717158128</x:v>
      </x:c>
      <x:c r="E1393" t="n">
        <x:f>Dashboard_Live_Data!AB167</x:f>
        <x:v>300</x:v>
      </x:c>
      <x:c r="F1393" t="n">
        <x:f>Dashboard_Live_Data!AC167</x:f>
        <x:v>1138.7605574322938</x:v>
      </x:c>
      <x:c r="G1393" t="n">
        <x:f>Dashboard_Live_Data!AD167</x:f>
        <x:v>300</x:v>
      </x:c>
      <x:c r="H1393" t="n">
        <x:f>Dashboard_Live_Data!AE167</x:f>
        <x:v>1081.4292285701115</x:v>
      </x:c>
    </x:row>
    <x:row r="1394">
      <x:c r="A1394" t="n">
        <x:f>Dashboard_Live_Data!X168</x:f>
        <x:v>22.980000000000004</x:v>
      </x:c>
      <x:c r="B1394" t="n">
        <x:f>Dashboard_Live_Data!Y168</x:f>
        <x:v>2671.903622796239</x:v>
      </x:c>
      <x:c r="C1394" t="n">
        <x:f>Dashboard_Live_Data!Z168</x:f>
        <x:v>153.20000000000005</x:v>
      </x:c>
      <x:c r="D1394" t="n">
        <x:f>Dashboard_Live_Data!AA168</x:f>
        <x:v>590.285607665682</x:v>
      </x:c>
      <x:c r="E1394" t="n">
        <x:f>Dashboard_Live_Data!AB168</x:f>
        <x:v>306.4000000000001</x:v>
      </x:c>
      <x:c r="F1394" t="n">
        <x:f>Dashboard_Live_Data!AC168</x:f>
        <x:v>1177.7366521085353</x:v>
      </x:c>
      <x:c r="G1394" t="n">
        <x:f>Dashboard_Live_Data!AD168</x:f>
        <x:v>306.4000000000001</x:v>
      </x:c>
      <x:c r="H1394" t="n">
        <x:f>Dashboard_Live_Data!AE168</x:f>
        <x:v>1120.8098697810094</x:v>
      </x:c>
    </x:row>
    <x:row r="1395">
      <x:c r="A1395" t="n">
        <x:f>Dashboard_Live_Data!X169</x:f>
        <x:v>23.519999999999996</x:v>
      </x:c>
      <x:c r="B1395" t="n">
        <x:f>Dashboard_Live_Data!Y169</x:f>
        <x:v>2672.186431982876</x:v>
      </x:c>
      <x:c r="C1395" t="n">
        <x:f>Dashboard_Live_Data!Z169</x:f>
        <x:v>156.79999999999995</x:v>
      </x:c>
      <x:c r="D1395" t="n">
        <x:f>Dashboard_Live_Data!AA169</x:f>
        <x:v>607.501561535222</x:v>
      </x:c>
      <x:c r="E1395" t="n">
        <x:f>Dashboard_Live_Data!AB169</x:f>
        <x:v>313.5999999999999</x:v>
      </x:c>
      <x:c r="F1395" t="n">
        <x:f>Dashboard_Live_Data!AC169</x:f>
        <x:v>1222.6057281367232</x:v>
      </x:c>
      <x:c r="G1395" t="n">
        <x:f>Dashboard_Live_Data!AD169</x:f>
        <x:v>313.5999999999999</x:v>
      </x:c>
      <x:c r="H1395" t="n">
        <x:f>Dashboard_Live_Data!AE169</x:f>
        <x:v>1166.1442677219984</x:v>
      </x:c>
    </x:row>
    <x:row r="1396">
      <x:c r="A1396" t="n">
        <x:f>Dashboard_Live_Data!X170</x:f>
        <x:v>24</x:v>
      </x:c>
      <x:c r="B1396" t="n">
        <x:f>Dashboard_Live_Data!Y170</x:f>
        <x:v>2672.278912699196</x:v>
      </x:c>
      <x:c r="C1396" t="n">
        <x:f>Dashboard_Live_Data!Z170</x:f>
        <x:v>160</x:v>
      </x:c>
      <x:c r="D1396" t="n">
        <x:f>Dashboard_Live_Data!AA170</x:f>
        <x:v>622.9166520341081</x:v>
      </x:c>
      <x:c r="E1396" t="n">
        <x:f>Dashboard_Live_Data!AB170</x:f>
        <x:v>320</x:v>
      </x:c>
      <x:c r="F1396" t="n">
        <x:f>Dashboard_Live_Data!AC170</x:f>
        <x:v>1263.7436976342328</x:v>
      </x:c>
      <x:c r="G1396" t="n">
        <x:f>Dashboard_Live_Data!AD170</x:f>
        <x:v>320</x:v>
      </x:c>
      <x:c r="H1396" t="n">
        <x:f>Dashboard_Live_Data!AE170</x:f>
        <x:v>1207.7049296409432</x:v>
      </x:c>
    </x:row>
    <x:row r="1397">
      <x:c r="A1397" t="n">
        <x:f>Dashboard_Live_Data!X171</x:f>
        <x:v>24.47999999999999</x:v>
      </x:c>
      <x:c r="B1397" t="n">
        <x:f>Dashboard_Live_Data!Y171</x:f>
        <x:v>2672.422684953723</x:v>
      </x:c>
      <x:c r="C1397" t="n">
        <x:f>Dashboard_Live_Data!Z171</x:f>
        <x:v>163.19999999999993</x:v>
      </x:c>
      <x:c r="D1397" t="n">
        <x:f>Dashboard_Live_Data!AA171</x:f>
        <x:v>638.4143292101328</x:v>
      </x:c>
      <x:c r="E1397" t="n">
        <x:f>Dashboard_Live_Data!AB171</x:f>
        <x:v>326.39999999999986</x:v>
      </x:c>
      <x:c r="F1397" t="n">
        <x:f>Dashboard_Live_Data!AC171</x:f>
        <x:v>1304.993058303427</x:v>
      </x:c>
      <x:c r="G1397" t="n">
        <x:f>Dashboard_Live_Data!AD171</x:f>
        <x:v>326.39999999999986</x:v>
      </x:c>
      <x:c r="H1397" t="n">
        <x:f>Dashboard_Live_Data!AE171</x:f>
        <x:v>1249.3855219724098</x:v>
      </x:c>
    </x:row>
    <x:row r="1398">
      <x:c r="A1398" t="n">
        <x:f>Dashboard_Live_Data!X172</x:f>
        <x:v>25.019999999999996</x:v>
      </x:c>
      <x:c r="B1398" t="n">
        <x:f>Dashboard_Live_Data!Y172</x:f>
        <x:v>2672.7507541412438</x:v>
      </x:c>
      <x:c r="C1398" t="n">
        <x:f>Dashboard_Live_Data!Z172</x:f>
        <x:v>166.80000000000007</x:v>
      </x:c>
      <x:c r="D1398" t="n">
        <x:f>Dashboard_Live_Data!AA172</x:f>
        <x:v>656.4778874083446</x:v>
      </x:c>
      <x:c r="E1398" t="n">
        <x:f>Dashboard_Live_Data!AB172</x:f>
        <x:v>333.60000000000014</x:v>
      </x:c>
      <x:c r="F1398" t="n">
        <x:f>Dashboard_Live_Data!AC172</x:f>
        <x:v>1352.9496387434049</x:v>
      </x:c>
      <x:c r="G1398" t="n">
        <x:f>Dashboard_Live_Data!AD172</x:f>
        <x:v>333.60000000000014</x:v>
      </x:c>
      <x:c r="H1398" t="n">
        <x:f>Dashboard_Live_Data!AE172</x:f>
        <x:v>1297.8374450937565</x:v>
      </x:c>
    </x:row>
    <x:row r="1399">
      <x:c r="A1399" t="n">
        <x:f>Dashboard_Live_Data!X173</x:f>
        <x:v>25.5</x:v>
      </x:c>
      <x:c r="B1399" t="n">
        <x:f>Dashboard_Live_Data!Y173</x:f>
        <x:v>2672.8797701745452</x:v>
      </x:c>
      <x:c r="C1399" t="n">
        <x:f>Dashboard_Live_Data!Z173</x:f>
        <x:v>170</x:v>
      </x:c>
      <x:c r="D1399" t="n">
        <x:f>Dashboard_Live_Data!AA173</x:f>
        <x:v>672.9521582471372</x:v>
      </x:c>
      <x:c r="E1399" t="n">
        <x:f>Dashboard_Live_Data!AB173</x:f>
        <x:v>340</x:v>
      </x:c>
      <x:c r="F1399" t="n">
        <x:f>Dashboard_Live_Data!AC173</x:f>
        <x:v>1396.3473019036721</x:v>
      </x:c>
      <x:c r="G1399" t="n">
        <x:f>Dashboard_Live_Data!AD173</x:f>
        <x:v>340</x:v>
      </x:c>
      <x:c r="H1399" t="n">
        <x:f>Dashboard_Live_Data!AE173</x:f>
        <x:v>1341.6844858030745</x:v>
      </x:c>
    </x:row>
    <x:row r="1400">
      <x:c r="A1400" t="n">
        <x:f>Dashboard_Live_Data!X174</x:f>
        <x:v>25.980000000000004</x:v>
      </x:c>
      <x:c r="B1400" t="n">
        <x:f>Dashboard_Live_Data!Y174</x:f>
        <x:v>2673.023648727582</x:v>
      </x:c>
      <x:c r="C1400" t="n">
        <x:f>Dashboard_Live_Data!Z174</x:f>
        <x:v>173.20000000000005</x:v>
      </x:c>
      <x:c r="D1400" t="n">
        <x:f>Dashboard_Live_Data!AA174</x:f>
        <x:v>689.9092702737296</x:v>
      </x:c>
      <x:c r="E1400" t="n">
        <x:f>Dashboard_Live_Data!AB174</x:f>
        <x:v>346.4000000000001</x:v>
      </x:c>
      <x:c r="F1400" t="n">
        <x:f>Dashboard_Live_Data!AC174</x:f>
        <x:v>1440.15613079986</x:v>
      </x:c>
      <x:c r="G1400" t="n">
        <x:f>Dashboard_Live_Data!AD174</x:f>
        <x:v>346.4000000000001</x:v>
      </x:c>
      <x:c r="H1400" t="n">
        <x:f>Dashboard_Live_Data!AE174</x:f>
        <x:v>1385.951231489151</x:v>
      </x:c>
    </x:row>
    <x:row r="1401">
      <x:c r="A1401" t="n">
        <x:f>Dashboard_Live_Data!X175</x:f>
        <x:v>26.519999999999996</x:v>
      </x:c>
      <x:c r="B1401" t="n">
        <x:f>Dashboard_Live_Data!Y175</x:f>
        <x:v>2673.203151441436</x:v>
      </x:c>
      <x:c r="C1401" t="n">
        <x:f>Dashboard_Live_Data!Z175</x:f>
        <x:v>176.79999999999995</x:v>
      </x:c>
      <x:c r="D1401" t="n">
        <x:f>Dashboard_Live_Data!AA175</x:f>
        <x:v>709.4713880484527</x:v>
      </x:c>
      <x:c r="E1401" t="n">
        <x:f>Dashboard_Live_Data!AB175</x:f>
        <x:v>353.5999999999999</x:v>
      </x:c>
      <x:c r="F1401" t="n">
        <x:f>Dashboard_Live_Data!AC175</x:f>
        <x:v>1491.0284044154105</x:v>
      </x:c>
      <x:c r="G1401" t="n">
        <x:f>Dashboard_Live_Data!AD175</x:f>
        <x:v>353.5999999999999</x:v>
      </x:c>
      <x:c r="H1401" t="n">
        <x:f>Dashboard_Live_Data!AE175</x:f>
        <x:v>1437.3488685546383</x:v>
      </x:c>
    </x:row>
    <x:row r="1402">
      <x:c r="A1402" t="n">
        <x:f>Dashboard_Live_Data!X176</x:f>
        <x:v>27</x:v>
      </x:c>
      <x:c r="B1402" t="n">
        <x:f>Dashboard_Live_Data!Y176</x:f>
        <x:v>2673.4865059902168</x:v>
      </x:c>
      <x:c r="C1402" t="n">
        <x:f>Dashboard_Live_Data!Z176</x:f>
        <x:v>180</x:v>
      </x:c>
      <x:c r="D1402" t="n">
        <x:f>Dashboard_Live_Data!AA176</x:f>
        <x:v>726.6160489398486</x:v>
      </x:c>
      <x:c r="E1402" t="n">
        <x:f>Dashboard_Live_Data!AB176</x:f>
        <x:v>360</x:v>
      </x:c>
      <x:c r="F1402" t="n">
        <x:f>Dashboard_Live_Data!AC176</x:f>
        <x:v>1536.7947165438725</x:v>
      </x:c>
      <x:c r="G1402" t="n">
        <x:f>Dashboard_Live_Data!AD176</x:f>
        <x:v>360</x:v>
      </x:c>
      <x:c r="H1402" t="n">
        <x:f>Dashboard_Live_Data!AE176</x:f>
        <x:v>1483.5912433597673</x:v>
      </x:c>
    </x:row>
    <x:row r="1403">
      <x:c r="A1403" t="n">
        <x:f>Dashboard_Live_Data!X177</x:f>
        <x:v>27.480000000000004</x:v>
      </x:c>
      <x:c r="B1403" t="n">
        <x:f>Dashboard_Live_Data!Y177</x:f>
        <x:v>2673.8136935452526</x:v>
      </x:c>
      <x:c r="C1403" t="n">
        <x:f>Dashboard_Live_Data!Z177</x:f>
        <x:v>183.19999999999993</x:v>
      </x:c>
      <x:c r="D1403" t="n">
        <x:f>Dashboard_Live_Data!AA177</x:f>
        <x:v>743.9212040900048</x:v>
      </x:c>
      <x:c r="E1403" t="n">
        <x:f>Dashboard_Live_Data!AB177</x:f>
        <x:v>366.39999999999986</x:v>
      </x:c>
      <x:c r="F1403" t="n">
        <x:f>Dashboard_Live_Data!AC177</x:f>
        <x:v>1583.219543020566</x:v>
      </x:c>
      <x:c r="G1403" t="n">
        <x:f>Dashboard_Live_Data!AD177</x:f>
        <x:v>366.39999999999986</x:v>
      </x:c>
      <x:c r="H1403" t="n">
        <x:f>Dashboard_Live_Data!AE177</x:f>
        <x:v>1530.5006717539648</x:v>
      </x:c>
    </x:row>
    <x:row r="1404">
      <x:c r="A1404" t="n">
        <x:f>Dashboard_Live_Data!X178</x:f>
        <x:v>28.02000000000001</x:v>
      </x:c>
      <x:c r="B1404" t="n">
        <x:f>Dashboard_Live_Data!Y178</x:f>
        <x:v>2674.008990974961</x:v>
      </x:c>
      <x:c r="C1404" t="n">
        <x:f>Dashboard_Live_Data!Z178</x:f>
        <x:v>186.80000000000007</x:v>
      </x:c>
      <x:c r="D1404" t="n">
        <x:f>Dashboard_Live_Data!AA178</x:f>
        <x:v>764.4798066752313</x:v>
      </x:c>
      <x:c r="E1404" t="n">
        <x:f>Dashboard_Live_Data!AB178</x:f>
        <x:v>373.60000000000014</x:v>
      </x:c>
      <x:c r="F1404" t="n">
        <x:f>Dashboard_Live_Data!AC178</x:f>
        <x:v>1637.3411182670352</x:v>
      </x:c>
      <x:c r="G1404" t="n">
        <x:f>Dashboard_Live_Data!AD178</x:f>
        <x:v>373.60000000000014</x:v>
      </x:c>
      <x:c r="H1404" t="n">
        <x:f>Dashboard_Live_Data!AE178</x:f>
        <x:v>1585.1776312189386</x:v>
      </x:c>
    </x:row>
    <x:row r="1405">
      <x:c r="A1405" t="n">
        <x:f>Dashboard_Live_Data!X179</x:f>
        <x:v>28.5</x:v>
      </x:c>
      <x:c r="B1405" t="n">
        <x:f>Dashboard_Live_Data!Y179</x:f>
        <x:v>2674.175165150319</x:v>
      </x:c>
      <x:c r="C1405" t="n">
        <x:f>Dashboard_Live_Data!Z179</x:f>
        <x:v>190</x:v>
      </x:c>
      <x:c r="D1405" t="n">
        <x:f>Dashboard_Live_Data!AA179</x:f>
        <x:v>783.3268131486861</x:v>
      </x:c>
      <x:c r="E1405" t="n">
        <x:f>Dashboard_Live_Data!AB179</x:f>
        <x:v>380</x:v>
      </x:c>
      <x:c r="F1405" t="n">
        <x:f>Dashboard_Live_Data!AC179</x:f>
        <x:v>1685.5394953979162</x:v>
      </x:c>
      <x:c r="G1405" t="n">
        <x:f>Dashboard_Live_Data!AD179</x:f>
        <x:v>380</x:v>
      </x:c>
      <x:c r="H1405" t="n">
        <x:f>Dashboard_Live_Data!AE179</x:f>
        <x:v>1633.8787561541026</x:v>
      </x:c>
    </x:row>
    <x:row r="1406">
      <x:c r="A1406" t="n">
        <x:f>Dashboard_Live_Data!X180</x:f>
        <x:v>28.980000000000004</x:v>
      </x:c>
      <x:c r="B1406" t="n">
        <x:f>Dashboard_Live_Data!Y180</x:f>
        <x:v>2674.4235115684287</x:v>
      </x:c>
      <x:c r="C1406" t="n">
        <x:f>Dashboard_Live_Data!Z180</x:f>
        <x:v>193.20000000000005</x:v>
      </x:c>
      <x:c r="D1406" t="n">
        <x:f>Dashboard_Live_Data!AA180</x:f>
        <x:v>801.8464832007562</x:v>
      </x:c>
      <x:c r="E1406" t="n">
        <x:f>Dashboard_Live_Data!AB180</x:f>
        <x:v>386.4000000000001</x:v>
      </x:c>
      <x:c r="F1406" t="n">
        <x:f>Dashboard_Live_Data!AC180</x:f>
        <x:v>1735.101566695354</x:v>
      </x:c>
      <x:c r="G1406" t="n">
        <x:f>Dashboard_Live_Data!AD180</x:f>
        <x:v>386.4000000000001</x:v>
      </x:c>
      <x:c r="H1406" t="n">
        <x:f>Dashboard_Live_Data!AE180</x:f>
        <x:v>1683.9521144966598</x:v>
      </x:c>
    </x:row>
    <x:row r="1407">
      <x:c r="A1407" t="n">
        <x:f>Dashboard_Live_Data!X181</x:f>
        <x:v>29.519999999999996</x:v>
      </x:c>
      <x:c r="B1407" t="n">
        <x:f>Dashboard_Live_Data!Y181</x:f>
        <x:v>2674.858320794281</x:v>
      </x:c>
      <x:c r="C1407" t="n">
        <x:f>Dashboard_Live_Data!Z181</x:f>
        <x:v>196.79999999999995</x:v>
      </x:c>
      <x:c r="D1407" t="n">
        <x:f>Dashboard_Live_Data!AA181</x:f>
        <x:v>822.967307698896</x:v>
      </x:c>
      <x:c r="E1407" t="n">
        <x:f>Dashboard_Live_Data!AB181</x:f>
        <x:v>393.5999999999999</x:v>
      </x:c>
      <x:c r="F1407" t="n">
        <x:f>Dashboard_Live_Data!AC181</x:f>
        <x:v>1791.9512689962028</x:v>
      </x:c>
      <x:c r="G1407" t="n">
        <x:f>Dashboard_Live_Data!AD181</x:f>
        <x:v>393.5999999999999</x:v>
      </x:c>
      <x:c r="H1407" t="n">
        <x:f>Dashboard_Live_Data!AE181</x:f>
        <x:v>1741.3872217845812</x:v>
      </x:c>
    </x:row>
    <x:row r="1408">
      <x:c r="A1408" t="n">
        <x:f>Dashboard_Live_Data!X182</x:f>
        <x:v>30</x:v>
      </x:c>
      <x:c r="B1408" t="n">
        <x:f>Dashboard_Live_Data!Y182</x:f>
        <x:v>2675.1047945408004</x:v>
      </x:c>
      <x:c r="C1408" t="n">
        <x:f>Dashboard_Live_Data!Z182</x:f>
        <x:v>200</x:v>
      </x:c>
      <x:c r="D1408" t="n">
        <x:f>Dashboard_Live_Data!AA182</x:f>
        <x:v>842.217239852953</x:v>
      </x:c>
      <x:c r="E1408" t="n">
        <x:f>Dashboard_Live_Data!AB182</x:f>
        <x:v>400</x:v>
      </x:c>
      <x:c r="F1408" t="n">
        <x:f>Dashboard_Live_Data!AC182</x:f>
        <x:v>1842.7794861023433</x:v>
      </x:c>
      <x:c r="G1408" t="n">
        <x:f>Dashboard_Live_Data!AD182</x:f>
        <x:v>400</x:v>
      </x:c>
      <x:c r="H1408" t="n">
        <x:f>Dashboard_Live_Data!AE182</x:f>
        <x:v>1792.7448718226206</x:v>
      </x:c>
    </x:row>
    <x:row r="1409">
      <x:c r="A1409" t="n">
        <x:f>Dashboard_Live_Data!X183</x:f>
        <x:v>30.480000000000004</x:v>
      </x:c>
      <x:c r="B1409" t="n">
        <x:f>Dashboard_Live_Data!Y183</x:f>
        <x:v>2675.266200681919</x:v>
      </x:c>
      <x:c r="C1409" t="n">
        <x:f>Dashboard_Live_Data!Z183</x:f>
        <x:v>203.20000000000005</x:v>
      </x:c>
      <x:c r="D1409" t="n">
        <x:f>Dashboard_Live_Data!AA183</x:f>
        <x:v>861.7927147745436</x:v>
      </x:c>
      <x:c r="E1409" t="n">
        <x:f>Dashboard_Live_Data!AB183</x:f>
        <x:v>406.4000000000001</x:v>
      </x:c>
      <x:c r="F1409" t="n">
        <x:f>Dashboard_Live_Data!AC183</x:f>
        <x:v>1894.9471352963021</x:v>
      </x:c>
      <x:c r="G1409" t="n">
        <x:f>Dashboard_Live_Data!AD183</x:f>
        <x:v>406.4000000000001</x:v>
      </x:c>
      <x:c r="H1409" t="n">
        <x:f>Dashboard_Live_Data!AE183</x:f>
        <x:v>1845.4504931893146</x:v>
      </x:c>
    </x:row>
    <x:row r="1410">
      <x:c r="A1410" t="n">
        <x:f>Dashboard_Live_Data!X184</x:f>
        <x:v>31.019999999999996</x:v>
      </x:c>
      <x:c r="B1410" t="n">
        <x:f>Dashboard_Live_Data!Y184</x:f>
        <x:v>2675.607009709583</x:v>
      </x:c>
      <x:c r="C1410" t="n">
        <x:f>Dashboard_Live_Data!Z184</x:f>
        <x:v>206.79999999999995</x:v>
      </x:c>
      <x:c r="D1410" t="n">
        <x:f>Dashboard_Live_Data!AA184</x:f>
        <x:v>884.3474875000024</x:v>
      </x:c>
      <x:c r="E1410" t="n">
        <x:f>Dashboard_Live_Data!AB184</x:f>
        <x:v>413.5999999999999</x:v>
      </x:c>
      <x:c r="F1410" t="n">
        <x:f>Dashboard_Live_Data!AC184</x:f>
        <x:v>1954.255429976066</x:v>
      </x:c>
      <x:c r="G1410" t="n">
        <x:f>Dashboard_Live_Data!AD184</x:f>
        <x:v>413.5999999999999</x:v>
      </x:c>
      <x:c r="H1410" t="n">
        <x:f>Dashboard_Live_Data!AE184</x:f>
        <x:v>1905.374213624719</x:v>
      </x:c>
    </x:row>
    <x:row r="1411">
      <x:c r="A1411" t="n">
        <x:f>Dashboard_Live_Data!X185</x:f>
        <x:v>31.5</x:v>
      </x:c>
      <x:c r="B1411" t="n">
        <x:f>Dashboard_Live_Data!Y185</x:f>
        <x:v>2675.7438987522546</x:v>
      </x:c>
      <x:c r="C1411" t="n">
        <x:f>Dashboard_Live_Data!Z185</x:f>
        <x:v>210</x:v>
      </x:c>
      <x:c r="D1411" t="n">
        <x:f>Dashboard_Live_Data!AA185</x:f>
        <x:v>904.8934348311742</x:v>
      </x:c>
      <x:c r="E1411" t="n">
        <x:f>Dashboard_Live_Data!AB185</x:f>
        <x:v>420</x:v>
      </x:c>
      <x:c r="F1411" t="n">
        <x:f>Dashboard_Live_Data!AC185</x:f>
        <x:v>2007.7962312536533</x:v>
      </x:c>
      <x:c r="G1411" t="n">
        <x:f>Dashboard_Live_Data!AD185</x:f>
        <x:v>420</x:v>
      </x:c>
      <x:c r="H1411" t="n">
        <x:f>Dashboard_Live_Data!AE185</x:f>
        <x:v>1959.4711329618208</x:v>
      </x:c>
    </x:row>
    <x:row r="1412">
      <x:c r="A1412" t="n">
        <x:f>Dashboard_Live_Data!X186</x:f>
        <x:v>31.97999999999999</x:v>
      </x:c>
      <x:c r="B1412" t="n">
        <x:f>Dashboard_Live_Data!Y186</x:f>
        <x:v>2676.0368656583214</x:v>
      </x:c>
      <x:c r="C1412" t="n">
        <x:f>Dashboard_Live_Data!Z186</x:f>
        <x:v>213.19999999999993</x:v>
      </x:c>
      <x:c r="D1412" t="n">
        <x:f>Dashboard_Live_Data!AA186</x:f>
        <x:v>925.2961133666385</x:v>
      </x:c>
      <x:c r="E1412" t="n">
        <x:f>Dashboard_Live_Data!AB186</x:f>
        <x:v>426.39999999999986</x:v>
      </x:c>
      <x:c r="F1412" t="n">
        <x:f>Dashboard_Live_Data!AC186</x:f>
        <x:v>2062.4558981393748</x:v>
      </x:c>
      <x:c r="G1412" t="n">
        <x:f>Dashboard_Live_Data!AD186</x:f>
        <x:v>426.39999999999986</x:v>
      </x:c>
      <x:c r="H1412" t="n">
        <x:f>Dashboard_Live_Data!AE186</x:f>
        <x:v>2014.695457147894</x:v>
      </x:c>
    </x:row>
    <x:row r="1413">
      <x:c r="A1413" t="n">
        <x:f>Dashboard_Live_Data!X187</x:f>
        <x:v>32.519999999999996</x:v>
      </x:c>
      <x:c r="B1413" t="n">
        <x:f>Dashboard_Live_Data!Y187</x:f>
        <x:v>2676.2888769199035</x:v>
      </x:c>
      <x:c r="C1413" t="n">
        <x:f>Dashboard_Live_Data!Z187</x:f>
        <x:v>216.80000000000007</x:v>
      </x:c>
      <x:c r="D1413" t="n">
        <x:f>Dashboard_Live_Data!AA187</x:f>
        <x:v>948.5491738828646</x:v>
      </x:c>
      <x:c r="E1413" t="n">
        <x:f>Dashboard_Live_Data!AB187</x:f>
        <x:v>433.60000000000014</x:v>
      </x:c>
      <x:c r="F1413" t="n">
        <x:f>Dashboard_Live_Data!AC187</x:f>
        <x:v>2124.427620402392</x:v>
      </x:c>
      <x:c r="G1413" t="n">
        <x:f>Dashboard_Live_Data!AD187</x:f>
        <x:v>433.60000000000014</x:v>
      </x:c>
      <x:c r="H1413" t="n">
        <x:f>Dashboard_Live_Data!AE187</x:f>
        <x:v>2077.3126259351197</x:v>
      </x:c>
    </x:row>
    <x:row r="1414">
      <x:c r="A1414" t="n">
        <x:f>Dashboard_Live_Data!X188</x:f>
        <x:v>33</x:v>
      </x:c>
      <x:c r="B1414" t="n">
        <x:f>Dashboard_Live_Data!Y188</x:f>
        <x:v>2676.60909795797</x:v>
      </x:c>
      <x:c r="C1414" t="n">
        <x:f>Dashboard_Live_Data!Z188</x:f>
        <x:v>220</x:v>
      </x:c>
      <x:c r="D1414" t="n">
        <x:f>Dashboard_Live_Data!AA188</x:f>
        <x:v>969.7240027915016</x:v>
      </x:c>
      <x:c r="E1414" t="n">
        <x:f>Dashboard_Live_Data!AB188</x:f>
        <x:v>440</x:v>
      </x:c>
      <x:c r="F1414" t="n">
        <x:f>Dashboard_Live_Data!AC188</x:f>
        <x:v>2180.714249526638</x:v>
      </x:c>
      <x:c r="G1414" t="n">
        <x:f>Dashboard_Live_Data!AD188</x:f>
        <x:v>440</x:v>
      </x:c>
      <x:c r="H1414" t="n">
        <x:f>Dashboard_Live_Data!AE188</x:f>
        <x:v>2134.182058246496</x:v>
      </x:c>
    </x:row>
    <x:row r="1415">
      <x:c r="A1415" t="n">
        <x:f>Dashboard_Live_Data!X189</x:f>
        <x:v>33.480000000000004</x:v>
      </x:c>
      <x:c r="B1415" t="n">
        <x:f>Dashboard_Live_Data!Y189</x:f>
        <x:v>2676.761436837114</x:v>
      </x:c>
      <x:c r="C1415" t="n">
        <x:f>Dashboard_Live_Data!Z189</x:f>
        <x:v>223.20000000000005</x:v>
      </x:c>
      <x:c r="D1415" t="n">
        <x:f>Dashboard_Live_Data!AA189</x:f>
        <x:v>991.3044296756246</x:v>
      </x:c>
      <x:c r="E1415" t="n">
        <x:f>Dashboard_Live_Data!AB189</x:f>
        <x:v>446.4000000000001</x:v>
      </x:c>
      <x:c r="F1415" t="n">
        <x:f>Dashboard_Live_Data!AC189</x:f>
        <x:v>2237.9762205627926</x:v>
      </x:c>
      <x:c r="G1415" t="n">
        <x:f>Dashboard_Live_Data!AD189</x:f>
        <x:v>446.4000000000001</x:v>
      </x:c>
      <x:c r="H1415" t="n">
        <x:f>Dashboard_Live_Data!AE189</x:f>
        <x:v>2192.0353717106177</x:v>
      </x:c>
    </x:row>
    <x:row r="1416">
      <x:c r="A1416" t="n">
        <x:f>Dashboard_Live_Data!X190</x:f>
        <x:v>34.019999999999996</x:v>
      </x:c>
      <x:c r="B1416" t="n">
        <x:f>Dashboard_Live_Data!Y190</x:f>
        <x:v>2676.9678952459385</x:v>
      </x:c>
      <x:c r="C1416" t="n">
        <x:f>Dashboard_Live_Data!Z190</x:f>
        <x:v>226.79999999999995</x:v>
      </x:c>
      <x:c r="D1416" t="n">
        <x:f>Dashboard_Live_Data!AA190</x:f>
        <x:v>1016.1752855742253</x:v>
      </x:c>
      <x:c r="E1416" t="n">
        <x:f>Dashboard_Live_Data!AB190</x:f>
        <x:v>453.5999999999999</x:v>
      </x:c>
      <x:c r="F1416" t="n">
        <x:f>Dashboard_Live_Data!AC190</x:f>
        <x:v>2302.749358961962</x:v>
      </x:c>
      <x:c r="G1416" t="n">
        <x:f>Dashboard_Live_Data!AD190</x:f>
        <x:v>453.5999999999999</x:v>
      </x:c>
      <x:c r="H1416" t="n">
        <x:f>Dashboard_Live_Data!AE190</x:f>
        <x:v>2257.4839774025636</x:v>
      </x:c>
    </x:row>
    <x:row r="1417">
      <x:c r="A1417" t="n">
        <x:f>Dashboard_Live_Data!X191</x:f>
        <x:v>34.5</x:v>
      </x:c>
      <x:c r="B1417" t="n">
        <x:f>Dashboard_Live_Data!Y191</x:f>
        <x:v>2677.1867210166747</x:v>
      </x:c>
      <x:c r="C1417" t="n">
        <x:f>Dashboard_Live_Data!Z191</x:f>
        <x:v>230</x:v>
      </x:c>
      <x:c r="D1417" t="n">
        <x:f>Dashboard_Live_Data!AA191</x:f>
        <x:v>1038.401723688319</x:v>
      </x:c>
      <x:c r="E1417" t="n">
        <x:f>Dashboard_Live_Data!AB191</x:f>
        <x:v>460</x:v>
      </x:c>
      <x:c r="F1417" t="n">
        <x:f>Dashboard_Live_Data!AC191</x:f>
        <x:v>2361.943478253393</x:v>
      </x:c>
      <x:c r="G1417" t="n">
        <x:f>Dashboard_Live_Data!AD191</x:f>
        <x:v>460</x:v>
      </x:c>
      <x:c r="H1417" t="n">
        <x:f>Dashboard_Live_Data!AE191</x:f>
        <x:v>2317.2875850087407</x:v>
      </x:c>
    </x:row>
    <x:row r="1418">
      <x:c r="A1418" t="n">
        <x:f>Dashboard_Live_Data!X192</x:f>
        <x:v>34.980000000000004</x:v>
      </x:c>
      <x:c r="B1418" t="n">
        <x:f>Dashboard_Live_Data!Y192</x:f>
        <x:v>2677.3815092232917</x:v>
      </x:c>
      <x:c r="C1418" t="n">
        <x:f>Dashboard_Live_Data!Z192</x:f>
        <x:v>233.19999999999993</x:v>
      </x:c>
      <x:c r="D1418" t="n">
        <x:f>Dashboard_Live_Data!AA192</x:f>
        <x:v>1060.8081910527985</x:v>
      </x:c>
      <x:c r="E1418" t="n">
        <x:f>Dashboard_Live_Data!AB192</x:f>
        <x:v>466.39999999999986</x:v>
      </x:c>
      <x:c r="F1418" t="n">
        <x:f>Dashboard_Live_Data!AC192</x:f>
        <x:v>2421.619819894157</x:v>
      </x:c>
      <x:c r="G1418" t="n">
        <x:f>Dashboard_Live_Data!AD192</x:f>
        <x:v>466.39999999999986</x:v>
      </x:c>
      <x:c r="H1418" t="n">
        <x:f>Dashboard_Live_Data!AE192</x:f>
        <x:v>2377.581954205088</x:v>
      </x:c>
    </x:row>
    <x:row r="1419">
      <x:c r="A1419" t="n">
        <x:f>Dashboard_Live_Data!X193</x:f>
        <x:v>35.52000000000001</x:v>
      </x:c>
      <x:c r="B1419" t="n">
        <x:f>Dashboard_Live_Data!Y193</x:f>
        <x:v>2677.619339587693</x:v>
      </x:c>
      <x:c r="C1419" t="n">
        <x:f>Dashboard_Live_Data!Z193</x:f>
        <x:v>236.80000000000007</x:v>
      </x:c>
      <x:c r="D1419" t="n">
        <x:f>Dashboard_Live_Data!AA193</x:f>
        <x:v>1086.4391980001599</x:v>
      </x:c>
      <x:c r="E1419" t="n">
        <x:f>Dashboard_Live_Data!AB193</x:f>
        <x:v>473.60000000000014</x:v>
      </x:c>
      <x:c r="F1419" t="n">
        <x:f>Dashboard_Live_Data!AC193</x:f>
        <x:v>2489.383536065449</x:v>
      </x:c>
      <x:c r="G1419" t="n">
        <x:f>Dashboard_Live_Data!AD193</x:f>
        <x:v>473.60000000000014</x:v>
      </x:c>
      <x:c r="H1419" t="n">
        <x:f>Dashboard_Live_Data!AE193</x:f>
        <x:v>2446.0511584377236</x:v>
      </x:c>
    </x:row>
    <x:row r="1420">
      <x:c r="A1420" t="n">
        <x:f>Dashboard_Live_Data!X194</x:f>
        <x:v>36</x:v>
      </x:c>
      <x:c r="B1420" t="n">
        <x:f>Dashboard_Live_Data!Y194</x:f>
        <x:v>2677.816380981363</x:v>
      </x:c>
      <x:c r="C1420" t="n">
        <x:f>Dashboard_Live_Data!Z194</x:f>
        <x:v>240</x:v>
      </x:c>
      <x:c r="D1420" t="n">
        <x:f>Dashboard_Live_Data!AA194</x:f>
        <x:v>1109.513437541667</x:v>
      </x:c>
      <x:c r="E1420" t="n">
        <x:f>Dashboard_Live_Data!AB194</x:f>
        <x:v>480</x:v>
      </x:c>
      <x:c r="F1420" t="n">
        <x:f>Dashboard_Live_Data!AC194</x:f>
        <x:v>2551.1472763301194</x:v>
      </x:c>
      <x:c r="G1420" t="n">
        <x:f>Dashboard_Live_Data!AD194</x:f>
        <x:v>480</x:v>
      </x:c>
      <x:c r="H1420" t="n">
        <x:f>Dashboard_Live_Data!AE194</x:f>
        <x:v>2508.451072144756</x:v>
      </x:c>
    </x:row>
    <x:row r="1421">
      <x:c r="A1421" t="n">
        <x:f>Dashboard_Live_Data!X195</x:f>
        <x:v>36.480000000000004</x:v>
      </x:c>
      <x:c r="B1421" t="n">
        <x:f>Dashboard_Live_Data!Y195</x:f>
        <x:v>2678.077818920377</x:v>
      </x:c>
      <x:c r="C1421" t="n">
        <x:f>Dashboard_Live_Data!Z195</x:f>
        <x:v>243.20000000000005</x:v>
      </x:c>
      <x:c r="D1421" t="n">
        <x:f>Dashboard_Live_Data!AA195</x:f>
        <x:v>1133.2303407408722</x:v>
      </x:c>
      <x:c r="E1421" t="n">
        <x:f>Dashboard_Live_Data!AB195</x:f>
        <x:v>486.4000000000001</x:v>
      </x:c>
      <x:c r="F1421" t="n">
        <x:f>Dashboard_Live_Data!AC195</x:f>
        <x:v>2612.9574942317936</x:v>
      </x:c>
      <x:c r="G1421" t="n">
        <x:f>Dashboard_Live_Data!AD195</x:f>
        <x:v>486.4000000000001</x:v>
      </x:c>
      <x:c r="H1421" t="n">
        <x:f>Dashboard_Live_Data!AE195</x:f>
        <x:v>2570.906002729629</x:v>
      </x:c>
    </x:row>
    <x:row r="1422">
      <x:c r="A1422" t="n">
        <x:f>Dashboard_Live_Data!X196</x:f>
        <x:v>37.019999999999996</x:v>
      </x:c>
      <x:c r="B1422" t="n">
        <x:f>Dashboard_Live_Data!Y196</x:f>
        <x:v>2678.257267408554</x:v>
      </x:c>
      <x:c r="C1422" t="n">
        <x:f>Dashboard_Live_Data!Z196</x:f>
        <x:v>246.79999999999995</x:v>
      </x:c>
      <x:c r="D1422" t="n">
        <x:f>Dashboard_Live_Data!AA196</x:f>
        <x:v>1160.442414389766</x:v>
      </x:c>
      <x:c r="E1422" t="n">
        <x:f>Dashboard_Live_Data!AB196</x:f>
        <x:v>493.5999999999999</x:v>
      </x:c>
      <x:c r="F1422" t="n">
        <x:f>Dashboard_Live_Data!AC196</x:f>
        <x:v>2683.9185129860057</x:v>
      </x:c>
      <x:c r="G1422" t="n">
        <x:f>Dashboard_Live_Data!AD196</x:f>
        <x:v>493.5999999999999</x:v>
      </x:c>
      <x:c r="H1422" t="n">
        <x:f>Dashboard_Live_Data!AE196</x:f>
        <x:v>2642.6025303137535</x:v>
      </x:c>
    </x:row>
    <x:row r="1423">
      <x:c r="A1423" t="n">
        <x:f>Dashboard_Live_Data!X197</x:f>
        <x:v>37.5</x:v>
      </x:c>
      <x:c r="B1423" t="n">
        <x:f>Dashboard_Live_Data!Y197</x:f>
        <x:v>2678.562506834351</x:v>
      </x:c>
      <x:c r="C1423" t="n">
        <x:f>Dashboard_Live_Data!Z197</x:f>
        <x:v>250</x:v>
      </x:c>
      <x:c r="D1423" t="n">
        <x:f>Dashboard_Live_Data!AA197</x:f>
        <x:v>1184.7688552263792</x:v>
      </x:c>
      <x:c r="E1423" t="n">
        <x:f>Dashboard_Live_Data!AB197</x:f>
        <x:v>500</x:v>
      </x:c>
      <x:c r="F1423" t="n">
        <x:f>Dashboard_Live_Data!AC197</x:f>
        <x:v>2748.1539582175906</x:v>
      </x:c>
      <x:c r="G1423" t="n">
        <x:f>Dashboard_Live_Data!AD197</x:f>
        <x:v>500</x:v>
      </x:c>
      <x:c r="H1423" t="n">
        <x:f>Dashboard_Live_Data!AE197</x:f>
        <x:v>2707.5008341153157</x:v>
      </x:c>
    </x:row>
    <x:row r="1424">
      <x:c r="A1424" t="n">
        <x:f>Dashboard_Live_Data!X198</x:f>
        <x:v>37.980000000000004</x:v>
      </x:c>
      <x:c r="B1424" t="n">
        <x:f>Dashboard_Live_Data!Y198</x:f>
        <x:v>2678.7296092144975</x:v>
      </x:c>
      <x:c r="C1424" t="n">
        <x:f>Dashboard_Live_Data!Z198</x:f>
        <x:v>253.20000000000005</x:v>
      </x:c>
      <x:c r="D1424" t="n">
        <x:f>Dashboard_Live_Data!AA198</x:f>
        <x:v>1208.9011254281424</x:v>
      </x:c>
      <x:c r="E1424" t="n">
        <x:f>Dashboard_Live_Data!AB198</x:f>
        <x:v>506.4000000000001</x:v>
      </x:c>
      <x:c r="F1424" t="n">
        <x:f>Dashboard_Live_Data!AC198</x:f>
        <x:v>2812.643021194951</x:v>
      </x:c>
      <x:c r="G1424" t="n">
        <x:f>Dashboard_Live_Data!AD198</x:f>
        <x:v>506.4000000000001</x:v>
      </x:c>
      <x:c r="H1424" t="n">
        <x:f>Dashboard_Live_Data!AE198</x:f>
        <x:v>2772.661294903491</x:v>
      </x:c>
    </x:row>
    <x:row r="1425">
      <x:c r="A1425" t="n">
        <x:f>Dashboard_Live_Data!X199</x:f>
        <x:v>38.519999999999996</x:v>
      </x:c>
      <x:c r="B1425" t="n">
        <x:f>Dashboard_Live_Data!Y199</x:f>
        <x:v>2678.9468219985</x:v>
      </x:c>
      <x:c r="C1425" t="n">
        <x:f>Dashboard_Live_Data!Z199</x:f>
        <x:v>256.79999999999995</x:v>
      </x:c>
      <x:c r="D1425" t="n">
        <x:f>Dashboard_Live_Data!AA199</x:f>
        <x:v>1236.442375381141</x:v>
      </x:c>
      <x:c r="E1425" t="n">
        <x:f>Dashboard_Live_Data!AB199</x:f>
        <x:v>513.5999999999999</x:v>
      </x:c>
      <x:c r="F1425" t="n">
        <x:f>Dashboard_Live_Data!AC199</x:f>
        <x:v>2886.745461194615</x:v>
      </x:c>
      <x:c r="G1425" t="n">
        <x:f>Dashboard_Live_Data!AD199</x:f>
        <x:v>513.5999999999999</x:v>
      </x:c>
      <x:c r="H1425" t="n">
        <x:f>Dashboard_Live_Data!AE199</x:f>
        <x:v>2847.5292645016348</x:v>
      </x:c>
    </x:row>
    <x:row r="1426">
      <x:c r="A1426" t="n">
        <x:f>Dashboard_Live_Data!X200</x:f>
        <x:v>39</x:v>
      </x:c>
      <x:c r="B1426" t="n">
        <x:f>Dashboard_Live_Data!Y200</x:f>
        <x:v>2679.2351279428963</x:v>
      </x:c>
      <x:c r="C1426" t="n">
        <x:f>Dashboard_Live_Data!Z200</x:f>
        <x:v>260</x:v>
      </x:c>
      <x:c r="D1426" t="n">
        <x:f>Dashboard_Live_Data!AA200</x:f>
        <x:v>1261.9553443495988</x:v>
      </x:c>
      <x:c r="E1426" t="n">
        <x:f>Dashboard_Live_Data!AB200</x:f>
        <x:v>520</x:v>
      </x:c>
      <x:c r="F1426" t="n">
        <x:f>Dashboard_Live_Data!AC200</x:f>
        <x:v>2953.4833326943153</x:v>
      </x:c>
      <x:c r="G1426" t="n">
        <x:f>Dashboard_Live_Data!AD200</x:f>
        <x:v>520</x:v>
      </x:c>
      <x:c r="H1426" t="n">
        <x:f>Dashboard_Live_Data!AE200</x:f>
        <x:v>2914.956679698929</x:v>
      </x:c>
    </x:row>
    <x:row r="1427">
      <x:c r="A1427" t="n">
        <x:f>Dashboard_Live_Data!X201</x:f>
        <x:v>39.47999999999999</x:v>
      </x:c>
      <x:c r="B1427" t="n">
        <x:f>Dashboard_Live_Data!Y201</x:f>
        <x:v>2679.5429217645637</x:v>
      </x:c>
      <x:c r="C1427" t="n">
        <x:f>Dashboard_Live_Data!Z201</x:f>
        <x:v>263.19999999999993</x:v>
      </x:c>
      <x:c r="D1427" t="n">
        <x:f>Dashboard_Live_Data!AA201</x:f>
        <x:v>1287.9071431225977</x:v>
      </x:c>
      <x:c r="E1427" t="n">
        <x:f>Dashboard_Live_Data!AB201</x:f>
        <x:v>526.3999999999999</x:v>
      </x:c>
      <x:c r="F1427" t="n">
        <x:f>Dashboard_Live_Data!AC201</x:f>
        <x:v>3020.547672175684</x:v>
      </x:c>
      <x:c r="G1427" t="n">
        <x:f>Dashboard_Live_Data!AD201</x:f>
        <x:v>526.3999999999999</x:v>
      </x:c>
      <x:c r="H1427" t="n">
        <x:f>Dashboard_Live_Data!AE201</x:f>
        <x:v>2982.719102118728</x:v>
      </x:c>
    </x:row>
    <x:row r="1428">
      <x:c r="A1428" t="n">
        <x:f>Dashboard_Live_Data!X202</x:f>
        <x:v>40.019999999999996</x:v>
      </x:c>
      <x:c r="B1428" t="n">
        <x:f>Dashboard_Live_Data!Y202</x:f>
        <x:v>2679.910579902679</x:v>
      </x:c>
      <x:c r="C1428" t="n">
        <x:f>Dashboard_Live_Data!Z202</x:f>
        <x:v>266.80000000000007</x:v>
      </x:c>
      <x:c r="D1428" t="n">
        <x:f>Dashboard_Live_Data!AA202</x:f>
        <x:v>1316.7488441310127</x:v>
      </x:c>
      <x:c r="E1428" t="n">
        <x:f>Dashboard_Live_Data!AB202</x:f>
        <x:v>533.6000000000001</x:v>
      </x:c>
      <x:c r="F1428" t="n">
        <x:f>Dashboard_Live_Data!AC202</x:f>
        <x:v>3097.7527678159954</x:v>
      </x:c>
      <x:c r="G1428" t="n">
        <x:f>Dashboard_Live_Data!AD202</x:f>
        <x:v>533.6000000000001</x:v>
      </x:c>
      <x:c r="H1428" t="n">
        <x:f>Dashboard_Live_Data!AE202</x:f>
        <x:v>3060.7197481260864</x:v>
      </x:c>
    </x:row>
    <x:row r="1429">
      <x:c r="A1429" t="n">
        <x:f>Dashboard_Live_Data!X203</x:f>
        <x:v>40.5</x:v>
      </x:c>
      <x:c r="B1429" t="n">
        <x:f>Dashboard_Live_Data!Y203</x:f>
        <x:v>2680.26988053738</x:v>
      </x:c>
      <x:c r="C1429" t="n">
        <x:f>Dashboard_Live_Data!Z203</x:f>
        <x:v>270</x:v>
      </x:c>
      <x:c r="D1429" t="n">
        <x:f>Dashboard_Live_Data!AA203</x:f>
        <x:v>1342.781784912361</x:v>
      </x:c>
      <x:c r="E1429" t="n">
        <x:f>Dashboard_Live_Data!AB203</x:f>
        <x:v>540</x:v>
      </x:c>
      <x:c r="F1429" t="n">
        <x:f>Dashboard_Live_Data!AC203</x:f>
        <x:v>3166.73583463882</x:v>
      </x:c>
      <x:c r="G1429" t="n">
        <x:f>Dashboard_Live_Data!AD203</x:f>
        <x:v>540</x:v>
      </x:c>
      <x:c r="H1429" t="n">
        <x:f>Dashboard_Live_Data!AE203</x:f>
        <x:v>3130.4190437741213</x:v>
      </x:c>
    </x:row>
    <x:row r="1430">
      <x:c r="A1430" t="n">
        <x:f>Dashboard_Live_Data!X204</x:f>
        <x:v>40.980000000000004</x:v>
      </x:c>
      <x:c r="B1430" t="n">
        <x:f>Dashboard_Live_Data!Y204</x:f>
        <x:v>2680.6154974151013</x:v>
      </x:c>
      <x:c r="C1430" t="n">
        <x:f>Dashboard_Live_Data!Z204</x:f>
        <x:v>273.20000000000005</x:v>
      </x:c>
      <x:c r="D1430" t="n">
        <x:f>Dashboard_Live_Data!AA204</x:f>
        <x:v>1369.0331480409086</x:v>
      </x:c>
      <x:c r="E1430" t="n">
        <x:f>Dashboard_Live_Data!AB204</x:f>
        <x:v>546.4000000000001</x:v>
      </x:c>
      <x:c r="F1430" t="n">
        <x:f>Dashboard_Live_Data!AC204</x:f>
        <x:v>3236.505927024445</x:v>
      </x:c>
      <x:c r="G1430" t="n">
        <x:f>Dashboard_Live_Data!AD204</x:f>
        <x:v>546.4000000000001</x:v>
      </x:c>
      <x:c r="H1430" t="n">
        <x:f>Dashboard_Live_Data!AE204</x:f>
        <x:v>3200.913904225793</x:v>
      </x:c>
    </x:row>
    <x:row r="1431">
      <x:c r="A1431" t="n">
        <x:f>Dashboard_Live_Data!X205</x:f>
        <x:v>41.519999999999996</x:v>
      </x:c>
      <x:c r="B1431" t="n">
        <x:f>Dashboard_Live_Data!Y205</x:f>
        <x:v>2681.0146298396603</x:v>
      </x:c>
      <x:c r="C1431" t="n">
        <x:f>Dashboard_Live_Data!Z205</x:f>
        <x:v>276.79999999999995</x:v>
      </x:c>
      <x:c r="D1431" t="n">
        <x:f>Dashboard_Live_Data!AA205</x:f>
        <x:v>1399.215260026979</x:v>
      </x:c>
      <x:c r="E1431" t="n">
        <x:f>Dashboard_Live_Data!AB205</x:f>
        <x:v>553.5999999999999</x:v>
      </x:c>
      <x:c r="F1431" t="n">
        <x:f>Dashboard_Live_Data!AC205</x:f>
        <x:v>3316.518811792082</x:v>
      </x:c>
      <x:c r="G1431" t="n">
        <x:f>Dashboard_Live_Data!AD205</x:f>
        <x:v>553.5999999999999</x:v>
      </x:c>
      <x:c r="H1431" t="n">
        <x:f>Dashboard_Live_Data!AE205</x:f>
        <x:v>3281.7523601290454</x:v>
      </x:c>
    </x:row>
    <x:row r="1432">
      <x:c r="A1432" t="n">
        <x:f>Dashboard_Live_Data!X206</x:f>
        <x:v>42</x:v>
      </x:c>
      <x:c r="B1432" t="n">
        <x:f>Dashboard_Live_Data!Y206</x:f>
        <x:v>2681.3581731791746</x:v>
      </x:c>
      <x:c r="C1432" t="n">
        <x:f>Dashboard_Live_Data!Z206</x:f>
        <x:v>280</x:v>
      </x:c>
      <x:c r="D1432" t="n">
        <x:f>Dashboard_Live_Data!AA206</x:f>
        <x:v>1426.519680102296</x:v>
      </x:c>
      <x:c r="E1432" t="n">
        <x:f>Dashboard_Live_Data!AB206</x:f>
        <x:v>560</x:v>
      </x:c>
      <x:c r="F1432" t="n">
        <x:f>Dashboard_Live_Data!AC206</x:f>
        <x:v>3387.654474031865</x:v>
      </x:c>
      <x:c r="G1432" t="n">
        <x:f>Dashboard_Live_Data!AD206</x:f>
        <x:v>560</x:v>
      </x:c>
      <x:c r="H1432" t="n">
        <x:f>Dashboard_Live_Data!AE206</x:f>
        <x:v>3353.6309363216533</x:v>
      </x:c>
    </x:row>
    <x:row r="1433">
      <x:c r="A1433" t="n">
        <x:f>Dashboard_Live_Data!X207</x:f>
        <x:v>42.480000000000004</x:v>
      </x:c>
      <x:c r="B1433" t="n">
        <x:f>Dashboard_Live_Data!Y207</x:f>
        <x:v>2681.7323374639054</x:v>
      </x:c>
      <x:c r="C1433" t="n">
        <x:f>Dashboard_Live_Data!Z207</x:f>
        <x:v>283.19999999999993</x:v>
      </x:c>
      <x:c r="D1433" t="n">
        <x:f>Dashboard_Live_Data!AA207</x:f>
        <x:v>1454.3031298706867</x:v>
      </x:c>
      <x:c r="E1433" t="n">
        <x:f>Dashboard_Live_Data!AB207</x:f>
        <x:v>566.3999999999999</x:v>
      </x:c>
      <x:c r="F1433" t="n">
        <x:f>Dashboard_Live_Data!AC207</x:f>
        <x:v>3460.2015967853595</x:v>
      </x:c>
      <x:c r="G1433" t="n">
        <x:f>Dashboard_Live_Data!AD207</x:f>
        <x:v>566.3999999999999</x:v>
      </x:c>
      <x:c r="H1433" t="n">
        <x:f>Dashboard_Live_Data!AE207</x:f>
        <x:v>3426.929512268811</x:v>
      </x:c>
    </x:row>
    <x:row r="1434">
      <x:c r="A1434" t="n">
        <x:f>Dashboard_Live_Data!X208</x:f>
        <x:v>43.02000000000001</x:v>
      </x:c>
      <x:c r="B1434" t="n">
        <x:f>Dashboard_Live_Data!Y208</x:f>
        <x:v>2682.021911892592</x:v>
      </x:c>
      <x:c r="C1434" t="n">
        <x:f>Dashboard_Live_Data!Z208</x:f>
        <x:v>286.80000000000007</x:v>
      </x:c>
      <x:c r="D1434" t="n">
        <x:f>Dashboard_Live_Data!AA208</x:f>
        <x:v>1485.1953185400328</x:v>
      </x:c>
      <x:c r="E1434" t="n">
        <x:f>Dashboard_Live_Data!AB208</x:f>
        <x:v>573.6000000000001</x:v>
      </x:c>
      <x:c r="F1434" t="n">
        <x:f>Dashboard_Live_Data!AC208</x:f>
        <x:v>3542.824705902011</x:v>
      </x:c>
      <x:c r="G1434" t="n">
        <x:f>Dashboard_Live_Data!AD208</x:f>
        <x:v>573.6000000000001</x:v>
      </x:c>
      <x:c r="H1434" t="n">
        <x:f>Dashboard_Live_Data!AE208</x:f>
        <x:v>3510.4082132896456</x:v>
      </x:c>
    </x:row>
    <x:row r="1435">
      <x:c r="A1435" t="n">
        <x:f>Dashboard_Live_Data!X209</x:f>
        <x:v>43.5</x:v>
      </x:c>
      <x:c r="B1435" t="n">
        <x:f>Dashboard_Live_Data!Y209</x:f>
        <x:v>2682.402217414478</x:v>
      </x:c>
      <x:c r="C1435" t="n">
        <x:f>Dashboard_Live_Data!Z209</x:f>
        <x:v>290</x:v>
      </x:c>
      <x:c r="D1435" t="n">
        <x:f>Dashboard_Live_Data!AA209</x:f>
        <x:v>1512.9108568074805</x:v>
      </x:c>
      <x:c r="E1435" t="n">
        <x:f>Dashboard_Live_Data!AB209</x:f>
        <x:v>580</x:v>
      </x:c>
      <x:c r="F1435" t="n">
        <x:f>Dashboard_Live_Data!AC209</x:f>
        <x:v>3616.803052164902</x:v>
      </x:c>
      <x:c r="G1435" t="n">
        <x:f>Dashboard_Live_Data!AD209</x:f>
        <x:v>580</x:v>
      </x:c>
      <x:c r="H1435" t="n">
        <x:f>Dashboard_Live_Data!AE209</x:f>
        <x:v>3585.1561586329767</x:v>
      </x:c>
    </x:row>
    <x:row r="1436">
      <x:c r="A1436" t="n">
        <x:f>Dashboard_Live_Data!X210</x:f>
        <x:v>43.980000000000004</x:v>
      </x:c>
      <x:c r="B1436" t="n">
        <x:f>Dashboard_Live_Data!Y210</x:f>
        <x:v>2682.7748799157594</x:v>
      </x:c>
      <x:c r="C1436" t="n">
        <x:f>Dashboard_Live_Data!Z210</x:f>
        <x:v>293.20000000000005</x:v>
      </x:c>
      <x:c r="D1436" t="n">
        <x:f>Dashboard_Live_Data!AA210</x:f>
        <x:v>1541.4540654481948</x:v>
      </x:c>
      <x:c r="E1436" t="n">
        <x:f>Dashboard_Live_Data!AB210</x:f>
        <x:v>586.4000000000001</x:v>
      </x:c>
      <x:c r="F1436" t="n">
        <x:f>Dashboard_Live_Data!AC210</x:f>
        <x:v>3692.183049402466</x:v>
      </x:c>
      <x:c r="G1436" t="n">
        <x:f>Dashboard_Live_Data!AD210</x:f>
        <x:v>586.4000000000001</x:v>
      </x:c>
      <x:c r="H1436" t="n">
        <x:f>Dashboard_Live_Data!AE210</x:f>
        <x:v>3661.3142941918195</x:v>
      </x:c>
    </x:row>
    <x:row r="1437">
      <x:c r="A1437" t="n">
        <x:f>Dashboard_Live_Data!X211</x:f>
        <x:v>44.519999999999996</x:v>
      </x:c>
      <x:c r="B1437" t="n">
        <x:f>Dashboard_Live_Data!Y211</x:f>
        <x:v>2683.2285243627853</x:v>
      </x:c>
      <x:c r="C1437" t="n">
        <x:f>Dashboard_Live_Data!Z211</x:f>
        <x:v>296.79999999999995</x:v>
      </x:c>
      <x:c r="D1437" t="n">
        <x:f>Dashboard_Live_Data!AA211</x:f>
        <x:v>1574.197633849197</x:v>
      </x:c>
      <x:c r="E1437" t="n">
        <x:f>Dashboard_Live_Data!AB211</x:f>
        <x:v>593.5999999999999</x:v>
      </x:c>
      <x:c r="F1437" t="n">
        <x:f>Dashboard_Live_Data!AC211</x:f>
        <x:v>3777.6203108286313</x:v>
      </x:c>
      <x:c r="G1437" t="n">
        <x:f>Dashboard_Live_Data!AD211</x:f>
        <x:v>593.5999999999999</x:v>
      </x:c>
      <x:c r="H1437" t="n">
        <x:f>Dashboard_Live_Data!AE211</x:f>
        <x:v>3747.6371682907366</x:v>
      </x:c>
    </x:row>
    <x:row r="1438">
      <x:c r="A1438" t="n">
        <x:f>Dashboard_Live_Data!X212</x:f>
        <x:v>45</x:v>
      </x:c>
      <x:c r="B1438" t="n">
        <x:f>Dashboard_Live_Data!Y212</x:f>
        <x:v>2683.554809160464</x:v>
      </x:c>
      <x:c r="C1438" t="n">
        <x:f>Dashboard_Live_Data!Z212</x:f>
        <x:v>300</x:v>
      </x:c>
      <x:c r="D1438" t="n">
        <x:f>Dashboard_Live_Data!AA212</x:f>
        <x:v>1603.1443212159713</x:v>
      </x:c>
      <x:c r="E1438" t="n">
        <x:f>Dashboard_Live_Data!AB212</x:f>
        <x:v>600</x:v>
      </x:c>
      <x:c r="F1438" t="n">
        <x:f>Dashboard_Live_Data!AC212</x:f>
        <x:v>3854.309398143715</x:v>
      </x:c>
      <x:c r="G1438" t="n">
        <x:f>Dashboard_Live_Data!AD212</x:f>
        <x:v>600</x:v>
      </x:c>
      <x:c r="H1438" t="n">
        <x:f>Dashboard_Live_Data!AE212</x:f>
        <x:v>3825.1225398138768</x:v>
      </x:c>
    </x:row>
    <x:row r="1439">
      <x:c r="A1439" t="n">
        <x:f>Dashboard_Live_Data!X213</x:f>
        <x:v>45.480000000000004</x:v>
      </x:c>
      <x:c r="B1439" t="n">
        <x:f>Dashboard_Live_Data!Y213</x:f>
        <x:v>2683.8975540425167</x:v>
      </x:c>
      <x:c r="C1439" t="n">
        <x:f>Dashboard_Live_Data!Z213</x:f>
        <x:v>303.20000000000005</x:v>
      </x:c>
      <x:c r="D1439" t="n">
        <x:f>Dashboard_Live_Data!AA213</x:f>
        <x:v>1632.5427234407928</x:v>
      </x:c>
      <x:c r="E1439" t="n">
        <x:f>Dashboard_Live_Data!AB213</x:f>
        <x:v>606.4000000000001</x:v>
      </x:c>
      <x:c r="F1439" t="n">
        <x:f>Dashboard_Live_Data!AC213</x:f>
        <x:v>3932.4165893514773</x:v>
      </x:c>
      <x:c r="G1439" t="n">
        <x:f>Dashboard_Live_Data!AD213</x:f>
        <x:v>606.4000000000001</x:v>
      </x:c>
      <x:c r="H1439" t="n">
        <x:f>Dashboard_Live_Data!AE213</x:f>
        <x:v>3904.0345544705324</x:v>
      </x:c>
    </x:row>
    <x:row r="1440">
      <x:c r="A1440" t="n">
        <x:f>Dashboard_Live_Data!X214</x:f>
        <x:v>46.019999999999996</x:v>
      </x:c>
      <x:c r="B1440" t="n">
        <x:f>Dashboard_Live_Data!Y214</x:f>
        <x:v>2684.276394237561</x:v>
      </x:c>
      <x:c r="C1440" t="n">
        <x:f>Dashboard_Live_Data!Z214</x:f>
        <x:v>306.79999999999995</x:v>
      </x:c>
      <x:c r="D1440" t="n">
        <x:f>Dashboard_Live_Data!AA214</x:f>
        <x:v>1665.8157365634884</x:v>
      </x:c>
      <x:c r="E1440" t="n">
        <x:f>Dashboard_Live_Data!AB214</x:f>
        <x:v>613.5999999999999</x:v>
      </x:c>
      <x:c r="F1440" t="n">
        <x:f>Dashboard_Live_Data!AC214</x:f>
        <x:v>4020.5820211383852</x:v>
      </x:c>
      <x:c r="G1440" t="n">
        <x:f>Dashboard_Live_Data!AD214</x:f>
        <x:v>613.5999999999999</x:v>
      </x:c>
      <x:c r="H1440" t="n">
        <x:f>Dashboard_Live_Data!AE214</x:f>
        <x:v>3993.1156196987613</x:v>
      </x:c>
    </x:row>
    <x:row r="1441">
      <x:c r="A1441" t="n">
        <x:f>Dashboard_Live_Data!X215</x:f>
        <x:v>46.5</x:v>
      </x:c>
      <x:c r="B1441" t="n">
        <x:f>Dashboard_Live_Data!Y215</x:f>
        <x:v>2684.622731679297</x:v>
      </x:c>
      <x:c r="C1441" t="n">
        <x:f>Dashboard_Live_Data!Z215</x:f>
        <x:v>310</x:v>
      </x:c>
      <x:c r="D1441" t="n">
        <x:f>Dashboard_Live_Data!AA215</x:f>
        <x:v>1695.927154650577</x:v>
      </x:c>
      <x:c r="E1441" t="n">
        <x:f>Dashboard_Live_Data!AB215</x:f>
        <x:v>620</x:v>
      </x:c>
      <x:c r="F1441" t="n">
        <x:f>Dashboard_Live_Data!AC215</x:f>
        <x:v>4100.086231470472</x:v>
      </x:c>
      <x:c r="G1441" t="n">
        <x:f>Dashboard_Live_Data!AD215</x:f>
        <x:v>620</x:v>
      </x:c>
      <x:c r="H1441" t="n">
        <x:f>Dashboard_Live_Data!AE215</x:f>
        <x:v>4073.442799366519</x:v>
      </x:c>
    </x:row>
    <x:row r="1442">
      <x:c r="A1442" t="n">
        <x:f>Dashboard_Live_Data!X216</x:f>
        <x:v>46.97999999999999</x:v>
      </x:c>
      <x:c r="B1442" t="n">
        <x:f>Dashboard_Live_Data!Y216</x:f>
        <x:v>2684.9589026777235</x:v>
      </x:c>
      <x:c r="C1442" t="n">
        <x:f>Dashboard_Live_Data!Z216</x:f>
        <x:v>313.19999999999993</x:v>
      </x:c>
      <x:c r="D1442" t="n">
        <x:f>Dashboard_Live_Data!AA216</x:f>
        <x:v>1726.1480175819895</x:v>
      </x:c>
      <x:c r="E1442" t="n">
        <x:f>Dashboard_Live_Data!AB216</x:f>
        <x:v>626.3999999999999</x:v>
      </x:c>
      <x:c r="F1442" t="n">
        <x:f>Dashboard_Live_Data!AC216</x:f>
        <x:v>4180.5724957116945</x:v>
      </x:c>
      <x:c r="G1442" t="n">
        <x:f>Dashboard_Live_Data!AD216</x:f>
        <x:v>626.3999999999999</x:v>
      </x:c>
      <x:c r="H1442" t="n">
        <x:f>Dashboard_Live_Data!AE216</x:f>
        <x:v>4154.760572184252</x:v>
      </x:c>
    </x:row>
    <x:row r="1443">
      <x:c r="A1443" t="n">
        <x:f>Dashboard_Live_Data!X217</x:f>
        <x:v>47.519999999999996</x:v>
      </x:c>
      <x:c r="B1443" t="n">
        <x:f>Dashboard_Live_Data!Y217</x:f>
        <x:v>2685.301857395654</x:v>
      </x:c>
      <x:c r="C1443" t="n">
        <x:f>Dashboard_Live_Data!Z217</x:f>
        <x:v>316.80000000000007</x:v>
      </x:c>
      <x:c r="D1443" t="n">
        <x:f>Dashboard_Live_Data!AA217</x:f>
        <x:v>1760.895237815327</x:v>
      </x:c>
      <x:c r="E1443" t="n">
        <x:f>Dashboard_Live_Data!AB217</x:f>
        <x:v>633.6000000000001</x:v>
      </x:c>
      <x:c r="F1443" t="n">
        <x:f>Dashboard_Live_Data!AC217</x:f>
        <x:v>4271.258134863096</x:v>
      </x:c>
      <x:c r="G1443" t="n">
        <x:f>Dashboard_Live_Data!AD217</x:f>
        <x:v>633.6000000000001</x:v>
      </x:c>
      <x:c r="H1443" t="n">
        <x:f>Dashboard_Live_Data!AE217</x:f>
        <x:v>4246.391865545539</x:v>
      </x:c>
    </x:row>
    <x:row r="1444">
      <x:c r="A1444" t="n">
        <x:f>Dashboard_Live_Data!X218</x:f>
        <x:v>48</x:v>
      </x:c>
      <x:c r="B1444" t="n">
        <x:f>Dashboard_Live_Data!Y218</x:f>
        <x:v>2685.651797916337</x:v>
      </x:c>
      <x:c r="C1444" t="n">
        <x:f>Dashboard_Live_Data!Z218</x:f>
        <x:v>320</x:v>
      </x:c>
      <x:c r="D1444" t="n">
        <x:f>Dashboard_Live_Data!AA218</x:f>
        <x:v>1792.1092244281058</x:v>
      </x:c>
      <x:c r="E1444" t="n">
        <x:f>Dashboard_Live_Data!AB218</x:f>
        <x:v>640</x:v>
      </x:c>
      <x:c r="F1444" t="n">
        <x:f>Dashboard_Live_Data!AC218</x:f>
        <x:v>4353.623915424463</x:v>
      </x:c>
      <x:c r="G1444" t="n">
        <x:f>Dashboard_Live_Data!AD218</x:f>
        <x:v>640</x:v>
      </x:c>
      <x:c r="H1444" t="n">
        <x:f>Dashboard_Live_Data!AE218</x:f>
        <x:v>4329.607300570196</x:v>
      </x:c>
    </x:row>
    <x:row r="1445">
      <x:c r="A1445" t="n">
        <x:f>Dashboard_Live_Data!X219</x:f>
        <x:v>48.480000000000004</x:v>
      </x:c>
      <x:c r="B1445" t="n">
        <x:f>Dashboard_Live_Data!Y219</x:f>
        <x:v>2686.01283805853</x:v>
      </x:c>
      <x:c r="C1445" t="n">
        <x:f>Dashboard_Live_Data!Z219</x:f>
        <x:v>323.20000000000005</x:v>
      </x:c>
      <x:c r="D1445" t="n">
        <x:f>Dashboard_Live_Data!AA219</x:f>
        <x:v>1823.4048538981938</x:v>
      </x:c>
      <x:c r="E1445" t="n">
        <x:f>Dashboard_Live_Data!AB219</x:f>
        <x:v>646.4000000000001</x:v>
      </x:c>
      <x:c r="F1445" t="n">
        <x:f>Dashboard_Live_Data!AC219</x:f>
        <x:v>4436.5284317048545</x:v>
      </x:c>
      <x:c r="G1445" t="n">
        <x:f>Dashboard_Live_Data!AD219</x:f>
        <x:v>646.4000000000001</x:v>
      </x:c>
      <x:c r="H1445" t="n">
        <x:f>Dashboard_Live_Data!AE219</x:f>
        <x:v>4413.370010554714</x:v>
      </x:c>
    </x:row>
    <x:row r="1446">
      <x:c r="A1446" t="n">
        <x:f>Dashboard_Live_Data!X220</x:f>
        <x:v>49.019999999999996</x:v>
      </x:c>
      <x:c r="B1446" t="n">
        <x:f>Dashboard_Live_Data!Y220</x:f>
        <x:v>2686.262030614748</x:v>
      </x:c>
      <x:c r="C1446" t="n">
        <x:f>Dashboard_Live_Data!Z220</x:f>
        <x:v>326.79999999999995</x:v>
      </x:c>
      <x:c r="D1446" t="n">
        <x:f>Dashboard_Live_Data!AA220</x:f>
        <x:v>1858.7218553095</x:v>
      </x:c>
      <x:c r="E1446" t="n">
        <x:f>Dashboard_Live_Data!AB220</x:f>
        <x:v>653.5999999999999</x:v>
      </x:c>
      <x:c r="F1446" t="n">
        <x:f>Dashboard_Live_Data!AC220</x:f>
        <x:v>4530.328279283201</x:v>
      </x:c>
      <x:c r="G1446" t="n">
        <x:f>Dashboard_Live_Data!AD220</x:f>
        <x:v>653.5999999999999</x:v>
      </x:c>
      <x:c r="H1446" t="n">
        <x:f>Dashboard_Live_Data!AE220</x:f>
        <x:v>4508.145533111515</x:v>
      </x:c>
    </x:row>
    <x:row r="1447">
      <x:c r="A1447" t="n">
        <x:f>Dashboard_Live_Data!X221</x:f>
        <x:v>49.5</x:v>
      </x:c>
      <x:c r="B1447" t="n">
        <x:f>Dashboard_Live_Data!Y221</x:f>
        <x:v>2686.6904699144197</x:v>
      </x:c>
      <x:c r="C1447" t="n">
        <x:f>Dashboard_Live_Data!Z221</x:f>
        <x:v>330</x:v>
      </x:c>
      <x:c r="D1447" t="n">
        <x:f>Dashboard_Live_Data!AA221</x:f>
        <x:v>1890.6387614596908</x:v>
      </x:c>
      <x:c r="E1447" t="n">
        <x:f>Dashboard_Live_Data!AB221</x:f>
        <x:v>660</x:v>
      </x:c>
      <x:c r="F1447" t="n">
        <x:f>Dashboard_Live_Data!AC221</x:f>
        <x:v>4615.42940669502</x:v>
      </x:c>
      <x:c r="G1447" t="n">
        <x:f>Dashboard_Live_Data!AD221</x:f>
        <x:v>660</x:v>
      </x:c>
      <x:c r="H1447" t="n">
        <x:f>Dashboard_Live_Data!AE221</x:f>
        <x:v>4594.123000114238</x:v>
      </x:c>
    </x:row>
    <x:row r="1448">
      <x:c r="A1448" t="n">
        <x:f>Dashboard_Live_Data!X222</x:f>
        <x:v>49.980000000000004</x:v>
      </x:c>
      <x:c r="B1448" t="n">
        <x:f>Dashboard_Live_Data!Y222</x:f>
        <x:v>2687.075837528585</x:v>
      </x:c>
      <x:c r="C1448" t="n">
        <x:f>Dashboard_Live_Data!Z222</x:f>
        <x:v>333.19999999999993</x:v>
      </x:c>
      <x:c r="D1448" t="n">
        <x:f>Dashboard_Live_Data!AA222</x:f>
        <x:v>1923.1125076645908</x:v>
      </x:c>
      <x:c r="E1448" t="n">
        <x:f>Dashboard_Live_Data!AB222</x:f>
        <x:v>666.3999999999999</x:v>
      </x:c>
      <x:c r="F1448" t="n">
        <x:f>Dashboard_Live_Data!AC222</x:f>
        <x:v>4700.403112212438</x:v>
      </x:c>
      <x:c r="G1448" t="n">
        <x:f>Dashboard_Live_Data!AD222</x:f>
        <x:v>666.3999999999999</x:v>
      </x:c>
      <x:c r="H1448" t="n">
        <x:f>Dashboard_Live_Data!AE222</x:f>
        <x:v>4679.981584463398</x:v>
      </x:c>
    </x:row>
    <x:row r="1449">
      <x:c r="A1449" t="n">
        <x:f>Dashboard_Live_Data!X223</x:f>
        <x:v>50.52000000000001</x:v>
      </x:c>
      <x:c r="B1449" t="n">
        <x:f>Dashboard_Live_Data!Y223</x:f>
        <x:v>2687.5172186847417</x:v>
      </x:c>
      <x:c r="C1449" t="n">
        <x:f>Dashboard_Live_Data!Z223</x:f>
        <x:v>336.80000000000007</x:v>
      </x:c>
      <x:c r="D1449" t="n">
        <x:f>Dashboard_Live_Data!AA223</x:f>
        <x:v>1960.0763885223253</x:v>
      </x:c>
      <x:c r="E1449" t="n">
        <x:f>Dashboard_Live_Data!AB223</x:f>
        <x:v>673.6000000000001</x:v>
      </x:c>
      <x:c r="F1449" t="n">
        <x:f>Dashboard_Live_Data!AC223</x:f>
        <x:v>4797.536735471792</x:v>
      </x:c>
      <x:c r="G1449" t="n">
        <x:f>Dashboard_Live_Data!AD223</x:f>
        <x:v>673.6000000000001</x:v>
      </x:c>
      <x:c r="H1449" t="n">
        <x:f>Dashboard_Live_Data!AE223</x:f>
        <x:v>4778.120903469774</x:v>
      </x:c>
    </x:row>
    <x:row r="1450">
      <x:c r="A1450" t="n">
        <x:f>Dashboard_Live_Data!X224</x:f>
        <x:v>51</x:v>
      </x:c>
      <x:c r="B1450" t="n">
        <x:f>Dashboard_Live_Data!Y224</x:f>
        <x:v>2687.715878177705</x:v>
      </x:c>
      <x:c r="C1450" t="n">
        <x:f>Dashboard_Live_Data!Z224</x:f>
        <x:v>340</x:v>
      </x:c>
      <x:c r="D1450" t="n">
        <x:f>Dashboard_Live_Data!AA224</x:f>
        <x:v>1992.8224473858172</x:v>
      </x:c>
      <x:c r="E1450" t="n">
        <x:f>Dashboard_Live_Data!AB224</x:f>
        <x:v>680</x:v>
      </x:c>
      <x:c r="F1450" t="n">
        <x:f>Dashboard_Live_Data!AC224</x:f>
        <x:v>4885.016887178555</x:v>
      </x:c>
      <x:c r="G1450" t="n">
        <x:f>Dashboard_Live_Data!AD224</x:f>
        <x:v>680</x:v>
      </x:c>
      <x:c r="H1450" t="n">
        <x:f>Dashboard_Live_Data!AE224</x:f>
        <x:v>4866.504079895057</x:v>
      </x:c>
    </x:row>
    <x:row r="1451">
      <x:c r="A1451" t="n">
        <x:f>Dashboard_Live_Data!X225</x:f>
        <x:v>51.480000000000004</x:v>
      </x:c>
      <x:c r="B1451" t="n">
        <x:f>Dashboard_Live_Data!Y225</x:f>
        <x:v>2688.2272914906207</x:v>
      </x:c>
      <x:c r="C1451" t="n">
        <x:f>Dashboard_Live_Data!Z225</x:f>
        <x:v>343.20000000000005</x:v>
      </x:c>
      <x:c r="D1451" t="n">
        <x:f>Dashboard_Live_Data!AA225</x:f>
        <x:v>2025.9670355035464</x:v>
      </x:c>
      <x:c r="E1451" t="n">
        <x:f>Dashboard_Live_Data!AB225</x:f>
        <x:v>686.4000000000001</x:v>
      </x:c>
      <x:c r="F1451" t="n">
        <x:f>Dashboard_Live_Data!AC225</x:f>
        <x:v>4972.44186832919</x:v>
      </x:c>
      <x:c r="G1451" t="n">
        <x:f>Dashboard_Live_Data!AD225</x:f>
        <x:v>686.4000000000001</x:v>
      </x:c>
      <x:c r="H1451" t="n">
        <x:f>Dashboard_Live_Data!AE225</x:f>
        <x:v>4954.840625005049</x:v>
      </x:c>
    </x:row>
    <x:row r="1452">
      <x:c r="A1452" t="n">
        <x:f>Dashboard_Live_Data!X226</x:f>
        <x:v>52.019999999999996</x:v>
      </x:c>
      <x:c r="B1452" t="n">
        <x:f>Dashboard_Live_Data!Y226</x:f>
        <x:v>2688.510682041781</x:v>
      </x:c>
      <x:c r="C1452" t="n">
        <x:f>Dashboard_Live_Data!Z226</x:f>
        <x:v>346.79999999999995</x:v>
      </x:c>
      <x:c r="D1452" t="n">
        <x:f>Dashboard_Live_Data!AA226</x:f>
        <x:v>2063.5225689138206</x:v>
      </x:c>
      <x:c r="E1452" t="n">
        <x:f>Dashboard_Live_Data!AB226</x:f>
        <x:v>693.5999999999999</x:v>
      </x:c>
      <x:c r="F1452" t="n">
        <x:f>Dashboard_Live_Data!AC226</x:f>
        <x:v>5072.57993171736</x:v>
      </x:c>
      <x:c r="G1452" t="n">
        <x:f>Dashboard_Live_Data!AD226</x:f>
        <x:v>693.5999999999999</x:v>
      </x:c>
      <x:c r="H1452" t="n">
        <x:f>Dashboard_Live_Data!AE226</x:f>
        <x:v>5056.014404908809</x:v>
      </x:c>
    </x:row>
    <x:row r="1453">
      <x:c r="A1453" t="n">
        <x:f>Dashboard_Live_Data!X227</x:f>
        <x:v>52.5</x:v>
      </x:c>
      <x:c r="B1453" t="n">
        <x:f>Dashboard_Live_Data!Y227</x:f>
        <x:v>2688.8996096964393</x:v>
      </x:c>
      <x:c r="C1453" t="n">
        <x:f>Dashboard_Live_Data!Z227</x:f>
        <x:v>350</x:v>
      </x:c>
      <x:c r="D1453" t="n">
        <x:f>Dashboard_Live_Data!AA227</x:f>
        <x:v>2097.3953409322794</x:v>
      </x:c>
      <x:c r="E1453" t="n">
        <x:f>Dashboard_Live_Data!AB227</x:f>
        <x:v>700</x:v>
      </x:c>
      <x:c r="F1453" t="n">
        <x:f>Dashboard_Live_Data!AC227</x:f>
        <x:v>5162.294064360414</x:v>
      </x:c>
      <x:c r="G1453" t="n">
        <x:f>Dashboard_Live_Data!AD227</x:f>
        <x:v>700</x:v>
      </x:c>
      <x:c r="H1453" t="n">
        <x:f>Dashboard_Live_Data!AE227</x:f>
        <x:v>5146.658247398001</x:v>
      </x:c>
    </x:row>
    <x:row r="1454">
      <x:c r="A1454" t="n">
        <x:f>Dashboard_Live_Data!X228</x:f>
        <x:v>52.980000000000004</x:v>
      </x:c>
      <x:c r="B1454" t="n">
        <x:f>Dashboard_Live_Data!Y228</x:f>
        <x:v>2689.409650581394</x:v>
      </x:c>
      <x:c r="C1454" t="n">
        <x:f>Dashboard_Live_Data!Z228</x:f>
        <x:v>353.20000000000005</x:v>
      </x:c>
      <x:c r="D1454" t="n">
        <x:f>Dashboard_Live_Data!AA228</x:f>
        <x:v>2131.89699340424</x:v>
      </x:c>
      <x:c r="E1454" t="n">
        <x:f>Dashboard_Live_Data!AB228</x:f>
        <x:v>706.4000000000001</x:v>
      </x:c>
      <x:c r="F1454" t="n">
        <x:f>Dashboard_Live_Data!AC228</x:f>
        <x:v>5252.466158272303</x:v>
      </x:c>
      <x:c r="G1454" t="n">
        <x:f>Dashboard_Live_Data!AD228</x:f>
        <x:v>706.4000000000001</x:v>
      </x:c>
      <x:c r="H1454" t="n">
        <x:f>Dashboard_Live_Data!AE228</x:f>
        <x:v>5237.768590396864</x:v>
      </x:c>
    </x:row>
    <x:row r="1455">
      <x:c r="A1455" t="n">
        <x:f>Dashboard_Live_Data!X229</x:f>
        <x:v>53.519999999999996</x:v>
      </x:c>
      <x:c r="B1455" t="n">
        <x:f>Dashboard_Live_Data!Y229</x:f>
        <x:v>2689.777555100149</x:v>
      </x:c>
      <x:c r="C1455" t="n">
        <x:f>Dashboard_Live_Data!Z229</x:f>
        <x:v>356.79999999999995</x:v>
      </x:c>
      <x:c r="D1455" t="n">
        <x:f>Dashboard_Live_Data!AA229</x:f>
        <x:v>2170.966183340772</x:v>
      </x:c>
      <x:c r="E1455" t="n">
        <x:f>Dashboard_Live_Data!AB229</x:f>
        <x:v>713.5999999999999</x:v>
      </x:c>
      <x:c r="F1455" t="n">
        <x:f>Dashboard_Live_Data!AC229</x:f>
        <x:v>5355.548700407056</x:v>
      </x:c>
      <x:c r="G1455" t="n">
        <x:f>Dashboard_Live_Data!AD229</x:f>
        <x:v>713.5999999999999</x:v>
      </x:c>
      <x:c r="H1455" t="n">
        <x:f>Dashboard_Live_Data!AE229</x:f>
        <x:v>5341.916869815773</x:v>
      </x:c>
    </x:row>
    <x:row r="1456">
      <x:c r="A1456" t="n">
        <x:f>Dashboard_Live_Data!X230</x:f>
        <x:v>54</x:v>
      </x:c>
      <x:c r="B1456" t="n">
        <x:f>Dashboard_Live_Data!Y230</x:f>
        <x:v>2690.180103448934</x:v>
      </x:c>
      <x:c r="C1456" t="n">
        <x:f>Dashboard_Live_Data!Z230</x:f>
        <x:v>360</x:v>
      </x:c>
      <x:c r="D1456" t="n">
        <x:f>Dashboard_Live_Data!AA230</x:f>
        <x:v>2205.507336392368</x:v>
      </x:c>
      <x:c r="E1456" t="n">
        <x:f>Dashboard_Live_Data!AB230</x:f>
        <x:v>720</x:v>
      </x:c>
      <x:c r="F1456" t="n">
        <x:f>Dashboard_Live_Data!AC230</x:f>
        <x:v>5447.708509483362</x:v>
      </x:c>
      <x:c r="G1456" t="n">
        <x:f>Dashboard_Live_Data!AD230</x:f>
        <x:v>720</x:v>
      </x:c>
      <x:c r="H1456" t="n">
        <x:f>Dashboard_Live_Data!AE230</x:f>
        <x:v>5435.033073865831</x:v>
      </x:c>
    </x:row>
    <x:row r="1457">
      <x:c r="A1457" t="n">
        <x:f>Dashboard_Live_Data!X231</x:f>
        <x:v>54.47999999999999</x:v>
      </x:c>
      <x:c r="B1457" t="n">
        <x:f>Dashboard_Live_Data!Y231</x:f>
        <x:v>2690.433626931135</x:v>
      </x:c>
      <x:c r="C1457" t="n">
        <x:f>Dashboard_Live_Data!Z231</x:f>
        <x:v>363.19999999999993</x:v>
      </x:c>
      <x:c r="D1457" t="n">
        <x:f>Dashboard_Live_Data!AA231</x:f>
        <x:v>2240.251431145491</x:v>
      </x:c>
      <x:c r="E1457" t="n">
        <x:f>Dashboard_Live_Data!AB231</x:f>
        <x:v>726.3999999999999</x:v>
      </x:c>
      <x:c r="F1457" t="n">
        <x:f>Dashboard_Live_Data!AC231</x:f>
        <x:v>5540.683579849159</x:v>
      </x:c>
      <x:c r="G1457" t="n">
        <x:f>Dashboard_Live_Data!AD231</x:f>
        <x:v>726.3999999999999</x:v>
      </x:c>
      <x:c r="H1457" t="n">
        <x:f>Dashboard_Live_Data!AE231</x:f>
        <x:v>5528.973078446219</x:v>
      </x:c>
    </x:row>
    <x:row r="1458">
      <x:c r="A1458" t="n">
        <x:f>Dashboard_Live_Data!X232</x:f>
        <x:v>55.019999999999996</x:v>
      </x:c>
      <x:c r="B1458" t="n">
        <x:f>Dashboard_Live_Data!Y232</x:f>
        <x:v>2690.9276507302575</x:v>
      </x:c>
      <x:c r="C1458" t="n">
        <x:f>Dashboard_Live_Data!Z232</x:f>
        <x:v>366.80000000000007</x:v>
      </x:c>
      <x:c r="D1458" t="n">
        <x:f>Dashboard_Live_Data!AA232</x:f>
        <x:v>2280.414448325589</x:v>
      </x:c>
      <x:c r="E1458" t="n">
        <x:f>Dashboard_Live_Data!AB232</x:f>
        <x:v>733.6000000000001</x:v>
      </x:c>
      <x:c r="F1458" t="n">
        <x:f>Dashboard_Live_Data!AC232</x:f>
        <x:v>5646.961536636373</x:v>
      </x:c>
      <x:c r="G1458" t="n">
        <x:f>Dashboard_Live_Data!AD232</x:f>
        <x:v>733.6000000000001</x:v>
      </x:c>
      <x:c r="H1458" t="n">
        <x:f>Dashboard_Live_Data!AE232</x:f>
        <x:v>5636.346793286159</x:v>
      </x:c>
    </x:row>
    <x:row r="1459">
      <x:c r="A1459" t="n">
        <x:f>Dashboard_Live_Data!X233</x:f>
        <x:v>55.5</x:v>
      </x:c>
      <x:c r="B1459" t="n">
        <x:f>Dashboard_Live_Data!Y233</x:f>
        <x:v>2691.388841371587</x:v>
      </x:c>
      <x:c r="C1459" t="n">
        <x:f>Dashboard_Live_Data!Z233</x:f>
        <x:v>370</x:v>
      </x:c>
      <x:c r="D1459" t="n">
        <x:f>Dashboard_Live_Data!AA233</x:f>
        <x:v>2316.8487948622887</x:v>
      </x:c>
      <x:c r="E1459" t="n">
        <x:f>Dashboard_Live_Data!AB233</x:f>
        <x:v>740</x:v>
      </x:c>
      <x:c r="F1459" t="n">
        <x:f>Dashboard_Live_Data!AC233</x:f>
        <x:v>5741.526745204011</x:v>
      </x:c>
      <x:c r="G1459" t="n">
        <x:f>Dashboard_Live_Data!AD233</x:f>
        <x:v>740</x:v>
      </x:c>
      <x:c r="H1459" t="n">
        <x:f>Dashboard_Live_Data!AE233</x:f>
        <x:v>5731.895081955165</x:v>
      </x:c>
    </x:row>
    <x:row r="1460">
      <x:c r="A1460" t="n">
        <x:f>Dashboard_Live_Data!X234</x:f>
        <x:v>55.980000000000004</x:v>
      </x:c>
      <x:c r="B1460" t="n">
        <x:f>Dashboard_Live_Data!Y234</x:f>
        <x:v>2691.6986261121306</x:v>
      </x:c>
      <x:c r="C1460" t="n">
        <x:f>Dashboard_Live_Data!Z234</x:f>
        <x:v>373.20000000000005</x:v>
      </x:c>
      <x:c r="D1460" t="n">
        <x:f>Dashboard_Live_Data!AA234</x:f>
        <x:v>2352.9815140756104</x:v>
      </x:c>
      <x:c r="E1460" t="n">
        <x:f>Dashboard_Live_Data!AB234</x:f>
        <x:v>746.4000000000001</x:v>
      </x:c>
      <x:c r="F1460" t="n">
        <x:f>Dashboard_Live_Data!AC234</x:f>
        <x:v>5837.535406144047</x:v>
      </x:c>
      <x:c r="G1460" t="n">
        <x:f>Dashboard_Live_Data!AD234</x:f>
        <x:v>746.4000000000001</x:v>
      </x:c>
      <x:c r="H1460" t="n">
        <x:f>Dashboard_Live_Data!AE234</x:f>
        <x:v>5828.8953622374065</x:v>
      </x:c>
    </x:row>
    <x:row r="1461">
      <x:c r="A1461" t="n">
        <x:f>Dashboard_Live_Data!X235</x:f>
        <x:v>56.519999999999996</x:v>
      </x:c>
      <x:c r="B1461" t="n">
        <x:f>Dashboard_Live_Data!Y235</x:f>
        <x:v>2692.1773075299916</x:v>
      </x:c>
      <x:c r="C1461" t="n">
        <x:f>Dashboard_Live_Data!Z235</x:f>
        <x:v>376.79999999999995</x:v>
      </x:c>
      <x:c r="D1461" t="n">
        <x:f>Dashboard_Live_Data!AA235</x:f>
        <x:v>2393.902932478235</x:v>
      </x:c>
      <x:c r="E1461" t="n">
        <x:f>Dashboard_Live_Data!AB235</x:f>
        <x:v>753.5999999999999</x:v>
      </x:c>
      <x:c r="F1461" t="n">
        <x:f>Dashboard_Live_Data!AC235</x:f>
        <x:v>5946.358306967192</x:v>
      </x:c>
      <x:c r="G1461" t="n">
        <x:f>Dashboard_Live_Data!AD235</x:f>
        <x:v>753.5999999999999</x:v>
      </x:c>
      <x:c r="H1461" t="n">
        <x:f>Dashboard_Live_Data!AE235</x:f>
        <x:v>5938.844041881844</x:v>
      </x:c>
    </x:row>
    <x:row r="1462">
      <x:c r="A1462" t="n">
        <x:f>Dashboard_Live_Data!X236</x:f>
        <x:v>57</x:v>
      </x:c>
      <x:c r="B1462" t="n">
        <x:f>Dashboard_Live_Data!Y236</x:f>
        <x:v>2692.473247137161</x:v>
      </x:c>
      <x:c r="C1462" t="n">
        <x:f>Dashboard_Live_Data!Z236</x:f>
        <x:v>380</x:v>
      </x:c>
      <x:c r="D1462" t="n">
        <x:f>Dashboard_Live_Data!AA236</x:f>
        <x:v>2430.617445290838</x:v>
      </x:c>
      <x:c r="E1462" t="n">
        <x:f>Dashboard_Live_Data!AB236</x:f>
        <x:v>760</x:v>
      </x:c>
      <x:c r="F1462" t="n">
        <x:f>Dashboard_Live_Data!AC236</x:f>
        <x:v>6043.438309182107</x:v>
      </x:c>
      <x:c r="G1462" t="n">
        <x:f>Dashboard_Live_Data!AD236</x:f>
        <x:v>760</x:v>
      </x:c>
      <x:c r="H1462" t="n">
        <x:f>Dashboard_Live_Data!AE236</x:f>
        <x:v>6036.933809325743</x:v>
      </x:c>
    </x:row>
    <x:row r="1463">
      <x:c r="A1463" t="n">
        <x:f>Dashboard_Live_Data!X237</x:f>
        <x:v>57.480000000000004</x:v>
      </x:c>
      <x:c r="B1463" t="n">
        <x:f>Dashboard_Live_Data!Y237</x:f>
        <x:v>2692.8575699494995</x:v>
      </x:c>
      <x:c r="C1463" t="n">
        <x:f>Dashboard_Live_Data!Z237</x:f>
        <x:v>383.19999999999993</x:v>
      </x:c>
      <x:c r="D1463" t="n">
        <x:f>Dashboard_Live_Data!AA237</x:f>
        <x:v>2467.706852886448</x:v>
      </x:c>
      <x:c r="E1463" t="n">
        <x:f>Dashboard_Live_Data!AB237</x:f>
        <x:v>766.3999999999999</x:v>
      </x:c>
      <x:c r="F1463" t="n">
        <x:f>Dashboard_Live_Data!AC237</x:f>
        <x:v>6142.145466617226</x:v>
      </x:c>
      <x:c r="G1463" t="n">
        <x:f>Dashboard_Live_Data!AD237</x:f>
        <x:v>766.3999999999999</x:v>
      </x:c>
      <x:c r="H1463" t="n">
        <x:f>Dashboard_Live_Data!AE237</x:f>
        <x:v>6136.659271230683</x:v>
      </x:c>
    </x:row>
    <x:row r="1464">
      <x:c r="A1464" t="n">
        <x:f>Dashboard_Live_Data!X238</x:f>
        <x:v>58.02000000000001</x:v>
      </x:c>
      <x:c r="B1464" t="n">
        <x:f>Dashboard_Live_Data!Y238</x:f>
        <x:v>2693.24758219057</x:v>
      </x:c>
      <x:c r="C1464" t="n">
        <x:f>Dashboard_Live_Data!Z238</x:f>
        <x:v>386.80000000000007</x:v>
      </x:c>
      <x:c r="D1464" t="n">
        <x:f>Dashboard_Live_Data!AA238</x:f>
        <x:v>2510.203743788006</x:v>
      </x:c>
      <x:c r="E1464" t="n">
        <x:f>Dashboard_Live_Data!AB238</x:f>
        <x:v>773.6000000000001</x:v>
      </x:c>
      <x:c r="F1464" t="n">
        <x:f>Dashboard_Live_Data!AC238</x:f>
        <x:v>6253.283847964191</x:v>
      </x:c>
      <x:c r="G1464" t="n">
        <x:f>Dashboard_Live_Data!AD238</x:f>
        <x:v>773.6000000000001</x:v>
      </x:c>
      <x:c r="H1464" t="n">
        <x:f>Dashboard_Live_Data!AE238</x:f>
        <x:v>6248.95345216751</x:v>
      </x:c>
    </x:row>
    <x:row r="1465">
      <x:c r="A1465" t="n">
        <x:f>Dashboard_Live_Data!X239</x:f>
        <x:v>58.5</x:v>
      </x:c>
      <x:c r="B1465" t="n">
        <x:f>Dashboard_Live_Data!Y239</x:f>
        <x:v>2693.6906778520884</x:v>
      </x:c>
      <x:c r="C1465" t="n">
        <x:f>Dashboard_Live_Data!Z239</x:f>
        <x:v>390</x:v>
      </x:c>
      <x:c r="D1465" t="n">
        <x:f>Dashboard_Live_Data!AA239</x:f>
        <x:v>2548.3058851808387</x:v>
      </x:c>
      <x:c r="E1465" t="n">
        <x:f>Dashboard_Live_Data!AB239</x:f>
        <x:v>780</x:v>
      </x:c>
      <x:c r="F1465" t="n">
        <x:f>Dashboard_Live_Data!AC239</x:f>
        <x:v>6353.093574137483</x:v>
      </x:c>
      <x:c r="G1465" t="n">
        <x:f>Dashboard_Live_Data!AD239</x:f>
        <x:v>780</x:v>
      </x:c>
      <x:c r="H1465" t="n">
        <x:f>Dashboard_Live_Data!AE239</x:f>
        <x:v>6349.799628697401</x:v>
      </x:c>
    </x:row>
    <x:row r="1466">
      <x:c r="A1466" t="n">
        <x:f>Dashboard_Live_Data!X240</x:f>
        <x:v>58.980000000000004</x:v>
      </x:c>
      <x:c r="B1466" t="n">
        <x:f>Dashboard_Live_Data!Y240</x:f>
        <x:v>2694.075288283185</x:v>
      </x:c>
      <x:c r="C1466" t="n">
        <x:f>Dashboard_Live_Data!Z240</x:f>
        <x:v>393.20000000000005</x:v>
      </x:c>
      <x:c r="D1466" t="n">
        <x:f>Dashboard_Live_Data!AA240</x:f>
        <x:v>2586.4616875610477</x:v>
      </x:c>
      <x:c r="E1466" t="n">
        <x:f>Dashboard_Live_Data!AB240</x:f>
        <x:v>786.4000000000001</x:v>
      </x:c>
      <x:c r="F1466" t="n">
        <x:f>Dashboard_Live_Data!AC240</x:f>
        <x:v>6454.213123168584</x:v>
      </x:c>
      <x:c r="G1466" t="n">
        <x:f>Dashboard_Live_Data!AD240</x:f>
        <x:v>786.4000000000001</x:v>
      </x:c>
      <x:c r="H1466" t="n">
        <x:f>Dashboard_Live_Data!AE240</x:f>
        <x:v>6451.964167325938</x:v>
      </x:c>
    </x:row>
    <x:row r="1467">
      <x:c r="A1467" t="n">
        <x:f>Dashboard_Live_Data!X241</x:f>
        <x:v>59.519999999999996</x:v>
      </x:c>
      <x:c r="B1467" t="n">
        <x:f>Dashboard_Live_Data!Y241</x:f>
        <x:v>2694.626380340303</x:v>
      </x:c>
      <x:c r="C1467" t="n">
        <x:f>Dashboard_Live_Data!Z241</x:f>
        <x:v>396.79999999999995</x:v>
      </x:c>
      <x:c r="D1467" t="n">
        <x:f>Dashboard_Live_Data!AA241</x:f>
        <x:v>2629.588502569662</x:v>
      </x:c>
      <x:c r="E1467" t="n">
        <x:f>Dashboard_Live_Data!AB241</x:f>
        <x:v>793.5999999999999</x:v>
      </x:c>
      <x:c r="F1467" t="n">
        <x:f>Dashboard_Live_Data!AC241</x:f>
        <x:v>6568.286774941212</x:v>
      </x:c>
      <x:c r="G1467" t="n">
        <x:f>Dashboard_Live_Data!AD241</x:f>
        <x:v>793.5999999999999</x:v>
      </x:c>
      <x:c r="H1467" t="n">
        <x:f>Dashboard_Live_Data!AE241</x:f>
        <x:v>6567.223639456996</x:v>
      </x:c>
    </x:row>
    <x:row r="1468">
      <x:c r="A1468" t="n">
        <x:f>Dashboard_Live_Data!X242</x:f>
        <x:v>60</x:v>
      </x:c>
      <x:c r="B1468" t="n">
        <x:f>Dashboard_Live_Data!Y242</x:f>
        <x:v>2694.9851144626914</x:v>
      </x:c>
      <x:c r="C1468" t="n">
        <x:f>Dashboard_Live_Data!Z242</x:f>
        <x:v>400</x:v>
      </x:c>
      <x:c r="D1468" t="n">
        <x:f>Dashboard_Live_Data!AA242</x:f>
        <x:v>2668.3506217177696</x:v>
      </x:c>
      <x:c r="E1468" t="n">
        <x:f>Dashboard_Live_Data!AB242</x:f>
        <x:v>800</x:v>
      </x:c>
      <x:c r="F1468" t="n">
        <x:f>Dashboard_Live_Data!AC242</x:f>
        <x:v>6670.970351393162</x:v>
      </x:c>
      <x:c r="G1468" t="n">
        <x:f>Dashboard_Live_Data!AD242</x:f>
        <x:v>800</x:v>
      </x:c>
      <x:c r="H1468" t="n">
        <x:f>Dashboard_Live_Data!AE242</x:f>
        <x:v>6670.970351393162</x:v>
      </x:c>
    </x:row>
    <x:row r="1471">
      <x:c r="A1471" t="inlineStr">
        <x:is>
          <x:t xml:space="preserve">Off-Nadir Radar Delay by Flyby: Without Topography</x:t>
        </x:is>
      </x:c>
    </x:row>
    <x:row r="1472">
      <x:c r="A1472" t="inlineStr">
        <x:is>
          <x:t xml:space="preserve">Custom 400 km / 120 km pass x</x:t>
        </x:is>
      </x:c>
      <x:c r="B1472" t="inlineStr">
        <x:is>
          <x:t xml:space="preserve">Custom 400 km / 120 km pass</x:t>
        </x:is>
      </x:c>
      <x:c r="C1472" t="inlineStr">
        <x:is>
          <x:t xml:space="preserve">Paper low-altitude 35 km / 800 km pass x</x:t>
        </x:is>
      </x:c>
      <x:c r="D1472" t="inlineStr">
        <x:is>
          <x:t xml:space="preserve">Paper low-altitude 35 km / 800 km pass</x:t>
        </x:is>
      </x:c>
      <x:c r="E1472" t="inlineStr">
        <x:is>
          <x:t xml:space="preserve">Paper ice-ocean 35 km / 1600 km pass x</x:t>
        </x:is>
      </x:c>
      <x:c r="F1472" t="inlineStr">
        <x:is>
          <x:t xml:space="preserve">Paper ice-ocean 35 km / 1600 km pass</x:t>
        </x:is>
      </x:c>
      <x:c r="G1472" t="inlineStr">
        <x:is>
          <x:t xml:space="preserve">Operating 25 km / 1600 km pass x</x:t>
        </x:is>
      </x:c>
      <x:c r="H1472" t="inlineStr">
        <x:is>
          <x:t xml:space="preserve">Operating 25 km / 1600 km pass</x:t>
        </x:is>
      </x:c>
    </x:row>
    <x:row r="1473">
      <x:c r="A1473" t="n">
        <x:f>Dashboard_Live_Data!AG2</x:f>
        <x:v>-60</x:v>
      </x:c>
      <x:c r="B1473" t="n">
        <x:f>Dashboard_Live_Data!AH2</x:f>
        <x:v>2738.7528797589603</x:v>
      </x:c>
      <x:c r="C1473" t="n">
        <x:f>Dashboard_Live_Data!AI2</x:f>
        <x:v>-400</x:v>
      </x:c>
      <x:c r="D1473" t="n">
        <x:f>Dashboard_Live_Data!AJ2</x:f>
        <x:v>4006.5669904921833</x:v>
      </x:c>
      <x:c r="E1473" t="n">
        <x:f>Dashboard_Live_Data!AK2</x:f>
        <x:v>-800</x:v>
      </x:c>
      <x:c r="F1473" t="n">
        <x:f>Dashboard_Live_Data!AL2</x:f>
        <x:v>9500.98992327336</x:v>
      </x:c>
      <x:c r="G1473" t="n">
        <x:f>Dashboard_Live_Data!AM2</x:f>
        <x:v>-800</x:v>
      </x:c>
      <x:c r="H1473" t="n">
        <x:f>Dashboard_Live_Data!AN2</x:f>
        <x:v>9500.98992327336</x:v>
      </x:c>
    </x:row>
    <x:row r="1474">
      <x:c r="A1474" t="n">
        <x:f>Dashboard_Live_Data!AG3</x:f>
        <x:v>-59.519999999999996</x:v>
      </x:c>
      <x:c r="B1474" t="n">
        <x:f>Dashboard_Live_Data!AH3</x:f>
        <x:v>2737.746224109234</x:v>
      </x:c>
      <x:c r="C1474" t="n">
        <x:f>Dashboard_Live_Data!AI3</x:f>
        <x:v>-396.8</x:v>
      </x:c>
      <x:c r="D1474" t="n">
        <x:f>Dashboard_Live_Data!AJ3</x:f>
        <x:v>3959.784666367032</x:v>
      </x:c>
      <x:c r="E1474" t="n">
        <x:f>Dashboard_Live_Data!AK3</x:f>
        <x:v>-793.6</x:v>
      </x:c>
      <x:c r="F1474" t="n">
        <x:f>Dashboard_Live_Data!AL3</x:f>
        <x:v>9376.948806056145</x:v>
      </x:c>
      <x:c r="G1474" t="n">
        <x:f>Dashboard_Live_Data!AM3</x:f>
        <x:v>-793.6</x:v>
      </x:c>
      <x:c r="H1474" t="n">
        <x:f>Dashboard_Live_Data!AN3</x:f>
        <x:v>9376.054593495282</x:v>
      </x:c>
    </x:row>
    <x:row r="1475">
      <x:c r="A1475" t="n">
        <x:f>Dashboard_Live_Data!AG4</x:f>
        <x:v>-58.98</x:v>
      </x:c>
      <x:c r="B1475" t="n">
        <x:f>Dashboard_Live_Data!AH4</x:f>
        <x:v>2736.623084633149</x:v>
      </x:c>
      <x:c r="C1475" t="n">
        <x:f>Dashboard_Live_Data!AI4</x:f>
        <x:v>-393.2</x:v>
      </x:c>
      <x:c r="D1475" t="n">
        <x:f>Dashboard_Live_Data!AJ4</x:f>
        <x:v>3907.520143552331</x:v>
      </x:c>
      <x:c r="E1475" t="n">
        <x:f>Dashboard_Live_Data!AK4</x:f>
        <x:v>-786.4</x:v>
      </x:c>
      <x:c r="F1475" t="n">
        <x:f>Dashboard_Live_Data!AL4</x:f>
        <x:v>9238.487402839646</x:v>
      </x:c>
      <x:c r="G1475" t="n">
        <x:f>Dashboard_Live_Data!AM4</x:f>
        <x:v>-786.4</x:v>
      </x:c>
      <x:c r="H1475" t="n">
        <x:f>Dashboard_Live_Data!AN4</x:f>
        <x:v>9236.601004281432</x:v>
      </x:c>
    </x:row>
    <x:row r="1476">
      <x:c r="A1476" t="n">
        <x:f>Dashboard_Live_Data!AG5</x:f>
        <x:v>-58.5</x:v>
      </x:c>
      <x:c r="B1476" t="n">
        <x:f>Dashboard_Live_Data!AH5</x:f>
        <x:v>2735.6330546630293</x:v>
      </x:c>
      <x:c r="C1476" t="n">
        <x:f>Dashboard_Live_Data!AI5</x:f>
        <x:v>-390</x:v>
      </x:c>
      <x:c r="D1476" t="n">
        <x:f>Dashboard_Live_Data!AJ5</x:f>
        <x:v>3861.3869170271155</x:v>
      </x:c>
      <x:c r="E1476" t="n">
        <x:f>Dashboard_Live_Data!AK5</x:f>
        <x:v>-780</x:v>
      </x:c>
      <x:c r="F1476" t="n">
        <x:f>Dashboard_Live_Data!AL5</x:f>
        <x:v>9116.373900783714</x:v>
      </x:c>
      <x:c r="G1476" t="n">
        <x:f>Dashboard_Live_Data!AM5</x:f>
        <x:v>-780</x:v>
      </x:c>
      <x:c r="H1476" t="n">
        <x:f>Dashboard_Live_Data!AN5</x:f>
        <x:v>9113.617881954191</x:v>
      </x:c>
    </x:row>
    <x:row r="1477">
      <x:c r="A1477" t="n">
        <x:f>Dashboard_Live_Data!AG6</x:f>
        <x:v>-58.019999999999996</x:v>
      </x:c>
      <x:c r="B1477" t="n">
        <x:f>Dashboard_Live_Data!AH6</x:f>
        <x:v>2734.650858075406</x:v>
      </x:c>
      <x:c r="C1477" t="n">
        <x:f>Dashboard_Live_Data!AI6</x:f>
        <x:v>-386.8</x:v>
      </x:c>
      <x:c r="D1477" t="n">
        <x:f>Dashboard_Live_Data!AJ6</x:f>
        <x:v>3815.557941887678</x:v>
      </x:c>
      <x:c r="E1477" t="n">
        <x:f>Dashboard_Live_Data!AK6</x:f>
        <x:v>-773.6</x:v>
      </x:c>
      <x:c r="F1477" t="n">
        <x:f>Dashboard_Live_Data!AL6</x:f>
        <x:v>8995.166044528318</x:v>
      </x:c>
      <x:c r="G1477" t="n">
        <x:f>Dashboard_Live_Data!AM6</x:f>
        <x:v>-773.6</x:v>
      </x:c>
      <x:c r="H1477" t="n">
        <x:f>Dashboard_Live_Data!AN6</x:f>
        <x:v>8991.55205433549</x:v>
      </x:c>
    </x:row>
    <x:row r="1478">
      <x:c r="A1478" t="n">
        <x:f>Dashboard_Live_Data!AG7</x:f>
        <x:v>-57.48</x:v>
      </x:c>
      <x:c r="B1478" t="n">
        <x:f>Dashboard_Live_Data!AH7</x:f>
        <x:v>2733.555257783269</x:v>
      </x:c>
      <x:c r="C1478" t="n">
        <x:f>Dashboard_Live_Data!AI7</x:f>
        <x:v>-383.2</x:v>
      </x:c>
      <x:c r="D1478" t="n">
        <x:f>Dashboard_Live_Data!AJ7</x:f>
        <x:v>3764.3630333251954</x:v>
      </x:c>
      <x:c r="E1478" t="n">
        <x:f>Dashboard_Live_Data!AK7</x:f>
        <x:v>-766.4</x:v>
      </x:c>
      <x:c r="F1478" t="n">
        <x:f>Dashboard_Live_Data!AL7</x:f>
        <x:v>8859.888506354831</x:v>
      </x:c>
      <x:c r="G1478" t="n">
        <x:f>Dashboard_Live_Data!AM7</x:f>
        <x:v>-766.4</x:v>
      </x:c>
      <x:c r="H1478" t="n">
        <x:f>Dashboard_Live_Data!AN7</x:f>
        <x:v>8855.323284209488</x:v>
      </x:c>
    </x:row>
    <x:row r="1479">
      <x:c r="A1479" t="n">
        <x:f>Dashboard_Live_Data!AG8</x:f>
        <x:v>-57</x:v>
      </x:c>
      <x:c r="B1479" t="n">
        <x:f>Dashboard_Live_Data!AH8</x:f>
        <x:v>2732.589727165975</x:v>
      </x:c>
      <x:c r="C1479" t="n">
        <x:f>Dashboard_Live_Data!AI8</x:f>
        <x:v>-380</x:v>
      </x:c>
      <x:c r="D1479" t="n">
        <x:f>Dashboard_Live_Data!AJ8</x:f>
        <x:v>3719.1779432130656</x:v>
      </x:c>
      <x:c r="E1479" t="n">
        <x:f>Dashboard_Live_Data!AK8</x:f>
        <x:v>-760</x:v>
      </x:c>
      <x:c r="F1479" t="n">
        <x:f>Dashboard_Live_Data!AL8</x:f>
        <x:v>8740.601827631473</x:v>
      </x:c>
      <x:c r="G1479" t="n">
        <x:f>Dashboard_Live_Data!AM8</x:f>
        <x:v>-760</x:v>
      </x:c>
      <x:c r="H1479" t="n">
        <x:f>Dashboard_Live_Data!AN8</x:f>
        <x:v>8735.203553435682</x:v>
      </x:c>
    </x:row>
    <x:row r="1480">
      <x:c r="A1480" t="n">
        <x:f>Dashboard_Live_Data!AG9</x:f>
        <x:v>-56.519999999999996</x:v>
      </x:c>
      <x:c r="B1480" t="n">
        <x:f>Dashboard_Live_Data!AH9</x:f>
        <x:v>2731.632048701091</x:v>
      </x:c>
      <x:c r="C1480" t="n">
        <x:f>Dashboard_Live_Data!AI9</x:f>
        <x:v>-376.79999999999995</x:v>
      </x:c>
      <x:c r="D1480" t="n">
        <x:f>Dashboard_Live_Data!AJ9</x:f>
        <x:v>3674.294578654452</x:v>
      </x:c>
      <x:c r="E1480" t="n">
        <x:f>Dashboard_Live_Data!AK9</x:f>
        <x:v>-753.5999999999999</x:v>
      </x:c>
      <x:c r="F1480" t="n">
        <x:f>Dashboard_Live_Data!AL9</x:f>
        <x:v>8622.217592392886</x:v>
      </x:c>
      <x:c r="G1480" t="n">
        <x:f>Dashboard_Live_Data!AM9</x:f>
        <x:v>-753.5999999999999</x:v>
      </x:c>
      <x:c r="H1480" t="n">
        <x:f>Dashboard_Live_Data!AN9</x:f>
        <x:v>8615.998072070657</x:v>
      </x:c>
    </x:row>
    <x:row r="1481">
      <x:c r="A1481" t="n">
        <x:f>Dashboard_Live_Data!AG10</x:f>
        <x:v>-55.980000000000004</x:v>
      </x:c>
      <x:c r="B1481" t="n">
        <x:f>Dashboard_Live_Data!AH10</x:f>
        <x:v>2730.5640535799016</x:v>
      </x:c>
      <x:c r="C1481" t="n">
        <x:f>Dashboard_Live_Data!AI10</x:f>
        <x:v>-373.20000000000005</x:v>
      </x:c>
      <x:c r="D1481" t="n">
        <x:f>Dashboard_Live_Data!AJ10</x:f>
        <x:v>3624.160403492118</x:v>
      </x:c>
      <x:c r="E1481" t="n">
        <x:f>Dashboard_Live_Data!AK10</x:f>
        <x:v>-746.4000000000001</x:v>
      </x:c>
      <x:c r="F1481" t="n">
        <x:f>Dashboard_Live_Data!AL10</x:f>
        <x:v>8490.112657175801</x:v>
      </x:c>
      <x:c r="G1481" t="n">
        <x:f>Dashboard_Live_Data!AM10</x:f>
        <x:v>-746.4000000000001</x:v>
      </x:c>
      <x:c r="H1481" t="n">
        <x:f>Dashboard_Live_Data!AN10</x:f>
        <x:v>8482.983410922227</x:v>
      </x:c>
    </x:row>
    <x:row r="1482">
      <x:c r="A1482" t="n">
        <x:f>Dashboard_Live_Data!AG11</x:f>
        <x:v>-55.5</x:v>
      </x:c>
      <x:c r="B1482" t="n">
        <x:f>Dashboard_Live_Data!AH11</x:f>
        <x:v>2729.6230805624396</x:v>
      </x:c>
      <x:c r="C1482" t="n">
        <x:f>Dashboard_Live_Data!AI11</x:f>
        <x:v>-370</x:v>
      </x:c>
      <x:c r="D1482" t="n">
        <x:f>Dashboard_Live_Data!AJ11</x:f>
        <x:v>3579.915397473851</x:v>
      </x:c>
      <x:c r="E1482" t="n">
        <x:f>Dashboard_Live_Data!AK11</x:f>
        <x:v>-740</x:v>
      </x:c>
      <x:c r="F1482" t="n">
        <x:f>Dashboard_Live_Data!AL11</x:f>
        <x:v>8373.64240992586</x:v>
      </x:c>
      <x:c r="G1482" t="n">
        <x:f>Dashboard_Live_Data!AM11</x:f>
        <x:v>-740</x:v>
      </x:c>
      <x:c r="H1482" t="n">
        <x:f>Dashboard_Live_Data!AN11</x:f>
        <x:v>8365.717177007828</x:v>
      </x:c>
    </x:row>
    <x:row r="1483">
      <x:c r="A1483" t="n">
        <x:f>Dashboard_Live_Data!AG12</x:f>
        <x:v>-55.02</x:v>
      </x:c>
      <x:c r="B1483" t="n">
        <x:f>Dashboard_Live_Data!AH12</x:f>
        <x:v>2728.689978080741</x:v>
      </x:c>
      <x:c r="C1483" t="n">
        <x:f>Dashboard_Live_Data!AI12</x:f>
        <x:v>-366.8</x:v>
      </x:c>
      <x:c r="D1483" t="n">
        <x:f>Dashboard_Live_Data!AJ12</x:f>
        <x:v>3535.9694398561164</x:v>
      </x:c>
      <x:c r="E1483" t="n">
        <x:f>Dashboard_Live_Data!AK12</x:f>
        <x:v>-733.6</x:v>
      </x:c>
      <x:c r="F1483" t="n">
        <x:f>Dashboard_Live_Data!AL12</x:f>
        <x:v>8258.071035157735</x:v>
      </x:c>
      <x:c r="G1483" t="n">
        <x:f>Dashboard_Live_Data!AM12</x:f>
        <x:v>-733.6</x:v>
      </x:c>
      <x:c r="H1483" t="n">
        <x:f>Dashboard_Live_Data!AN12</x:f>
        <x:v>8249.361784554472</x:v>
      </x:c>
    </x:row>
    <x:row r="1484">
      <x:c r="A1484" t="n">
        <x:f>Dashboard_Live_Data!AG13</x:f>
        <x:v>-54.480000000000004</x:v>
      </x:c>
      <x:c r="B1484" t="n">
        <x:f>Dashboard_Live_Data!AH13</x:f>
        <x:v>2727.649652758524</x:v>
      </x:c>
      <x:c r="C1484" t="n">
        <x:f>Dashboard_Live_Data!AI13</x:f>
        <x:v>-363.2</x:v>
      </x:c>
      <x:c r="D1484" t="n">
        <x:f>Dashboard_Live_Data!AJ13</x:f>
        <x:v>3486.8865852502836</x:v>
      </x:c>
      <x:c r="E1484" t="n">
        <x:f>Dashboard_Live_Data!AK13</x:f>
        <x:v>-726.4</x:v>
      </x:c>
      <x:c r="F1484" t="n">
        <x:f>Dashboard_Live_Data!AL13</x:f>
        <x:v>8129.126144290872</x:v>
      </x:c>
      <x:c r="G1484" t="n">
        <x:f>Dashboard_Live_Data!AM13</x:f>
        <x:v>-726.4</x:v>
      </x:c>
      <x:c r="H1484" t="n">
        <x:f>Dashboard_Live_Data!AN13</x:f>
        <x:v>8119.549246965398</x:v>
      </x:c>
    </x:row>
    <x:row r="1485">
      <x:c r="A1485" t="n">
        <x:f>Dashboard_Live_Data!AG14</x:f>
        <x:v>-54</x:v>
      </x:c>
      <x:c r="B1485" t="n">
        <x:f>Dashboard_Live_Data!AH14</x:f>
        <x:v>2726.7332943721008</x:v>
      </x:c>
      <x:c r="C1485" t="n">
        <x:f>Dashboard_Live_Data!AI14</x:f>
        <x:v>-360</x:v>
      </x:c>
      <x:c r="D1485" t="n">
        <x:f>Dashboard_Live_Data!AJ14</x:f>
        <x:v>3443.5731304663896</x:v>
      </x:c>
      <x:c r="E1485" t="n">
        <x:f>Dashboard_Live_Data!AK14</x:f>
        <x:v>-720</x:v>
      </x:c>
      <x:c r="F1485" t="n">
        <x:f>Dashboard_Live_Data!AL14</x:f>
        <x:v>8015.460751408424</x:v>
      </x:c>
      <x:c r="G1485" t="n">
        <x:f>Dashboard_Live_Data!AM14</x:f>
        <x:v>-720</x:v>
      </x:c>
      <x:c r="H1485" t="n">
        <x:f>Dashboard_Live_Data!AN14</x:f>
        <x:v>8005.125448461821</x:v>
      </x:c>
    </x:row>
    <x:row r="1486">
      <x:c r="A1486" t="n">
        <x:f>Dashboard_Live_Data!AG15</x:f>
        <x:v>-53.52</x:v>
      </x:c>
      <x:c r="B1486" t="n">
        <x:f>Dashboard_Live_Data!AH15</x:f>
        <x:v>2725.824824510964</x:v>
      </x:c>
      <x:c r="C1486" t="n">
        <x:f>Dashboard_Live_Data!AI15</x:f>
        <x:v>-356.8</x:v>
      </x:c>
      <x:c r="D1486" t="n">
        <x:f>Dashboard_Live_Data!AJ15</x:f>
        <x:v>3400.5558883978983</x:v>
      </x:c>
      <x:c r="E1486" t="n">
        <x:f>Dashboard_Live_Data!AK15</x:f>
        <x:v>-713.6</x:v>
      </x:c>
      <x:c r="F1486" t="n">
        <x:f>Dashboard_Live_Data!AL15</x:f>
        <x:v>7902.69025957073</x:v>
      </x:c>
      <x:c r="G1486" t="n">
        <x:f>Dashboard_Live_Data!AM15</x:f>
        <x:v>-713.6</x:v>
      </x:c>
      <x:c r="H1486" t="n">
        <x:f>Dashboard_Live_Data!AN15</x:f>
        <x:v>7891.608688682572</x:v>
      </x:c>
    </x:row>
    <x:row r="1487">
      <x:c r="A1487" t="n">
        <x:f>Dashboard_Live_Data!AG16</x:f>
        <x:v>-52.980000000000004</x:v>
      </x:c>
      <x:c r="B1487" t="n">
        <x:f>Dashboard_Live_Data!AH16</x:f>
        <x:v>2724.8122322311165</x:v>
      </x:c>
      <x:c r="C1487" t="n">
        <x:f>Dashboard_Live_Data!AI16</x:f>
        <x:v>-353.2</x:v>
      </x:c>
      <x:c r="D1487" t="n">
        <x:f>Dashboard_Live_Data!AJ16</x:f>
        <x:v>3352.5143841718163</x:v>
      </x:c>
      <x:c r="E1487" t="n">
        <x:f>Dashboard_Live_Data!AK16</x:f>
        <x:v>-706.4</x:v>
      </x:c>
      <x:c r="F1487" t="n">
        <x:f>Dashboard_Live_Data!AL16</x:f>
        <x:v>7776.8914462931525</x:v>
      </x:c>
      <x:c r="G1487" t="n">
        <x:f>Dashboard_Live_Data!AM16</x:f>
        <x:v>-706.4</x:v>
      </x:c>
      <x:c r="H1487" t="n">
        <x:f>Dashboard_Live_Data!AN16</x:f>
        <x:v>7764.984900901367</x:v>
      </x:c>
    </x:row>
    <x:row r="1488">
      <x:c r="A1488" t="n">
        <x:f>Dashboard_Live_Data!AG17</x:f>
        <x:v>-52.5</x:v>
      </x:c>
      <x:c r="B1488" t="n">
        <x:f>Dashboard_Live_Data!AH17</x:f>
        <x:v>2723.920544268542</x:v>
      </x:c>
      <x:c r="C1488" t="n">
        <x:f>Dashboard_Live_Data!AI17</x:f>
        <x:v>-350</x:v>
      </x:c>
      <x:c r="D1488" t="n">
        <x:f>Dashboard_Live_Data!AJ17</x:f>
        <x:v>3310.123444717516</x:v>
      </x:c>
      <x:c r="E1488" t="n">
        <x:f>Dashboard_Live_Data!AK17</x:f>
        <x:v>-700</x:v>
      </x:c>
      <x:c r="F1488" t="n">
        <x:f>Dashboard_Live_Data!AL17</x:f>
        <x:v>7666.018043289701</x:v>
      </x:c>
      <x:c r="G1488" t="n">
        <x:f>Dashboard_Live_Data!AM17</x:f>
        <x:v>-700</x:v>
      </x:c>
      <x:c r="H1488" t="n">
        <x:f>Dashboard_Live_Data!AN17</x:f>
        <x:v>7653.39120605297</x:v>
      </x:c>
    </x:row>
    <x:row r="1489">
      <x:c r="A1489" t="n">
        <x:f>Dashboard_Live_Data!AG18</x:f>
        <x:v>-52.019999999999996</x:v>
      </x:c>
      <x:c r="B1489" t="n">
        <x:f>Dashboard_Live_Data!AH18</x:f>
        <x:v>2723.0367624197406</x:v>
      </x:c>
      <x:c r="C1489" t="n">
        <x:f>Dashboard_Live_Data!AI18</x:f>
        <x:v>-346.8</x:v>
      </x:c>
      <x:c r="D1489" t="n">
        <x:f>Dashboard_Live_Data!AJ18</x:f>
        <x:v>3268.0257165997627</x:v>
      </x:c>
      <x:c r="E1489" t="n">
        <x:f>Dashboard_Live_Data!AK18</x:f>
        <x:v>-693.6</x:v>
      </x:c>
      <x:c r="F1489" t="n">
        <x:f>Dashboard_Live_Data!AL18</x:f>
        <x:v>7556.035134917943</x:v>
      </x:c>
      <x:c r="G1489" t="n">
        <x:f>Dashboard_Live_Data!AM18</x:f>
        <x:v>-693.6</x:v>
      </x:c>
      <x:c r="H1489" t="n">
        <x:f>Dashboard_Live_Data!AN18</x:f>
        <x:v>7542.700317284668</x:v>
      </x:c>
    </x:row>
    <x:row r="1490">
      <x:c r="A1490" t="n">
        <x:f>Dashboard_Live_Data!AG19</x:f>
        <x:v>-51.48</x:v>
      </x:c>
      <x:c r="B1490" t="n">
        <x:f>Dashboard_Live_Data!AH19</x:f>
        <x:v>2722.0519650158485</x:v>
      </x:c>
      <x:c r="C1490" t="n">
        <x:f>Dashboard_Live_Data!AI19</x:f>
        <x:v>-343.2</x:v>
      </x:c>
      <x:c r="D1490" t="n">
        <x:f>Dashboard_Live_Data!AJ19</x:f>
        <x:v>3221.015010080671</x:v>
      </x:c>
      <x:c r="E1490" t="n">
        <x:f>Dashboard_Live_Data!AK19</x:f>
        <x:v>-686.4</x:v>
      </x:c>
      <x:c r="F1490" t="n">
        <x:f>Dashboard_Live_Data!AL19</x:f>
        <x:v>7433.366902852947</x:v>
      </x:c>
      <x:c r="G1490" t="n">
        <x:f>Dashboard_Live_Data!AM19</x:f>
        <x:v>-686.4</x:v>
      </x:c>
      <x:c r="H1490" t="n">
        <x:f>Dashboard_Live_Data!AN19</x:f>
        <x:v>7419.25039373271</x:v>
      </x:c>
    </x:row>
    <x:row r="1491">
      <x:c r="A1491" t="n">
        <x:f>Dashboard_Live_Data!AG20</x:f>
        <x:v>-51</x:v>
      </x:c>
      <x:c r="B1491" t="n">
        <x:f>Dashboard_Live_Data!AH20</x:f>
        <x:v>2721.1850020092143</x:v>
      </x:c>
      <x:c r="C1491" t="n">
        <x:f>Dashboard_Live_Data!AI20</x:f>
        <x:v>-340</x:v>
      </x:c>
      <x:c r="D1491" t="n">
        <x:f>Dashboard_Live_Data!AJ20</x:f>
        <x:v>3179.537024764877</x:v>
      </x:c>
      <x:c r="E1491" t="n">
        <x:f>Dashboard_Live_Data!AK20</x:f>
        <x:v>-680</x:v>
      </x:c>
      <x:c r="F1491" t="n">
        <x:f>Dashboard_Live_Data!AL20</x:f>
        <x:v>7325.2712267935</x:v>
      </x:c>
      <x:c r="G1491" t="n">
        <x:f>Dashboard_Live_Data!AM20</x:f>
        <x:v>-680</x:v>
      </x:c>
      <x:c r="H1491" t="n">
        <x:f>Dashboard_Live_Data!AN20</x:f>
        <x:v>7310.473087383565</x:v>
      </x:c>
    </x:row>
    <x:row r="1492">
      <x:c r="A1492" t="n">
        <x:f>Dashboard_Live_Data!AG21</x:f>
        <x:v>-50.519999999999996</x:v>
      </x:c>
      <x:c r="B1492" t="n">
        <x:f>Dashboard_Live_Data!AH21</x:f>
        <x:v>2720.3259622967576</x:v>
      </x:c>
      <x:c r="C1492" t="n">
        <x:f>Dashboard_Live_Data!AI21</x:f>
        <x:v>-336.8</x:v>
      </x:c>
      <x:c r="D1492" t="n">
        <x:f>Dashboard_Live_Data!AJ21</x:f>
        <x:v>3138.34907670858</x:v>
      </x:c>
      <x:c r="E1492" t="n">
        <x:f>Dashboard_Live_Data!AK21</x:f>
        <x:v>-673.6</x:v>
      </x:c>
      <x:c r="F1492" t="n">
        <x:f>Dashboard_Live_Data!AL21</x:f>
        <x:v>7218.061166458944</x:v>
      </x:c>
      <x:c r="G1492" t="n">
        <x:f>Dashboard_Live_Data!AM21</x:f>
        <x:v>-673.6</x:v>
      </x:c>
      <x:c r="H1492" t="n">
        <x:f>Dashboard_Live_Data!AN21</x:f>
        <x:v>7202.593886244597</x:v>
      </x:c>
    </x:row>
    <x:row r="1493">
      <x:c r="A1493" t="n">
        <x:f>Dashboard_Live_Data!AG22</x:f>
        <x:v>-49.98</x:v>
      </x:c>
      <x:c r="B1493" t="n">
        <x:f>Dashboard_Live_Data!AH22</x:f>
        <x:v>2719.3690201677696</x:v>
      </x:c>
      <x:c r="C1493" t="n">
        <x:f>Dashboard_Live_Data!AI22</x:f>
        <x:v>-333.2</x:v>
      </x:c>
      <x:c r="D1493" t="n">
        <x:f>Dashboard_Live_Data!AJ22</x:f>
        <x:v>3092.3580081209293</x:v>
      </x:c>
      <x:c r="E1493" t="n">
        <x:f>Dashboard_Live_Data!AK22</x:f>
        <x:v>-666.4</x:v>
      </x:c>
      <x:c r="F1493" t="n">
        <x:f>Dashboard_Live_Data!AL22</x:f>
        <x:v>7098.506357692575</x:v>
      </x:c>
      <x:c r="G1493" t="n">
        <x:f>Dashboard_Live_Data!AM22</x:f>
        <x:v>-666.4</x:v>
      </x:c>
      <x:c r="H1493" t="n">
        <x:f>Dashboard_Live_Data!AN22</x:f>
        <x:v>7082.301294774013</x:v>
      </x:c>
    </x:row>
    <x:row r="1494">
      <x:c r="A1494" t="n">
        <x:f>Dashboard_Live_Data!AG23</x:f>
        <x:v>-49.5</x:v>
      </x:c>
      <x:c r="B1494" t="n">
        <x:f>Dashboard_Live_Data!AH23</x:f>
        <x:v>2718.5268353664997</x:v>
      </x:c>
      <x:c r="C1494" t="n">
        <x:f>Dashboard_Live_Data!AI23</x:f>
        <x:v>-330</x:v>
      </x:c>
      <x:c r="D1494" t="n">
        <x:f>Dashboard_Live_Data!AJ23</x:f>
        <x:v>3051.7828688525797</x:v>
      </x:c>
      <x:c r="E1494" t="n">
        <x:f>Dashboard_Live_Data!AK23</x:f>
        <x:v>-660</x:v>
      </x:c>
      <x:c r="F1494" t="n">
        <x:f>Dashboard_Live_Data!AL23</x:f>
        <x:v>6993.172626647848</x:v>
      </x:c>
      <x:c r="G1494" t="n">
        <x:f>Dashboard_Live_Data!AM23</x:f>
        <x:v>-660</x:v>
      </x:c>
      <x:c r="H1494" t="n">
        <x:f>Dashboard_Live_Data!AN23</x:f>
        <x:v>6976.325155041407</x:v>
      </x:c>
    </x:row>
    <x:row r="1495">
      <x:c r="A1495" t="n">
        <x:f>Dashboard_Live_Data!AG24</x:f>
        <x:v>-49.019999999999996</x:v>
      </x:c>
      <x:c r="B1495" t="n">
        <x:f>Dashboard_Live_Data!AH24</x:f>
        <x:v>2717.692590624826</x:v>
      </x:c>
      <x:c r="C1495" t="n">
        <x:f>Dashboard_Live_Data!AI24</x:f>
        <x:v>-326.79999999999995</x:v>
      </x:c>
      <x:c r="D1495" t="n">
        <x:f>Dashboard_Live_Data!AJ24</x:f>
        <x:v>3011.4944133564245</x:v>
      </x:c>
      <x:c r="E1495" t="n">
        <x:f>Dashboard_Live_Data!AK24</x:f>
        <x:v>-653.5999999999999</x:v>
      </x:c>
      <x:c r="F1495" t="n">
        <x:f>Dashboard_Live_Data!AL24</x:f>
        <x:v>6888.7191192634255</x:v>
      </x:c>
      <x:c r="G1495" t="n">
        <x:f>Dashboard_Live_Data!AM24</x:f>
        <x:v>-653.5999999999999</x:v>
      </x:c>
      <x:c r="H1495" t="n">
        <x:f>Dashboard_Live_Data!AN24</x:f>
        <x:v>6871.241909686075</x:v>
      </x:c>
    </x:row>
    <x:row r="1496">
      <x:c r="A1496" t="n">
        <x:f>Dashboard_Live_Data!AG25</x:f>
        <x:v>-48.480000000000004</x:v>
      </x:c>
      <x:c r="B1496" t="n">
        <x:f>Dashboard_Live_Data!AH25</x:f>
        <x:v>2716.763562710639</x:v>
      </x:c>
      <x:c r="C1496" t="n">
        <x:f>Dashboard_Live_Data!AI25</x:f>
        <x:v>-323.20000000000005</x:v>
      </x:c>
      <x:c r="D1496" t="n">
        <x:f>Dashboard_Live_Data!AJ25</x:f>
        <x:v>2966.5111922476426</x:v>
      </x:c>
      <x:c r="E1496" t="n">
        <x:f>Dashboard_Live_Data!AK25</x:f>
        <x:v>-646.4000000000001</x:v>
      </x:c>
      <x:c r="F1496" t="n">
        <x:f>Dashboard_Live_Data!AL25</x:f>
        <x:v>6772.258771364358</x:v>
      </x:c>
      <x:c r="G1496" t="n">
        <x:f>Dashboard_Live_Data!AM25</x:f>
        <x:v>-646.4000000000001</x:v>
      </x:c>
      <x:c r="H1496" t="n">
        <x:f>Dashboard_Live_Data!AN25</x:f>
        <x:v>6754.08832481869</x:v>
      </x:c>
    </x:row>
    <x:row r="1497">
      <x:c r="A1497" t="n">
        <x:f>Dashboard_Live_Data!AG26</x:f>
        <x:v>-48</x:v>
      </x:c>
      <x:c r="B1497" t="n">
        <x:f>Dashboard_Live_Data!AH26</x:f>
        <x:v>2715.9462080599938</x:v>
      </x:c>
      <x:c r="C1497" t="n">
        <x:f>Dashboard_Live_Data!AI26</x:f>
        <x:v>-320</x:v>
      </x:c>
      <x:c r="D1497" t="n">
        <x:f>Dashboard_Live_Data!AJ26</x:f>
        <x:v>2926.8282235073743</x:v>
      </x:c>
      <x:c r="E1497" t="n">
        <x:f>Dashboard_Live_Data!AK26</x:f>
        <x:v>-640</x:v>
      </x:c>
      <x:c r="F1497" t="n">
        <x:f>Dashboard_Live_Data!AL26</x:f>
        <x:v>6669.6695538641015</x:v>
      </x:c>
      <x:c r="G1497" t="n">
        <x:f>Dashboard_Live_Data!AM26</x:f>
        <x:v>-640</x:v>
      </x:c>
      <x:c r="H1497" t="n">
        <x:f>Dashboard_Live_Data!AN26</x:f>
        <x:v>6650.89648885563</x:v>
      </x:c>
    </x:row>
    <x:row r="1498">
      <x:c r="A1498" t="n">
        <x:f>Dashboard_Live_Data!AG27</x:f>
        <x:v>-47.52</x:v>
      </x:c>
      <x:c r="B1498" t="n">
        <x:f>Dashboard_Live_Data!AH27</x:f>
        <x:v>2715.1368098124726</x:v>
      </x:c>
      <x:c r="C1498" t="n">
        <x:f>Dashboard_Live_Data!AI27</x:f>
        <x:v>-316.8</x:v>
      </x:c>
      <x:c r="D1498" t="n">
        <x:f>Dashboard_Live_Data!AJ27</x:f>
        <x:v>2887.428399392069</x:v>
      </x:c>
      <x:c r="E1498" t="n">
        <x:f>Dashboard_Live_Data!AK27</x:f>
        <x:v>-633.6</x:v>
      </x:c>
      <x:c r="F1498" t="n">
        <x:f>Dashboard_Live_Data!AL27</x:f>
        <x:v>6567.954610839783</x:v>
      </x:c>
      <x:c r="G1498" t="n">
        <x:f>Dashboard_Live_Data!AM27</x:f>
        <x:v>-633.6</x:v>
      </x:c>
      <x:c r="H1498" t="n">
        <x:f>Dashboard_Live_Data!AN27</x:f>
        <x:v>6548.591781107728</x:v>
      </x:c>
    </x:row>
    <x:row r="1499">
      <x:c r="A1499" t="n">
        <x:f>Dashboard_Live_Data!AG28</x:f>
        <x:v>-46.980000000000004</x:v>
      </x:c>
      <x:c r="B1499" t="n">
        <x:f>Dashboard_Live_Data!AH28</x:f>
        <x:v>2714.235753570058</x:v>
      </x:c>
      <x:c r="C1499" t="n">
        <x:f>Dashboard_Live_Data!AI28</x:f>
        <x:v>-313.20000000000005</x:v>
      </x:c>
      <x:c r="D1499" t="n">
        <x:f>Dashboard_Live_Data!AJ28</x:f>
        <x:v>2843.440582690011</x:v>
      </x:c>
      <x:c r="E1499" t="n">
        <x:f>Dashboard_Live_Data!AK28</x:f>
        <x:v>-626.4000000000001</x:v>
      </x:c>
      <x:c r="F1499" t="n">
        <x:f>Dashboard_Live_Data!AL28</x:f>
        <x:v>6454.567802288767</x:v>
      </x:c>
      <x:c r="G1499" t="n">
        <x:f>Dashboard_Live_Data!AM28</x:f>
        <x:v>-626.4000000000001</x:v>
      </x:c>
      <x:c r="H1499" t="n">
        <x:f>Dashboard_Live_Data!AN28</x:f>
        <x:v>6434.556924518235</x:v>
      </x:c>
    </x:row>
    <x:row r="1500">
      <x:c r="A1500" t="n">
        <x:f>Dashboard_Live_Data!AG29</x:f>
        <x:v>-46.5</x:v>
      </x:c>
      <x:c r="B1500" t="n">
        <x:f>Dashboard_Live_Data!AH29</x:f>
        <x:v>2713.4432796899005</x:v>
      </x:c>
      <x:c r="C1500" t="n">
        <x:f>Dashboard_Live_Data!AI29</x:f>
        <x:v>-310</x:v>
      </x:c>
      <x:c r="D1500" t="n">
        <x:f>Dashboard_Live_Data!AJ29</x:f>
        <x:v>2804.638522662561</x:v>
      </x:c>
      <x:c r="E1500" t="n">
        <x:f>Dashboard_Live_Data!AK29</x:f>
        <x:v>-620</x:v>
      </x:c>
      <x:c r="F1500" t="n">
        <x:f>Dashboard_Live_Data!AL29</x:f>
        <x:v>6354.703876330992</x:v>
      </x:c>
      <x:c r="G1500" t="n">
        <x:f>Dashboard_Live_Data!AM29</x:f>
        <x:v>-620</x:v>
      </x:c>
      <x:c r="H1500" t="n">
        <x:f>Dashboard_Live_Data!AN29</x:f>
        <x:v>6334.130742726853</x:v>
      </x:c>
    </x:row>
    <x:row r="1501">
      <x:c r="A1501" t="n">
        <x:f>Dashboard_Live_Data!AG30</x:f>
        <x:v>-46.02</x:v>
      </x:c>
      <x:c r="B1501" t="n">
        <x:f>Dashboard_Live_Data!AH30</x:f>
        <x:v>2712.658778127942</x:v>
      </x:c>
      <x:c r="C1501" t="n">
        <x:f>Dashboard_Live_Data!AI30</x:f>
        <x:v>-306.8</x:v>
      </x:c>
      <x:c r="D1501" t="n">
        <x:f>Dashboard_Live_Data!AJ30</x:f>
        <x:v>2766.1158768793084</x:v>
      </x:c>
      <x:c r="E1501" t="n">
        <x:f>Dashboard_Live_Data!AK30</x:f>
        <x:v>-613.6</x:v>
      </x:c>
      <x:c r="F1501" t="n">
        <x:f>Dashboard_Live_Data!AL30</x:f>
        <x:v>6255.7076711632635</x:v>
      </x:c>
      <x:c r="G1501" t="n">
        <x:f>Dashboard_Live_Data!AM30</x:f>
        <x:v>-613.6</x:v>
      </x:c>
      <x:c r="H1501" t="n">
        <x:f>Dashboard_Live_Data!AN30</x:f>
        <x:v>6234.585318473166</x:v>
      </x:c>
    </x:row>
    <x:row r="1502">
      <x:c r="A1502" t="n">
        <x:f>Dashboard_Live_Data!AG31</x:f>
        <x:v>-45.480000000000004</x:v>
      </x:c>
      <x:c r="B1502" t="n">
        <x:f>Dashboard_Live_Data!AH31</x:f>
        <x:v>2711.7857495077187</x:v>
      </x:c>
      <x:c r="C1502" t="n">
        <x:f>Dashboard_Live_Data!AI31</x:f>
        <x:v>-303.2</x:v>
      </x:c>
      <x:c r="D1502" t="n">
        <x:f>Dashboard_Live_Data!AJ31</x:f>
        <x:v>2723.110349333624</x:v>
      </x:c>
      <x:c r="E1502" t="n">
        <x:f>Dashboard_Live_Data!AK31</x:f>
        <x:v>-606.4</x:v>
      </x:c>
      <x:c r="F1502" t="n">
        <x:f>Dashboard_Live_Data!AL31</x:f>
        <x:v>6145.371354766009</x:v>
      </x:c>
      <x:c r="G1502" t="n">
        <x:f>Dashboard_Live_Data!AM31</x:f>
        <x:v>-606.4</x:v>
      </x:c>
      <x:c r="H1502" t="n">
        <x:f>Dashboard_Live_Data!AN31</x:f>
        <x:v>6123.646786047526</x:v>
      </x:c>
    </x:row>
    <x:row r="1503">
      <x:c r="A1503" t="n">
        <x:f>Dashboard_Live_Data!AG32</x:f>
        <x:v>-45</x:v>
      </x:c>
      <x:c r="B1503" t="n">
        <x:f>Dashboard_Live_Data!AH32</x:f>
        <x:v>2711.018205671868</x:v>
      </x:c>
      <x:c r="C1503" t="n">
        <x:f>Dashboard_Live_Data!AI32</x:f>
        <x:v>-300</x:v>
      </x:c>
      <x:c r="D1503" t="n">
        <x:f>Dashboard_Live_Data!AJ32</x:f>
        <x:v>2685.177333423242</x:v>
      </x:c>
      <x:c r="E1503" t="n">
        <x:f>Dashboard_Live_Data!AK32</x:f>
        <x:v>-600</x:v>
      </x:c>
      <x:c r="F1503" t="n">
        <x:f>Dashboard_Live_Data!AL32</x:f>
        <x:v>6048.211556044975</x:v>
      </x:c>
      <x:c r="G1503" t="n">
        <x:f>Dashboard_Live_Data!AM32</x:f>
        <x:v>-600</x:v>
      </x:c>
      <x:c r="H1503" t="n">
        <x:f>Dashboard_Live_Data!AN32</x:f>
        <x:v>6025.965664177064</x:v>
      </x:c>
    </x:row>
    <x:row r="1504">
      <x:c r="A1504" t="n">
        <x:f>Dashboard_Live_Data!AG33</x:f>
        <x:v>-44.519999999999996</x:v>
      </x:c>
      <x:c r="B1504" t="n">
        <x:f>Dashboard_Live_Data!AH33</x:f>
        <x:v>2710.258649634195</x:v>
      </x:c>
      <x:c r="C1504" t="n">
        <x:f>Dashboard_Live_Data!AI33</x:f>
        <x:v>-296.8</x:v>
      </x:c>
      <x:c r="D1504" t="n">
        <x:f>Dashboard_Live_Data!AJ33</x:f>
        <x:v>2647.519805513155</x:v>
      </x:c>
      <x:c r="E1504" t="n">
        <x:f>Dashboard_Live_Data!AK33</x:f>
        <x:v>-593.6</x:v>
      </x:c>
      <x:c r="F1504" t="n">
        <x:f>Dashboard_Live_Data!AL33</x:f>
        <x:v>5951.912269047644</x:v>
      </x:c>
      <x:c r="G1504" t="n">
        <x:f>Dashboard_Live_Data!AM33</x:f>
        <x:v>-593.6</x:v>
      </x:c>
      <x:c r="H1504" t="n">
        <x:f>Dashboard_Live_Data!AN33</x:f>
        <x:v>5929.158271486265</x:v>
      </x:c>
    </x:row>
    <x:row r="1505">
      <x:c r="A1505" t="n">
        <x:f>Dashboard_Live_Data!AG34</x:f>
        <x:v>-43.980000000000004</x:v>
      </x:c>
      <x:c r="B1505" t="n">
        <x:f>Dashboard_Live_Data!AH34</x:f>
        <x:v>2709.41370305717</x:v>
      </x:c>
      <x:c r="C1505" t="n">
        <x:f>Dashboard_Live_Data!AI34</x:f>
        <x:v>-293.2</x:v>
      </x:c>
      <x:c r="D1505" t="n">
        <x:f>Dashboard_Live_Data!AJ34</x:f>
        <x:v>2605.4827634648645</x:v>
      </x:c>
      <x:c r="E1505" t="n">
        <x:f>Dashboard_Live_Data!AK34</x:f>
        <x:v>-586.4</x:v>
      </x:c>
      <x:c r="F1505" t="n">
        <x:f>Dashboard_Live_Data!AL34</x:f>
        <x:v>5844.601093061466</x:v>
      </x:c>
      <x:c r="G1505" t="n">
        <x:f>Dashboard_Live_Data!AM34</x:f>
        <x:v>-586.4</x:v>
      </x:c>
      <x:c r="H1505" t="n">
        <x:f>Dashboard_Live_Data!AN34</x:f>
        <x:v>5821.291346397364</x:v>
      </x:c>
    </x:row>
    <x:row r="1506">
      <x:c r="A1506" t="n">
        <x:f>Dashboard_Live_Data!AG35</x:f>
        <x:v>-43.5</x:v>
      </x:c>
      <x:c r="B1506" t="n">
        <x:f>Dashboard_Live_Data!AH35</x:f>
        <x:v>2708.6711371730257</x:v>
      </x:c>
      <x:c r="C1506" t="n">
        <x:f>Dashboard_Live_Data!AI35</x:f>
        <x:v>-290</x:v>
      </x:c>
      <x:c r="D1506" t="n">
        <x:f>Dashboard_Live_Data!AJ35</x:f>
        <x:v>2568.4063111009086</x:v>
      </x:c>
      <x:c r="E1506" t="n">
        <x:f>Dashboard_Live_Data!AK35</x:f>
        <x:v>-580</x:v>
      </x:c>
      <x:c r="F1506" t="n">
        <x:f>Dashboard_Live_Data!AL35</x:f>
        <x:v>5750.1221522344285</x:v>
      </x:c>
      <x:c r="G1506" t="n">
        <x:f>Dashboard_Live_Data!AM35</x:f>
        <x:v>-580</x:v>
      </x:c>
      <x:c r="H1506" t="n">
        <x:f>Dashboard_Live_Data!AN35</x:f>
        <x:v>5726.332575075653</x:v>
      </x:c>
    </x:row>
    <x:row r="1507">
      <x:c r="A1507" t="n">
        <x:f>Dashboard_Live_Data!AG36</x:f>
        <x:v>-43.019999999999996</x:v>
      </x:c>
      <x:c r="B1507" t="n">
        <x:f>Dashboard_Live_Data!AH36</x:f>
        <x:v>2707.9365741255974</x:v>
      </x:c>
      <x:c r="C1507" t="n">
        <x:f>Dashboard_Live_Data!AI36</x:f>
        <x:v>-286.79999999999995</x:v>
      </x:c>
      <x:c r="D1507" t="n">
        <x:f>Dashboard_Live_Data!AJ36</x:f>
        <x:v>2531.601221281773</x:v>
      </x:c>
      <x:c r="E1507" t="n">
        <x:f>Dashboard_Live_Data!AK36</x:f>
        <x:v>-573.5999999999999</x:v>
      </x:c>
      <x:c r="F1507" t="n">
        <x:f>Dashboard_Live_Data!AL36</x:f>
        <x:v>5656.495804293952</x:v>
      </x:c>
      <x:c r="G1507" t="n">
        <x:f>Dashboard_Live_Data!AM36</x:f>
        <x:v>-573.5999999999999</x:v>
      </x:c>
      <x:c r="H1507" t="n">
        <x:f>Dashboard_Live_Data!AN36</x:f>
        <x:v>5632.239789639228</x:v>
      </x:c>
    </x:row>
    <x:row r="1508">
      <x:c r="A1508" t="n">
        <x:f>Dashboard_Live_Data!AG37</x:f>
        <x:v>-42.48</x:v>
      </x:c>
      <x:c r="B1508" t="n">
        <x:f>Dashboard_Live_Data!AH37</x:f>
        <x:v>2707.119762460756</x:v>
      </x:c>
      <x:c r="C1508" t="n">
        <x:f>Dashboard_Live_Data!AI37</x:f>
        <x:v>-283.2</x:v>
      </x:c>
      <x:c r="D1508" t="n">
        <x:f>Dashboard_Live_Data!AJ37</x:f>
        <x:v>2490.518160948682</x:v>
      </x:c>
      <x:c r="E1508" t="n">
        <x:f>Dashboard_Live_Data!AK37</x:f>
        <x:v>-566.4</x:v>
      </x:c>
      <x:c r="F1508" t="n">
        <x:f>Dashboard_Live_Data!AL37</x:f>
        <x:v>5552.181921221136</x:v>
      </x:c>
      <x:c r="G1508" t="n">
        <x:f>Dashboard_Live_Data!AM37</x:f>
        <x:v>-566.4</x:v>
      </x:c>
      <x:c r="H1508" t="n">
        <x:f>Dashboard_Live_Data!AN37</x:f>
        <x:v>5527.417241051008</x:v>
      </x:c>
    </x:row>
    <x:row r="1509">
      <x:c r="A1509" t="n">
        <x:f>Dashboard_Live_Data!AG38</x:f>
        <x:v>-42</x:v>
      </x:c>
      <x:c r="B1509" t="n">
        <x:f>Dashboard_Live_Data!AH38</x:f>
        <x:v>2706.402221049479</x:v>
      </x:c>
      <x:c r="C1509" t="n">
        <x:f>Dashboard_Live_Data!AI38</x:f>
        <x:v>-280</x:v>
      </x:c>
      <x:c r="D1509" t="n">
        <x:f>Dashboard_Live_Data!AJ38</x:f>
        <x:v>2454.285166823356</x:v>
      </x:c>
      <x:c r="E1509" t="n">
        <x:f>Dashboard_Live_Data!AK38</x:f>
        <x:v>-560</x:v>
      </x:c>
      <x:c r="F1509" t="n">
        <x:f>Dashboard_Live_Data!AL38</x:f>
        <x:v>5460.3582902555545</x:v>
      </x:c>
      <x:c r="G1509" t="n">
        <x:f>Dashboard_Live_Data!AM38</x:f>
        <x:v>-560</x:v>
      </x:c>
      <x:c r="H1509" t="n">
        <x:f>Dashboard_Live_Data!AN38</x:f>
        <x:v>5435.1558124688245</x:v>
      </x:c>
    </x:row>
    <x:row r="1510">
      <x:c r="A1510" t="n">
        <x:f>Dashboard_Live_Data!AG39</x:f>
        <x:v>-41.519999999999996</x:v>
      </x:c>
      <x:c r="B1510" t="n">
        <x:f>Dashboard_Live_Data!AH39</x:f>
        <x:v>2705.692697065748</x:v>
      </x:c>
      <x:c r="C1510" t="n">
        <x:f>Dashboard_Live_Data!AI39</x:f>
        <x:v>-276.79999999999995</x:v>
      </x:c>
      <x:c r="D1510" t="n">
        <x:f>Dashboard_Live_Data!AJ39</x:f>
        <x:v>2418.3192089337513</x:v>
      </x:c>
      <x:c r="E1510" t="n">
        <x:f>Dashboard_Live_Data!AK39</x:f>
        <x:v>-553.5999999999999</x:v>
      </x:c>
      <x:c r="F1510" t="n">
        <x:f>Dashboard_Live_Data!AL39</x:f>
        <x:v>5369.3785657395565</x:v>
      </x:c>
      <x:c r="G1510" t="n">
        <x:f>Dashboard_Live_Data!AM39</x:f>
        <x:v>-553.5999999999999</x:v>
      </x:c>
      <x:c r="H1510" t="n">
        <x:f>Dashboard_Live_Data!AN39</x:f>
        <x:v>5343.751850152343</x:v>
      </x:c>
    </x:row>
    <x:row r="1511">
      <x:c r="A1511" t="n">
        <x:f>Dashboard_Live_Data!AG40</x:f>
        <x:v>-40.980000000000004</x:v>
      </x:c>
      <x:c r="B1511" t="n">
        <x:f>Dashboard_Live_Data!AH40</x:f>
        <x:v>2704.9040716081277</x:v>
      </x:c>
      <x:c r="C1511" t="n">
        <x:f>Dashboard_Live_Data!AI40</x:f>
        <x:v>-273.20000000000005</x:v>
      </x:c>
      <x:c r="D1511" t="n">
        <x:f>Dashboard_Live_Data!AJ40</x:f>
        <x:v>2378.1749207105045</x:v>
      </x:c>
      <x:c r="E1511" t="n">
        <x:f>Dashboard_Live_Data!AK40</x:f>
        <x:v>-546.4000000000001</x:v>
      </x:c>
      <x:c r="F1511" t="n">
        <x:f>Dashboard_Live_Data!AL40</x:f>
        <x:v>5268.031429047745</x:v>
      </x:c>
      <x:c r="G1511" t="n">
        <x:f>Dashboard_Live_Data!AM40</x:f>
        <x:v>-546.4000000000001</x:v>
      </x:c>
      <x:c r="H1511" t="n">
        <x:f>Dashboard_Live_Data!AN40</x:f>
        <x:v>5241.943717406506</x:v>
      </x:c>
    </x:row>
    <x:row r="1512">
      <x:c r="A1512" t="n">
        <x:f>Dashboard_Live_Data!AG41</x:f>
        <x:v>-40.5</x:v>
      </x:c>
      <x:c r="B1512" t="n">
        <x:f>Dashboard_Live_Data!AH41</x:f>
        <x:v>2704.2115997852675</x:v>
      </x:c>
      <x:c r="C1512" t="n">
        <x:f>Dashboard_Live_Data!AI41</x:f>
        <x:v>-270</x:v>
      </x:c>
      <x:c r="D1512" t="n">
        <x:f>Dashboard_Live_Data!AJ41</x:f>
        <x:v>2342.7716518918514</x:v>
      </x:c>
      <x:c r="E1512" t="n">
        <x:f>Dashboard_Live_Data!AK41</x:f>
        <x:v>-540</x:v>
      </x:c>
      <x:c r="F1512" t="n">
        <x:f>Dashboard_Live_Data!AL41</x:f>
        <x:v>5178.835096993912</x:v>
      </x:c>
      <x:c r="G1512" t="n">
        <x:f>Dashboard_Live_Data!AM41</x:f>
        <x:v>-540</x:v>
      </x:c>
      <x:c r="H1512" t="n">
        <x:f>Dashboard_Live_Data!AN41</x:f>
        <x:v>5152.352129116699</x:v>
      </x:c>
    </x:row>
    <x:row r="1513">
      <x:c r="A1513" t="n">
        <x:f>Dashboard_Live_Data!AG42</x:f>
        <x:v>-40.02</x:v>
      </x:c>
      <x:c r="B1513" t="n">
        <x:f>Dashboard_Live_Data!AH42</x:f>
        <x:v>2703.527159526966</x:v>
      </x:c>
      <x:c r="C1513" t="n">
        <x:f>Dashboard_Live_Data!AI42</x:f>
        <x:v>-266.8</x:v>
      </x:c>
      <x:c r="D1513" t="n">
        <x:f>Dashboard_Live_Data!AJ42</x:f>
        <x:v>2307.6308927499517</x:v>
      </x:c>
      <x:c r="E1513" t="n">
        <x:f>Dashboard_Live_Data!AK42</x:f>
        <x:v>-533.6</x:v>
      </x:c>
      <x:c r="F1513" t="n">
        <x:f>Dashboard_Live_Data!AL42</x:f>
        <x:v>5090.473156276304</x:v>
      </x:c>
      <x:c r="G1513" t="n">
        <x:f>Dashboard_Live_Data!AM42</x:f>
        <x:v>-533.6</x:v>
      </x:c>
      <x:c r="H1513" t="n">
        <x:f>Dashboard_Live_Data!AN42</x:f>
        <x:v>5063.608645679319</x:v>
      </x:c>
    </x:row>
    <x:row r="1514">
      <x:c r="A1514" t="n">
        <x:f>Dashboard_Live_Data!AG43</x:f>
        <x:v>-39.480000000000004</x:v>
      </x:c>
      <x:c r="B1514" t="n">
        <x:f>Dashboard_Live_Data!AH43</x:f>
        <x:v>2702.766769976195</x:v>
      </x:c>
      <x:c r="C1514" t="n">
        <x:f>Dashboard_Live_Data!AI43</x:f>
        <x:v>-263.20000000000005</x:v>
      </x:c>
      <x:c r="D1514" t="n">
        <x:f>Dashboard_Live_Data!AJ43</x:f>
        <x:v>2268.409463423141</x:v>
      </x:c>
      <x:c r="E1514" t="n">
        <x:f>Dashboard_Live_Data!AK43</x:f>
        <x:v>-526.4000000000001</x:v>
      </x:c>
      <x:c r="F1514" t="n">
        <x:f>Dashboard_Live_Data!AL43</x:f>
        <x:v>4992.059305723048</x:v>
      </x:c>
      <x:c r="G1514" t="n">
        <x:f>Dashboard_Live_Data!AM43</x:f>
        <x:v>-526.4000000000001</x:v>
      </x:c>
      <x:c r="H1514" t="n">
        <x:f>Dashboard_Live_Data!AN43</x:f>
        <x:v>4964.782008157169</x:v>
      </x:c>
    </x:row>
    <x:row r="1515">
      <x:c r="A1515" t="n">
        <x:f>Dashboard_Live_Data!AG44</x:f>
        <x:v>-39</x:v>
      </x:c>
      <x:c r="B1515" t="n">
        <x:f>Dashboard_Live_Data!AH44</x:f>
        <x:v>2702.0994114328023</x:v>
      </x:c>
      <x:c r="C1515" t="n">
        <x:f>Dashboard_Live_Data!AI44</x:f>
        <x:v>-260</x:v>
      </x:c>
      <x:c r="D1515" t="n">
        <x:f>Dashboard_Live_Data!AJ44</x:f>
        <x:v>2233.821564177517</x:v>
      </x:c>
      <x:c r="E1515" t="n">
        <x:f>Dashboard_Live_Data!AK44</x:f>
        <x:v>-520</x:v>
      </x:c>
      <x:c r="F1515" t="n">
        <x:f>Dashboard_Live_Data!AL44</x:f>
        <x:v>4905.459604666784</x:v>
      </x:c>
      <x:c r="G1515" t="n">
        <x:f>Dashboard_Live_Data!AM44</x:f>
        <x:v>-520</x:v>
      </x:c>
      <x:c r="H1515" t="n">
        <x:f>Dashboard_Live_Data!AN44</x:f>
        <x:v>4877.830054285296</x:v>
      </x:c>
    </x:row>
    <x:row r="1516">
      <x:c r="A1516" t="n">
        <x:f>Dashboard_Live_Data!AG45</x:f>
        <x:v>-38.519999999999996</x:v>
      </x:c>
      <x:c r="B1516" t="n">
        <x:f>Dashboard_Live_Data!AH45</x:f>
        <x:v>2701.440098131209</x:v>
      </x:c>
      <x:c r="C1516" t="n">
        <x:f>Dashboard_Live_Data!AI45</x:f>
        <x:v>-256.8</x:v>
      </x:c>
      <x:c r="D1516" t="n">
        <x:f>Dashboard_Live_Data!AJ45</x:f>
        <x:v>2199.4914513372773</x:v>
      </x:c>
      <x:c r="E1516" t="n">
        <x:f>Dashboard_Live_Data!AK45</x:f>
        <x:v>-513.6</x:v>
      </x:c>
      <x:c r="F1516" t="n">
        <x:f>Dashboard_Live_Data!AL45</x:f>
        <x:v>4819.683887182145</x:v>
      </x:c>
      <x:c r="G1516" t="n">
        <x:f>Dashboard_Live_Data!AM45</x:f>
        <x:v>-513.6</x:v>
      </x:c>
      <x:c r="H1516" t="n">
        <x:f>Dashboard_Live_Data!AN45</x:f>
        <x:v>4791.715932694854</x:v>
      </x:c>
    </x:row>
    <x:row r="1517">
      <x:c r="A1517" t="n">
        <x:f>Dashboard_Live_Data!AG46</x:f>
        <x:v>-37.980000000000004</x:v>
      </x:c>
      <x:c r="B1517" t="n">
        <x:f>Dashboard_Live_Data!AH46</x:f>
        <x:v>2700.7079925706203</x:v>
      </x:c>
      <x:c r="C1517" t="n">
        <x:f>Dashboard_Live_Data!AI46</x:f>
        <x:v>-253.2</x:v>
      </x:c>
      <x:c r="D1517" t="n">
        <x:f>Dashboard_Live_Data!AJ46</x:f>
        <x:v>2161.1762766414804</x:v>
      </x:c>
      <x:c r="E1517" t="n">
        <x:f>Dashboard_Live_Data!AK46</x:f>
        <x:v>-506.4</x:v>
      </x:c>
      <x:c r="F1517" t="n">
        <x:f>Dashboard_Live_Data!AL46</x:f>
        <x:v>4724.166723978402</x:v>
      </x:c>
      <x:c r="G1517" t="n">
        <x:f>Dashboard_Live_Data!AM46</x:f>
        <x:v>-506.4</x:v>
      </x:c>
      <x:c r="H1517" t="n">
        <x:f>Dashboard_Live_Data!AN46</x:f>
        <x:v>4695.834666007484</x:v>
      </x:c>
    </x:row>
    <x:row r="1518">
      <x:c r="A1518" t="n">
        <x:f>Dashboard_Live_Data!AG47</x:f>
        <x:v>-37.5</x:v>
      </x:c>
      <x:c r="B1518" t="n">
        <x:f>Dashboard_Live_Data!AH47</x:f>
        <x:v>2700.065789554835</x:v>
      </x:c>
      <x:c r="C1518" t="n">
        <x:f>Dashboard_Live_Data!AI47</x:f>
        <x:v>-250</x:v>
      </x:c>
      <x:c r="D1518" t="n">
        <x:f>Dashboard_Live_Data!AJ47</x:f>
        <x:v>2127.3887833117165</x:v>
      </x:c>
      <x:c r="E1518" t="n">
        <x:f>Dashboard_Live_Data!AK47</x:f>
        <x:v>-500</x:v>
      </x:c>
      <x:c r="F1518" t="n">
        <x:f>Dashboard_Live_Data!AL47</x:f>
        <x:v>4640.130126474501</x:v>
      </x:c>
      <x:c r="G1518" t="n">
        <x:f>Dashboard_Live_Data!AM47</x:f>
        <x:v>-500</x:v>
      </x:c>
      <x:c r="H1518" t="n">
        <x:f>Dashboard_Live_Data!AN47</x:f>
        <x:v>4611.489216623593</x:v>
      </x:c>
    </x:row>
    <x:row r="1519">
      <x:c r="A1519" t="n">
        <x:f>Dashboard_Live_Data!AG48</x:f>
        <x:v>-37.019999999999996</x:v>
      </x:c>
      <x:c r="B1519" t="n">
        <x:f>Dashboard_Live_Data!AH48</x:f>
        <x:v>2699.43164499259</x:v>
      </x:c>
      <x:c r="C1519" t="n">
        <x:f>Dashboard_Live_Data!AI48</x:f>
        <x:v>-246.8</x:v>
      </x:c>
      <x:c r="D1519" t="n">
        <x:f>Dashboard_Live_Data!AJ48</x:f>
        <x:v>2093.8541637603007</x:v>
      </x:c>
      <x:c r="E1519" t="n">
        <x:f>Dashboard_Live_Data!AK48</x:f>
        <x:v>-493.6</x:v>
      </x:c>
      <x:c r="F1519" t="n">
        <x:f>Dashboard_Live_Data!AL48</x:f>
        <x:v>4556.9061458124115</x:v>
      </x:c>
      <x:c r="G1519" t="n">
        <x:f>Dashboard_Live_Data!AM48</x:f>
        <x:v>-493.6</x:v>
      </x:c>
      <x:c r="H1519" t="n">
        <x:f>Dashboard_Live_Data!AN48</x:f>
        <x:v>4527.970342892097</x:v>
      </x:c>
    </x:row>
    <x:row r="1520">
      <x:c r="A1520" t="n">
        <x:f>Dashboard_Live_Data!AG49</x:f>
        <x:v>-36.480000000000004</x:v>
      </x:c>
      <x:c r="B1520" t="n">
        <x:f>Dashboard_Live_Data!AH49</x:f>
        <x:v>2698.7278698689106</x:v>
      </x:c>
      <x:c r="C1520" t="n">
        <x:f>Dashboard_Live_Data!AI49</x:f>
        <x:v>-243.2</x:v>
      </x:c>
      <x:c r="D1520" t="n">
        <x:f>Dashboard_Live_Data!AJ49</x:f>
        <x:v>2056.427974395935</x:v>
      </x:c>
      <x:c r="E1520" t="n">
        <x:f>Dashboard_Live_Data!AK49</x:f>
        <x:v>-486.4</x:v>
      </x:c>
      <x:c r="F1520" t="n">
        <x:f>Dashboard_Live_Data!AL49</x:f>
        <x:v>4464.245699599919</x:v>
      </x:c>
      <x:c r="G1520" t="n">
        <x:f>Dashboard_Live_Data!AM49</x:f>
        <x:v>-486.4</x:v>
      </x:c>
      <x:c r="H1520" t="n">
        <x:f>Dashboard_Live_Data!AN49</x:f>
        <x:v>4434.994862669753</x:v>
      </x:c>
    </x:row>
    <x:row r="1521">
      <x:c r="A1521" t="n">
        <x:f>Dashboard_Live_Data!AG50</x:f>
        <x:v>-36</x:v>
      </x:c>
      <x:c r="B1521" t="n">
        <x:f>Dashboard_Live_Data!AH50</x:f>
        <x:v>2698.110863168117</x:v>
      </x:c>
      <x:c r="C1521" t="n">
        <x:f>Dashboard_Live_Data!AI50</x:f>
        <x:v>-240</x:v>
      </x:c>
      <x:c r="D1521" t="n">
        <x:f>Dashboard_Live_Data!AJ50</x:f>
        <x:v>2023.4253433638573</x:v>
      </x:c>
      <x:c r="E1521" t="n">
        <x:f>Dashboard_Live_Data!AK50</x:f>
        <x:v>-480</x:v>
      </x:c>
      <x:c r="F1521" t="n">
        <x:f>Dashboard_Live_Data!AL50</x:f>
        <x:v>4382.735609610576</x:v>
      </x:c>
      <x:c r="G1521" t="n">
        <x:f>Dashboard_Live_Data!AM50</x:f>
        <x:v>-480</x:v>
      </x:c>
      <x:c r="H1521" t="n">
        <x:f>Dashboard_Live_Data!AN50</x:f>
        <x:v>4353.219632675859</x:v>
      </x:c>
    </x:row>
    <x:row r="1522">
      <x:c r="A1522" t="n">
        <x:f>Dashboard_Live_Data!AG51</x:f>
        <x:v>-35.519999999999996</x:v>
      </x:c>
      <x:c r="B1522" t="n">
        <x:f>Dashboard_Live_Data!AH51</x:f>
        <x:v>2697.5019276614603</x:v>
      </x:c>
      <x:c r="C1522" t="n">
        <x:f>Dashboard_Live_Data!AI51</x:f>
        <x:v>-236.79999999999998</x:v>
      </x:c>
      <x:c r="D1522" t="n">
        <x:f>Dashboard_Live_Data!AJ51</x:f>
        <x:v>1990.6704964522148</x:v>
      </x:c>
      <x:c r="E1522" t="n">
        <x:f>Dashboard_Live_Data!AK51</x:f>
        <x:v>-473.59999999999997</x:v>
      </x:c>
      <x:c r="F1522" t="n">
        <x:f>Dashboard_Live_Data!AL51</x:f>
        <x:v>4302.025742951585</x:v>
      </x:c>
      <x:c r="G1522" t="n">
        <x:f>Dashboard_Live_Data!AM51</x:f>
        <x:v>-473.59999999999997</x:v>
      </x:c>
      <x:c r="H1522" t="n">
        <x:f>Dashboard_Live_Data!AN51</x:f>
        <x:v>4272.2586618025425</x:v>
      </x:c>
    </x:row>
    <x:row r="1523">
      <x:c r="A1523" t="n">
        <x:f>Dashboard_Live_Data!AG52</x:f>
        <x:v>-34.98</x:v>
      </x:c>
      <x:c r="B1523" t="n">
        <x:f>Dashboard_Live_Data!AH52</x:f>
        <x:v>2696.8265277651735</x:v>
      </x:c>
      <x:c r="C1523" t="n">
        <x:f>Dashboard_Live_Data!AI52</x:f>
        <x:v>-233.2</x:v>
      </x:c>
      <x:c r="D1523" t="n">
        <x:f>Dashboard_Live_Data!AJ52</x:f>
        <x:v>1954.1154016181265</x:v>
      </x:c>
      <x:c r="E1523" t="n">
        <x:f>Dashboard_Live_Data!AK52</x:f>
        <x:v>-466.4</x:v>
      </x:c>
      <x:c r="F1523" t="n">
        <x:f>Dashboard_Live_Data!AL52</x:f>
        <x:v>4212.178433547609</x:v>
      </x:c>
      <x:c r="G1523" t="n">
        <x:f>Dashboard_Live_Data!AM52</x:f>
        <x:v>-466.4</x:v>
      </x:c>
      <x:c r="H1523" t="n">
        <x:f>Dashboard_Live_Data!AN52</x:f>
        <x:v>4182.145657173544</x:v>
      </x:c>
    </x:row>
    <x:row r="1524">
      <x:c r="A1524" t="n">
        <x:f>Dashboard_Live_Data!AG53</x:f>
        <x:v>-34.5</x:v>
      </x:c>
      <x:c r="B1524" t="n">
        <x:f>Dashboard_Live_Data!AH53</x:f>
        <x:v>2696.234756688648</x:v>
      </x:c>
      <x:c r="C1524" t="n">
        <x:f>Dashboard_Live_Data!AI53</x:f>
        <x:v>-229.99999999999997</x:v>
      </x:c>
      <x:c r="D1524" t="n">
        <x:f>Dashboard_Live_Data!AJ53</x:f>
        <x:v>1921.8815542974562</x:v>
      </x:c>
      <x:c r="E1524" t="n">
        <x:f>Dashboard_Live_Data!AK53</x:f>
        <x:v>-459.99999999999994</x:v>
      </x:c>
      <x:c r="F1524" t="n">
        <x:f>Dashboard_Live_Data!AL53</x:f>
        <x:v>4133.154973866361</x:v>
      </x:c>
      <x:c r="G1524" t="n">
        <x:f>Dashboard_Live_Data!AM53</x:f>
        <x:v>-459.99999999999994</x:v>
      </x:c>
      <x:c r="H1524" t="n">
        <x:f>Dashboard_Live_Data!AN53</x:f>
        <x:v>4102.900966862511</x:v>
      </x:c>
    </x:row>
    <x:row r="1525">
      <x:c r="A1525" t="n">
        <x:f>Dashboard_Live_Data!AG54</x:f>
        <x:v>-34.019999999999996</x:v>
      </x:c>
      <x:c r="B1525" t="n">
        <x:f>Dashboard_Live_Data!AH54</x:f>
        <x:v>2695.6510690703108</x:v>
      </x:c>
      <x:c r="C1525" t="n">
        <x:f>Dashboard_Live_Data!AI54</x:f>
        <x:v>-226.79999999999998</x:v>
      </x:c>
      <x:c r="D1525" t="n">
        <x:f>Dashboard_Live_Data!AJ54</x:f>
        <x:v>1889.8902432096763</x:v>
      </x:c>
      <x:c r="E1525" t="n">
        <x:f>Dashboard_Live_Data!AK54</x:f>
        <x:v>-453.59999999999997</x:v>
      </x:c>
      <x:c r="F1525" t="n">
        <x:f>Dashboard_Live_Data!AL54</x:f>
        <x:v>4054.9182491071806</x:v>
      </x:c>
      <x:c r="G1525" t="n">
        <x:f>Dashboard_Live_Data!AM54</x:f>
        <x:v>-453.59999999999997</x:v>
      </x:c>
      <x:c r="H1525" t="n">
        <x:f>Dashboard_Live_Data!AN54</x:f>
        <x:v>4024.457081346861</x:v>
      </x:c>
    </x:row>
    <x:row r="1526">
      <x:c r="A1526" t="n">
        <x:f>Dashboard_Live_Data!AG55</x:f>
        <x:v>-33.480000000000004</x:v>
      </x:c>
      <x:c r="B1526" t="n">
        <x:f>Dashboard_Live_Data!AH55</x:f>
        <x:v>2695.0040875164605</x:v>
      </x:c>
      <x:c r="C1526" t="n">
        <x:f>Dashboard_Live_Data!AI55</x:f>
        <x:v>-223.20000000000002</x:v>
      </x:c>
      <x:c r="D1526" t="n">
        <x:f>Dashboard_Live_Data!AJ55</x:f>
        <x:v>1854.1877969704217</x:v>
      </x:c>
      <x:c r="E1526" t="n">
        <x:f>Dashboard_Live_Data!AK55</x:f>
        <x:v>-446.40000000000003</x:v>
      </x:c>
      <x:c r="F1526" t="n">
        <x:f>Dashboard_Live_Data!AL55</x:f>
        <x:v>3967.8366472645534</x:v>
      </x:c>
      <x:c r="G1526" t="n">
        <x:f>Dashboard_Live_Data!AM55</x:f>
        <x:v>-446.40000000000003</x:v>
      </x:c>
      <x:c r="H1526" t="n">
        <x:f>Dashboard_Live_Data!AN55</x:f>
        <x:v>3937.1592412789855</x:v>
      </x:c>
    </x:row>
    <x:row r="1527">
      <x:c r="A1527" t="n">
        <x:f>Dashboard_Live_Data!AG56</x:f>
        <x:v>-33</x:v>
      </x:c>
      <x:c r="B1527" t="n">
        <x:f>Dashboard_Live_Data!AH56</x:f>
        <x:v>2694.4375898786375</x:v>
      </x:c>
      <x:c r="C1527" t="n">
        <x:f>Dashboard_Live_Data!AI56</x:f>
        <x:v>-220.00000000000003</x:v>
      </x:c>
      <x:c r="D1527" t="n">
        <x:f>Dashboard_Live_Data!AJ56</x:f>
        <x:v>1822.7061870307282</x:v>
      </x:c>
      <x:c r="E1527" t="n">
        <x:f>Dashboard_Live_Data!AK56</x:f>
        <x:v>-440.00000000000006</x:v>
      </x:c>
      <x:c r="F1527" t="n">
        <x:f>Dashboard_Live_Data!AL56</x:f>
        <x:v>3891.256447672386</x:v>
      </x:c>
      <x:c r="G1527" t="n">
        <x:f>Dashboard_Live_Data!AM56</x:f>
        <x:v>-440.00000000000006</x:v>
      </x:c>
      <x:c r="H1527" t="n">
        <x:f>Dashboard_Live_Data!AN56</x:f>
        <x:v>3860.401771777322</x:v>
      </x:c>
    </x:row>
    <x:row r="1528">
      <x:c r="A1528" t="n">
        <x:f>Dashboard_Live_Data!AG57</x:f>
        <x:v>-32.52</x:v>
      </x:c>
      <x:c r="B1528" t="n">
        <x:f>Dashboard_Live_Data!AH57</x:f>
        <x:v>2693.8791874812646</x:v>
      </x:c>
      <x:c r="C1528" t="n">
        <x:f>Dashboard_Live_Data!AI57</x:f>
        <x:v>-216.8</x:v>
      </x:c>
      <x:c r="D1528" t="n">
        <x:f>Dashboard_Live_Data!AJ57</x:f>
        <x:v>1791.4617344869769</x:v>
      </x:c>
      <x:c r="E1528" t="n">
        <x:f>Dashboard_Live_Data!AK57</x:f>
        <x:v>-433.6</x:v>
      </x:c>
      <x:c r="F1528" t="n">
        <x:f>Dashboard_Live_Data!AL57</x:f>
        <x:v>3815.4483329742607</x:v>
      </x:c>
      <x:c r="G1528" t="n">
        <x:f>Dashboard_Live_Data!AM57</x:f>
        <x:v>-433.6</x:v>
      </x:c>
      <x:c r="H1528" t="n">
        <x:f>Dashboard_Live_Data!AN57</x:f>
        <x:v>3784.430436320021</x:v>
      </x:c>
    </x:row>
    <x:row r="1529">
      <x:c r="A1529" t="n">
        <x:f>Dashboard_Live_Data!AG58</x:f>
        <x:v>-31.98</x:v>
      </x:c>
      <x:c r="B1529" t="n">
        <x:f>Dashboard_Live_Data!AH58</x:f>
        <x:v>2693.260665691084</x:v>
      </x:c>
      <x:c r="C1529" t="n">
        <x:f>Dashboard_Live_Data!AI58</x:f>
        <x:v>-213.20000000000002</x:v>
      </x:c>
      <x:c r="D1529" t="n">
        <x:f>Dashboard_Live_Data!AJ58</x:f>
        <x:v>1756.5930320423254</x:v>
      </x:c>
      <x:c r="E1529" t="n">
        <x:f>Dashboard_Live_Data!AK58</x:f>
        <x:v>-426.40000000000003</x:v>
      </x:c>
      <x:c r="F1529" t="n">
        <x:f>Dashboard_Live_Data!AL58</x:f>
        <x:v>3731.0809261239974</x:v>
      </x:c>
      <x:c r="G1529" t="n">
        <x:f>Dashboard_Live_Data!AM58</x:f>
        <x:v>-426.40000000000003</x:v>
      </x:c>
      <x:c r="H1529" t="n">
        <x:f>Dashboard_Live_Data!AN58</x:f>
        <x:v>3699.896173425855</x:v>
      </x:c>
    </x:row>
    <x:row r="1530">
      <x:c r="A1530" t="n">
        <x:f>Dashboard_Live_Data!AG59</x:f>
        <x:v>-31.5</x:v>
      </x:c>
      <x:c r="B1530" t="n">
        <x:f>Dashboard_Live_Data!AH59</x:f>
        <x:v>2692.7194777953123</x:v>
      </x:c>
      <x:c r="C1530" t="n">
        <x:f>Dashboard_Live_Data!AI59</x:f>
        <x:v>-210</x:v>
      </x:c>
      <x:c r="D1530" t="n">
        <x:f>Dashboard_Live_Data!AJ59</x:f>
        <x:v>1725.8467418024873</x:v>
      </x:c>
      <x:c r="E1530" t="n">
        <x:f>Dashboard_Live_Data!AK59</x:f>
        <x:v>-420</x:v>
      </x:c>
      <x:c r="F1530" t="n">
        <x:f>Dashboard_Live_Data!AL59</x:f>
        <x:v>3656.896918210815</x:v>
      </x:c>
      <x:c r="G1530" t="n">
        <x:f>Dashboard_Live_Data!AM59</x:f>
        <x:v>-420</x:v>
      </x:c>
      <x:c r="H1530" t="n">
        <x:f>Dashboard_Live_Data!AN59</x:f>
        <x:v>3625.578721629772</x:v>
      </x:c>
    </x:row>
    <x:row r="1531">
      <x:c r="A1531" t="n">
        <x:f>Dashboard_Live_Data!AG60</x:f>
        <x:v>-31.02</x:v>
      </x:c>
      <x:c r="B1531" t="n">
        <x:f>Dashboard_Live_Data!AH60</x:f>
        <x:v>2692.1863964353583</x:v>
      </x:c>
      <x:c r="C1531" t="n">
        <x:f>Dashboard_Live_Data!AI60</x:f>
        <x:v>-206.8</x:v>
      </x:c>
      <x:c r="D1531" t="n">
        <x:f>Dashboard_Live_Data!AJ60</x:f>
        <x:v>1695.3321376263839</x:v>
      </x:c>
      <x:c r="E1531" t="n">
        <x:f>Dashboard_Live_Data!AK60</x:f>
        <x:v>-413.6</x:v>
      </x:c>
      <x:c r="F1531" t="n">
        <x:f>Dashboard_Live_Data!AL60</x:f>
        <x:v>3583.4691205577215</x:v>
      </x:c>
      <x:c r="G1531" t="n">
        <x:f>Dashboard_Live_Data!AM60</x:f>
        <x:v>-413.6</x:v>
      </x:c>
      <x:c r="H1531" t="n">
        <x:f>Dashboard_Live_Data!AN60</x:f>
        <x:v>3552.0314391676843</x:v>
      </x:c>
    </x:row>
    <x:row r="1532">
      <x:c r="A1532" t="n">
        <x:f>Dashboard_Live_Data!AG61</x:f>
        <x:v>-30.48</x:v>
      </x:c>
      <x:c r="B1532" t="n">
        <x:f>Dashboard_Live_Data!AH61</x:f>
        <x:v>2691.596374118459</x:v>
      </x:c>
      <x:c r="C1532" t="n">
        <x:f>Dashboard_Live_Data!AI61</x:f>
        <x:v>-203.2</x:v>
      </x:c>
      <x:c r="D1532" t="n">
        <x:f>Dashboard_Live_Data!AJ61</x:f>
        <x:v>1661.27795099574</x:v>
      </x:c>
      <x:c r="E1532" t="n">
        <x:f>Dashboard_Live_Data!AK61</x:f>
        <x:v>-406.4</x:v>
      </x:c>
      <x:c r="F1532" t="n">
        <x:f>Dashboard_Live_Data!AL61</x:f>
        <x:v>3501.760091807711</x:v>
      </x:c>
      <x:c r="G1532" t="n">
        <x:f>Dashboard_Live_Data!AM61</x:f>
        <x:v>-406.4</x:v>
      </x:c>
      <x:c r="H1532" t="n">
        <x:f>Dashboard_Live_Data!AN61</x:f>
        <x:v>3470.2046174700768</x:v>
      </x:c>
    </x:row>
    <x:row r="1533">
      <x:c r="A1533" t="n">
        <x:f>Dashboard_Live_Data!AG62</x:f>
        <x:v>-30</x:v>
      </x:c>
      <x:c r="B1533" t="n">
        <x:f>Dashboard_Live_Data!AH62</x:f>
        <x:v>2691.0805307414003</x:v>
      </x:c>
      <x:c r="C1533" t="n">
        <x:f>Dashboard_Live_Data!AI62</x:f>
        <x:v>-200</x:v>
      </x:c>
      <x:c r="D1533" t="n">
        <x:f>Dashboard_Live_Data!AJ62</x:f>
        <x:v>1631.2498263703887</x:v>
      </x:c>
      <x:c r="E1533" t="n">
        <x:f>Dashboard_Live_Data!AK62</x:f>
        <x:v>-400</x:v>
      </x:c>
      <x:c r="F1533" t="n">
        <x:f>Dashboard_Live_Data!AL62</x:f>
        <x:v>3429.9213186632924</x:v>
      </x:c>
      <x:c r="G1533" t="n">
        <x:f>Dashboard_Live_Data!AM62</x:f>
        <x:v>-400</x:v>
      </x:c>
      <x:c r="H1533" t="n">
        <x:f>Dashboard_Live_Data!AN62</x:f>
        <x:v>3398.275856941299</x:v>
      </x:c>
    </x:row>
    <x:row r="1534">
      <x:c r="A1534" t="n">
        <x:f>Dashboard_Live_Data!AG63</x:f>
        <x:v>-29.52</x:v>
      </x:c>
      <x:c r="B1534" t="n">
        <x:f>Dashboard_Live_Data!AH63</x:f>
        <x:v>2690.572804703775</x:v>
      </x:c>
      <x:c r="C1534" t="n">
        <x:f>Dashboard_Live_Data!AI63</x:f>
        <x:v>-196.8</x:v>
      </x:c>
      <x:c r="D1534" t="n">
        <x:f>Dashboard_Live_Data!AJ63</x:f>
        <x:v>1601.4478772869256</x:v>
      </x:c>
      <x:c r="E1534" t="n">
        <x:f>Dashboard_Live_Data!AK63</x:f>
        <x:v>-393.6</x:v>
      </x:c>
      <x:c r="F1534" t="n">
        <x:f>Dashboard_Live_Data!AL63</x:f>
        <x:v>3358.8216005216295</x:v>
      </x:c>
      <x:c r="G1534" t="n">
        <x:f>Dashboard_Live_Data!AM63</x:f>
        <x:v>-393.6</x:v>
      </x:c>
      <x:c r="H1534" t="n">
        <x:f>Dashboard_Live_Data!AN63</x:f>
        <x:v>3327.0999332019856</x:v>
      </x:c>
    </x:row>
    <x:row r="1535">
      <x:c r="A1535" t="n">
        <x:f>Dashboard_Live_Data!AG64</x:f>
        <x:v>-28.98</x:v>
      </x:c>
      <x:c r="B1535" t="n">
        <x:f>Dashboard_Live_Data!AH64</x:f>
        <x:v>2690.0113198410036</x:v>
      </x:c>
      <x:c r="C1535" t="n">
        <x:f>Dashboard_Live_Data!AI64</x:f>
        <x:v>-193.2</x:v>
      </x:c>
      <x:c r="D1535" t="n">
        <x:f>Dashboard_Live_Data!AJ64</x:f>
        <x:v>1568.18884339574</x:v>
      </x:c>
      <x:c r="E1535" t="n">
        <x:f>Dashboard_Live_Data!AK64</x:f>
        <x:v>-386.4</x:v>
      </x:c>
      <x:c r="F1535" t="n">
        <x:f>Dashboard_Live_Data!AL64</x:f>
        <x:v>3279.710632319749</x:v>
      </x:c>
      <x:c r="G1535" t="n">
        <x:f>Dashboard_Live_Data!AM64</x:f>
        <x:v>-386.4</x:v>
      </x:c>
      <x:c r="H1535" t="n">
        <x:f>Dashboard_Live_Data!AN64</x:f>
        <x:v>3247.9196088934864</x:v>
      </x:c>
    </x:row>
    <x:row r="1536">
      <x:c r="A1536" t="n">
        <x:f>Dashboard_Live_Data!AG65</x:f>
        <x:v>-28.5</x:v>
      </x:c>
      <x:c r="B1536" t="n">
        <x:f>Dashboard_Live_Data!AH65</x:f>
        <x:v>2689.520854217586</x:v>
      </x:c>
      <x:c r="C1536" t="n">
        <x:f>Dashboard_Live_Data!AI65</x:f>
        <x:v>-190</x:v>
      </x:c>
      <x:c r="D1536" t="n">
        <x:f>Dashboard_Live_Data!AJ65</x:f>
        <x:v>1538.8616802693725</x:v>
      </x:c>
      <x:c r="E1536" t="n">
        <x:f>Dashboard_Live_Data!AK65</x:f>
        <x:v>-380</x:v>
      </x:c>
      <x:c r="F1536" t="n">
        <x:f>Dashboard_Live_Data!AL65</x:f>
        <x:v>3210.1620844044405</x:v>
      </x:c>
      <x:c r="G1536" t="n">
        <x:f>Dashboard_Live_Data!AM65</x:f>
        <x:v>-380</x:v>
      </x:c>
      <x:c r="H1536" t="n">
        <x:f>Dashboard_Live_Data!AN65</x:f>
        <x:v>3178.323865680885</x:v>
      </x:c>
    </x:row>
    <x:row r="1537">
      <x:c r="A1537" t="n">
        <x:f>Dashboard_Live_Data!AG66</x:f>
        <x:v>-28.020000000000003</x:v>
      </x:c>
      <x:c r="B1537" t="n">
        <x:f>Dashboard_Live_Data!AH66</x:f>
        <x:v>2689.038516240782</x:v>
      </x:c>
      <x:c r="C1537" t="n">
        <x:f>Dashboard_Live_Data!AI66</x:f>
        <x:v>-186.80000000000004</x:v>
      </x:c>
      <x:c r="D1537" t="n">
        <x:f>Dashboard_Live_Data!AJ66</x:f>
        <x:v>1509.7552162254726</x:v>
      </x:c>
      <x:c r="E1537" t="n">
        <x:f>Dashboard_Live_Data!AK66</x:f>
        <x:v>-373.6000000000001</x:v>
      </x:c>
      <x:c r="F1537" t="n">
        <x:f>Dashboard_Live_Data!AL66</x:f>
        <x:v>3141.3341110240226</x:v>
      </x:c>
      <x:c r="G1537" t="n">
        <x:f>Dashboard_Live_Data!AM66</x:f>
        <x:v>-373.6000000000001</x:v>
      </x:c>
      <x:c r="H1537" t="n">
        <x:f>Dashboard_Live_Data!AN66</x:f>
        <x:v>3109.462192200807</x:v>
      </x:c>
    </x:row>
    <x:row r="1538">
      <x:c r="A1538" t="n">
        <x:f>Dashboard_Live_Data!AG67</x:f>
        <x:v>-27.479999999999997</x:v>
      </x:c>
      <x:c r="B1538" t="n">
        <x:f>Dashboard_Live_Data!AH67</x:f>
        <x:v>2688.505605067754</x:v>
      </x:c>
      <x:c r="C1538" t="n">
        <x:f>Dashboard_Live_Data!AI67</x:f>
        <x:v>-183.2</x:v>
      </x:c>
      <x:c r="D1538" t="n">
        <x:f>Dashboard_Live_Data!AJ67</x:f>
        <x:v>1477.272095393459</x:v>
      </x:c>
      <x:c r="E1538" t="n">
        <x:f>Dashboard_Live_Data!AK67</x:f>
        <x:v>-366.4</x:v>
      </x:c>
      <x:c r="F1538" t="n">
        <x:f>Dashboard_Live_Data!AL67</x:f>
        <x:v>3064.7562292393345</x:v>
      </x:c>
      <x:c r="G1538" t="n">
        <x:f>Dashboard_Live_Data!AM67</x:f>
        <x:v>-366.4</x:v>
      </x:c>
      <x:c r="H1538" t="n">
        <x:f>Dashboard_Live_Data!AN67</x:f>
        <x:v>3032.8623798858607</x:v>
      </x:c>
    </x:row>
    <x:row r="1539">
      <x:c r="A1539" t="n">
        <x:f>Dashboard_Live_Data!AG68</x:f>
        <x:v>-27</x:v>
      </x:c>
      <x:c r="B1539" t="n">
        <x:f>Dashboard_Live_Data!AH68</x:f>
        <x:v>2688.0405488767533</x:v>
      </x:c>
      <x:c r="C1539" t="n">
        <x:f>Dashboard_Live_Data!AI68</x:f>
        <x:v>-179.99999999999997</x:v>
      </x:c>
      <x:c r="D1539" t="n">
        <x:f>Dashboard_Live_Data!AJ68</x:f>
        <x:v>1448.628895361848</x:v>
      </x:c>
      <x:c r="E1539" t="n">
        <x:f>Dashboard_Live_Data!AK68</x:f>
        <x:v>-359.99999999999994</x:v>
      </x:c>
      <x:c r="F1539" t="n">
        <x:f>Dashboard_Live_Data!AL68</x:f>
        <x:v>2997.4387220817075</x:v>
      </x:c>
      <x:c r="G1539" t="n">
        <x:f>Dashboard_Live_Data!AM68</x:f>
        <x:v>-359.99999999999994</x:v>
      </x:c>
      <x:c r="H1539" t="n">
        <x:f>Dashboard_Live_Data!AN68</x:f>
        <x:v>2965.539435665303</x:v>
      </x:c>
    </x:row>
    <x:row r="1540">
      <x:c r="A1540" t="n">
        <x:f>Dashboard_Live_Data!AG69</x:f>
        <x:v>-26.519999999999996</x:v>
      </x:c>
      <x:c r="B1540" t="n">
        <x:f>Dashboard_Live_Data!AH69</x:f>
        <x:v>2687.5836301386457</x:v>
      </x:c>
      <x:c r="C1540" t="n">
        <x:f>Dashboard_Live_Data!AI69</x:f>
        <x:v>-176.79999999999998</x:v>
      </x:c>
      <x:c r="D1540" t="n">
        <x:f>Dashboard_Live_Data!AJ69</x:f>
        <x:v>1420.2010523856848</x:v>
      </x:c>
      <x:c r="E1540" t="n">
        <x:f>Dashboard_Live_Data!AK69</x:f>
        <x:v>-353.59999999999997</x:v>
      </x:c>
      <x:c r="F1540" t="n">
        <x:f>Dashboard_Live_Data!AL69</x:f>
        <x:v>2930.821956828647</x:v>
      </x:c>
      <x:c r="G1540" t="n">
        <x:f>Dashboard_Live_Data!AM69</x:f>
        <x:v>-353.59999999999997</x:v>
      </x:c>
      <x:c r="H1540" t="n">
        <x:f>Dashboard_Live_Data!AN69</x:f>
        <x:v>2898.930305024403</x:v>
      </x:c>
    </x:row>
    <x:row r="1541">
      <x:c r="A1541" t="n">
        <x:f>Dashboard_Live_Data!AG70</x:f>
        <x:v>-25.980000000000004</x:v>
      </x:c>
      <x:c r="B1541" t="n">
        <x:f>Dashboard_Live_Data!AH70</x:f>
        <x:v>2687.0793271300054</x:v>
      </x:c>
      <x:c r="C1541" t="n">
        <x:f>Dashboard_Live_Data!AI70</x:f>
        <x:v>-173.20000000000002</x:v>
      </x:c>
      <x:c r="D1541" t="n">
        <x:f>Dashboard_Live_Data!AJ70</x:f>
        <x:v>1388.4750825653464</x:v>
      </x:c>
      <x:c r="E1541" t="n">
        <x:f>Dashboard_Live_Data!AK70</x:f>
        <x:v>-346.40000000000003</x:v>
      </x:c>
      <x:c r="F1541" t="n">
        <x:f>Dashboard_Live_Data!AL70</x:f>
        <x:v>2856.707437171217</x:v>
      </x:c>
      <x:c r="G1541" t="n">
        <x:f>Dashboard_Live_Data!AM70</x:f>
        <x:v>-346.40000000000003</x:v>
      </x:c>
      <x:c r="H1541" t="n">
        <x:f>Dashboard_Live_Data!AN70</x:f>
        <x:v>2824.8397867428093</x:v>
      </x:c>
    </x:row>
    <x:row r="1542">
      <x:c r="A1542" t="n">
        <x:f>Dashboard_Live_Data!AG71</x:f>
        <x:v>-25.5</x:v>
      </x:c>
      <x:c r="B1542" t="n">
        <x:f>Dashboard_Live_Data!AH71</x:f>
        <x:v>2686.6397104802963</x:v>
      </x:c>
      <x:c r="C1542" t="n">
        <x:f>Dashboard_Live_Data!AI71</x:f>
        <x:v>-170.00000000000003</x:v>
      </x:c>
      <x:c r="D1542" t="n">
        <x:f>Dashboard_Live_Data!AJ71</x:f>
        <x:v>1360.4994034490926</x:v>
      </x:c>
      <x:c r="E1542" t="n">
        <x:f>Dashboard_Live_Data!AK71</x:f>
        <x:v>-340.00000000000006</x:v>
      </x:c>
      <x:c r="F1542" t="n">
        <x:f>Dashboard_Live_Data!AL71</x:f>
        <x:v>2791.557552752647</x:v>
      </x:c>
      <x:c r="G1542" t="n">
        <x:f>Dashboard_Live_Data!AM71</x:f>
        <x:v>-340.00000000000006</x:v>
      </x:c>
      <x:c r="H1542" t="n">
        <x:f>Dashboard_Live_Data!AN71</x:f>
        <x:v>2759.724726481357</x:v>
      </x:c>
    </x:row>
    <x:row r="1543">
      <x:c r="A1543" t="n">
        <x:f>Dashboard_Live_Data!AG72</x:f>
        <x:v>-25.020000000000003</x:v>
      </x:c>
      <x:c r="B1543" t="n">
        <x:f>Dashboard_Live_Data!AH72</x:f>
        <x:v>2686.2082405845767</x:v>
      </x:c>
      <x:c r="C1543" t="n">
        <x:f>Dashboard_Live_Data!AI72</x:f>
        <x:v>-166.8</x:v>
      </x:c>
      <x:c r="D1543" t="n">
        <x:f>Dashboard_Live_Data!AJ72</x:f>
        <x:v>1332.7340115462373</x:v>
      </x:c>
      <x:c r="E1543" t="n">
        <x:f>Dashboard_Live_Data!AK72</x:f>
        <x:v>-333.6</x:v>
      </x:c>
      <x:c r="F1543" t="n">
        <x:f>Dashboard_Live_Data!AL72</x:f>
        <x:v>2727.0872248769224</x:v>
      </x:c>
      <x:c r="G1543" t="n">
        <x:f>Dashboard_Live_Data!AM72</x:f>
        <x:v>-333.6</x:v>
      </x:c>
      <x:c r="H1543" t="n">
        <x:f>Dashboard_Live_Data!AN72</x:f>
        <x:v>2695.3016989076077</x:v>
      </x:c>
    </x:row>
    <x:row r="1544">
      <x:c r="A1544" t="n">
        <x:f>Dashboard_Live_Data!AG73</x:f>
        <x:v>-24.479999999999997</x:v>
      </x:c>
      <x:c r="B1544" t="n">
        <x:f>Dashboard_Live_Data!AH73</x:f>
        <x:v>2685.7325784389564</x:v>
      </x:c>
      <x:c r="C1544" t="n">
        <x:f>Dashboard_Live_Data!AI73</x:f>
        <x:v>-163.19999999999996</x:v>
      </x:c>
      <x:c r="D1544" t="n">
        <x:f>Dashboard_Live_Data!AJ73</x:f>
        <x:v>1301.7473946103885</x:v>
      </x:c>
      <x:c r="E1544" t="n">
        <x:f>Dashboard_Live_Data!AK73</x:f>
        <x:v>-326.3999999999999</x:v>
      </x:c>
      <x:c r="F1544" t="n">
        <x:f>Dashboard_Live_Data!AL73</x:f>
        <x:v>2655.3615925812765</x:v>
      </x:c>
      <x:c r="G1544" t="n">
        <x:f>Dashboard_Live_Data!AM73</x:f>
        <x:v>-326.3999999999999</x:v>
      </x:c>
      <x:c r="H1544" t="n">
        <x:f>Dashboard_Live_Data!AN73</x:f>
        <x:v>2623.643900129246</x:v>
      </x:c>
    </x:row>
    <x:row r="1545">
      <x:c r="A1545" t="n">
        <x:f>Dashboard_Live_Data!AG74</x:f>
        <x:v>-24</x:v>
      </x:c>
      <x:c r="B1545" t="n">
        <x:f>Dashboard_Live_Data!AH74</x:f>
        <x:v>2685.318429856306</x:v>
      </x:c>
      <x:c r="C1545" t="n">
        <x:f>Dashboard_Live_Data!AI74</x:f>
        <x:v>-160</x:v>
      </x:c>
      <x:c r="D1545" t="n">
        <x:f>Dashboard_Live_Data!AJ74</x:f>
        <x:v>1274.4238323326915</x:v>
      </x:c>
      <x:c r="E1545" t="n">
        <x:f>Dashboard_Live_Data!AK74</x:f>
        <x:v>-320</x:v>
      </x:c>
      <x:c r="F1545" t="n">
        <x:f>Dashboard_Live_Data!AL74</x:f>
        <x:v>2592.311715433615</x:v>
      </x:c>
      <x:c r="G1545" t="n">
        <x:f>Dashboard_Live_Data!AM74</x:f>
        <x:v>-320</x:v>
      </x:c>
      <x:c r="H1545" t="n">
        <x:f>Dashboard_Live_Data!AN74</x:f>
        <x:v>2560.6670284536167</x:v>
      </x:c>
    </x:row>
    <x:row r="1546">
      <x:c r="A1546" t="n">
        <x:f>Dashboard_Live_Data!AG75</x:f>
        <x:v>-23.520000000000003</x:v>
      </x:c>
      <x:c r="B1546" t="n">
        <x:f>Dashboard_Live_Data!AH75</x:f>
        <x:v>2684.9124368195003</x:v>
      </x:c>
      <x:c r="C1546" t="n">
        <x:f>Dashboard_Live_Data!AI75</x:f>
        <x:v>-156.8</x:v>
      </x:c>
      <x:c r="D1546" t="n">
        <x:f>Dashboard_Live_Data!AJ75</x:f>
        <x:v>1247.305949695761</x:v>
      </x:c>
      <x:c r="E1546" t="n">
        <x:f>Dashboard_Live_Data!AK75</x:f>
        <x:v>-313.6</x:v>
      </x:c>
      <x:c r="F1546" t="n">
        <x:f>Dashboard_Live_Data!AL75</x:f>
        <x:v>2529.918895127145</x:v>
      </x:c>
      <x:c r="G1546" t="n">
        <x:f>Dashboard_Live_Data!AM75</x:f>
        <x:v>-313.6</x:v>
      </x:c>
      <x:c r="H1546" t="n">
        <x:f>Dashboard_Live_Data!AN75</x:f>
        <x:v>2498.3588768603126</x:v>
      </x:c>
    </x:row>
    <x:row r="1547">
      <x:c r="A1547" t="n">
        <x:f>Dashboard_Live_Data!AG76</x:f>
        <x:v>-22.980000000000004</x:v>
      </x:c>
      <x:c r="B1547" t="n">
        <x:f>Dashboard_Live_Data!AH76</x:f>
        <x:v>2684.465446445234</x:v>
      </x:c>
      <x:c r="C1547" t="n">
        <x:f>Dashboard_Live_Data!AI76</x:f>
        <x:v>-153.2</x:v>
      </x:c>
      <x:c r="D1547" t="n">
        <x:f>Dashboard_Live_Data!AJ76</x:f>
        <x:v>1217.0425226665805</x:v>
      </x:c>
      <x:c r="E1547" t="n">
        <x:f>Dashboard_Live_Data!AK76</x:f>
        <x:v>-306.4</x:v>
      </x:c>
      <x:c r="F1547" t="n">
        <x:f>Dashboard_Live_Data!AL76</x:f>
        <x:v>2460.503062399682</x:v>
      </x:c>
      <x:c r="G1547" t="n">
        <x:f>Dashboard_Live_Data!AM76</x:f>
        <x:v>-306.4</x:v>
      </x:c>
      <x:c r="H1547" t="n">
        <x:f>Dashboard_Live_Data!AN76</x:f>
        <x:v>2429.0518438601966</x:v>
      </x:c>
    </x:row>
    <x:row r="1548">
      <x:c r="A1548" t="n">
        <x:f>Dashboard_Live_Data!AG77</x:f>
        <x:v>-22.5</x:v>
      </x:c>
      <x:c r="B1548" t="n">
        <x:f>Dashboard_Live_Data!AH77</x:f>
        <x:v>2684.0767928598584</x:v>
      </x:c>
      <x:c r="C1548" t="n">
        <x:f>Dashboard_Live_Data!AI77</x:f>
        <x:v>-150</x:v>
      </x:c>
      <x:c r="D1548" t="n">
        <x:f>Dashboard_Live_Data!AJ77</x:f>
        <x:v>1190.3573781400514</x:v>
      </x:c>
      <x:c r="E1548" t="n">
        <x:f>Dashboard_Live_Data!AK77</x:f>
        <x:v>-300</x:v>
      </x:c>
      <x:c r="F1548" t="n">
        <x:f>Dashboard_Live_Data!AL77</x:f>
        <x:v>2399.4815554213374</x:v>
      </x:c>
      <x:c r="G1548" t="n">
        <x:f>Dashboard_Live_Data!AM77</x:f>
        <x:v>-300</x:v>
      </x:c>
      <x:c r="H1548" t="n">
        <x:f>Dashboard_Live_Data!AN77</x:f>
        <x:v>2368.1387047809635</x:v>
      </x:c>
    </x:row>
    <x:row r="1549">
      <x:c r="A1549" t="n">
        <x:f>Dashboard_Live_Data!AG78</x:f>
        <x:v>-22.019999999999996</x:v>
      </x:c>
      <x:c r="B1549" t="n">
        <x:f>Dashboard_Live_Data!AH78</x:f>
        <x:v>2683.69630309907</x:v>
      </x:c>
      <x:c r="C1549" t="n">
        <x:f>Dashboard_Live_Data!AI78</x:f>
        <x:v>-146.8</x:v>
      </x:c>
      <x:c r="D1549" t="n">
        <x:f>Dashboard_Live_Data!AJ78</x:f>
        <x:v>1163.8740325347778</x:v>
      </x:c>
      <x:c r="E1549" t="n">
        <x:f>Dashboard_Live_Data!AK78</x:f>
        <x:v>-293.6</x:v>
      </x:c>
      <x:c r="F1549" t="n">
        <x:f>Dashboard_Live_Data!AL78</x:f>
        <x:v>2339.0933871403463</x:v>
      </x:c>
      <x:c r="G1549" t="n">
        <x:f>Dashboard_Live_Data!AM78</x:f>
        <x:v>-293.6</x:v>
      </x:c>
      <x:c r="H1549" t="n">
        <x:f>Dashboard_Live_Data!AN78</x:f>
        <x:v>2307.869477325939</x:v>
      </x:c>
    </x:row>
    <x:row r="1550">
      <x:c r="A1550" t="n">
        <x:f>Dashboard_Live_Data!AG79</x:f>
        <x:v>-21.479999999999997</x:v>
      </x:c>
      <x:c r="B1550" t="n">
        <x:f>Dashboard_Live_Data!AH79</x:f>
        <x:v>2683.2780136005345</x:v>
      </x:c>
      <x:c r="C1550" t="n">
        <x:f>Dashboard_Live_Data!AI79</x:f>
        <x:v>-143.2</x:v>
      </x:c>
      <x:c r="D1550" t="n">
        <x:f>Dashboard_Live_Data!AJ79</x:f>
        <x:v>1134.320202233334</x:v>
      </x:c>
      <x:c r="E1550" t="n">
        <x:f>Dashboard_Live_Data!AK79</x:f>
        <x:v>-286.4</x:v>
      </x:c>
      <x:c r="F1550" t="n">
        <x:f>Dashboard_Live_Data!AL79</x:f>
        <x:v>2271.9039940577863</x:v>
      </x:c>
      <x:c r="G1550" t="n">
        <x:f>Dashboard_Live_Data!AM79</x:f>
        <x:v>-286.4</x:v>
      </x:c>
      <x:c r="H1550" t="n">
        <x:f>Dashboard_Live_Data!AN79</x:f>
        <x:v>2240.826006094351</x:v>
      </x:c>
    </x:row>
    <x:row r="1551">
      <x:c r="A1551" t="n">
        <x:f>Dashboard_Live_Data!AG80</x:f>
        <x:v>-21</x:v>
      </x:c>
      <x:c r="B1551" t="n">
        <x:f>Dashboard_Live_Data!AH80</x:f>
        <x:v>2682.914880335254</x:v>
      </x:c>
      <x:c r="C1551" t="n">
        <x:f>Dashboard_Live_Data!AI80</x:f>
        <x:v>-140</x:v>
      </x:c>
      <x:c r="D1551" t="n">
        <x:f>Dashboard_Live_Data!AJ80</x:f>
        <x:v>1108.2624133501783</x:v>
      </x:c>
      <x:c r="E1551" t="n">
        <x:f>Dashboard_Live_Data!AK80</x:f>
        <x:v>-280</x:v>
      </x:c>
      <x:c r="F1551" t="n">
        <x:f>Dashboard_Live_Data!AL80</x:f>
        <x:v>2212.8355811384035</x:v>
      </x:c>
      <x:c r="G1551" t="n">
        <x:f>Dashboard_Live_Data!AM80</x:f>
        <x:v>-280</x:v>
      </x:c>
      <x:c r="H1551" t="n">
        <x:f>Dashboard_Live_Data!AN80</x:f>
        <x:v>2181.897557099264</x:v>
      </x:c>
    </x:row>
    <x:row r="1552">
      <x:c r="A1552" t="n">
        <x:f>Dashboard_Live_Data!AG81</x:f>
        <x:v>-20.520000000000003</x:v>
      </x:c>
      <x:c r="B1552" t="n">
        <x:f>Dashboard_Live_Data!AH81</x:f>
        <x:v>2682.559918656496</x:v>
      </x:c>
      <x:c r="C1552" t="n">
        <x:f>Dashboard_Live_Data!AI81</x:f>
        <x:v>-136.8</x:v>
      </x:c>
      <x:c r="D1552" t="n">
        <x:f>Dashboard_Live_Data!AJ81</x:f>
        <x:v>1082.4036420950645</x:v>
      </x:c>
      <x:c r="E1552" t="n">
        <x:f>Dashboard_Live_Data!AK81</x:f>
        <x:v>-273.6</x:v>
      </x:c>
      <x:c r="F1552" t="n">
        <x:f>Dashboard_Live_Data!AL81</x:f>
        <x:v>2154.375751929062</x:v>
      </x:c>
      <x:c r="G1552" t="n">
        <x:f>Dashboard_Live_Data!AM81</x:f>
        <x:v>-273.6</x:v>
      </x:c>
      <x:c r="H1552" t="n">
        <x:f>Dashboard_Live_Data!AN81</x:f>
        <x:v>2123.586815394276</x:v>
      </x:c>
    </x:row>
    <x:row r="1553">
      <x:c r="A1553" t="n">
        <x:f>Dashboard_Live_Data!AG82</x:f>
        <x:v>-19.979999999999997</x:v>
      </x:c>
      <x:c r="B1553" t="n">
        <x:f>Dashboard_Live_Data!AH82</x:f>
        <x:v>2682.170357321432</x:v>
      </x:c>
      <x:c r="C1553" t="n">
        <x:f>Dashboard_Live_Data!AI82</x:f>
        <x:v>-133.2</x:v>
      </x:c>
      <x:c r="D1553" t="n">
        <x:f>Dashboard_Live_Data!AJ82</x:f>
        <x:v>1053.5497018470367</x:v>
      </x:c>
      <x:c r="E1553" t="n">
        <x:f>Dashboard_Live_Data!AK82</x:f>
        <x:v>-266.4</x:v>
      </x:c>
      <x:c r="F1553" t="n">
        <x:f>Dashboard_Live_Data!AL82</x:f>
        <x:v>2089.3258107719435</x:v>
      </x:c>
      <x:c r="G1553" t="n">
        <x:f>Dashboard_Live_Data!AM82</x:f>
        <x:v>-266.4</x:v>
      </x:c>
      <x:c r="H1553" t="n">
        <x:f>Dashboard_Live_Data!AN82</x:f>
        <x:v>2058.7148075309083</x:v>
      </x:c>
    </x:row>
    <x:row r="1554">
      <x:c r="A1554" t="n">
        <x:f>Dashboard_Live_Data!AG83</x:f>
        <x:v>-19.5</x:v>
      </x:c>
      <x:c r="B1554" t="n">
        <x:f>Dashboard_Live_Data!AH83</x:f>
        <x:v>2681.8327680804646</x:v>
      </x:c>
      <x:c r="C1554" t="n">
        <x:f>Dashboard_Live_Data!AI83</x:f>
        <x:v>-130</x:v>
      </x:c>
      <x:c r="D1554" t="n">
        <x:f>Dashboard_Live_Data!AJ83</x:f>
        <x:v>1028.1121624339564</x:v>
      </x:c>
      <x:c r="E1554" t="n">
        <x:f>Dashboard_Live_Data!AK83</x:f>
        <x:v>-260</x:v>
      </x:c>
      <x:c r="F1554" t="n">
        <x:f>Dashboard_Live_Data!AL83</x:f>
        <x:v>2032.132269523135</x:v>
      </x:c>
      <x:c r="G1554" t="n">
        <x:f>Dashboard_Live_Data!AM83</x:f>
        <x:v>-260</x:v>
      </x:c>
      <x:c r="H1554" t="n">
        <x:f>Dashboard_Live_Data!AN83</x:f>
        <x:v>2001.6878257232431</x:v>
      </x:c>
    </x:row>
    <x:row r="1555">
      <x:c r="A1555" t="n">
        <x:f>Dashboard_Live_Data!AG84</x:f>
        <x:v>-19.019999999999996</x:v>
      </x:c>
      <x:c r="B1555" t="n">
        <x:f>Dashboard_Live_Data!AH84</x:f>
        <x:v>2681.5033576678143</x:v>
      </x:c>
      <x:c r="C1555" t="n">
        <x:f>Dashboard_Live_Data!AI84</x:f>
        <x:v>-126.79999999999995</x:v>
      </x:c>
      <x:c r="D1555" t="n">
        <x:f>Dashboard_Live_Data!AJ84</x:f>
        <x:v>1002.8724909144175</x:v>
      </x:c>
      <x:c r="E1555" t="n">
        <x:f>Dashboard_Live_Data!AK84</x:f>
        <x:v>-253.5999999999999</x:v>
      </x:c>
      <x:c r="F1555" t="n">
        <x:f>Dashboard_Live_Data!AL84</x:f>
        <x:v>1975.5218318440923</x:v>
      </x:c>
      <x:c r="G1555" t="n">
        <x:f>Dashboard_Live_Data!AM84</x:f>
        <x:v>-253.5999999999999</x:v>
      </x:c>
      <x:c r="H1555" t="n">
        <x:f>Dashboard_Live_Data!AN84</x:f>
        <x:v>1945.2511482815198</x:v>
      </x:c>
    </x:row>
    <x:row r="1556">
      <x:c r="A1556" t="n">
        <x:f>Dashboard_Live_Data!AG85</x:f>
        <x:v>-18.480000000000004</x:v>
      </x:c>
      <x:c r="B1556" t="n">
        <x:f>Dashboard_Live_Data!AH85</x:f>
        <x:v>2681.1425499551765</x:v>
      </x:c>
      <x:c r="C1556" t="n">
        <x:f>Dashboard_Live_Data!AI85</x:f>
        <x:v>-123.20000000000005</x:v>
      </x:c>
      <x:c r="D1556" t="n">
        <x:f>Dashboard_Live_Data!AJ85</x:f>
        <x:v>974.7145021127182</x:v>
      </x:c>
      <x:c r="E1556" t="n">
        <x:f>Dashboard_Live_Data!AK85</x:f>
        <x:v>-246.4000000000001</x:v>
      </x:c>
      <x:c r="F1556" t="n">
        <x:f>Dashboard_Live_Data!AL85</x:f>
        <x:v>1912.5218325119242</x:v>
      </x:c>
      <x:c r="G1556" t="n">
        <x:f>Dashboard_Live_Data!AM85</x:f>
        <x:v>-246.4000000000001</x:v>
      </x:c>
      <x:c r="H1556" t="n">
        <x:f>Dashboard_Live_Data!AN85</x:f>
        <x:v>1882.4543117385992</x:v>
      </x:c>
    </x:row>
    <x:row r="1557">
      <x:c r="A1557" t="n">
        <x:f>Dashboard_Live_Data!AG86</x:f>
        <x:v>-18</x:v>
      </x:c>
      <x:c r="B1557" t="n">
        <x:f>Dashboard_Live_Data!AH86</x:f>
        <x:v>2680.8305268137187</x:v>
      </x:c>
      <x:c r="C1557" t="n">
        <x:f>Dashboard_Live_Data!AI86</x:f>
        <x:v>-120</x:v>
      </x:c>
      <x:c r="D1557" t="n">
        <x:f>Dashboard_Live_Data!AJ86</x:f>
        <x:v>949.8959568514337</x:v>
      </x:c>
      <x:c r="E1557" t="n">
        <x:f>Dashboard_Live_Data!AK86</x:f>
        <x:v>-240</x:v>
      </x:c>
      <x:c r="F1557" t="n">
        <x:f>Dashboard_Live_Data!AL86</x:f>
        <x:v>1857.1231620816707</x:v>
      </x:c>
      <x:c r="G1557" t="n">
        <x:f>Dashboard_Live_Data!AM86</x:f>
        <x:v>-240</x:v>
      </x:c>
      <x:c r="H1557" t="n">
        <x:f>Dashboard_Live_Data!AN86</x:f>
        <x:v>1827.2421550832848</x:v>
      </x:c>
    </x:row>
    <x:row r="1558">
      <x:c r="A1558" t="n">
        <x:f>Dashboard_Live_Data!AG87</x:f>
        <x:v>-17.520000000000003</x:v>
      </x:c>
      <x:c r="B1558" t="n">
        <x:f>Dashboard_Live_Data!AH87</x:f>
        <x:v>2680.526689218967</x:v>
      </x:c>
      <x:c r="C1558" t="n">
        <x:f>Dashboard_Live_Data!AI87</x:f>
        <x:v>-116.80000000000001</x:v>
      </x:c>
      <x:c r="D1558" t="n">
        <x:f>Dashboard_Live_Data!AJ87</x:f>
        <x:v>925.2765339546444</x:v>
      </x:c>
      <x:c r="E1558" t="n">
        <x:f>Dashboard_Live_Data!AK87</x:f>
        <x:v>-233.60000000000002</x:v>
      </x:c>
      <x:c r="F1558" t="n">
        <x:f>Dashboard_Live_Data!AL87</x:f>
        <x:v>1802.2819043727304</x:v>
      </x:c>
      <x:c r="G1558" t="n">
        <x:f>Dashboard_Live_Data!AM87</x:f>
        <x:v>-233.60000000000002</x:v>
      </x:c>
      <x:c r="H1558" t="n">
        <x:f>Dashboard_Live_Data!AN87</x:f>
        <x:v>1772.5920499108024</x:v>
      </x:c>
    </x:row>
    <x:row r="1559">
      <x:c r="A1559" t="n">
        <x:f>Dashboard_Live_Data!AG88</x:f>
        <x:v>-16.979999999999997</x:v>
      </x:c>
      <x:c r="B1559" t="n">
        <x:f>Dashboard_Live_Data!AH88</x:f>
        <x:v>2680.1946587476814</x:v>
      </x:c>
      <x:c r="C1559" t="n">
        <x:f>Dashboard_Live_Data!AI88</x:f>
        <x:v>-113.19999999999999</x:v>
      </x:c>
      <x:c r="D1559" t="n">
        <x:f>Dashboard_Live_Data!AJ88</x:f>
        <x:v>897.8190596262613</x:v>
      </x:c>
      <x:c r="E1559" t="n">
        <x:f>Dashboard_Live_Data!AK88</x:f>
        <x:v>-226.39999999999998</x:v>
      </x:c>
      <x:c r="F1559" t="n">
        <x:f>Dashboard_Live_Data!AL88</x:f>
        <x:v>1741.2416393615815</x:v>
      </x:c>
      <x:c r="G1559" t="n">
        <x:f>Dashboard_Live_Data!AM88</x:f>
        <x:v>-226.39999999999998</x:v>
      </x:c>
      <x:c r="H1559" t="n">
        <x:f>Dashboard_Live_Data!AN88</x:f>
        <x:v>1711.7711368171172</x:v>
      </x:c>
    </x:row>
    <x:row r="1560">
      <x:c r="A1560" t="n">
        <x:f>Dashboard_Live_Data!AG89</x:f>
        <x:v>-16.5</x:v>
      </x:c>
      <x:c r="B1560" t="n">
        <x:f>Dashboard_Live_Data!AH89</x:f>
        <x:v>2679.9082221420913</x:v>
      </x:c>
      <x:c r="C1560" t="n">
        <x:f>Dashboard_Live_Data!AI89</x:f>
        <x:v>-110</x:v>
      </x:c>
      <x:c r="D1560" t="n">
        <x:f>Dashboard_Live_Data!AJ89</x:f>
        <x:v>873.6268737519111</x:v>
      </x:c>
      <x:c r="E1560" t="n">
        <x:f>Dashboard_Live_Data!AK89</x:f>
        <x:v>-220</x:v>
      </x:c>
      <x:c r="F1560" t="n">
        <x:f>Dashboard_Live_Data!AL89</x:f>
        <x:v>1687.557977658393</x:v>
      </x:c>
      <x:c r="G1560" t="n">
        <x:f>Dashboard_Live_Data!AM89</x:f>
        <x:v>-220</x:v>
      </x:c>
      <x:c r="H1560" t="n">
        <x:f>Dashboard_Live_Data!AN89</x:f>
        <x:v>1658.2850643618456</x:v>
      </x:c>
    </x:row>
    <x:row r="1561">
      <x:c r="A1561" t="n">
        <x:f>Dashboard_Live_Data!AG90</x:f>
        <x:v>-16.020000000000003</x:v>
      </x:c>
      <x:c r="B1561" t="n">
        <x:f>Dashboard_Live_Data!AH90</x:f>
        <x:v>2679.6299772752322</x:v>
      </x:c>
      <x:c r="C1561" t="n">
        <x:f>Dashboard_Live_Data!AI90</x:f>
        <x:v>-106.80000000000001</x:v>
      </x:c>
      <x:c r="D1561" t="n">
        <x:f>Dashboard_Live_Data!AJ90</x:f>
        <x:v>849.6386115770032</x:v>
      </x:c>
      <x:c r="E1561" t="n">
        <x:f>Dashboard_Live_Data!AK90</x:f>
        <x:v>-213.60000000000002</x:v>
      </x:c>
      <x:c r="F1561" t="n">
        <x:f>Dashboard_Live_Data!AL90</x:f>
        <x:v>1634.406668398929</x:v>
      </x:c>
      <x:c r="G1561" t="n">
        <x:f>Dashboard_Live_Data!AM90</x:f>
        <x:v>-213.60000000000002</x:v>
      </x:c>
      <x:c r="H1561" t="n">
        <x:f>Dashboard_Live_Data!AN90</x:f>
        <x:v>1605.3325327342354</x:v>
      </x:c>
    </x:row>
    <x:row r="1562">
      <x:c r="A1562" t="n">
        <x:f>Dashboard_Live_Data!AG91</x:f>
        <x:v>-15.480000000000004</x:v>
      </x:c>
      <x:c r="B1562" t="n">
        <x:f>Dashboard_Live_Data!AH91</x:f>
        <x:v>2679.3267458137466</x:v>
      </x:c>
      <x:c r="C1562" t="n">
        <x:f>Dashboard_Live_Data!AI91</x:f>
        <x:v>-103.19999999999999</x:v>
      </x:c>
      <x:c r="D1562" t="n">
        <x:f>Dashboard_Live_Data!AJ91</x:f>
        <x:v>822.8987615597109</x:v>
      </x:c>
      <x:c r="E1562" t="n">
        <x:f>Dashboard_Live_Data!AK91</x:f>
        <x:v>-206.39999999999998</x:v>
      </x:c>
      <x:c r="F1562" t="n">
        <x:f>Dashboard_Live_Data!AL91</x:f>
        <x:v>1575.2382195812656</x:v>
      </x:c>
      <x:c r="G1562" t="n">
        <x:f>Dashboard_Live_Data!AM91</x:f>
        <x:v>-206.39999999999998</x:v>
      </x:c>
      <x:c r="H1562" t="n">
        <x:f>Dashboard_Live_Data!AN91</x:f>
        <x:v>1546.3874430517</x:v>
      </x:c>
    </x:row>
    <x:row r="1563">
      <x:c r="A1563" t="n">
        <x:f>Dashboard_Live_Data!AG92</x:f>
        <x:v>-15</x:v>
      </x:c>
      <x:c r="B1563" t="n">
        <x:f>Dashboard_Live_Data!AH92</x:f>
        <x:v>2679.065914532494</x:v>
      </x:c>
      <x:c r="C1563" t="n">
        <x:f>Dashboard_Live_Data!AI92</x:f>
        <x:v>-100</x:v>
      </x:c>
      <x:c r="D1563" t="n">
        <x:f>Dashboard_Live_Data!AJ92</x:f>
        <x:v>799.3530465257882</x:v>
      </x:c>
      <x:c r="E1563" t="n">
        <x:f>Dashboard_Live_Data!AK92</x:f>
        <x:v>-200</x:v>
      </x:c>
      <x:c r="F1563" t="n">
        <x:f>Dashboard_Live_Data!AL92</x:f>
        <x:v>1523.1929864371127</x:v>
      </x:c>
      <x:c r="G1563" t="n">
        <x:f>Dashboard_Live_Data!AM92</x:f>
        <x:v>-200</x:v>
      </x:c>
      <x:c r="H1563" t="n">
        <x:f>Dashboard_Live_Data!AN92</x:f>
        <x:v>1494.538848738704</x:v>
      </x:c>
    </x:row>
    <x:row r="1564">
      <x:c r="A1564" t="n">
        <x:f>Dashboard_Live_Data!AG93</x:f>
        <x:v>-14.519999999999996</x:v>
      </x:c>
      <x:c r="B1564" t="n">
        <x:f>Dashboard_Live_Data!AH93</x:f>
        <x:v>2678.813280652873</x:v>
      </x:c>
      <x:c r="C1564" t="n">
        <x:f>Dashboard_Live_Data!AI93</x:f>
        <x:v>-96.80000000000001</x:v>
      </x:c>
      <x:c r="D1564" t="n">
        <x:f>Dashboard_Live_Data!AJ93</x:f>
        <x:v>776.021326811133</x:v>
      </x:c>
      <x:c r="E1564" t="n">
        <x:f>Dashboard_Live_Data!AK93</x:f>
        <x:v>-193.60000000000002</x:v>
      </x:c>
      <x:c r="F1564" t="n">
        <x:f>Dashboard_Live_Data!AL93</x:f>
        <x:v>1471.657065923119</x:v>
      </x:c>
      <x:c r="G1564" t="n">
        <x:f>Dashboard_Live_Data!AM93</x:f>
        <x:v>-193.60000000000002</x:v>
      </x:c>
      <x:c r="H1564" t="n">
        <x:f>Dashboard_Live_Data!AN93</x:f>
        <x:v>1443.1960281662846</x:v>
      </x:c>
    </x:row>
    <x:row r="1565">
      <x:c r="A1565" t="n">
        <x:f>Dashboard_Live_Data!AG94</x:f>
        <x:v>-13.979999999999997</x:v>
      </x:c>
      <x:c r="B1565" t="n">
        <x:f>Dashboard_Live_Data!AH94</x:f>
        <x:v>2678.53886810944</x:v>
      </x:c>
      <x:c r="C1565" t="n">
        <x:f>Dashboard_Live_Data!AI94</x:f>
        <x:v>-93.19999999999999</x:v>
      </x:c>
      <x:c r="D1565" t="n">
        <x:f>Dashboard_Live_Data!AJ94</x:f>
        <x:v>750.0348628533561</x:v>
      </x:c>
      <x:c r="E1565" t="n">
        <x:f>Dashboard_Live_Data!AK94</x:f>
        <x:v>-186.39999999999998</x:v>
      </x:c>
      <x:c r="F1565" t="n">
        <x:f>Dashboard_Live_Data!AL94</x:f>
        <x:v>1414.279745381553</x:v>
      </x:c>
      <x:c r="G1565" t="n">
        <x:f>Dashboard_Live_Data!AM94</x:f>
        <x:v>-186.39999999999998</x:v>
      </x:c>
      <x:c r="H1565" t="n">
        <x:f>Dashboard_Live_Data!AN94</x:f>
        <x:v>1386.0293710733336</x:v>
      </x:c>
    </x:row>
    <x:row r="1566">
      <x:c r="A1566" t="n">
        <x:f>Dashboard_Live_Data!AG95</x:f>
        <x:v>-13.5</x:v>
      </x:c>
      <x:c r="B1566" t="n">
        <x:f>Dashboard_Live_Data!AH95</x:f>
        <x:v>2678.3036592847507</x:v>
      </x:c>
      <x:c r="C1566" t="n">
        <x:f>Dashboard_Live_Data!AI95</x:f>
        <x:v>-90</x:v>
      </x:c>
      <x:c r="D1566" t="n">
        <x:f>Dashboard_Live_Data!AJ95</x:f>
        <x:v>727.1747453672517</x:v>
      </x:c>
      <x:c r="E1566" t="n">
        <x:f>Dashboard_Live_Data!AK95</x:f>
        <x:v>-180</x:v>
      </x:c>
      <x:c r="F1566" t="n">
        <x:f>Dashboard_Live_Data!AL95</x:f>
        <x:v>1363.804879466073</x:v>
      </x:c>
      <x:c r="G1566" t="n">
        <x:f>Dashboard_Live_Data!AM95</x:f>
        <x:v>-180</x:v>
      </x:c>
      <x:c r="H1566" t="n">
        <x:f>Dashboard_Live_Data!AN95</x:f>
        <x:v>1335.7335814317448</x:v>
      </x:c>
    </x:row>
    <x:row r="1567">
      <x:c r="A1567" t="n">
        <x:f>Dashboard_Live_Data!AG96</x:f>
        <x:v>-13.019999999999996</x:v>
      </x:c>
      <x:c r="B1567" t="n">
        <x:f>Dashboard_Live_Data!AH96</x:f>
        <x:v>2678.0766529929315</x:v>
      </x:c>
      <x:c r="C1567" t="n">
        <x:f>Dashboard_Live_Data!AI96</x:f>
        <x:v>-86.80000000000001</x:v>
      </x:c>
      <x:c r="D1567" t="n">
        <x:f>Dashboard_Live_Data!AJ96</x:f>
        <x:v>704.5466168692386</x:v>
      </x:c>
      <x:c r="E1567" t="n">
        <x:f>Dashboard_Live_Data!AK96</x:f>
        <x:v>-173.60000000000002</x:v>
      </x:c>
      <x:c r="F1567" t="n">
        <x:f>Dashboard_Live_Data!AL96</x:f>
        <x:v>1313.820661862484</x:v>
      </x:c>
      <x:c r="G1567" t="n">
        <x:f>Dashboard_Live_Data!AM96</x:f>
        <x:v>-173.60000000000002</x:v>
      </x:c>
      <x:c r="H1567" t="n">
        <x:f>Dashboard_Live_Data!AN96</x:f>
        <x:v>1285.9182668026356</x:v>
      </x:c>
    </x:row>
    <x:row r="1568">
      <x:c r="A1568" t="n">
        <x:f>Dashboard_Live_Data!AG97</x:f>
        <x:v>-12.479999999999997</x:v>
      </x:c>
      <x:c r="B1568" t="n">
        <x:f>Dashboard_Live_Data!AH97</x:f>
        <x:v>2677.8310774067595</x:v>
      </x:c>
      <x:c r="C1568" t="n">
        <x:f>Dashboard_Live_Data!AI97</x:f>
        <x:v>-83.19999999999999</x:v>
      </x:c>
      <x:c r="D1568" t="n">
        <x:f>Dashboard_Live_Data!AJ97</x:f>
        <x:v>679.3773518856626</x:v>
      </x:c>
      <x:c r="E1568" t="n">
        <x:f>Dashboard_Live_Data!AK97</x:f>
        <x:v>-166.39999999999998</x:v>
      </x:c>
      <x:c r="F1568" t="n">
        <x:f>Dashboard_Live_Data!AL97</x:f>
        <x:v>1258.1693986938863</x:v>
      </x:c>
      <x:c r="G1568" t="n">
        <x:f>Dashboard_Live_Data!AM97</x:f>
        <x:v>-166.39999999999998</x:v>
      </x:c>
      <x:c r="H1568" t="n">
        <x:f>Dashboard_Live_Data!AN97</x:f>
        <x:v>1230.4415066288307</x:v>
      </x:c>
    </x:row>
    <x:row r="1569">
      <x:c r="A1569" t="n">
        <x:f>Dashboard_Live_Data!AG98</x:f>
        <x:v>-12</x:v>
      </x:c>
      <x:c r="B1569" t="n">
        <x:f>Dashboard_Live_Data!AH98</x:f>
        <x:v>2677.621506506962</x:v>
      </x:c>
      <x:c r="C1569" t="n">
        <x:f>Dashboard_Live_Data!AI98</x:f>
        <x:v>-80</x:v>
      </x:c>
      <x:c r="D1569" t="n">
        <x:f>Dashboard_Live_Data!AJ98</x:f>
        <x:v>657.2706885164247</x:v>
      </x:c>
      <x:c r="E1569" t="n">
        <x:f>Dashboard_Live_Data!AK98</x:f>
        <x:v>-160</x:v>
      </x:c>
      <x:c r="F1569" t="n">
        <x:f>Dashboard_Live_Data!AL98</x:f>
        <x:v>1209.2143519498034</x:v>
      </x:c>
      <x:c r="G1569" t="n">
        <x:f>Dashboard_Live_Data!AM98</x:f>
        <x:v>-160</x:v>
      </x:c>
      <x:c r="H1569" t="n">
        <x:f>Dashboard_Live_Data!AN98</x:f>
        <x:v>1181.6244054437507</x:v>
      </x:c>
    </x:row>
    <x:row r="1570">
      <x:c r="A1570" t="n">
        <x:f>Dashboard_Live_Data!AG99</x:f>
        <x:v>-11.519999999999996</x:v>
      </x:c>
      <x:c r="B1570" t="n">
        <x:f>Dashboard_Live_Data!AH99</x:f>
        <x:v>2677.4201427373237</x:v>
      </x:c>
      <x:c r="C1570" t="n">
        <x:f>Dashboard_Live_Data!AI99</x:f>
        <x:v>-76.79999999999995</x:v>
      </x:c>
      <x:c r="D1570" t="n">
        <x:f>Dashboard_Live_Data!AJ99</x:f>
        <x:v>635.426085871894</x:v>
      </x:c>
      <x:c r="E1570" t="n">
        <x:f>Dashboard_Live_Data!AK99</x:f>
        <x:v>-153.5999999999999</x:v>
      </x:c>
      <x:c r="F1570" t="n">
        <x:f>Dashboard_Live_Data!AL99</x:f>
        <x:v>1160.7398106982935</x:v>
      </x:c>
      <x:c r="G1570" t="n">
        <x:f>Dashboard_Live_Data!AM99</x:f>
        <x:v>-153.5999999999999</x:v>
      </x:c>
      <x:c r="H1570" t="n">
        <x:f>Dashboard_Live_Data!AN99</x:f>
        <x:v>1133.2680310356866</x:v>
      </x:c>
    </x:row>
    <x:row r="1571">
      <x:c r="A1571" t="n">
        <x:f>Dashboard_Live_Data!AG100</x:f>
        <x:v>-10.980000000000004</x:v>
      </x:c>
      <x:c r="B1571" t="n">
        <x:f>Dashboard_Live_Data!AH100</x:f>
        <x:v>2677.2034202705154</x:v>
      </x:c>
      <x:c r="C1571" t="n">
        <x:f>Dashboard_Live_Data!AI100</x:f>
        <x:v>-73.20000000000005</x:v>
      </x:c>
      <x:c r="D1571" t="n">
        <x:f>Dashboard_Live_Data!AJ100</x:f>
        <x:v>611.1806207136659</x:v>
      </x:c>
      <x:c r="E1571" t="n">
        <x:f>Dashboard_Live_Data!AK100</x:f>
        <x:v>-146.4000000000001</x:v>
      </x:c>
      <x:c r="F1571" t="n">
        <x:f>Dashboard_Live_Data!AL100</x:f>
        <x:v>1106.77995128393</x:v>
      </x:c>
      <x:c r="G1571" t="n">
        <x:f>Dashboard_Live_Data!AM100</x:f>
        <x:v>-146.4000000000001</x:v>
      </x:c>
      <x:c r="H1571" t="n">
        <x:f>Dashboard_Live_Data!AN100</x:f>
        <x:v>1079.4124988914414</x:v>
      </x:c>
    </x:row>
    <x:row r="1572">
      <x:c r="A1572" t="n">
        <x:f>Dashboard_Live_Data!AG101</x:f>
        <x:v>-10.5</x:v>
      </x:c>
      <x:c r="B1572" t="n">
        <x:f>Dashboard_Live_Data!AH101</x:f>
        <x:v>2677.019501093122</x:v>
      </x:c>
      <x:c r="C1572" t="n">
        <x:f>Dashboard_Live_Data!AI101</x:f>
        <x:v>-70</x:v>
      </x:c>
      <x:c r="D1572" t="n">
        <x:f>Dashboard_Live_Data!AJ101</x:f>
        <x:v>589.9393087491328</x:v>
      </x:c>
      <x:c r="E1572" t="n">
        <x:f>Dashboard_Live_Data!AK101</x:f>
        <x:v>-140</x:v>
      </x:c>
      <x:c r="F1572" t="n">
        <x:f>Dashboard_Live_Data!AL101</x:f>
        <x:v>1059.3278163208254</x:v>
      </x:c>
      <x:c r="G1572" t="n">
        <x:f>Dashboard_Live_Data!AM101</x:f>
        <x:v>-140</x:v>
      </x:c>
      <x:c r="H1572" t="n">
        <x:f>Dashboard_Live_Data!AN101</x:f>
        <x:v>1032.0225937697833</x:v>
      </x:c>
    </x:row>
    <x:row r="1573">
      <x:c r="A1573" t="n">
        <x:f>Dashboard_Live_Data!AG102</x:f>
        <x:v>-10.020000000000003</x:v>
      </x:c>
      <x:c r="B1573" t="n">
        <x:f>Dashboard_Live_Data!AH102</x:f>
        <x:v>2676.843793107199</x:v>
      </x:c>
      <x:c r="C1573" t="n">
        <x:f>Dashboard_Live_Data!AI102</x:f>
        <x:v>-66.80000000000001</x:v>
      </x:c>
      <x:c r="D1573" t="n">
        <x:f>Dashboard_Live_Data!AJ102</x:f>
        <x:v>569.0088081002975</x:v>
      </x:c>
      <x:c r="E1573" t="n">
        <x:f>Dashboard_Live_Data!AK102</x:f>
        <x:v>-133.60000000000002</x:v>
      </x:c>
      <x:c r="F1573" t="n">
        <x:f>Dashboard_Live_Data!AL102</x:f>
        <x:v>1012.362240937457</x:v>
      </x:c>
      <x:c r="G1573" t="n">
        <x:f>Dashboard_Live_Data!AM102</x:f>
        <x:v>-133.60000000000002</x:v>
      </x:c>
      <x:c r="H1573" t="n">
        <x:f>Dashboard_Live_Data!AN102</x:f>
        <x:v>985.0850258038517</x:v>
      </x:c>
    </x:row>
    <x:row r="1574">
      <x:c r="A1574" t="n">
        <x:f>Dashboard_Live_Data!AG103</x:f>
        <x:v>-9.480000000000004</x:v>
      </x:c>
      <x:c r="B1574" t="n">
        <x:f>Dashboard_Live_Data!AH103</x:f>
        <x:v>2676.655938037531</x:v>
      </x:c>
      <x:c r="C1574" t="n">
        <x:f>Dashboard_Live_Data!AI103</x:f>
        <x:v>-63.19999999999999</x:v>
      </x:c>
      <x:c r="D1574" t="n">
        <x:f>Dashboard_Live_Data!AJ103</x:f>
        <x:v>545.8599335087318</x:v>
      </x:c>
      <x:c r="E1574" t="n">
        <x:f>Dashboard_Live_Data!AK103</x:f>
        <x:v>-126.39999999999998</x:v>
      </x:c>
      <x:c r="F1574" t="n">
        <x:f>Dashboard_Live_Data!AL103</x:f>
        <x:v>960.117033428206</x:v>
      </x:c>
      <x:c r="G1574" t="n">
        <x:f>Dashboard_Live_Data!AM103</x:f>
        <x:v>-126.39999999999998</x:v>
      </x:c>
      <x:c r="H1574" t="n">
        <x:f>Dashboard_Live_Data!AN103</x:f>
        <x:v>932.8227451453487</x:v>
      </x:c>
    </x:row>
    <x:row r="1575">
      <x:c r="A1575" t="n">
        <x:f>Dashboard_Live_Data!AG104</x:f>
        <x:v>-9</x:v>
      </x:c>
      <x:c r="B1575" t="n">
        <x:f>Dashboard_Live_Data!AH104</x:f>
        <x:v>2676.4976827030932</x:v>
      </x:c>
      <x:c r="C1575" t="n">
        <x:f>Dashboard_Live_Data!AI104</x:f>
        <x:v>-60</x:v>
      </x:c>
      <x:c r="D1575" t="n">
        <x:f>Dashboard_Live_Data!AJ104</x:f>
        <x:v>525.6642714445533</x:v>
      </x:c>
      <x:c r="E1575" t="n">
        <x:f>Dashboard_Live_Data!AK104</x:f>
        <x:v>-120</x:v>
      </x:c>
      <x:c r="F1575" t="n">
        <x:f>Dashboard_Live_Data!AL104</x:f>
        <x:v>914.2150944754102</x:v>
      </x:c>
      <x:c r="G1575" t="n">
        <x:f>Dashboard_Live_Data!AM104</x:f>
        <x:v>-120</x:v>
      </x:c>
      <x:c r="H1575" t="n">
        <x:f>Dashboard_Live_Data!AN104</x:f>
        <x:v>886.8544947202699</x:v>
      </x:c>
    </x:row>
    <x:row r="1576">
      <x:c r="A1576" t="n">
        <x:f>Dashboard_Live_Data!AG105</x:f>
        <x:v>-8.520000000000003</x:v>
      </x:c>
      <x:c r="B1576" t="n">
        <x:f>Dashboard_Live_Data!AH105</x:f>
        <x:v>2676.3476420836173</x:v>
      </x:c>
      <x:c r="C1576" t="n">
        <x:f>Dashboard_Live_Data!AI105</x:f>
        <x:v>-56.80000000000001</x:v>
      </x:c>
      <x:c r="D1576" t="n">
        <x:f>Dashboard_Live_Data!AJ105</x:f>
        <x:v>505.85734229616077</x:v>
      </x:c>
      <x:c r="E1576" t="n">
        <x:f>Dashboard_Live_Data!AK105</x:f>
        <x:v>-113.60000000000002</x:v>
      </x:c>
      <x:c r="F1576" t="n">
        <x:f>Dashboard_Live_Data!AL105</x:f>
        <x:v>868.8370802822063</x:v>
      </x:c>
      <x:c r="G1576" t="n">
        <x:f>Dashboard_Live_Data!AM105</x:f>
        <x:v>-113.60000000000002</x:v>
      </x:c>
      <x:c r="H1576" t="n">
        <x:f>Dashboard_Live_Data!AN105</x:f>
        <x:v>841.3532788829367</x:v>
      </x:c>
    </x:row>
    <x:row r="1577">
      <x:c r="A1577" t="n">
        <x:f>Dashboard_Live_Data!AG106</x:f>
        <x:v>-7.980000000000004</x:v>
      </x:c>
      <x:c r="B1577" t="n">
        <x:f>Dashboard_Live_Data!AH106</x:f>
        <x:v>2676.188666798151</x:v>
      </x:c>
      <x:c r="C1577" t="n">
        <x:f>Dashboard_Live_Data!AI106</x:f>
        <x:v>-53.19999999999999</x:v>
      </x:c>
      <x:c r="D1577" t="n">
        <x:f>Dashboard_Live_Data!AJ106</x:f>
        <x:v>484.08118424505756</x:v>
      </x:c>
      <x:c r="E1577" t="n">
        <x:f>Dashboard_Live_Data!AK106</x:f>
        <x:v>-106.39999999999998</x:v>
      </x:c>
      <x:c r="F1577" t="n">
        <x:f>Dashboard_Live_Data!AL106</x:f>
        <x:v>818.4420076699244</x:v>
      </x:c>
      <x:c r="G1577" t="n">
        <x:f>Dashboard_Live_Data!AM106</x:f>
        <x:v>-106.39999999999998</x:v>
      </x:c>
      <x:c r="H1577" t="n">
        <x:f>Dashboard_Live_Data!AN106</x:f>
        <x:v>790.7392217429494</x:v>
      </x:c>
    </x:row>
    <x:row r="1578">
      <x:c r="A1578" t="n">
        <x:f>Dashboard_Live_Data!AG107</x:f>
        <x:v>-7.5</x:v>
      </x:c>
      <x:c r="B1578" t="n">
        <x:f>Dashboard_Live_Data!AH107</x:f>
        <x:v>2676.0560857448104</x:v>
      </x:c>
      <x:c r="C1578" t="n">
        <x:f>Dashboard_Live_Data!AI107</x:f>
        <x:v>-50</x:v>
      </x:c>
      <x:c r="D1578" t="n">
        <x:f>Dashboard_Live_Data!AJ107</x:f>
        <x:v>465.21831918360385</x:v>
      </x:c>
      <x:c r="E1578" t="n">
        <x:f>Dashboard_Live_Data!AK107</x:f>
        <x:v>-100</x:v>
      </x:c>
      <x:c r="F1578" t="n">
        <x:f>Dashboard_Live_Data!AL107</x:f>
        <x:v>774.2635773636083</x:v>
      </x:c>
      <x:c r="G1578" t="n">
        <x:f>Dashboard_Live_Data!AM107</x:f>
        <x:v>-100</x:v>
      </x:c>
      <x:c r="H1578" t="n">
        <x:f>Dashboard_Live_Data!AN107</x:f>
        <x:v>746.2816902643984</x:v>
      </x:c>
    </x:row>
    <x:row r="1579">
      <x:c r="A1579" t="n">
        <x:f>Dashboard_Live_Data!AG108</x:f>
        <x:v>-7.019999999999996</x:v>
      </x:c>
      <x:c r="B1579" t="n">
        <x:f>Dashboard_Live_Data!AH108</x:f>
        <x:v>2675.93172239053</x:v>
      </x:c>
      <x:c r="C1579" t="n">
        <x:f>Dashboard_Live_Data!AI108</x:f>
        <x:v>-46.80000000000001</x:v>
      </x:c>
      <x:c r="D1579" t="n">
        <x:f>Dashboard_Live_Data!AJ108</x:f>
        <x:v>446.86749403358624</x:v>
      </x:c>
      <x:c r="E1579" t="n">
        <x:f>Dashboard_Live_Data!AK108</x:f>
        <x:v>-93.60000000000002</x:v>
      </x:c>
      <x:c r="F1579" t="n">
        <x:f>Dashboard_Live_Data!AL108</x:f>
        <x:v>730.7097325562099</x:v>
      </x:c>
      <x:c r="G1579" t="n">
        <x:f>Dashboard_Live_Data!AM108</x:f>
        <x:v>-93.60000000000002</x:v>
      </x:c>
      <x:c r="H1579" t="n">
        <x:f>Dashboard_Live_Data!AN108</x:f>
        <x:v>702.354778608177</x:v>
      </x:c>
    </x:row>
    <x:row r="1580">
      <x:c r="A1580" t="n">
        <x:f>Dashboard_Live_Data!AG109</x:f>
        <x:v>-6.479999999999997</x:v>
      </x:c>
      <x:c r="B1580" t="n">
        <x:f>Dashboard_Live_Data!AH109</x:f>
        <x:v>2675.801637380072</x:v>
      </x:c>
      <x:c r="C1580" t="n">
        <x:f>Dashboard_Live_Data!AI109</x:f>
        <x:v>-43.19999999999999</x:v>
      </x:c>
      <x:c r="D1580" t="n">
        <x:f>Dashboard_Live_Data!AJ109</x:f>
        <x:v>426.90066876687405</x:v>
      </x:c>
      <x:c r="E1580" t="n">
        <x:f>Dashboard_Live_Data!AK109</x:f>
        <x:v>-86.39999999999998</x:v>
      </x:c>
      <x:c r="F1580" t="n">
        <x:f>Dashboard_Live_Data!AL109</x:f>
        <x:v>682.5280213875686</x:v>
      </x:c>
      <x:c r="G1580" t="n">
        <x:f>Dashboard_Live_Data!AM109</x:f>
        <x:v>-86.39999999999998</x:v>
      </x:c>
      <x:c r="H1580" t="n">
        <x:f>Dashboard_Live_Data!AN109</x:f>
        <x:v>653.6204124325454</x:v>
      </x:c>
    </x:row>
    <x:row r="1581">
      <x:c r="A1581" t="n">
        <x:f>Dashboard_Live_Data!AG110</x:f>
        <x:v>-6</x:v>
      </x:c>
      <x:c r="B1581" t="n">
        <x:f>Dashboard_Live_Data!AH110</x:f>
        <x:v>2675.6947393589066</x:v>
      </x:c>
      <x:c r="C1581" t="n">
        <x:f>Dashboard_Live_Data!AI110</x:f>
        <x:v>-40</x:v>
      </x:c>
      <x:c r="D1581" t="n">
        <x:f>Dashboard_Live_Data!AJ110</x:f>
        <x:v>409.8223646341818</x:v>
      </x:c>
      <x:c r="E1581" t="n">
        <x:f>Dashboard_Live_Data!AK110</x:f>
        <x:v>-80</x:v>
      </x:c>
      <x:c r="F1581" t="n">
        <x:f>Dashboard_Live_Data!AL110</x:f>
        <x:v>640.5073835750494</x:v>
      </x:c>
      <x:c r="G1581" t="n">
        <x:f>Dashboard_Live_Data!AM110</x:f>
        <x:v>-80</x:v>
      </x:c>
      <x:c r="H1581" t="n">
        <x:f>Dashboard_Live_Data!AN110</x:f>
        <x:v>610.9686237412925</x:v>
      </x:c>
    </x:row>
    <x:row r="1582">
      <x:c r="A1582" t="n">
        <x:f>Dashboard_Live_Data!AG111</x:f>
        <x:v>-5.519999999999996</x:v>
      </x:c>
      <x:c r="B1582" t="n">
        <x:f>Dashboard_Live_Data!AH111</x:f>
        <x:v>2675.596061480153</x:v>
      </x:c>
      <x:c r="C1582" t="n">
        <x:f>Dashboard_Live_Data!AI111</x:f>
        <x:v>-36.80000000000001</x:v>
      </x:c>
      <x:c r="D1582" t="n">
        <x:f>Dashboard_Live_Data!AJ111</x:f>
        <x:v>393.44746490213646</x:v>
      </x:c>
      <x:c r="E1582" t="n">
        <x:f>Dashboard_Live_Data!AK111</x:f>
        <x:v>-73.60000000000002</x:v>
      </x:c>
      <x:c r="F1582" t="n">
        <x:f>Dashboard_Live_Data!AL111</x:f>
        <x:v>599.3484103990154</x:v>
      </x:c>
      <x:c r="G1582" t="n">
        <x:f>Dashboard_Live_Data!AM111</x:f>
        <x:v>-73.60000000000002</x:v>
      </x:c>
      <x:c r="H1582" t="n">
        <x:f>Dashboard_Live_Data!AN111</x:f>
        <x:v>569.0227686817443</x:v>
      </x:c>
    </x:row>
    <x:row r="1583">
      <x:c r="A1583" t="n">
        <x:f>Dashboard_Live_Data!AG112</x:f>
        <x:v>-4.979999999999997</x:v>
      </x:c>
      <x:c r="B1583" t="n">
        <x:f>Dashboard_Live_Data!AH112</x:f>
        <x:v>2675.494875334485</x:v>
      </x:c>
      <x:c r="C1583" t="n">
        <x:f>Dashboard_Live_Data!AI112</x:f>
        <x:v>-33.19999999999999</x:v>
      </x:c>
      <x:c r="D1583" t="n">
        <x:f>Dashboard_Live_Data!AJ112</x:f>
        <x:v>375.9660695790947</x:v>
      </x:c>
      <x:c r="E1583" t="n">
        <x:f>Dashboard_Live_Data!AK112</x:f>
        <x:v>-66.39999999999998</x:v>
      </x:c>
      <x:c r="F1583" t="n">
        <x:f>Dashboard_Live_Data!AL112</x:f>
        <x:v>554.2362316751039</x:v>
      </x:c>
      <x:c r="G1583" t="n">
        <x:f>Dashboard_Live_Data!AM112</x:f>
        <x:v>-66.39999999999998</x:v>
      </x:c>
      <x:c r="H1583" t="n">
        <x:f>Dashboard_Live_Data!AN112</x:f>
        <x:v>522.8056693168993</x:v>
      </x:c>
    </x:row>
    <x:row r="1584">
      <x:c r="A1584" t="n">
        <x:f>Dashboard_Live_Data!AG113</x:f>
        <x:v>-4.5</x:v>
      </x:c>
      <x:c r="B1584" t="n">
        <x:f>Dashboard_Live_Data!AH113</x:f>
        <x:v>2675.413667405526</x:v>
      </x:c>
      <x:c r="C1584" t="n">
        <x:f>Dashboard_Live_Data!AI113</x:f>
        <x:v>-30</x:v>
      </x:c>
      <x:c r="D1584" t="n">
        <x:f>Dashboard_Live_Data!AJ113</x:f>
        <x:v>361.3628330842782</x:v>
      </x:c>
      <x:c r="E1584" t="n">
        <x:f>Dashboard_Live_Data!AK113</x:f>
        <x:v>-60</x:v>
      </x:c>
      <x:c r="F1584" t="n">
        <x:f>Dashboard_Live_Data!AL113</x:f>
        <x:v>515.385935947316</x:v>
      </x:c>
      <x:c r="G1584" t="n">
        <x:f>Dashboard_Live_Data!AM113</x:f>
        <x:v>-60</x:v>
      </x:c>
      <x:c r="H1584" t="n">
        <x:f>Dashboard_Live_Data!AN113</x:f>
        <x:v>482.7443088432838</x:v>
      </x:c>
    </x:row>
    <x:row r="1585">
      <x:c r="A1585" t="n">
        <x:f>Dashboard_Live_Data!AG114</x:f>
        <x:v>-4.019999999999996</x:v>
      </x:c>
      <x:c r="B1585" t="n">
        <x:f>Dashboard_Live_Data!AH114</x:f>
        <x:v>2675.340681520537</x:v>
      </x:c>
      <x:c r="C1585" t="n">
        <x:f>Dashboard_Live_Data!AI114</x:f>
        <x:v>-26.799999999999955</x:v>
      </x:c>
      <x:c r="D1585" t="n">
        <x:f>Dashboard_Live_Data!AJ114</x:f>
        <x:v>347.7451277079186</x:v>
      </x:c>
      <x:c r="E1585" t="n">
        <x:f>Dashboard_Live_Data!AK114</x:f>
        <x:v>-53.59999999999991</x:v>
      </x:c>
      <x:c r="F1585" t="n">
        <x:f>Dashboard_Live_Data!AL114</x:f>
        <x:v>477.9486297496659</x:v>
      </x:c>
      <x:c r="G1585" t="n">
        <x:f>Dashboard_Live_Data!AM114</x:f>
        <x:v>-53.59999999999991</x:v>
      </x:c>
      <x:c r="H1585" t="n">
        <x:f>Dashboard_Live_Data!AN114</x:f>
        <x:v>443.8466445893456</x:v>
      </x:c>
    </x:row>
    <x:row r="1586">
      <x:c r="A1586" t="n">
        <x:f>Dashboard_Live_Data!AG115</x:f>
        <x:v>-3.480000000000004</x:v>
      </x:c>
      <x:c r="B1586" t="n">
        <x:f>Dashboard_Live_Data!AH115</x:f>
        <x:v>2675.2684009246454</x:v>
      </x:c>
      <x:c r="C1586" t="n">
        <x:f>Dashboard_Live_Data!AI115</x:f>
        <x:v>-23.200000000000045</x:v>
      </x:c>
      <x:c r="D1586" t="n">
        <x:f>Dashboard_Live_Data!AJ115</x:f>
        <x:v>333.7408733876195</x:v>
      </x:c>
      <x:c r="E1586" t="n">
        <x:f>Dashboard_Live_Data!AK115</x:f>
        <x:v>-46.40000000000009</x:v>
      </x:c>
      <x:c r="F1586" t="n">
        <x:f>Dashboard_Live_Data!AL115</x:f>
        <x:v>437.8992973190349</x:v>
      </x:c>
      <x:c r="G1586" t="n">
        <x:f>Dashboard_Live_Data!AM115</x:f>
        <x:v>-46.40000000000009</x:v>
      </x:c>
      <x:c r="H1586" t="n">
        <x:f>Dashboard_Live_Data!AN115</x:f>
        <x:v>401.81820551497754</x:v>
      </x:c>
    </x:row>
    <x:row r="1587">
      <x:c r="A1587" t="n">
        <x:f>Dashboard_Live_Data!AG116</x:f>
        <x:v>-3</x:v>
      </x:c>
      <x:c r="B1587" t="n">
        <x:f>Dashboard_Live_Data!AH116</x:f>
        <x:v>2675.2128884537788</x:v>
      </x:c>
      <x:c r="C1587" t="n">
        <x:f>Dashboard_Live_Data!AI116</x:f>
        <x:v>-20</x:v>
      </x:c>
      <x:c r="D1587" t="n">
        <x:f>Dashboard_Live_Data!AJ116</x:f>
        <x:v>322.5932252064959</x:v>
      </x:c>
      <x:c r="E1587" t="n">
        <x:f>Dashboard_Live_Data!AK116</x:f>
        <x:v>-40</x:v>
      </x:c>
      <x:c r="F1587" t="n">
        <x:f>Dashboard_Live_Data!AL116</x:f>
        <x:v>404.5820446556752</x:v>
      </x:c>
      <x:c r="G1587" t="n">
        <x:f>Dashboard_Live_Data!AM116</x:f>
        <x:v>-40</x:v>
      </x:c>
      <x:c r="H1587" t="n">
        <x:f>Dashboard_Live_Data!AN116</x:f>
        <x:v>366.42028097133147</x:v>
      </x:c>
    </x:row>
    <x:row r="1588">
      <x:c r="A1588" t="n">
        <x:f>Dashboard_Live_Data!AG117</x:f>
        <x:v>-2.520000000000003</x:v>
      </x:c>
      <x:c r="B1588" t="n">
        <x:f>Dashboard_Live_Data!AH117</x:f>
        <x:v>2675.165599385722</x:v>
      </x:c>
      <x:c r="C1588" t="n">
        <x:f>Dashboard_Live_Data!AI117</x:f>
        <x:v>-16.80000000000001</x:v>
      </x:c>
      <x:c r="D1588" t="n">
        <x:f>Dashboard_Live_Data!AJ117</x:f>
        <x:v>312.798084448728</x:v>
      </x:c>
      <x:c r="E1588" t="n">
        <x:f>Dashboard_Live_Data!AK117</x:f>
        <x:v>-33.60000000000002</x:v>
      </x:c>
      <x:c r="F1588" t="n">
        <x:f>Dashboard_Live_Data!AL117</x:f>
        <x:v>373.95808704286753</x:v>
      </x:c>
      <x:c r="G1588" t="n">
        <x:f>Dashboard_Live_Data!AM117</x:f>
        <x:v>-33.60000000000002</x:v>
      </x:c>
      <x:c r="H1588" t="n">
        <x:f>Dashboard_Live_Data!AN117</x:f>
        <x:v>333.41947696346216</x:v>
      </x:c>
    </x:row>
    <x:row r="1589">
      <x:c r="A1589" t="n">
        <x:f>Dashboard_Live_Data!AG118</x:f>
        <x:v>-1.980000000000004</x:v>
      </x:c>
      <x:c r="B1589" t="n">
        <x:f>Dashboard_Live_Data!AH118</x:f>
        <x:v>2675.122229116734</x:v>
      </x:c>
      <x:c r="C1589" t="n">
        <x:f>Dashboard_Live_Data!AI118</x:f>
        <x:v>-13.199999999999989</x:v>
      </x:c>
      <x:c r="D1589" t="n">
        <x:f>Dashboard_Live_Data!AJ118</x:f>
        <x:v>303.54886988121996</x:v>
      </x:c>
      <x:c r="E1589" t="n">
        <x:f>Dashboard_Live_Data!AK118</x:f>
        <x:v>-26.399999999999977</x:v>
      </x:c>
      <x:c r="F1589" t="n">
        <x:f>Dashboard_Live_Data!AL118</x:f>
        <x:v>343.5612623013572</x:v>
      </x:c>
      <x:c r="G1589" t="n">
        <x:f>Dashboard_Live_Data!AM118</x:f>
        <x:v>-26.399999999999977</x:v>
      </x:c>
      <x:c r="H1589" t="n">
        <x:f>Dashboard_Live_Data!AN118</x:f>
        <x:v>300.07341715264386</x:v>
      </x:c>
    </x:row>
    <x:row r="1590">
      <x:c r="A1590" t="n">
        <x:f>Dashboard_Live_Data!AG119</x:f>
        <x:v>-1.5</x:v>
      </x:c>
      <x:c r="B1590" t="n">
        <x:f>Dashboard_Live_Data!AH119</x:f>
        <x:v>2675.092415773223</x:v>
      </x:c>
      <x:c r="C1590" t="n">
        <x:f>Dashboard_Live_Data!AI119</x:f>
        <x:v>-10</x:v>
      </x:c>
      <x:c r="D1590" t="n">
        <x:f>Dashboard_Live_Data!AJ119</x:f>
        <x:v>297.0306183683265</x:v>
      </x:c>
      <x:c r="E1590" t="n">
        <x:f>Dashboard_Live_Data!AK119</x:f>
        <x:v>-20</x:v>
      </x:c>
      <x:c r="F1590" t="n">
        <x:f>Dashboard_Live_Data!AL119</x:f>
        <x:v>321.0492876738631</x:v>
      </x:c>
      <x:c r="G1590" t="n">
        <x:f>Dashboard_Live_Data!AM119</x:f>
        <x:v>-20</x:v>
      </x:c>
      <x:c r="H1590" t="n">
        <x:f>Dashboard_Live_Data!AN119</x:f>
        <x:v>274.8715173653501</x:v>
      </x:c>
    </x:row>
    <x:row r="1591">
      <x:c r="A1591" t="n">
        <x:f>Dashboard_Live_Data!AG120</x:f>
        <x:v>-1.0200000000000031</x:v>
      </x:c>
      <x:c r="B1591" t="n">
        <x:f>Dashboard_Live_Data!AH120</x:f>
        <x:v>2675.0708266480583</x:v>
      </x:c>
      <x:c r="C1591" t="n">
        <x:f>Dashboard_Live_Data!AI120</x:f>
        <x:v>-6.800000000000011</x:v>
      </x:c>
      <x:c r="D1591" t="n">
        <x:f>Dashboard_Live_Data!AJ120</x:f>
        <x:v>292.2232293769202</x:v>
      </x:c>
      <x:c r="E1591" t="n">
        <x:f>Dashboard_Live_Data!AK120</x:f>
        <x:v>-13.600000000000023</x:v>
      </x:c>
      <x:c r="F1591" t="n">
        <x:f>Dashboard_Live_Data!AL120</x:f>
        <x:v>303.73346224026676</x:v>
      </x:c>
      <x:c r="G1591" t="n">
        <x:f>Dashboard_Live_Data!AM120</x:f>
        <x:v>-13.600000000000023</x:v>
      </x:c>
      <x:c r="H1591" t="n">
        <x:f>Dashboard_Live_Data!AN120</x:f>
        <x:v>255.10349072494134</x:v>
      </x:c>
    </x:row>
    <x:row r="1592">
      <x:c r="A1592" t="n">
        <x:f>Dashboard_Live_Data!AG121</x:f>
        <x:v>-0.480000000000004</x:v>
      </x:c>
      <x:c r="B1592" t="n">
        <x:f>Dashboard_Live_Data!AH121</x:f>
        <x:v>2675.0563695731153</x:v>
      </x:c>
      <x:c r="C1592" t="n">
        <x:f>Dashboard_Live_Data!AI121</x:f>
        <x:v>-3.1999999999999886</x:v>
      </x:c>
      <x:c r="D1592" t="n">
        <x:f>Dashboard_Live_Data!AJ121</x:f>
        <x:v>288.96093772220826</x:v>
      </x:c>
      <x:c r="E1592" t="n">
        <x:f>Dashboard_Live_Data!AK121</x:f>
        <x:v>-6.399999999999977</x:v>
      </x:c>
      <x:c r="F1592" t="n">
        <x:f>Dashboard_Live_Data!AL121</x:f>
        <x:v>291.57635730626026</x:v>
      </x:c>
      <x:c r="G1592" t="n">
        <x:f>Dashboard_Live_Data!AM121</x:f>
        <x:v>-6.399999999999977</x:v>
      </x:c>
      <x:c r="H1592" t="n">
        <x:f>Dashboard_Live_Data!AN121</x:f>
        <x:v>240.97664531965657</x:v>
      </x:c>
    </x:row>
    <x:row r="1593">
      <x:c r="A1593" t="n">
        <x:f>Dashboard_Live_Data!AG122</x:f>
        <x:v>0</x:v>
      </x:c>
      <x:c r="B1593" t="n">
        <x:f>Dashboard_Live_Data!AH122</x:f>
        <x:v>2675.0522573279914</x:v>
      </x:c>
      <x:c r="C1593" t="n">
        <x:f>Dashboard_Live_Data!AI122</x:f>
        <x:v>0</x:v>
      </x:c>
      <x:c r="D1593" t="n">
        <x:f>Dashboard_Live_Data!AJ122</x:f>
        <x:v>288.0264897465142</x:v>
      </x:c>
      <x:c r="E1593" t="n">
        <x:f>Dashboard_Live_Data!AK122</x:f>
        <x:v>0</x:v>
      </x:c>
      <x:c r="F1593" t="n">
        <x:f>Dashboard_Live_Data!AL122</x:f>
        <x:v>288.0264897465142</x:v>
      </x:c>
      <x:c r="G1593" t="n">
        <x:f>Dashboard_Live_Data!AM122</x:f>
        <x:v>0</x:v>
      </x:c>
      <x:c r="H1593" t="n">
        <x:f>Dashboard_Live_Data!AN122</x:f>
        <x:v>236.80676373491008</x:v>
      </x:c>
    </x:row>
    <x:row r="1594">
      <x:c r="A1594" t="n">
        <x:f>Dashboard_Live_Data!AG123</x:f>
        <x:v>0.480000000000004</x:v>
      </x:c>
      <x:c r="B1594" t="n">
        <x:f>Dashboard_Live_Data!AH123</x:f>
        <x:v>2675.0563695731153</x:v>
      </x:c>
      <x:c r="C1594" t="n">
        <x:f>Dashboard_Live_Data!AI123</x:f>
        <x:v>3.1999999999999886</x:v>
      </x:c>
      <x:c r="D1594" t="n">
        <x:f>Dashboard_Live_Data!AJ123</x:f>
        <x:v>288.96093772220826</x:v>
      </x:c>
      <x:c r="E1594" t="n">
        <x:f>Dashboard_Live_Data!AK123</x:f>
        <x:v>6.399999999999977</x:v>
      </x:c>
      <x:c r="F1594" t="n">
        <x:f>Dashboard_Live_Data!AL123</x:f>
        <x:v>291.57635730626026</x:v>
      </x:c>
      <x:c r="G1594" t="n">
        <x:f>Dashboard_Live_Data!AM123</x:f>
        <x:v>6.399999999999977</x:v>
      </x:c>
      <x:c r="H1594" t="n">
        <x:f>Dashboard_Live_Data!AN123</x:f>
        <x:v>240.97664531965657</x:v>
      </x:c>
    </x:row>
    <x:row r="1595">
      <x:c r="A1595" t="n">
        <x:f>Dashboard_Live_Data!AG124</x:f>
        <x:v>1.019999999999996</x:v>
      </x:c>
      <x:c r="B1595" t="n">
        <x:f>Dashboard_Live_Data!AH124</x:f>
        <x:v>2675.0708266480583</x:v>
      </x:c>
      <x:c r="C1595" t="n">
        <x:f>Dashboard_Live_Data!AI124</x:f>
        <x:v>6.7999999999999545</x:v>
      </x:c>
      <x:c r="D1595" t="n">
        <x:f>Dashboard_Live_Data!AJ124</x:f>
        <x:v>292.2232293769202</x:v>
      </x:c>
      <x:c r="E1595" t="n">
        <x:f>Dashboard_Live_Data!AK124</x:f>
        <x:v>13.599999999999909</x:v>
      </x:c>
      <x:c r="F1595" t="n">
        <x:f>Dashboard_Live_Data!AL124</x:f>
        <x:v>303.73346224026676</x:v>
      </x:c>
      <x:c r="G1595" t="n">
        <x:f>Dashboard_Live_Data!AM124</x:f>
        <x:v>13.599999999999909</x:v>
      </x:c>
      <x:c r="H1595" t="n">
        <x:f>Dashboard_Live_Data!AN124</x:f>
        <x:v>255.10349072494134</x:v>
      </x:c>
    </x:row>
    <x:row r="1596">
      <x:c r="A1596" t="n">
        <x:f>Dashboard_Live_Data!AG125</x:f>
        <x:v>1.499999999999993</x:v>
      </x:c>
      <x:c r="B1596" t="n">
        <x:f>Dashboard_Live_Data!AH125</x:f>
        <x:v>2675.092415773223</x:v>
      </x:c>
      <x:c r="C1596" t="n">
        <x:f>Dashboard_Live_Data!AI125</x:f>
        <x:v>9.999999999999943</x:v>
      </x:c>
      <x:c r="D1596" t="n">
        <x:f>Dashboard_Live_Data!AJ125</x:f>
        <x:v>297.0306183683265</x:v>
      </x:c>
      <x:c r="E1596" t="n">
        <x:f>Dashboard_Live_Data!AK125</x:f>
        <x:v>19.999999999999886</x:v>
      </x:c>
      <x:c r="F1596" t="n">
        <x:f>Dashboard_Live_Data!AL125</x:f>
        <x:v>321.0492876738631</x:v>
      </x:c>
      <x:c r="G1596" t="n">
        <x:f>Dashboard_Live_Data!AM125</x:f>
        <x:v>19.999999999999886</x:v>
      </x:c>
      <x:c r="H1596" t="n">
        <x:f>Dashboard_Live_Data!AN125</x:f>
        <x:v>274.8715173653501</x:v>
      </x:c>
    </x:row>
    <x:row r="1597">
      <x:c r="A1597" t="n">
        <x:f>Dashboard_Live_Data!AG126</x:f>
        <x:v>1.9799999999999969</x:v>
      </x:c>
      <x:c r="B1597" t="n">
        <x:f>Dashboard_Live_Data!AH126</x:f>
        <x:v>2675.122229116734</x:v>
      </x:c>
      <x:c r="C1597" t="n">
        <x:f>Dashboard_Live_Data!AI126</x:f>
        <x:v>13.199999999999989</x:v>
      </x:c>
      <x:c r="D1597" t="n">
        <x:f>Dashboard_Live_Data!AJ126</x:f>
        <x:v>303.54886988121996</x:v>
      </x:c>
      <x:c r="E1597" t="n">
        <x:f>Dashboard_Live_Data!AK126</x:f>
        <x:v>26.399999999999977</x:v>
      </x:c>
      <x:c r="F1597" t="n">
        <x:f>Dashboard_Live_Data!AL126</x:f>
        <x:v>343.5612623013572</x:v>
      </x:c>
      <x:c r="G1597" t="n">
        <x:f>Dashboard_Live_Data!AM126</x:f>
        <x:v>26.399999999999977</x:v>
      </x:c>
      <x:c r="H1597" t="n">
        <x:f>Dashboard_Live_Data!AN126</x:f>
        <x:v>300.07341715264386</x:v>
      </x:c>
    </x:row>
    <x:row r="1598">
      <x:c r="A1598" t="n">
        <x:f>Dashboard_Live_Data!AG127</x:f>
        <x:v>2.520000000000003</x:v>
      </x:c>
      <x:c r="B1598" t="n">
        <x:f>Dashboard_Live_Data!AH127</x:f>
        <x:v>2675.165599385722</x:v>
      </x:c>
      <x:c r="C1598" t="n">
        <x:f>Dashboard_Live_Data!AI127</x:f>
        <x:v>16.80000000000001</x:v>
      </x:c>
      <x:c r="D1598" t="n">
        <x:f>Dashboard_Live_Data!AJ127</x:f>
        <x:v>312.798084448728</x:v>
      </x:c>
      <x:c r="E1598" t="n">
        <x:f>Dashboard_Live_Data!AK127</x:f>
        <x:v>33.60000000000002</x:v>
      </x:c>
      <x:c r="F1598" t="n">
        <x:f>Dashboard_Live_Data!AL127</x:f>
        <x:v>373.95808704286753</x:v>
      </x:c>
      <x:c r="G1598" t="n">
        <x:f>Dashboard_Live_Data!AM127</x:f>
        <x:v>33.60000000000002</x:v>
      </x:c>
      <x:c r="H1598" t="n">
        <x:f>Dashboard_Live_Data!AN127</x:f>
        <x:v>333.41947696346216</x:v>
      </x:c>
    </x:row>
    <x:row r="1599">
      <x:c r="A1599" t="n">
        <x:f>Dashboard_Live_Data!AG128</x:f>
        <x:v>3</x:v>
      </x:c>
      <x:c r="B1599" t="n">
        <x:f>Dashboard_Live_Data!AH128</x:f>
        <x:v>2675.2128884537788</x:v>
      </x:c>
      <x:c r="C1599" t="n">
        <x:f>Dashboard_Live_Data!AI128</x:f>
        <x:v>20</x:v>
      </x:c>
      <x:c r="D1599" t="n">
        <x:f>Dashboard_Live_Data!AJ128</x:f>
        <x:v>322.5932252064959</x:v>
      </x:c>
      <x:c r="E1599" t="n">
        <x:f>Dashboard_Live_Data!AK128</x:f>
        <x:v>40</x:v>
      </x:c>
      <x:c r="F1599" t="n">
        <x:f>Dashboard_Live_Data!AL128</x:f>
        <x:v>404.5820446556752</x:v>
      </x:c>
      <x:c r="G1599" t="n">
        <x:f>Dashboard_Live_Data!AM128</x:f>
        <x:v>40</x:v>
      </x:c>
      <x:c r="H1599" t="n">
        <x:f>Dashboard_Live_Data!AN128</x:f>
        <x:v>366.42028097133147</x:v>
      </x:c>
    </x:row>
    <x:row r="1600">
      <x:c r="A1600" t="n">
        <x:f>Dashboard_Live_Data!AG129</x:f>
        <x:v>3.480000000000004</x:v>
      </x:c>
      <x:c r="B1600" t="n">
        <x:f>Dashboard_Live_Data!AH129</x:f>
        <x:v>2675.2684009246454</x:v>
      </x:c>
      <x:c r="C1600" t="n">
        <x:f>Dashboard_Live_Data!AI129</x:f>
        <x:v>23.200000000000045</x:v>
      </x:c>
      <x:c r="D1600" t="n">
        <x:f>Dashboard_Live_Data!AJ129</x:f>
        <x:v>333.7408733876195</x:v>
      </x:c>
      <x:c r="E1600" t="n">
        <x:f>Dashboard_Live_Data!AK129</x:f>
        <x:v>46.40000000000009</x:v>
      </x:c>
      <x:c r="F1600" t="n">
        <x:f>Dashboard_Live_Data!AL129</x:f>
        <x:v>437.8992973190349</x:v>
      </x:c>
      <x:c r="G1600" t="n">
        <x:f>Dashboard_Live_Data!AM129</x:f>
        <x:v>46.40000000000009</x:v>
      </x:c>
      <x:c r="H1600" t="n">
        <x:f>Dashboard_Live_Data!AN129</x:f>
        <x:v>401.81820551497754</x:v>
      </x:c>
    </x:row>
    <x:row r="1601">
      <x:c r="A1601" t="n">
        <x:f>Dashboard_Live_Data!AG130</x:f>
        <x:v>4.019999999999996</x:v>
      </x:c>
      <x:c r="B1601" t="n">
        <x:f>Dashboard_Live_Data!AH130</x:f>
        <x:v>2675.340681520537</x:v>
      </x:c>
      <x:c r="C1601" t="n">
        <x:f>Dashboard_Live_Data!AI130</x:f>
        <x:v>26.799999999999955</x:v>
      </x:c>
      <x:c r="D1601" t="n">
        <x:f>Dashboard_Live_Data!AJ130</x:f>
        <x:v>347.7451277079186</x:v>
      </x:c>
      <x:c r="E1601" t="n">
        <x:f>Dashboard_Live_Data!AK130</x:f>
        <x:v>53.59999999999991</x:v>
      </x:c>
      <x:c r="F1601" t="n">
        <x:f>Dashboard_Live_Data!AL130</x:f>
        <x:v>477.9486297496659</x:v>
      </x:c>
      <x:c r="G1601" t="n">
        <x:f>Dashboard_Live_Data!AM130</x:f>
        <x:v>53.59999999999991</x:v>
      </x:c>
      <x:c r="H1601" t="n">
        <x:f>Dashboard_Live_Data!AN130</x:f>
        <x:v>443.8466445893456</x:v>
      </x:c>
    </x:row>
    <x:row r="1602">
      <x:c r="A1602" t="n">
        <x:f>Dashboard_Live_Data!AG131</x:f>
        <x:v>4.5</x:v>
      </x:c>
      <x:c r="B1602" t="n">
        <x:f>Dashboard_Live_Data!AH131</x:f>
        <x:v>2675.413667405526</x:v>
      </x:c>
      <x:c r="C1602" t="n">
        <x:f>Dashboard_Live_Data!AI131</x:f>
        <x:v>30</x:v>
      </x:c>
      <x:c r="D1602" t="n">
        <x:f>Dashboard_Live_Data!AJ131</x:f>
        <x:v>361.3628330842782</x:v>
      </x:c>
      <x:c r="E1602" t="n">
        <x:f>Dashboard_Live_Data!AK131</x:f>
        <x:v>60</x:v>
      </x:c>
      <x:c r="F1602" t="n">
        <x:f>Dashboard_Live_Data!AL131</x:f>
        <x:v>515.385935947316</x:v>
      </x:c>
      <x:c r="G1602" t="n">
        <x:f>Dashboard_Live_Data!AM131</x:f>
        <x:v>60</x:v>
      </x:c>
      <x:c r="H1602" t="n">
        <x:f>Dashboard_Live_Data!AN131</x:f>
        <x:v>482.7443088432838</x:v>
      </x:c>
    </x:row>
    <x:row r="1603">
      <x:c r="A1603" t="n">
        <x:f>Dashboard_Live_Data!AG132</x:f>
        <x:v>4.980000000000004</x:v>
      </x:c>
      <x:c r="B1603" t="n">
        <x:f>Dashboard_Live_Data!AH132</x:f>
        <x:v>2675.494875334485</x:v>
      </x:c>
      <x:c r="C1603" t="n">
        <x:f>Dashboard_Live_Data!AI132</x:f>
        <x:v>33.19999999999999</x:v>
      </x:c>
      <x:c r="D1603" t="n">
        <x:f>Dashboard_Live_Data!AJ132</x:f>
        <x:v>375.9660695790947</x:v>
      </x:c>
      <x:c r="E1603" t="n">
        <x:f>Dashboard_Live_Data!AK132</x:f>
        <x:v>66.39999999999998</x:v>
      </x:c>
      <x:c r="F1603" t="n">
        <x:f>Dashboard_Live_Data!AL132</x:f>
        <x:v>554.2362316751039</x:v>
      </x:c>
      <x:c r="G1603" t="n">
        <x:f>Dashboard_Live_Data!AM132</x:f>
        <x:v>66.39999999999998</x:v>
      </x:c>
      <x:c r="H1603" t="n">
        <x:f>Dashboard_Live_Data!AN132</x:f>
        <x:v>522.8056693168993</x:v>
      </x:c>
    </x:row>
    <x:row r="1604">
      <x:c r="A1604" t="n">
        <x:f>Dashboard_Live_Data!AG133</x:f>
        <x:v>5.52000000000001</x:v>
      </x:c>
      <x:c r="B1604" t="n">
        <x:f>Dashboard_Live_Data!AH133</x:f>
        <x:v>2675.596061480153</x:v>
      </x:c>
      <x:c r="C1604" t="n">
        <x:f>Dashboard_Live_Data!AI133</x:f>
        <x:v>36.80000000000001</x:v>
      </x:c>
      <x:c r="D1604" t="n">
        <x:f>Dashboard_Live_Data!AJ133</x:f>
        <x:v>393.44746490213646</x:v>
      </x:c>
      <x:c r="E1604" t="n">
        <x:f>Dashboard_Live_Data!AK133</x:f>
        <x:v>73.60000000000002</x:v>
      </x:c>
      <x:c r="F1604" t="n">
        <x:f>Dashboard_Live_Data!AL133</x:f>
        <x:v>599.3484103990154</x:v>
      </x:c>
      <x:c r="G1604" t="n">
        <x:f>Dashboard_Live_Data!AM133</x:f>
        <x:v>73.60000000000002</x:v>
      </x:c>
      <x:c r="H1604" t="n">
        <x:f>Dashboard_Live_Data!AN133</x:f>
        <x:v>569.0227686817443</x:v>
      </x:c>
    </x:row>
    <x:row r="1605">
      <x:c r="A1605" t="n">
        <x:f>Dashboard_Live_Data!AG134</x:f>
        <x:v>6</x:v>
      </x:c>
      <x:c r="B1605" t="n">
        <x:f>Dashboard_Live_Data!AH134</x:f>
        <x:v>2675.6947393589066</x:v>
      </x:c>
      <x:c r="C1605" t="n">
        <x:f>Dashboard_Live_Data!AI134</x:f>
        <x:v>40.00000000000006</x:v>
      </x:c>
      <x:c r="D1605" t="n">
        <x:f>Dashboard_Live_Data!AJ134</x:f>
        <x:v>409.8223646341818</x:v>
      </x:c>
      <x:c r="E1605" t="n">
        <x:f>Dashboard_Live_Data!AK134</x:f>
        <x:v>80.00000000000011</x:v>
      </x:c>
      <x:c r="F1605" t="n">
        <x:f>Dashboard_Live_Data!AL134</x:f>
        <x:v>640.5073835750494</x:v>
      </x:c>
      <x:c r="G1605" t="n">
        <x:f>Dashboard_Live_Data!AM134</x:f>
        <x:v>80.00000000000011</x:v>
      </x:c>
      <x:c r="H1605" t="n">
        <x:f>Dashboard_Live_Data!AN134</x:f>
        <x:v>610.9686237412925</x:v>
      </x:c>
    </x:row>
    <x:row r="1606">
      <x:c r="A1606" t="n">
        <x:f>Dashboard_Live_Data!AG135</x:f>
        <x:v>6.480000000000004</x:v>
      </x:c>
      <x:c r="B1606" t="n">
        <x:f>Dashboard_Live_Data!AH135</x:f>
        <x:v>2675.801637380072</x:v>
      </x:c>
      <x:c r="C1606" t="n">
        <x:f>Dashboard_Live_Data!AI135</x:f>
        <x:v>43.200000000000045</x:v>
      </x:c>
      <x:c r="D1606" t="n">
        <x:f>Dashboard_Live_Data!AJ135</x:f>
        <x:v>426.90066876687405</x:v>
      </x:c>
      <x:c r="E1606" t="n">
        <x:f>Dashboard_Live_Data!AK135</x:f>
        <x:v>86.40000000000009</x:v>
      </x:c>
      <x:c r="F1606" t="n">
        <x:f>Dashboard_Live_Data!AL135</x:f>
        <x:v>682.5280213875686</x:v>
      </x:c>
      <x:c r="G1606" t="n">
        <x:f>Dashboard_Live_Data!AM135</x:f>
        <x:v>86.40000000000009</x:v>
      </x:c>
      <x:c r="H1606" t="n">
        <x:f>Dashboard_Live_Data!AN135</x:f>
        <x:v>653.6204124325454</x:v>
      </x:c>
    </x:row>
    <x:row r="1607">
      <x:c r="A1607" t="n">
        <x:f>Dashboard_Live_Data!AG136</x:f>
        <x:v>7.019999999999996</x:v>
      </x:c>
      <x:c r="B1607" t="n">
        <x:f>Dashboard_Live_Data!AH136</x:f>
        <x:v>2675.93172239053</x:v>
      </x:c>
      <x:c r="C1607" t="n">
        <x:f>Dashboard_Live_Data!AI136</x:f>
        <x:v>46.80000000000001</x:v>
      </x:c>
      <x:c r="D1607" t="n">
        <x:f>Dashboard_Live_Data!AJ136</x:f>
        <x:v>446.86749403358624</x:v>
      </x:c>
      <x:c r="E1607" t="n">
        <x:f>Dashboard_Live_Data!AK136</x:f>
        <x:v>93.60000000000002</x:v>
      </x:c>
      <x:c r="F1607" t="n">
        <x:f>Dashboard_Live_Data!AL136</x:f>
        <x:v>730.7097325562099</x:v>
      </x:c>
      <x:c r="G1607" t="n">
        <x:f>Dashboard_Live_Data!AM136</x:f>
        <x:v>93.60000000000002</x:v>
      </x:c>
      <x:c r="H1607" t="n">
        <x:f>Dashboard_Live_Data!AN136</x:f>
        <x:v>702.354778608177</x:v>
      </x:c>
    </x:row>
    <x:row r="1608">
      <x:c r="A1608" t="n">
        <x:f>Dashboard_Live_Data!AG137</x:f>
        <x:v>7.5</x:v>
      </x:c>
      <x:c r="B1608" t="n">
        <x:f>Dashboard_Live_Data!AH137</x:f>
        <x:v>2676.0560857448104</x:v>
      </x:c>
      <x:c r="C1608" t="n">
        <x:f>Dashboard_Live_Data!AI137</x:f>
        <x:v>50</x:v>
      </x:c>
      <x:c r="D1608" t="n">
        <x:f>Dashboard_Live_Data!AJ137</x:f>
        <x:v>465.21831918360385</x:v>
      </x:c>
      <x:c r="E1608" t="n">
        <x:f>Dashboard_Live_Data!AK137</x:f>
        <x:v>100</x:v>
      </x:c>
      <x:c r="F1608" t="n">
        <x:f>Dashboard_Live_Data!AL137</x:f>
        <x:v>774.2635773636083</x:v>
      </x:c>
      <x:c r="G1608" t="n">
        <x:f>Dashboard_Live_Data!AM137</x:f>
        <x:v>100</x:v>
      </x:c>
      <x:c r="H1608" t="n">
        <x:f>Dashboard_Live_Data!AN137</x:f>
        <x:v>746.2816902643984</x:v>
      </x:c>
    </x:row>
    <x:row r="1609">
      <x:c r="A1609" t="n">
        <x:f>Dashboard_Live_Data!AG138</x:f>
        <x:v>7.980000000000004</x:v>
      </x:c>
      <x:c r="B1609" t="n">
        <x:f>Dashboard_Live_Data!AH138</x:f>
        <x:v>2676.188666798151</x:v>
      </x:c>
      <x:c r="C1609" t="n">
        <x:f>Dashboard_Live_Data!AI138</x:f>
        <x:v>53.19999999999999</x:v>
      </x:c>
      <x:c r="D1609" t="n">
        <x:f>Dashboard_Live_Data!AJ138</x:f>
        <x:v>484.08118424505756</x:v>
      </x:c>
      <x:c r="E1609" t="n">
        <x:f>Dashboard_Live_Data!AK138</x:f>
        <x:v>106.39999999999998</x:v>
      </x:c>
      <x:c r="F1609" t="n">
        <x:f>Dashboard_Live_Data!AL138</x:f>
        <x:v>818.4420076699244</x:v>
      </x:c>
      <x:c r="G1609" t="n">
        <x:f>Dashboard_Live_Data!AM138</x:f>
        <x:v>106.39999999999998</x:v>
      </x:c>
      <x:c r="H1609" t="n">
        <x:f>Dashboard_Live_Data!AN138</x:f>
        <x:v>790.7392217429494</x:v>
      </x:c>
    </x:row>
    <x:row r="1610">
      <x:c r="A1610" t="n">
        <x:f>Dashboard_Live_Data!AG139</x:f>
        <x:v>8.519999999999996</x:v>
      </x:c>
      <x:c r="B1610" t="n">
        <x:f>Dashboard_Live_Data!AH139</x:f>
        <x:v>2676.3476420836173</x:v>
      </x:c>
      <x:c r="C1610" t="n">
        <x:f>Dashboard_Live_Data!AI139</x:f>
        <x:v>56.799999999999955</x:v>
      </x:c>
      <x:c r="D1610" t="n">
        <x:f>Dashboard_Live_Data!AJ139</x:f>
        <x:v>505.85734229616077</x:v>
      </x:c>
      <x:c r="E1610" t="n">
        <x:f>Dashboard_Live_Data!AK139</x:f>
        <x:v>113.59999999999991</x:v>
      </x:c>
      <x:c r="F1610" t="n">
        <x:f>Dashboard_Live_Data!AL139</x:f>
        <x:v>868.8370802821825</x:v>
      </x:c>
      <x:c r="G1610" t="n">
        <x:f>Dashboard_Live_Data!AM139</x:f>
        <x:v>113.59999999999991</x:v>
      </x:c>
      <x:c r="H1610" t="n">
        <x:f>Dashboard_Live_Data!AN139</x:f>
        <x:v>841.3532788829613</x:v>
      </x:c>
    </x:row>
    <x:row r="1611">
      <x:c r="A1611" t="n">
        <x:f>Dashboard_Live_Data!AG140</x:f>
        <x:v>9</x:v>
      </x:c>
      <x:c r="B1611" t="n">
        <x:f>Dashboard_Live_Data!AH140</x:f>
        <x:v>2676.4976827030932</x:v>
      </x:c>
      <x:c r="C1611" t="n">
        <x:f>Dashboard_Live_Data!AI140</x:f>
        <x:v>59.99999999999994</x:v>
      </x:c>
      <x:c r="D1611" t="n">
        <x:f>Dashboard_Live_Data!AJ140</x:f>
        <x:v>525.6642714445533</x:v>
      </x:c>
      <x:c r="E1611" t="n">
        <x:f>Dashboard_Live_Data!AK140</x:f>
        <x:v>119.99999999999989</x:v>
      </x:c>
      <x:c r="F1611" t="n">
        <x:f>Dashboard_Live_Data!AL140</x:f>
        <x:v>914.2150944753647</x:v>
      </x:c>
      <x:c r="G1611" t="n">
        <x:f>Dashboard_Live_Data!AM140</x:f>
        <x:v>119.99999999999989</x:v>
      </x:c>
      <x:c r="H1611" t="n">
        <x:f>Dashboard_Live_Data!AN140</x:f>
        <x:v>886.8544947202699</x:v>
      </x:c>
    </x:row>
    <x:row r="1612">
      <x:c r="A1612" t="n">
        <x:f>Dashboard_Live_Data!AG141</x:f>
        <x:v>9.47999999999999</x:v>
      </x:c>
      <x:c r="B1612" t="n">
        <x:f>Dashboard_Live_Data!AH141</x:f>
        <x:v>2676.655938037531</x:v>
      </x:c>
      <x:c r="C1612" t="n">
        <x:f>Dashboard_Live_Data!AI141</x:f>
        <x:v>63.19999999999999</x:v>
      </x:c>
      <x:c r="D1612" t="n">
        <x:f>Dashboard_Live_Data!AJ141</x:f>
        <x:v>545.8599335087318</x:v>
      </x:c>
      <x:c r="E1612" t="n">
        <x:f>Dashboard_Live_Data!AK141</x:f>
        <x:v>126.39999999999998</x:v>
      </x:c>
      <x:c r="F1612" t="n">
        <x:f>Dashboard_Live_Data!AL141</x:f>
        <x:v>960.117033428206</x:v>
      </x:c>
      <x:c r="G1612" t="n">
        <x:f>Dashboard_Live_Data!AM141</x:f>
        <x:v>126.39999999999998</x:v>
      </x:c>
      <x:c r="H1612" t="n">
        <x:f>Dashboard_Live_Data!AN141</x:f>
        <x:v>932.8227451453487</x:v>
      </x:c>
    </x:row>
    <x:row r="1613">
      <x:c r="A1613" t="n">
        <x:f>Dashboard_Live_Data!AG142</x:f>
        <x:v>10.019999999999996</x:v>
      </x:c>
      <x:c r="B1613" t="n">
        <x:f>Dashboard_Live_Data!AH142</x:f>
        <x:v>2676.843793107199</x:v>
      </x:c>
      <x:c r="C1613" t="n">
        <x:f>Dashboard_Live_Data!AI142</x:f>
        <x:v>66.80000000000001</x:v>
      </x:c>
      <x:c r="D1613" t="n">
        <x:f>Dashboard_Live_Data!AJ142</x:f>
        <x:v>569.0088081002975</x:v>
      </x:c>
      <x:c r="E1613" t="n">
        <x:f>Dashboard_Live_Data!AK142</x:f>
        <x:v>133.60000000000002</x:v>
      </x:c>
      <x:c r="F1613" t="n">
        <x:f>Dashboard_Live_Data!AL142</x:f>
        <x:v>1012.362240937457</x:v>
      </x:c>
      <x:c r="G1613" t="n">
        <x:f>Dashboard_Live_Data!AM142</x:f>
        <x:v>133.60000000000002</x:v>
      </x:c>
      <x:c r="H1613" t="n">
        <x:f>Dashboard_Live_Data!AN142</x:f>
        <x:v>985.0850258038517</x:v>
      </x:c>
    </x:row>
    <x:row r="1614">
      <x:c r="A1614" t="n">
        <x:f>Dashboard_Live_Data!AG143</x:f>
        <x:v>10.5</x:v>
      </x:c>
      <x:c r="B1614" t="n">
        <x:f>Dashboard_Live_Data!AH143</x:f>
        <x:v>2677.019501093122</x:v>
      </x:c>
      <x:c r="C1614" t="n">
        <x:f>Dashboard_Live_Data!AI143</x:f>
        <x:v>70</x:v>
      </x:c>
      <x:c r="D1614" t="n">
        <x:f>Dashboard_Live_Data!AJ143</x:f>
        <x:v>589.9393087491328</x:v>
      </x:c>
      <x:c r="E1614" t="n">
        <x:f>Dashboard_Live_Data!AK143</x:f>
        <x:v>140</x:v>
      </x:c>
      <x:c r="F1614" t="n">
        <x:f>Dashboard_Live_Data!AL143</x:f>
        <x:v>1059.3278163208254</x:v>
      </x:c>
      <x:c r="G1614" t="n">
        <x:f>Dashboard_Live_Data!AM143</x:f>
        <x:v>140</x:v>
      </x:c>
      <x:c r="H1614" t="n">
        <x:f>Dashboard_Live_Data!AN143</x:f>
        <x:v>1032.0225937697833</x:v>
      </x:c>
    </x:row>
    <x:row r="1615">
      <x:c r="A1615" t="n">
        <x:f>Dashboard_Live_Data!AG144</x:f>
        <x:v>10.980000000000004</x:v>
      </x:c>
      <x:c r="B1615" t="n">
        <x:f>Dashboard_Live_Data!AH144</x:f>
        <x:v>2677.2034202705154</x:v>
      </x:c>
      <x:c r="C1615" t="n">
        <x:f>Dashboard_Live_Data!AI144</x:f>
        <x:v>73.20000000000005</x:v>
      </x:c>
      <x:c r="D1615" t="n">
        <x:f>Dashboard_Live_Data!AJ144</x:f>
        <x:v>611.1806207136659</x:v>
      </x:c>
      <x:c r="E1615" t="n">
        <x:f>Dashboard_Live_Data!AK144</x:f>
        <x:v>146.4000000000001</x:v>
      </x:c>
      <x:c r="F1615" t="n">
        <x:f>Dashboard_Live_Data!AL144</x:f>
        <x:v>1106.77995128393</x:v>
      </x:c>
      <x:c r="G1615" t="n">
        <x:f>Dashboard_Live_Data!AM144</x:f>
        <x:v>146.4000000000001</x:v>
      </x:c>
      <x:c r="H1615" t="n">
        <x:f>Dashboard_Live_Data!AN144</x:f>
        <x:v>1079.4124988914414</x:v>
      </x:c>
    </x:row>
    <x:row r="1616">
      <x:c r="A1616" t="n">
        <x:f>Dashboard_Live_Data!AG145</x:f>
        <x:v>11.519999999999996</x:v>
      </x:c>
      <x:c r="B1616" t="n">
        <x:f>Dashboard_Live_Data!AH145</x:f>
        <x:v>2677.4201427373237</x:v>
      </x:c>
      <x:c r="C1616" t="n">
        <x:f>Dashboard_Live_Data!AI145</x:f>
        <x:v>76.79999999999995</x:v>
      </x:c>
      <x:c r="D1616" t="n">
        <x:f>Dashboard_Live_Data!AJ145</x:f>
        <x:v>635.426085871894</x:v>
      </x:c>
      <x:c r="E1616" t="n">
        <x:f>Dashboard_Live_Data!AK145</x:f>
        <x:v>153.5999999999999</x:v>
      </x:c>
      <x:c r="F1616" t="n">
        <x:f>Dashboard_Live_Data!AL145</x:f>
        <x:v>1160.7398106982935</x:v>
      </x:c>
      <x:c r="G1616" t="n">
        <x:f>Dashboard_Live_Data!AM145</x:f>
        <x:v>153.5999999999999</x:v>
      </x:c>
      <x:c r="H1616" t="n">
        <x:f>Dashboard_Live_Data!AN145</x:f>
        <x:v>1133.2680310356866</x:v>
      </x:c>
    </x:row>
    <x:row r="1617">
      <x:c r="A1617" t="n">
        <x:f>Dashboard_Live_Data!AG146</x:f>
        <x:v>12</x:v>
      </x:c>
      <x:c r="B1617" t="n">
        <x:f>Dashboard_Live_Data!AH146</x:f>
        <x:v>2677.621506506962</x:v>
      </x:c>
      <x:c r="C1617" t="n">
        <x:f>Dashboard_Live_Data!AI146</x:f>
        <x:v>80</x:v>
      </x:c>
      <x:c r="D1617" t="n">
        <x:f>Dashboard_Live_Data!AJ146</x:f>
        <x:v>657.2706885164247</x:v>
      </x:c>
      <x:c r="E1617" t="n">
        <x:f>Dashboard_Live_Data!AK146</x:f>
        <x:v>160</x:v>
      </x:c>
      <x:c r="F1617" t="n">
        <x:f>Dashboard_Live_Data!AL146</x:f>
        <x:v>1209.2143519498034</x:v>
      </x:c>
      <x:c r="G1617" t="n">
        <x:f>Dashboard_Live_Data!AM146</x:f>
        <x:v>160</x:v>
      </x:c>
      <x:c r="H1617" t="n">
        <x:f>Dashboard_Live_Data!AN146</x:f>
        <x:v>1181.6244054437507</x:v>
      </x:c>
    </x:row>
    <x:row r="1618">
      <x:c r="A1618" t="n">
        <x:f>Dashboard_Live_Data!AG147</x:f>
        <x:v>12.480000000000004</x:v>
      </x:c>
      <x:c r="B1618" t="n">
        <x:f>Dashboard_Live_Data!AH147</x:f>
        <x:v>2677.8310774067595</x:v>
      </x:c>
      <x:c r="C1618" t="n">
        <x:f>Dashboard_Live_Data!AI147</x:f>
        <x:v>83.19999999999999</x:v>
      </x:c>
      <x:c r="D1618" t="n">
        <x:f>Dashboard_Live_Data!AJ147</x:f>
        <x:v>679.3773518856626</x:v>
      </x:c>
      <x:c r="E1618" t="n">
        <x:f>Dashboard_Live_Data!AK147</x:f>
        <x:v>166.39999999999998</x:v>
      </x:c>
      <x:c r="F1618" t="n">
        <x:f>Dashboard_Live_Data!AL147</x:f>
        <x:v>1258.1693986938863</x:v>
      </x:c>
      <x:c r="G1618" t="n">
        <x:f>Dashboard_Live_Data!AM147</x:f>
        <x:v>166.39999999999998</x:v>
      </x:c>
      <x:c r="H1618" t="n">
        <x:f>Dashboard_Live_Data!AN147</x:f>
        <x:v>1230.4415066288307</x:v>
      </x:c>
    </x:row>
    <x:row r="1619">
      <x:c r="A1619" t="n">
        <x:f>Dashboard_Live_Data!AG148</x:f>
        <x:v>13.02000000000001</x:v>
      </x:c>
      <x:c r="B1619" t="n">
        <x:f>Dashboard_Live_Data!AH148</x:f>
        <x:v>2678.0766529929315</x:v>
      </x:c>
      <x:c r="C1619" t="n">
        <x:f>Dashboard_Live_Data!AI148</x:f>
        <x:v>86.80000000000001</x:v>
      </x:c>
      <x:c r="D1619" t="n">
        <x:f>Dashboard_Live_Data!AJ148</x:f>
        <x:v>704.5466168692386</x:v>
      </x:c>
      <x:c r="E1619" t="n">
        <x:f>Dashboard_Live_Data!AK148</x:f>
        <x:v>173.60000000000002</x:v>
      </x:c>
      <x:c r="F1619" t="n">
        <x:f>Dashboard_Live_Data!AL148</x:f>
        <x:v>1313.820661862484</x:v>
      </x:c>
      <x:c r="G1619" t="n">
        <x:f>Dashboard_Live_Data!AM148</x:f>
        <x:v>173.60000000000002</x:v>
      </x:c>
      <x:c r="H1619" t="n">
        <x:f>Dashboard_Live_Data!AN148</x:f>
        <x:v>1285.9182668026356</x:v>
      </x:c>
    </x:row>
    <x:row r="1620">
      <x:c r="A1620" t="n">
        <x:f>Dashboard_Live_Data!AG149</x:f>
        <x:v>13.5</x:v>
      </x:c>
      <x:c r="B1620" t="n">
        <x:f>Dashboard_Live_Data!AH149</x:f>
        <x:v>2678.3036592847507</x:v>
      </x:c>
      <x:c r="C1620" t="n">
        <x:f>Dashboard_Live_Data!AI149</x:f>
        <x:v>90.00000000000006</x:v>
      </x:c>
      <x:c r="D1620" t="n">
        <x:f>Dashboard_Live_Data!AJ149</x:f>
        <x:v>727.1747453672517</x:v>
      </x:c>
      <x:c r="E1620" t="n">
        <x:f>Dashboard_Live_Data!AK149</x:f>
        <x:v>180.0000000000001</x:v>
      </x:c>
      <x:c r="F1620" t="n">
        <x:f>Dashboard_Live_Data!AL149</x:f>
        <x:v>1363.804879466073</x:v>
      </x:c>
      <x:c r="G1620" t="n">
        <x:f>Dashboard_Live_Data!AM149</x:f>
        <x:v>180.0000000000001</x:v>
      </x:c>
      <x:c r="H1620" t="n">
        <x:f>Dashboard_Live_Data!AN149</x:f>
        <x:v>1335.73358143176</x:v>
      </x:c>
    </x:row>
    <x:row r="1621">
      <x:c r="A1621" t="n">
        <x:f>Dashboard_Live_Data!AG150</x:f>
        <x:v>13.980000000000004</x:v>
      </x:c>
      <x:c r="B1621" t="n">
        <x:f>Dashboard_Live_Data!AH150</x:f>
        <x:v>2678.53886810944</x:v>
      </x:c>
      <x:c r="C1621" t="n">
        <x:f>Dashboard_Live_Data!AI150</x:f>
        <x:v>93.20000000000005</x:v>
      </x:c>
      <x:c r="D1621" t="n">
        <x:f>Dashboard_Live_Data!AJ150</x:f>
        <x:v>750.0348628533561</x:v>
      </x:c>
      <x:c r="E1621" t="n">
        <x:f>Dashboard_Live_Data!AK150</x:f>
        <x:v>186.4000000000001</x:v>
      </x:c>
      <x:c r="F1621" t="n">
        <x:f>Dashboard_Live_Data!AL150</x:f>
        <x:v>1414.279745381553</x:v>
      </x:c>
      <x:c r="G1621" t="n">
        <x:f>Dashboard_Live_Data!AM150</x:f>
        <x:v>186.4000000000001</x:v>
      </x:c>
      <x:c r="H1621" t="n">
        <x:f>Dashboard_Live_Data!AN150</x:f>
        <x:v>1386.0293710733336</x:v>
      </x:c>
    </x:row>
    <x:row r="1622">
      <x:c r="A1622" t="n">
        <x:f>Dashboard_Live_Data!AG151</x:f>
        <x:v>14.519999999999996</x:v>
      </x:c>
      <x:c r="B1622" t="n">
        <x:f>Dashboard_Live_Data!AH151</x:f>
        <x:v>2678.813280652873</x:v>
      </x:c>
      <x:c r="C1622" t="n">
        <x:f>Dashboard_Live_Data!AI151</x:f>
        <x:v>96.80000000000001</x:v>
      </x:c>
      <x:c r="D1622" t="n">
        <x:f>Dashboard_Live_Data!AJ151</x:f>
        <x:v>776.021326811133</x:v>
      </x:c>
      <x:c r="E1622" t="n">
        <x:f>Dashboard_Live_Data!AK151</x:f>
        <x:v>193.60000000000002</x:v>
      </x:c>
      <x:c r="F1622" t="n">
        <x:f>Dashboard_Live_Data!AL151</x:f>
        <x:v>1471.657065923119</x:v>
      </x:c>
      <x:c r="G1622" t="n">
        <x:f>Dashboard_Live_Data!AM151</x:f>
        <x:v>193.60000000000002</x:v>
      </x:c>
      <x:c r="H1622" t="n">
        <x:f>Dashboard_Live_Data!AN151</x:f>
        <x:v>1443.1960281662846</x:v>
      </x:c>
    </x:row>
    <x:row r="1623">
      <x:c r="A1623" t="n">
        <x:f>Dashboard_Live_Data!AG152</x:f>
        <x:v>15</x:v>
      </x:c>
      <x:c r="B1623" t="n">
        <x:f>Dashboard_Live_Data!AH152</x:f>
        <x:v>2679.065914532494</x:v>
      </x:c>
      <x:c r="C1623" t="n">
        <x:f>Dashboard_Live_Data!AI152</x:f>
        <x:v>100</x:v>
      </x:c>
      <x:c r="D1623" t="n">
        <x:f>Dashboard_Live_Data!AJ152</x:f>
        <x:v>799.3530465257882</x:v>
      </x:c>
      <x:c r="E1623" t="n">
        <x:f>Dashboard_Live_Data!AK152</x:f>
        <x:v>200</x:v>
      </x:c>
      <x:c r="F1623" t="n">
        <x:f>Dashboard_Live_Data!AL152</x:f>
        <x:v>1523.1929864371127</x:v>
      </x:c>
      <x:c r="G1623" t="n">
        <x:f>Dashboard_Live_Data!AM152</x:f>
        <x:v>200</x:v>
      </x:c>
      <x:c r="H1623" t="n">
        <x:f>Dashboard_Live_Data!AN152</x:f>
        <x:v>1494.538848738704</x:v>
      </x:c>
    </x:row>
    <x:row r="1624">
      <x:c r="A1624" t="n">
        <x:f>Dashboard_Live_Data!AG153</x:f>
        <x:v>15.480000000000004</x:v>
      </x:c>
      <x:c r="B1624" t="n">
        <x:f>Dashboard_Live_Data!AH153</x:f>
        <x:v>2679.3267458137466</x:v>
      </x:c>
      <x:c r="C1624" t="n">
        <x:f>Dashboard_Live_Data!AI153</x:f>
        <x:v>103.19999999999999</x:v>
      </x:c>
      <x:c r="D1624" t="n">
        <x:f>Dashboard_Live_Data!AJ153</x:f>
        <x:v>822.8987615597109</x:v>
      </x:c>
      <x:c r="E1624" t="n">
        <x:f>Dashboard_Live_Data!AK153</x:f>
        <x:v>206.39999999999998</x:v>
      </x:c>
      <x:c r="F1624" t="n">
        <x:f>Dashboard_Live_Data!AL153</x:f>
        <x:v>1575.2382195812656</x:v>
      </x:c>
      <x:c r="G1624" t="n">
        <x:f>Dashboard_Live_Data!AM153</x:f>
        <x:v>206.39999999999998</x:v>
      </x:c>
      <x:c r="H1624" t="n">
        <x:f>Dashboard_Live_Data!AN153</x:f>
        <x:v>1546.3874430517</x:v>
      </x:c>
    </x:row>
    <x:row r="1625">
      <x:c r="A1625" t="n">
        <x:f>Dashboard_Live_Data!AG154</x:f>
        <x:v>16.019999999999996</x:v>
      </x:c>
      <x:c r="B1625" t="n">
        <x:f>Dashboard_Live_Data!AH154</x:f>
        <x:v>2679.6299772752322</x:v>
      </x:c>
      <x:c r="C1625" t="n">
        <x:f>Dashboard_Live_Data!AI154</x:f>
        <x:v>106.79999999999995</x:v>
      </x:c>
      <x:c r="D1625" t="n">
        <x:f>Dashboard_Live_Data!AJ154</x:f>
        <x:v>849.6386115770032</x:v>
      </x:c>
      <x:c r="E1625" t="n">
        <x:f>Dashboard_Live_Data!AK154</x:f>
        <x:v>213.5999999999999</x:v>
      </x:c>
      <x:c r="F1625" t="n">
        <x:f>Dashboard_Live_Data!AL154</x:f>
        <x:v>1634.406668398929</x:v>
      </x:c>
      <x:c r="G1625" t="n">
        <x:f>Dashboard_Live_Data!AM154</x:f>
        <x:v>213.5999999999999</x:v>
      </x:c>
      <x:c r="H1625" t="n">
        <x:f>Dashboard_Live_Data!AN154</x:f>
        <x:v>1605.3325327342354</x:v>
      </x:c>
    </x:row>
    <x:row r="1626">
      <x:c r="A1626" t="n">
        <x:f>Dashboard_Live_Data!AG155</x:f>
        <x:v>16.5</x:v>
      </x:c>
      <x:c r="B1626" t="n">
        <x:f>Dashboard_Live_Data!AH155</x:f>
        <x:v>2679.9082221420913</x:v>
      </x:c>
      <x:c r="C1626" t="n">
        <x:f>Dashboard_Live_Data!AI155</x:f>
        <x:v>109.99999999999994</x:v>
      </x:c>
      <x:c r="D1626" t="n">
        <x:f>Dashboard_Live_Data!AJ155</x:f>
        <x:v>873.6268737519348</x:v>
      </x:c>
      <x:c r="E1626" t="n">
        <x:f>Dashboard_Live_Data!AK155</x:f>
        <x:v>219.9999999999999</x:v>
      </x:c>
      <x:c r="F1626" t="n">
        <x:f>Dashboard_Live_Data!AL155</x:f>
        <x:v>1687.557977658393</x:v>
      </x:c>
      <x:c r="G1626" t="n">
        <x:f>Dashboard_Live_Data!AM155</x:f>
        <x:v>219.9999999999999</x:v>
      </x:c>
      <x:c r="H1626" t="n">
        <x:f>Dashboard_Live_Data!AN155</x:f>
        <x:v>1658.2850643618456</x:v>
      </x:c>
    </x:row>
    <x:row r="1627">
      <x:c r="A1627" t="n">
        <x:f>Dashboard_Live_Data!AG156</x:f>
        <x:v>16.97999999999999</x:v>
      </x:c>
      <x:c r="B1627" t="n">
        <x:f>Dashboard_Live_Data!AH156</x:f>
        <x:v>2680.1946587476814</x:v>
      </x:c>
      <x:c r="C1627" t="n">
        <x:f>Dashboard_Live_Data!AI156</x:f>
        <x:v>113.19999999999993</x:v>
      </x:c>
      <x:c r="D1627" t="n">
        <x:f>Dashboard_Live_Data!AJ156</x:f>
        <x:v>897.8190596262613</x:v>
      </x:c>
      <x:c r="E1627" t="n">
        <x:f>Dashboard_Live_Data!AK156</x:f>
        <x:v>226.39999999999986</x:v>
      </x:c>
      <x:c r="F1627" t="n">
        <x:f>Dashboard_Live_Data!AL156</x:f>
        <x:v>1741.2416393615815</x:v>
      </x:c>
      <x:c r="G1627" t="n">
        <x:f>Dashboard_Live_Data!AM156</x:f>
        <x:v>226.39999999999986</x:v>
      </x:c>
      <x:c r="H1627" t="n">
        <x:f>Dashboard_Live_Data!AN156</x:f>
        <x:v>1711.7711368171172</x:v>
      </x:c>
    </x:row>
    <x:row r="1628">
      <x:c r="A1628" t="n">
        <x:f>Dashboard_Live_Data!AG157</x:f>
        <x:v>17.519999999999996</x:v>
      </x:c>
      <x:c r="B1628" t="n">
        <x:f>Dashboard_Live_Data!AH157</x:f>
        <x:v>2680.526689218967</x:v>
      </x:c>
      <x:c r="C1628" t="n">
        <x:f>Dashboard_Live_Data!AI157</x:f>
        <x:v>116.80000000000007</x:v>
      </x:c>
      <x:c r="D1628" t="n">
        <x:f>Dashboard_Live_Data!AJ157</x:f>
        <x:v>925.2765339546444</x:v>
      </x:c>
      <x:c r="E1628" t="n">
        <x:f>Dashboard_Live_Data!AK157</x:f>
        <x:v>233.60000000000014</x:v>
      </x:c>
      <x:c r="F1628" t="n">
        <x:f>Dashboard_Live_Data!AL157</x:f>
        <x:v>1802.2819043727418</x:v>
      </x:c>
      <x:c r="G1628" t="n">
        <x:f>Dashboard_Live_Data!AM157</x:f>
        <x:v>233.60000000000014</x:v>
      </x:c>
      <x:c r="H1628" t="n">
        <x:f>Dashboard_Live_Data!AN157</x:f>
        <x:v>1772.5920499108024</x:v>
      </x:c>
    </x:row>
    <x:row r="1629">
      <x:c r="A1629" t="n">
        <x:f>Dashboard_Live_Data!AG158</x:f>
        <x:v>18</x:v>
      </x:c>
      <x:c r="B1629" t="n">
        <x:f>Dashboard_Live_Data!AH158</x:f>
        <x:v>2680.8305268137187</x:v>
      </x:c>
      <x:c r="C1629" t="n">
        <x:f>Dashboard_Live_Data!AI158</x:f>
        <x:v>120</x:v>
      </x:c>
      <x:c r="D1629" t="n">
        <x:f>Dashboard_Live_Data!AJ158</x:f>
        <x:v>949.8959568514337</x:v>
      </x:c>
      <x:c r="E1629" t="n">
        <x:f>Dashboard_Live_Data!AK158</x:f>
        <x:v>240</x:v>
      </x:c>
      <x:c r="F1629" t="n">
        <x:f>Dashboard_Live_Data!AL158</x:f>
        <x:v>1857.1231620816707</x:v>
      </x:c>
      <x:c r="G1629" t="n">
        <x:f>Dashboard_Live_Data!AM158</x:f>
        <x:v>240</x:v>
      </x:c>
      <x:c r="H1629" t="n">
        <x:f>Dashboard_Live_Data!AN158</x:f>
        <x:v>1827.2421550832848</x:v>
      </x:c>
    </x:row>
    <x:row r="1630">
      <x:c r="A1630" t="n">
        <x:f>Dashboard_Live_Data!AG159</x:f>
        <x:v>18.480000000000004</x:v>
      </x:c>
      <x:c r="B1630" t="n">
        <x:f>Dashboard_Live_Data!AH159</x:f>
        <x:v>2681.1425499551765</x:v>
      </x:c>
      <x:c r="C1630" t="n">
        <x:f>Dashboard_Live_Data!AI159</x:f>
        <x:v>123.20000000000005</x:v>
      </x:c>
      <x:c r="D1630" t="n">
        <x:f>Dashboard_Live_Data!AJ159</x:f>
        <x:v>974.7145021127182</x:v>
      </x:c>
      <x:c r="E1630" t="n">
        <x:f>Dashboard_Live_Data!AK159</x:f>
        <x:v>246.4000000000001</x:v>
      </x:c>
      <x:c r="F1630" t="n">
        <x:f>Dashboard_Live_Data!AL159</x:f>
        <x:v>1912.5218325119242</x:v>
      </x:c>
      <x:c r="G1630" t="n">
        <x:f>Dashboard_Live_Data!AM159</x:f>
        <x:v>246.4000000000001</x:v>
      </x:c>
      <x:c r="H1630" t="n">
        <x:f>Dashboard_Live_Data!AN159</x:f>
        <x:v>1882.4543117385992</x:v>
      </x:c>
    </x:row>
    <x:row r="1631">
      <x:c r="A1631" t="n">
        <x:f>Dashboard_Live_Data!AG160</x:f>
        <x:v>19.019999999999996</x:v>
      </x:c>
      <x:c r="B1631" t="n">
        <x:f>Dashboard_Live_Data!AH160</x:f>
        <x:v>2681.5033576678143</x:v>
      </x:c>
      <x:c r="C1631" t="n">
        <x:f>Dashboard_Live_Data!AI160</x:f>
        <x:v>126.79999999999995</x:v>
      </x:c>
      <x:c r="D1631" t="n">
        <x:f>Dashboard_Live_Data!AJ160</x:f>
        <x:v>1002.8724909144175</x:v>
      </x:c>
      <x:c r="E1631" t="n">
        <x:f>Dashboard_Live_Data!AK160</x:f>
        <x:v>253.5999999999999</x:v>
      </x:c>
      <x:c r="F1631" t="n">
        <x:f>Dashboard_Live_Data!AL160</x:f>
        <x:v>1975.5218318440923</x:v>
      </x:c>
      <x:c r="G1631" t="n">
        <x:f>Dashboard_Live_Data!AM160</x:f>
        <x:v>253.5999999999999</x:v>
      </x:c>
      <x:c r="H1631" t="n">
        <x:f>Dashboard_Live_Data!AN160</x:f>
        <x:v>1945.2511482815198</x:v>
      </x:c>
    </x:row>
    <x:row r="1632">
      <x:c r="A1632" t="n">
        <x:f>Dashboard_Live_Data!AG161</x:f>
        <x:v>19.5</x:v>
      </x:c>
      <x:c r="B1632" t="n">
        <x:f>Dashboard_Live_Data!AH161</x:f>
        <x:v>2681.8327680804646</x:v>
      </x:c>
      <x:c r="C1632" t="n">
        <x:f>Dashboard_Live_Data!AI161</x:f>
        <x:v>130</x:v>
      </x:c>
      <x:c r="D1632" t="n">
        <x:f>Dashboard_Live_Data!AJ161</x:f>
        <x:v>1028.1121624339564</x:v>
      </x:c>
      <x:c r="E1632" t="n">
        <x:f>Dashboard_Live_Data!AK161</x:f>
        <x:v>260</x:v>
      </x:c>
      <x:c r="F1632" t="n">
        <x:f>Dashboard_Live_Data!AL161</x:f>
        <x:v>2032.132269523135</x:v>
      </x:c>
      <x:c r="G1632" t="n">
        <x:f>Dashboard_Live_Data!AM161</x:f>
        <x:v>260</x:v>
      </x:c>
      <x:c r="H1632" t="n">
        <x:f>Dashboard_Live_Data!AN161</x:f>
        <x:v>2001.6878257232431</x:v>
      </x:c>
    </x:row>
    <x:row r="1633">
      <x:c r="A1633" t="n">
        <x:f>Dashboard_Live_Data!AG162</x:f>
        <x:v>19.980000000000004</x:v>
      </x:c>
      <x:c r="B1633" t="n">
        <x:f>Dashboard_Live_Data!AH162</x:f>
        <x:v>2682.170357321432</x:v>
      </x:c>
      <x:c r="C1633" t="n">
        <x:f>Dashboard_Live_Data!AI162</x:f>
        <x:v>133.19999999999993</x:v>
      </x:c>
      <x:c r="D1633" t="n">
        <x:f>Dashboard_Live_Data!AJ162</x:f>
        <x:v>1053.5497018470367</x:v>
      </x:c>
      <x:c r="E1633" t="n">
        <x:f>Dashboard_Live_Data!AK162</x:f>
        <x:v>266.39999999999986</x:v>
      </x:c>
      <x:c r="F1633" t="n">
        <x:f>Dashboard_Live_Data!AL162</x:f>
        <x:v>2089.3258107719435</x:v>
      </x:c>
      <x:c r="G1633" t="n">
        <x:f>Dashboard_Live_Data!AM162</x:f>
        <x:v>266.39999999999986</x:v>
      </x:c>
      <x:c r="H1633" t="n">
        <x:f>Dashboard_Live_Data!AN162</x:f>
        <x:v>2058.7148075309083</x:v>
      </x:c>
    </x:row>
    <x:row r="1634">
      <x:c r="A1634" t="n">
        <x:f>Dashboard_Live_Data!AG163</x:f>
        <x:v>20.52000000000001</x:v>
      </x:c>
      <x:c r="B1634" t="n">
        <x:f>Dashboard_Live_Data!AH163</x:f>
        <x:v>2682.559918656496</x:v>
      </x:c>
      <x:c r="C1634" t="n">
        <x:f>Dashboard_Live_Data!AI163</x:f>
        <x:v>136.80000000000007</x:v>
      </x:c>
      <x:c r="D1634" t="n">
        <x:f>Dashboard_Live_Data!AJ163</x:f>
        <x:v>1082.4036420950645</x:v>
      </x:c>
      <x:c r="E1634" t="n">
        <x:f>Dashboard_Live_Data!AK163</x:f>
        <x:v>273.60000000000014</x:v>
      </x:c>
      <x:c r="F1634" t="n">
        <x:f>Dashboard_Live_Data!AL163</x:f>
        <x:v>2154.375751929062</x:v>
      </x:c>
      <x:c r="G1634" t="n">
        <x:f>Dashboard_Live_Data!AM163</x:f>
        <x:v>273.60000000000014</x:v>
      </x:c>
      <x:c r="H1634" t="n">
        <x:f>Dashboard_Live_Data!AN163</x:f>
        <x:v>2123.5868153942665</x:v>
      </x:c>
    </x:row>
    <x:row r="1635">
      <x:c r="A1635" t="n">
        <x:f>Dashboard_Live_Data!AG164</x:f>
        <x:v>21</x:v>
      </x:c>
      <x:c r="B1635" t="n">
        <x:f>Dashboard_Live_Data!AH164</x:f>
        <x:v>2682.914880335254</x:v>
      </x:c>
      <x:c r="C1635" t="n">
        <x:f>Dashboard_Live_Data!AI164</x:f>
        <x:v>140</x:v>
      </x:c>
      <x:c r="D1635" t="n">
        <x:f>Dashboard_Live_Data!AJ164</x:f>
        <x:v>1108.2624133501783</x:v>
      </x:c>
      <x:c r="E1635" t="n">
        <x:f>Dashboard_Live_Data!AK164</x:f>
        <x:v>280</x:v>
      </x:c>
      <x:c r="F1635" t="n">
        <x:f>Dashboard_Live_Data!AL164</x:f>
        <x:v>2212.8355811384035</x:v>
      </x:c>
      <x:c r="G1635" t="n">
        <x:f>Dashboard_Live_Data!AM164</x:f>
        <x:v>280</x:v>
      </x:c>
      <x:c r="H1635" t="n">
        <x:f>Dashboard_Live_Data!AN164</x:f>
        <x:v>2181.897557099264</x:v>
      </x:c>
    </x:row>
    <x:row r="1636">
      <x:c r="A1636" t="n">
        <x:f>Dashboard_Live_Data!AG165</x:f>
        <x:v>21.480000000000004</x:v>
      </x:c>
      <x:c r="B1636" t="n">
        <x:f>Dashboard_Live_Data!AH165</x:f>
        <x:v>2683.2780136005345</x:v>
      </x:c>
      <x:c r="C1636" t="n">
        <x:f>Dashboard_Live_Data!AI165</x:f>
        <x:v>143.20000000000005</x:v>
      </x:c>
      <x:c r="D1636" t="n">
        <x:f>Dashboard_Live_Data!AJ165</x:f>
        <x:v>1134.320202233334</x:v>
      </x:c>
      <x:c r="E1636" t="n">
        <x:f>Dashboard_Live_Data!AK165</x:f>
        <x:v>286.4000000000001</x:v>
      </x:c>
      <x:c r="F1636" t="n">
        <x:f>Dashboard_Live_Data!AL165</x:f>
        <x:v>2271.9039940577863</x:v>
      </x:c>
      <x:c r="G1636" t="n">
        <x:f>Dashboard_Live_Data!AM165</x:f>
        <x:v>286.4000000000001</x:v>
      </x:c>
      <x:c r="H1636" t="n">
        <x:f>Dashboard_Live_Data!AN165</x:f>
        <x:v>2240.826006094351</x:v>
      </x:c>
    </x:row>
    <x:row r="1637">
      <x:c r="A1637" t="n">
        <x:f>Dashboard_Live_Data!AG166</x:f>
        <x:v>22.019999999999996</x:v>
      </x:c>
      <x:c r="B1637" t="n">
        <x:f>Dashboard_Live_Data!AH166</x:f>
        <x:v>2683.69630309907</x:v>
      </x:c>
      <x:c r="C1637" t="n">
        <x:f>Dashboard_Live_Data!AI166</x:f>
        <x:v>146.79999999999995</x:v>
      </x:c>
      <x:c r="D1637" t="n">
        <x:f>Dashboard_Live_Data!AJ166</x:f>
        <x:v>1163.87403253476</x:v>
      </x:c>
      <x:c r="E1637" t="n">
        <x:f>Dashboard_Live_Data!AK166</x:f>
        <x:v>293.5999999999999</x:v>
      </x:c>
      <x:c r="F1637" t="n">
        <x:f>Dashboard_Live_Data!AL166</x:f>
        <x:v>2339.0933871403463</x:v>
      </x:c>
      <x:c r="G1637" t="n">
        <x:f>Dashboard_Live_Data!AM166</x:f>
        <x:v>293.5999999999999</x:v>
      </x:c>
      <x:c r="H1637" t="n">
        <x:f>Dashboard_Live_Data!AN166</x:f>
        <x:v>2307.86947732593</x:v>
      </x:c>
    </x:row>
    <x:row r="1638">
      <x:c r="A1638" t="n">
        <x:f>Dashboard_Live_Data!AG167</x:f>
        <x:v>22.5</x:v>
      </x:c>
      <x:c r="B1638" t="n">
        <x:f>Dashboard_Live_Data!AH167</x:f>
        <x:v>2684.0767928598584</x:v>
      </x:c>
      <x:c r="C1638" t="n">
        <x:f>Dashboard_Live_Data!AI167</x:f>
        <x:v>150</x:v>
      </x:c>
      <x:c r="D1638" t="n">
        <x:f>Dashboard_Live_Data!AJ167</x:f>
        <x:v>1190.3573781400514</x:v>
      </x:c>
      <x:c r="E1638" t="n">
        <x:f>Dashboard_Live_Data!AK167</x:f>
        <x:v>300</x:v>
      </x:c>
      <x:c r="F1638" t="n">
        <x:f>Dashboard_Live_Data!AL167</x:f>
        <x:v>2399.4815554213374</x:v>
      </x:c>
      <x:c r="G1638" t="n">
        <x:f>Dashboard_Live_Data!AM167</x:f>
        <x:v>300</x:v>
      </x:c>
      <x:c r="H1638" t="n">
        <x:f>Dashboard_Live_Data!AN167</x:f>
        <x:v>2368.1387047809635</x:v>
      </x:c>
    </x:row>
    <x:row r="1639">
      <x:c r="A1639" t="n">
        <x:f>Dashboard_Live_Data!AG168</x:f>
        <x:v>22.980000000000004</x:v>
      </x:c>
      <x:c r="B1639" t="n">
        <x:f>Dashboard_Live_Data!AH168</x:f>
        <x:v>2684.465446445234</x:v>
      </x:c>
      <x:c r="C1639" t="n">
        <x:f>Dashboard_Live_Data!AI168</x:f>
        <x:v>153.20000000000005</x:v>
      </x:c>
      <x:c r="D1639" t="n">
        <x:f>Dashboard_Live_Data!AJ168</x:f>
        <x:v>1217.0425226665805</x:v>
      </x:c>
      <x:c r="E1639" t="n">
        <x:f>Dashboard_Live_Data!AK168</x:f>
        <x:v>306.4000000000001</x:v>
      </x:c>
      <x:c r="F1639" t="n">
        <x:f>Dashboard_Live_Data!AL168</x:f>
        <x:v>2460.503062399682</x:v>
      </x:c>
      <x:c r="G1639" t="n">
        <x:f>Dashboard_Live_Data!AM168</x:f>
        <x:v>306.4000000000001</x:v>
      </x:c>
      <x:c r="H1639" t="n">
        <x:f>Dashboard_Live_Data!AN168</x:f>
        <x:v>2429.051843860189</x:v>
      </x:c>
    </x:row>
    <x:row r="1640">
      <x:c r="A1640" t="n">
        <x:f>Dashboard_Live_Data!AG169</x:f>
        <x:v>23.519999999999996</x:v>
      </x:c>
      <x:c r="B1640" t="n">
        <x:f>Dashboard_Live_Data!AH169</x:f>
        <x:v>2684.9124368195003</x:v>
      </x:c>
      <x:c r="C1640" t="n">
        <x:f>Dashboard_Live_Data!AI169</x:f>
        <x:v>156.79999999999995</x:v>
      </x:c>
      <x:c r="D1640" t="n">
        <x:f>Dashboard_Live_Data!AJ169</x:f>
        <x:v>1247.305949695761</x:v>
      </x:c>
      <x:c r="E1640" t="n">
        <x:f>Dashboard_Live_Data!AK169</x:f>
        <x:v>313.5999999999999</x:v>
      </x:c>
      <x:c r="F1640" t="n">
        <x:f>Dashboard_Live_Data!AL169</x:f>
        <x:v>2529.918895127145</x:v>
      </x:c>
      <x:c r="G1640" t="n">
        <x:f>Dashboard_Live_Data!AM169</x:f>
        <x:v>313.5999999999999</x:v>
      </x:c>
      <x:c r="H1640" t="n">
        <x:f>Dashboard_Live_Data!AN169</x:f>
        <x:v>2498.3588768603126</x:v>
      </x:c>
    </x:row>
    <x:row r="1641">
      <x:c r="A1641" t="n">
        <x:f>Dashboard_Live_Data!AG170</x:f>
        <x:v>24</x:v>
      </x:c>
      <x:c r="B1641" t="n">
        <x:f>Dashboard_Live_Data!AH170</x:f>
        <x:v>2685.318429856306</x:v>
      </x:c>
      <x:c r="C1641" t="n">
        <x:f>Dashboard_Live_Data!AI170</x:f>
        <x:v>160</x:v>
      </x:c>
      <x:c r="D1641" t="n">
        <x:f>Dashboard_Live_Data!AJ170</x:f>
        <x:v>1274.4238323326915</x:v>
      </x:c>
      <x:c r="E1641" t="n">
        <x:f>Dashboard_Live_Data!AK170</x:f>
        <x:v>320</x:v>
      </x:c>
      <x:c r="F1641" t="n">
        <x:f>Dashboard_Live_Data!AL170</x:f>
        <x:v>2592.311715433615</x:v>
      </x:c>
      <x:c r="G1641" t="n">
        <x:f>Dashboard_Live_Data!AM170</x:f>
        <x:v>320</x:v>
      </x:c>
      <x:c r="H1641" t="n">
        <x:f>Dashboard_Live_Data!AN170</x:f>
        <x:v>2560.6670284536167</x:v>
      </x:c>
    </x:row>
    <x:row r="1642">
      <x:c r="A1642" t="n">
        <x:f>Dashboard_Live_Data!AG171</x:f>
        <x:v>24.47999999999999</x:v>
      </x:c>
      <x:c r="B1642" t="n">
        <x:f>Dashboard_Live_Data!AH171</x:f>
        <x:v>2685.7325784389564</x:v>
      </x:c>
      <x:c r="C1642" t="n">
        <x:f>Dashboard_Live_Data!AI171</x:f>
        <x:v>163.19999999999993</x:v>
      </x:c>
      <x:c r="D1642" t="n">
        <x:f>Dashboard_Live_Data!AJ171</x:f>
        <x:v>1301.7473946103885</x:v>
      </x:c>
      <x:c r="E1642" t="n">
        <x:f>Dashboard_Live_Data!AK171</x:f>
        <x:v>326.39999999999986</x:v>
      </x:c>
      <x:c r="F1642" t="n">
        <x:f>Dashboard_Live_Data!AL171</x:f>
        <x:v>2655.3615925812765</x:v>
      </x:c>
      <x:c r="G1642" t="n">
        <x:f>Dashboard_Live_Data!AM171</x:f>
        <x:v>326.39999999999986</x:v>
      </x:c>
      <x:c r="H1642" t="n">
        <x:f>Dashboard_Live_Data!AN171</x:f>
        <x:v>2623.6439001292542</x:v>
      </x:c>
    </x:row>
    <x:row r="1643">
      <x:c r="A1643" t="n">
        <x:f>Dashboard_Live_Data!AG172</x:f>
        <x:v>25.019999999999996</x:v>
      </x:c>
      <x:c r="B1643" t="n">
        <x:f>Dashboard_Live_Data!AH172</x:f>
        <x:v>2686.2082405845767</x:v>
      </x:c>
      <x:c r="C1643" t="n">
        <x:f>Dashboard_Live_Data!AI172</x:f>
        <x:v>166.80000000000007</x:v>
      </x:c>
      <x:c r="D1643" t="n">
        <x:f>Dashboard_Live_Data!AJ172</x:f>
        <x:v>1332.7340115462373</x:v>
      </x:c>
      <x:c r="E1643" t="n">
        <x:f>Dashboard_Live_Data!AK172</x:f>
        <x:v>333.60000000000014</x:v>
      </x:c>
      <x:c r="F1643" t="n">
        <x:f>Dashboard_Live_Data!AL172</x:f>
        <x:v>2727.0872248769224</x:v>
      </x:c>
      <x:c r="G1643" t="n">
        <x:f>Dashboard_Live_Data!AM172</x:f>
        <x:v>333.60000000000014</x:v>
      </x:c>
      <x:c r="H1643" t="n">
        <x:f>Dashboard_Live_Data!AN172</x:f>
        <x:v>2695.3016989076004</x:v>
      </x:c>
    </x:row>
    <x:row r="1644">
      <x:c r="A1644" t="n">
        <x:f>Dashboard_Live_Data!AG173</x:f>
        <x:v>25.5</x:v>
      </x:c>
      <x:c r="B1644" t="n">
        <x:f>Dashboard_Live_Data!AH173</x:f>
        <x:v>2686.6397104802963</x:v>
      </x:c>
      <x:c r="C1644" t="n">
        <x:f>Dashboard_Live_Data!AI173</x:f>
        <x:v>170</x:v>
      </x:c>
      <x:c r="D1644" t="n">
        <x:f>Dashboard_Live_Data!AJ173</x:f>
        <x:v>1360.4994034490926</x:v>
      </x:c>
      <x:c r="E1644" t="n">
        <x:f>Dashboard_Live_Data!AK173</x:f>
        <x:v>340</x:v>
      </x:c>
      <x:c r="F1644" t="n">
        <x:f>Dashboard_Live_Data!AL173</x:f>
        <x:v>2791.557552752647</x:v>
      </x:c>
      <x:c r="G1644" t="n">
        <x:f>Dashboard_Live_Data!AM173</x:f>
        <x:v>340</x:v>
      </x:c>
      <x:c r="H1644" t="n">
        <x:f>Dashboard_Live_Data!AN173</x:f>
        <x:v>2759.724726481357</x:v>
      </x:c>
    </x:row>
    <x:row r="1645">
      <x:c r="A1645" t="n">
        <x:f>Dashboard_Live_Data!AG174</x:f>
        <x:v>25.980000000000004</x:v>
      </x:c>
      <x:c r="B1645" t="n">
        <x:f>Dashboard_Live_Data!AH174</x:f>
        <x:v>2687.0793271300054</x:v>
      </x:c>
      <x:c r="C1645" t="n">
        <x:f>Dashboard_Live_Data!AI174</x:f>
        <x:v>173.20000000000005</x:v>
      </x:c>
      <x:c r="D1645" t="n">
        <x:f>Dashboard_Live_Data!AJ174</x:f>
        <x:v>1388.4750825653464</x:v>
      </x:c>
      <x:c r="E1645" t="n">
        <x:f>Dashboard_Live_Data!AK174</x:f>
        <x:v>346.4000000000001</x:v>
      </x:c>
      <x:c r="F1645" t="n">
        <x:f>Dashboard_Live_Data!AL174</x:f>
        <x:v>2856.707437171217</x:v>
      </x:c>
      <x:c r="G1645" t="n">
        <x:f>Dashboard_Live_Data!AM174</x:f>
        <x:v>346.4000000000001</x:v>
      </x:c>
      <x:c r="H1645" t="n">
        <x:f>Dashboard_Live_Data!AN174</x:f>
        <x:v>2824.8397867428093</x:v>
      </x:c>
    </x:row>
    <x:row r="1646">
      <x:c r="A1646" t="n">
        <x:f>Dashboard_Live_Data!AG175</x:f>
        <x:v>26.519999999999996</x:v>
      </x:c>
      <x:c r="B1646" t="n">
        <x:f>Dashboard_Live_Data!AH175</x:f>
        <x:v>2687.5836301386457</x:v>
      </x:c>
      <x:c r="C1646" t="n">
        <x:f>Dashboard_Live_Data!AI175</x:f>
        <x:v>176.79999999999995</x:v>
      </x:c>
      <x:c r="D1646" t="n">
        <x:f>Dashboard_Live_Data!AJ175</x:f>
        <x:v>1420.2010523856848</x:v>
      </x:c>
      <x:c r="E1646" t="n">
        <x:f>Dashboard_Live_Data!AK175</x:f>
        <x:v>353.5999999999999</x:v>
      </x:c>
      <x:c r="F1646" t="n">
        <x:f>Dashboard_Live_Data!AL175</x:f>
        <x:v>2930.821956828647</x:v>
      </x:c>
      <x:c r="G1646" t="n">
        <x:f>Dashboard_Live_Data!AM175</x:f>
        <x:v>353.5999999999999</x:v>
      </x:c>
      <x:c r="H1646" t="n">
        <x:f>Dashboard_Live_Data!AN175</x:f>
        <x:v>2898.93030502441</x:v>
      </x:c>
    </x:row>
    <x:row r="1647">
      <x:c r="A1647" t="n">
        <x:f>Dashboard_Live_Data!AG176</x:f>
        <x:v>27</x:v>
      </x:c>
      <x:c r="B1647" t="n">
        <x:f>Dashboard_Live_Data!AH176</x:f>
        <x:v>2688.0405488767533</x:v>
      </x:c>
      <x:c r="C1647" t="n">
        <x:f>Dashboard_Live_Data!AI176</x:f>
        <x:v>180</x:v>
      </x:c>
      <x:c r="D1647" t="n">
        <x:f>Dashboard_Live_Data!AJ176</x:f>
        <x:v>1448.628895361848</x:v>
      </x:c>
      <x:c r="E1647" t="n">
        <x:f>Dashboard_Live_Data!AK176</x:f>
        <x:v>360</x:v>
      </x:c>
      <x:c r="F1647" t="n">
        <x:f>Dashboard_Live_Data!AL176</x:f>
        <x:v>2997.4387220817075</x:v>
      </x:c>
      <x:c r="G1647" t="n">
        <x:f>Dashboard_Live_Data!AM176</x:f>
        <x:v>360</x:v>
      </x:c>
      <x:c r="H1647" t="n">
        <x:f>Dashboard_Live_Data!AN176</x:f>
        <x:v>2965.539435665303</x:v>
      </x:c>
    </x:row>
    <x:row r="1648">
      <x:c r="A1648" t="n">
        <x:f>Dashboard_Live_Data!AG177</x:f>
        <x:v>27.480000000000004</x:v>
      </x:c>
      <x:c r="B1648" t="n">
        <x:f>Dashboard_Live_Data!AH177</x:f>
        <x:v>2688.505605067754</x:v>
      </x:c>
      <x:c r="C1648" t="n">
        <x:f>Dashboard_Live_Data!AI177</x:f>
        <x:v>183.19999999999993</x:v>
      </x:c>
      <x:c r="D1648" t="n">
        <x:f>Dashboard_Live_Data!AJ177</x:f>
        <x:v>1477.272095393459</x:v>
      </x:c>
      <x:c r="E1648" t="n">
        <x:f>Dashboard_Live_Data!AK177</x:f>
        <x:v>366.39999999999986</x:v>
      </x:c>
      <x:c r="F1648" t="n">
        <x:f>Dashboard_Live_Data!AL177</x:f>
        <x:v>3064.756229239328</x:v>
      </x:c>
      <x:c r="G1648" t="n">
        <x:f>Dashboard_Live_Data!AM177</x:f>
        <x:v>366.39999999999986</x:v>
      </x:c>
      <x:c r="H1648" t="n">
        <x:f>Dashboard_Live_Data!AN177</x:f>
        <x:v>3032.8623798858607</x:v>
      </x:c>
    </x:row>
    <x:row r="1649">
      <x:c r="A1649" t="n">
        <x:f>Dashboard_Live_Data!AG178</x:f>
        <x:v>28.02000000000001</x:v>
      </x:c>
      <x:c r="B1649" t="n">
        <x:f>Dashboard_Live_Data!AH178</x:f>
        <x:v>2689.038516240782</x:v>
      </x:c>
      <x:c r="C1649" t="n">
        <x:f>Dashboard_Live_Data!AI178</x:f>
        <x:v>186.80000000000007</x:v>
      </x:c>
      <x:c r="D1649" t="n">
        <x:f>Dashboard_Live_Data!AJ178</x:f>
        <x:v>1509.7552162254726</x:v>
      </x:c>
      <x:c r="E1649" t="n">
        <x:f>Dashboard_Live_Data!AK178</x:f>
        <x:v>373.60000000000014</x:v>
      </x:c>
      <x:c r="F1649" t="n">
        <x:f>Dashboard_Live_Data!AL178</x:f>
        <x:v>3141.3341110240226</x:v>
      </x:c>
      <x:c r="G1649" t="n">
        <x:f>Dashboard_Live_Data!AM178</x:f>
        <x:v>373.60000000000014</x:v>
      </x:c>
      <x:c r="H1649" t="n">
        <x:f>Dashboard_Live_Data!AN178</x:f>
        <x:v>3109.462192200807</x:v>
      </x:c>
    </x:row>
    <x:row r="1650">
      <x:c r="A1650" t="n">
        <x:f>Dashboard_Live_Data!AG179</x:f>
        <x:v>28.5</x:v>
      </x:c>
      <x:c r="B1650" t="n">
        <x:f>Dashboard_Live_Data!AH179</x:f>
        <x:v>2689.520854217586</x:v>
      </x:c>
      <x:c r="C1650" t="n">
        <x:f>Dashboard_Live_Data!AI179</x:f>
        <x:v>190</x:v>
      </x:c>
      <x:c r="D1650" t="n">
        <x:f>Dashboard_Live_Data!AJ179</x:f>
        <x:v>1538.8616802693725</x:v>
      </x:c>
      <x:c r="E1650" t="n">
        <x:f>Dashboard_Live_Data!AK179</x:f>
        <x:v>380</x:v>
      </x:c>
      <x:c r="F1650" t="n">
        <x:f>Dashboard_Live_Data!AL179</x:f>
        <x:v>3210.1620844044405</x:v>
      </x:c>
      <x:c r="G1650" t="n">
        <x:f>Dashboard_Live_Data!AM179</x:f>
        <x:v>380</x:v>
      </x:c>
      <x:c r="H1650" t="n">
        <x:f>Dashboard_Live_Data!AN179</x:f>
        <x:v>3178.323865680885</x:v>
      </x:c>
    </x:row>
    <x:row r="1651">
      <x:c r="A1651" t="n">
        <x:f>Dashboard_Live_Data!AG180</x:f>
        <x:v>28.980000000000004</x:v>
      </x:c>
      <x:c r="B1651" t="n">
        <x:f>Dashboard_Live_Data!AH180</x:f>
        <x:v>2690.0113198410036</x:v>
      </x:c>
      <x:c r="C1651" t="n">
        <x:f>Dashboard_Live_Data!AI180</x:f>
        <x:v>193.20000000000005</x:v>
      </x:c>
      <x:c r="D1651" t="n">
        <x:f>Dashboard_Live_Data!AJ180</x:f>
        <x:v>1568.188843395766</x:v>
      </x:c>
      <x:c r="E1651" t="n">
        <x:f>Dashboard_Live_Data!AK180</x:f>
        <x:v>386.4000000000001</x:v>
      </x:c>
      <x:c r="F1651" t="n">
        <x:f>Dashboard_Live_Data!AL180</x:f>
        <x:v>3279.710632319749</x:v>
      </x:c>
      <x:c r="G1651" t="n">
        <x:f>Dashboard_Live_Data!AM180</x:f>
        <x:v>386.4000000000001</x:v>
      </x:c>
      <x:c r="H1651" t="n">
        <x:f>Dashboard_Live_Data!AN180</x:f>
        <x:v>3247.91960889348</x:v>
      </x:c>
    </x:row>
    <x:row r="1652">
      <x:c r="A1652" t="n">
        <x:f>Dashboard_Live_Data!AG181</x:f>
        <x:v>29.519999999999996</x:v>
      </x:c>
      <x:c r="B1652" t="n">
        <x:f>Dashboard_Live_Data!AH181</x:f>
        <x:v>2690.572804703775</x:v>
      </x:c>
      <x:c r="C1652" t="n">
        <x:f>Dashboard_Live_Data!AI181</x:f>
        <x:v>196.79999999999995</x:v>
      </x:c>
      <x:c r="D1652" t="n">
        <x:f>Dashboard_Live_Data!AJ181</x:f>
        <x:v>1601.4478772869256</x:v>
      </x:c>
      <x:c r="E1652" t="n">
        <x:f>Dashboard_Live_Data!AK181</x:f>
        <x:v>393.5999999999999</x:v>
      </x:c>
      <x:c r="F1652" t="n">
        <x:f>Dashboard_Live_Data!AL181</x:f>
        <x:v>3358.8216005216295</x:v>
      </x:c>
      <x:c r="G1652" t="n">
        <x:f>Dashboard_Live_Data!AM181</x:f>
        <x:v>393.5999999999999</x:v>
      </x:c>
      <x:c r="H1652" t="n">
        <x:f>Dashboard_Live_Data!AN181</x:f>
        <x:v>3327.0999332019915</x:v>
      </x:c>
    </x:row>
    <x:row r="1653">
      <x:c r="A1653" t="n">
        <x:f>Dashboard_Live_Data!AG182</x:f>
        <x:v>30</x:v>
      </x:c>
      <x:c r="B1653" t="n">
        <x:f>Dashboard_Live_Data!AH182</x:f>
        <x:v>2691.0805307414003</x:v>
      </x:c>
      <x:c r="C1653" t="n">
        <x:f>Dashboard_Live_Data!AI182</x:f>
        <x:v>200</x:v>
      </x:c>
      <x:c r="D1653" t="n">
        <x:f>Dashboard_Live_Data!AJ182</x:f>
        <x:v>1631.2498263703887</x:v>
      </x:c>
      <x:c r="E1653" t="n">
        <x:f>Dashboard_Live_Data!AK182</x:f>
        <x:v>400</x:v>
      </x:c>
      <x:c r="F1653" t="n">
        <x:f>Dashboard_Live_Data!AL182</x:f>
        <x:v>3429.9213186632924</x:v>
      </x:c>
      <x:c r="G1653" t="n">
        <x:f>Dashboard_Live_Data!AM182</x:f>
        <x:v>400</x:v>
      </x:c>
      <x:c r="H1653" t="n">
        <x:f>Dashboard_Live_Data!AN182</x:f>
        <x:v>3398.275856941299</x:v>
      </x:c>
    </x:row>
    <x:row r="1654">
      <x:c r="A1654" t="n">
        <x:f>Dashboard_Live_Data!AG183</x:f>
        <x:v>30.480000000000004</x:v>
      </x:c>
      <x:c r="B1654" t="n">
        <x:f>Dashboard_Live_Data!AH183</x:f>
        <x:v>2691.596374118459</x:v>
      </x:c>
      <x:c r="C1654" t="n">
        <x:f>Dashboard_Live_Data!AI183</x:f>
        <x:v>203.20000000000005</x:v>
      </x:c>
      <x:c r="D1654" t="n">
        <x:f>Dashboard_Live_Data!AJ183</x:f>
        <x:v>1661.27795099574</x:v>
      </x:c>
      <x:c r="E1654" t="n">
        <x:f>Dashboard_Live_Data!AK183</x:f>
        <x:v>406.4000000000001</x:v>
      </x:c>
      <x:c r="F1654" t="n">
        <x:f>Dashboard_Live_Data!AL183</x:f>
        <x:v>3501.760091807711</x:v>
      </x:c>
      <x:c r="G1654" t="n">
        <x:f>Dashboard_Live_Data!AM183</x:f>
        <x:v>406.4000000000001</x:v>
      </x:c>
      <x:c r="H1654" t="n">
        <x:f>Dashboard_Live_Data!AN183</x:f>
        <x:v>3470.2046174700704</x:v>
      </x:c>
    </x:row>
    <x:row r="1655">
      <x:c r="A1655" t="n">
        <x:f>Dashboard_Live_Data!AG184</x:f>
        <x:v>31.019999999999996</x:v>
      </x:c>
      <x:c r="B1655" t="n">
        <x:f>Dashboard_Live_Data!AH184</x:f>
        <x:v>2692.1863964353583</x:v>
      </x:c>
      <x:c r="C1655" t="n">
        <x:f>Dashboard_Live_Data!AI184</x:f>
        <x:v>206.79999999999995</x:v>
      </x:c>
      <x:c r="D1655" t="n">
        <x:f>Dashboard_Live_Data!AJ184</x:f>
        <x:v>1695.3321376263839</x:v>
      </x:c>
      <x:c r="E1655" t="n">
        <x:f>Dashboard_Live_Data!AK184</x:f>
        <x:v>413.5999999999999</x:v>
      </x:c>
      <x:c r="F1655" t="n">
        <x:f>Dashboard_Live_Data!AL184</x:f>
        <x:v>3583.4691205577215</x:v>
      </x:c>
      <x:c r="G1655" t="n">
        <x:f>Dashboard_Live_Data!AM184</x:f>
        <x:v>413.5999999999999</x:v>
      </x:c>
      <x:c r="H1655" t="n">
        <x:f>Dashboard_Live_Data!AN184</x:f>
        <x:v>3552.0314391676843</x:v>
      </x:c>
    </x:row>
    <x:row r="1656">
      <x:c r="A1656" t="n">
        <x:f>Dashboard_Live_Data!AG185</x:f>
        <x:v>31.5</x:v>
      </x:c>
      <x:c r="B1656" t="n">
        <x:f>Dashboard_Live_Data!AH185</x:f>
        <x:v>2692.7194777953123</x:v>
      </x:c>
      <x:c r="C1656" t="n">
        <x:f>Dashboard_Live_Data!AI185</x:f>
        <x:v>210</x:v>
      </x:c>
      <x:c r="D1656" t="n">
        <x:f>Dashboard_Live_Data!AJ185</x:f>
        <x:v>1725.8467418024873</x:v>
      </x:c>
      <x:c r="E1656" t="n">
        <x:f>Dashboard_Live_Data!AK185</x:f>
        <x:v>420</x:v>
      </x:c>
      <x:c r="F1656" t="n">
        <x:f>Dashboard_Live_Data!AL185</x:f>
        <x:v>3656.896918210815</x:v>
      </x:c>
      <x:c r="G1656" t="n">
        <x:f>Dashboard_Live_Data!AM185</x:f>
        <x:v>420</x:v>
      </x:c>
      <x:c r="H1656" t="n">
        <x:f>Dashboard_Live_Data!AN185</x:f>
        <x:v>3625.578721629772</x:v>
      </x:c>
    </x:row>
    <x:row r="1657">
      <x:c r="A1657" t="n">
        <x:f>Dashboard_Live_Data!AG186</x:f>
        <x:v>31.97999999999999</x:v>
      </x:c>
      <x:c r="B1657" t="n">
        <x:f>Dashboard_Live_Data!AH186</x:f>
        <x:v>2693.260665691084</x:v>
      </x:c>
      <x:c r="C1657" t="n">
        <x:f>Dashboard_Live_Data!AI186</x:f>
        <x:v>213.19999999999993</x:v>
      </x:c>
      <x:c r="D1657" t="n">
        <x:f>Dashboard_Live_Data!AJ186</x:f>
        <x:v>1756.5930320423138</x:v>
      </x:c>
      <x:c r="E1657" t="n">
        <x:f>Dashboard_Live_Data!AK186</x:f>
        <x:v>426.39999999999986</x:v>
      </x:c>
      <x:c r="F1657" t="n">
        <x:f>Dashboard_Live_Data!AL186</x:f>
        <x:v>3731.0809261239924</x:v>
      </x:c>
      <x:c r="G1657" t="n">
        <x:f>Dashboard_Live_Data!AM186</x:f>
        <x:v>426.39999999999986</x:v>
      </x:c>
      <x:c r="H1657" t="n">
        <x:f>Dashboard_Live_Data!AN186</x:f>
        <x:v>3699.896173425861</x:v>
      </x:c>
    </x:row>
    <x:row r="1658">
      <x:c r="A1658" t="n">
        <x:f>Dashboard_Live_Data!AG187</x:f>
        <x:v>32.519999999999996</x:v>
      </x:c>
      <x:c r="B1658" t="n">
        <x:f>Dashboard_Live_Data!AH187</x:f>
        <x:v>2693.8791874812646</x:v>
      </x:c>
      <x:c r="C1658" t="n">
        <x:f>Dashboard_Live_Data!AI187</x:f>
        <x:v>216.80000000000007</x:v>
      </x:c>
      <x:c r="D1658" t="n">
        <x:f>Dashboard_Live_Data!AJ187</x:f>
        <x:v>1791.4617344869769</x:v>
      </x:c>
      <x:c r="E1658" t="n">
        <x:f>Dashboard_Live_Data!AK187</x:f>
        <x:v>433.60000000000014</x:v>
      </x:c>
      <x:c r="F1658" t="n">
        <x:f>Dashboard_Live_Data!AL187</x:f>
        <x:v>3815.4483329742607</x:v>
      </x:c>
      <x:c r="G1658" t="n">
        <x:f>Dashboard_Live_Data!AM187</x:f>
        <x:v>433.60000000000014</x:v>
      </x:c>
      <x:c r="H1658" t="n">
        <x:f>Dashboard_Live_Data!AN187</x:f>
        <x:v>3784.430436320021</x:v>
      </x:c>
    </x:row>
    <x:row r="1659">
      <x:c r="A1659" t="n">
        <x:f>Dashboard_Live_Data!AG188</x:f>
        <x:v>33</x:v>
      </x:c>
      <x:c r="B1659" t="n">
        <x:f>Dashboard_Live_Data!AH188</x:f>
        <x:v>2694.4375898786375</x:v>
      </x:c>
      <x:c r="C1659" t="n">
        <x:f>Dashboard_Live_Data!AI188</x:f>
        <x:v>220</x:v>
      </x:c>
      <x:c r="D1659" t="n">
        <x:f>Dashboard_Live_Data!AJ188</x:f>
        <x:v>1822.7061870307282</x:v>
      </x:c>
      <x:c r="E1659" t="n">
        <x:f>Dashboard_Live_Data!AK188</x:f>
        <x:v>440</x:v>
      </x:c>
      <x:c r="F1659" t="n">
        <x:f>Dashboard_Live_Data!AL188</x:f>
        <x:v>3891.256447672386</x:v>
      </x:c>
      <x:c r="G1659" t="n">
        <x:f>Dashboard_Live_Data!AM188</x:f>
        <x:v>440</x:v>
      </x:c>
      <x:c r="H1659" t="n">
        <x:f>Dashboard_Live_Data!AN188</x:f>
        <x:v>3860.401771777322</x:v>
      </x:c>
    </x:row>
    <x:row r="1660">
      <x:c r="A1660" t="n">
        <x:f>Dashboard_Live_Data!AG189</x:f>
        <x:v>33.480000000000004</x:v>
      </x:c>
      <x:c r="B1660" t="n">
        <x:f>Dashboard_Live_Data!AH189</x:f>
        <x:v>2695.0040875164605</x:v>
      </x:c>
      <x:c r="C1660" t="n">
        <x:f>Dashboard_Live_Data!AI189</x:f>
        <x:v>223.20000000000005</x:v>
      </x:c>
      <x:c r="D1660" t="n">
        <x:f>Dashboard_Live_Data!AJ189</x:f>
        <x:v>1854.1877969704217</x:v>
      </x:c>
      <x:c r="E1660" t="n">
        <x:f>Dashboard_Live_Data!AK189</x:f>
        <x:v>446.4000000000001</x:v>
      </x:c>
      <x:c r="F1660" t="n">
        <x:f>Dashboard_Live_Data!AL189</x:f>
        <x:v>3967.8366472645534</x:v>
      </x:c>
      <x:c r="G1660" t="n">
        <x:f>Dashboard_Live_Data!AM189</x:f>
        <x:v>446.4000000000001</x:v>
      </x:c>
      <x:c r="H1660" t="n">
        <x:f>Dashboard_Live_Data!AN189</x:f>
        <x:v>3937.159241278996</x:v>
      </x:c>
    </x:row>
    <x:row r="1661">
      <x:c r="A1661" t="n">
        <x:f>Dashboard_Live_Data!AG190</x:f>
        <x:v>34.019999999999996</x:v>
      </x:c>
      <x:c r="B1661" t="n">
        <x:f>Dashboard_Live_Data!AH190</x:f>
        <x:v>2695.6510690703108</x:v>
      </x:c>
      <x:c r="C1661" t="n">
        <x:f>Dashboard_Live_Data!AI190</x:f>
        <x:v>226.79999999999995</x:v>
      </x:c>
      <x:c r="D1661" t="n">
        <x:f>Dashboard_Live_Data!AJ190</x:f>
        <x:v>1889.8902432096763</x:v>
      </x:c>
      <x:c r="E1661" t="n">
        <x:f>Dashboard_Live_Data!AK190</x:f>
        <x:v>453.5999999999999</x:v>
      </x:c>
      <x:c r="F1661" t="n">
        <x:f>Dashboard_Live_Data!AL190</x:f>
        <x:v>4054.918249107175</x:v>
      </x:c>
      <x:c r="G1661" t="n">
        <x:f>Dashboard_Live_Data!AM190</x:f>
        <x:v>453.5999999999999</x:v>
      </x:c>
      <x:c r="H1661" t="n">
        <x:f>Dashboard_Live_Data!AN190</x:f>
        <x:v>4024.457081346861</x:v>
      </x:c>
    </x:row>
    <x:row r="1662">
      <x:c r="A1662" t="n">
        <x:f>Dashboard_Live_Data!AG191</x:f>
        <x:v>34.5</x:v>
      </x:c>
      <x:c r="B1662" t="n">
        <x:f>Dashboard_Live_Data!AH191</x:f>
        <x:v>2696.234756688648</x:v>
      </x:c>
      <x:c r="C1662" t="n">
        <x:f>Dashboard_Live_Data!AI191</x:f>
        <x:v>230</x:v>
      </x:c>
      <x:c r="D1662" t="n">
        <x:f>Dashboard_Live_Data!AJ191</x:f>
        <x:v>1921.881554297467</x:v>
      </x:c>
      <x:c r="E1662" t="n">
        <x:f>Dashboard_Live_Data!AK191</x:f>
        <x:v>460</x:v>
      </x:c>
      <x:c r="F1662" t="n">
        <x:f>Dashboard_Live_Data!AL191</x:f>
        <x:v>4133.154973866361</x:v>
      </x:c>
      <x:c r="G1662" t="n">
        <x:f>Dashboard_Live_Data!AM191</x:f>
        <x:v>460</x:v>
      </x:c>
      <x:c r="H1662" t="n">
        <x:f>Dashboard_Live_Data!AN191</x:f>
        <x:v>4102.900966862511</x:v>
      </x:c>
    </x:row>
    <x:row r="1663">
      <x:c r="A1663" t="n">
        <x:f>Dashboard_Live_Data!AG192</x:f>
        <x:v>34.980000000000004</x:v>
      </x:c>
      <x:c r="B1663" t="n">
        <x:f>Dashboard_Live_Data!AH192</x:f>
        <x:v>2696.8265277651735</x:v>
      </x:c>
      <x:c r="C1663" t="n">
        <x:f>Dashboard_Live_Data!AI192</x:f>
        <x:v>233.19999999999993</x:v>
      </x:c>
      <x:c r="D1663" t="n">
        <x:f>Dashboard_Live_Data!AJ192</x:f>
        <x:v>1954.1154016181265</x:v>
      </x:c>
      <x:c r="E1663" t="n">
        <x:f>Dashboard_Live_Data!AK192</x:f>
        <x:v>466.39999999999986</x:v>
      </x:c>
      <x:c r="F1663" t="n">
        <x:f>Dashboard_Live_Data!AL192</x:f>
        <x:v>4212.178433547609</x:v>
      </x:c>
      <x:c r="G1663" t="n">
        <x:f>Dashboard_Live_Data!AM192</x:f>
        <x:v>466.39999999999986</x:v>
      </x:c>
      <x:c r="H1663" t="n">
        <x:f>Dashboard_Live_Data!AN192</x:f>
        <x:v>4182.145657173544</x:v>
      </x:c>
    </x:row>
    <x:row r="1664">
      <x:c r="A1664" t="n">
        <x:f>Dashboard_Live_Data!AG193</x:f>
        <x:v>35.52000000000001</x:v>
      </x:c>
      <x:c r="B1664" t="n">
        <x:f>Dashboard_Live_Data!AH193</x:f>
        <x:v>2697.5019276614603</x:v>
      </x:c>
      <x:c r="C1664" t="n">
        <x:f>Dashboard_Live_Data!AI193</x:f>
        <x:v>236.80000000000007</x:v>
      </x:c>
      <x:c r="D1664" t="n">
        <x:f>Dashboard_Live_Data!AJ193</x:f>
        <x:v>1990.6704964522148</x:v>
      </x:c>
      <x:c r="E1664" t="n">
        <x:f>Dashboard_Live_Data!AK193</x:f>
        <x:v>473.60000000000014</x:v>
      </x:c>
      <x:c r="F1664" t="n">
        <x:f>Dashboard_Live_Data!AL193</x:f>
        <x:v>4302.02574295159</x:v>
      </x:c>
      <x:c r="G1664" t="n">
        <x:f>Dashboard_Live_Data!AM193</x:f>
        <x:v>473.60000000000014</x:v>
      </x:c>
      <x:c r="H1664" t="n">
        <x:f>Dashboard_Live_Data!AN193</x:f>
        <x:v>4272.258661802538</x:v>
      </x:c>
    </x:row>
    <x:row r="1665">
      <x:c r="A1665" t="n">
        <x:f>Dashboard_Live_Data!AG194</x:f>
        <x:v>36</x:v>
      </x:c>
      <x:c r="B1665" t="n">
        <x:f>Dashboard_Live_Data!AH194</x:f>
        <x:v>2698.110863168117</x:v>
      </x:c>
      <x:c r="C1665" t="n">
        <x:f>Dashboard_Live_Data!AI194</x:f>
        <x:v>240</x:v>
      </x:c>
      <x:c r="D1665" t="n">
        <x:f>Dashboard_Live_Data!AJ194</x:f>
        <x:v>2023.4253433638573</x:v>
      </x:c>
      <x:c r="E1665" t="n">
        <x:f>Dashboard_Live_Data!AK194</x:f>
        <x:v>480</x:v>
      </x:c>
      <x:c r="F1665" t="n">
        <x:f>Dashboard_Live_Data!AL194</x:f>
        <x:v>4382.735609610576</x:v>
      </x:c>
      <x:c r="G1665" t="n">
        <x:f>Dashboard_Live_Data!AM194</x:f>
        <x:v>480</x:v>
      </x:c>
      <x:c r="H1665" t="n">
        <x:f>Dashboard_Live_Data!AN194</x:f>
        <x:v>4353.219632675859</x:v>
      </x:c>
    </x:row>
    <x:row r="1666">
      <x:c r="A1666" t="n">
        <x:f>Dashboard_Live_Data!AG195</x:f>
        <x:v>36.480000000000004</x:v>
      </x:c>
      <x:c r="B1666" t="n">
        <x:f>Dashboard_Live_Data!AH195</x:f>
        <x:v>2698.7278698689106</x:v>
      </x:c>
      <x:c r="C1666" t="n">
        <x:f>Dashboard_Live_Data!AI195</x:f>
        <x:v>243.20000000000005</x:v>
      </x:c>
      <x:c r="D1666" t="n">
        <x:f>Dashboard_Live_Data!AJ195</x:f>
        <x:v>2056.4279743959246</x:v>
      </x:c>
      <x:c r="E1666" t="n">
        <x:f>Dashboard_Live_Data!AK195</x:f>
        <x:v>486.4000000000001</x:v>
      </x:c>
      <x:c r="F1666" t="n">
        <x:f>Dashboard_Live_Data!AL195</x:f>
        <x:v>4464.245699599919</x:v>
      </x:c>
      <x:c r="G1666" t="n">
        <x:f>Dashboard_Live_Data!AM195</x:f>
        <x:v>486.4000000000001</x:v>
      </x:c>
      <x:c r="H1666" t="n">
        <x:f>Dashboard_Live_Data!AN195</x:f>
        <x:v>4434.994862669758</x:v>
      </x:c>
    </x:row>
    <x:row r="1667">
      <x:c r="A1667" t="n">
        <x:f>Dashboard_Live_Data!AG196</x:f>
        <x:v>37.019999999999996</x:v>
      </x:c>
      <x:c r="B1667" t="n">
        <x:f>Dashboard_Live_Data!AH196</x:f>
        <x:v>2699.43164499259</x:v>
      </x:c>
      <x:c r="C1667" t="n">
        <x:f>Dashboard_Live_Data!AI196</x:f>
        <x:v>246.79999999999995</x:v>
      </x:c>
      <x:c r="D1667" t="n">
        <x:f>Dashboard_Live_Data!AJ196</x:f>
        <x:v>2093.854163760291</x:v>
      </x:c>
      <x:c r="E1667" t="n">
        <x:f>Dashboard_Live_Data!AK196</x:f>
        <x:v>493.5999999999999</x:v>
      </x:c>
      <x:c r="F1667" t="n">
        <x:f>Dashboard_Live_Data!AL196</x:f>
        <x:v>4556.906145812415</x:v>
      </x:c>
      <x:c r="G1667" t="n">
        <x:f>Dashboard_Live_Data!AM196</x:f>
        <x:v>493.5999999999999</x:v>
      </x:c>
      <x:c r="H1667" t="n">
        <x:f>Dashboard_Live_Data!AN196</x:f>
        <x:v>4527.970342892097</x:v>
      </x:c>
    </x:row>
    <x:row r="1668">
      <x:c r="A1668" t="n">
        <x:f>Dashboard_Live_Data!AG197</x:f>
        <x:v>37.5</x:v>
      </x:c>
      <x:c r="B1668" t="n">
        <x:f>Dashboard_Live_Data!AH197</x:f>
        <x:v>2700.065789554835</x:v>
      </x:c>
      <x:c r="C1668" t="n">
        <x:f>Dashboard_Live_Data!AI197</x:f>
        <x:v>250</x:v>
      </x:c>
      <x:c r="D1668" t="n">
        <x:f>Dashboard_Live_Data!AJ197</x:f>
        <x:v>2127.3887833117165</x:v>
      </x:c>
      <x:c r="E1668" t="n">
        <x:f>Dashboard_Live_Data!AK197</x:f>
        <x:v>500</x:v>
      </x:c>
      <x:c r="F1668" t="n">
        <x:f>Dashboard_Live_Data!AL197</x:f>
        <x:v>4640.130126474501</x:v>
      </x:c>
      <x:c r="G1668" t="n">
        <x:f>Dashboard_Live_Data!AM197</x:f>
        <x:v>500</x:v>
      </x:c>
      <x:c r="H1668" t="n">
        <x:f>Dashboard_Live_Data!AN197</x:f>
        <x:v>4611.489216623593</x:v>
      </x:c>
    </x:row>
    <x:row r="1669">
      <x:c r="A1669" t="n">
        <x:f>Dashboard_Live_Data!AG198</x:f>
        <x:v>37.980000000000004</x:v>
      </x:c>
      <x:c r="B1669" t="n">
        <x:f>Dashboard_Live_Data!AH198</x:f>
        <x:v>2700.7079925706203</x:v>
      </x:c>
      <x:c r="C1669" t="n">
        <x:f>Dashboard_Live_Data!AI198</x:f>
        <x:v>253.20000000000005</x:v>
      </x:c>
      <x:c r="D1669" t="n">
        <x:f>Dashboard_Live_Data!AJ198</x:f>
        <x:v>2161.1762766414804</x:v>
      </x:c>
      <x:c r="E1669" t="n">
        <x:f>Dashboard_Live_Data!AK198</x:f>
        <x:v>506.4000000000001</x:v>
      </x:c>
      <x:c r="F1669" t="n">
        <x:f>Dashboard_Live_Data!AL198</x:f>
        <x:v>4724.1667239784065</x:v>
      </x:c>
      <x:c r="G1669" t="n">
        <x:f>Dashboard_Live_Data!AM198</x:f>
        <x:v>506.4000000000001</x:v>
      </x:c>
      <x:c r="H1669" t="n">
        <x:f>Dashboard_Live_Data!AN198</x:f>
        <x:v>4695.8346660074885</x:v>
      </x:c>
    </x:row>
    <x:row r="1670">
      <x:c r="A1670" t="n">
        <x:f>Dashboard_Live_Data!AG199</x:f>
        <x:v>38.519999999999996</x:v>
      </x:c>
      <x:c r="B1670" t="n">
        <x:f>Dashboard_Live_Data!AH199</x:f>
        <x:v>2701.440098131209</x:v>
      </x:c>
      <x:c r="C1670" t="n">
        <x:f>Dashboard_Live_Data!AI199</x:f>
        <x:v>256.79999999999995</x:v>
      </x:c>
      <x:c r="D1670" t="n">
        <x:f>Dashboard_Live_Data!AJ199</x:f>
        <x:v>2199.4914513372773</x:v>
      </x:c>
      <x:c r="E1670" t="n">
        <x:f>Dashboard_Live_Data!AK199</x:f>
        <x:v>513.5999999999999</x:v>
      </x:c>
      <x:c r="F1670" t="n">
        <x:f>Dashboard_Live_Data!AL199</x:f>
        <x:v>4819.683887182147</x:v>
      </x:c>
      <x:c r="G1670" t="n">
        <x:f>Dashboard_Live_Data!AM199</x:f>
        <x:v>513.5999999999999</x:v>
      </x:c>
      <x:c r="H1670" t="n">
        <x:f>Dashboard_Live_Data!AN199</x:f>
        <x:v>4791.715932694854</x:v>
      </x:c>
    </x:row>
    <x:row r="1671">
      <x:c r="A1671" t="n">
        <x:f>Dashboard_Live_Data!AG200</x:f>
        <x:v>39</x:v>
      </x:c>
      <x:c r="B1671" t="n">
        <x:f>Dashboard_Live_Data!AH200</x:f>
        <x:v>2702.0994114328023</x:v>
      </x:c>
      <x:c r="C1671" t="n">
        <x:f>Dashboard_Live_Data!AI200</x:f>
        <x:v>260</x:v>
      </x:c>
      <x:c r="D1671" t="n">
        <x:f>Dashboard_Live_Data!AJ200</x:f>
        <x:v>2233.821564177517</x:v>
      </x:c>
      <x:c r="E1671" t="n">
        <x:f>Dashboard_Live_Data!AK200</x:f>
        <x:v>520</x:v>
      </x:c>
      <x:c r="F1671" t="n">
        <x:f>Dashboard_Live_Data!AL200</x:f>
        <x:v>4905.459604666784</x:v>
      </x:c>
      <x:c r="G1671" t="n">
        <x:f>Dashboard_Live_Data!AM200</x:f>
        <x:v>520</x:v>
      </x:c>
      <x:c r="H1671" t="n">
        <x:f>Dashboard_Live_Data!AN200</x:f>
        <x:v>4877.830054285296</x:v>
      </x:c>
    </x:row>
    <x:row r="1672">
      <x:c r="A1672" t="n">
        <x:f>Dashboard_Live_Data!AG201</x:f>
        <x:v>39.47999999999999</x:v>
      </x:c>
      <x:c r="B1672" t="n">
        <x:f>Dashboard_Live_Data!AH201</x:f>
        <x:v>2702.766769976195</x:v>
      </x:c>
      <x:c r="C1672" t="n">
        <x:f>Dashboard_Live_Data!AI201</x:f>
        <x:v>263.19999999999993</x:v>
      </x:c>
      <x:c r="D1672" t="n">
        <x:f>Dashboard_Live_Data!AJ201</x:f>
        <x:v>2268.4094634231324</x:v>
      </x:c>
      <x:c r="E1672" t="n">
        <x:f>Dashboard_Live_Data!AK201</x:f>
        <x:v>526.3999999999999</x:v>
      </x:c>
      <x:c r="F1672" t="n">
        <x:f>Dashboard_Live_Data!AL201</x:f>
        <x:v>4992.0593057230435</x:v>
      </x:c>
      <x:c r="G1672" t="n">
        <x:f>Dashboard_Live_Data!AM201</x:f>
        <x:v>526.3999999999999</x:v>
      </x:c>
      <x:c r="H1672" t="n">
        <x:f>Dashboard_Live_Data!AN201</x:f>
        <x:v>4964.7820081571645</x:v>
      </x:c>
    </x:row>
    <x:row r="1673">
      <x:c r="A1673" t="n">
        <x:f>Dashboard_Live_Data!AG202</x:f>
        <x:v>40.019999999999996</x:v>
      </x:c>
      <x:c r="B1673" t="n">
        <x:f>Dashboard_Live_Data!AH202</x:f>
        <x:v>2703.527159526966</x:v>
      </x:c>
      <x:c r="C1673" t="n">
        <x:f>Dashboard_Live_Data!AI202</x:f>
        <x:v>266.80000000000007</x:v>
      </x:c>
      <x:c r="D1673" t="n">
        <x:f>Dashboard_Live_Data!AJ202</x:f>
        <x:v>2307.6308927499517</x:v>
      </x:c>
      <x:c r="E1673" t="n">
        <x:f>Dashboard_Live_Data!AK202</x:f>
        <x:v>533.6000000000001</x:v>
      </x:c>
      <x:c r="F1673" t="n">
        <x:f>Dashboard_Live_Data!AL202</x:f>
        <x:v>5090.473156276304</x:v>
      </x:c>
      <x:c r="G1673" t="n">
        <x:f>Dashboard_Live_Data!AM202</x:f>
        <x:v>533.6000000000001</x:v>
      </x:c>
      <x:c r="H1673" t="n">
        <x:f>Dashboard_Live_Data!AN202</x:f>
        <x:v>5063.608645679323</x:v>
      </x:c>
    </x:row>
    <x:row r="1674">
      <x:c r="A1674" t="n">
        <x:f>Dashboard_Live_Data!AG203</x:f>
        <x:v>40.5</x:v>
      </x:c>
      <x:c r="B1674" t="n">
        <x:f>Dashboard_Live_Data!AH203</x:f>
        <x:v>2704.2115997852675</x:v>
      </x:c>
      <x:c r="C1674" t="n">
        <x:f>Dashboard_Live_Data!AI203</x:f>
        <x:v>270</x:v>
      </x:c>
      <x:c r="D1674" t="n">
        <x:f>Dashboard_Live_Data!AJ203</x:f>
        <x:v>2342.7716518918514</x:v>
      </x:c>
      <x:c r="E1674" t="n">
        <x:f>Dashboard_Live_Data!AK203</x:f>
        <x:v>540</x:v>
      </x:c>
      <x:c r="F1674" t="n">
        <x:f>Dashboard_Live_Data!AL203</x:f>
        <x:v>5178.835096993912</x:v>
      </x:c>
      <x:c r="G1674" t="n">
        <x:f>Dashboard_Live_Data!AM203</x:f>
        <x:v>540</x:v>
      </x:c>
      <x:c r="H1674" t="n">
        <x:f>Dashboard_Live_Data!AN203</x:f>
        <x:v>5152.352129116699</x:v>
      </x:c>
    </x:row>
    <x:row r="1675">
      <x:c r="A1675" t="n">
        <x:f>Dashboard_Live_Data!AG204</x:f>
        <x:v>40.980000000000004</x:v>
      </x:c>
      <x:c r="B1675" t="n">
        <x:f>Dashboard_Live_Data!AH204</x:f>
        <x:v>2704.9040716081277</x:v>
      </x:c>
      <x:c r="C1675" t="n">
        <x:f>Dashboard_Live_Data!AI204</x:f>
        <x:v>273.20000000000005</x:v>
      </x:c>
      <x:c r="D1675" t="n">
        <x:f>Dashboard_Live_Data!AJ204</x:f>
        <x:v>2378.1749207105045</x:v>
      </x:c>
      <x:c r="E1675" t="n">
        <x:f>Dashboard_Live_Data!AK204</x:f>
        <x:v>546.4000000000001</x:v>
      </x:c>
      <x:c r="F1675" t="n">
        <x:f>Dashboard_Live_Data!AL204</x:f>
        <x:v>5268.031429047745</x:v>
      </x:c>
      <x:c r="G1675" t="n">
        <x:f>Dashboard_Live_Data!AM204</x:f>
        <x:v>546.4000000000001</x:v>
      </x:c>
      <x:c r="H1675" t="n">
        <x:f>Dashboard_Live_Data!AN204</x:f>
        <x:v>5241.943717406506</x:v>
      </x:c>
    </x:row>
    <x:row r="1676">
      <x:c r="A1676" t="n">
        <x:f>Dashboard_Live_Data!AG205</x:f>
        <x:v>41.519999999999996</x:v>
      </x:c>
      <x:c r="B1676" t="n">
        <x:f>Dashboard_Live_Data!AH205</x:f>
        <x:v>2705.692697065748</x:v>
      </x:c>
      <x:c r="C1676" t="n">
        <x:f>Dashboard_Live_Data!AI205</x:f>
        <x:v>276.79999999999995</x:v>
      </x:c>
      <x:c r="D1676" t="n">
        <x:f>Dashboard_Live_Data!AJ205</x:f>
        <x:v>2418.3192089337513</x:v>
      </x:c>
      <x:c r="E1676" t="n">
        <x:f>Dashboard_Live_Data!AK205</x:f>
        <x:v>553.5999999999999</x:v>
      </x:c>
      <x:c r="F1676" t="n">
        <x:f>Dashboard_Live_Data!AL205</x:f>
        <x:v>5369.3785657395565</x:v>
      </x:c>
      <x:c r="G1676" t="n">
        <x:f>Dashboard_Live_Data!AM205</x:f>
        <x:v>553.5999999999999</x:v>
      </x:c>
      <x:c r="H1676" t="n">
        <x:f>Dashboard_Live_Data!AN205</x:f>
        <x:v>5343.751850152343</x:v>
      </x:c>
    </x:row>
    <x:row r="1677">
      <x:c r="A1677" t="n">
        <x:f>Dashboard_Live_Data!AG206</x:f>
        <x:v>42</x:v>
      </x:c>
      <x:c r="B1677" t="n">
        <x:f>Dashboard_Live_Data!AH206</x:f>
        <x:v>2706.402221049479</x:v>
      </x:c>
      <x:c r="C1677" t="n">
        <x:f>Dashboard_Live_Data!AI206</x:f>
        <x:v>280</x:v>
      </x:c>
      <x:c r="D1677" t="n">
        <x:f>Dashboard_Live_Data!AJ206</x:f>
        <x:v>2454.285166823356</x:v>
      </x:c>
      <x:c r="E1677" t="n">
        <x:f>Dashboard_Live_Data!AK206</x:f>
        <x:v>560</x:v>
      </x:c>
      <x:c r="F1677" t="n">
        <x:f>Dashboard_Live_Data!AL206</x:f>
        <x:v>5460.3582902555545</x:v>
      </x:c>
      <x:c r="G1677" t="n">
        <x:f>Dashboard_Live_Data!AM206</x:f>
        <x:v>560</x:v>
      </x:c>
      <x:c r="H1677" t="n">
        <x:f>Dashboard_Live_Data!AN206</x:f>
        <x:v>5435.1558124688245</x:v>
      </x:c>
    </x:row>
    <x:row r="1678">
      <x:c r="A1678" t="n">
        <x:f>Dashboard_Live_Data!AG207</x:f>
        <x:v>42.480000000000004</x:v>
      </x:c>
      <x:c r="B1678" t="n">
        <x:f>Dashboard_Live_Data!AH207</x:f>
        <x:v>2707.119762460756</x:v>
      </x:c>
      <x:c r="C1678" t="n">
        <x:f>Dashboard_Live_Data!AI207</x:f>
        <x:v>283.19999999999993</x:v>
      </x:c>
      <x:c r="D1678" t="n">
        <x:f>Dashboard_Live_Data!AJ207</x:f>
        <x:v>2490.518160948682</x:v>
      </x:c>
      <x:c r="E1678" t="n">
        <x:f>Dashboard_Live_Data!AK207</x:f>
        <x:v>566.3999999999999</x:v>
      </x:c>
      <x:c r="F1678" t="n">
        <x:f>Dashboard_Live_Data!AL207</x:f>
        <x:v>5552.181921221128</x:v>
      </x:c>
      <x:c r="G1678" t="n">
        <x:f>Dashboard_Live_Data!AM207</x:f>
        <x:v>566.3999999999999</x:v>
      </x:c>
      <x:c r="H1678" t="n">
        <x:f>Dashboard_Live_Data!AN207</x:f>
        <x:v>5527.4172410510055</x:v>
      </x:c>
    </x:row>
    <x:row r="1679">
      <x:c r="A1679" t="n">
        <x:f>Dashboard_Live_Data!AG208</x:f>
        <x:v>43.02000000000001</x:v>
      </x:c>
      <x:c r="B1679" t="n">
        <x:f>Dashboard_Live_Data!AH208</x:f>
        <x:v>2707.9365741255974</x:v>
      </x:c>
      <x:c r="C1679" t="n">
        <x:f>Dashboard_Live_Data!AI208</x:f>
        <x:v>286.80000000000007</x:v>
      </x:c>
      <x:c r="D1679" t="n">
        <x:f>Dashboard_Live_Data!AJ208</x:f>
        <x:v>2531.601221281773</x:v>
      </x:c>
      <x:c r="E1679" t="n">
        <x:f>Dashboard_Live_Data!AK208</x:f>
        <x:v>573.6000000000001</x:v>
      </x:c>
      <x:c r="F1679" t="n">
        <x:f>Dashboard_Live_Data!AL208</x:f>
        <x:v>5656.495804293952</x:v>
      </x:c>
      <x:c r="G1679" t="n">
        <x:f>Dashboard_Live_Data!AM208</x:f>
        <x:v>573.6000000000001</x:v>
      </x:c>
      <x:c r="H1679" t="n">
        <x:f>Dashboard_Live_Data!AN208</x:f>
        <x:v>5632.239789639232</x:v>
      </x:c>
    </x:row>
    <x:row r="1680">
      <x:c r="A1680" t="n">
        <x:f>Dashboard_Live_Data!AG209</x:f>
        <x:v>43.5</x:v>
      </x:c>
      <x:c r="B1680" t="n">
        <x:f>Dashboard_Live_Data!AH209</x:f>
        <x:v>2708.6711371730257</x:v>
      </x:c>
      <x:c r="C1680" t="n">
        <x:f>Dashboard_Live_Data!AI209</x:f>
        <x:v>290</x:v>
      </x:c>
      <x:c r="D1680" t="n">
        <x:f>Dashboard_Live_Data!AJ209</x:f>
        <x:v>2568.4063111009086</x:v>
      </x:c>
      <x:c r="E1680" t="n">
        <x:f>Dashboard_Live_Data!AK209</x:f>
        <x:v>580</x:v>
      </x:c>
      <x:c r="F1680" t="n">
        <x:f>Dashboard_Live_Data!AL209</x:f>
        <x:v>5750.1221522344285</x:v>
      </x:c>
      <x:c r="G1680" t="n">
        <x:f>Dashboard_Live_Data!AM209</x:f>
        <x:v>580</x:v>
      </x:c>
      <x:c r="H1680" t="n">
        <x:f>Dashboard_Live_Data!AN209</x:f>
        <x:v>5726.332575075653</x:v>
      </x:c>
    </x:row>
    <x:row r="1681">
      <x:c r="A1681" t="n">
        <x:f>Dashboard_Live_Data!AG210</x:f>
        <x:v>43.980000000000004</x:v>
      </x:c>
      <x:c r="B1681" t="n">
        <x:f>Dashboard_Live_Data!AH210</x:f>
        <x:v>2709.41370305717</x:v>
      </x:c>
      <x:c r="C1681" t="n">
        <x:f>Dashboard_Live_Data!AI210</x:f>
        <x:v>293.20000000000005</x:v>
      </x:c>
      <x:c r="D1681" t="n">
        <x:f>Dashboard_Live_Data!AJ210</x:f>
        <x:v>2605.4827634648645</x:v>
      </x:c>
      <x:c r="E1681" t="n">
        <x:f>Dashboard_Live_Data!AK210</x:f>
        <x:v>586.4000000000001</x:v>
      </x:c>
      <x:c r="F1681" t="n">
        <x:f>Dashboard_Live_Data!AL210</x:f>
        <x:v>5844.601093061466</x:v>
      </x:c>
      <x:c r="G1681" t="n">
        <x:f>Dashboard_Live_Data!AM210</x:f>
        <x:v>586.4000000000001</x:v>
      </x:c>
      <x:c r="H1681" t="n">
        <x:f>Dashboard_Live_Data!AN210</x:f>
        <x:v>5821.291346397364</x:v>
      </x:c>
    </x:row>
    <x:row r="1682">
      <x:c r="A1682" t="n">
        <x:f>Dashboard_Live_Data!AG211</x:f>
        <x:v>44.519999999999996</x:v>
      </x:c>
      <x:c r="B1682" t="n">
        <x:f>Dashboard_Live_Data!AH211</x:f>
        <x:v>2710.258649634195</x:v>
      </x:c>
      <x:c r="C1682" t="n">
        <x:f>Dashboard_Live_Data!AI211</x:f>
        <x:v>296.79999999999995</x:v>
      </x:c>
      <x:c r="D1682" t="n">
        <x:f>Dashboard_Live_Data!AJ211</x:f>
        <x:v>2647.519805513155</x:v>
      </x:c>
      <x:c r="E1682" t="n">
        <x:f>Dashboard_Live_Data!AK211</x:f>
        <x:v>593.5999999999999</x:v>
      </x:c>
      <x:c r="F1682" t="n">
        <x:f>Dashboard_Live_Data!AL211</x:f>
        <x:v>5951.912269047644</x:v>
      </x:c>
      <x:c r="G1682" t="n">
        <x:f>Dashboard_Live_Data!AM211</x:f>
        <x:v>593.5999999999999</x:v>
      </x:c>
      <x:c r="H1682" t="n">
        <x:f>Dashboard_Live_Data!AN211</x:f>
        <x:v>5929.1582714862625</x:v>
      </x:c>
    </x:row>
    <x:row r="1683">
      <x:c r="A1683" t="n">
        <x:f>Dashboard_Live_Data!AG212</x:f>
        <x:v>45</x:v>
      </x:c>
      <x:c r="B1683" t="n">
        <x:f>Dashboard_Live_Data!AH212</x:f>
        <x:v>2711.018205671868</x:v>
      </x:c>
      <x:c r="C1683" t="n">
        <x:f>Dashboard_Live_Data!AI212</x:f>
        <x:v>300</x:v>
      </x:c>
      <x:c r="D1683" t="n">
        <x:f>Dashboard_Live_Data!AJ212</x:f>
        <x:v>2685.177333423242</x:v>
      </x:c>
      <x:c r="E1683" t="n">
        <x:f>Dashboard_Live_Data!AK212</x:f>
        <x:v>600</x:v>
      </x:c>
      <x:c r="F1683" t="n">
        <x:f>Dashboard_Live_Data!AL212</x:f>
        <x:v>6048.211556044975</x:v>
      </x:c>
      <x:c r="G1683" t="n">
        <x:f>Dashboard_Live_Data!AM212</x:f>
        <x:v>600</x:v>
      </x:c>
      <x:c r="H1683" t="n">
        <x:f>Dashboard_Live_Data!AN212</x:f>
        <x:v>6025.965664177064</x:v>
      </x:c>
    </x:row>
    <x:row r="1684">
      <x:c r="A1684" t="n">
        <x:f>Dashboard_Live_Data!AG213</x:f>
        <x:v>45.480000000000004</x:v>
      </x:c>
      <x:c r="B1684" t="n">
        <x:f>Dashboard_Live_Data!AH213</x:f>
        <x:v>2711.7857495077187</x:v>
      </x:c>
      <x:c r="C1684" t="n">
        <x:f>Dashboard_Live_Data!AI213</x:f>
        <x:v>303.20000000000005</x:v>
      </x:c>
      <x:c r="D1684" t="n">
        <x:f>Dashboard_Live_Data!AJ213</x:f>
        <x:v>2723.110349333624</x:v>
      </x:c>
      <x:c r="E1684" t="n">
        <x:f>Dashboard_Live_Data!AK213</x:f>
        <x:v>606.4000000000001</x:v>
      </x:c>
      <x:c r="F1684" t="n">
        <x:f>Dashboard_Live_Data!AL213</x:f>
        <x:v>6145.371354766013</x:v>
      </x:c>
      <x:c r="G1684" t="n">
        <x:f>Dashboard_Live_Data!AM213</x:f>
        <x:v>606.4000000000001</x:v>
      </x:c>
      <x:c r="H1684" t="n">
        <x:f>Dashboard_Live_Data!AN213</x:f>
        <x:v>6123.6467860475295</x:v>
      </x:c>
    </x:row>
    <x:row r="1685">
      <x:c r="A1685" t="n">
        <x:f>Dashboard_Live_Data!AG214</x:f>
        <x:v>46.019999999999996</x:v>
      </x:c>
      <x:c r="B1685" t="n">
        <x:f>Dashboard_Live_Data!AH214</x:f>
        <x:v>2712.658778127942</x:v>
      </x:c>
      <x:c r="C1685" t="n">
        <x:f>Dashboard_Live_Data!AI214</x:f>
        <x:v>306.79999999999995</x:v>
      </x:c>
      <x:c r="D1685" t="n">
        <x:f>Dashboard_Live_Data!AJ214</x:f>
        <x:v>2766.1158768793084</x:v>
      </x:c>
      <x:c r="E1685" t="n">
        <x:f>Dashboard_Live_Data!AK214</x:f>
        <x:v>613.5999999999999</x:v>
      </x:c>
      <x:c r="F1685" t="n">
        <x:f>Dashboard_Live_Data!AL214</x:f>
        <x:v>6255.7076711632635</x:v>
      </x:c>
      <x:c r="G1685" t="n">
        <x:f>Dashboard_Live_Data!AM214</x:f>
        <x:v>613.5999999999999</x:v>
      </x:c>
      <x:c r="H1685" t="n">
        <x:f>Dashboard_Live_Data!AN214</x:f>
        <x:v>6234.585318473166</x:v>
      </x:c>
    </x:row>
    <x:row r="1686">
      <x:c r="A1686" t="n">
        <x:f>Dashboard_Live_Data!AG215</x:f>
        <x:v>46.5</x:v>
      </x:c>
      <x:c r="B1686" t="n">
        <x:f>Dashboard_Live_Data!AH215</x:f>
        <x:v>2713.4432796899005</x:v>
      </x:c>
      <x:c r="C1686" t="n">
        <x:f>Dashboard_Live_Data!AI215</x:f>
        <x:v>310</x:v>
      </x:c>
      <x:c r="D1686" t="n">
        <x:f>Dashboard_Live_Data!AJ215</x:f>
        <x:v>2804.638522662561</x:v>
      </x:c>
      <x:c r="E1686" t="n">
        <x:f>Dashboard_Live_Data!AK215</x:f>
        <x:v>620</x:v>
      </x:c>
      <x:c r="F1686" t="n">
        <x:f>Dashboard_Live_Data!AL215</x:f>
        <x:v>6354.703876330992</x:v>
      </x:c>
      <x:c r="G1686" t="n">
        <x:f>Dashboard_Live_Data!AM215</x:f>
        <x:v>620</x:v>
      </x:c>
      <x:c r="H1686" t="n">
        <x:f>Dashboard_Live_Data!AN215</x:f>
        <x:v>6334.130742726853</x:v>
      </x:c>
    </x:row>
    <x:row r="1687">
      <x:c r="A1687" t="n">
        <x:f>Dashboard_Live_Data!AG216</x:f>
        <x:v>46.97999999999999</x:v>
      </x:c>
      <x:c r="B1687" t="n">
        <x:f>Dashboard_Live_Data!AH216</x:f>
        <x:v>2714.235753570058</x:v>
      </x:c>
      <x:c r="C1687" t="n">
        <x:f>Dashboard_Live_Data!AI216</x:f>
        <x:v>313.19999999999993</x:v>
      </x:c>
      <x:c r="D1687" t="n">
        <x:f>Dashboard_Live_Data!AJ216</x:f>
        <x:v>2843.440582690019</x:v>
      </x:c>
      <x:c r="E1687" t="n">
        <x:f>Dashboard_Live_Data!AK216</x:f>
        <x:v>626.3999999999999</x:v>
      </x:c>
      <x:c r="F1687" t="n">
        <x:f>Dashboard_Live_Data!AL216</x:f>
        <x:v>6454.567802288764</x:v>
      </x:c>
      <x:c r="G1687" t="n">
        <x:f>Dashboard_Live_Data!AM216</x:f>
        <x:v>626.3999999999999</x:v>
      </x:c>
      <x:c r="H1687" t="n">
        <x:f>Dashboard_Live_Data!AN216</x:f>
        <x:v>6434.556924518235</x:v>
      </x:c>
    </x:row>
    <x:row r="1688">
      <x:c r="A1688" t="n">
        <x:f>Dashboard_Live_Data!AG217</x:f>
        <x:v>47.519999999999996</x:v>
      </x:c>
      <x:c r="B1688" t="n">
        <x:f>Dashboard_Live_Data!AH217</x:f>
        <x:v>2715.1368098124726</x:v>
      </x:c>
      <x:c r="C1688" t="n">
        <x:f>Dashboard_Live_Data!AI217</x:f>
        <x:v>316.80000000000007</x:v>
      </x:c>
      <x:c r="D1688" t="n">
        <x:f>Dashboard_Live_Data!AJ217</x:f>
        <x:v>2887.428399392069</x:v>
      </x:c>
      <x:c r="E1688" t="n">
        <x:f>Dashboard_Live_Data!AK217</x:f>
        <x:v>633.6000000000001</x:v>
      </x:c>
      <x:c r="F1688" t="n">
        <x:f>Dashboard_Live_Data!AL217</x:f>
        <x:v>6567.954610839783</x:v>
      </x:c>
      <x:c r="G1688" t="n">
        <x:f>Dashboard_Live_Data!AM217</x:f>
        <x:v>633.6000000000001</x:v>
      </x:c>
      <x:c r="H1688" t="n">
        <x:f>Dashboard_Live_Data!AN217</x:f>
        <x:v>6548.591781107734</x:v>
      </x:c>
    </x:row>
    <x:row r="1689">
      <x:c r="A1689" t="n">
        <x:f>Dashboard_Live_Data!AG218</x:f>
        <x:v>48</x:v>
      </x:c>
      <x:c r="B1689" t="n">
        <x:f>Dashboard_Live_Data!AH218</x:f>
        <x:v>2715.9462080599938</x:v>
      </x:c>
      <x:c r="C1689" t="n">
        <x:f>Dashboard_Live_Data!AI218</x:f>
        <x:v>320</x:v>
      </x:c>
      <x:c r="D1689" t="n">
        <x:f>Dashboard_Live_Data!AJ218</x:f>
        <x:v>2926.8282235073743</x:v>
      </x:c>
      <x:c r="E1689" t="n">
        <x:f>Dashboard_Live_Data!AK218</x:f>
        <x:v>640</x:v>
      </x:c>
      <x:c r="F1689" t="n">
        <x:f>Dashboard_Live_Data!AL218</x:f>
        <x:v>6669.6695538641015</x:v>
      </x:c>
      <x:c r="G1689" t="n">
        <x:f>Dashboard_Live_Data!AM218</x:f>
        <x:v>640</x:v>
      </x:c>
      <x:c r="H1689" t="n">
        <x:f>Dashboard_Live_Data!AN218</x:f>
        <x:v>6650.89648885563</x:v>
      </x:c>
    </x:row>
    <x:row r="1690">
      <x:c r="A1690" t="n">
        <x:f>Dashboard_Live_Data!AG219</x:f>
        <x:v>48.480000000000004</x:v>
      </x:c>
      <x:c r="B1690" t="n">
        <x:f>Dashboard_Live_Data!AH219</x:f>
        <x:v>2716.763562710639</x:v>
      </x:c>
      <x:c r="C1690" t="n">
        <x:f>Dashboard_Live_Data!AI219</x:f>
        <x:v>323.20000000000005</x:v>
      </x:c>
      <x:c r="D1690" t="n">
        <x:f>Dashboard_Live_Data!AJ219</x:f>
        <x:v>2966.5111922476426</x:v>
      </x:c>
      <x:c r="E1690" t="n">
        <x:f>Dashboard_Live_Data!AK219</x:f>
        <x:v>646.4000000000001</x:v>
      </x:c>
      <x:c r="F1690" t="n">
        <x:f>Dashboard_Live_Data!AL219</x:f>
        <x:v>6772.258771364358</x:v>
      </x:c>
      <x:c r="G1690" t="n">
        <x:f>Dashboard_Live_Data!AM219</x:f>
        <x:v>646.4000000000001</x:v>
      </x:c>
      <x:c r="H1690" t="n">
        <x:f>Dashboard_Live_Data!AN219</x:f>
        <x:v>6754.08832481869</x:v>
      </x:c>
    </x:row>
    <x:row r="1691">
      <x:c r="A1691" t="n">
        <x:f>Dashboard_Live_Data!AG220</x:f>
        <x:v>49.019999999999996</x:v>
      </x:c>
      <x:c r="B1691" t="n">
        <x:f>Dashboard_Live_Data!AH220</x:f>
        <x:v>2717.692590624826</x:v>
      </x:c>
      <x:c r="C1691" t="n">
        <x:f>Dashboard_Live_Data!AI220</x:f>
        <x:v>326.79999999999995</x:v>
      </x:c>
      <x:c r="D1691" t="n">
        <x:f>Dashboard_Live_Data!AJ220</x:f>
        <x:v>3011.4944133564245</x:v>
      </x:c>
      <x:c r="E1691" t="n">
        <x:f>Dashboard_Live_Data!AK220</x:f>
        <x:v>653.5999999999999</x:v>
      </x:c>
      <x:c r="F1691" t="n">
        <x:f>Dashboard_Live_Data!AL220</x:f>
        <x:v>6888.7191192634255</x:v>
      </x:c>
      <x:c r="G1691" t="n">
        <x:f>Dashboard_Live_Data!AM220</x:f>
        <x:v>653.5999999999999</x:v>
      </x:c>
      <x:c r="H1691" t="n">
        <x:f>Dashboard_Live_Data!AN220</x:f>
        <x:v>6871.241909686075</x:v>
      </x:c>
    </x:row>
    <x:row r="1692">
      <x:c r="A1692" t="n">
        <x:f>Dashboard_Live_Data!AG221</x:f>
        <x:v>49.5</x:v>
      </x:c>
      <x:c r="B1692" t="n">
        <x:f>Dashboard_Live_Data!AH221</x:f>
        <x:v>2718.5268353664997</x:v>
      </x:c>
      <x:c r="C1692" t="n">
        <x:f>Dashboard_Live_Data!AI221</x:f>
        <x:v>330</x:v>
      </x:c>
      <x:c r="D1692" t="n">
        <x:f>Dashboard_Live_Data!AJ221</x:f>
        <x:v>3051.7828688525797</x:v>
      </x:c>
      <x:c r="E1692" t="n">
        <x:f>Dashboard_Live_Data!AK221</x:f>
        <x:v>660</x:v>
      </x:c>
      <x:c r="F1692" t="n">
        <x:f>Dashboard_Live_Data!AL221</x:f>
        <x:v>6993.172626647848</x:v>
      </x:c>
      <x:c r="G1692" t="n">
        <x:f>Dashboard_Live_Data!AM221</x:f>
        <x:v>660</x:v>
      </x:c>
      <x:c r="H1692" t="n">
        <x:f>Dashboard_Live_Data!AN221</x:f>
        <x:v>6976.325155041407</x:v>
      </x:c>
    </x:row>
    <x:row r="1693">
      <x:c r="A1693" t="n">
        <x:f>Dashboard_Live_Data!AG222</x:f>
        <x:v>49.980000000000004</x:v>
      </x:c>
      <x:c r="B1693" t="n">
        <x:f>Dashboard_Live_Data!AH222</x:f>
        <x:v>2719.3690201677696</x:v>
      </x:c>
      <x:c r="C1693" t="n">
        <x:f>Dashboard_Live_Data!AI222</x:f>
        <x:v>333.19999999999993</x:v>
      </x:c>
      <x:c r="D1693" t="n">
        <x:f>Dashboard_Live_Data!AJ222</x:f>
        <x:v>3092.3580081209293</x:v>
      </x:c>
      <x:c r="E1693" t="n">
        <x:f>Dashboard_Live_Data!AK222</x:f>
        <x:v>666.3999999999999</x:v>
      </x:c>
      <x:c r="F1693" t="n">
        <x:f>Dashboard_Live_Data!AL222</x:f>
        <x:v>7098.5063576925695</x:v>
      </x:c>
      <x:c r="G1693" t="n">
        <x:f>Dashboard_Live_Data!AM222</x:f>
        <x:v>666.3999999999999</x:v>
      </x:c>
      <x:c r="H1693" t="n">
        <x:f>Dashboard_Live_Data!AN222</x:f>
        <x:v>7082.30129477401</x:v>
      </x:c>
    </x:row>
    <x:row r="1694">
      <x:c r="A1694" t="n">
        <x:f>Dashboard_Live_Data!AG223</x:f>
        <x:v>50.52000000000001</x:v>
      </x:c>
      <x:c r="B1694" t="n">
        <x:f>Dashboard_Live_Data!AH223</x:f>
        <x:v>2720.3259622967576</x:v>
      </x:c>
      <x:c r="C1694" t="n">
        <x:f>Dashboard_Live_Data!AI223</x:f>
        <x:v>336.80000000000007</x:v>
      </x:c>
      <x:c r="D1694" t="n">
        <x:f>Dashboard_Live_Data!AJ223</x:f>
        <x:v>3138.34907670858</x:v>
      </x:c>
      <x:c r="E1694" t="n">
        <x:f>Dashboard_Live_Data!AK223</x:f>
        <x:v>673.6000000000001</x:v>
      </x:c>
      <x:c r="F1694" t="n">
        <x:f>Dashboard_Live_Data!AL223</x:f>
        <x:v>7218.061166458944</x:v>
      </x:c>
      <x:c r="G1694" t="n">
        <x:f>Dashboard_Live_Data!AM223</x:f>
        <x:v>673.6000000000001</x:v>
      </x:c>
      <x:c r="H1694" t="n">
        <x:f>Dashboard_Live_Data!AN223</x:f>
        <x:v>7202.593886244597</x:v>
      </x:c>
    </x:row>
    <x:row r="1695">
      <x:c r="A1695" t="n">
        <x:f>Dashboard_Live_Data!AG224</x:f>
        <x:v>51</x:v>
      </x:c>
      <x:c r="B1695" t="n">
        <x:f>Dashboard_Live_Data!AH224</x:f>
        <x:v>2721.1850020092143</x:v>
      </x:c>
      <x:c r="C1695" t="n">
        <x:f>Dashboard_Live_Data!AI224</x:f>
        <x:v>340</x:v>
      </x:c>
      <x:c r="D1695" t="n">
        <x:f>Dashboard_Live_Data!AJ224</x:f>
        <x:v>3179.537024764877</x:v>
      </x:c>
      <x:c r="E1695" t="n">
        <x:f>Dashboard_Live_Data!AK224</x:f>
        <x:v>680</x:v>
      </x:c>
      <x:c r="F1695" t="n">
        <x:f>Dashboard_Live_Data!AL224</x:f>
        <x:v>7325.2712267935</x:v>
      </x:c>
      <x:c r="G1695" t="n">
        <x:f>Dashboard_Live_Data!AM224</x:f>
        <x:v>680</x:v>
      </x:c>
      <x:c r="H1695" t="n">
        <x:f>Dashboard_Live_Data!AN224</x:f>
        <x:v>7310.473087383565</x:v>
      </x:c>
    </x:row>
    <x:row r="1696">
      <x:c r="A1696" t="n">
        <x:f>Dashboard_Live_Data!AG225</x:f>
        <x:v>51.480000000000004</x:v>
      </x:c>
      <x:c r="B1696" t="n">
        <x:f>Dashboard_Live_Data!AH225</x:f>
        <x:v>2722.0519650158485</x:v>
      </x:c>
      <x:c r="C1696" t="n">
        <x:f>Dashboard_Live_Data!AI225</x:f>
        <x:v>343.20000000000005</x:v>
      </x:c>
      <x:c r="D1696" t="n">
        <x:f>Dashboard_Live_Data!AJ225</x:f>
        <x:v>3221.015010080671</x:v>
      </x:c>
      <x:c r="E1696" t="n">
        <x:f>Dashboard_Live_Data!AK225</x:f>
        <x:v>686.4000000000001</x:v>
      </x:c>
      <x:c r="F1696" t="n">
        <x:f>Dashboard_Live_Data!AL225</x:f>
        <x:v>7433.366902852947</x:v>
      </x:c>
      <x:c r="G1696" t="n">
        <x:f>Dashboard_Live_Data!AM225</x:f>
        <x:v>686.4000000000001</x:v>
      </x:c>
      <x:c r="H1696" t="n">
        <x:f>Dashboard_Live_Data!AN225</x:f>
        <x:v>7419.250393732713</x:v>
      </x:c>
    </x:row>
    <x:row r="1697">
      <x:c r="A1697" t="n">
        <x:f>Dashboard_Live_Data!AG226</x:f>
        <x:v>52.019999999999996</x:v>
      </x:c>
      <x:c r="B1697" t="n">
        <x:f>Dashboard_Live_Data!AH226</x:f>
        <x:v>2723.0367624197406</x:v>
      </x:c>
      <x:c r="C1697" t="n">
        <x:f>Dashboard_Live_Data!AI226</x:f>
        <x:v>346.79999999999995</x:v>
      </x:c>
      <x:c r="D1697" t="n">
        <x:f>Dashboard_Live_Data!AJ226</x:f>
        <x:v>3268.0257165997627</x:v>
      </x:c>
      <x:c r="E1697" t="n">
        <x:f>Dashboard_Live_Data!AK226</x:f>
        <x:v>693.5999999999999</x:v>
      </x:c>
      <x:c r="F1697" t="n">
        <x:f>Dashboard_Live_Data!AL226</x:f>
        <x:v>7556.035134917943</x:v>
      </x:c>
      <x:c r="G1697" t="n">
        <x:f>Dashboard_Live_Data!AM226</x:f>
        <x:v>693.5999999999999</x:v>
      </x:c>
      <x:c r="H1697" t="n">
        <x:f>Dashboard_Live_Data!AN226</x:f>
        <x:v>7542.700317284668</x:v>
      </x:c>
    </x:row>
    <x:row r="1698">
      <x:c r="A1698" t="n">
        <x:f>Dashboard_Live_Data!AG227</x:f>
        <x:v>52.5</x:v>
      </x:c>
      <x:c r="B1698" t="n">
        <x:f>Dashboard_Live_Data!AH227</x:f>
        <x:v>2723.920544268542</x:v>
      </x:c>
      <x:c r="C1698" t="n">
        <x:f>Dashboard_Live_Data!AI227</x:f>
        <x:v>350</x:v>
      </x:c>
      <x:c r="D1698" t="n">
        <x:f>Dashboard_Live_Data!AJ227</x:f>
        <x:v>3310.123444717516</x:v>
      </x:c>
      <x:c r="E1698" t="n">
        <x:f>Dashboard_Live_Data!AK227</x:f>
        <x:v>700</x:v>
      </x:c>
      <x:c r="F1698" t="n">
        <x:f>Dashboard_Live_Data!AL227</x:f>
        <x:v>7666.018043289701</x:v>
      </x:c>
      <x:c r="G1698" t="n">
        <x:f>Dashboard_Live_Data!AM227</x:f>
        <x:v>700</x:v>
      </x:c>
      <x:c r="H1698" t="n">
        <x:f>Dashboard_Live_Data!AN227</x:f>
        <x:v>7653.39120605297</x:v>
      </x:c>
    </x:row>
    <x:row r="1699">
      <x:c r="A1699" t="n">
        <x:f>Dashboard_Live_Data!AG228</x:f>
        <x:v>52.980000000000004</x:v>
      </x:c>
      <x:c r="B1699" t="n">
        <x:f>Dashboard_Live_Data!AH228</x:f>
        <x:v>2724.8122322311165</x:v>
      </x:c>
      <x:c r="C1699" t="n">
        <x:f>Dashboard_Live_Data!AI228</x:f>
        <x:v>353.20000000000005</x:v>
      </x:c>
      <x:c r="D1699" t="n">
        <x:f>Dashboard_Live_Data!AJ228</x:f>
        <x:v>3352.5143841718163</x:v>
      </x:c>
      <x:c r="E1699" t="n">
        <x:f>Dashboard_Live_Data!AK228</x:f>
        <x:v>706.4000000000001</x:v>
      </x:c>
      <x:c r="F1699" t="n">
        <x:f>Dashboard_Live_Data!AL228</x:f>
        <x:v>7776.891446293156</x:v>
      </x:c>
      <x:c r="G1699" t="n">
        <x:f>Dashboard_Live_Data!AM228</x:f>
        <x:v>706.4000000000001</x:v>
      </x:c>
      <x:c r="H1699" t="n">
        <x:f>Dashboard_Live_Data!AN228</x:f>
        <x:v>7764.984900901371</x:v>
      </x:c>
    </x:row>
    <x:row r="1700">
      <x:c r="A1700" t="n">
        <x:f>Dashboard_Live_Data!AG229</x:f>
        <x:v>53.519999999999996</x:v>
      </x:c>
      <x:c r="B1700" t="n">
        <x:f>Dashboard_Live_Data!AH229</x:f>
        <x:v>2725.824824510964</x:v>
      </x:c>
      <x:c r="C1700" t="n">
        <x:f>Dashboard_Live_Data!AI229</x:f>
        <x:v>356.79999999999995</x:v>
      </x:c>
      <x:c r="D1700" t="n">
        <x:f>Dashboard_Live_Data!AJ229</x:f>
        <x:v>3400.5558883978983</x:v>
      </x:c>
      <x:c r="E1700" t="n">
        <x:f>Dashboard_Live_Data!AK229</x:f>
        <x:v>713.5999999999999</x:v>
      </x:c>
      <x:c r="F1700" t="n">
        <x:f>Dashboard_Live_Data!AL229</x:f>
        <x:v>7902.690259570726</x:v>
      </x:c>
      <x:c r="G1700" t="n">
        <x:f>Dashboard_Live_Data!AM229</x:f>
        <x:v>713.5999999999999</x:v>
      </x:c>
      <x:c r="H1700" t="n">
        <x:f>Dashboard_Live_Data!AN229</x:f>
        <x:v>7891.608688682572</x:v>
      </x:c>
    </x:row>
    <x:row r="1701">
      <x:c r="A1701" t="n">
        <x:f>Dashboard_Live_Data!AG230</x:f>
        <x:v>54</x:v>
      </x:c>
      <x:c r="B1701" t="n">
        <x:f>Dashboard_Live_Data!AH230</x:f>
        <x:v>2726.7332943721008</x:v>
      </x:c>
      <x:c r="C1701" t="n">
        <x:f>Dashboard_Live_Data!AI230</x:f>
        <x:v>360</x:v>
      </x:c>
      <x:c r="D1701" t="n">
        <x:f>Dashboard_Live_Data!AJ230</x:f>
        <x:v>3443.5731304663896</x:v>
      </x:c>
      <x:c r="E1701" t="n">
        <x:f>Dashboard_Live_Data!AK230</x:f>
        <x:v>720</x:v>
      </x:c>
      <x:c r="F1701" t="n">
        <x:f>Dashboard_Live_Data!AL230</x:f>
        <x:v>8015.460751408424</x:v>
      </x:c>
      <x:c r="G1701" t="n">
        <x:f>Dashboard_Live_Data!AM230</x:f>
        <x:v>720</x:v>
      </x:c>
      <x:c r="H1701" t="n">
        <x:f>Dashboard_Live_Data!AN230</x:f>
        <x:v>8005.125448461821</x:v>
      </x:c>
    </x:row>
    <x:row r="1702">
      <x:c r="A1702" t="n">
        <x:f>Dashboard_Live_Data!AG231</x:f>
        <x:v>54.47999999999999</x:v>
      </x:c>
      <x:c r="B1702" t="n">
        <x:f>Dashboard_Live_Data!AH231</x:f>
        <x:v>2727.649652758524</x:v>
      </x:c>
      <x:c r="C1702" t="n">
        <x:f>Dashboard_Live_Data!AI231</x:f>
        <x:v>363.19999999999993</x:v>
      </x:c>
      <x:c r="D1702" t="n">
        <x:f>Dashboard_Live_Data!AJ231</x:f>
        <x:v>3486.8865852502836</x:v>
      </x:c>
      <x:c r="E1702" t="n">
        <x:f>Dashboard_Live_Data!AK231</x:f>
        <x:v>726.3999999999999</x:v>
      </x:c>
      <x:c r="F1702" t="n">
        <x:f>Dashboard_Live_Data!AL231</x:f>
        <x:v>8129.12614429087</x:v>
      </x:c>
      <x:c r="G1702" t="n">
        <x:f>Dashboard_Live_Data!AM231</x:f>
        <x:v>726.3999999999999</x:v>
      </x:c>
      <x:c r="H1702" t="n">
        <x:f>Dashboard_Live_Data!AN231</x:f>
        <x:v>8119.549246965395</x:v>
      </x:c>
    </x:row>
    <x:row r="1703">
      <x:c r="A1703" t="n">
        <x:f>Dashboard_Live_Data!AG232</x:f>
        <x:v>55.019999999999996</x:v>
      </x:c>
      <x:c r="B1703" t="n">
        <x:f>Dashboard_Live_Data!AH232</x:f>
        <x:v>2728.689978080741</x:v>
      </x:c>
      <x:c r="C1703" t="n">
        <x:f>Dashboard_Live_Data!AI232</x:f>
        <x:v>366.80000000000007</x:v>
      </x:c>
      <x:c r="D1703" t="n">
        <x:f>Dashboard_Live_Data!AJ232</x:f>
        <x:v>3535.9694398561164</x:v>
      </x:c>
      <x:c r="E1703" t="n">
        <x:f>Dashboard_Live_Data!AK232</x:f>
        <x:v>733.6000000000001</x:v>
      </x:c>
      <x:c r="F1703" t="n">
        <x:f>Dashboard_Live_Data!AL232</x:f>
        <x:v>8258.071035157735</x:v>
      </x:c>
      <x:c r="G1703" t="n">
        <x:f>Dashboard_Live_Data!AM232</x:f>
        <x:v>733.6000000000001</x:v>
      </x:c>
      <x:c r="H1703" t="n">
        <x:f>Dashboard_Live_Data!AN232</x:f>
        <x:v>8249.361784554472</x:v>
      </x:c>
    </x:row>
    <x:row r="1704">
      <x:c r="A1704" t="n">
        <x:f>Dashboard_Live_Data!AG233</x:f>
        <x:v>55.5</x:v>
      </x:c>
      <x:c r="B1704" t="n">
        <x:f>Dashboard_Live_Data!AH233</x:f>
        <x:v>2729.6230805624396</x:v>
      </x:c>
      <x:c r="C1704" t="n">
        <x:f>Dashboard_Live_Data!AI233</x:f>
        <x:v>370</x:v>
      </x:c>
      <x:c r="D1704" t="n">
        <x:f>Dashboard_Live_Data!AJ233</x:f>
        <x:v>3579.915397473851</x:v>
      </x:c>
      <x:c r="E1704" t="n">
        <x:f>Dashboard_Live_Data!AK233</x:f>
        <x:v>740</x:v>
      </x:c>
      <x:c r="F1704" t="n">
        <x:f>Dashboard_Live_Data!AL233</x:f>
        <x:v>8373.64240992586</x:v>
      </x:c>
      <x:c r="G1704" t="n">
        <x:f>Dashboard_Live_Data!AM233</x:f>
        <x:v>740</x:v>
      </x:c>
      <x:c r="H1704" t="n">
        <x:f>Dashboard_Live_Data!AN233</x:f>
        <x:v>8365.717177007828</x:v>
      </x:c>
    </x:row>
    <x:row r="1705">
      <x:c r="A1705" t="n">
        <x:f>Dashboard_Live_Data!AG234</x:f>
        <x:v>55.980000000000004</x:v>
      </x:c>
      <x:c r="B1705" t="n">
        <x:f>Dashboard_Live_Data!AH234</x:f>
        <x:v>2730.5640535799016</x:v>
      </x:c>
      <x:c r="C1705" t="n">
        <x:f>Dashboard_Live_Data!AI234</x:f>
        <x:v>373.20000000000005</x:v>
      </x:c>
      <x:c r="D1705" t="n">
        <x:f>Dashboard_Live_Data!AJ234</x:f>
        <x:v>3624.160403492118</x:v>
      </x:c>
      <x:c r="E1705" t="n">
        <x:f>Dashboard_Live_Data!AK234</x:f>
        <x:v>746.4000000000001</x:v>
      </x:c>
      <x:c r="F1705" t="n">
        <x:f>Dashboard_Live_Data!AL234</x:f>
        <x:v>8490.112657175801</x:v>
      </x:c>
      <x:c r="G1705" t="n">
        <x:f>Dashboard_Live_Data!AM234</x:f>
        <x:v>746.4000000000001</x:v>
      </x:c>
      <x:c r="H1705" t="n">
        <x:f>Dashboard_Live_Data!AN234</x:f>
        <x:v>8482.983410922227</x:v>
      </x:c>
    </x:row>
    <x:row r="1706">
      <x:c r="A1706" t="n">
        <x:f>Dashboard_Live_Data!AG235</x:f>
        <x:v>56.519999999999996</x:v>
      </x:c>
      <x:c r="B1706" t="n">
        <x:f>Dashboard_Live_Data!AH235</x:f>
        <x:v>2731.632048701091</x:v>
      </x:c>
      <x:c r="C1706" t="n">
        <x:f>Dashboard_Live_Data!AI235</x:f>
        <x:v>376.79999999999995</x:v>
      </x:c>
      <x:c r="D1706" t="n">
        <x:f>Dashboard_Live_Data!AJ235</x:f>
        <x:v>3674.294578654452</x:v>
      </x:c>
      <x:c r="E1706" t="n">
        <x:f>Dashboard_Live_Data!AK235</x:f>
        <x:v>753.5999999999999</x:v>
      </x:c>
      <x:c r="F1706" t="n">
        <x:f>Dashboard_Live_Data!AL235</x:f>
        <x:v>8622.217592392886</x:v>
      </x:c>
      <x:c r="G1706" t="n">
        <x:f>Dashboard_Live_Data!AM235</x:f>
        <x:v>753.5999999999999</x:v>
      </x:c>
      <x:c r="H1706" t="n">
        <x:f>Dashboard_Live_Data!AN235</x:f>
        <x:v>8615.998072070657</x:v>
      </x:c>
    </x:row>
    <x:row r="1707">
      <x:c r="A1707" t="n">
        <x:f>Dashboard_Live_Data!AG236</x:f>
        <x:v>57</x:v>
      </x:c>
      <x:c r="B1707" t="n">
        <x:f>Dashboard_Live_Data!AH236</x:f>
        <x:v>2732.589727165975</x:v>
      </x:c>
      <x:c r="C1707" t="n">
        <x:f>Dashboard_Live_Data!AI236</x:f>
        <x:v>380</x:v>
      </x:c>
      <x:c r="D1707" t="n">
        <x:f>Dashboard_Live_Data!AJ236</x:f>
        <x:v>3719.1779432130656</x:v>
      </x:c>
      <x:c r="E1707" t="n">
        <x:f>Dashboard_Live_Data!AK236</x:f>
        <x:v>760</x:v>
      </x:c>
      <x:c r="F1707" t="n">
        <x:f>Dashboard_Live_Data!AL236</x:f>
        <x:v>8740.601827631473</x:v>
      </x:c>
      <x:c r="G1707" t="n">
        <x:f>Dashboard_Live_Data!AM236</x:f>
        <x:v>760</x:v>
      </x:c>
      <x:c r="H1707" t="n">
        <x:f>Dashboard_Live_Data!AN236</x:f>
        <x:v>8735.203553435682</x:v>
      </x:c>
    </x:row>
    <x:row r="1708">
      <x:c r="A1708" t="n">
        <x:f>Dashboard_Live_Data!AG237</x:f>
        <x:v>57.480000000000004</x:v>
      </x:c>
      <x:c r="B1708" t="n">
        <x:f>Dashboard_Live_Data!AH237</x:f>
        <x:v>2733.555257783269</x:v>
      </x:c>
      <x:c r="C1708" t="n">
        <x:f>Dashboard_Live_Data!AI237</x:f>
        <x:v>383.19999999999993</x:v>
      </x:c>
      <x:c r="D1708" t="n">
        <x:f>Dashboard_Live_Data!AJ237</x:f>
        <x:v>3764.3630333251954</x:v>
      </x:c>
      <x:c r="E1708" t="n">
        <x:f>Dashboard_Live_Data!AK237</x:f>
        <x:v>766.3999999999999</x:v>
      </x:c>
      <x:c r="F1708" t="n">
        <x:f>Dashboard_Live_Data!AL237</x:f>
        <x:v>8859.888506354831</x:v>
      </x:c>
      <x:c r="G1708" t="n">
        <x:f>Dashboard_Live_Data!AM237</x:f>
        <x:v>766.3999999999999</x:v>
      </x:c>
      <x:c r="H1708" t="n">
        <x:f>Dashboard_Live_Data!AN237</x:f>
        <x:v>8855.323284209488</x:v>
      </x:c>
    </x:row>
    <x:row r="1709">
      <x:c r="A1709" t="n">
        <x:f>Dashboard_Live_Data!AG238</x:f>
        <x:v>58.02000000000001</x:v>
      </x:c>
      <x:c r="B1709" t="n">
        <x:f>Dashboard_Live_Data!AH238</x:f>
        <x:v>2734.650858075406</x:v>
      </x:c>
      <x:c r="C1709" t="n">
        <x:f>Dashboard_Live_Data!AI238</x:f>
        <x:v>386.80000000000007</x:v>
      </x:c>
      <x:c r="D1709" t="n">
        <x:f>Dashboard_Live_Data!AJ238</x:f>
        <x:v>3815.557941887678</x:v>
      </x:c>
      <x:c r="E1709" t="n">
        <x:f>Dashboard_Live_Data!AK238</x:f>
        <x:v>773.6000000000001</x:v>
      </x:c>
      <x:c r="F1709" t="n">
        <x:f>Dashboard_Live_Data!AL238</x:f>
        <x:v>8995.16604452832</x:v>
      </x:c>
      <x:c r="G1709" t="n">
        <x:f>Dashboard_Live_Data!AM238</x:f>
        <x:v>773.6000000000001</x:v>
      </x:c>
      <x:c r="H1709" t="n">
        <x:f>Dashboard_Live_Data!AN238</x:f>
        <x:v>8991.552054335494</x:v>
      </x:c>
    </x:row>
    <x:row r="1710">
      <x:c r="A1710" t="n">
        <x:f>Dashboard_Live_Data!AG239</x:f>
        <x:v>58.5</x:v>
      </x:c>
      <x:c r="B1710" t="n">
        <x:f>Dashboard_Live_Data!AH239</x:f>
        <x:v>2735.6330546630293</x:v>
      </x:c>
      <x:c r="C1710" t="n">
        <x:f>Dashboard_Live_Data!AI239</x:f>
        <x:v>390</x:v>
      </x:c>
      <x:c r="D1710" t="n">
        <x:f>Dashboard_Live_Data!AJ239</x:f>
        <x:v>3861.3869170271155</x:v>
      </x:c>
      <x:c r="E1710" t="n">
        <x:f>Dashboard_Live_Data!AK239</x:f>
        <x:v>780</x:v>
      </x:c>
      <x:c r="F1710" t="n">
        <x:f>Dashboard_Live_Data!AL239</x:f>
        <x:v>9116.373900783714</x:v>
      </x:c>
      <x:c r="G1710" t="n">
        <x:f>Dashboard_Live_Data!AM239</x:f>
        <x:v>780</x:v>
      </x:c>
      <x:c r="H1710" t="n">
        <x:f>Dashboard_Live_Data!AN239</x:f>
        <x:v>9113.617881954191</x:v>
      </x:c>
    </x:row>
    <x:row r="1711">
      <x:c r="A1711" t="n">
        <x:f>Dashboard_Live_Data!AG240</x:f>
        <x:v>58.980000000000004</x:v>
      </x:c>
      <x:c r="B1711" t="n">
        <x:f>Dashboard_Live_Data!AH240</x:f>
        <x:v>2736.623084633149</x:v>
      </x:c>
      <x:c r="C1711" t="n">
        <x:f>Dashboard_Live_Data!AI240</x:f>
        <x:v>393.20000000000005</x:v>
      </x:c>
      <x:c r="D1711" t="n">
        <x:f>Dashboard_Live_Data!AJ240</x:f>
        <x:v>3907.520143552331</x:v>
      </x:c>
      <x:c r="E1711" t="n">
        <x:f>Dashboard_Live_Data!AK240</x:f>
        <x:v>786.4000000000001</x:v>
      </x:c>
      <x:c r="F1711" t="n">
        <x:f>Dashboard_Live_Data!AL240</x:f>
        <x:v>9238.487402839648</x:v>
      </x:c>
      <x:c r="G1711" t="n">
        <x:f>Dashboard_Live_Data!AM240</x:f>
        <x:v>786.4000000000001</x:v>
      </x:c>
      <x:c r="H1711" t="n">
        <x:f>Dashboard_Live_Data!AN240</x:f>
        <x:v>9236.601004281434</x:v>
      </x:c>
    </x:row>
    <x:row r="1712">
      <x:c r="A1712" t="n">
        <x:f>Dashboard_Live_Data!AG241</x:f>
        <x:v>59.519999999999996</x:v>
      </x:c>
      <x:c r="B1712" t="n">
        <x:f>Dashboard_Live_Data!AH241</x:f>
        <x:v>2737.746224109234</x:v>
      </x:c>
      <x:c r="C1712" t="n">
        <x:f>Dashboard_Live_Data!AI241</x:f>
        <x:v>396.79999999999995</x:v>
      </x:c>
      <x:c r="D1712" t="n">
        <x:f>Dashboard_Live_Data!AJ241</x:f>
        <x:v>3959.784666367032</x:v>
      </x:c>
      <x:c r="E1712" t="n">
        <x:f>Dashboard_Live_Data!AK241</x:f>
        <x:v>793.5999999999999</x:v>
      </x:c>
      <x:c r="F1712" t="n">
        <x:f>Dashboard_Live_Data!AL241</x:f>
        <x:v>9376.948806056138</x:v>
      </x:c>
      <x:c r="G1712" t="n">
        <x:f>Dashboard_Live_Data!AM241</x:f>
        <x:v>793.5999999999999</x:v>
      </x:c>
      <x:c r="H1712" t="n">
        <x:f>Dashboard_Live_Data!AN241</x:f>
        <x:v>9376.054593495282</x:v>
      </x:c>
    </x:row>
    <x:row r="1713">
      <x:c r="A1713" t="n">
        <x:f>Dashboard_Live_Data!AG242</x:f>
        <x:v>60</x:v>
      </x:c>
      <x:c r="B1713" t="n">
        <x:f>Dashboard_Live_Data!AH242</x:f>
        <x:v>2738.7528797589603</x:v>
      </x:c>
      <x:c r="C1713" t="n">
        <x:f>Dashboard_Live_Data!AI242</x:f>
        <x:v>400</x:v>
      </x:c>
      <x:c r="D1713" t="n">
        <x:f>Dashboard_Live_Data!AJ242</x:f>
        <x:v>4006.5669904921833</x:v>
      </x:c>
      <x:c r="E1713" t="n">
        <x:f>Dashboard_Live_Data!AK242</x:f>
        <x:v>800</x:v>
      </x:c>
      <x:c r="F1713" t="n">
        <x:f>Dashboard_Live_Data!AL242</x:f>
        <x:v>9500.98992327336</x:v>
      </x:c>
      <x:c r="G1713" t="n">
        <x:f>Dashboard_Live_Data!AM242</x:f>
        <x:v>800</x:v>
      </x:c>
      <x:c r="H1713" t="n">
        <x:f>Dashboard_Live_Data!AN242</x:f>
        <x:v>9500.98992327336</x:v>
      </x:c>
    </x:row>
    <x:row r="1716">
      <x:c r="A1716" t="inlineStr">
        <x:is>
          <x:t xml:space="preserve">Off-Nadir Radar Delay by Flyby: With Generated Topography</x:t>
        </x:is>
      </x:c>
    </x:row>
    <x:row r="1717">
      <x:c r="A1717" t="inlineStr">
        <x:is>
          <x:t xml:space="preserve">Custom 400 km / 120 km pass x</x:t>
        </x:is>
      </x:c>
      <x:c r="B1717" t="inlineStr">
        <x:is>
          <x:t xml:space="preserve">Custom 400 km / 120 km pass</x:t>
        </x:is>
      </x:c>
      <x:c r="C1717" t="inlineStr">
        <x:is>
          <x:t xml:space="preserve">Paper low-altitude 35 km / 800 km pass x</x:t>
        </x:is>
      </x:c>
      <x:c r="D1717" t="inlineStr">
        <x:is>
          <x:t xml:space="preserve">Paper low-altitude 35 km / 800 km pass</x:t>
        </x:is>
      </x:c>
      <x:c r="E1717" t="inlineStr">
        <x:is>
          <x:t xml:space="preserve">Paper ice-ocean 35 km / 1600 km pass x</x:t>
        </x:is>
      </x:c>
      <x:c r="F1717" t="inlineStr">
        <x:is>
          <x:t xml:space="preserve">Paper ice-ocean 35 km / 1600 km pass</x:t>
        </x:is>
      </x:c>
      <x:c r="G1717" t="inlineStr">
        <x:is>
          <x:t xml:space="preserve">Operating 25 km / 1600 km pass x</x:t>
        </x:is>
      </x:c>
      <x:c r="H1717" t="inlineStr">
        <x:is>
          <x:t xml:space="preserve">Operating 25 km / 1600 km pass</x:t>
        </x:is>
      </x:c>
    </x:row>
    <x:row r="1718">
      <x:c r="A1718" t="n">
        <x:f>Dashboard_Live_Data!AP2</x:f>
        <x:v>-60</x:v>
      </x:c>
      <x:c r="B1718" t="n">
        <x:f>Dashboard_Live_Data!AQ2</x:f>
        <x:v>2737.9721339616262</x:v>
      </x:c>
      <x:c r="C1718" t="n">
        <x:f>Dashboard_Live_Data!AR2</x:f>
        <x:v>-400</x:v>
      </x:c>
      <x:c r="D1718" t="n">
        <x:f>Dashboard_Live_Data!AS2</x:f>
        <x:v>4006.1845220388846</x:v>
      </x:c>
      <x:c r="E1718" t="n">
        <x:f>Dashboard_Live_Data!AT2</x:f>
        <x:v>-800</x:v>
      </x:c>
      <x:c r="F1718" t="n">
        <x:f>Dashboard_Live_Data!AU2</x:f>
        <x:v>9500.556371343455</x:v>
      </x:c>
      <x:c r="G1718" t="n">
        <x:f>Dashboard_Live_Data!AV2</x:f>
        <x:v>-800</x:v>
      </x:c>
      <x:c r="H1718" t="n">
        <x:f>Dashboard_Live_Data!AW2</x:f>
        <x:v>9500.556371343455</x:v>
      </x:c>
    </x:row>
    <x:row r="1719">
      <x:c r="A1719" t="n">
        <x:f>Dashboard_Live_Data!AP3</x:f>
        <x:v>-59.519999999999996</x:v>
      </x:c>
      <x:c r="B1719" t="n">
        <x:f>Dashboard_Live_Data!AQ3</x:f>
        <x:v>2736.952820139559</x:v>
      </x:c>
      <x:c r="C1719" t="n">
        <x:f>Dashboard_Live_Data!AR3</x:f>
        <x:v>-396.8</x:v>
      </x:c>
      <x:c r="D1719" t="n">
        <x:f>Dashboard_Live_Data!AS3</x:f>
        <x:v>3959.1477374020114</x:v>
      </x:c>
      <x:c r="E1719" t="n">
        <x:f>Dashboard_Live_Data!AT3</x:f>
        <x:v>-793.6</x:v>
      </x:c>
      <x:c r="F1719" t="n">
        <x:f>Dashboard_Live_Data!AU3</x:f>
        <x:v>9376.680634893852</x:v>
      </x:c>
      <x:c r="G1719" t="n">
        <x:f>Dashboard_Live_Data!AV3</x:f>
        <x:v>-793.6</x:v>
      </x:c>
      <x:c r="H1719" t="n">
        <x:f>Dashboard_Live_Data!AW3</x:f>
        <x:v>9375.786453121236</x:v>
      </x:c>
    </x:row>
    <x:row r="1720">
      <x:c r="A1720" t="n">
        <x:f>Dashboard_Live_Data!AP4</x:f>
        <x:v>-58.98</x:v>
      </x:c>
      <x:c r="B1720" t="n">
        <x:f>Dashboard_Live_Data!AQ4</x:f>
        <x:v>2735.869392882246</x:v>
      </x:c>
      <x:c r="C1720" t="n">
        <x:f>Dashboard_Live_Data!AR4</x:f>
        <x:v>-393.2</x:v>
      </x:c>
      <x:c r="D1720" t="n">
        <x:f>Dashboard_Live_Data!AS4</x:f>
        <x:v>3906.689980315416</x:v>
      </x:c>
      <x:c r="E1720" t="n">
        <x:f>Dashboard_Live_Data!AT4</x:f>
        <x:v>-786.4</x:v>
      </x:c>
      <x:c r="F1720" t="n">
        <x:f>Dashboard_Live_Data!AU4</x:f>
        <x:v>9237.866936575247</x:v>
      </x:c>
      <x:c r="G1720" t="n">
        <x:f>Dashboard_Live_Data!AV4</x:f>
        <x:v>-786.4</x:v>
      </x:c>
      <x:c r="H1720" t="n">
        <x:f>Dashboard_Live_Data!AW4</x:f>
        <x:v>9235.980691879404</x:v>
      </x:c>
    </x:row>
    <x:row r="1721">
      <x:c r="A1721" t="n">
        <x:f>Dashboard_Live_Data!AP5</x:f>
        <x:v>-58.5</x:v>
      </x:c>
      <x:c r="B1721" t="n">
        <x:f>Dashboard_Live_Data!AQ5</x:f>
        <x:v>2734.7537852754253</x:v>
      </x:c>
      <x:c r="C1721" t="n">
        <x:f>Dashboard_Live_Data!AR5</x:f>
        <x:v>-390</x:v>
      </x:c>
      <x:c r="D1721" t="n">
        <x:f>Dashboard_Live_Data!AS5</x:f>
        <x:v>3860.6694546054136</x:v>
      </x:c>
      <x:c r="E1721" t="n">
        <x:f>Dashboard_Live_Data!AT5</x:f>
        <x:v>-780</x:v>
      </x:c>
      <x:c r="F1721" t="n">
        <x:f>Dashboard_Live_Data!AU5</x:f>
        <x:v>9116.215434885857</x:v>
      </x:c>
      <x:c r="G1721" t="n">
        <x:f>Dashboard_Live_Data!AV5</x:f>
        <x:v>-780</x:v>
      </x:c>
      <x:c r="H1721" t="n">
        <x:f>Dashboard_Live_Data!AW5</x:f>
        <x:v>9113.459474677602</x:v>
      </x:c>
    </x:row>
    <x:row r="1722">
      <x:c r="A1722" t="n">
        <x:f>Dashboard_Live_Data!AP6</x:f>
        <x:v>-58.019999999999996</x:v>
      </x:c>
      <x:c r="B1722" t="n">
        <x:f>Dashboard_Live_Data!AQ6</x:f>
        <x:v>2733.8712853195143</x:v>
      </x:c>
      <x:c r="C1722" t="n">
        <x:f>Dashboard_Live_Data!AR6</x:f>
        <x:v>-386.8</x:v>
      </x:c>
      <x:c r="D1722" t="n">
        <x:f>Dashboard_Live_Data!AS6</x:f>
        <x:v>3815.077300022674</x:v>
      </x:c>
      <x:c r="E1722" t="n">
        <x:f>Dashboard_Live_Data!AT6</x:f>
        <x:v>-773.6</x:v>
      </x:c>
      <x:c r="F1722" t="n">
        <x:f>Dashboard_Live_Data!AU6</x:f>
        <x:v>8994.69701979891</x:v>
      </x:c>
      <x:c r="G1722" t="n">
        <x:f>Dashboard_Live_Data!AV6</x:f>
        <x:v>-773.6</x:v>
      </x:c>
      <x:c r="H1722" t="n">
        <x:f>Dashboard_Live_Data!AW6</x:f>
        <x:v>8991.083262053256</x:v>
      </x:c>
    </x:row>
    <x:row r="1723">
      <x:c r="A1723" t="n">
        <x:f>Dashboard_Live_Data!AP7</x:f>
        <x:v>-57.48</x:v>
      </x:c>
      <x:c r="B1723" t="n">
        <x:f>Dashboard_Live_Data!AQ7</x:f>
        <x:v>2732.687149406082</x:v>
      </x:c>
      <x:c r="C1723" t="n">
        <x:f>Dashboard_Live_Data!AR7</x:f>
        <x:v>-383.2</x:v>
      </x:c>
      <x:c r="D1723" t="n">
        <x:f>Dashboard_Live_Data!AS7</x:f>
        <x:v>3764.015425077756</x:v>
      </x:c>
      <x:c r="E1723" t="n">
        <x:f>Dashboard_Live_Data!AT7</x:f>
        <x:v>-766.4</x:v>
      </x:c>
      <x:c r="F1723" t="n">
        <x:f>Dashboard_Live_Data!AU7</x:f>
        <x:v>8859.340160987978</x:v>
      </x:c>
      <x:c r="G1723" t="n">
        <x:f>Dashboard_Live_Data!AV7</x:f>
        <x:v>-766.4</x:v>
      </x:c>
      <x:c r="H1723" t="n">
        <x:f>Dashboard_Live_Data!AW7</x:f>
        <x:v>8854.775290553753</x:v>
      </x:c>
    </x:row>
    <x:row r="1724">
      <x:c r="A1724" t="n">
        <x:f>Dashboard_Live_Data!AP8</x:f>
        <x:v>-57</x:v>
      </x:c>
      <x:c r="B1724" t="n">
        <x:f>Dashboard_Live_Data!AQ8</x:f>
        <x:v>2731.689576789972</x:v>
      </x:c>
      <x:c r="C1724" t="n">
        <x:f>Dashboard_Live_Data!AR8</x:f>
        <x:v>-380</x:v>
      </x:c>
      <x:c r="D1724" t="n">
        <x:f>Dashboard_Live_Data!AS8</x:f>
        <x:v>3718.7207527081573</x:v>
      </x:c>
      <x:c r="E1724" t="n">
        <x:f>Dashboard_Live_Data!AT8</x:f>
        <x:v>-760</x:v>
      </x:c>
      <x:c r="F1724" t="n">
        <x:f>Dashboard_Live_Data!AU8</x:f>
        <x:v>8740.331788861331</x:v>
      </x:c>
      <x:c r="G1724" t="n">
        <x:f>Dashboard_Live_Data!AV8</x:f>
        <x:v>-760</x:v>
      </x:c>
      <x:c r="H1724" t="n">
        <x:f>Dashboard_Live_Data!AW8</x:f>
        <x:v>8734.93372395211</x:v>
      </x:c>
    </x:row>
    <x:row r="1725">
      <x:c r="A1725" t="n">
        <x:f>Dashboard_Live_Data!AP9</x:f>
        <x:v>-56.519999999999996</x:v>
      </x:c>
      <x:c r="B1725" t="n">
        <x:f>Dashboard_Live_Data!AQ9</x:f>
        <x:v>2730.708831878115</x:v>
      </x:c>
      <x:c r="C1725" t="n">
        <x:f>Dashboard_Live_Data!AR9</x:f>
        <x:v>-376.79999999999995</x:v>
      </x:c>
      <x:c r="D1725" t="n">
        <x:f>Dashboard_Live_Data!AS9</x:f>
        <x:v>3673.7176119881537</x:v>
      </x:c>
      <x:c r="E1725" t="n">
        <x:f>Dashboard_Live_Data!AT9</x:f>
        <x:v>-753.5999999999999</x:v>
      </x:c>
      <x:c r="F1725" t="n">
        <x:f>Dashboard_Live_Data!AU9</x:f>
        <x:v>8621.530757474558</x:v>
      </x:c>
      <x:c r="G1725" t="n">
        <x:f>Dashboard_Live_Data!AV9</x:f>
        <x:v>-753.5999999999999</x:v>
      </x:c>
      <x:c r="H1725" t="n">
        <x:f>Dashboard_Live_Data!AW9</x:f>
        <x:v>8615.311864200492</x:v>
      </x:c>
    </x:row>
    <x:row r="1726">
      <x:c r="A1726" t="n">
        <x:f>Dashboard_Live_Data!AP10</x:f>
        <x:v>-55.980000000000004</x:v>
      </x:c>
      <x:c r="B1726" t="n">
        <x:f>Dashboard_Live_Data!AQ10</x:f>
        <x:v>2729.524186781265</x:v>
      </x:c>
      <x:c r="C1726" t="n">
        <x:f>Dashboard_Live_Data!AR10</x:f>
        <x:v>-373.20000000000005</x:v>
      </x:c>
      <x:c r="D1726" t="n">
        <x:f>Dashboard_Live_Data!AS10</x:f>
        <x:v>3623.578456931738</x:v>
      </x:c>
      <x:c r="E1726" t="n">
        <x:f>Dashboard_Live_Data!AT10</x:f>
        <x:v>-746.4000000000001</x:v>
      </x:c>
      <x:c r="F1726" t="n">
        <x:f>Dashboard_Live_Data!AU10</x:f>
        <x:v>8489.738021557188</x:v>
      </x:c>
      <x:c r="G1726" t="n">
        <x:f>Dashboard_Live_Data!AV10</x:f>
        <x:v>-746.4000000000001</x:v>
      </x:c>
      <x:c r="H1726" t="n">
        <x:f>Dashboard_Live_Data!AW10</x:f>
        <x:v>8482.60917722077</x:v>
      </x:c>
    </x:row>
    <x:row r="1727">
      <x:c r="A1727" t="n">
        <x:f>Dashboard_Live_Data!AP11</x:f>
        <x:v>-55.5</x:v>
      </x:c>
      <x:c r="B1727" t="n">
        <x:f>Dashboard_Live_Data!AQ11</x:f>
        <x:v>2728.570750363843</x:v>
      </x:c>
      <x:c r="C1727" t="n">
        <x:f>Dashboard_Live_Data!AR11</x:f>
        <x:v>-370</x:v>
      </x:c>
      <x:c r="D1727" t="n">
        <x:f>Dashboard_Live_Data!AS11</x:f>
        <x:v>3579.321968781586</x:v>
      </x:c>
      <x:c r="E1727" t="n">
        <x:f>Dashboard_Live_Data!AT11</x:f>
        <x:v>-740</x:v>
      </x:c>
      <x:c r="F1727" t="n">
        <x:f>Dashboard_Live_Data!AU11</x:f>
        <x:v>8373.161917250281</x:v>
      </x:c>
      <x:c r="G1727" t="n">
        <x:f>Dashboard_Live_Data!AV11</x:f>
        <x:v>-740</x:v>
      </x:c>
      <x:c r="H1727" t="n">
        <x:f>Dashboard_Live_Data!AW11</x:f>
        <x:v>8365.237270419912</x:v>
      </x:c>
    </x:row>
    <x:row r="1728">
      <x:c r="A1728" t="n">
        <x:f>Dashboard_Live_Data!AP12</x:f>
        <x:v>-55.02</x:v>
      </x:c>
      <x:c r="B1728" t="n">
        <x:f>Dashboard_Live_Data!AQ12</x:f>
        <x:v>2727.45681982305</x:v>
      </x:c>
      <x:c r="C1728" t="n">
        <x:f>Dashboard_Live_Data!AR12</x:f>
        <x:v>-366.8</x:v>
      </x:c>
      <x:c r="D1728" t="n">
        <x:f>Dashboard_Live_Data!AS12</x:f>
        <x:v>3535.53973919248</x:v>
      </x:c>
      <x:c r="E1728" t="n">
        <x:f>Dashboard_Live_Data!AT12</x:f>
        <x:v>-733.6</x:v>
      </x:c>
      <x:c r="F1728" t="n">
        <x:f>Dashboard_Live_Data!AU12</x:f>
        <x:v>8257.496479709396</x:v>
      </x:c>
      <x:c r="G1728" t="n">
        <x:f>Dashboard_Live_Data!AV12</x:f>
        <x:v>-733.6</x:v>
      </x:c>
      <x:c r="H1728" t="n">
        <x:f>Dashboard_Live_Data!AW12</x:f>
        <x:v>8248.788016979055</x:v>
      </x:c>
    </x:row>
    <x:row r="1729">
      <x:c r="A1729" t="n">
        <x:f>Dashboard_Live_Data!AP13</x:f>
        <x:v>-54.480000000000004</x:v>
      </x:c>
      <x:c r="B1729" t="n">
        <x:f>Dashboard_Live_Data!AQ13</x:f>
        <x:v>2726.3354650184833</x:v>
      </x:c>
      <x:c r="C1729" t="n">
        <x:f>Dashboard_Live_Data!AR13</x:f>
        <x:v>-363.2</x:v>
      </x:c>
      <x:c r="D1729" t="n">
        <x:f>Dashboard_Live_Data!AS13</x:f>
        <x:v>3486.6311054490343</x:v>
      </x:c>
      <x:c r="E1729" t="n">
        <x:f>Dashboard_Live_Data!AT13</x:f>
        <x:v>-726.4</x:v>
      </x:c>
      <x:c r="F1729" t="n">
        <x:f>Dashboard_Live_Data!AU13</x:f>
        <x:v>8128.795130995124</x:v>
      </x:c>
      <x:c r="G1729" t="n">
        <x:f>Dashboard_Live_Data!AV13</x:f>
        <x:v>-726.4</x:v>
      </x:c>
      <x:c r="H1729" t="n">
        <x:f>Dashboard_Live_Data!AW13</x:f>
        <x:v>8119.218745794955</x:v>
      </x:c>
    </x:row>
    <x:row r="1730">
      <x:c r="A1730" t="n">
        <x:f>Dashboard_Live_Data!AP14</x:f>
        <x:v>-54</x:v>
      </x:c>
      <x:c r="B1730" t="n">
        <x:f>Dashboard_Live_Data!AQ14</x:f>
        <x:v>2725.4452542994177</x:v>
      </x:c>
      <x:c r="C1730" t="n">
        <x:f>Dashboard_Live_Data!AR14</x:f>
        <x:v>-360</x:v>
      </x:c>
      <x:c r="D1730" t="n">
        <x:f>Dashboard_Live_Data!AS14</x:f>
        <x:v>3443.2133979979462</x:v>
      </x:c>
      <x:c r="E1730" t="n">
        <x:f>Dashboard_Live_Data!AT14</x:f>
        <x:v>-720</x:v>
      </x:c>
      <x:c r="F1730" t="n">
        <x:f>Dashboard_Live_Data!AU14</x:f>
        <x:v>8015.099169643812</x:v>
      </x:c>
      <x:c r="G1730" t="n">
        <x:f>Dashboard_Live_Data!AV14</x:f>
        <x:v>-720</x:v>
      </x:c>
      <x:c r="H1730" t="n">
        <x:f>Dashboard_Live_Data!AW14</x:f>
        <x:v>8004.764484602612</x:v>
      </x:c>
    </x:row>
    <x:row r="1731">
      <x:c r="A1731" t="n">
        <x:f>Dashboard_Live_Data!AP15</x:f>
        <x:v>-53.52</x:v>
      </x:c>
      <x:c r="B1731" t="n">
        <x:f>Dashboard_Live_Data!AQ15</x:f>
        <x:v>2724.3586238461326</x:v>
      </x:c>
      <x:c r="C1731" t="n">
        <x:f>Dashboard_Live_Data!AR15</x:f>
        <x:v>-356.8</x:v>
      </x:c>
      <x:c r="D1731" t="n">
        <x:f>Dashboard_Live_Data!AS15</x:f>
        <x:v>3399.895538099978</x:v>
      </x:c>
      <x:c r="E1731" t="n">
        <x:f>Dashboard_Live_Data!AT15</x:f>
        <x:v>-713.6</x:v>
      </x:c>
      <x:c r="F1731" t="n">
        <x:f>Dashboard_Live_Data!AU15</x:f>
        <x:v>7902.130399222024</x:v>
      </x:c>
      <x:c r="G1731" t="n">
        <x:f>Dashboard_Live_Data!AV15</x:f>
        <x:v>-713.6</x:v>
      </x:c>
      <x:c r="H1731" t="n">
        <x:f>Dashboard_Live_Data!AW15</x:f>
        <x:v>7891.049878608124</x:v>
      </x:c>
    </x:row>
    <x:row r="1732">
      <x:c r="A1732" t="n">
        <x:f>Dashboard_Live_Data!AP16</x:f>
        <x:v>-52.980000000000004</x:v>
      </x:c>
      <x:c r="B1732" t="n">
        <x:f>Dashboard_Live_Data!AQ16</x:f>
        <x:v>2723.262706168718</x:v>
      </x:c>
      <x:c r="C1732" t="n">
        <x:f>Dashboard_Live_Data!AR16</x:f>
        <x:v>-353.2</x:v>
      </x:c>
      <x:c r="D1732" t="n">
        <x:f>Dashboard_Live_Data!AS16</x:f>
        <x:v>3351.834258988057</x:v>
      </x:c>
      <x:c r="E1732" t="n">
        <x:f>Dashboard_Live_Data!AT16</x:f>
        <x:v>-706.4</x:v>
      </x:c>
      <x:c r="F1732" t="n">
        <x:f>Dashboard_Live_Data!AU16</x:f>
        <x:v>7776.6419921566785</x:v>
      </x:c>
      <x:c r="G1732" t="n">
        <x:f>Dashboard_Live_Data!AV16</x:f>
        <x:v>-706.4</x:v>
      </x:c>
      <x:c r="H1732" t="n">
        <x:f>Dashboard_Live_Data!AW16</x:f>
        <x:v>7764.7359630806795</x:v>
      </x:c>
    </x:row>
    <x:row r="1733">
      <x:c r="A1733" t="n">
        <x:f>Dashboard_Live_Data!AP17</x:f>
        <x:v>-52.5</x:v>
      </x:c>
      <x:c r="B1733" t="n">
        <x:f>Dashboard_Live_Data!AQ17</x:f>
        <x:v>2722.4209257280004</x:v>
      </x:c>
      <x:c r="C1733" t="n">
        <x:f>Dashboard_Live_Data!AR17</x:f>
        <x:v>-350</x:v>
      </x:c>
      <x:c r="D1733" t="n">
        <x:f>Dashboard_Live_Data!AS17</x:f>
        <x:v>3309.70809101759</x:v>
      </x:c>
      <x:c r="E1733" t="n">
        <x:f>Dashboard_Live_Data!AT17</x:f>
        <x:v>-700</x:v>
      </x:c>
      <x:c r="F1733" t="n">
        <x:f>Dashboard_Live_Data!AU17</x:f>
        <x:v>7665.4810009588955</x:v>
      </x:c>
      <x:c r="G1733" t="n">
        <x:f>Dashboard_Live_Data!AV17</x:f>
        <x:v>-700</x:v>
      </x:c>
      <x:c r="H1733" t="n">
        <x:f>Dashboard_Live_Data!AW17</x:f>
        <x:v>7652.855371318062</x:v>
      </x:c>
    </x:row>
    <x:row r="1734">
      <x:c r="A1734" t="n">
        <x:f>Dashboard_Live_Data!AP18</x:f>
        <x:v>-52.019999999999996</x:v>
      </x:c>
      <x:c r="B1734" t="n">
        <x:f>Dashboard_Live_Data!AQ18</x:f>
        <x:v>2721.453798788491</x:v>
      </x:c>
      <x:c r="C1734" t="n">
        <x:f>Dashboard_Live_Data!AR18</x:f>
        <x:v>-346.8</x:v>
      </x:c>
      <x:c r="D1734" t="n">
        <x:f>Dashboard_Live_Data!AS18</x:f>
        <x:v>3267.709124542621</x:v>
      </x:c>
      <x:c r="E1734" t="n">
        <x:f>Dashboard_Live_Data!AT18</x:f>
        <x:v>-693.6</x:v>
      </x:c>
      <x:c r="F1734" t="n">
        <x:f>Dashboard_Live_Data!AU18</x:f>
        <x:v>7555.439677176813</x:v>
      </x:c>
      <x:c r="G1734" t="n">
        <x:f>Dashboard_Live_Data!AV18</x:f>
        <x:v>-693.6</x:v>
      </x:c>
      <x:c r="H1734" t="n">
        <x:f>Dashboard_Live_Data!AW18</x:f>
        <x:v>7542.106308297932</x:v>
      </x:c>
    </x:row>
    <x:row r="1735">
      <x:c r="A1735" t="n">
        <x:f>Dashboard_Live_Data!AP19</x:f>
        <x:v>-51.48</x:v>
      </x:c>
      <x:c r="B1735" t="n">
        <x:f>Dashboard_Live_Data!AQ19</x:f>
        <x:v>2720.3789439041557</x:v>
      </x:c>
      <x:c r="C1735" t="n">
        <x:f>Dashboard_Live_Data!AR19</x:f>
        <x:v>-343.2</x:v>
      </x:c>
      <x:c r="D1735" t="n">
        <x:f>Dashboard_Live_Data!AS19</x:f>
        <x:v>3220.525348840778</x:v>
      </x:c>
      <x:c r="E1735" t="n">
        <x:f>Dashboard_Live_Data!AT19</x:f>
        <x:v>-686.4</x:v>
      </x:c>
      <x:c r="F1735" t="n">
        <x:f>Dashboard_Live_Data!AU19</x:f>
        <x:v>7433.099881007341</x:v>
      </x:c>
      <x:c r="G1735" t="n">
        <x:f>Dashboard_Live_Data!AV19</x:f>
        <x:v>-686.4</x:v>
      </x:c>
      <x:c r="H1735" t="n">
        <x:f>Dashboard_Live_Data!AW19</x:f>
        <x:v>7418.984078737651</x:v>
      </x:c>
    </x:row>
    <x:row r="1736">
      <x:c r="A1736" t="n">
        <x:f>Dashboard_Live_Data!AP20</x:f>
        <x:v>-51</x:v>
      </x:c>
      <x:c r="B1736" t="n">
        <x:f>Dashboard_Live_Data!AQ20</x:f>
        <x:v>2719.530057692372</x:v>
      </x:c>
      <x:c r="C1736" t="n">
        <x:f>Dashboard_Live_Data!AR20</x:f>
        <x:v>-340</x:v>
      </x:c>
      <x:c r="D1736" t="n">
        <x:f>Dashboard_Live_Data!AS20</x:f>
        <x:v>3178.9032534055073</x:v>
      </x:c>
      <x:c r="E1736" t="n">
        <x:f>Dashboard_Live_Data!AT20</x:f>
        <x:v>-680</x:v>
      </x:c>
      <x:c r="F1736" t="n">
        <x:f>Dashboard_Live_Data!AU20</x:f>
        <x:v>7324.546168355662</x:v>
      </x:c>
      <x:c r="G1736" t="n">
        <x:f>Dashboard_Live_Data!AV20</x:f>
        <x:v>-680</x:v>
      </x:c>
      <x:c r="H1736" t="n">
        <x:f>Dashboard_Live_Data!AW20</x:f>
        <x:v>7309.750091969138</x:v>
      </x:c>
    </x:row>
    <x:row r="1737">
      <x:c r="A1737" t="n">
        <x:f>Dashboard_Live_Data!AP21</x:f>
        <x:v>-50.519999999999996</x:v>
      </x:c>
      <x:c r="B1737" t="n">
        <x:f>Dashboard_Live_Data!AQ21</x:f>
        <x:v>2718.6801987581757</x:v>
      </x:c>
      <x:c r="C1737" t="n">
        <x:f>Dashboard_Live_Data!AR21</x:f>
        <x:v>-336.8</x:v>
      </x:c>
      <x:c r="D1737" t="n">
        <x:f>Dashboard_Live_Data!AS21</x:f>
        <x:v>3137.627690080583</x:v>
      </x:c>
      <x:c r="E1737" t="n">
        <x:f>Dashboard_Live_Data!AT21</x:f>
        <x:v>-673.6</x:v>
      </x:c>
      <x:c r="F1737" t="n">
        <x:f>Dashboard_Live_Data!AU21</x:f>
        <x:v>7217.711125746066</x:v>
      </x:c>
      <x:c r="G1737" t="n">
        <x:f>Dashboard_Live_Data!AV21</x:f>
        <x:v>-673.6</x:v>
      </x:c>
      <x:c r="H1737" t="n">
        <x:f>Dashboard_Live_Data!AW21</x:f>
        <x:v>7202.2449127278005</x:v>
      </x:c>
    </x:row>
    <x:row r="1738">
      <x:c r="A1738" t="n">
        <x:f>Dashboard_Live_Data!AP22</x:f>
        <x:v>-49.98</x:v>
      </x:c>
      <x:c r="B1738" t="n">
        <x:f>Dashboard_Live_Data!AQ22</x:f>
        <x:v>2717.6974345549215</x:v>
      </x:c>
      <x:c r="C1738" t="n">
        <x:f>Dashboard_Live_Data!AR22</x:f>
        <x:v>-333.2</x:v>
      </x:c>
      <x:c r="D1738" t="n">
        <x:f>Dashboard_Live_Data!AS22</x:f>
        <x:v>3091.684937172292</x:v>
      </x:c>
      <x:c r="E1738" t="n">
        <x:f>Dashboard_Live_Data!AT22</x:f>
        <x:v>-666.4</x:v>
      </x:c>
      <x:c r="F1738" t="n">
        <x:f>Dashboard_Live_Data!AU22</x:f>
        <x:v>7098.019488341909</x:v>
      </x:c>
      <x:c r="G1738" t="n">
        <x:f>Dashboard_Live_Data!AV22</x:f>
        <x:v>-666.4</x:v>
      </x:c>
      <x:c r="H1738" t="n">
        <x:f>Dashboard_Live_Data!AW22</x:f>
        <x:v>7081.816025654208</x:v>
      </x:c>
    </x:row>
    <x:row r="1739">
      <x:c r="A1739" t="n">
        <x:f>Dashboard_Live_Data!AP23</x:f>
        <x:v>-49.5</x:v>
      </x:c>
      <x:c r="B1739" t="n">
        <x:f>Dashboard_Live_Data!AQ23</x:f>
        <x:v>2716.8250307204657</x:v>
      </x:c>
      <x:c r="C1739" t="n">
        <x:f>Dashboard_Live_Data!AR23</x:f>
        <x:v>-330</x:v>
      </x:c>
      <x:c r="D1739" t="n">
        <x:f>Dashboard_Live_Data!AS23</x:f>
        <x:v>3051.4674905866605</x:v>
      </x:c>
      <x:c r="E1739" t="n">
        <x:f>Dashboard_Live_Data!AT23</x:f>
        <x:v>-660</x:v>
      </x:c>
      <x:c r="F1739" t="n">
        <x:f>Dashboard_Live_Data!AU23</x:f>
        <x:v>6992.6479613045</x:v>
      </x:c>
      <x:c r="G1739" t="n">
        <x:f>Dashboard_Live_Data!AV23</x:f>
        <x:v>-660</x:v>
      </x:c>
      <x:c r="H1739" t="n">
        <x:f>Dashboard_Live_Data!AW23</x:f>
        <x:v>6975.80232907405</x:v>
      </x:c>
    </x:row>
    <x:row r="1740">
      <x:c r="A1740" t="n">
        <x:f>Dashboard_Live_Data!AP24</x:f>
        <x:v>-49.019999999999996</x:v>
      </x:c>
      <x:c r="B1740" t="n">
        <x:f>Dashboard_Live_Data!AQ24</x:f>
        <x:v>2716.0170983071607</x:v>
      </x:c>
      <x:c r="C1740" t="n">
        <x:f>Dashboard_Live_Data!AR24</x:f>
        <x:v>-326.79999999999995</x:v>
      </x:c>
      <x:c r="D1740" t="n">
        <x:f>Dashboard_Live_Data!AS24</x:f>
        <x:v>3011.205038375484</x:v>
      </x:c>
      <x:c r="E1740" t="n">
        <x:f>Dashboard_Live_Data!AT24</x:f>
        <x:v>-653.5999999999999</x:v>
      </x:c>
      <x:c r="F1740" t="n">
        <x:f>Dashboard_Live_Data!AU24</x:f>
        <x:v>6888.445538379483</x:v>
      </x:c>
      <x:c r="G1740" t="n">
        <x:f>Dashboard_Live_Data!AV24</x:f>
        <x:v>-653.5999999999999</x:v>
      </x:c>
      <x:c r="H1740" t="n">
        <x:f>Dashboard_Live_Data!AW24</x:f>
        <x:v>6870.9693497228955</x:v>
      </x:c>
    </x:row>
    <x:row r="1741">
      <x:c r="A1741" t="n">
        <x:f>Dashboard_Live_Data!AP25</x:f>
        <x:v>-48.480000000000004</x:v>
      </x:c>
      <x:c r="B1741" t="n">
        <x:f>Dashboard_Live_Data!AQ25</x:f>
        <x:v>2715.0613483936577</x:v>
      </x:c>
      <x:c r="C1741" t="n">
        <x:f>Dashboard_Live_Data!AR25</x:f>
        <x:v>-323.20000000000005</x:v>
      </x:c>
      <x:c r="D1741" t="n">
        <x:f>Dashboard_Live_Data!AS25</x:f>
        <x:v>2965.891539195201</x:v>
      </x:c>
      <x:c r="E1741" t="n">
        <x:f>Dashboard_Live_Data!AT25</x:f>
        <x:v>-646.4000000000001</x:v>
      </x:c>
      <x:c r="F1741" t="n">
        <x:f>Dashboard_Live_Data!AU25</x:f>
        <x:v>6771.789850814738</x:v>
      </x:c>
      <x:c r="G1741" t="n">
        <x:f>Dashboard_Live_Data!AV25</x:f>
        <x:v>-646.4000000000001</x:v>
      </x:c>
      <x:c r="H1741" t="n">
        <x:f>Dashboard_Live_Data!AW25</x:f>
        <x:v>6753.621278144666</x:v>
      </x:c>
    </x:row>
    <x:row r="1742">
      <x:c r="A1742" t="n">
        <x:f>Dashboard_Live_Data!AP26</x:f>
        <x:v>-48</x:v>
      </x:c>
      <x:c r="B1742" t="n">
        <x:f>Dashboard_Live_Data!AQ26</x:f>
        <x:v>2714.2779556726477</x:v>
      </x:c>
      <x:c r="C1742" t="n">
        <x:f>Dashboard_Live_Data!AR26</x:f>
        <x:v>-320</x:v>
      </x:c>
      <x:c r="D1742" t="n">
        <x:f>Dashboard_Live_Data!AS26</x:f>
        <x:v>2926.020997254117</x:v>
      </x:c>
      <x:c r="E1742" t="n">
        <x:f>Dashboard_Live_Data!AT26</x:f>
        <x:v>-640</x:v>
      </x:c>
      <x:c r="F1742" t="n">
        <x:f>Dashboard_Live_Data!AU26</x:f>
        <x:v>6669.242000062811</x:v>
      </x:c>
      <x:c r="G1742" t="n">
        <x:f>Dashboard_Live_Data!AV26</x:f>
        <x:v>-640</x:v>
      </x:c>
      <x:c r="H1742" t="n">
        <x:f>Dashboard_Live_Data!AW26</x:f>
        <x:v>6650.47074761406</x:v>
      </x:c>
    </x:row>
    <x:row r="1743">
      <x:c r="A1743" t="n">
        <x:f>Dashboard_Live_Data!AP27</x:f>
        <x:v>-47.52</x:v>
      </x:c>
      <x:c r="B1743" t="n">
        <x:f>Dashboard_Live_Data!AQ27</x:f>
        <x:v>2713.5291977559514</x:v>
      </x:c>
      <x:c r="C1743" t="n">
        <x:f>Dashboard_Live_Data!AR27</x:f>
        <x:v>-316.8</x:v>
      </x:c>
      <x:c r="D1743" t="n">
        <x:f>Dashboard_Live_Data!AS27</x:f>
        <x:v>2886.8217574751084</x:v>
      </x:c>
      <x:c r="E1743" t="n">
        <x:f>Dashboard_Live_Data!AT27</x:f>
        <x:v>-633.6</x:v>
      </x:c>
      <x:c r="F1743" t="n">
        <x:f>Dashboard_Live_Data!AU27</x:f>
        <x:v>6567.617122187415</x:v>
      </x:c>
      <x:c r="G1743" t="n">
        <x:f>Dashboard_Live_Data!AV27</x:f>
        <x:v>-633.6</x:v>
      </x:c>
      <x:c r="H1743" t="n">
        <x:f>Dashboard_Live_Data!AW27</x:f>
        <x:v>6548.25580809364</x:v>
      </x:c>
    </x:row>
    <x:row r="1744">
      <x:c r="A1744" t="n">
        <x:f>Dashboard_Live_Data!AP28</x:f>
        <x:v>-46.980000000000004</x:v>
      </x:c>
      <x:c r="B1744" t="n">
        <x:f>Dashboard_Live_Data!AQ28</x:f>
        <x:v>2712.5601656074723</x:v>
      </x:c>
      <x:c r="C1744" t="n">
        <x:f>Dashboard_Live_Data!AR28</x:f>
        <x:v>-313.20000000000005</x:v>
      </x:c>
      <x:c r="D1744" t="n">
        <x:f>Dashboard_Live_Data!AS28</x:f>
        <x:v>2843.1030562454516</x:v>
      </x:c>
      <x:c r="E1744" t="n">
        <x:f>Dashboard_Live_Data!AT28</x:f>
        <x:v>-626.4000000000001</x:v>
      </x:c>
      <x:c r="F1744" t="n">
        <x:f>Dashboard_Live_Data!AU28</x:f>
        <x:v>6453.946736401601</x:v>
      </x:c>
      <x:c r="G1744" t="n">
        <x:f>Dashboard_Live_Data!AV28</x:f>
        <x:v>-626.4000000000001</x:v>
      </x:c>
      <x:c r="H1744" t="n">
        <x:f>Dashboard_Live_Data!AW28</x:f>
        <x:v>6433.938830803955</x:v>
      </x:c>
    </x:row>
    <x:row r="1745">
      <x:c r="A1745" t="n">
        <x:f>Dashboard_Live_Data!AP29</x:f>
        <x:v>-46.5</x:v>
      </x:c>
      <x:c r="B1745" t="n">
        <x:f>Dashboard_Live_Data!AQ29</x:f>
        <x:v>2711.773173063473</x:v>
      </x:c>
      <x:c r="C1745" t="n">
        <x:f>Dashboard_Live_Data!AR29</x:f>
        <x:v>-310</x:v>
      </x:c>
      <x:c r="D1745" t="n">
        <x:f>Dashboard_Live_Data!AS29</x:f>
        <x:v>2804.324806344102</x:v>
      </x:c>
      <x:c r="E1745" t="n">
        <x:f>Dashboard_Live_Data!AT29</x:f>
        <x:v>-620</x:v>
      </x:c>
      <x:c r="F1745" t="n">
        <x:f>Dashboard_Live_Data!AU29</x:f>
        <x:v>6354.148628359924</x:v>
      </x:c>
      <x:c r="G1745" t="n">
        <x:f>Dashboard_Live_Data!AV29</x:f>
        <x:v>-620</x:v>
      </x:c>
      <x:c r="H1745" t="n">
        <x:f>Dashboard_Live_Data!AW29</x:f>
        <x:v>6333.578302346319</x:v>
      </x:c>
    </x:row>
    <x:row r="1746">
      <x:c r="A1746" t="n">
        <x:f>Dashboard_Live_Data!AP30</x:f>
        <x:v>-46.02</x:v>
      </x:c>
      <x:c r="B1746" t="n">
        <x:f>Dashboard_Live_Data!AQ30</x:f>
        <x:v>2711.160999256946</x:v>
      </x:c>
      <x:c r="C1746" t="n">
        <x:f>Dashboard_Live_Data!AR30</x:f>
        <x:v>-306.8</x:v>
      </x:c>
      <x:c r="D1746" t="n">
        <x:f>Dashboard_Live_Data!AS30</x:f>
        <x:v>2765.6399481746153</x:v>
      </x:c>
      <x:c r="E1746" t="n">
        <x:f>Dashboard_Live_Data!AT30</x:f>
        <x:v>-613.6</x:v>
      </x:c>
      <x:c r="F1746" t="n">
        <x:f>Dashboard_Live_Data!AU30</x:f>
        <x:v>6255.366172336804</x:v>
      </x:c>
      <x:c r="G1746" t="n">
        <x:f>Dashboard_Live_Data!AV30</x:f>
        <x:v>-613.6</x:v>
      </x:c>
      <x:c r="H1746" t="n">
        <x:f>Dashboard_Live_Data!AW30</x:f>
        <x:v>6234.24564203876</x:v>
      </x:c>
    </x:row>
    <x:row r="1747">
      <x:c r="A1747" t="n">
        <x:f>Dashboard_Live_Data!AP31</x:f>
        <x:v>-45.480000000000004</x:v>
      </x:c>
      <x:c r="B1747" t="n">
        <x:f>Dashboard_Live_Data!AQ31</x:f>
        <x:v>2710.338289310354</x:v>
      </x:c>
      <x:c r="C1747" t="n">
        <x:f>Dashboard_Live_Data!AR31</x:f>
        <x:v>-303.2</x:v>
      </x:c>
      <x:c r="D1747" t="n">
        <x:f>Dashboard_Live_Data!AS31</x:f>
        <x:v>2722.530866002271</x:v>
      </x:c>
      <x:c r="E1747" t="n">
        <x:f>Dashboard_Live_Data!AT31</x:f>
        <x:v>-606.4</x:v>
      </x:c>
      <x:c r="F1747" t="n">
        <x:f>Dashboard_Live_Data!AU31</x:f>
        <x:v>6144.635133313041</x:v>
      </x:c>
      <x:c r="G1747" t="n">
        <x:f>Dashboard_Live_Data!AV31</x:f>
        <x:v>-606.4</x:v>
      </x:c>
      <x:c r="H1747" t="n">
        <x:f>Dashboard_Live_Data!AW31</x:f>
        <x:v>6122.914735787475</x:v>
      </x:c>
    </x:row>
    <x:row r="1748">
      <x:c r="A1748" t="n">
        <x:f>Dashboard_Live_Data!AP32</x:f>
        <x:v>-45</x:v>
      </x:c>
      <x:c r="B1748" t="n">
        <x:f>Dashboard_Live_Data!AQ32</x:f>
        <x:v>2709.6428929865006</x:v>
      </x:c>
      <x:c r="C1748" t="n">
        <x:f>Dashboard_Live_Data!AR32</x:f>
        <x:v>-300</x:v>
      </x:c>
      <x:c r="D1748" t="n">
        <x:f>Dashboard_Live_Data!AS32</x:f>
        <x:v>2684.585268981876</x:v>
      </x:c>
      <x:c r="E1748" t="n">
        <x:f>Dashboard_Live_Data!AT32</x:f>
        <x:v>-600</x:v>
      </x:c>
      <x:c r="F1748" t="n">
        <x:f>Dashboard_Live_Data!AU32</x:f>
        <x:v>6047.970949157087</x:v>
      </x:c>
      <x:c r="G1748" t="n">
        <x:f>Dashboard_Live_Data!AV32</x:f>
        <x:v>-600</x:v>
      </x:c>
      <x:c r="H1748" t="n">
        <x:f>Dashboard_Live_Data!AW32</x:f>
        <x:v>6025.726492848604</x:v>
      </x:c>
    </x:row>
    <x:row r="1749">
      <x:c r="A1749" t="n">
        <x:f>Dashboard_Live_Data!AP33</x:f>
        <x:v>-44.519999999999996</x:v>
      </x:c>
      <x:c r="B1749" t="n">
        <x:f>Dashboard_Live_Data!AQ33</x:f>
        <x:v>2708.85476109416</x:v>
      </x:c>
      <x:c r="C1749" t="n">
        <x:f>Dashboard_Live_Data!AR33</x:f>
        <x:v>-296.8</x:v>
      </x:c>
      <x:c r="D1749" t="n">
        <x:f>Dashboard_Live_Data!AS33</x:f>
        <x:v>2647.0848704043838</x:v>
      </x:c>
      <x:c r="E1749" t="n">
        <x:f>Dashboard_Live_Data!AT33</x:f>
        <x:v>-593.6</x:v>
      </x:c>
      <x:c r="F1749" t="n">
        <x:f>Dashboard_Live_Data!AU33</x:f>
        <x:v>5951.39951323184</x:v>
      </x:c>
      <x:c r="G1749" t="n">
        <x:f>Dashboard_Live_Data!AV33</x:f>
        <x:v>-593.6</x:v>
      </x:c>
      <x:c r="H1749" t="n">
        <x:f>Dashboard_Live_Data!AW33</x:f>
        <x:v>5928.648736328782</x:v>
      </x:c>
    </x:row>
    <x:row r="1750">
      <x:c r="A1750" t="n">
        <x:f>Dashboard_Live_Data!AP34</x:f>
        <x:v>-43.980000000000004</x:v>
      </x:c>
      <x:c r="B1750" t="n">
        <x:f>Dashboard_Live_Data!AQ34</x:f>
        <x:v>2708.046309396769</x:v>
      </x:c>
      <x:c r="C1750" t="n">
        <x:f>Dashboard_Live_Data!AR34</x:f>
        <x:v>-293.2</x:v>
      </x:c>
      <x:c r="D1750" t="n">
        <x:f>Dashboard_Live_Data!AS34</x:f>
        <x:v>2605.1463027637274</x:v>
      </x:c>
      <x:c r="E1750" t="n">
        <x:f>Dashboard_Live_Data!AT34</x:f>
        <x:v>-586.4</x:v>
      </x:c>
      <x:c r="F1750" t="n">
        <x:f>Dashboard_Live_Data!AU34</x:f>
        <x:v>5844.072163861854</x:v>
      </x:c>
      <x:c r="G1750" t="n">
        <x:f>Dashboard_Live_Data!AV34</x:f>
        <x:v>-586.4</x:v>
      </x:c>
      <x:c r="H1750" t="n">
        <x:f>Dashboard_Live_Data!AW34</x:f>
        <x:v>5820.765933364904</x:v>
      </x:c>
    </x:row>
    <x:row r="1751">
      <x:c r="A1751" t="n">
        <x:f>Dashboard_Live_Data!AP35</x:f>
        <x:v>-43.5</x:v>
      </x:c>
      <x:c r="B1751" t="n">
        <x:f>Dashboard_Live_Data!AQ35</x:f>
        <x:v>2707.2816005599116</x:v>
      </x:c>
      <x:c r="C1751" t="n">
        <x:f>Dashboard_Live_Data!AR35</x:f>
        <x:v>-290</x:v>
      </x:c>
      <x:c r="D1751" t="n">
        <x:f>Dashboard_Live_Data!AS35</x:f>
        <x:v>2568.019958311417</x:v>
      </x:c>
      <x:c r="E1751" t="n">
        <x:f>Dashboard_Live_Data!AT35</x:f>
        <x:v>-580</x:v>
      </x:c>
      <x:c r="F1751" t="n">
        <x:f>Dashboard_Live_Data!AU35</x:f>
        <x:v>5749.953698963689</x:v>
      </x:c>
      <x:c r="G1751" t="n">
        <x:f>Dashboard_Live_Data!AV35</x:f>
        <x:v>-580</x:v>
      </x:c>
      <x:c r="H1751" t="n">
        <x:f>Dashboard_Live_Data!AW35</x:f>
        <x:v>5726.165298383326</x:v>
      </x:c>
    </x:row>
    <x:row r="1752">
      <x:c r="A1752" t="n">
        <x:f>Dashboard_Live_Data!AP36</x:f>
        <x:v>-43.019999999999996</x:v>
      </x:c>
      <x:c r="B1752" t="n">
        <x:f>Dashboard_Live_Data!AQ36</x:f>
        <x:v>2706.6595368359267</x:v>
      </x:c>
      <x:c r="C1752" t="n">
        <x:f>Dashboard_Live_Data!AR36</x:f>
        <x:v>-286.79999999999995</x:v>
      </x:c>
      <x:c r="D1752" t="n">
        <x:f>Dashboard_Live_Data!AS36</x:f>
        <x:v>2531.067100407615</x:v>
      </x:c>
      <x:c r="E1752" t="n">
        <x:f>Dashboard_Live_Data!AT36</x:f>
        <x:v>-573.5999999999999</x:v>
      </x:c>
      <x:c r="F1752" t="n">
        <x:f>Dashboard_Live_Data!AU36</x:f>
        <x:v>5655.904045000844</x:v>
      </x:c>
      <x:c r="G1752" t="n">
        <x:f>Dashboard_Live_Data!AV36</x:f>
        <x:v>-573.5999999999999</x:v>
      </x:c>
      <x:c r="H1752" t="n">
        <x:f>Dashboard_Live_Data!AW36</x:f>
        <x:v>5631.65237257585</x:v>
      </x:c>
    </x:row>
    <x:row r="1753">
      <x:c r="A1753" t="n">
        <x:f>Dashboard_Live_Data!AP37</x:f>
        <x:v>-42.48</x:v>
      </x:c>
      <x:c r="B1753" t="n">
        <x:f>Dashboard_Live_Data!AQ37</x:f>
        <x:v>2705.8693463886</x:v>
      </x:c>
      <x:c r="C1753" t="n">
        <x:f>Dashboard_Live_Data!AR37</x:f>
        <x:v>-283.2</x:v>
      </x:c>
      <x:c r="D1753" t="n">
        <x:f>Dashboard_Live_Data!AS37</x:f>
        <x:v>2489.887481598469</x:v>
      </x:c>
      <x:c r="E1753" t="n">
        <x:f>Dashboard_Live_Data!AT37</x:f>
        <x:v>-566.4</x:v>
      </x:c>
      <x:c r="F1753" t="n">
        <x:f>Dashboard_Live_Data!AU37</x:f>
        <x:v>5551.850758749343</x:v>
      </x:c>
      <x:c r="G1753" t="n">
        <x:f>Dashboard_Live_Data!AV37</x:f>
        <x:v>-566.4</x:v>
      </x:c>
      <x:c r="H1753" t="n">
        <x:f>Dashboard_Live_Data!AW37</x:f>
        <x:v>5527.088644171126</x:v>
      </x:c>
    </x:row>
    <x:row r="1754">
      <x:c r="A1754" t="n">
        <x:f>Dashboard_Live_Data!AP38</x:f>
        <x:v>-42</x:v>
      </x:c>
      <x:c r="B1754" t="n">
        <x:f>Dashboard_Live_Data!AQ38</x:f>
        <x:v>2705.27705475384</x:v>
      </x:c>
      <x:c r="C1754" t="n">
        <x:f>Dashboard_Live_Data!AR38</x:f>
        <x:v>-280</x:v>
      </x:c>
      <x:c r="D1754" t="n">
        <x:f>Dashboard_Live_Data!AS38</x:f>
        <x:v>2453.7296576050267</x:v>
      </x:c>
      <x:c r="E1754" t="n">
        <x:f>Dashboard_Live_Data!AT38</x:f>
        <x:v>-560</x:v>
      </x:c>
      <x:c r="F1754" t="n">
        <x:f>Dashboard_Live_Data!AU38</x:f>
        <x:v>5459.997895455708</x:v>
      </x:c>
      <x:c r="G1754" t="n">
        <x:f>Dashboard_Live_Data!AV38</x:f>
        <x:v>-560</x:v>
      </x:c>
      <x:c r="H1754" t="n">
        <x:f>Dashboard_Live_Data!AW38</x:f>
        <x:v>5434.79834663666</x:v>
      </x:c>
    </x:row>
    <x:row r="1755">
      <x:c r="A1755" t="n">
        <x:f>Dashboard_Live_Data!AP39</x:f>
        <x:v>-41.519999999999996</x:v>
      </x:c>
      <x:c r="B1755" t="n">
        <x:f>Dashboard_Live_Data!AQ39</x:f>
        <x:v>2704.569325361173</x:v>
      </x:c>
      <x:c r="C1755" t="n">
        <x:f>Dashboard_Live_Data!AR39</x:f>
        <x:v>-276.79999999999995</x:v>
      </x:c>
      <x:c r="D1755" t="n">
        <x:f>Dashboard_Live_Data!AS39</x:f>
        <x:v>2417.9520871285163</x:v>
      </x:c>
      <x:c r="E1755" t="n">
        <x:f>Dashboard_Live_Data!AT39</x:f>
        <x:v>-553.5999999999999</x:v>
      </x:c>
      <x:c r="F1755" t="n">
        <x:f>Dashboard_Live_Data!AU39</x:f>
        <x:v>5368.7858670736305</x:v>
      </x:c>
      <x:c r="G1755" t="n">
        <x:f>Dashboard_Live_Data!AV39</x:f>
        <x:v>-553.5999999999999</x:v>
      </x:c>
      <x:c r="H1755" t="n">
        <x:f>Dashboard_Live_Data!AW39</x:f>
        <x:v>5343.164202862709</x:v>
      </x:c>
    </x:row>
    <x:row r="1756">
      <x:c r="A1756" t="n">
        <x:f>Dashboard_Live_Data!AP40</x:f>
        <x:v>-40.980000000000004</x:v>
      </x:c>
      <x:c r="B1756" t="n">
        <x:f>Dashboard_Live_Data!AQ40</x:f>
        <x:v>2703.6905678073786</x:v>
      </x:c>
      <x:c r="C1756" t="n">
        <x:f>Dashboard_Live_Data!AR40</x:f>
        <x:v>-273.20000000000005</x:v>
      </x:c>
      <x:c r="D1756" t="n">
        <x:f>Dashboard_Live_Data!AS40</x:f>
        <x:v>2377.718715826389</x:v>
      </x:c>
      <x:c r="E1756" t="n">
        <x:f>Dashboard_Live_Data!AT40</x:f>
        <x:v>-546.4000000000001</x:v>
      </x:c>
      <x:c r="F1756" t="n">
        <x:f>Dashboard_Live_Data!AU40</x:f>
        <x:v>5267.622993940169</x:v>
      </x:c>
      <x:c r="G1756" t="n">
        <x:f>Dashboard_Live_Data!AV40</x:f>
        <x:v>-546.4000000000001</x:v>
      </x:c>
      <x:c r="H1756" t="n">
        <x:f>Dashboard_Live_Data!AW40</x:f>
        <x:v>5241.538951238175</x:v>
      </x:c>
    </x:row>
    <x:row r="1757">
      <x:c r="A1757" t="n">
        <x:f>Dashboard_Live_Data!AP41</x:f>
        <x:v>-40.5</x:v>
      </x:c>
      <x:c r="B1757" t="n">
        <x:f>Dashboard_Live_Data!AQ41</x:f>
        <x:v>2702.9497252740853</x:v>
      </x:c>
      <x:c r="C1757" t="n">
        <x:f>Dashboard_Live_Data!AR41</x:f>
        <x:v>-270</x:v>
      </x:c>
      <x:c r="D1757" t="n">
        <x:f>Dashboard_Live_Data!AS41</x:f>
        <x:v>2342.268846897384</x:v>
      </x:c>
      <x:c r="E1757" t="n">
        <x:f>Dashboard_Live_Data!AT41</x:f>
        <x:v>-540</x:v>
      </x:c>
      <x:c r="F1757" t="n">
        <x:f>Dashboard_Live_Data!AU41</x:f>
        <x:v>5178.40985077925</x:v>
      </x:c>
      <x:c r="G1757" t="n">
        <x:f>Dashboard_Live_Data!AV41</x:f>
        <x:v>-540</x:v>
      </x:c>
      <x:c r="H1757" t="n">
        <x:f>Dashboard_Live_Data!AW41</x:f>
        <x:v>5151.930884437782</x:v>
      </x:c>
    </x:row>
    <x:row r="1758">
      <x:c r="A1758" t="n">
        <x:f>Dashboard_Live_Data!AP42</x:f>
        <x:v>-40.02</x:v>
      </x:c>
      <x:c r="B1758" t="n">
        <x:f>Dashboard_Live_Data!AQ42</x:f>
        <x:v>2702.342639134389</x:v>
      </x:c>
      <x:c r="C1758" t="n">
        <x:f>Dashboard_Live_Data!AR42</x:f>
        <x:v>-266.8</x:v>
      </x:c>
      <x:c r="D1758" t="n">
        <x:f>Dashboard_Live_Data!AS42</x:f>
        <x:v>2306.9945829969192</x:v>
      </x:c>
      <x:c r="E1758" t="n">
        <x:f>Dashboard_Live_Data!AT42</x:f>
        <x:v>-533.6</x:v>
      </x:c>
      <x:c r="F1758" t="n">
        <x:f>Dashboard_Live_Data!AU42</x:f>
        <x:v>5089.837376029708</x:v>
      </x:c>
      <x:c r="G1758" t="n">
        <x:f>Dashboard_Live_Data!AV42</x:f>
        <x:v>-533.6</x:v>
      </x:c>
      <x:c r="H1758" t="n">
        <x:f>Dashboard_Live_Data!AW42</x:f>
        <x:v>5062.979131012552</x:v>
      </x:c>
    </x:row>
    <x:row r="1759">
      <x:c r="A1759" t="n">
        <x:f>Dashboard_Live_Data!AP43</x:f>
        <x:v>-39.480000000000004</x:v>
      </x:c>
      <x:c r="B1759" t="n">
        <x:f>Dashboard_Live_Data!AQ43</x:f>
        <x:v>2701.587502760221</x:v>
      </x:c>
      <x:c r="C1759" t="n">
        <x:f>Dashboard_Live_Data!AR43</x:f>
        <x:v>-263.20000000000005</x:v>
      </x:c>
      <x:c r="D1759" t="n">
        <x:f>Dashboard_Live_Data!AS43</x:f>
        <x:v>2267.7158327632287</x:v>
      </x:c>
      <x:c r="E1759" t="n">
        <x:f>Dashboard_Live_Data!AT43</x:f>
        <x:v>-526.4000000000001</x:v>
      </x:c>
      <x:c r="F1759" t="n">
        <x:f>Dashboard_Live_Data!AU43</x:f>
        <x:v>4991.755684834359</x:v>
      </x:c>
      <x:c r="G1759" t="n">
        <x:f>Dashboard_Live_Data!AV43</x:f>
        <x:v>-526.4000000000001</x:v>
      </x:c>
      <x:c r="H1759" t="n">
        <x:f>Dashboard_Live_Data!AW43</x:f>
        <x:v>4964.4815363744</x:v>
      </x:c>
    </x:row>
    <x:row r="1760">
      <x:c r="A1760" t="n">
        <x:f>Dashboard_Live_Data!AP44</x:f>
        <x:v>-39</x:v>
      </x:c>
      <x:c r="B1760" t="n">
        <x:f>Dashboard_Live_Data!AQ44</x:f>
        <x:v>2700.8810640310994</x:v>
      </x:c>
      <x:c r="C1760" t="n">
        <x:f>Dashboard_Live_Data!AR44</x:f>
        <x:v>-260</x:v>
      </x:c>
      <x:c r="D1760" t="n">
        <x:f>Dashboard_Live_Data!AS44</x:f>
        <x:v>2233.2466648870986</x:v>
      </x:c>
      <x:c r="E1760" t="n">
        <x:f>Dashboard_Live_Data!AT44</x:f>
        <x:v>-520</x:v>
      </x:c>
      <x:c r="F1760" t="n">
        <x:f>Dashboard_Live_Data!AU44</x:f>
        <x:v>4904.952222315528</x:v>
      </x:c>
      <x:c r="G1760" t="n">
        <x:f>Dashboard_Live_Data!AV44</x:f>
        <x:v>-520</x:v>
      </x:c>
      <x:c r="H1760" t="n">
        <x:f>Dashboard_Live_Data!AW44</x:f>
        <x:v>4877.328179359549</x:v>
      </x:c>
    </x:row>
    <x:row r="1761">
      <x:c r="A1761" t="n">
        <x:f>Dashboard_Live_Data!AP45</x:f>
        <x:v>-38.519999999999996</x:v>
      </x:c>
      <x:c r="B1761" t="n">
        <x:f>Dashboard_Live_Data!AQ45</x:f>
        <x:v>2700.0703913209777</x:v>
      </x:c>
      <x:c r="C1761" t="n">
        <x:f>Dashboard_Live_Data!AR45</x:f>
        <x:v>-256.8</x:v>
      </x:c>
      <x:c r="D1761" t="n">
        <x:f>Dashboard_Live_Data!AS45</x:f>
        <x:v>2199.1466378667237</x:v>
      </x:c>
      <x:c r="E1761" t="n">
        <x:f>Dashboard_Live_Data!AT45</x:f>
        <x:v>-513.6</x:v>
      </x:c>
      <x:c r="F1761" t="n">
        <x:f>Dashboard_Live_Data!AU45</x:f>
        <x:v>4819.191173047067</x:v>
      </x:c>
      <x:c r="G1761" t="n">
        <x:f>Dashboard_Live_Data!AV45</x:f>
        <x:v>-513.6</x:v>
      </x:c>
      <x:c r="H1761" t="n">
        <x:f>Dashboard_Live_Data!AW45</x:f>
        <x:v>4791.228813085901</x:v>
      </x:c>
    </x:row>
    <x:row r="1762">
      <x:c r="A1762" t="n">
        <x:f>Dashboard_Live_Data!AP46</x:f>
        <x:v>-37.980000000000004</x:v>
      </x:c>
      <x:c r="B1762" t="n">
        <x:f>Dashboard_Live_Data!AQ46</x:f>
        <x:v>2699.2430908261645</x:v>
      </x:c>
      <x:c r="C1762" t="n">
        <x:f>Dashboard_Live_Data!AR46</x:f>
        <x:v>-253.2</x:v>
      </x:c>
      <x:c r="D1762" t="n">
        <x:f>Dashboard_Live_Data!AS46</x:f>
        <x:v>2160.851579664378</x:v>
      </x:c>
      <x:c r="E1762" t="n">
        <x:f>Dashboard_Live_Data!AT46</x:f>
        <x:v>-506.4</x:v>
      </x:c>
      <x:c r="F1762" t="n">
        <x:f>Dashboard_Live_Data!AU46</x:f>
        <x:v>4723.98050134968</x:v>
      </x:c>
      <x:c r="G1762" t="n">
        <x:f>Dashboard_Live_Data!AV46</x:f>
        <x:v>-506.4</x:v>
      </x:c>
      <x:c r="H1762" t="n">
        <x:f>Dashboard_Live_Data!AW46</x:f>
        <x:v>4695.650666460148</x:v>
      </x:c>
    </x:row>
    <x:row r="1763">
      <x:c r="A1763" t="n">
        <x:f>Dashboard_Live_Data!AP47</x:f>
        <x:v>-37.5</x:v>
      </x:c>
      <x:c r="B1763" t="n">
        <x:f>Dashboard_Live_Data!AQ47</x:f>
        <x:v>2698.4858261088816</x:v>
      </x:c>
      <x:c r="C1763" t="n">
        <x:f>Dashboard_Live_Data!AR47</x:f>
        <x:v>-250</x:v>
      </x:c>
      <x:c r="D1763" t="n">
        <x:f>Dashboard_Live_Data!AS47</x:f>
        <x:v>2126.7530364399495</x:v>
      </x:c>
      <x:c r="E1763" t="n">
        <x:f>Dashboard_Live_Data!AT47</x:f>
        <x:v>-500</x:v>
      </x:c>
      <x:c r="F1763" t="n">
        <x:f>Dashboard_Live_Data!AU47</x:f>
        <x:v>4639.4759832506</x:v>
      </x:c>
      <x:c r="G1763" t="n">
        <x:f>Dashboard_Live_Data!AV47</x:f>
        <x:v>-500</x:v>
      </x:c>
      <x:c r="H1763" t="n">
        <x:f>Dashboard_Live_Data!AW47</x:f>
        <x:v>4610.84324098783</x:v>
      </x:c>
    </x:row>
    <x:row r="1764">
      <x:c r="A1764" t="n">
        <x:f>Dashboard_Live_Data!AP48</x:f>
        <x:v>-37.019999999999996</x:v>
      </x:c>
      <x:c r="B1764" t="n">
        <x:f>Dashboard_Live_Data!AQ48</x:f>
        <x:v>2697.912683127855</x:v>
      </x:c>
      <x:c r="C1764" t="n">
        <x:f>Dashboard_Live_Data!AR48</x:f>
        <x:v>-246.8</x:v>
      </x:c>
      <x:c r="D1764" t="n">
        <x:f>Dashboard_Live_Data!AS48</x:f>
        <x:v>2093.169629426536</x:v>
      </x:c>
      <x:c r="E1764" t="n">
        <x:f>Dashboard_Live_Data!AT48</x:f>
        <x:v>-493.6</x:v>
      </x:c>
      <x:c r="F1764" t="n">
        <x:f>Dashboard_Live_Data!AU48</x:f>
        <x:v>4556.60858333567</x:v>
      </x:c>
      <x:c r="G1764" t="n">
        <x:f>Dashboard_Live_Data!AV48</x:f>
        <x:v>-493.6</x:v>
      </x:c>
      <x:c r="H1764" t="n">
        <x:f>Dashboard_Live_Data!AW48</x:f>
        <x:v>4527.676662769074</x:v>
      </x:c>
    </x:row>
    <x:row r="1765">
      <x:c r="A1765" t="n">
        <x:f>Dashboard_Live_Data!AP49</x:f>
        <x:v>-36.480000000000004</x:v>
      </x:c>
      <x:c r="B1765" t="n">
        <x:f>Dashboard_Live_Data!AQ49</x:f>
        <x:v>2697.0681163678028</x:v>
      </x:c>
      <x:c r="C1765" t="n">
        <x:f>Dashboard_Live_Data!AR49</x:f>
        <x:v>-243.2</x:v>
      </x:c>
      <x:c r="D1765" t="n">
        <x:f>Dashboard_Live_Data!AS49</x:f>
        <x:v>2056.0497159682136</x:v>
      </x:c>
      <x:c r="E1765" t="n">
        <x:f>Dashboard_Live_Data!AT49</x:f>
        <x:v>-486.4</x:v>
      </x:c>
      <x:c r="F1765" t="n">
        <x:f>Dashboard_Live_Data!AU49</x:f>
        <x:v>4463.78426007426</x:v>
      </x:c>
      <x:c r="G1765" t="n">
        <x:f>Dashboard_Live_Data!AV49</x:f>
        <x:v>-486.4</x:v>
      </x:c>
      <x:c r="H1765" t="n">
        <x:f>Dashboard_Live_Data!AW49</x:f>
        <x:v>4434.539750557736</x:v>
      </x:c>
    </x:row>
    <x:row r="1766">
      <x:c r="A1766" t="n">
        <x:f>Dashboard_Live_Data!AP50</x:f>
        <x:v>-36</x:v>
      </x:c>
      <x:c r="B1766" t="n">
        <x:f>Dashboard_Live_Data!AQ50</x:f>
        <x:v>2696.3049663672955</x:v>
      </x:c>
      <x:c r="C1766" t="n">
        <x:f>Dashboard_Live_Data!AR50</x:f>
        <x:v>-240</x:v>
      </x:c>
      <x:c r="D1766" t="n">
        <x:f>Dashboard_Live_Data!AS50</x:f>
        <x:v>2023.202170567554</x:v>
      </x:c>
      <x:c r="E1766" t="n">
        <x:f>Dashboard_Live_Data!AT50</x:f>
        <x:v>-480</x:v>
      </x:c>
      <x:c r="F1766" t="n">
        <x:f>Dashboard_Live_Data!AU50</x:f>
        <x:v>4382.161216077137</x:v>
      </x:c>
      <x:c r="G1766" t="n">
        <x:f>Dashboard_Live_Data!AV50</x:f>
        <x:v>-480</x:v>
      </x:c>
      <x:c r="H1766" t="n">
        <x:f>Dashboard_Live_Data!AW50</x:f>
        <x:v>4352.65346960581</x:v>
      </x:c>
    </x:row>
    <x:row r="1767">
      <x:c r="A1767" t="n">
        <x:f>Dashboard_Live_Data!AP51</x:f>
        <x:v>-35.519999999999996</x:v>
      </x:c>
      <x:c r="B1767" t="n">
        <x:f>Dashboard_Live_Data!AQ51</x:f>
        <x:v>2695.6592976495863</x:v>
      </x:c>
      <x:c r="C1767" t="n">
        <x:f>Dashboard_Live_Data!AR51</x:f>
        <x:v>-236.79999999999998</x:v>
      </x:c>
      <x:c r="D1767" t="n">
        <x:f>Dashboard_Live_Data!AS51</x:f>
        <x:v>1990.4033581092428</x:v>
      </x:c>
      <x:c r="E1767" t="n">
        <x:f>Dashboard_Live_Data!AT51</x:f>
        <x:v>-473.59999999999997</x:v>
      </x:c>
      <x:c r="F1767" t="n">
        <x:f>Dashboard_Live_Data!AU51</x:f>
        <x:v>4301.685868120516</x:v>
      </x:c>
      <x:c r="G1767" t="n">
        <x:f>Dashboard_Live_Data!AV51</x:f>
        <x:v>-473.59999999999997</x:v>
      </x:c>
      <x:c r="H1767" t="n">
        <x:f>Dashboard_Live_Data!AW51</x:f>
        <x:v>4271.923873594473</x:v>
      </x:c>
    </x:row>
    <x:row r="1768">
      <x:c r="A1768" t="n">
        <x:f>Dashboard_Live_Data!AP52</x:f>
        <x:v>-34.98</x:v>
      </x:c>
      <x:c r="B1768" t="n">
        <x:f>Dashboard_Live_Data!AQ52</x:f>
        <x:v>2694.899956964054</x:v>
      </x:c>
      <x:c r="C1768" t="n">
        <x:f>Dashboard_Live_Data!AR52</x:f>
        <x:v>-233.2</x:v>
      </x:c>
      <x:c r="D1768" t="n">
        <x:f>Dashboard_Live_Data!AS52</x:f>
        <x:v>1953.6477907064188</x:v>
      </x:c>
      <x:c r="E1768" t="n">
        <x:f>Dashboard_Live_Data!AT52</x:f>
        <x:v>-466.4</x:v>
      </x:c>
      <x:c r="F1768" t="n">
        <x:f>Dashboard_Live_Data!AU52</x:f>
        <x:v>4211.604469769382</x:v>
      </x:c>
      <x:c r="G1768" t="n">
        <x:f>Dashboard_Live_Data!AV52</x:f>
        <x:v>-466.4</x:v>
      </x:c>
      <x:c r="H1768" t="n">
        <x:f>Dashboard_Live_Data!AW52</x:f>
        <x:v>4181.580717076413</x:v>
      </x:c>
    </x:row>
    <x:row r="1769">
      <x:c r="A1769" t="n">
        <x:f>Dashboard_Live_Data!AP53</x:f>
        <x:v>-34.5</x:v>
      </x:c>
      <x:c r="B1769" t="n">
        <x:f>Dashboard_Live_Data!AQ53</x:f>
        <x:v>2694.143153810637</x:v>
      </x:c>
      <x:c r="C1769" t="n">
        <x:f>Dashboard_Live_Data!AR53</x:f>
        <x:v>-229.99999999999997</x:v>
      </x:c>
      <x:c r="D1769" t="n">
        <x:f>Dashboard_Live_Data!AS53</x:f>
        <x:v>1921.2754887707686</x:v>
      </x:c>
      <x:c r="E1769" t="n">
        <x:f>Dashboard_Live_Data!AT53</x:f>
        <x:v>-459.99999999999994</x:v>
      </x:c>
      <x:c r="F1769" t="n">
        <x:f>Dashboard_Live_Data!AU53</x:f>
        <x:v>4132.672970012625</x:v>
      </x:c>
      <x:c r="G1769" t="n">
        <x:f>Dashboard_Live_Data!AV53</x:f>
        <x:v>-459.99999999999994</x:v>
      </x:c>
      <x:c r="H1769" t="n">
        <x:f>Dashboard_Live_Data!AW53</x:f>
        <x:v>4102.426876759548</x:v>
      </x:c>
    </x:row>
    <x:row r="1770">
      <x:c r="A1770" t="n">
        <x:f>Dashboard_Live_Data!AP54</x:f>
        <x:v>-34.019999999999996</x:v>
      </x:c>
      <x:c r="B1770" t="n">
        <x:f>Dashboard_Live_Data!AQ54</x:f>
        <x:v>2693.5887701095885</x:v>
      </x:c>
      <x:c r="C1770" t="n">
        <x:f>Dashboard_Live_Data!AR54</x:f>
        <x:v>-226.79999999999998</x:v>
      </x:c>
      <x:c r="D1770" t="n">
        <x:f>Dashboard_Live_Data!AS54</x:f>
        <x:v>1889.3707989649024</x:v>
      </x:c>
      <x:c r="E1770" t="n">
        <x:f>Dashboard_Live_Data!AT54</x:f>
        <x:v>-453.59999999999997</x:v>
      </x:c>
      <x:c r="F1770" t="n">
        <x:f>Dashboard_Live_Data!AU54</x:f>
        <x:v>4054.616149263494</x:v>
      </x:c>
      <x:c r="G1770" t="n">
        <x:f>Dashboard_Live_Data!AV54</x:f>
        <x:v>-453.59999999999997</x:v>
      </x:c>
      <x:c r="H1770" t="n">
        <x:f>Dashboard_Live_Data!AW54</x:f>
        <x:v>4024.1601603091813</x:v>
      </x:c>
    </x:row>
    <x:row r="1771">
      <x:c r="A1771" t="n">
        <x:f>Dashboard_Live_Data!AP55</x:f>
        <x:v>-33.480000000000004</x:v>
      </x:c>
      <x:c r="B1771" t="n">
        <x:f>Dashboard_Live_Data!AQ55</x:f>
        <x:v>2692.757963165586</x:v>
      </x:c>
      <x:c r="C1771" t="n">
        <x:f>Dashboard_Live_Data!AR55</x:f>
        <x:v>-223.20000000000002</x:v>
      </x:c>
      <x:c r="D1771" t="n">
        <x:f>Dashboard_Live_Data!AS55</x:f>
        <x:v>1853.9523697485693</x:v>
      </x:c>
      <x:c r="E1771" t="n">
        <x:f>Dashboard_Live_Data!AT55</x:f>
        <x:v>-446.40000000000003</x:v>
      </x:c>
      <x:c r="F1771" t="n">
        <x:f>Dashboard_Live_Data!AU55</x:f>
        <x:v>3967.3646091084047</x:v>
      </x:c>
      <x:c r="G1771" t="n">
        <x:f>Dashboard_Live_Data!AV55</x:f>
        <x:v>-446.40000000000003</x:v>
      </x:c>
      <x:c r="H1771" t="n">
        <x:f>Dashboard_Live_Data!AW55</x:f>
        <x:v>3936.6957000760913</x:v>
      </x:c>
    </x:row>
    <x:row r="1772">
      <x:c r="A1772" t="n">
        <x:f>Dashboard_Live_Data!AP56</x:f>
        <x:v>-33</x:v>
      </x:c>
      <x:c r="B1772" t="n">
        <x:f>Dashboard_Live_Data!AQ56</x:f>
        <x:v>2692.1746655892334</x:v>
      </x:c>
      <x:c r="C1772" t="n">
        <x:f>Dashboard_Live_Data!AR56</x:f>
        <x:v>-220.00000000000003</x:v>
      </x:c>
      <x:c r="D1772" t="n">
        <x:f>Dashboard_Live_Data!AS56</x:f>
        <x:v>1822.521136552667</x:v>
      </x:c>
      <x:c r="E1772" t="n">
        <x:f>Dashboard_Live_Data!AT56</x:f>
        <x:v>-440.00000000000006</x:v>
      </x:c>
      <x:c r="F1772" t="n">
        <x:f>Dashboard_Live_Data!AU56</x:f>
        <x:v>3890.8212117810226</x:v>
      </x:c>
      <x:c r="G1772" t="n">
        <x:f>Dashboard_Live_Data!AV56</x:f>
        <x:v>-440.00000000000006</x:v>
      </x:c>
      <x:c r="H1772" t="n">
        <x:f>Dashboard_Live_Data!AW56</x:f>
        <x:v>3859.9747157263696</x:v>
      </x:c>
    </x:row>
    <x:row r="1773">
      <x:c r="A1773" t="n">
        <x:f>Dashboard_Live_Data!AP57</x:f>
        <x:v>-32.52</x:v>
      </x:c>
      <x:c r="B1773" t="n">
        <x:f>Dashboard_Live_Data!AQ57</x:f>
        <x:v>2691.668504525569</x:v>
      </x:c>
      <x:c r="C1773" t="n">
        <x:f>Dashboard_Live_Data!AR57</x:f>
        <x:v>-216.8</x:v>
      </x:c>
      <x:c r="D1773" t="n">
        <x:f>Dashboard_Live_Data!AS57</x:f>
        <x:v>1791.0443942278735</x:v>
      </x:c>
      <x:c r="E1773" t="n">
        <x:f>Dashboard_Live_Data!AT57</x:f>
        <x:v>-433.6</x:v>
      </x:c>
      <x:c r="F1773" t="n">
        <x:f>Dashboard_Live_Data!AU57</x:f>
        <x:v>3815.2605376380343</x:v>
      </x:c>
      <x:c r="G1773" t="n">
        <x:f>Dashboard_Live_Data!AV57</x:f>
        <x:v>-433.6</x:v>
      </x:c>
      <x:c r="H1773" t="n">
        <x:f>Dashboard_Live_Data!AW57</x:f>
        <x:v>3784.2463249330663</x:v>
      </x:c>
    </x:row>
    <x:row r="1774">
      <x:c r="A1774" t="n">
        <x:f>Dashboard_Live_Data!AP58</x:f>
        <x:v>-31.98</x:v>
      </x:c>
      <x:c r="B1774" t="n">
        <x:f>Dashboard_Live_Data!AQ58</x:f>
        <x:v>2690.9024159206665</x:v>
      </x:c>
      <x:c r="C1774" t="n">
        <x:f>Dashboard_Live_Data!AR58</x:f>
        <x:v>-213.20000000000002</x:v>
      </x:c>
      <x:c r="D1774" t="n">
        <x:f>Dashboard_Live_Data!AS58</x:f>
        <x:v>1756.0232098844801</x:v>
      </x:c>
      <x:c r="E1774" t="n">
        <x:f>Dashboard_Live_Data!AT58</x:f>
        <x:v>-426.40000000000003</x:v>
      </x:c>
      <x:c r="F1774" t="n">
        <x:f>Dashboard_Live_Data!AU58</x:f>
        <x:v>3730.4741694394993</x:v>
      </x:c>
      <x:c r="G1774" t="n">
        <x:f>Dashboard_Live_Data!AV58</x:f>
        <x:v>-426.40000000000003</x:v>
      </x:c>
      <x:c r="H1774" t="n">
        <x:f>Dashboard_Live_Data!AW58</x:f>
        <x:v>3699.30191597568</x:v>
      </x:c>
    </x:row>
    <x:row r="1775">
      <x:c r="A1775" t="n">
        <x:f>Dashboard_Live_Data!AP59</x:f>
        <x:v>-31.5</x:v>
      </x:c>
      <x:c r="B1775" t="n">
        <x:f>Dashboard_Live_Data!AQ59</x:f>
        <x:v>2690.368823941855</x:v>
      </x:c>
      <x:c r="C1775" t="n">
        <x:f>Dashboard_Live_Data!AR59</x:f>
        <x:v>-210</x:v>
      </x:c>
      <x:c r="D1775" t="n">
        <x:f>Dashboard_Live_Data!AS59</x:f>
        <x:v>1725.305616464916</x:v>
      </x:c>
      <x:c r="E1775" t="n">
        <x:f>Dashboard_Live_Data!AT59</x:f>
        <x:v>-420</x:v>
      </x:c>
      <x:c r="F1775" t="n">
        <x:f>Dashboard_Live_Data!AU59</x:f>
        <x:v>3656.657350395744</x:v>
      </x:c>
      <x:c r="G1775" t="n">
        <x:f>Dashboard_Live_Data!AV59</x:f>
        <x:v>-420</x:v>
      </x:c>
      <x:c r="H1775" t="n">
        <x:f>Dashboard_Live_Data!AW59</x:f>
        <x:v>3625.3443038047226</x:v>
      </x:c>
    </x:row>
    <x:row r="1776">
      <x:c r="A1776" t="n">
        <x:f>Dashboard_Live_Data!AP60</x:f>
        <x:v>-31.02</x:v>
      </x:c>
      <x:c r="B1776" t="n">
        <x:f>Dashboard_Live_Data!AQ60</x:f>
        <x:v>2689.879981187311</x:v>
      </x:c>
      <x:c r="C1776" t="n">
        <x:f>Dashboard_Live_Data!AR60</x:f>
        <x:v>-206.8</x:v>
      </x:c>
      <x:c r="D1776" t="n">
        <x:f>Dashboard_Live_Data!AS60</x:f>
        <x:v>1694.9715481778403</x:v>
      </x:c>
      <x:c r="E1776" t="n">
        <x:f>Dashboard_Live_Data!AT60</x:f>
        <x:v>-413.6</x:v>
      </x:c>
      <x:c r="F1776" t="n">
        <x:f>Dashboard_Live_Data!AU60</x:f>
        <x:v>3583.025074116563</x:v>
      </x:c>
      <x:c r="G1776" t="n">
        <x:f>Dashboard_Live_Data!AV60</x:f>
        <x:v>-413.6</x:v>
      </x:c>
      <x:c r="H1776" t="n">
        <x:f>Dashboard_Live_Data!AW60</x:f>
        <x:v>3551.5973602312506</x:v>
      </x:c>
    </x:row>
    <x:row r="1777">
      <x:c r="A1777" t="n">
        <x:f>Dashboard_Live_Data!AP61</x:f>
        <x:v>-30.48</x:v>
      </x:c>
      <x:c r="B1777" t="n">
        <x:f>Dashboard_Live_Data!AQ61</x:f>
        <x:v>2689.3682686667476</x:v>
      </x:c>
      <x:c r="C1777" t="n">
        <x:f>Dashboard_Live_Data!AR61</x:f>
        <x:v>-203.2</x:v>
      </x:c>
      <x:c r="D1777" t="n">
        <x:f>Dashboard_Live_Data!AS61</x:f>
        <x:v>1660.9821859294339</x:v>
      </x:c>
      <x:c r="E1777" t="n">
        <x:f>Dashboard_Live_Data!AT61</x:f>
        <x:v>-406.4</x:v>
      </x:c>
      <x:c r="F1777" t="n">
        <x:f>Dashboard_Live_Data!AU61</x:f>
        <x:v>3501.228989140432</x:v>
      </x:c>
      <x:c r="G1777" t="n">
        <x:f>Dashboard_Live_Data!AV61</x:f>
        <x:v>-406.4</x:v>
      </x:c>
      <x:c r="H1777" t="n">
        <x:f>Dashboard_Live_Data!AW61</x:f>
        <x:v>3469.686028659542</x:v>
      </x:c>
    </x:row>
    <x:row r="1778">
      <x:c r="A1778" t="n">
        <x:f>Dashboard_Live_Data!AP62</x:f>
        <x:v>-30</x:v>
      </x:c>
      <x:c r="B1778" t="n">
        <x:f>Dashboard_Live_Data!AQ62</x:f>
        <x:v>2688.849181231688</x:v>
      </x:c>
      <x:c r="C1778" t="n">
        <x:f>Dashboard_Live_Data!AR62</x:f>
        <x:v>-200</x:v>
      </x:c>
      <x:c r="D1778" t="n">
        <x:f>Dashboard_Live_Data!AS62</x:f>
        <x:v>1630.7962996352992</x:v>
      </x:c>
      <x:c r="E1778" t="n">
        <x:f>Dashboard_Live_Data!AT62</x:f>
        <x:v>-400</x:v>
      </x:c>
      <x:c r="F1778" t="n">
        <x:f>Dashboard_Live_Data!AU62</x:f>
        <x:v>3429.6338635999455</x:v>
      </x:c>
      <x:c r="G1778" t="n">
        <x:f>Dashboard_Live_Data!AV62</x:f>
        <x:v>-400</x:v>
      </x:c>
      <x:c r="H1778" t="n">
        <x:f>Dashboard_Live_Data!AW62</x:f>
        <x:v>3397.995470414696</x:v>
      </x:c>
    </x:row>
    <x:row r="1779">
      <x:c r="A1779" t="n">
        <x:f>Dashboard_Live_Data!AP63</x:f>
        <x:v>-29.52</x:v>
      </x:c>
      <x:c r="B1779" t="n">
        <x:f>Dashboard_Live_Data!AQ63</x:f>
        <x:v>2688.418530040225</x:v>
      </x:c>
      <x:c r="C1779" t="n">
        <x:f>Dashboard_Live_Data!AR63</x:f>
        <x:v>-196.8</x:v>
      </x:c>
      <x:c r="D1779" t="n">
        <x:f>Dashboard_Live_Data!AS63</x:f>
        <x:v>1600.8913289068564</x:v>
      </x:c>
      <x:c r="E1779" t="n">
        <x:f>Dashboard_Live_Data!AT63</x:f>
        <x:v>-393.6</x:v>
      </x:c>
      <x:c r="F1779" t="n">
        <x:f>Dashboard_Live_Data!AU63</x:f>
        <x:v>3358.2164161547216</x:v>
      </x:c>
      <x:c r="G1779" t="n">
        <x:f>Dashboard_Live_Data!AV63</x:f>
        <x:v>-393.6</x:v>
      </x:c>
      <x:c r="H1779" t="n">
        <x:f>Dashboard_Live_Data!AW63</x:f>
        <x:v>3326.510290593986</x:v>
      </x:c>
    </x:row>
    <x:row r="1780">
      <x:c r="A1780" t="n">
        <x:f>Dashboard_Live_Data!AP64</x:f>
        <x:v>-28.98</x:v>
      </x:c>
      <x:c r="B1780" t="n">
        <x:f>Dashboard_Live_Data!AQ64</x:f>
        <x:v>2687.9354849524943</x:v>
      </x:c>
      <x:c r="C1780" t="n">
        <x:f>Dashboard_Live_Data!AR64</x:f>
        <x:v>-193.2</x:v>
      </x:c>
      <x:c r="D1780" t="n">
        <x:f>Dashboard_Live_Data!AS64</x:f>
        <x:v>1567.6371166506372</x:v>
      </x:c>
      <x:c r="E1780" t="n">
        <x:f>Dashboard_Live_Data!AT64</x:f>
        <x:v>-386.4</x:v>
      </x:c>
      <x:c r="F1780" t="n">
        <x:f>Dashboard_Live_Data!AU64</x:f>
        <x:v>3279.379574445211</x:v>
      </x:c>
      <x:c r="G1780" t="n">
        <x:f>Dashboard_Live_Data!AV64</x:f>
        <x:v>-386.4</x:v>
      </x:c>
      <x:c r="H1780" t="n">
        <x:f>Dashboard_Live_Data!AW64</x:f>
        <x:v>3247.597471574157</x:v>
      </x:c>
    </x:row>
    <x:row r="1781">
      <x:c r="A1781" t="n">
        <x:f>Dashboard_Live_Data!AP65</x:f>
        <x:v>-28.5</x:v>
      </x:c>
      <x:c r="B1781" t="n">
        <x:f>Dashboard_Live_Data!AQ65</x:f>
        <x:v>2687.4656545086355</x:v>
      </x:c>
      <x:c r="C1781" t="n">
        <x:f>Dashboard_Live_Data!AR65</x:f>
        <x:v>-190</x:v>
      </x:c>
      <x:c r="D1781" t="n">
        <x:f>Dashboard_Live_Data!AS65</x:f>
        <x:v>1538.2795008459386</x:v>
      </x:c>
      <x:c r="E1781" t="n">
        <x:f>Dashboard_Live_Data!AT65</x:f>
        <x:v>-380</x:v>
      </x:c>
      <x:c r="F1781" t="n">
        <x:f>Dashboard_Live_Data!AU65</x:f>
        <x:v>3209.819190900689</x:v>
      </x:c>
      <x:c r="G1781" t="n">
        <x:f>Dashboard_Live_Data!AV65</x:f>
        <x:v>-380</x:v>
      </x:c>
      <x:c r="H1781" t="n">
        <x:f>Dashboard_Live_Data!AW65</x:f>
        <x:v>3177.990618415184</x:v>
      </x:c>
    </x:row>
    <x:row r="1782">
      <x:c r="A1782" t="n">
        <x:f>Dashboard_Live_Data!AP66</x:f>
        <x:v>-28.020000000000003</x:v>
      </x:c>
      <x:c r="B1782" t="n">
        <x:f>Dashboard_Live_Data!AQ66</x:f>
        <x:v>2686.9865062165222</x:v>
      </x:c>
      <x:c r="C1782" t="n">
        <x:f>Dashboard_Live_Data!AR66</x:f>
        <x:v>-186.80000000000004</x:v>
      </x:c>
      <x:c r="D1782" t="n">
        <x:f>Dashboard_Live_Data!AS66</x:f>
        <x:v>1509.2748460225423</x:v>
      </x:c>
      <x:c r="E1782" t="n">
        <x:f>Dashboard_Live_Data!AT66</x:f>
        <x:v>-373.6000000000001</x:v>
      </x:c>
      <x:c r="F1782" t="n">
        <x:f>Dashboard_Live_Data!AU66</x:f>
        <x:v>3140.868117715043</x:v>
      </x:c>
      <x:c r="G1782" t="n">
        <x:f>Dashboard_Live_Data!AV66</x:f>
        <x:v>-373.6000000000001</x:v>
      </x:c>
      <x:c r="H1782" t="n">
        <x:f>Dashboard_Live_Data!AW66</x:f>
        <x:v>3109.009887937512</x:v>
      </x:c>
    </x:row>
    <x:row r="1783">
      <x:c r="A1783" t="n">
        <x:f>Dashboard_Live_Data!AP67</x:f>
        <x:v>-27.479999999999997</x:v>
      </x:c>
      <x:c r="B1783" t="n">
        <x:f>Dashboard_Live_Data!AQ67</x:f>
        <x:v>2686.576366733176</x:v>
      </x:c>
      <x:c r="C1783" t="n">
        <x:f>Dashboard_Live_Data!AR67</x:f>
        <x:v>-183.2</x:v>
      </x:c>
      <x:c r="D1783" t="n">
        <x:f>Dashboard_Live_Data!AS67</x:f>
        <x:v>1477.0077782495264</x:v>
      </x:c>
      <x:c r="E1783" t="n">
        <x:f>Dashboard_Live_Data!AT67</x:f>
        <x:v>-366.4</x:v>
      </x:c>
      <x:c r="F1783" t="n">
        <x:f>Dashboard_Live_Data!AU67</x:f>
        <x:v>3064.463120167224</x:v>
      </x:c>
      <x:c r="G1783" t="n">
        <x:f>Dashboard_Live_Data!AV67</x:f>
        <x:v>-366.4</x:v>
      </x:c>
      <x:c r="H1783" t="n">
        <x:f>Dashboard_Live_Data!AW67</x:f>
        <x:v>3032.5783074211417</x:v>
      </x:c>
    </x:row>
    <x:row r="1784">
      <x:c r="A1784" t="n">
        <x:f>Dashboard_Live_Data!AP68</x:f>
        <x:v>-27</x:v>
      </x:c>
      <x:c r="B1784" t="n">
        <x:f>Dashboard_Live_Data!AQ68</x:f>
        <x:v>2686.1230281089606</x:v>
      </x:c>
      <x:c r="C1784" t="n">
        <x:f>Dashboard_Live_Data!AR68</x:f>
        <x:v>-179.99999999999997</x:v>
      </x:c>
      <x:c r="D1784" t="n">
        <x:f>Dashboard_Live_Data!AS68</x:f>
        <x:v>1448.2038804819972</x:v>
      </x:c>
      <x:c r="E1784" t="n">
        <x:f>Dashboard_Live_Data!AT68</x:f>
        <x:v>-359.99999999999994</x:v>
      </x:c>
      <x:c r="F1784" t="n">
        <x:f>Dashboard_Live_Data!AU68</x:f>
        <x:v>2997.1693225152612</x:v>
      </x:c>
      <x:c r="G1784" t="n">
        <x:f>Dashboard_Live_Data!AV68</x:f>
        <x:v>-359.99999999999994</x:v>
      </x:c>
      <x:c r="H1784" t="n">
        <x:f>Dashboard_Live_Data!AW68</x:f>
        <x:v>2965.278708244999</x:v>
      </x:c>
    </x:row>
    <x:row r="1785">
      <x:c r="A1785" t="n">
        <x:f>Dashboard_Live_Data!AP69</x:f>
        <x:v>-26.519999999999996</x:v>
      </x:c>
      <x:c r="B1785" t="n">
        <x:f>Dashboard_Live_Data!AQ69</x:f>
        <x:v>2685.7641048695896</x:v>
      </x:c>
      <x:c r="C1785" t="n">
        <x:f>Dashboard_Live_Data!AR69</x:f>
        <x:v>-176.79999999999998</x:v>
      </x:c>
      <x:c r="D1785" t="n">
        <x:f>Dashboard_Live_Data!AS69</x:f>
        <x:v>1419.563933171673</x:v>
      </x:c>
      <x:c r="E1785" t="n">
        <x:f>Dashboard_Live_Data!AT69</x:f>
        <x:v>-353.59999999999997</x:v>
      </x:c>
      <x:c r="F1785" t="n">
        <x:f>Dashboard_Live_Data!AU69</x:f>
        <x:v>2930.290863262151</x:v>
      </x:c>
      <x:c r="G1785" t="n">
        <x:f>Dashboard_Live_Data!AV69</x:f>
        <x:v>-353.59999999999997</x:v>
      </x:c>
      <x:c r="H1785" t="n">
        <x:f>Dashboard_Live_Data!AW69</x:f>
        <x:v>2898.417070837936</x:v>
      </x:c>
    </x:row>
    <x:row r="1786">
      <x:c r="A1786" t="n">
        <x:f>Dashboard_Live_Data!AP70</x:f>
        <x:v>-25.980000000000004</x:v>
      </x:c>
      <x:c r="B1786" t="n">
        <x:f>Dashboard_Live_Data!AQ70</x:f>
        <x:v>2685.2667592520247</x:v>
      </x:c>
      <x:c r="C1786" t="n">
        <x:f>Dashboard_Live_Data!AR70</x:f>
        <x:v>-173.20000000000002</x:v>
      </x:c>
      <x:c r="D1786" t="n">
        <x:f>Dashboard_Live_Data!AS70</x:f>
        <x:v>1387.956266731438</x:v>
      </x:c>
      <x:c r="E1786" t="n">
        <x:f>Dashboard_Live_Data!AT70</x:f>
        <x:v>-346.40000000000003</x:v>
      </x:c>
      <x:c r="F1786" t="n">
        <x:f>Dashboard_Live_Data!AU70</x:f>
        <x:v>2856.458663651637</x:v>
      </x:c>
      <x:c r="G1786" t="n">
        <x:f>Dashboard_Live_Data!AV70</x:f>
        <x:v>-346.40000000000003</x:v>
      </x:c>
      <x:c r="H1786" t="n">
        <x:f>Dashboard_Live_Data!AW70</x:f>
        <x:v>2824.5997932549617</x:v>
      </x:c>
    </x:row>
    <x:row r="1787">
      <x:c r="A1787" t="n">
        <x:f>Dashboard_Live_Data!AP71</x:f>
        <x:v>-25.5</x:v>
      </x:c>
      <x:c r="B1787" t="n">
        <x:f>Dashboard_Live_Data!AQ71</x:f>
        <x:v>2684.8382682822116</x:v>
      </x:c>
      <x:c r="C1787" t="n">
        <x:f>Dashboard_Live_Data!AR71</x:f>
        <x:v>-170.00000000000003</x:v>
      </x:c>
      <x:c r="D1787" t="n">
        <x:f>Dashboard_Live_Data!AS71</x:f>
        <x:v>1360.1592081481224</x:v>
      </x:c>
      <x:c r="E1787" t="n">
        <x:f>Dashboard_Live_Data!AT71</x:f>
        <x:v>-340.00000000000006</x:v>
      </x:c>
      <x:c r="F1787" t="n">
        <x:f>Dashboard_Live_Data!AU71</x:f>
        <x:v>2791.0833339882856</x:v>
      </x:c>
      <x:c r="G1787" t="n">
        <x:f>Dashboard_Live_Data!AV71</x:f>
        <x:v>-340.00000000000006</x:v>
      </x:c>
      <x:c r="H1787" t="n">
        <x:f>Dashboard_Live_Data!AW71</x:f>
        <x:v>2759.2679936296245</x:v>
      </x:c>
    </x:row>
    <x:row r="1788">
      <x:c r="A1788" t="n">
        <x:f>Dashboard_Live_Data!AP72</x:f>
        <x:v>-25.020000000000003</x:v>
      </x:c>
      <x:c r="B1788" t="n">
        <x:f>Dashboard_Live_Data!AQ72</x:f>
        <x:v>2684.344258811687</x:v>
      </x:c>
      <x:c r="C1788" t="n">
        <x:f>Dashboard_Live_Data!AR72</x:f>
        <x:v>-166.8</x:v>
      </x:c>
      <x:c r="D1788" t="n">
        <x:f>Dashboard_Live_Data!AS72</x:f>
        <x:v>1332.4930771425575</x:v>
      </x:c>
      <x:c r="E1788" t="n">
        <x:f>Dashboard_Live_Data!AT72</x:f>
        <x:v>-333.6</x:v>
      </x:c>
      <x:c r="F1788" t="n">
        <x:f>Dashboard_Live_Data!AU72</x:f>
        <x:v>2726.5981963853515</x:v>
      </x:c>
      <x:c r="G1788" t="n">
        <x:f>Dashboard_Live_Data!AV72</x:f>
        <x:v>-333.6</x:v>
      </x:c>
      <x:c r="H1788" t="n">
        <x:f>Dashboard_Live_Data!AW72</x:f>
        <x:v>2694.8315049743364</x:v>
      </x:c>
    </x:row>
    <x:row r="1789">
      <x:c r="A1789" t="n">
        <x:f>Dashboard_Live_Data!AP73</x:f>
        <x:v>-24.479999999999997</x:v>
      </x:c>
      <x:c r="B1789" t="n">
        <x:f>Dashboard_Live_Data!AQ73</x:f>
        <x:v>2684.0091118985915</x:v>
      </x:c>
      <x:c r="C1789" t="n">
        <x:f>Dashboard_Live_Data!AR73</x:f>
        <x:v>-163.19999999999996</x:v>
      </x:c>
      <x:c r="D1789" t="n">
        <x:f>Dashboard_Live_Data!AS73</x:f>
        <x:v>1301.4430776136699</x:v>
      </x:c>
      <x:c r="E1789" t="n">
        <x:f>Dashboard_Live_Data!AT73</x:f>
        <x:v>-326.3999999999999</x:v>
      </x:c>
      <x:c r="F1789" t="n">
        <x:f>Dashboard_Live_Data!AU73</x:f>
        <x:v>2655.133708523069</x:v>
      </x:c>
      <x:c r="G1789" t="n">
        <x:f>Dashboard_Live_Data!AV73</x:f>
        <x:v>-326.3999999999999</x:v>
      </x:c>
      <x:c r="H1789" t="n">
        <x:f>Dashboard_Live_Data!AW73</x:f>
        <x:v>2623.425230126642</x:v>
      </x:c>
    </x:row>
    <x:row r="1790">
      <x:c r="A1790" t="n">
        <x:f>Dashboard_Live_Data!AP74</x:f>
        <x:v>-24</x:v>
      </x:c>
      <x:c r="B1790" t="n">
        <x:f>Dashboard_Live_Data!AQ74</x:f>
        <x:v>2683.537186227637</x:v>
      </x:c>
      <x:c r="C1790" t="n">
        <x:f>Dashboard_Live_Data!AR74</x:f>
        <x:v>-160</x:v>
      </x:c>
      <x:c r="D1790" t="n">
        <x:f>Dashboard_Live_Data!AS74</x:f>
        <x:v>1274.0147754263153</x:v>
      </x:c>
      <x:c r="E1790" t="n">
        <x:f>Dashboard_Live_Data!AT74</x:f>
        <x:v>-320</x:v>
      </x:c>
      <x:c r="F1790" t="n">
        <x:f>Dashboard_Live_Data!AU74</x:f>
        <x:v>2591.70764324169</x:v>
      </x:c>
      <x:c r="G1790" t="n">
        <x:f>Dashboard_Live_Data!AV74</x:f>
        <x:v>-320</x:v>
      </x:c>
      <x:c r="H1790" t="n">
        <x:f>Dashboard_Live_Data!AW74</x:f>
        <x:v>2560.088488449522</x:v>
      </x:c>
    </x:row>
    <x:row r="1791">
      <x:c r="A1791" t="n">
        <x:f>Dashboard_Live_Data!AP75</x:f>
        <x:v>-23.520000000000003</x:v>
      </x:c>
      <x:c r="B1791" t="n">
        <x:f>Dashboard_Live_Data!AQ75</x:f>
        <x:v>2682.959399881261</x:v>
      </x:c>
      <x:c r="C1791" t="n">
        <x:f>Dashboard_Live_Data!AR75</x:f>
        <x:v>-156.8</x:v>
      </x:c>
      <x:c r="D1791" t="n">
        <x:f>Dashboard_Live_Data!AS75</x:f>
        <x:v>1246.7289435174778</x:v>
      </x:c>
      <x:c r="E1791" t="n">
        <x:f>Dashboard_Live_Data!AT75</x:f>
        <x:v>-313.6</x:v>
      </x:c>
      <x:c r="F1791" t="n">
        <x:f>Dashboard_Live_Data!AU75</x:f>
        <x:v>2529.6567125397137</x:v>
      </x:c>
      <x:c r="G1791" t="n">
        <x:f>Dashboard_Live_Data!AV75</x:f>
        <x:v>-313.6</x:v>
      </x:c>
      <x:c r="H1791" t="n">
        <x:f>Dashboard_Live_Data!AW75</x:f>
        <x:v>2498.1082649566547</x:v>
      </x:c>
    </x:row>
    <x:row r="1792">
      <x:c r="A1792" t="n">
        <x:f>Dashboard_Live_Data!AP76</x:f>
        <x:v>-22.980000000000004</x:v>
      </x:c>
      <x:c r="B1792" t="n">
        <x:f>Dashboard_Live_Data!AQ76</x:f>
        <x:v>2682.5936759748174</x:v>
      </x:c>
      <x:c r="C1792" t="n">
        <x:f>Dashboard_Live_Data!AR76</x:f>
        <x:v>-153.2</x:v>
      </x:c>
      <x:c r="D1792" t="n">
        <x:f>Dashboard_Live_Data!AS76</x:f>
        <x:v>1216.5900679551614</x:v>
      </x:c>
      <x:c r="E1792" t="n">
        <x:f>Dashboard_Live_Data!AT76</x:f>
        <x:v>-306.4</x:v>
      </x:c>
      <x:c r="F1792" t="n">
        <x:f>Dashboard_Live_Data!AU76</x:f>
        <x:v>2460.1080312741733</x:v>
      </x:c>
      <x:c r="G1792" t="n">
        <x:f>Dashboard_Live_Data!AV76</x:f>
        <x:v>-306.4</x:v>
      </x:c>
      <x:c r="H1792" t="n">
        <x:f>Dashboard_Live_Data!AW76</x:f>
        <x:v>2428.67513320416</x:v>
      </x:c>
    </x:row>
    <x:row r="1793">
      <x:c r="A1793" t="n">
        <x:f>Dashboard_Live_Data!AP77</x:f>
        <x:v>-22.5</x:v>
      </x:c>
      <x:c r="B1793" t="n">
        <x:f>Dashboard_Live_Data!AQ77</x:f>
        <x:v>2682.174729680835</x:v>
      </x:c>
      <x:c r="C1793" t="n">
        <x:f>Dashboard_Live_Data!AR77</x:f>
        <x:v>-150</x:v>
      </x:c>
      <x:c r="D1793" t="n">
        <x:f>Dashboard_Live_Data!AS77</x:f>
        <x:v>1190.1745889310876</x:v>
      </x:c>
      <x:c r="E1793" t="n">
        <x:f>Dashboard_Live_Data!AT77</x:f>
        <x:v>-300</x:v>
      </x:c>
      <x:c r="F1793" t="n">
        <x:f>Dashboard_Live_Data!AU77</x:f>
        <x:v>2399.037857844189</x:v>
      </x:c>
      <x:c r="G1793" t="n">
        <x:f>Dashboard_Live_Data!AV77</x:f>
        <x:v>-300</x:v>
      </x:c>
      <x:c r="H1793" t="n">
        <x:f>Dashboard_Live_Data!AW77</x:f>
        <x:v>2367.7165122313922</x:v>
      </x:c>
    </x:row>
    <x:row r="1794">
      <x:c r="A1794" t="n">
        <x:f>Dashboard_Live_Data!AP78</x:f>
        <x:v>-22.019999999999996</x:v>
      </x:c>
      <x:c r="B1794" t="n">
        <x:f>Dashboard_Live_Data!AQ78</x:f>
        <x:v>2681.633377970777</x:v>
      </x:c>
      <x:c r="C1794" t="n">
        <x:f>Dashboard_Live_Data!AR78</x:f>
        <x:v>-146.8</x:v>
      </x:c>
      <x:c r="D1794" t="n">
        <x:f>Dashboard_Live_Data!AS78</x:f>
        <x:v>1163.6467818706817</x:v>
      </x:c>
      <x:c r="E1794" t="n">
        <x:f>Dashboard_Live_Data!AT78</x:f>
        <x:v>-293.6</x:v>
      </x:c>
      <x:c r="F1794" t="n">
        <x:f>Dashboard_Live_Data!AU78</x:f>
        <x:v>2338.848545673518</x:v>
      </x:c>
      <x:c r="G1794" t="n">
        <x:f>Dashboard_Live_Data!AV78</x:f>
        <x:v>-293.6</x:v>
      </x:c>
      <x:c r="H1794" t="n">
        <x:f>Dashboard_Live_Data!AW78</x:f>
        <x:v>2307.637032802526</x:v>
      </x:c>
    </x:row>
    <x:row r="1795">
      <x:c r="A1795" t="n">
        <x:f>Dashboard_Live_Data!AP79</x:f>
        <x:v>-21.479999999999997</x:v>
      </x:c>
      <x:c r="B1795" t="n">
        <x:f>Dashboard_Live_Data!AQ79</x:f>
        <x:v>2681.074277895876</x:v>
      </x:c>
      <x:c r="C1795" t="n">
        <x:f>Dashboard_Live_Data!AR79</x:f>
        <x:v>-143.2</x:v>
      </x:c>
      <x:c r="D1795" t="n">
        <x:f>Dashboard_Live_Data!AS79</x:f>
        <x:v>1133.8107705131229</x:v>
      </x:c>
      <x:c r="E1795" t="n">
        <x:f>Dashboard_Live_Data!AT79</x:f>
        <x:v>-286.4</x:v>
      </x:c>
      <x:c r="F1795" t="n">
        <x:f>Dashboard_Live_Data!AU79</x:f>
        <x:v>2271.4757396841865</x:v>
      </x:c>
      <x:c r="G1795" t="n">
        <x:f>Dashboard_Live_Data!AV79</x:f>
        <x:v>-286.4</x:v>
      </x:c>
      <x:c r="H1795" t="n">
        <x:f>Dashboard_Live_Data!AW79</x:f>
        <x:v>2240.4205489602696</x:v>
      </x:c>
    </x:row>
    <x:row r="1796">
      <x:c r="A1796" t="n">
        <x:f>Dashboard_Live_Data!AP80</x:f>
        <x:v>-21</x:v>
      </x:c>
      <x:c r="B1796" t="n">
        <x:f>Dashboard_Live_Data!AQ80</x:f>
        <x:v>2680.805031719671</x:v>
      </x:c>
      <x:c r="C1796" t="n">
        <x:f>Dashboard_Live_Data!AR80</x:f>
        <x:v>-140</x:v>
      </x:c>
      <x:c r="D1796" t="n">
        <x:f>Dashboard_Live_Data!AS80</x:f>
        <x:v>1107.663476732817</x:v>
      </x:c>
      <x:c r="E1796" t="n">
        <x:f>Dashboard_Live_Data!AT80</x:f>
        <x:v>-280</x:v>
      </x:c>
      <x:c r="F1796" t="n">
        <x:f>Dashboard_Live_Data!AU80</x:f>
        <x:v>2212.418081073065</x:v>
      </x:c>
      <x:c r="G1796" t="n">
        <x:f>Dashboard_Live_Data!AV80</x:f>
        <x:v>-280</x:v>
      </x:c>
      <x:c r="H1796" t="n">
        <x:f>Dashboard_Live_Data!AW80</x:f>
        <x:v>2181.5032877091103</x:v>
      </x:c>
    </x:row>
    <x:row r="1797">
      <x:c r="A1797" t="n">
        <x:f>Dashboard_Live_Data!AP81</x:f>
        <x:v>-20.520000000000003</x:v>
      </x:c>
      <x:c r="B1797" t="n">
        <x:f>Dashboard_Live_Data!AQ81</x:f>
        <x:v>2680.307213361289</x:v>
      </x:c>
      <x:c r="C1797" t="n">
        <x:f>Dashboard_Live_Data!AR81</x:f>
        <x:v>-136.8</x:v>
      </x:c>
      <x:c r="D1797" t="n">
        <x:f>Dashboard_Live_Data!AS81</x:f>
        <x:v>1081.9289025291496</x:v>
      </x:c>
      <x:c r="E1797" t="n">
        <x:f>Dashboard_Live_Data!AT81</x:f>
        <x:v>-273.6</x:v>
      </x:c>
      <x:c r="F1797" t="n">
        <x:f>Dashboard_Live_Data!AU81</x:f>
        <x:v>2154.069064539017</x:v>
      </x:c>
      <x:c r="G1797" t="n">
        <x:f>Dashboard_Live_Data!AV81</x:f>
        <x:v>-273.6</x:v>
      </x:c>
      <x:c r="H1797" t="n">
        <x:f>Dashboard_Live_Data!AW81</x:f>
        <x:v>2123.297962760579</x:v>
      </x:c>
    </x:row>
    <x:row r="1798">
      <x:c r="A1798" t="n">
        <x:f>Dashboard_Live_Data!AP82</x:f>
        <x:v>-19.979999999999997</x:v>
      </x:c>
      <x:c r="B1798" t="n">
        <x:f>Dashboard_Live_Data!AQ82</x:f>
        <x:v>2679.910435734186</x:v>
      </x:c>
      <x:c r="C1798" t="n">
        <x:f>Dashboard_Live_Data!AR82</x:f>
        <x:v>-133.2</x:v>
      </x:c>
      <x:c r="D1798" t="n">
        <x:f>Dashboard_Live_Data!AS82</x:f>
        <x:v>1053.2379157384207</x:v>
      </x:c>
      <x:c r="E1798" t="n">
        <x:f>Dashboard_Live_Data!AT82</x:f>
        <x:v>-266.4</x:v>
      </x:c>
      <x:c r="F1798" t="n">
        <x:f>Dashboard_Live_Data!AU82</x:f>
        <x:v>2088.853489351747</x:v>
      </x:c>
      <x:c r="G1798" t="n">
        <x:f>Dashboard_Live_Data!AV82</x:f>
        <x:v>-266.4</x:v>
      </x:c>
      <x:c r="H1798" t="n">
        <x:f>Dashboard_Live_Data!AW82</x:f>
        <x:v>2058.271372657876</x:v>
      </x:c>
    </x:row>
    <x:row r="1799">
      <x:c r="A1799" t="n">
        <x:f>Dashboard_Live_Data!AP83</x:f>
        <x:v>-19.5</x:v>
      </x:c>
      <x:c r="B1799" t="n">
        <x:f>Dashboard_Live_Data!AQ83</x:f>
        <x:v>2679.4176164876385</x:v>
      </x:c>
      <x:c r="C1799" t="n">
        <x:f>Dashboard_Live_Data!AR83</x:f>
        <x:v>-130</x:v>
      </x:c>
      <x:c r="D1799" t="n">
        <x:f>Dashboard_Live_Data!AS83</x:f>
        <x:v>1027.767895171937</x:v>
      </x:c>
      <x:c r="E1799" t="n">
        <x:f>Dashboard_Live_Data!AT83</x:f>
        <x:v>-260</x:v>
      </x:c>
      <x:c r="F1799" t="n">
        <x:f>Dashboard_Live_Data!AU83</x:f>
        <x:v>2031.6981626888248</x:v>
      </x:c>
      <x:c r="G1799" t="n">
        <x:f>Dashboard_Live_Data!AV83</x:f>
        <x:v>-260</x:v>
      </x:c>
      <x:c r="H1799" t="n">
        <x:f>Dashboard_Live_Data!AW83</x:f>
        <x:v>2001.281475278257</x:v>
      </x:c>
    </x:row>
    <x:row r="1800">
      <x:c r="A1800" t="n">
        <x:f>Dashboard_Live_Data!AP84</x:f>
        <x:v>-19.019999999999996</x:v>
      </x:c>
      <x:c r="B1800" t="n">
        <x:f>Dashboard_Live_Data!AQ84</x:f>
        <x:v>2679.101138360728</x:v>
      </x:c>
      <x:c r="C1800" t="n">
        <x:f>Dashboard_Live_Data!AR84</x:f>
        <x:v>-126.79999999999995</x:v>
      </x:c>
      <x:c r="D1800" t="n">
        <x:f>Dashboard_Live_Data!AS84</x:f>
        <x:v>1002.3635175983735</x:v>
      </x:c>
      <x:c r="E1800" t="n">
        <x:f>Dashboard_Live_Data!AT84</x:f>
        <x:v>-253.5999999999999</x:v>
      </x:c>
      <x:c r="F1800" t="n">
        <x:f>Dashboard_Live_Data!AU84</x:f>
        <x:v>1975.2592929672044</x:v>
      </x:c>
      <x:c r="G1800" t="n">
        <x:f>Dashboard_Live_Data!AV84</x:f>
        <x:v>-253.5999999999999</x:v>
      </x:c>
      <x:c r="H1800" t="n">
        <x:f>Dashboard_Live_Data!AW84</x:f>
        <x:v>1945.0061543286497</x:v>
      </x:c>
    </x:row>
    <x:row r="1801">
      <x:c r="A1801" t="n">
        <x:f>Dashboard_Live_Data!AP85</x:f>
        <x:v>-18.480000000000004</x:v>
      </x:c>
      <x:c r="B1801" t="n">
        <x:f>Dashboard_Live_Data!AQ85</x:f>
        <x:v>2678.620330554761</x:v>
      </x:c>
      <x:c r="C1801" t="n">
        <x:f>Dashboard_Live_Data!AR85</x:f>
        <x:v>-123.20000000000005</x:v>
      </x:c>
      <x:c r="D1801" t="n">
        <x:f>Dashboard_Live_Data!AS85</x:f>
        <x:v>974.1534456502709</x:v>
      </x:c>
      <x:c r="E1801" t="n">
        <x:f>Dashboard_Live_Data!AT85</x:f>
        <x:v>-246.4000000000001</x:v>
      </x:c>
      <x:c r="F1801" t="n">
        <x:f>Dashboard_Live_Data!AU85</x:f>
        <x:v>1911.982365755576</x:v>
      </x:c>
      <x:c r="G1801" t="n">
        <x:f>Dashboard_Live_Data!AV85</x:f>
        <x:v>-246.4000000000001</x:v>
      </x:c>
      <x:c r="H1801" t="n">
        <x:f>Dashboard_Live_Data!AW85</x:f>
        <x:v>1881.9527809601716</x:v>
      </x:c>
    </x:row>
    <x:row r="1802">
      <x:c r="A1802" t="n">
        <x:f>Dashboard_Live_Data!AP86</x:f>
        <x:v>-18</x:v>
      </x:c>
      <x:c r="B1802" t="n">
        <x:f>Dashboard_Live_Data!AQ86</x:f>
        <x:v>2678.2274086948387</x:v>
      </x:c>
      <x:c r="C1802" t="n">
        <x:f>Dashboard_Live_Data!AR86</x:f>
        <x:v>-120</x:v>
      </x:c>
      <x:c r="D1802" t="n">
        <x:f>Dashboard_Live_Data!AS86</x:f>
        <x:v>949.3439263517315</x:v>
      </x:c>
      <x:c r="E1802" t="n">
        <x:f>Dashboard_Live_Data!AT86</x:f>
        <x:v>-240</x:v>
      </x:c>
      <x:c r="F1802" t="n">
        <x:f>Dashboard_Live_Data!AU86</x:f>
        <x:v>1856.953435568455</x:v>
      </x:c>
      <x:c r="G1802" t="n">
        <x:f>Dashboard_Live_Data!AV86</x:f>
        <x:v>-240</x:v>
      </x:c>
      <x:c r="H1802" t="n">
        <x:f>Dashboard_Live_Data!AW86</x:f>
        <x:v>1827.0848976277111</x:v>
      </x:c>
    </x:row>
    <x:row r="1803">
      <x:c r="A1803" t="n">
        <x:f>Dashboard_Live_Data!AP87</x:f>
        <x:v>-17.520000000000003</x:v>
      </x:c>
      <x:c r="B1803" t="n">
        <x:f>Dashboard_Live_Data!AQ87</x:f>
        <x:v>2677.901102367137</x:v>
      </x:c>
      <x:c r="C1803" t="n">
        <x:f>Dashboard_Live_Data!AR87</x:f>
        <x:v>-116.80000000000001</x:v>
      </x:c>
      <x:c r="D1803" t="n">
        <x:f>Dashboard_Live_Data!AS87</x:f>
        <x:v>924.7866303079909</x:v>
      </x:c>
      <x:c r="E1803" t="n">
        <x:f>Dashboard_Live_Data!AT87</x:f>
        <x:v>-233.60000000000002</x:v>
      </x:c>
      <x:c r="F1803" t="n">
        <x:f>Dashboard_Live_Data!AU87</x:f>
        <x:v>1801.9356748527755</x:v>
      </x:c>
      <x:c r="G1803" t="n">
        <x:f>Dashboard_Live_Data!AV87</x:f>
        <x:v>-233.60000000000002</x:v>
      </x:c>
      <x:c r="H1803" t="n">
        <x:f>Dashboard_Live_Data!AW87</x:f>
        <x:v>1772.2724325966283</x:v>
      </x:c>
    </x:row>
    <x:row r="1804">
      <x:c r="A1804" t="n">
        <x:f>Dashboard_Live_Data!AP88</x:f>
        <x:v>-16.979999999999997</x:v>
      </x:c>
      <x:c r="B1804" t="n">
        <x:f>Dashboard_Live_Data!AQ88</x:f>
        <x:v>2677.5923280337583</x:v>
      </x:c>
      <x:c r="C1804" t="n">
        <x:f>Dashboard_Live_Data!AR88</x:f>
        <x:v>-113.19999999999999</x:v>
      </x:c>
      <x:c r="D1804" t="n">
        <x:f>Dashboard_Live_Data!AS88</x:f>
        <x:v>897.5024239250529</x:v>
      </x:c>
      <x:c r="E1804" t="n">
        <x:f>Dashboard_Live_Data!AT88</x:f>
        <x:v>-226.39999999999998</x:v>
      </x:c>
      <x:c r="F1804" t="n">
        <x:f>Dashboard_Live_Data!AU88</x:f>
        <x:v>1740.8922865861819</x:v>
      </x:c>
      <x:c r="G1804" t="n">
        <x:f>Dashboard_Live_Data!AV88</x:f>
        <x:v>-226.39999999999998</x:v>
      </x:c>
      <x:c r="H1804" t="n">
        <x:f>Dashboard_Live_Data!AW88</x:f>
        <x:v>1711.4500227839458</x:v>
      </x:c>
    </x:row>
    <x:row r="1805">
      <x:c r="A1805" t="n">
        <x:f>Dashboard_Live_Data!AP89</x:f>
        <x:v>-16.5</x:v>
      </x:c>
      <x:c r="B1805" t="n">
        <x:f>Dashboard_Live_Data!AQ89</x:f>
        <x:v>2677.336851587953</x:v>
      </x:c>
      <x:c r="C1805" t="n">
        <x:f>Dashboard_Live_Data!AR89</x:f>
        <x:v>-110</x:v>
      </x:c>
      <x:c r="D1805" t="n">
        <x:f>Dashboard_Live_Data!AS89</x:f>
        <x:v>873.2708000463136</x:v>
      </x:c>
      <x:c r="E1805" t="n">
        <x:f>Dashboard_Live_Data!AT89</x:f>
        <x:v>-220</x:v>
      </x:c>
      <x:c r="F1805" t="n">
        <x:f>Dashboard_Live_Data!AU89</x:f>
        <x:v>1687.4158648553757</x:v>
      </x:c>
      <x:c r="G1805" t="n">
        <x:f>Dashboard_Live_Data!AV89</x:f>
        <x:v>-220</x:v>
      </x:c>
      <x:c r="H1805" t="n">
        <x:f>Dashboard_Live_Data!AW89</x:f>
        <x:v>1658.1549567841441</x:v>
      </x:c>
    </x:row>
    <x:row r="1806">
      <x:c r="A1806" t="n">
        <x:f>Dashboard_Live_Data!AP90</x:f>
        <x:v>-16.020000000000003</x:v>
      </x:c>
      <x:c r="B1806" t="n">
        <x:f>Dashboard_Live_Data!AQ90</x:f>
        <x:v>2676.8935781249206</x:v>
      </x:c>
      <x:c r="C1806" t="n">
        <x:f>Dashboard_Live_Data!AR90</x:f>
        <x:v>-106.80000000000001</x:v>
      </x:c>
      <x:c r="D1806" t="n">
        <x:f>Dashboard_Live_Data!AS90</x:f>
        <x:v>849.1298418746225</x:v>
      </x:c>
      <x:c r="E1806" t="n">
        <x:f>Dashboard_Live_Data!AT90</x:f>
        <x:v>-213.60000000000002</x:v>
      </x:c>
      <x:c r="F1806" t="n">
        <x:f>Dashboard_Live_Data!AU90</x:f>
        <x:v>1633.9682240085044</x:v>
      </x:c>
      <x:c r="G1806" t="n">
        <x:f>Dashboard_Live_Data!AV90</x:f>
        <x:v>-213.60000000000002</x:v>
      </x:c>
      <x:c r="H1806" t="n">
        <x:f>Dashboard_Live_Data!AW90</x:f>
        <x:v>1604.932853763352</x:v>
      </x:c>
    </x:row>
    <x:row r="1807">
      <x:c r="A1807" t="n">
        <x:f>Dashboard_Live_Data!AP91</x:f>
        <x:v>-15.480000000000004</x:v>
      </x:c>
      <x:c r="B1807" t="n">
        <x:f>Dashboard_Live_Data!AQ91</x:f>
        <x:v>2676.6826725277347</x:v>
      </x:c>
      <x:c r="C1807" t="n">
        <x:f>Dashboard_Live_Data!AR91</x:f>
        <x:v>-103.19999999999999</x:v>
      </x:c>
      <x:c r="D1807" t="n">
        <x:f>Dashboard_Live_Data!AS91</x:f>
        <x:v>822.3450160213688</x:v>
      </x:c>
      <x:c r="E1807" t="n">
        <x:f>Dashboard_Live_Data!AT91</x:f>
        <x:v>-206.39999999999998</x:v>
      </x:c>
      <x:c r="F1807" t="n">
        <x:f>Dashboard_Live_Data!AU91</x:f>
        <x:v>1574.9472856715226</x:v>
      </x:c>
      <x:c r="G1807" t="n">
        <x:f>Dashboard_Live_Data!AV91</x:f>
        <x:v>-206.39999999999998</x:v>
      </x:c>
      <x:c r="H1807" t="n">
        <x:f>Dashboard_Live_Data!AW91</x:f>
        <x:v>1546.1235434612527</x:v>
      </x:c>
    </x:row>
    <x:row r="1808">
      <x:c r="A1808" t="n">
        <x:f>Dashboard_Live_Data!AP92</x:f>
        <x:v>-15</x:v>
      </x:c>
      <x:c r="B1808" t="n">
        <x:f>Dashboard_Live_Data!AQ92</x:f>
        <x:v>2676.298054911225</x:v>
      </x:c>
      <x:c r="C1808" t="n">
        <x:f>Dashboard_Live_Data!AR92</x:f>
        <x:v>-100</x:v>
      </x:c>
      <x:c r="D1808" t="n">
        <x:f>Dashboard_Live_Data!AS92</x:f>
        <x:v>798.9000950122506</x:v>
      </x:c>
      <x:c r="E1808" t="n">
        <x:f>Dashboard_Live_Data!AT92</x:f>
        <x:v>-200</x:v>
      </x:c>
      <x:c r="F1808" t="n">
        <x:f>Dashboard_Live_Data!AU92</x:f>
        <x:v>1522.8401884505734</x:v>
      </x:c>
      <x:c r="G1808" t="n">
        <x:f>Dashboard_Live_Data!AV92</x:f>
        <x:v>-200</x:v>
      </x:c>
      <x:c r="H1808" t="n">
        <x:f>Dashboard_Live_Data!AW92</x:f>
        <x:v>1494.2203317731464</x:v>
      </x:c>
    </x:row>
    <x:row r="1809">
      <x:c r="A1809" t="n">
        <x:f>Dashboard_Live_Data!AP93</x:f>
        <x:v>-14.519999999999996</x:v>
      </x:c>
      <x:c r="B1809" t="n">
        <x:f>Dashboard_Live_Data!AQ93</x:f>
        <x:v>2676.0772755395565</x:v>
      </x:c>
      <x:c r="C1809" t="n">
        <x:f>Dashboard_Live_Data!AR93</x:f>
        <x:v>-96.80000000000001</x:v>
      </x:c>
      <x:c r="D1809" t="n">
        <x:f>Dashboard_Live_Data!AS93</x:f>
        <x:v>775.775665786726</x:v>
      </x:c>
      <x:c r="E1809" t="n">
        <x:f>Dashboard_Live_Data!AT93</x:f>
        <x:v>-193.60000000000002</x:v>
      </x:c>
      <x:c r="F1809" t="n">
        <x:f>Dashboard_Live_Data!AU93</x:f>
        <x:v>1471.2359482529555</x:v>
      </x:c>
      <x:c r="G1809" t="n">
        <x:f>Dashboard_Live_Data!AV93</x:f>
        <x:v>-193.60000000000002</x:v>
      </x:c>
      <x:c r="H1809" t="n">
        <x:f>Dashboard_Live_Data!AW93</x:f>
        <x:v>1442.817695131121</x:v>
      </x:c>
    </x:row>
    <x:row r="1810">
      <x:c r="A1810" t="n">
        <x:f>Dashboard_Live_Data!AP94</x:f>
        <x:v>-13.979999999999997</x:v>
      </x:c>
      <x:c r="B1810" t="n">
        <x:f>Dashboard_Live_Data!AQ94</x:f>
        <x:v>2675.7482372623963</x:v>
      </x:c>
      <x:c r="C1810" t="n">
        <x:f>Dashboard_Live_Data!AR94</x:f>
        <x:v>-93.19999999999999</x:v>
      </x:c>
      <x:c r="D1810" t="n">
        <x:f>Dashboard_Live_Data!AS94</x:f>
        <x:v>749.72198990354</x:v>
      </x:c>
      <x:c r="E1810" t="n">
        <x:f>Dashboard_Live_Data!AT94</x:f>
        <x:v>-186.39999999999998</x:v>
      </x:c>
      <x:c r="F1810" t="n">
        <x:f>Dashboard_Live_Data!AU94</x:f>
        <x:v>1413.9478129220597</x:v>
      </x:c>
      <x:c r="G1810" t="n">
        <x:f>Dashboard_Live_Data!AV94</x:f>
        <x:v>-186.39999999999998</x:v>
      </x:c>
      <x:c r="H1810" t="n">
        <x:f>Dashboard_Live_Data!AW94</x:f>
        <x:v>1385.7328673887378</x:v>
      </x:c>
    </x:row>
    <x:row r="1811">
      <x:c r="A1811" t="n">
        <x:f>Dashboard_Live_Data!AP95</x:f>
        <x:v>-13.5</x:v>
      </x:c>
      <x:c r="B1811" t="n">
        <x:f>Dashboard_Live_Data!AQ95</x:f>
        <x:v>2675.521002594637</x:v>
      </x:c>
      <x:c r="C1811" t="n">
        <x:f>Dashboard_Live_Data!AR95</x:f>
        <x:v>-90</x:v>
      </x:c>
      <x:c r="D1811" t="n">
        <x:f>Dashboard_Live_Data!AS95</x:f>
        <x:v>726.8407684316289</x:v>
      </x:c>
      <x:c r="E1811" t="n">
        <x:f>Dashboard_Live_Data!AT95</x:f>
        <x:v>-180</x:v>
      </x:c>
      <x:c r="F1811" t="n">
        <x:f>Dashboard_Live_Data!AU95</x:f>
        <x:v>1363.4686402752502</x:v>
      </x:c>
      <x:c r="G1811" t="n">
        <x:f>Dashboard_Live_Data!AV95</x:f>
        <x:v>-180</x:v>
      </x:c>
      <x:c r="H1811" t="n">
        <x:f>Dashboard_Live_Data!AW95</x:f>
        <x:v>1335.4348399633955</x:v>
      </x:c>
    </x:row>
    <x:row r="1812">
      <x:c r="A1812" t="n">
        <x:f>Dashboard_Live_Data!AP96</x:f>
        <x:v>-13.019999999999996</x:v>
      </x:c>
      <x:c r="B1812" t="n">
        <x:f>Dashboard_Live_Data!AQ96</x:f>
        <x:v>2675.243509673234</x:v>
      </x:c>
      <x:c r="C1812" t="n">
        <x:f>Dashboard_Live_Data!AR96</x:f>
        <x:v>-86.80000000000001</x:v>
      </x:c>
      <x:c r="D1812" t="n">
        <x:f>Dashboard_Live_Data!AS96</x:f>
        <x:v>704.1134347722967</x:v>
      </x:c>
      <x:c r="E1812" t="n">
        <x:f>Dashboard_Live_Data!AT96</x:f>
        <x:v>-173.60000000000002</x:v>
      </x:c>
      <x:c r="F1812" t="n">
        <x:f>Dashboard_Live_Data!AU96</x:f>
        <x:v>1313.3523256405263</x:v>
      </x:c>
      <x:c r="G1812" t="n">
        <x:f>Dashboard_Live_Data!AV96</x:f>
        <x:v>-173.60000000000002</x:v>
      </x:c>
      <x:c r="H1812" t="n">
        <x:f>Dashboard_Live_Data!AW96</x:f>
        <x:v>1285.5045115158039</x:v>
      </x:c>
    </x:row>
    <x:row r="1813">
      <x:c r="A1813" t="n">
        <x:f>Dashboard_Live_Data!AP97</x:f>
        <x:v>-12.479999999999997</x:v>
      </x:c>
      <x:c r="B1813" t="n">
        <x:f>Dashboard_Live_Data!AQ97</x:f>
        <x:v>2674.8308245474545</x:v>
      </x:c>
      <x:c r="C1813" t="n">
        <x:f>Dashboard_Live_Data!AR97</x:f>
        <x:v>-83.19999999999999</x:v>
      </x:c>
      <x:c r="D1813" t="n">
        <x:f>Dashboard_Live_Data!AS97</x:f>
        <x:v>678.7707236721552</x:v>
      </x:c>
      <x:c r="E1813" t="n">
        <x:f>Dashboard_Live_Data!AT97</x:f>
        <x:v>-166.39999999999998</x:v>
      </x:c>
      <x:c r="F1813" t="n">
        <x:f>Dashboard_Live_Data!AU97</x:f>
        <x:v>1257.9527051449093</x:v>
      </x:c>
      <x:c r="G1813" t="n">
        <x:f>Dashboard_Live_Data!AV97</x:f>
        <x:v>-166.39999999999998</x:v>
      </x:c>
      <x:c r="H1813" t="n">
        <x:f>Dashboard_Live_Data!AW97</x:f>
        <x:v>1230.251296014278</x:v>
      </x:c>
    </x:row>
    <x:row r="1814">
      <x:c r="A1814" t="n">
        <x:f>Dashboard_Live_Data!AP98</x:f>
        <x:v>-12</x:v>
      </x:c>
      <x:c r="B1814" t="n">
        <x:f>Dashboard_Live_Data!AQ98</x:f>
        <x:v>2674.7105794245053</x:v>
      </x:c>
      <x:c r="C1814" t="n">
        <x:f>Dashboard_Live_Data!AR98</x:f>
        <x:v>-80</x:v>
      </x:c>
      <x:c r="D1814" t="n">
        <x:f>Dashboard_Live_Data!AS98</x:f>
        <x:v>656.7701971330839</x:v>
      </x:c>
      <x:c r="E1814" t="n">
        <x:f>Dashboard_Live_Data!AT98</x:f>
        <x:v>-160</x:v>
      </x:c>
      <x:c r="F1814" t="n">
        <x:f>Dashboard_Live_Data!AU98</x:f>
        <x:v>1208.883796960501</x:v>
      </x:c>
      <x:c r="G1814" t="n">
        <x:f>Dashboard_Live_Data!AV98</x:f>
        <x:v>-160</x:v>
      </x:c>
      <x:c r="H1814" t="n">
        <x:f>Dashboard_Live_Data!AW98</x:f>
        <x:v>1181.3360267787766</x:v>
      </x:c>
    </x:row>
    <x:row r="1815">
      <x:c r="A1815" t="n">
        <x:f>Dashboard_Live_Data!AP99</x:f>
        <x:v>-11.519999999999996</x:v>
      </x:c>
      <x:c r="B1815" t="n">
        <x:f>Dashboard_Live_Data!AQ99</x:f>
        <x:v>2674.359012410629</x:v>
      </x:c>
      <x:c r="C1815" t="n">
        <x:f>Dashboard_Live_Data!AR99</x:f>
        <x:v>-76.79999999999995</x:v>
      </x:c>
      <x:c r="D1815" t="n">
        <x:f>Dashboard_Live_Data!AS99</x:f>
        <x:v>635.1547992334081</x:v>
      </x:c>
      <x:c r="E1815" t="n">
        <x:f>Dashboard_Live_Data!AT99</x:f>
        <x:v>-153.5999999999999</x:v>
      </x:c>
      <x:c r="F1815" t="n">
        <x:f>Dashboard_Live_Data!AU99</x:f>
        <x:v>1160.3541102258998</x:v>
      </x:c>
      <x:c r="G1815" t="n">
        <x:f>Dashboard_Live_Data!AV99</x:f>
        <x:v>-153.5999999999999</x:v>
      </x:c>
      <x:c r="H1815" t="n">
        <x:f>Dashboard_Live_Data!AW99</x:f>
        <x:v>1132.9336684812708</x:v>
      </x:c>
    </x:row>
    <x:row r="1816">
      <x:c r="A1816" t="n">
        <x:f>Dashboard_Live_Data!AP100</x:f>
        <x:v>-10.980000000000004</x:v>
      </x:c>
      <x:c r="B1816" t="n">
        <x:f>Dashboard_Live_Data!AQ100</x:f>
        <x:v>2674.190016568398</x:v>
      </x:c>
      <x:c r="C1816" t="n">
        <x:f>Dashboard_Live_Data!AR100</x:f>
        <x:v>-73.20000000000005</x:v>
      </x:c>
      <x:c r="D1816" t="n">
        <x:f>Dashboard_Live_Data!AS100</x:f>
        <x:v>610.8510113002076</x:v>
      </x:c>
      <x:c r="E1816" t="n">
        <x:f>Dashboard_Live_Data!AT100</x:f>
        <x:v>-146.4000000000001</x:v>
      </x:c>
      <x:c r="F1816" t="n">
        <x:f>Dashboard_Live_Data!AU100</x:f>
        <x:v>1106.563522654145</x:v>
      </x:c>
      <x:c r="G1816" t="n">
        <x:f>Dashboard_Live_Data!AV100</x:f>
        <x:v>-146.4000000000001</x:v>
      </x:c>
      <x:c r="H1816" t="n">
        <x:f>Dashboard_Live_Data!AW100</x:f>
        <x:v>1079.2262262421423</x:v>
      </x:c>
    </x:row>
    <x:row r="1817">
      <x:c r="A1817" t="n">
        <x:f>Dashboard_Live_Data!AP101</x:f>
        <x:v>-10.5</x:v>
      </x:c>
      <x:c r="B1817" t="n">
        <x:f>Dashboard_Live_Data!AQ101</x:f>
        <x:v>2673.894654942711</x:v>
      </x:c>
      <x:c r="C1817" t="n">
        <x:f>Dashboard_Live_Data!AR101</x:f>
        <x:v>-70</x:v>
      </x:c>
      <x:c r="D1817" t="n">
        <x:f>Dashboard_Live_Data!AS101</x:f>
        <x:v>589.2813068975925</x:v>
      </x:c>
      <x:c r="E1817" t="n">
        <x:f>Dashboard_Live_Data!AT101</x:f>
        <x:v>-140</x:v>
      </x:c>
      <x:c r="F1817" t="n">
        <x:f>Dashboard_Live_Data!AU101</x:f>
        <x:v>1058.8311599750984</x:v>
      </x:c>
      <x:c r="G1817" t="n">
        <x:f>Dashboard_Live_Data!AV101</x:f>
        <x:v>-140</x:v>
      </x:c>
      <x:c r="H1817" t="n">
        <x:f>Dashboard_Live_Data!AW101</x:f>
        <x:v>1031.5980886484233</x:v>
      </x:c>
    </x:row>
    <x:row r="1818">
      <x:c r="A1818" t="n">
        <x:f>Dashboard_Live_Data!AP102</x:f>
        <x:v>-10.020000000000003</x:v>
      </x:c>
      <x:c r="B1818" t="n">
        <x:f>Dashboard_Live_Data!AQ102</x:f>
        <x:v>2673.759697209001</x:v>
      </x:c>
      <x:c r="C1818" t="n">
        <x:f>Dashboard_Live_Data!AR102</x:f>
        <x:v>-66.80000000000001</x:v>
      </x:c>
      <x:c r="D1818" t="n">
        <x:f>Dashboard_Live_Data!AS102</x:f>
        <x:v>568.2671800772529</x:v>
      </x:c>
      <x:c r="E1818" t="n">
        <x:f>Dashboard_Live_Data!AT102</x:f>
        <x:v>-133.60000000000002</x:v>
      </x:c>
      <x:c r="F1818" t="n">
        <x:f>Dashboard_Live_Data!AU102</x:f>
        <x:v>1012.0645953546137</x:v>
      </x:c>
      <x:c r="G1818" t="n">
        <x:f>Dashboard_Live_Data!AV102</x:f>
        <x:v>-133.60000000000002</x:v>
      </x:c>
      <x:c r="H1818" t="n">
        <x:f>Dashboard_Live_Data!AW102</x:f>
        <x:v>984.8323231675628</x:v>
      </x:c>
    </x:row>
    <x:row r="1819">
      <x:c r="A1819" t="n">
        <x:f>Dashboard_Live_Data!AP103</x:f>
        <x:v>-9.480000000000004</x:v>
      </x:c>
      <x:c r="B1819" t="n">
        <x:f>Dashboard_Live_Data!AQ103</x:f>
        <x:v>2673.572737760398</x:v>
      </x:c>
      <x:c r="C1819" t="n">
        <x:f>Dashboard_Live_Data!AR103</x:f>
        <x:v>-63.19999999999999</x:v>
      </x:c>
      <x:c r="D1819" t="n">
        <x:f>Dashboard_Live_Data!AS103</x:f>
        <x:v>545.3235753259175</x:v>
      </x:c>
      <x:c r="E1819" t="n">
        <x:f>Dashboard_Live_Data!AT103</x:f>
        <x:v>-126.39999999999998</x:v>
      </x:c>
      <x:c r="F1819" t="n">
        <x:f>Dashboard_Live_Data!AU103</x:f>
        <x:v>959.6992490366466</x:v>
      </x:c>
      <x:c r="G1819" t="n">
        <x:f>Dashboard_Live_Data!AV103</x:f>
        <x:v>-126.39999999999998</x:v>
      </x:c>
      <x:c r="H1819" t="n">
        <x:f>Dashboard_Live_Data!AW103</x:f>
        <x:v>932.4708641756583</x:v>
      </x:c>
    </x:row>
    <x:row r="1820">
      <x:c r="A1820" t="n">
        <x:f>Dashboard_Live_Data!AP104</x:f>
        <x:v>-9</x:v>
      </x:c>
      <x:c r="B1820" t="n">
        <x:f>Dashboard_Live_Data!AQ104</x:f>
        <x:v>2673.302473071738</x:v>
      </x:c>
      <x:c r="C1820" t="n">
        <x:f>Dashboard_Live_Data!AR104</x:f>
        <x:v>-60</x:v>
      </x:c>
      <x:c r="D1820" t="n">
        <x:f>Dashboard_Live_Data!AS104</x:f>
        <x:v>525.2418298323732</x:v>
      </x:c>
      <x:c r="E1820" t="n">
        <x:f>Dashboard_Live_Data!AT104</x:f>
        <x:v>-120</x:v>
      </x:c>
      <x:c r="F1820" t="n">
        <x:f>Dashboard_Live_Data!AU104</x:f>
        <x:v>913.7430465581227</x:v>
      </x:c>
      <x:c r="G1820" t="n">
        <x:f>Dashboard_Live_Data!AV104</x:f>
        <x:v>-120</x:v>
      </x:c>
      <x:c r="H1820" t="n">
        <x:f>Dashboard_Live_Data!AW104</x:f>
        <x:v>886.4597372531108</x:v>
      </x:c>
    </x:row>
    <x:row r="1821">
      <x:c r="A1821" t="n">
        <x:f>Dashboard_Live_Data!AP105</x:f>
        <x:v>-8.520000000000003</x:v>
      </x:c>
      <x:c r="B1821" t="n">
        <x:f>Dashboard_Live_Data!AQ105</x:f>
        <x:v>2673.207375269783</x:v>
      </x:c>
      <x:c r="C1821" t="n">
        <x:f>Dashboard_Live_Data!AR105</x:f>
        <x:v>-56.80000000000001</x:v>
      </x:c>
      <x:c r="D1821" t="n">
        <x:f>Dashboard_Live_Data!AS105</x:f>
        <x:v>505.3303245017397</x:v>
      </x:c>
      <x:c r="E1821" t="n">
        <x:f>Dashboard_Live_Data!AT105</x:f>
        <x:v>-113.60000000000002</x:v>
      </x:c>
      <x:c r="F1821" t="n">
        <x:f>Dashboard_Live_Data!AU105</x:f>
        <x:v>868.5395491003828</x:v>
      </x:c>
      <x:c r="G1821" t="n">
        <x:f>Dashboard_Live_Data!AV105</x:f>
        <x:v>-113.60000000000002</x:v>
      </x:c>
      <x:c r="H1821" t="n">
        <x:f>Dashboard_Live_Data!AW105</x:f>
        <x:v>841.1061786695878</x:v>
      </x:c>
    </x:row>
    <x:row r="1822">
      <x:c r="A1822" t="n">
        <x:f>Dashboard_Live_Data!AP106</x:f>
        <x:v>-7.980000000000004</x:v>
      </x:c>
      <x:c r="B1822" t="n">
        <x:f>Dashboard_Live_Data!AQ106</x:f>
        <x:v>2673.1725556374686</x:v>
      </x:c>
      <x:c r="C1822" t="n">
        <x:f>Dashboard_Live_Data!AR106</x:f>
        <x:v>-53.19999999999999</x:v>
      </x:c>
      <x:c r="D1822" t="n">
        <x:f>Dashboard_Live_Data!AS106</x:f>
        <x:v>483.24555653411164</x:v>
      </x:c>
      <x:c r="E1822" t="n">
        <x:f>Dashboard_Live_Data!AT106</x:f>
        <x:v>-106.39999999999998</x:v>
      </x:c>
      <x:c r="F1822" t="n">
        <x:f>Dashboard_Live_Data!AU106</x:f>
        <x:v>817.9688649858522</x:v>
      </x:c>
      <x:c r="G1822" t="n">
        <x:f>Dashboard_Live_Data!AV106</x:f>
        <x:v>-106.39999999999998</x:v>
      </x:c>
      <x:c r="H1822" t="n">
        <x:f>Dashboard_Live_Data!AW106</x:f>
        <x:v>790.3494390057505</x:v>
      </x:c>
    </x:row>
    <x:row r="1823">
      <x:c r="A1823" t="n">
        <x:f>Dashboard_Live_Data!AP107</x:f>
        <x:v>-7.5</x:v>
      </x:c>
      <x:c r="B1823" t="n">
        <x:f>Dashboard_Live_Data!AQ107</x:f>
        <x:v>2672.9293325644585</x:v>
      </x:c>
      <x:c r="C1823" t="n">
        <x:f>Dashboard_Live_Data!AR107</x:f>
        <x:v>-50</x:v>
      </x:c>
      <x:c r="D1823" t="n">
        <x:f>Dashboard_Live_Data!AS107</x:f>
        <x:v>464.1818123077337</x:v>
      </x:c>
      <x:c r="E1823" t="n">
        <x:f>Dashboard_Live_Data!AT107</x:f>
        <x:v>-100</x:v>
      </x:c>
      <x:c r="F1823" t="n">
        <x:f>Dashboard_Live_Data!AU107</x:f>
        <x:v>773.8625324971048</x:v>
      </x:c>
      <x:c r="G1823" t="n">
        <x:f>Dashboard_Live_Data!AV107</x:f>
        <x:v>-100</x:v>
      </x:c>
      <x:c r="H1823" t="n">
        <x:f>Dashboard_Live_Data!AW107</x:f>
        <x:v>745.953527022406</x:v>
      </x:c>
    </x:row>
    <x:row r="1824">
      <x:c r="A1824" t="n">
        <x:f>Dashboard_Live_Data!AP108</x:f>
        <x:v>-7.019999999999996</x:v>
      </x:c>
      <x:c r="B1824" t="n">
        <x:f>Dashboard_Live_Data!AQ108</x:f>
        <x:v>2672.888297210901</x:v>
      </x:c>
      <x:c r="C1824" t="n">
        <x:f>Dashboard_Live_Data!AR108</x:f>
        <x:v>-46.80000000000001</x:v>
      </x:c>
      <x:c r="D1824" t="n">
        <x:f>Dashboard_Live_Data!AS108</x:f>
        <x:v>445.93034998876044</x:v>
      </x:c>
      <x:c r="E1824" t="n">
        <x:f>Dashboard_Live_Data!AT108</x:f>
        <x:v>-93.60000000000002</x:v>
      </x:c>
      <x:c r="F1824" t="n">
        <x:f>Dashboard_Live_Data!AU108</x:f>
        <x:v>730.4506475657673</x:v>
      </x:c>
      <x:c r="G1824" t="n">
        <x:f>Dashboard_Live_Data!AV108</x:f>
        <x:v>-93.60000000000002</x:v>
      </x:c>
      <x:c r="H1824" t="n">
        <x:f>Dashboard_Live_Data!AW108</x:f>
        <x:v>702.144121054545</x:v>
      </x:c>
    </x:row>
    <x:row r="1825">
      <x:c r="A1825" t="n">
        <x:f>Dashboard_Live_Data!AP109</x:f>
        <x:v>-6.479999999999997</x:v>
      </x:c>
      <x:c r="B1825" t="n">
        <x:f>Dashboard_Live_Data!AQ109</x:f>
        <x:v>2672.8488768179254</x:v>
      </x:c>
      <x:c r="C1825" t="n">
        <x:f>Dashboard_Live_Data!AR109</x:f>
        <x:v>-43.19999999999999</x:v>
      </x:c>
      <x:c r="D1825" t="n">
        <x:f>Dashboard_Live_Data!AS109</x:f>
        <x:v>426.13145439102254</x:v>
      </x:c>
      <x:c r="E1825" t="n">
        <x:f>Dashboard_Live_Data!AT109</x:f>
        <x:v>-86.39999999999998</x:v>
      </x:c>
      <x:c r="F1825" t="n">
        <x:f>Dashboard_Live_Data!AU109</x:f>
        <x:v>682.0960655809658</x:v>
      </x:c>
      <x:c r="G1825" t="n">
        <x:f>Dashboard_Live_Data!AV109</x:f>
        <x:v>-86.39999999999998</x:v>
      </x:c>
      <x:c r="H1825" t="n">
        <x:f>Dashboard_Live_Data!AW109</x:f>
        <x:v>653.271654028491</x:v>
      </x:c>
    </x:row>
    <x:row r="1826">
      <x:c r="A1826" t="n">
        <x:f>Dashboard_Live_Data!AP110</x:f>
        <x:v>-6</x:v>
      </x:c>
      <x:c r="B1826" t="n">
        <x:f>Dashboard_Live_Data!AQ110</x:f>
        <x:v>2672.7173618544525</x:v>
      </x:c>
      <x:c r="C1826" t="n">
        <x:f>Dashboard_Live_Data!AR110</x:f>
        <x:v>-40</x:v>
      </x:c>
      <x:c r="D1826" t="n">
        <x:f>Dashboard_Live_Data!AS110</x:f>
        <x:v>409.0096923375385</x:v>
      </x:c>
      <x:c r="E1826" t="n">
        <x:f>Dashboard_Live_Data!AT110</x:f>
        <x:v>-80</x:v>
      </x:c>
      <x:c r="F1826" t="n">
        <x:f>Dashboard_Live_Data!AU110</x:f>
        <x:v>640.0475870733427</x:v>
      </x:c>
      <x:c r="G1826" t="n">
        <x:f>Dashboard_Live_Data!AV110</x:f>
        <x:v>-80</x:v>
      </x:c>
      <x:c r="H1826" t="n">
        <x:f>Dashboard_Live_Data!AW110</x:f>
        <x:v>610.5993837127407</x:v>
      </x:c>
    </x:row>
    <x:row r="1827">
      <x:c r="A1827" t="n">
        <x:f>Dashboard_Live_Data!AP111</x:f>
        <x:v>-5.519999999999996</x:v>
      </x:c>
      <x:c r="B1827" t="n">
        <x:f>Dashboard_Live_Data!AQ111</x:f>
        <x:v>2672.777044222336</x:v>
      </x:c>
      <x:c r="C1827" t="n">
        <x:f>Dashboard_Live_Data!AR111</x:f>
        <x:v>-36.80000000000001</x:v>
      </x:c>
      <x:c r="D1827" t="n">
        <x:f>Dashboard_Live_Data!AS111</x:f>
        <x:v>392.42990322520836</x:v>
      </x:c>
      <x:c r="E1827" t="n">
        <x:f>Dashboard_Live_Data!AT111</x:f>
        <x:v>-73.60000000000002</x:v>
      </x:c>
      <x:c r="F1827" t="n">
        <x:f>Dashboard_Live_Data!AU111</x:f>
        <x:v>599.066176193741</x:v>
      </x:c>
      <x:c r="G1827" t="n">
        <x:f>Dashboard_Live_Data!AV111</x:f>
        <x:v>-73.60000000000002</x:v>
      </x:c>
      <x:c r="H1827" t="n">
        <x:f>Dashboard_Live_Data!AW111</x:f>
        <x:v>568.797072806705</x:v>
      </x:c>
    </x:row>
    <x:row r="1828">
      <x:c r="A1828" t="n">
        <x:f>Dashboard_Live_Data!AP112</x:f>
        <x:v>-4.979999999999997</x:v>
      </x:c>
      <x:c r="B1828" t="n">
        <x:f>Dashboard_Live_Data!AQ112</x:f>
        <x:v>2672.720653805265</x:v>
      </x:c>
      <x:c r="C1828" t="n">
        <x:f>Dashboard_Live_Data!AR112</x:f>
        <x:v>-33.19999999999999</x:v>
      </x:c>
      <x:c r="D1828" t="n">
        <x:f>Dashboard_Live_Data!AS112</x:f>
        <x:v>374.5318753864321</x:v>
      </x:c>
      <x:c r="E1828" t="n">
        <x:f>Dashboard_Live_Data!AT112</x:f>
        <x:v>-66.39999999999998</x:v>
      </x:c>
      <x:c r="F1828" t="n">
        <x:f>Dashboard_Live_Data!AU112</x:f>
        <x:v>553.4978964465374</x:v>
      </x:c>
      <x:c r="G1828" t="n">
        <x:f>Dashboard_Live_Data!AV112</x:f>
        <x:v>-66.39999999999998</x:v>
      </x:c>
      <x:c r="H1828" t="n">
        <x:f>Dashboard_Live_Data!AW112</x:f>
        <x:v>522.2177364636578</x:v>
      </x:c>
    </x:row>
    <x:row r="1829">
      <x:c r="A1829" t="n">
        <x:f>Dashboard_Live_Data!AP113</x:f>
        <x:v>-4.5</x:v>
      </x:c>
      <x:c r="B1829" t="n">
        <x:f>Dashboard_Live_Data!AQ113</x:f>
        <x:v>2672.598639611109</x:v>
      </x:c>
      <x:c r="C1829" t="n">
        <x:f>Dashboard_Live_Data!AR113</x:f>
        <x:v>-30</x:v>
      </x:c>
      <x:c r="D1829" t="n">
        <x:f>Dashboard_Live_Data!AS113</x:f>
        <x:v>359.84961427998934</x:v>
      </x:c>
      <x:c r="E1829" t="n">
        <x:f>Dashboard_Live_Data!AT113</x:f>
        <x:v>-60</x:v>
      </x:c>
      <x:c r="F1829" t="n">
        <x:f>Dashboard_Live_Data!AU113</x:f>
        <x:v>514.9837762599814</x:v>
      </x:c>
      <x:c r="G1829" t="n">
        <x:f>Dashboard_Live_Data!AV113</x:f>
        <x:v>-60</x:v>
      </x:c>
      <x:c r="H1829" t="n">
        <x:f>Dashboard_Live_Data!AW113</x:f>
        <x:v>482.4244073104283</x:v>
      </x:c>
    </x:row>
    <x:row r="1830">
      <x:c r="A1830" t="n">
        <x:f>Dashboard_Live_Data!AP114</x:f>
        <x:v>-4.019999999999996</x:v>
      </x:c>
      <x:c r="B1830" t="n">
        <x:f>Dashboard_Live_Data!AQ114</x:f>
        <x:v>2672.6169862341135</x:v>
      </x:c>
      <x:c r="C1830" t="n">
        <x:f>Dashboard_Live_Data!AR114</x:f>
        <x:v>-26.799999999999955</x:v>
      </x:c>
      <x:c r="D1830" t="n">
        <x:f>Dashboard_Live_Data!AS114</x:f>
        <x:v>346.3884478023773</x:v>
      </x:c>
      <x:c r="E1830" t="n">
        <x:f>Dashboard_Live_Data!AT114</x:f>
        <x:v>-53.59999999999991</x:v>
      </x:c>
      <x:c r="F1830" t="n">
        <x:f>Dashboard_Live_Data!AU114</x:f>
        <x:v>477.1635303185421</x:v>
      </x:c>
      <x:c r="G1830" t="n">
        <x:f>Dashboard_Live_Data!AV114</x:f>
        <x:v>-53.59999999999991</x:v>
      </x:c>
      <x:c r="H1830" t="n">
        <x:f>Dashboard_Live_Data!AW114</x:f>
        <x:v>443.22219695033067</x:v>
      </x:c>
    </x:row>
    <x:row r="1831">
      <x:c r="A1831" t="n">
        <x:f>Dashboard_Live_Data!AP115</x:f>
        <x:v>-3.480000000000004</x:v>
      </x:c>
      <x:c r="B1831" t="n">
        <x:f>Dashboard_Live_Data!AQ115</x:f>
        <x:v>2672.460019122305</x:v>
      </x:c>
      <x:c r="C1831" t="n">
        <x:f>Dashboard_Live_Data!AR115</x:f>
        <x:v>-23.200000000000045</x:v>
      </x:c>
      <x:c r="D1831" t="n">
        <x:f>Dashboard_Live_Data!AS115</x:f>
        <x:v>332.3135990985811</x:v>
      </x:c>
      <x:c r="E1831" t="n">
        <x:f>Dashboard_Live_Data!AT115</x:f>
        <x:v>-46.40000000000009</x:v>
      </x:c>
      <x:c r="F1831" t="n">
        <x:f>Dashboard_Live_Data!AU115</x:f>
        <x:v>437.0157822838088</x:v>
      </x:c>
      <x:c r="G1831" t="n">
        <x:f>Dashboard_Live_Data!AV115</x:f>
        <x:v>-46.40000000000009</x:v>
      </x:c>
      <x:c r="H1831" t="n">
        <x:f>Dashboard_Live_Data!AW115</x:f>
        <x:v>401.113136863523</x:v>
      </x:c>
    </x:row>
    <x:row r="1832">
      <x:c r="A1832" t="n">
        <x:f>Dashboard_Live_Data!AP116</x:f>
        <x:v>-3</x:v>
      </x:c>
      <x:c r="B1832" t="n">
        <x:f>Dashboard_Live_Data!AQ116</x:f>
        <x:v>2672.4187092220745</x:v>
      </x:c>
      <x:c r="C1832" t="n">
        <x:f>Dashboard_Live_Data!AR116</x:f>
        <x:v>-20</x:v>
      </x:c>
      <x:c r="D1832" t="n">
        <x:f>Dashboard_Live_Data!AS116</x:f>
        <x:v>320.93709247243464</x:v>
      </x:c>
      <x:c r="E1832" t="n">
        <x:f>Dashboard_Live_Data!AT116</x:f>
        <x:v>-40</x:v>
      </x:c>
      <x:c r="F1832" t="n">
        <x:f>Dashboard_Live_Data!AU116</x:f>
        <x:v>403.78577502859594</x:v>
      </x:c>
      <x:c r="G1832" t="n">
        <x:f>Dashboard_Live_Data!AV116</x:f>
        <x:v>-40</x:v>
      </x:c>
      <x:c r="H1832" t="n">
        <x:f>Dashboard_Live_Data!AW116</x:f>
        <x:v>365.78076718889946</x:v>
      </x:c>
    </x:row>
    <x:row r="1833">
      <x:c r="A1833" t="n">
        <x:f>Dashboard_Live_Data!AP117</x:f>
        <x:v>-2.520000000000003</x:v>
      </x:c>
      <x:c r="B1833" t="n">
        <x:f>Dashboard_Live_Data!AQ117</x:f>
        <x:v>2672.3765444545224</x:v>
      </x:c>
      <x:c r="C1833" t="n">
        <x:f>Dashboard_Live_Data!AR117</x:f>
        <x:v>-16.80000000000001</x:v>
      </x:c>
      <x:c r="D1833" t="n">
        <x:f>Dashboard_Live_Data!AS117</x:f>
        <x:v>310.87780289071844</x:v>
      </x:c>
      <x:c r="E1833" t="n">
        <x:f>Dashboard_Live_Data!AT117</x:f>
        <x:v>-33.60000000000002</x:v>
      </x:c>
      <x:c r="F1833" t="n">
        <x:f>Dashboard_Live_Data!AU117</x:f>
        <x:v>372.5309517744891</x:v>
      </x:c>
      <x:c r="G1833" t="n">
        <x:f>Dashboard_Live_Data!AV117</x:f>
        <x:v>-33.60000000000002</x:v>
      </x:c>
      <x:c r="H1833" t="n">
        <x:f>Dashboard_Live_Data!AW117</x:f>
        <x:v>332.263191455232</x:v>
      </x:c>
    </x:row>
    <x:row r="1834">
      <x:c r="A1834" t="n">
        <x:f>Dashboard_Live_Data!AP118</x:f>
        <x:v>-1.980000000000004</x:v>
      </x:c>
      <x:c r="B1834" t="n">
        <x:f>Dashboard_Live_Data!AQ118</x:f>
        <x:v>2672.284988766312</x:v>
      </x:c>
      <x:c r="C1834" t="n">
        <x:f>Dashboard_Live_Data!AR118</x:f>
        <x:v>-13.199999999999989</x:v>
      </x:c>
      <x:c r="D1834" t="n">
        <x:f>Dashboard_Live_Data!AS118</x:f>
        <x:v>301.3571579191976</x:v>
      </x:c>
      <x:c r="E1834" t="n">
        <x:f>Dashboard_Live_Data!AT118</x:f>
        <x:v>-26.399999999999977</x:v>
      </x:c>
      <x:c r="F1834" t="n">
        <x:f>Dashboard_Live_Data!AU118</x:f>
        <x:v>342.2544609165582</x:v>
      </x:c>
      <x:c r="G1834" t="n">
        <x:f>Dashboard_Live_Data!AV118</x:f>
        <x:v>-26.399999999999977</x:v>
      </x:c>
      <x:c r="H1834" t="n">
        <x:f>Dashboard_Live_Data!AW118</x:f>
        <x:v>298.9985244554888</x:v>
      </x:c>
    </x:row>
    <x:row r="1835">
      <x:c r="A1835" t="n">
        <x:f>Dashboard_Live_Data!AP119</x:f>
        <x:v>-1.5</x:v>
      </x:c>
      <x:c r="B1835" t="n">
        <x:f>Dashboard_Live_Data!AQ119</x:f>
        <x:v>2672.22526340349</x:v>
      </x:c>
      <x:c r="C1835" t="n">
        <x:f>Dashboard_Live_Data!AR119</x:f>
        <x:v>-10</x:v>
      </x:c>
      <x:c r="D1835" t="n">
        <x:f>Dashboard_Live_Data!AS119</x:f>
        <x:v>294.56495100596084</x:v>
      </x:c>
      <x:c r="E1835" t="n">
        <x:f>Dashboard_Live_Data!AT119</x:f>
        <x:v>-20</x:v>
      </x:c>
      <x:c r="F1835" t="n">
        <x:f>Dashboard_Live_Data!AU119</x:f>
        <x:v>319.39972411695146</x:v>
      </x:c>
      <x:c r="G1835" t="n">
        <x:f>Dashboard_Live_Data!AV119</x:f>
        <x:v>-20</x:v>
      </x:c>
      <x:c r="H1835" t="n">
        <x:f>Dashboard_Live_Data!AW119</x:f>
        <x:v>273.4933998987209</x:v>
      </x:c>
    </x:row>
    <x:row r="1836">
      <x:c r="A1836" t="n">
        <x:f>Dashboard_Live_Data!AP120</x:f>
        <x:v>-1.0200000000000031</x:v>
      </x:c>
      <x:c r="B1836" t="n">
        <x:f>Dashboard_Live_Data!AQ120</x:f>
        <x:v>2672.0265961152877</x:v>
      </x:c>
      <x:c r="C1836" t="n">
        <x:f>Dashboard_Live_Data!AR120</x:f>
        <x:v>-6.800000000000011</x:v>
      </x:c>
      <x:c r="D1836" t="n">
        <x:f>Dashboard_Live_Data!AS120</x:f>
        <x:v>289.8283648752175</x:v>
      </x:c>
      <x:c r="E1836" t="n">
        <x:f>Dashboard_Live_Data!AT120</x:f>
        <x:v>-13.600000000000023</x:v>
      </x:c>
      <x:c r="F1836" t="n">
        <x:f>Dashboard_Live_Data!AU120</x:f>
        <x:v>301.59997247160845</x:v>
      </x:c>
      <x:c r="G1836" t="n">
        <x:f>Dashboard_Live_Data!AV120</x:f>
        <x:v>-13.600000000000023</x:v>
      </x:c>
      <x:c r="H1836" t="n">
        <x:f>Dashboard_Live_Data!AW120</x:f>
        <x:v>253.29273098341292</x:v>
      </x:c>
    </x:row>
    <x:row r="1837">
      <x:c r="A1837" t="n">
        <x:f>Dashboard_Live_Data!AP121</x:f>
        <x:v>-0.480000000000004</x:v>
      </x:c>
      <x:c r="B1837" t="n">
        <x:f>Dashboard_Live_Data!AQ121</x:f>
        <x:v>2671.9704462755117</x:v>
      </x:c>
      <x:c r="C1837" t="n">
        <x:f>Dashboard_Live_Data!AR121</x:f>
        <x:v>-3.1999999999999886</x:v>
      </x:c>
      <x:c r="D1837" t="n">
        <x:f>Dashboard_Live_Data!AS121</x:f>
        <x:v>286.6768082586119</x:v>
      </x:c>
      <x:c r="E1837" t="n">
        <x:f>Dashboard_Live_Data!AT121</x:f>
        <x:v>-6.399999999999977</x:v>
      </x:c>
      <x:c r="F1837" t="n">
        <x:f>Dashboard_Live_Data!AU121</x:f>
        <x:v>289.2412791527174</x:v>
      </x:c>
      <x:c r="G1837" t="n">
        <x:f>Dashboard_Live_Data!AV121</x:f>
        <x:v>-6.399999999999977</x:v>
      </x:c>
      <x:c r="H1837" t="n">
        <x:f>Dashboard_Live_Data!AW121</x:f>
        <x:v>238.96678499620614</x:v>
      </x:c>
    </x:row>
    <x:row r="1838">
      <x:c r="A1838" t="n">
        <x:f>Dashboard_Live_Data!AP122</x:f>
        <x:v>0</x:v>
      </x:c>
      <x:c r="B1838" t="n">
        <x:f>Dashboard_Live_Data!AQ122</x:f>
        <x:v>2671.8569109380314</x:v>
      </x:c>
      <x:c r="C1838" t="n">
        <x:f>Dashboard_Live_Data!AR122</x:f>
        <x:v>0</x:v>
      </x:c>
      <x:c r="D1838" t="n">
        <x:f>Dashboard_Live_Data!AS122</x:f>
        <x:v>285.44962589236945</x:v>
      </x:c>
      <x:c r="E1838" t="n">
        <x:f>Dashboard_Live_Data!AT122</x:f>
        <x:v>0</x:v>
      </x:c>
      <x:c r="F1838" t="n">
        <x:f>Dashboard_Live_Data!AU122</x:f>
        <x:v>285.44962589236945</x:v>
      </x:c>
      <x:c r="G1838" t="n">
        <x:f>Dashboard_Live_Data!AV122</x:f>
        <x:v>0</x:v>
      </x:c>
      <x:c r="H1838" t="n">
        <x:f>Dashboard_Live_Data!AW122</x:f>
        <x:v>234.57893136334926</x:v>
      </x:c>
    </x:row>
    <x:row r="1839">
      <x:c r="A1839" t="n">
        <x:f>Dashboard_Live_Data!AP123</x:f>
        <x:v>0.480000000000004</x:v>
      </x:c>
      <x:c r="B1839" t="n">
        <x:f>Dashboard_Live_Data!AQ123</x:f>
        <x:v>2671.734762465316</x:v>
      </x:c>
      <x:c r="C1839" t="n">
        <x:f>Dashboard_Live_Data!AR123</x:f>
        <x:v>3.1999999999999886</x:v>
      </x:c>
      <x:c r="D1839" t="n">
        <x:f>Dashboard_Live_Data!AS123</x:f>
        <x:v>285.94379017860734</x:v>
      </x:c>
      <x:c r="E1839" t="n">
        <x:f>Dashboard_Live_Data!AT123</x:f>
        <x:v>6.399999999999977</x:v>
      </x:c>
      <x:c r="F1839" t="n">
        <x:f>Dashboard_Live_Data!AU123</x:f>
        <x:v>288.7955768368026</x:v>
      </x:c>
      <x:c r="G1839" t="n">
        <x:f>Dashboard_Live_Data!AV123</x:f>
        <x:v>6.399999999999977</x:v>
      </x:c>
      <x:c r="H1839" t="n">
        <x:f>Dashboard_Live_Data!AW123</x:f>
        <x:v>238.58427038631453</x:v>
      </x:c>
    </x:row>
    <x:row r="1840">
      <x:c r="A1840" t="n">
        <x:f>Dashboard_Live_Data!AP124</x:f>
        <x:v>1.019999999999996</x:v>
      </x:c>
      <x:c r="B1840" t="n">
        <x:f>Dashboard_Live_Data!AQ124</x:f>
        <x:v>2671.6247904009706</x:v>
      </x:c>
      <x:c r="C1840" t="n">
        <x:f>Dashboard_Live_Data!AR124</x:f>
        <x:v>6.7999999999999545</x:v>
      </x:c>
      <x:c r="D1840" t="n">
        <x:f>Dashboard_Live_Data!AS124</x:f>
        <x:v>289.50463278641934</x:v>
      </x:c>
      <x:c r="E1840" t="n">
        <x:f>Dashboard_Live_Data!AT124</x:f>
        <x:v>13.599999999999909</x:v>
      </x:c>
      <x:c r="F1840" t="n">
        <x:f>Dashboard_Live_Data!AU124</x:f>
        <x:v>301.63298762212946</x:v>
      </x:c>
      <x:c r="G1840" t="n">
        <x:f>Dashboard_Live_Data!AV124</x:f>
        <x:v>13.599999999999909</x:v>
      </x:c>
      <x:c r="H1840" t="n">
        <x:f>Dashboard_Live_Data!AW124</x:f>
        <x:v>253.320686057891</x:v>
      </x:c>
    </x:row>
    <x:row r="1841">
      <x:c r="A1841" t="n">
        <x:f>Dashboard_Live_Data!AP125</x:f>
        <x:v>1.499999999999993</x:v>
      </x:c>
      <x:c r="B1841" t="n">
        <x:f>Dashboard_Live_Data!AQ125</x:f>
        <x:v>2671.654913496507</x:v>
      </x:c>
      <x:c r="C1841" t="n">
        <x:f>Dashboard_Live_Data!AR125</x:f>
        <x:v>9.999999999999943</x:v>
      </x:c>
      <x:c r="D1841" t="n">
        <x:f>Dashboard_Live_Data!AS125</x:f>
        <x:v>294.65525229787505</x:v>
      </x:c>
      <x:c r="E1841" t="n">
        <x:f>Dashboard_Live_Data!AT125</x:f>
        <x:v>19.999999999999886</x:v>
      </x:c>
      <x:c r="F1841" t="n">
        <x:f>Dashboard_Live_Data!AU125</x:f>
        <x:v>318.9091927078766</x:v>
      </x:c>
      <x:c r="G1841" t="n">
        <x:f>Dashboard_Live_Data!AV125</x:f>
        <x:v>19.999999999999886</x:v>
      </x:c>
      <x:c r="H1841" t="n">
        <x:f>Dashboard_Live_Data!AW125</x:f>
        <x:v>273.0846489801912</x:v>
      </x:c>
    </x:row>
    <x:row r="1842">
      <x:c r="A1842" t="n">
        <x:f>Dashboard_Live_Data!AP126</x:f>
        <x:v>1.9799999999999969</x:v>
      </x:c>
      <x:c r="B1842" t="n">
        <x:f>Dashboard_Live_Data!AQ126</x:f>
        <x:v>2671.55448128243</x:v>
      </x:c>
      <x:c r="C1842" t="n">
        <x:f>Dashboard_Live_Data!AR126</x:f>
        <x:v>13.199999999999989</x:v>
      </x:c>
      <x:c r="D1842" t="n">
        <x:f>Dashboard_Live_Data!AS126</x:f>
        <x:v>301.38085055997664</x:v>
      </x:c>
      <x:c r="E1842" t="n">
        <x:f>Dashboard_Live_Data!AT126</x:f>
        <x:v>26.399999999999977</x:v>
      </x:c>
      <x:c r="F1842" t="n">
        <x:f>Dashboard_Live_Data!AU126</x:f>
        <x:v>341.8770920620382</x:v>
      </x:c>
      <x:c r="G1842" t="n">
        <x:f>Dashboard_Live_Data!AV126</x:f>
        <x:v>26.399999999999977</x:v>
      </x:c>
      <x:c r="H1842" t="n">
        <x:f>Dashboard_Live_Data!AW126</x:f>
        <x:v>298.68879997180886</x:v>
      </x:c>
    </x:row>
    <x:row r="1843">
      <x:c r="A1843" t="n">
        <x:f>Dashboard_Live_Data!AP127</x:f>
        <x:v>2.520000000000003</x:v>
      </x:c>
      <x:c r="B1843" t="n">
        <x:f>Dashboard_Live_Data!AQ127</x:f>
        <x:v>2671.5552629166887</x:v>
      </x:c>
      <x:c r="C1843" t="n">
        <x:f>Dashboard_Live_Data!AR127</x:f>
        <x:v>16.80000000000001</x:v>
      </x:c>
      <x:c r="D1843" t="n">
        <x:f>Dashboard_Live_Data!AS127</x:f>
        <x:v>310.74079426450356</x:v>
      </x:c>
      <x:c r="E1843" t="n">
        <x:f>Dashboard_Live_Data!AT127</x:f>
        <x:v>33.60000000000002</x:v>
      </x:c>
      <x:c r="F1843" t="n">
        <x:f>Dashboard_Live_Data!AU127</x:f>
        <x:v>372.99975846273446</x:v>
      </x:c>
      <x:c r="G1843" t="n">
        <x:f>Dashboard_Live_Data!AV127</x:f>
        <x:v>33.60000000000002</x:v>
      </x:c>
      <x:c r="H1843" t="n">
        <x:f>Dashboard_Live_Data!AW127</x:f>
        <x:v>332.64252675411603</x:v>
      </x:c>
    </x:row>
    <x:row r="1844">
      <x:c r="A1844" t="n">
        <x:f>Dashboard_Live_Data!AP128</x:f>
        <x:v>3</x:v>
      </x:c>
      <x:c r="B1844" t="n">
        <x:f>Dashboard_Live_Data!AQ128</x:f>
        <x:v>2671.6426309227986</x:v>
      </x:c>
      <x:c r="C1844" t="n">
        <x:f>Dashboard_Live_Data!AR128</x:f>
        <x:v>20</x:v>
      </x:c>
      <x:c r="D1844" t="n">
        <x:f>Dashboard_Live_Data!AS128</x:f>
        <x:v>320.44458185581664</x:v>
      </x:c>
      <x:c r="E1844" t="n">
        <x:f>Dashboard_Live_Data!AT128</x:f>
        <x:v>40</x:v>
      </x:c>
      <x:c r="F1844" t="n">
        <x:f>Dashboard_Live_Data!AU128</x:f>
        <x:v>403.35525783550514</x:v>
      </x:c>
      <x:c r="G1844" t="n">
        <x:f>Dashboard_Live_Data!AV128</x:f>
        <x:v>40</x:v>
      </x:c>
      <x:c r="H1844" t="n">
        <x:f>Dashboard_Live_Data!AW128</x:f>
        <x:v>365.43560445237125</x:v>
      </x:c>
    </x:row>
    <x:row r="1845">
      <x:c r="A1845" t="n">
        <x:f>Dashboard_Live_Data!AP129</x:f>
        <x:v>3.480000000000004</x:v>
      </x:c>
      <x:c r="B1845" t="n">
        <x:f>Dashboard_Live_Data!AQ129</x:f>
        <x:v>2671.5287542409565</x:v>
      </x:c>
      <x:c r="C1845" t="n">
        <x:f>Dashboard_Live_Data!AR129</x:f>
        <x:v>23.200000000000045</x:v>
      </x:c>
      <x:c r="D1845" t="n">
        <x:f>Dashboard_Live_Data!AS129</x:f>
        <x:v>331.6458641659622</x:v>
      </x:c>
      <x:c r="E1845" t="n">
        <x:f>Dashboard_Live_Data!AT129</x:f>
        <x:v>46.40000000000009</x:v>
      </x:c>
      <x:c r="F1845" t="n">
        <x:f>Dashboard_Live_Data!AU129</x:f>
        <x:v>437.3422960859125</x:v>
      </x:c>
      <x:c r="G1845" t="n">
        <x:f>Dashboard_Live_Data!AV129</x:f>
        <x:v>46.40000000000009</x:v>
      </x:c>
      <x:c r="H1845" t="n">
        <x:f>Dashboard_Live_Data!AW129</x:f>
        <x:v>401.37349365440116</x:v>
      </x:c>
    </x:row>
    <x:row r="1846">
      <x:c r="A1846" t="n">
        <x:f>Dashboard_Live_Data!AP130</x:f>
        <x:v>4.019999999999996</x:v>
      </x:c>
      <x:c r="B1846" t="n">
        <x:f>Dashboard_Live_Data!AQ130</x:f>
        <x:v>2671.7164768981124</x:v>
      </x:c>
      <x:c r="C1846" t="n">
        <x:f>Dashboard_Live_Data!AR130</x:f>
        <x:v>26.799999999999955</x:v>
      </x:c>
      <x:c r="D1846" t="n">
        <x:f>Dashboard_Live_Data!AS130</x:f>
        <x:v>346.1259254691169</x:v>
      </x:c>
      <x:c r="E1846" t="n">
        <x:f>Dashboard_Live_Data!AT130</x:f>
        <x:v>53.59999999999991</x:v>
      </x:c>
      <x:c r="F1846" t="n">
        <x:f>Dashboard_Live_Data!AU130</x:f>
        <x:v>477.3110002130046</x:v>
      </x:c>
      <x:c r="G1846" t="n">
        <x:f>Dashboard_Live_Data!AV130</x:f>
        <x:v>53.59999999999991</x:v>
      </x:c>
      <x:c r="H1846" t="n">
        <x:f>Dashboard_Live_Data!AW130</x:f>
        <x:v>443.33938132861306</x:v>
      </x:c>
    </x:row>
    <x:row r="1847">
      <x:c r="A1847" t="n">
        <x:f>Dashboard_Live_Data!AP131</x:f>
        <x:v>4.5</x:v>
      </x:c>
      <x:c r="B1847" t="n">
        <x:f>Dashboard_Live_Data!AQ131</x:f>
        <x:v>2671.6321310975477</x:v>
      </x:c>
      <x:c r="C1847" t="n">
        <x:f>Dashboard_Live_Data!AR131</x:f>
        <x:v>30</x:v>
      </x:c>
      <x:c r="D1847" t="n">
        <x:f>Dashboard_Live_Data!AS131</x:f>
        <x:v>360.2018669174499</x:v>
      </x:c>
      <x:c r="E1847" t="n">
        <x:f>Dashboard_Live_Data!AT131</x:f>
        <x:v>60</x:v>
      </x:c>
      <x:c r="F1847" t="n">
        <x:f>Dashboard_Live_Data!AU131</x:f>
        <x:v>514.7823373735504</x:v>
      </x:c>
      <x:c r="G1847" t="n">
        <x:f>Dashboard_Live_Data!AV131</x:f>
        <x:v>60</x:v>
      </x:c>
      <x:c r="H1847" t="n">
        <x:f>Dashboard_Live_Data!AW131</x:f>
        <x:v>482.26431149858644</x:v>
      </x:c>
    </x:row>
    <x:row r="1848">
      <x:c r="A1848" t="n">
        <x:f>Dashboard_Live_Data!AP132</x:f>
        <x:v>4.980000000000004</x:v>
      </x:c>
      <x:c r="B1848" t="n">
        <x:f>Dashboard_Live_Data!AQ132</x:f>
        <x:v>2671.7859679590338</x:v>
      </x:c>
      <x:c r="C1848" t="n">
        <x:f>Dashboard_Live_Data!AR132</x:f>
        <x:v>33.19999999999999</x:v>
      </x:c>
      <x:c r="D1848" t="n">
        <x:f>Dashboard_Live_Data!AS132</x:f>
        <x:v>374.979174132014</x:v>
      </x:c>
      <x:c r="E1848" t="n">
        <x:f>Dashboard_Live_Data!AT132</x:f>
        <x:v>66.39999999999998</x:v>
      </x:c>
      <x:c r="F1848" t="n">
        <x:f>Dashboard_Live_Data!AU132</x:f>
        <x:v>553.9006055367959</x:v>
      </x:c>
      <x:c r="G1848" t="n">
        <x:f>Dashboard_Live_Data!AV132</x:f>
        <x:v>66.39999999999998</x:v>
      </x:c>
      <x:c r="H1848" t="n">
        <x:f>Dashboard_Live_Data!AW132</x:f>
        <x:v>522.5382572248163</x:v>
      </x:c>
    </x:row>
    <x:row r="1849">
      <x:c r="A1849" t="n">
        <x:f>Dashboard_Live_Data!AP133</x:f>
        <x:v>5.52000000000001</x:v>
      </x:c>
      <x:c r="B1849" t="n">
        <x:f>Dashboard_Live_Data!AQ133</x:f>
        <x:v>2672.0025883219796</x:v>
      </x:c>
      <x:c r="C1849" t="n">
        <x:f>Dashboard_Live_Data!AR133</x:f>
        <x:v>36.80000000000001</x:v>
      </x:c>
      <x:c r="D1849" t="n">
        <x:f>Dashboard_Live_Data!AS133</x:f>
        <x:v>392.2776829264379</x:v>
      </x:c>
      <x:c r="E1849" t="n">
        <x:f>Dashboard_Live_Data!AT133</x:f>
        <x:v>73.60000000000002</x:v>
      </x:c>
      <x:c r="F1849" t="n">
        <x:f>Dashboard_Live_Data!AU133</x:f>
        <x:v>598.7767662365345</x:v>
      </x:c>
      <x:c r="G1849" t="n">
        <x:f>Dashboard_Live_Data!AV133</x:f>
        <x:v>73.60000000000002</x:v>
      </x:c>
      <x:c r="H1849" t="n">
        <x:f>Dashboard_Live_Data!AW133</x:f>
        <x:v>568.565823552878</x:v>
      </x:c>
    </x:row>
    <x:row r="1850">
      <x:c r="A1850" t="n">
        <x:f>Dashboard_Live_Data!AP134</x:f>
        <x:v>6</x:v>
      </x:c>
      <x:c r="B1850" t="n">
        <x:f>Dashboard_Live_Data!AQ134</x:f>
        <x:v>2672.145907617792</x:v>
      </x:c>
      <x:c r="C1850" t="n">
        <x:f>Dashboard_Live_Data!AR134</x:f>
        <x:v>40.00000000000006</x:v>
      </x:c>
      <x:c r="D1850" t="n">
        <x:f>Dashboard_Live_Data!AS134</x:f>
        <x:v>408.57024154816395</x:v>
      </x:c>
      <x:c r="E1850" t="n">
        <x:f>Dashboard_Live_Data!AT134</x:f>
        <x:v>80.00000000000011</x:v>
      </x:c>
      <x:c r="F1850" t="n">
        <x:f>Dashboard_Live_Data!AU134</x:f>
        <x:v>640.0379285550378</x:v>
      </x:c>
      <x:c r="G1850" t="n">
        <x:f>Dashboard_Live_Data!AV134</x:f>
        <x:v>80.00000000000011</x:v>
      </x:c>
      <x:c r="H1850" t="n">
        <x:f>Dashboard_Live_Data!AW134</x:f>
        <x:v>610.5916323677442</x:v>
      </x:c>
    </x:row>
    <x:row r="1851">
      <x:c r="A1851" t="n">
        <x:f>Dashboard_Live_Data!AP135</x:f>
        <x:v>6.480000000000004</x:v>
      </x:c>
      <x:c r="B1851" t="n">
        <x:f>Dashboard_Live_Data!AQ135</x:f>
        <x:v>2672.262088376571</x:v>
      </x:c>
      <x:c r="C1851" t="n">
        <x:f>Dashboard_Live_Data!AR135</x:f>
        <x:v>43.200000000000045</x:v>
      </x:c>
      <x:c r="D1851" t="n">
        <x:f>Dashboard_Live_Data!AS135</x:f>
        <x:v>425.93971816821346</x:v>
      </x:c>
      <x:c r="E1851" t="n">
        <x:f>Dashboard_Live_Data!AT135</x:f>
        <x:v>86.40000000000009</x:v>
      </x:c>
      <x:c r="F1851" t="n">
        <x:f>Dashboard_Live_Data!AU135</x:f>
        <x:v>682.1647345655422</x:v>
      </x:c>
      <x:c r="G1851" t="n">
        <x:f>Dashboard_Live_Data!AV135</x:f>
        <x:v>86.40000000000009</x:v>
      </x:c>
      <x:c r="H1851" t="n">
        <x:f>Dashboard_Live_Data!AW135</x:f>
        <x:v>653.3270706754272</x:v>
      </x:c>
    </x:row>
    <x:row r="1852">
      <x:c r="A1852" t="n">
        <x:f>Dashboard_Live_Data!AP136</x:f>
        <x:v>7.019999999999996</x:v>
      </x:c>
      <x:c r="B1852" t="n">
        <x:f>Dashboard_Live_Data!AQ136</x:f>
        <x:v>2672.4787069540553</x:v>
      </x:c>
      <x:c r="C1852" t="n">
        <x:f>Dashboard_Live_Data!AR136</x:f>
        <x:v>46.80000000000001</x:v>
      </x:c>
      <x:c r="D1852" t="n">
        <x:f>Dashboard_Live_Data!AS136</x:f>
        <x:v>446.3421213823275</x:v>
      </x:c>
      <x:c r="E1852" t="n">
        <x:f>Dashboard_Live_Data!AT136</x:f>
        <x:v>93.60000000000002</x:v>
      </x:c>
      <x:c r="F1852" t="n">
        <x:f>Dashboard_Live_Data!AU136</x:f>
        <x:v>730.1679277696081</x:v>
      </x:c>
      <x:c r="G1852" t="n">
        <x:f>Dashboard_Live_Data!AV136</x:f>
        <x:v>93.60000000000002</x:v>
      </x:c>
      <x:c r="H1852" t="n">
        <x:f>Dashboard_Live_Data!AW136</x:f>
        <x:v>701.9144007435814</x:v>
      </x:c>
    </x:row>
    <x:row r="1853">
      <x:c r="A1853" t="n">
        <x:f>Dashboard_Live_Data!AP137</x:f>
        <x:v>7.5</x:v>
      </x:c>
      <x:c r="B1853" t="n">
        <x:f>Dashboard_Live_Data!AQ137</x:f>
        <x:v>2672.7084579796765</x:v>
      </x:c>
      <x:c r="C1853" t="n">
        <x:f>Dashboard_Live_Data!AR137</x:f>
        <x:v>50</x:v>
      </x:c>
      <x:c r="D1853" t="n">
        <x:f>Dashboard_Live_Data!AS137</x:f>
        <x:v>464.7813525203341</x:v>
      </x:c>
      <x:c r="E1853" t="n">
        <x:f>Dashboard_Live_Data!AT137</x:f>
        <x:v>100</x:v>
      </x:c>
      <x:c r="F1853" t="n">
        <x:f>Dashboard_Live_Data!AU137</x:f>
        <x:v>773.8737899853746</x:v>
      </x:c>
      <x:c r="G1853" t="n">
        <x:f>Dashboard_Live_Data!AV137</x:f>
        <x:v>100</x:v>
      </x:c>
      <x:c r="H1853" t="n">
        <x:f>Dashboard_Live_Data!AW137</x:f>
        <x:v>745.9627344688287</x:v>
      </x:c>
    </x:row>
    <x:row r="1854">
      <x:c r="A1854" t="n">
        <x:f>Dashboard_Live_Data!AP138</x:f>
        <x:v>7.980000000000004</x:v>
      </x:c>
      <x:c r="B1854" t="n">
        <x:f>Dashboard_Live_Data!AQ138</x:f>
        <x:v>2672.811129833762</x:v>
      </x:c>
      <x:c r="C1854" t="n">
        <x:f>Dashboard_Live_Data!AR138</x:f>
        <x:v>53.19999999999999</x:v>
      </x:c>
      <x:c r="D1854" t="n">
        <x:f>Dashboard_Live_Data!AS138</x:f>
        <x:v>483.4361058635791</x:v>
      </x:c>
      <x:c r="E1854" t="n">
        <x:f>Dashboard_Live_Data!AT138</x:f>
        <x:v>106.39999999999998</x:v>
      </x:c>
      <x:c r="F1854" t="n">
        <x:f>Dashboard_Live_Data!AU138</x:f>
        <x:v>818.2319444740547</x:v>
      </x:c>
      <x:c r="G1854" t="n">
        <x:f>Dashboard_Live_Data!AV138</x:f>
        <x:v>106.39999999999998</x:v>
      </x:c>
      <x:c r="H1854" t="n">
        <x:f>Dashboard_Live_Data!AW138</x:f>
        <x:v>790.5661176236786</x:v>
      </x:c>
    </x:row>
    <x:row r="1855">
      <x:c r="A1855" t="n">
        <x:f>Dashboard_Live_Data!AP139</x:f>
        <x:v>8.519999999999996</x:v>
      </x:c>
      <x:c r="B1855" t="n">
        <x:f>Dashboard_Live_Data!AQ139</x:f>
        <x:v>2673.0186412762982</x:v>
      </x:c>
      <x:c r="C1855" t="n">
        <x:f>Dashboard_Live_Data!AR139</x:f>
        <x:v>56.799999999999955</x:v>
      </x:c>
      <x:c r="D1855" t="n">
        <x:f>Dashboard_Live_Data!AS139</x:f>
        <x:v>505.1728402834789</x:v>
      </x:c>
      <x:c r="E1855" t="n">
        <x:f>Dashboard_Live_Data!AT139</x:f>
        <x:v>113.59999999999991</x:v>
      </x:c>
      <x:c r="F1855" t="n">
        <x:f>Dashboard_Live_Data!AU139</x:f>
        <x:v>868.33044410973</x:v>
      </x:c>
      <x:c r="G1855" t="n">
        <x:f>Dashboard_Live_Data!AV139</x:f>
        <x:v>113.59999999999991</x:v>
      </x:c>
      <x:c r="H1855" t="n">
        <x:f>Dashboard_Live_Data!AW139</x:f>
        <x:v>840.9326078964309</x:v>
      </x:c>
    </x:row>
    <x:row r="1856">
      <x:c r="A1856" t="n">
        <x:f>Dashboard_Live_Data!AP140</x:f>
        <x:v>9</x:v>
      </x:c>
      <x:c r="B1856" t="n">
        <x:f>Dashboard_Live_Data!AQ140</x:f>
        <x:v>2673.298433729452</x:v>
      </x:c>
      <x:c r="C1856" t="n">
        <x:f>Dashboard_Live_Data!AR140</x:f>
        <x:v>59.99999999999994</x:v>
      </x:c>
      <x:c r="D1856" t="n">
        <x:f>Dashboard_Live_Data!AS140</x:f>
        <x:v>525.0301956551476</x:v>
      </x:c>
      <x:c r="E1856" t="n">
        <x:f>Dashboard_Live_Data!AT140</x:f>
        <x:v>119.99999999999989</x:v>
      </x:c>
      <x:c r="F1856" t="n">
        <x:f>Dashboard_Live_Data!AU140</x:f>
        <x:v>914.0428007371116</x:v>
      </x:c>
      <x:c r="G1856" t="n">
        <x:f>Dashboard_Live_Data!AV140</x:f>
        <x:v>119.99999999999989</x:v>
      </x:c>
      <x:c r="H1856" t="n">
        <x:f>Dashboard_Live_Data!AW140</x:f>
        <x:v>886.7103694425493</x:v>
      </x:c>
    </x:row>
    <x:row r="1857">
      <x:c r="A1857" t="n">
        <x:f>Dashboard_Live_Data!AP141</x:f>
        <x:v>9.47999999999999</x:v>
      </x:c>
      <x:c r="B1857" t="n">
        <x:f>Dashboard_Live_Data!AQ141</x:f>
        <x:v>2673.5257336157</x:v>
      </x:c>
      <x:c r="C1857" t="n">
        <x:f>Dashboard_Live_Data!AR141</x:f>
        <x:v>63.19999999999999</x:v>
      </x:c>
      <x:c r="D1857" t="n">
        <x:f>Dashboard_Live_Data!AS141</x:f>
        <x:v>545.294526979861</x:v>
      </x:c>
      <x:c r="E1857" t="n">
        <x:f>Dashboard_Live_Data!AT141</x:f>
        <x:v>126.39999999999998</x:v>
      </x:c>
      <x:c r="F1857" t="n">
        <x:f>Dashboard_Live_Data!AU141</x:f>
        <x:v>959.7681106792701</x:v>
      </x:c>
      <x:c r="G1857" t="n">
        <x:f>Dashboard_Live_Data!AV141</x:f>
        <x:v>126.39999999999998</x:v>
      </x:c>
      <x:c r="H1857" t="n">
        <x:f>Dashboard_Live_Data!AW141</x:f>
        <x:v>932.5288448805254</x:v>
      </x:c>
    </x:row>
    <x:row r="1858">
      <x:c r="A1858" t="n">
        <x:f>Dashboard_Live_Data!AP142</x:f>
        <x:v>10.019999999999996</x:v>
      </x:c>
      <x:c r="B1858" t="n">
        <x:f>Dashboard_Live_Data!AQ142</x:f>
        <x:v>2673.882119678937</x:v>
      </x:c>
      <x:c r="C1858" t="n">
        <x:f>Dashboard_Live_Data!AR142</x:f>
        <x:v>66.80000000000001</x:v>
      </x:c>
      <x:c r="D1858" t="n">
        <x:f>Dashboard_Live_Data!AS142</x:f>
        <x:v>568.6160000022179</x:v>
      </x:c>
      <x:c r="E1858" t="n">
        <x:f>Dashboard_Live_Data!AT142</x:f>
        <x:v>133.60000000000002</x:v>
      </x:c>
      <x:c r="F1858" t="n">
        <x:f>Dashboard_Live_Data!AU142</x:f>
        <x:v>1011.9614443866486</x:v>
      </x:c>
      <x:c r="G1858" t="n">
        <x:f>Dashboard_Live_Data!AV142</x:f>
        <x:v>133.60000000000002</x:v>
      </x:c>
      <x:c r="H1858" t="n">
        <x:f>Dashboard_Live_Data!AW142</x:f>
        <x:v>984.7447767945712</x:v>
      </x:c>
    </x:row>
    <x:row r="1859">
      <x:c r="A1859" t="n">
        <x:f>Dashboard_Live_Data!AP143</x:f>
        <x:v>10.5</x:v>
      </x:c>
      <x:c r="B1859" t="n">
        <x:f>Dashboard_Live_Data!AQ143</x:f>
        <x:v>2674.108450593098</x:v>
      </x:c>
      <x:c r="C1859" t="n">
        <x:f>Dashboard_Live_Data!AR143</x:f>
        <x:v>70</x:v>
      </x:c>
      <x:c r="D1859" t="n">
        <x:f>Dashboard_Live_Data!AS143</x:f>
        <x:v>589.5950730129001</x:v>
      </x:c>
      <x:c r="E1859" t="n">
        <x:f>Dashboard_Live_Data!AT143</x:f>
        <x:v>140</x:v>
      </x:c>
      <x:c r="F1859" t="n">
        <x:f>Dashboard_Live_Data!AU143</x:f>
        <x:v>1059.1278356854446</x:v>
      </x:c>
      <x:c r="G1859" t="n">
        <x:f>Dashboard_Live_Data!AV143</x:f>
        <x:v>140</x:v>
      </x:c>
      <x:c r="H1859" t="n">
        <x:f>Dashboard_Live_Data!AW143</x:f>
        <x:v>1031.851625789072</x:v>
      </x:c>
    </x:row>
    <x:row r="1860">
      <x:c r="A1860" t="n">
        <x:f>Dashboard_Live_Data!AP144</x:f>
        <x:v>10.980000000000004</x:v>
      </x:c>
      <x:c r="B1860" t="n">
        <x:f>Dashboard_Live_Data!AQ144</x:f>
        <x:v>2674.284219824957</x:v>
      </x:c>
      <x:c r="C1860" t="n">
        <x:f>Dashboard_Live_Data!AR144</x:f>
        <x:v>73.20000000000005</x:v>
      </x:c>
      <x:c r="D1860" t="n">
        <x:f>Dashboard_Live_Data!AS144</x:f>
        <x:v>610.6232752319127</x:v>
      </x:c>
      <x:c r="E1860" t="n">
        <x:f>Dashboard_Live_Data!AT144</x:f>
        <x:v>146.4000000000001</x:v>
      </x:c>
      <x:c r="F1860" t="n">
        <x:f>Dashboard_Live_Data!AU144</x:f>
        <x:v>1106.2320111687281</x:v>
      </x:c>
      <x:c r="G1860" t="n">
        <x:f>Dashboard_Live_Data!AV144</x:f>
        <x:v>146.4000000000001</x:v>
      </x:c>
      <x:c r="H1860" t="n">
        <x:f>Dashboard_Live_Data!AW144</x:f>
        <x:v>1078.9410179985136</x:v>
      </x:c>
    </x:row>
    <x:row r="1861">
      <x:c r="A1861" t="n">
        <x:f>Dashboard_Live_Data!AP145</x:f>
        <x:v>11.519999999999996</x:v>
      </x:c>
      <x:c r="B1861" t="n">
        <x:f>Dashboard_Live_Data!AQ145</x:f>
        <x:v>2674.619771268388</x:v>
      </x:c>
      <x:c r="C1861" t="n">
        <x:f>Dashboard_Live_Data!AR145</x:f>
        <x:v>76.79999999999995</x:v>
      </x:c>
      <x:c r="D1861" t="n">
        <x:f>Dashboard_Live_Data!AS145</x:f>
        <x:v>634.7142430382997</x:v>
      </x:c>
      <x:c r="E1861" t="n">
        <x:f>Dashboard_Live_Data!AT145</x:f>
        <x:v>153.5999999999999</x:v>
      </x:c>
      <x:c r="F1861" t="n">
        <x:f>Dashboard_Live_Data!AU145</x:f>
        <x:v>1160.4295298230816</x:v>
      </x:c>
      <x:c r="G1861" t="n">
        <x:f>Dashboard_Live_Data!AV145</x:f>
        <x:v>153.5999999999999</x:v>
      </x:c>
      <x:c r="H1861" t="n">
        <x:f>Dashboard_Live_Data!AW145</x:f>
        <x:v>1132.999036177561</x:v>
      </x:c>
    </x:row>
    <x:row r="1862">
      <x:c r="A1862" t="n">
        <x:f>Dashboard_Live_Data!AP146</x:f>
        <x:v>12</x:v>
      </x:c>
      <x:c r="B1862" t="n">
        <x:f>Dashboard_Live_Data!AQ146</x:f>
        <x:v>2674.811288200135</x:v>
      </x:c>
      <x:c r="C1862" t="n">
        <x:f>Dashboard_Live_Data!AR146</x:f>
        <x:v>80</x:v>
      </x:c>
      <x:c r="D1862" t="n">
        <x:f>Dashboard_Live_Data!AS146</x:f>
        <x:v>656.7596814523544</x:v>
      </x:c>
      <x:c r="E1862" t="n">
        <x:f>Dashboard_Live_Data!AT146</x:f>
        <x:v>160</x:v>
      </x:c>
      <x:c r="F1862" t="n">
        <x:f>Dashboard_Live_Data!AU146</x:f>
        <x:v>1208.8255450611855</x:v>
      </x:c>
      <x:c r="G1862" t="n">
        <x:f>Dashboard_Live_Data!AV146</x:f>
        <x:v>160</x:v>
      </x:c>
      <x:c r="H1862" t="n">
        <x:f>Dashboard_Live_Data!AW146</x:f>
        <x:v>1181.28521935239</x:v>
      </x:c>
    </x:row>
    <x:row r="1863">
      <x:c r="A1863" t="n">
        <x:f>Dashboard_Live_Data!AP147</x:f>
        <x:v>12.480000000000004</x:v>
      </x:c>
      <x:c r="B1863" t="n">
        <x:f>Dashboard_Live_Data!AQ147</x:f>
        <x:v>2675.095778091706</x:v>
      </x:c>
      <x:c r="C1863" t="n">
        <x:f>Dashboard_Live_Data!AR147</x:f>
        <x:v>83.19999999999999</x:v>
      </x:c>
      <x:c r="D1863" t="n">
        <x:f>Dashboard_Live_Data!AS147</x:f>
        <x:v>678.934378578411</x:v>
      </x:c>
      <x:c r="E1863" t="n">
        <x:f>Dashboard_Live_Data!AT147</x:f>
        <x:v>166.39999999999998</x:v>
      </x:c>
      <x:c r="F1863" t="n">
        <x:f>Dashboard_Live_Data!AU147</x:f>
        <x:v>1257.6964388963677</x:v>
      </x:c>
      <x:c r="G1863" t="n">
        <x:f>Dashboard_Live_Data!AV147</x:f>
        <x:v>166.39999999999998</x:v>
      </x:c>
      <x:c r="H1863" t="n">
        <x:f>Dashboard_Live_Data!AW147</x:f>
        <x:v>1230.026408396081</x:v>
      </x:c>
    </x:row>
    <x:row r="1864">
      <x:c r="A1864" t="n">
        <x:f>Dashboard_Live_Data!AP148</x:f>
        <x:v>13.02000000000001</x:v>
      </x:c>
      <x:c r="B1864" t="n">
        <x:f>Dashboard_Live_Data!AQ148</x:f>
        <x:v>2675.2952657628025</x:v>
      </x:c>
      <x:c r="C1864" t="n">
        <x:f>Dashboard_Live_Data!AR148</x:f>
        <x:v>86.80000000000001</x:v>
      </x:c>
      <x:c r="D1864" t="n">
        <x:f>Dashboard_Live_Data!AS148</x:f>
        <x:v>704.1449836362386</x:v>
      </x:c>
      <x:c r="E1864" t="n">
        <x:f>Dashboard_Live_Data!AT148</x:f>
        <x:v>173.60000000000002</x:v>
      </x:c>
      <x:c r="F1864" t="n">
        <x:f>Dashboard_Live_Data!AU148</x:f>
        <x:v>1313.5384373341913</x:v>
      </x:c>
      <x:c r="G1864" t="n">
        <x:f>Dashboard_Live_Data!AV148</x:f>
        <x:v>173.60000000000002</x:v>
      </x:c>
      <x:c r="H1864" t="n">
        <x:f>Dashboard_Live_Data!AW148</x:f>
        <x:v>1285.6689097446642</x:v>
      </x:c>
    </x:row>
    <x:row r="1865">
      <x:c r="A1865" t="n">
        <x:f>Dashboard_Live_Data!AP149</x:f>
        <x:v>13.5</x:v>
      </x:c>
      <x:c r="B1865" t="n">
        <x:f>Dashboard_Live_Data!AQ149</x:f>
        <x:v>2675.586944487273</x:v>
      </x:c>
      <x:c r="C1865" t="n">
        <x:f>Dashboard_Live_Data!AR149</x:f>
        <x:v>90.00000000000006</x:v>
      </x:c>
      <x:c r="D1865" t="n">
        <x:f>Dashboard_Live_Data!AS149</x:f>
        <x:v>726.6812853306784</x:v>
      </x:c>
      <x:c r="E1865" t="n">
        <x:f>Dashboard_Live_Data!AT149</x:f>
        <x:v>180.0000000000001</x:v>
      </x:c>
      <x:c r="F1865" t="n">
        <x:f>Dashboard_Live_Data!AU149</x:f>
        <x:v>1363.4922501356443</x:v>
      </x:c>
      <x:c r="G1865" t="n">
        <x:f>Dashboard_Live_Data!AV149</x:f>
        <x:v>180.0000000000001</x:v>
      </x:c>
      <x:c r="H1865" t="n">
        <x:f>Dashboard_Live_Data!AW149</x:f>
        <x:v>1335.4558137640058</x:v>
      </x:c>
    </x:row>
    <x:row r="1866">
      <x:c r="A1866" t="n">
        <x:f>Dashboard_Live_Data!AP150</x:f>
        <x:v>13.980000000000004</x:v>
      </x:c>
      <x:c r="B1866" t="n">
        <x:f>Dashboard_Live_Data!AQ150</x:f>
        <x:v>2675.7284415974937</x:v>
      </x:c>
      <x:c r="C1866" t="n">
        <x:f>Dashboard_Live_Data!AR150</x:f>
        <x:v>93.20000000000005</x:v>
      </x:c>
      <x:c r="D1866" t="n">
        <x:f>Dashboard_Live_Data!AS150</x:f>
        <x:v>749.5015119345261</x:v>
      </x:c>
      <x:c r="E1866" t="n">
        <x:f>Dashboard_Live_Data!AT150</x:f>
        <x:v>186.4000000000001</x:v>
      </x:c>
      <x:c r="F1866" t="n">
        <x:f>Dashboard_Live_Data!AU150</x:f>
        <x:v>1413.8780595568705</x:v>
      </x:c>
      <x:c r="G1866" t="n">
        <x:f>Dashboard_Live_Data!AV150</x:f>
        <x:v>186.4000000000001</x:v>
      </x:c>
      <x:c r="H1866" t="n">
        <x:f>Dashboard_Live_Data!AW150</x:f>
        <x:v>1385.6705698984597</x:v>
      </x:c>
    </x:row>
    <x:row r="1867">
      <x:c r="A1867" t="n">
        <x:f>Dashboard_Live_Data!AP151</x:f>
        <x:v>14.519999999999996</x:v>
      </x:c>
      <x:c r="B1867" t="n">
        <x:f>Dashboard_Live_Data!AQ151</x:f>
        <x:v>2676.03978450837</x:v>
      </x:c>
      <x:c r="C1867" t="n">
        <x:f>Dashboard_Live_Data!AR151</x:f>
        <x:v>96.80000000000001</x:v>
      </x:c>
      <x:c r="D1867" t="n">
        <x:f>Dashboard_Live_Data!AS151</x:f>
        <x:v>775.4018440048759</x:v>
      </x:c>
      <x:c r="E1867" t="n">
        <x:f>Dashboard_Live_Data!AT151</x:f>
        <x:v>193.60000000000002</x:v>
      </x:c>
      <x:c r="F1867" t="n">
        <x:f>Dashboard_Live_Data!AU151</x:f>
        <x:v>1471.4549088802494</x:v>
      </x:c>
      <x:c r="G1867" t="n">
        <x:f>Dashboard_Live_Data!AV151</x:f>
        <x:v>193.60000000000002</x:v>
      </x:c>
      <x:c r="H1867" t="n">
        <x:f>Dashboard_Live_Data!AW151</x:f>
        <x:v>1443.0143943069845</x:v>
      </x:c>
    </x:row>
    <x:row r="1868">
      <x:c r="A1868" t="n">
        <x:f>Dashboard_Live_Data!AP152</x:f>
        <x:v>15</x:v>
      </x:c>
      <x:c r="B1868" t="n">
        <x:f>Dashboard_Live_Data!AQ152</x:f>
        <x:v>2676.4128817659403</x:v>
      </x:c>
      <x:c r="C1868" t="n">
        <x:f>Dashboard_Live_Data!AR152</x:f>
        <x:v>100</x:v>
      </x:c>
      <x:c r="D1868" t="n">
        <x:f>Dashboard_Live_Data!AS152</x:f>
        <x:v>798.9128126847422</x:v>
      </x:c>
      <x:c r="E1868" t="n">
        <x:f>Dashboard_Live_Data!AT152</x:f>
        <x:v>200</x:v>
      </x:c>
      <x:c r="F1868" t="n">
        <x:f>Dashboard_Live_Data!AU152</x:f>
        <x:v>1522.8148844349405</x:v>
      </x:c>
      <x:c r="G1868" t="n">
        <x:f>Dashboard_Live_Data!AV152</x:f>
        <x:v>200</x:v>
      </x:c>
      <x:c r="H1868" t="n">
        <x:f>Dashboard_Live_Data!AW152</x:f>
        <x:v>1494.197489623103</x:v>
      </x:c>
    </x:row>
    <x:row r="1869">
      <x:c r="A1869" t="n">
        <x:f>Dashboard_Live_Data!AP153</x:f>
        <x:v>15.480000000000004</x:v>
      </x:c>
      <x:c r="B1869" t="n">
        <x:f>Dashboard_Live_Data!AQ153</x:f>
        <x:v>2676.700779028285</x:v>
      </x:c>
      <x:c r="C1869" t="n">
        <x:f>Dashboard_Live_Data!AR153</x:f>
        <x:v>103.19999999999999</x:v>
      </x:c>
      <x:c r="D1869" t="n">
        <x:f>Dashboard_Live_Data!AS153</x:f>
        <x:v>822.691392020902</x:v>
      </x:c>
      <x:c r="E1869" t="n">
        <x:f>Dashboard_Live_Data!AT153</x:f>
        <x:v>206.39999999999998</x:v>
      </x:c>
      <x:c r="F1869" t="n">
        <x:f>Dashboard_Live_Data!AU153</x:f>
        <x:v>1574.8772268654202</x:v>
      </x:c>
      <x:c r="G1869" t="n">
        <x:f>Dashboard_Live_Data!AV153</x:f>
        <x:v>206.39999999999998</x:v>
      </x:c>
      <x:c r="H1869" t="n">
        <x:f>Dashboard_Live_Data!AW153</x:f>
        <x:v>1546.060002257067</x:v>
      </x:c>
    </x:row>
    <x:row r="1870">
      <x:c r="A1870" t="n">
        <x:f>Dashboard_Live_Data!AP154</x:f>
        <x:v>16.019999999999996</x:v>
      </x:c>
      <x:c r="B1870" t="n">
        <x:f>Dashboard_Live_Data!AQ154</x:f>
        <x:v>2676.955320476383</x:v>
      </x:c>
      <x:c r="C1870" t="n">
        <x:f>Dashboard_Live_Data!AR154</x:f>
        <x:v>106.79999999999995</x:v>
      </x:c>
      <x:c r="D1870" t="n">
        <x:f>Dashboard_Live_Data!AS154</x:f>
        <x:v>849.2996394600398</x:v>
      </x:c>
      <x:c r="E1870" t="n">
        <x:f>Dashboard_Live_Data!AT154</x:f>
        <x:v>213.5999999999999</x:v>
      </x:c>
      <x:c r="F1870" t="n">
        <x:f>Dashboard_Live_Data!AU154</x:f>
        <x:v>1634.2100712797871</x:v>
      </x:c>
      <x:c r="G1870" t="n">
        <x:f>Dashboard_Live_Data!AV154</x:f>
        <x:v>213.5999999999999</x:v>
      </x:c>
      <x:c r="H1870" t="n">
        <x:f>Dashboard_Live_Data!AW154</x:f>
        <x:v>1605.1533049308696</x:v>
      </x:c>
    </x:row>
    <x:row r="1871">
      <x:c r="A1871" t="n">
        <x:f>Dashboard_Live_Data!AP155</x:f>
        <x:v>16.5</x:v>
      </x:c>
      <x:c r="B1871" t="n">
        <x:f>Dashboard_Live_Data!AQ155</x:f>
        <x:v>2677.210266088246</x:v>
      </x:c>
      <x:c r="C1871" t="n">
        <x:f>Dashboard_Live_Data!AR155</x:f>
        <x:v>109.99999999999994</x:v>
      </x:c>
      <x:c r="D1871" t="n">
        <x:f>Dashboard_Live_Data!AS155</x:f>
        <x:v>873.1094978635793</x:v>
      </x:c>
      <x:c r="E1871" t="n">
        <x:f>Dashboard_Live_Data!AT155</x:f>
        <x:v>219.9999999999999</x:v>
      </x:c>
      <x:c r="F1871" t="n">
        <x:f>Dashboard_Live_Data!AU155</x:f>
        <x:v>1686.9799883696526</x:v>
      </x:c>
      <x:c r="G1871" t="n">
        <x:f>Dashboard_Live_Data!AV155</x:f>
        <x:v>219.9999999999999</x:v>
      </x:c>
      <x:c r="H1871" t="n">
        <x:f>Dashboard_Live_Data!AW155</x:f>
        <x:v>1657.7559651879415</x:v>
      </x:c>
    </x:row>
    <x:row r="1872">
      <x:c r="A1872" t="n">
        <x:f>Dashboard_Live_Data!AP156</x:f>
        <x:v>16.97999999999999</x:v>
      </x:c>
      <x:c r="B1872" t="n">
        <x:f>Dashboard_Live_Data!AQ156</x:f>
        <x:v>2677.539889282522</x:v>
      </x:c>
      <x:c r="C1872" t="n">
        <x:f>Dashboard_Live_Data!AR156</x:f>
        <x:v>113.19999999999993</x:v>
      </x:c>
      <x:c r="D1872" t="n">
        <x:f>Dashboard_Live_Data!AS156</x:f>
        <x:v>897.2665212613587</x:v>
      </x:c>
      <x:c r="E1872" t="n">
        <x:f>Dashboard_Live_Data!AT156</x:f>
        <x:v>226.39999999999986</x:v>
      </x:c>
      <x:c r="F1872" t="n">
        <x:f>Dashboard_Live_Data!AU156</x:f>
        <x:v>1740.9784489069013</x:v>
      </x:c>
      <x:c r="G1872" t="n">
        <x:f>Dashboard_Live_Data!AV156</x:f>
        <x:v>226.39999999999986</x:v>
      </x:c>
      <x:c r="H1872" t="n">
        <x:f>Dashboard_Live_Data!AW156</x:f>
        <x:v>1711.5292151987658</x:v>
      </x:c>
    </x:row>
    <x:row r="1873">
      <x:c r="A1873" t="n">
        <x:f>Dashboard_Live_Data!AP157</x:f>
        <x:v>17.519999999999996</x:v>
      </x:c>
      <x:c r="B1873" t="n">
        <x:f>Dashboard_Live_Data!AQ157</x:f>
        <x:v>2677.7716485761302</x:v>
      </x:c>
      <x:c r="C1873" t="n">
        <x:f>Dashboard_Live_Data!AR157</x:f>
        <x:v>116.80000000000007</x:v>
      </x:c>
      <x:c r="D1873" t="n">
        <x:f>Dashboard_Live_Data!AS157</x:f>
        <x:v>924.8641481909997</x:v>
      </x:c>
      <x:c r="E1873" t="n">
        <x:f>Dashboard_Live_Data!AT157</x:f>
        <x:v>233.60000000000014</x:v>
      </x:c>
      <x:c r="F1873" t="n">
        <x:f>Dashboard_Live_Data!AU157</x:f>
        <x:v>1801.873071650149</x:v>
      </x:c>
      <x:c r="G1873" t="n">
        <x:f>Dashboard_Live_Data!AV157</x:f>
        <x:v>233.60000000000014</x:v>
      </x:c>
      <x:c r="H1873" t="n">
        <x:f>Dashboard_Live_Data!AW157</x:f>
        <x:v>1772.2146466917202</x:v>
      </x:c>
    </x:row>
    <x:row r="1874">
      <x:c r="A1874" t="n">
        <x:f>Dashboard_Live_Data!AP158</x:f>
        <x:v>18</x:v>
      </x:c>
      <x:c r="B1874" t="n">
        <x:f>Dashboard_Live_Data!AQ158</x:f>
        <x:v>2678.0591123143704</x:v>
      </x:c>
      <x:c r="C1874" t="n">
        <x:f>Dashboard_Live_Data!AR158</x:f>
        <x:v>120</x:v>
      </x:c>
      <x:c r="D1874" t="n">
        <x:f>Dashboard_Live_Data!AS158</x:f>
        <x:v>949.6945154062549</x:v>
      </x:c>
      <x:c r="E1874" t="n">
        <x:f>Dashboard_Live_Data!AT158</x:f>
        <x:v>240</x:v>
      </x:c>
      <x:c r="F1874" t="n">
        <x:f>Dashboard_Live_Data!AU158</x:f>
        <x:v>1856.7086148968674</x:v>
      </x:c>
      <x:c r="G1874" t="n">
        <x:f>Dashboard_Live_Data!AV158</x:f>
        <x:v>240</x:v>
      </x:c>
      <x:c r="H1874" t="n">
        <x:f>Dashboard_Live_Data!AW158</x:f>
        <x:v>1826.858082720953</x:v>
      </x:c>
    </x:row>
    <x:row r="1875">
      <x:c r="A1875" t="n">
        <x:f>Dashboard_Live_Data!AP159</x:f>
        <x:v>18.480000000000004</x:v>
      </x:c>
      <x:c r="B1875" t="n">
        <x:f>Dashboard_Live_Data!AQ159</x:f>
        <x:v>2678.324896242484</x:v>
      </x:c>
      <x:c r="C1875" t="n">
        <x:f>Dashboard_Live_Data!AR159</x:f>
        <x:v>123.20000000000005</x:v>
      </x:c>
      <x:c r="D1875" t="n">
        <x:f>Dashboard_Live_Data!AS159</x:f>
        <x:v>974.4855341929169</x:v>
      </x:c>
      <x:c r="E1875" t="n">
        <x:f>Dashboard_Live_Data!AT159</x:f>
        <x:v>246.4000000000001</x:v>
      </x:c>
      <x:c r="F1875" t="n">
        <x:f>Dashboard_Live_Data!AU159</x:f>
        <x:v>1912.259873742373</x:v>
      </x:c>
      <x:c r="G1875" t="n">
        <x:f>Dashboard_Live_Data!AV159</x:f>
        <x:v>246.4000000000001</x:v>
      </x:c>
      <x:c r="H1875" t="n">
        <x:f>Dashboard_Live_Data!AW159</x:f>
        <x:v>1882.210761089762</x:v>
      </x:c>
    </x:row>
    <x:row r="1876">
      <x:c r="A1876" t="n">
        <x:f>Dashboard_Live_Data!AP160</x:f>
        <x:v>19.019999999999996</x:v>
      </x:c>
      <x:c r="B1876" t="n">
        <x:f>Dashboard_Live_Data!AQ160</x:f>
        <x:v>2678.760343194256</x:v>
      </x:c>
      <x:c r="C1876" t="n">
        <x:f>Dashboard_Live_Data!AR160</x:f>
        <x:v>126.79999999999995</x:v>
      </x:c>
      <x:c r="D1876" t="n">
        <x:f>Dashboard_Live_Data!AS160</x:f>
        <x:v>1002.4378207984545</x:v>
      </x:c>
      <x:c r="E1876" t="n">
        <x:f>Dashboard_Live_Data!AT160</x:f>
        <x:v>253.5999999999999</x:v>
      </x:c>
      <x:c r="F1876" t="n">
        <x:f>Dashboard_Live_Data!AU160</x:f>
        <x:v>1975.1014147397316</x:v>
      </x:c>
      <x:c r="G1876" t="n">
        <x:f>Dashboard_Live_Data!AV160</x:f>
        <x:v>253.5999999999999</x:v>
      </x:c>
      <x:c r="H1876" t="n">
        <x:f>Dashboard_Live_Data!AW160</x:f>
        <x:v>1944.858837742305</x:v>
      </x:c>
    </x:row>
    <x:row r="1877">
      <x:c r="A1877" t="n">
        <x:f>Dashboard_Live_Data!AP161</x:f>
        <x:v>19.5</x:v>
      </x:c>
      <x:c r="B1877" t="n">
        <x:f>Dashboard_Live_Data!AQ161</x:f>
        <x:v>2678.934012540692</x:v>
      </x:c>
      <x:c r="C1877" t="n">
        <x:f>Dashboard_Live_Data!AR161</x:f>
        <x:v>130</x:v>
      </x:c>
      <x:c r="D1877" t="n">
        <x:f>Dashboard_Live_Data!AS161</x:f>
        <x:v>1027.5870587413654</x:v>
      </x:c>
      <x:c r="E1877" t="n">
        <x:f>Dashboard_Live_Data!AT161</x:f>
        <x:v>260</x:v>
      </x:c>
      <x:c r="F1877" t="n">
        <x:f>Dashboard_Live_Data!AU161</x:f>
        <x:v>2031.7985558053063</x:v>
      </x:c>
      <x:c r="G1877" t="n">
        <x:f>Dashboard_Live_Data!AV161</x:f>
        <x:v>260</x:v>
      </x:c>
      <x:c r="H1877" t="n">
        <x:f>Dashboard_Live_Data!AW161</x:f>
        <x:v>2001.3754442363258</x:v>
      </x:c>
    </x:row>
    <x:row r="1878">
      <x:c r="A1878" t="n">
        <x:f>Dashboard_Live_Data!AP162</x:f>
        <x:v>19.980000000000004</x:v>
      </x:c>
      <x:c r="B1878" t="n">
        <x:f>Dashboard_Live_Data!AQ162</x:f>
        <x:v>2679.273151773947</x:v>
      </x:c>
      <x:c r="C1878" t="n">
        <x:f>Dashboard_Live_Data!AR162</x:f>
        <x:v>133.19999999999993</x:v>
      </x:c>
      <x:c r="D1878" t="n">
        <x:f>Dashboard_Live_Data!AS162</x:f>
        <x:v>1053.0619961686768</x:v>
      </x:c>
      <x:c r="E1878" t="n">
        <x:f>Dashboard_Live_Data!AT162</x:f>
        <x:v>266.39999999999986</x:v>
      </x:c>
      <x:c r="F1878" t="n">
        <x:f>Dashboard_Live_Data!AU162</x:f>
        <x:v>2089.0735031949753</x:v>
      </x:c>
      <x:c r="G1878" t="n">
        <x:f>Dashboard_Live_Data!AV162</x:f>
        <x:v>266.39999999999986</x:v>
      </x:c>
      <x:c r="H1878" t="n">
        <x:f>Dashboard_Live_Data!AW162</x:f>
        <x:v>2058.477922917945</x:v>
      </x:c>
    </x:row>
    <x:row r="1879">
      <x:c r="A1879" t="n">
        <x:f>Dashboard_Live_Data!AP163</x:f>
        <x:v>20.52000000000001</x:v>
      </x:c>
      <x:c r="B1879" t="n">
        <x:f>Dashboard_Live_Data!AQ163</x:f>
        <x:v>2679.6384849074366</x:v>
      </x:c>
      <x:c r="C1879" t="n">
        <x:f>Dashboard_Live_Data!AR163</x:f>
        <x:v>136.80000000000007</x:v>
      </x:c>
      <x:c r="D1879" t="n">
        <x:f>Dashboard_Live_Data!AS163</x:f>
        <x:v>1082.1146416403806</x:v>
      </x:c>
      <x:c r="E1879" t="n">
        <x:f>Dashboard_Live_Data!AT163</x:f>
        <x:v>273.60000000000014</x:v>
      </x:c>
      <x:c r="F1879" t="n">
        <x:f>Dashboard_Live_Data!AU163</x:f>
        <x:v>2153.951648074589</x:v>
      </x:c>
      <x:c r="G1879" t="n">
        <x:f>Dashboard_Live_Data!AV163</x:f>
        <x:v>273.60000000000014</x:v>
      </x:c>
      <x:c r="H1879" t="n">
        <x:f>Dashboard_Live_Data!AW163</x:f>
        <x:v>2123.187380831997</x:v>
      </x:c>
    </x:row>
    <x:row r="1880">
      <x:c r="A1880" t="n">
        <x:f>Dashboard_Live_Data!AP164</x:f>
        <x:v>21</x:v>
      </x:c>
      <x:c r="B1880" t="n">
        <x:f>Dashboard_Live_Data!AQ164</x:f>
        <x:v>2679.9865256495527</x:v>
      </x:c>
      <x:c r="C1880" t="n">
        <x:f>Dashboard_Live_Data!AR164</x:f>
        <x:v>140</x:v>
      </x:c>
      <x:c r="D1880" t="n">
        <x:f>Dashboard_Live_Data!AS164</x:f>
        <x:v>1108.021307304762</x:v>
      </x:c>
      <x:c r="E1880" t="n">
        <x:f>Dashboard_Live_Data!AT164</x:f>
        <x:v>280</x:v>
      </x:c>
      <x:c r="F1880" t="n">
        <x:f>Dashboard_Live_Data!AU164</x:f>
        <x:v>2212.4908066079583</x:v>
      </x:c>
      <x:c r="G1880" t="n">
        <x:f>Dashboard_Live_Data!AV164</x:f>
        <x:v>280</x:v>
      </x:c>
      <x:c r="H1880" t="n">
        <x:f>Dashboard_Live_Data!AW164</x:f>
        <x:v>2181.5719636316157</x:v>
      </x:c>
    </x:row>
    <x:row r="1881">
      <x:c r="A1881" t="n">
        <x:f>Dashboard_Live_Data!AP165</x:f>
        <x:v>21.480000000000004</x:v>
      </x:c>
      <x:c r="B1881" t="n">
        <x:f>Dashboard_Live_Data!AQ165</x:f>
        <x:v>2680.3628439768113</x:v>
      </x:c>
      <x:c r="C1881" t="n">
        <x:f>Dashboard_Live_Data!AR165</x:f>
        <x:v>143.20000000000005</x:v>
      </x:c>
      <x:c r="D1881" t="n">
        <x:f>Dashboard_Live_Data!AS165</x:f>
        <x:v>1133.8978649739838</x:v>
      </x:c>
      <x:c r="E1881" t="n">
        <x:f>Dashboard_Live_Data!AT165</x:f>
        <x:v>286.4000000000001</x:v>
      </x:c>
      <x:c r="F1881" t="n">
        <x:f>Dashboard_Live_Data!AU165</x:f>
        <x:v>2271.6279066061034</x:v>
      </x:c>
      <x:c r="G1881" t="n">
        <x:f>Dashboard_Live_Data!AV165</x:f>
        <x:v>286.4000000000001</x:v>
      </x:c>
      <x:c r="H1881" t="n">
        <x:f>Dashboard_Live_Data!AW165</x:f>
        <x:v>2240.564610948291</x:v>
      </x:c>
    </x:row>
    <x:row r="1882">
      <x:c r="A1882" t="n">
        <x:f>Dashboard_Live_Data!AP166</x:f>
        <x:v>22.019999999999996</x:v>
      </x:c>
      <x:c r="B1882" t="n">
        <x:f>Dashboard_Live_Data!AQ166</x:f>
        <x:v>2680.656874477047</x:v>
      </x:c>
      <x:c r="C1882" t="n">
        <x:f>Dashboard_Live_Data!AR166</x:f>
        <x:v>146.79999999999995</x:v>
      </x:c>
      <x:c r="D1882" t="n">
        <x:f>Dashboard_Live_Data!AS166</x:f>
        <x:v>1163.204522336932</x:v>
      </x:c>
      <x:c r="E1882" t="n">
        <x:f>Dashboard_Live_Data!AT166</x:f>
        <x:v>293.5999999999999</x:v>
      </x:c>
      <x:c r="F1882" t="n">
        <x:f>Dashboard_Live_Data!AU166</x:f>
        <x:v>2338.4592438207114</x:v>
      </x:c>
      <x:c r="G1882" t="n">
        <x:f>Dashboard_Live_Data!AV166</x:f>
        <x:v>293.5999999999999</x:v>
      </x:c>
      <x:c r="H1882" t="n">
        <x:f>Dashboard_Live_Data!AW166</x:f>
        <x:v>2307.2674673048655</x:v>
      </x:c>
    </x:row>
    <x:row r="1883">
      <x:c r="A1883" t="n">
        <x:f>Dashboard_Live_Data!AP167</x:f>
        <x:v>22.5</x:v>
      </x:c>
      <x:c r="B1883" t="n">
        <x:f>Dashboard_Live_Data!AQ167</x:f>
        <x:v>2681.141038946116</x:v>
      </x:c>
      <x:c r="C1883" t="n">
        <x:f>Dashboard_Live_Data!AR167</x:f>
        <x:v>150</x:v>
      </x:c>
      <x:c r="D1883" t="n">
        <x:f>Dashboard_Live_Data!AS167</x:f>
        <x:v>1189.7387412010428</x:v>
      </x:c>
      <x:c r="E1883" t="n">
        <x:f>Dashboard_Live_Data!AT167</x:f>
        <x:v>300</x:v>
      </x:c>
      <x:c r="F1883" t="n">
        <x:f>Dashboard_Live_Data!AU167</x:f>
        <x:v>2399.2316666520933</x:v>
      </x:c>
      <x:c r="G1883" t="n">
        <x:f>Dashboard_Live_Data!AV167</x:f>
        <x:v>300</x:v>
      </x:c>
      <x:c r="H1883" t="n">
        <x:f>Dashboard_Live_Data!AW167</x:f>
        <x:v>2367.9009230173983</x:v>
      </x:c>
    </x:row>
    <x:row r="1884">
      <x:c r="A1884" t="n">
        <x:f>Dashboard_Live_Data!AP168</x:f>
        <x:v>22.980000000000004</x:v>
      </x:c>
      <x:c r="B1884" t="n">
        <x:f>Dashboard_Live_Data!AQ168</x:f>
        <x:v>2681.4410343801505</x:v>
      </x:c>
      <x:c r="C1884" t="n">
        <x:f>Dashboard_Live_Data!AR168</x:f>
        <x:v>153.20000000000005</x:v>
      </x:c>
      <x:c r="D1884" t="n">
        <x:f>Dashboard_Live_Data!AS168</x:f>
        <x:v>1216.6467476359378</x:v>
      </x:c>
      <x:c r="E1884" t="n">
        <x:f>Dashboard_Live_Data!AT168</x:f>
        <x:v>306.4000000000001</x:v>
      </x:c>
      <x:c r="F1884" t="n">
        <x:f>Dashboard_Live_Data!AU168</x:f>
        <x:v>2460.0404173793613</x:v>
      </x:c>
      <x:c r="G1884" t="n">
        <x:f>Dashboard_Live_Data!AV168</x:f>
        <x:v>306.4000000000001</x:v>
      </x:c>
      <x:c r="H1884" t="n">
        <x:f>Dashboard_Live_Data!AW168</x:f>
        <x:v>2428.610657778259</x:v>
      </x:c>
    </x:row>
    <x:row r="1885">
      <x:c r="A1885" t="n">
        <x:f>Dashboard_Live_Data!AP169</x:f>
        <x:v>23.519999999999996</x:v>
      </x:c>
      <x:c r="B1885" t="n">
        <x:f>Dashboard_Live_Data!AQ169</x:f>
        <x:v>2681.9939788953425</x:v>
      </x:c>
      <x:c r="C1885" t="n">
        <x:f>Dashboard_Live_Data!AR169</x:f>
        <x:v>156.79999999999995</x:v>
      </x:c>
      <x:c r="D1885" t="n">
        <x:f>Dashboard_Live_Data!AS169</x:f>
        <x:v>1246.8959337465285</x:v>
      </x:c>
      <x:c r="E1885" t="n">
        <x:f>Dashboard_Live_Data!AT169</x:f>
        <x:v>313.5999999999999</x:v>
      </x:c>
      <x:c r="F1885" t="n">
        <x:f>Dashboard_Live_Data!AU169</x:f>
        <x:v>2529.4862966892415</x:v>
      </x:c>
      <x:c r="G1885" t="n">
        <x:f>Dashboard_Live_Data!AV169</x:f>
        <x:v>313.5999999999999</x:v>
      </x:c>
      <x:c r="H1885" t="n">
        <x:f>Dashboard_Live_Data!AW169</x:f>
        <x:v>2497.9453758114487</x:v>
      </x:c>
    </x:row>
    <x:row r="1886">
      <x:c r="A1886" t="n">
        <x:f>Dashboard_Live_Data!AP170</x:f>
        <x:v>24</x:v>
      </x:c>
      <x:c r="B1886" t="n">
        <x:f>Dashboard_Live_Data!AQ170</x:f>
        <x:v>2682.3919407186913</x:v>
      </x:c>
      <x:c r="C1886" t="n">
        <x:f>Dashboard_Live_Data!AR170</x:f>
        <x:v>160</x:v>
      </x:c>
      <x:c r="D1886" t="n">
        <x:f>Dashboard_Live_Data!AS170</x:f>
        <x:v>1273.942666327713</x:v>
      </x:c>
      <x:c r="E1886" t="n">
        <x:f>Dashboard_Live_Data!AT170</x:f>
        <x:v>320</x:v>
      </x:c>
      <x:c r="F1886" t="n">
        <x:f>Dashboard_Live_Data!AU170</x:f>
        <x:v>2592.146348508657</x:v>
      </x:c>
      <x:c r="G1886" t="n">
        <x:f>Dashboard_Live_Data!AV170</x:f>
        <x:v>320</x:v>
      </x:c>
      <x:c r="H1886" t="n">
        <x:f>Dashboard_Live_Data!AW170</x:f>
        <x:v>2560.508645682442</x:v>
      </x:c>
    </x:row>
    <x:row r="1887">
      <x:c r="A1887" t="n">
        <x:f>Dashboard_Live_Data!AP171</x:f>
        <x:v>24.47999999999999</x:v>
      </x:c>
      <x:c r="B1887" t="n">
        <x:f>Dashboard_Live_Data!AQ171</x:f>
        <x:v>2682.915880658896</x:v>
      </x:c>
      <x:c r="C1887" t="n">
        <x:f>Dashboard_Live_Data!AR171</x:f>
        <x:v>163.19999999999993</x:v>
      </x:c>
      <x:c r="D1887" t="n">
        <x:f>Dashboard_Live_Data!AS171</x:f>
        <x:v>1301.2535415684738</x:v>
      </x:c>
      <x:c r="E1887" t="n">
        <x:f>Dashboard_Live_Data!AT171</x:f>
        <x:v>326.39999999999986</x:v>
      </x:c>
      <x:c r="F1887" t="n">
        <x:f>Dashboard_Live_Data!AU171</x:f>
        <x:v>2654.889210932727</x:v>
      </x:c>
      <x:c r="G1887" t="n">
        <x:f>Dashboard_Live_Data!AV171</x:f>
        <x:v>326.39999999999986</x:v>
      </x:c>
      <x:c r="H1887" t="n">
        <x:f>Dashboard_Live_Data!AW171</x:f>
        <x:v>2623.190626267785</x:v>
      </x:c>
    </x:row>
    <x:row r="1888">
      <x:c r="A1888" t="n">
        <x:f>Dashboard_Live_Data!AP172</x:f>
        <x:v>25.019999999999996</x:v>
      </x:c>
      <x:c r="B1888" t="n">
        <x:f>Dashboard_Live_Data!AQ172</x:f>
        <x:v>2683.4438459390726</x:v>
      </x:c>
      <x:c r="C1888" t="n">
        <x:f>Dashboard_Live_Data!AR172</x:f>
        <x:v>166.80000000000007</x:v>
      </x:c>
      <x:c r="D1888" t="n">
        <x:f>Dashboard_Live_Data!AS172</x:f>
        <x:v>1332.2058701793264</x:v>
      </x:c>
      <x:c r="E1888" t="n">
        <x:f>Dashboard_Live_Data!AT172</x:f>
        <x:v>333.60000000000014</x:v>
      </x:c>
      <x:c r="F1888" t="n">
        <x:f>Dashboard_Live_Data!AU172</x:f>
        <x:v>2726.825506113058</x:v>
      </x:c>
      <x:c r="G1888" t="n">
        <x:f>Dashboard_Live_Data!AV172</x:f>
        <x:v>333.60000000000014</x:v>
      </x:c>
      <x:c r="H1888" t="n">
        <x:f>Dashboard_Live_Data!AW172</x:f>
        <x:v>2695.0500562784723</x:v>
      </x:c>
    </x:row>
    <x:row r="1889">
      <x:c r="A1889" t="n">
        <x:f>Dashboard_Live_Data!AP173</x:f>
        <x:v>25.5</x:v>
      </x:c>
      <x:c r="B1889" t="n">
        <x:f>Dashboard_Live_Data!AQ173</x:f>
        <x:v>2684.0530894635986</x:v>
      </x:c>
      <x:c r="C1889" t="n">
        <x:f>Dashboard_Live_Data!AR173</x:f>
        <x:v>170</x:v>
      </x:c>
      <x:c r="D1889" t="n">
        <x:f>Dashboard_Live_Data!AS173</x:f>
        <x:v>1359.9452187192626</x:v>
      </x:c>
      <x:c r="E1889" t="n">
        <x:f>Dashboard_Live_Data!AT173</x:f>
        <x:v>340</x:v>
      </x:c>
      <x:c r="F1889" t="n">
        <x:f>Dashboard_Live_Data!AU173</x:f>
        <x:v>2791.225314975836</x:v>
      </x:c>
      <x:c r="G1889" t="n">
        <x:f>Dashboard_Live_Data!AV173</x:f>
        <x:v>340</x:v>
      </x:c>
      <x:c r="H1889" t="n">
        <x:f>Dashboard_Live_Data!AW173</x:f>
        <x:v>2759.4047365661204</x:v>
      </x:c>
    </x:row>
    <x:row r="1890">
      <x:c r="A1890" t="n">
        <x:f>Dashboard_Live_Data!AP174</x:f>
        <x:v>25.980000000000004</x:v>
      </x:c>
      <x:c r="B1890" t="n">
        <x:f>Dashboard_Live_Data!AQ174</x:f>
        <x:v>2684.4264672966287</x:v>
      </x:c>
      <x:c r="C1890" t="n">
        <x:f>Dashboard_Live_Data!AR174</x:f>
        <x:v>173.20000000000005</x:v>
      </x:c>
      <x:c r="D1890" t="n">
        <x:f>Dashboard_Live_Data!AS174</x:f>
        <x:v>1388.0981650857836</x:v>
      </x:c>
      <x:c r="E1890" t="n">
        <x:f>Dashboard_Live_Data!AT174</x:f>
        <x:v>346.4000000000001</x:v>
      </x:c>
      <x:c r="F1890" t="n">
        <x:f>Dashboard_Live_Data!AU174</x:f>
        <x:v>2856.226033694012</x:v>
      </x:c>
      <x:c r="G1890" t="n">
        <x:f>Dashboard_Live_Data!AV174</x:f>
        <x:v>346.4000000000001</x:v>
      </x:c>
      <x:c r="H1890" t="n">
        <x:f>Dashboard_Live_Data!AW174</x:f>
        <x:v>2824.3753796888404</x:v>
      </x:c>
    </x:row>
    <x:row r="1891">
      <x:c r="A1891" t="n">
        <x:f>Dashboard_Live_Data!AP175</x:f>
        <x:v>26.519999999999996</x:v>
      </x:c>
      <x:c r="B1891" t="n">
        <x:f>Dashboard_Live_Data!AQ175</x:f>
        <x:v>2685.202148008529</x:v>
      </x:c>
      <x:c r="C1891" t="n">
        <x:f>Dashboard_Live_Data!AR175</x:f>
        <x:v>176.79999999999995</x:v>
      </x:c>
      <x:c r="D1891" t="n">
        <x:f>Dashboard_Live_Data!AS175</x:f>
        <x:v>1419.9573139350396</x:v>
      </x:c>
      <x:c r="E1891" t="n">
        <x:f>Dashboard_Live_Data!AT175</x:f>
        <x:v>353.5999999999999</x:v>
      </x:c>
      <x:c r="F1891" t="n">
        <x:f>Dashboard_Live_Data!AU175</x:f>
        <x:v>2930.4635049360554</x:v>
      </x:c>
      <x:c r="G1891" t="n">
        <x:f>Dashboard_Live_Data!AV175</x:f>
        <x:v>353.5999999999999</x:v>
      </x:c>
      <x:c r="H1891" t="n">
        <x:f>Dashboard_Live_Data!AW175</x:f>
        <x:v>2898.5839038762006</x:v>
      </x:c>
    </x:row>
    <x:row r="1892">
      <x:c r="A1892" t="n">
        <x:f>Dashboard_Live_Data!AP176</x:f>
        <x:v>27</x:v>
      </x:c>
      <x:c r="B1892" t="n">
        <x:f>Dashboard_Live_Data!AQ176</x:f>
        <x:v>2685.7460339181407</x:v>
      </x:c>
      <x:c r="C1892" t="n">
        <x:f>Dashboard_Live_Data!AR176</x:f>
        <x:v>180</x:v>
      </x:c>
      <x:c r="D1892" t="n">
        <x:f>Dashboard_Live_Data!AS176</x:f>
        <x:v>1448.233731510371</x:v>
      </x:c>
      <x:c r="E1892" t="n">
        <x:f>Dashboard_Live_Data!AT176</x:f>
        <x:v>360</x:v>
      </x:c>
      <x:c r="F1892" t="n">
        <x:f>Dashboard_Live_Data!AU176</x:f>
        <x:v>2997.0388676298153</x:v>
      </x:c>
      <x:c r="G1892" t="n">
        <x:f>Dashboard_Live_Data!AV176</x:f>
        <x:v>360</x:v>
      </x:c>
      <x:c r="H1892" t="n">
        <x:f>Dashboard_Live_Data!AW176</x:f>
        <x:v>2965.1524552312057</x:v>
      </x:c>
    </x:row>
    <x:row r="1893">
      <x:c r="A1893" t="n">
        <x:f>Dashboard_Live_Data!AP177</x:f>
        <x:v>27.480000000000004</x:v>
      </x:c>
      <x:c r="B1893" t="n">
        <x:f>Dashboard_Live_Data!AQ177</x:f>
        <x:v>2686.2420281089157</x:v>
      </x:c>
      <x:c r="C1893" t="n">
        <x:f>Dashboard_Live_Data!AR177</x:f>
        <x:v>183.19999999999993</x:v>
      </x:c>
      <x:c r="D1893" t="n">
        <x:f>Dashboard_Live_Data!AS177</x:f>
        <x:v>1476.6661603886478</x:v>
      </x:c>
      <x:c r="E1893" t="n">
        <x:f>Dashboard_Live_Data!AT177</x:f>
        <x:v>366.39999999999986</x:v>
      </x:c>
      <x:c r="F1893" t="n">
        <x:f>Dashboard_Live_Data!AU177</x:f>
        <x:v>3064.1595178111925</x:v>
      </x:c>
      <x:c r="G1893" t="n">
        <x:f>Dashboard_Live_Data!AV177</x:f>
        <x:v>366.39999999999986</x:v>
      </x:c>
      <x:c r="H1893" t="n">
        <x:f>Dashboard_Live_Data!AW177</x:f>
        <x:v>3032.284073090573</x:v>
      </x:c>
    </x:row>
    <x:row r="1894">
      <x:c r="A1894" t="n">
        <x:f>Dashboard_Live_Data!AP178</x:f>
        <x:v>28.02000000000001</x:v>
      </x:c>
      <x:c r="B1894" t="n">
        <x:f>Dashboard_Live_Data!AQ178</x:f>
        <x:v>2686.848274404113</x:v>
      </x:c>
      <x:c r="C1894" t="n">
        <x:f>Dashboard_Live_Data!AR178</x:f>
        <x:v>186.80000000000007</x:v>
      </x:c>
      <x:c r="D1894" t="n">
        <x:f>Dashboard_Live_Data!AS178</x:f>
        <x:v>1509.2529786221405</x:v>
      </x:c>
      <x:c r="E1894" t="n">
        <x:f>Dashboard_Live_Data!AT178</x:f>
        <x:v>373.60000000000014</x:v>
      </x:c>
      <x:c r="F1894" t="n">
        <x:f>Dashboard_Live_Data!AU178</x:f>
        <x:v>3141.0226701663896</x:v>
      </x:c>
      <x:c r="G1894" t="n">
        <x:f>Dashboard_Live_Data!AV178</x:f>
        <x:v>373.60000000000014</x:v>
      </x:c>
      <x:c r="H1894" t="n">
        <x:f>Dashboard_Live_Data!AW178</x:f>
        <x:v>3109.1598983076765</x:v>
      </x:c>
    </x:row>
    <x:row r="1895">
      <x:c r="A1895" t="n">
        <x:f>Dashboard_Live_Data!AP179</x:f>
        <x:v>28.5</x:v>
      </x:c>
      <x:c r="B1895" t="n">
        <x:f>Dashboard_Live_Data!AQ179</x:f>
        <x:v>2687.4641738490877</x:v>
      </x:c>
      <x:c r="C1895" t="n">
        <x:f>Dashboard_Live_Data!AR179</x:f>
        <x:v>190</x:v>
      </x:c>
      <x:c r="D1895" t="n">
        <x:f>Dashboard_Live_Data!AS179</x:f>
        <x:v>1538.4831289843698</x:v>
      </x:c>
      <x:c r="E1895" t="n">
        <x:f>Dashboard_Live_Data!AT179</x:f>
        <x:v>380</x:v>
      </x:c>
      <x:c r="F1895" t="n">
        <x:f>Dashboard_Live_Data!AU179</x:f>
        <x:v>3209.636377410934</x:v>
      </x:c>
      <x:c r="G1895" t="n">
        <x:f>Dashboard_Live_Data!AV179</x:f>
        <x:v>380</x:v>
      </x:c>
      <x:c r="H1895" t="n">
        <x:f>Dashboard_Live_Data!AW179</x:f>
        <x:v>3177.812951422256</x:v>
      </x:c>
    </x:row>
    <x:row r="1896">
      <x:c r="A1896" t="n">
        <x:f>Dashboard_Live_Data!AP180</x:f>
        <x:v>28.980000000000004</x:v>
      </x:c>
      <x:c r="B1896" t="n">
        <x:f>Dashboard_Live_Data!AQ180</x:f>
        <x:v>2688.187625072262</x:v>
      </x:c>
      <x:c r="C1896" t="n">
        <x:f>Dashboard_Live_Data!AR180</x:f>
        <x:v>193.20000000000005</x:v>
      </x:c>
      <x:c r="D1896" t="n">
        <x:f>Dashboard_Live_Data!AS180</x:f>
        <x:v>1567.9590204754618</x:v>
      </x:c>
      <x:c r="E1896" t="n">
        <x:f>Dashboard_Live_Data!AT180</x:f>
        <x:v>386.4000000000001</x:v>
      </x:c>
      <x:c r="F1896" t="n">
        <x:f>Dashboard_Live_Data!AU180</x:f>
        <x:v>3279.232942558983</x:v>
      </x:c>
      <x:c r="G1896" t="n">
        <x:f>Dashboard_Live_Data!AV180</x:f>
        <x:v>386.4000000000001</x:v>
      </x:c>
      <x:c r="H1896" t="n">
        <x:f>Dashboard_Live_Data!AW180</x:f>
        <x:v>3247.4547932261544</x:v>
      </x:c>
    </x:row>
    <x:row r="1897">
      <x:c r="A1897" t="n">
        <x:f>Dashboard_Live_Data!AP181</x:f>
        <x:v>29.519999999999996</x:v>
      </x:c>
      <x:c r="B1897" t="n">
        <x:f>Dashboard_Live_Data!AQ181</x:f>
        <x:v>2688.722217643149</x:v>
      </x:c>
      <x:c r="C1897" t="n">
        <x:f>Dashboard_Live_Data!AR181</x:f>
        <x:v>196.79999999999995</x:v>
      </x:c>
      <x:c r="D1897" t="n">
        <x:f>Dashboard_Live_Data!AS181</x:f>
        <x:v>1601.1205159498156</x:v>
      </x:c>
      <x:c r="E1897" t="n">
        <x:f>Dashboard_Live_Data!AT181</x:f>
        <x:v>393.5999999999999</x:v>
      </x:c>
      <x:c r="F1897" t="n">
        <x:f>Dashboard_Live_Data!AU181</x:f>
        <x:v>3358.596047655168</x:v>
      </x:c>
      <x:c r="G1897" t="n">
        <x:f>Dashboard_Live_Data!AV181</x:f>
        <x:v>393.5999999999999</x:v>
      </x:c>
      <x:c r="H1897" t="n">
        <x:f>Dashboard_Live_Data!AW181</x:f>
        <x:v>3326.8801699923215</x:v>
      </x:c>
    </x:row>
    <x:row r="1898">
      <x:c r="A1898" t="n">
        <x:f>Dashboard_Live_Data!AP182</x:f>
        <x:v>30</x:v>
      </x:c>
      <x:c r="B1898" t="n">
        <x:f>Dashboard_Live_Data!AQ182</x:f>
        <x:v>2689.3696122533497</x:v>
      </x:c>
      <x:c r="C1898" t="n">
        <x:f>Dashboard_Live_Data!AR182</x:f>
        <x:v>200</x:v>
      </x:c>
      <x:c r="D1898" t="n">
        <x:f>Dashboard_Live_Data!AS182</x:f>
        <x:v>1630.7637614719622</x:v>
      </x:c>
      <x:c r="E1898" t="n">
        <x:f>Dashboard_Live_Data!AT182</x:f>
        <x:v>400</x:v>
      </x:c>
      <x:c r="F1898" t="n">
        <x:f>Dashboard_Live_Data!AU182</x:f>
        <x:v>3429.3588510465356</x:v>
      </x:c>
      <x:c r="G1898" t="n">
        <x:f>Dashboard_Live_Data!AV182</x:f>
        <x:v>400</x:v>
      </x:c>
      <x:c r="H1898" t="n">
        <x:f>Dashboard_Live_Data!AW182</x:f>
        <x:v>3397.727225112334</x:v>
      </x:c>
    </x:row>
    <x:row r="1899">
      <x:c r="A1899" t="n">
        <x:f>Dashboard_Live_Data!AP183</x:f>
        <x:v>30.480000000000004</x:v>
      </x:c>
      <x:c r="B1899" t="n">
        <x:f>Dashboard_Live_Data!AQ183</x:f>
        <x:v>2689.9524090049945</x:v>
      </x:c>
      <x:c r="C1899" t="n">
        <x:f>Dashboard_Live_Data!AR183</x:f>
        <x:v>203.20000000000005</x:v>
      </x:c>
      <x:c r="D1899" t="n">
        <x:f>Dashboard_Live_Data!AS183</x:f>
        <x:v>1660.6990177446987</x:v>
      </x:c>
      <x:c r="E1899" t="n">
        <x:f>Dashboard_Live_Data!AT183</x:f>
        <x:v>406.4000000000001</x:v>
      </x:c>
      <x:c r="F1899" t="n">
        <x:f>Dashboard_Live_Data!AU183</x:f>
        <x:v>3501.549494764668</x:v>
      </x:c>
      <x:c r="G1899" t="n">
        <x:f>Dashboard_Live_Data!AV183</x:f>
        <x:v>406.4000000000001</x:v>
      </x:c>
      <x:c r="H1899" t="n">
        <x:f>Dashboard_Live_Data!AW183</x:f>
        <x:v>3469.9989806158574</x:v>
      </x:c>
    </x:row>
    <x:row r="1900">
      <x:c r="A1900" t="n">
        <x:f>Dashboard_Live_Data!AP184</x:f>
        <x:v>31.019999999999996</x:v>
      </x:c>
      <x:c r="B1900" t="n">
        <x:f>Dashboard_Live_Data!AQ184</x:f>
        <x:v>2690.5667082175996</x:v>
      </x:c>
      <x:c r="C1900" t="n">
        <x:f>Dashboard_Live_Data!AR184</x:f>
        <x:v>206.79999999999995</x:v>
      </x:c>
      <x:c r="D1900" t="n">
        <x:f>Dashboard_Live_Data!AS184</x:f>
        <x:v>1694.822586614646</x:v>
      </x:c>
      <x:c r="E1900" t="n">
        <x:f>Dashboard_Live_Data!AT184</x:f>
        <x:v>413.5999999999999</x:v>
      </x:c>
      <x:c r="F1900" t="n">
        <x:f>Dashboard_Live_Data!AU184</x:f>
        <x:v>3583.0738605817146</x:v>
      </x:c>
      <x:c r="G1900" t="n">
        <x:f>Dashboard_Live_Data!AV184</x:f>
        <x:v>413.5999999999999</x:v>
      </x:c>
      <x:c r="H1900" t="n">
        <x:f>Dashboard_Live_Data!AW184</x:f>
        <x:v>3551.645051083141</x:v>
      </x:c>
    </x:row>
    <x:row r="1901">
      <x:c r="A1901" t="n">
        <x:f>Dashboard_Live_Data!AP185</x:f>
        <x:v>31.5</x:v>
      </x:c>
      <x:c r="B1901" t="n">
        <x:f>Dashboard_Live_Data!AQ185</x:f>
        <x:v>2691.286112934711</x:v>
      </x:c>
      <x:c r="C1901" t="n">
        <x:f>Dashboard_Live_Data!AR185</x:f>
        <x:v>210</x:v>
      </x:c>
      <x:c r="D1901" t="n">
        <x:f>Dashboard_Live_Data!AS185</x:f>
        <x:v>1725.5482605386435</x:v>
      </x:c>
      <x:c r="E1901" t="n">
        <x:f>Dashboard_Live_Data!AT185</x:f>
        <x:v>420</x:v>
      </x:c>
      <x:c r="F1901" t="n">
        <x:f>Dashboard_Live_Data!AU185</x:f>
        <x:v>3656.4070068229435</x:v>
      </x:c>
      <x:c r="G1901" t="n">
        <x:f>Dashboard_Live_Data!AV185</x:f>
        <x:v>420</x:v>
      </x:c>
      <x:c r="H1901" t="n">
        <x:f>Dashboard_Live_Data!AW185</x:f>
        <x:v>3625.099344864144</x:v>
      </x:c>
    </x:row>
    <x:row r="1902">
      <x:c r="A1902" t="n">
        <x:f>Dashboard_Live_Data!AP186</x:f>
        <x:v>31.97999999999999</x:v>
      </x:c>
      <x:c r="B1902" t="n">
        <x:f>Dashboard_Live_Data!AQ186</x:f>
        <x:v>2691.7084514155754</x:v>
      </x:c>
      <x:c r="C1902" t="n">
        <x:f>Dashboard_Live_Data!AR186</x:f>
        <x:v>213.19999999999993</x:v>
      </x:c>
      <x:c r="D1902" t="n">
        <x:f>Dashboard_Live_Data!AS186</x:f>
        <x:v>1756.3205691070345</x:v>
      </x:c>
      <x:c r="E1902" t="n">
        <x:f>Dashboard_Live_Data!AT186</x:f>
        <x:v>426.39999999999986</x:v>
      </x:c>
      <x:c r="F1902" t="n">
        <x:f>Dashboard_Live_Data!AU186</x:f>
        <x:v>3730.743436868081</x:v>
      </x:c>
      <x:c r="G1902" t="n">
        <x:f>Dashboard_Live_Data!AV186</x:f>
        <x:v>426.39999999999986</x:v>
      </x:c>
      <x:c r="H1902" t="n">
        <x:f>Dashboard_Live_Data!AW186</x:f>
        <x:v>3699.56563439895</x:v>
      </x:c>
    </x:row>
    <x:row r="1903">
      <x:c r="A1903" t="n">
        <x:f>Dashboard_Live_Data!AP187</x:f>
        <x:v>32.519999999999996</x:v>
      </x:c>
      <x:c r="B1903" t="n">
        <x:f>Dashboard_Live_Data!AQ187</x:f>
        <x:v>2692.3320799684448</x:v>
      </x:c>
      <x:c r="C1903" t="n">
        <x:f>Dashboard_Live_Data!AR187</x:f>
        <x:v>216.80000000000007</x:v>
      </x:c>
      <x:c r="D1903" t="n">
        <x:f>Dashboard_Live_Data!AS187</x:f>
        <x:v>1790.9188228799637</x:v>
      </x:c>
      <x:c r="E1903" t="n">
        <x:f>Dashboard_Live_Data!AT187</x:f>
        <x:v>433.60000000000014</x:v>
      </x:c>
      <x:c r="F1903" t="n">
        <x:f>Dashboard_Live_Data!AU187</x:f>
        <x:v>3814.9219703228828</x:v>
      </x:c>
      <x:c r="G1903" t="n">
        <x:f>Dashboard_Live_Data!AV187</x:f>
        <x:v>433.60000000000014</x:v>
      </x:c>
      <x:c r="H1903" t="n">
        <x:f>Dashboard_Live_Data!AW187</x:f>
        <x:v>3783.9144030090297</x:v>
      </x:c>
    </x:row>
    <x:row r="1904">
      <x:c r="A1904" t="n">
        <x:f>Dashboard_Live_Data!AP188</x:f>
        <x:v>33</x:v>
      </x:c>
      <x:c r="B1904" t="n">
        <x:f>Dashboard_Live_Data!AQ188</x:f>
        <x:v>2692.9418963583466</x:v>
      </x:c>
      <x:c r="C1904" t="n">
        <x:f>Dashboard_Live_Data!AR188</x:f>
        <x:v>220</x:v>
      </x:c>
      <x:c r="D1904" t="n">
        <x:f>Dashboard_Live_Data!AS188</x:f>
        <x:v>1821.953328576106</x:v>
      </x:c>
      <x:c r="E1904" t="n">
        <x:f>Dashboard_Live_Data!AT188</x:f>
        <x:v>440</x:v>
      </x:c>
      <x:c r="F1904" t="n">
        <x:f>Dashboard_Live_Data!AU188</x:f>
        <x:v>3890.7671657116257</x:v>
      </x:c>
      <x:c r="G1904" t="n">
        <x:f>Dashboard_Live_Data!AV188</x:f>
        <x:v>440</x:v>
      </x:c>
      <x:c r="H1904" t="n">
        <x:f>Dashboard_Live_Data!AW188</x:f>
        <x:v>3859.9216859248836</x:v>
      </x:c>
    </x:row>
    <x:row r="1905">
      <x:c r="A1905" t="n">
        <x:f>Dashboard_Live_Data!AP189</x:f>
        <x:v>33.480000000000004</x:v>
      </x:c>
      <x:c r="B1905" t="n">
        <x:f>Dashboard_Live_Data!AQ189</x:f>
        <x:v>2693.5471794573295</x:v>
      </x:c>
      <x:c r="C1905" t="n">
        <x:f>Dashboard_Live_Data!AR189</x:f>
        <x:v>223.20000000000005</x:v>
      </x:c>
      <x:c r="D1905" t="n">
        <x:f>Dashboard_Live_Data!AS189</x:f>
        <x:v>1853.59624895787</x:v>
      </x:c>
      <x:c r="E1905" t="n">
        <x:f>Dashboard_Live_Data!AT189</x:f>
        <x:v>446.4000000000001</x:v>
      </x:c>
      <x:c r="F1905" t="n">
        <x:f>Dashboard_Live_Data!AU189</x:f>
        <x:v>3967.480748745818</x:v>
      </x:c>
      <x:c r="G1905" t="n">
        <x:f>Dashboard_Live_Data!AV189</x:f>
        <x:v>446.4000000000001</x:v>
      </x:c>
      <x:c r="H1905" t="n">
        <x:f>Dashboard_Live_Data!AW189</x:f>
        <x:v>3936.8097483681768</x:v>
      </x:c>
    </x:row>
    <x:row r="1906">
      <x:c r="A1906" t="n">
        <x:f>Dashboard_Live_Data!AP190</x:f>
        <x:v>34.019999999999996</x:v>
      </x:c>
      <x:c r="B1906" t="n">
        <x:f>Dashboard_Live_Data!AQ190</x:f>
        <x:v>2694.1066115218923</x:v>
      </x:c>
      <x:c r="C1906" t="n">
        <x:f>Dashboard_Live_Data!AR190</x:f>
        <x:v>226.79999999999995</x:v>
      </x:c>
      <x:c r="D1906" t="n">
        <x:f>Dashboard_Live_Data!AS190</x:f>
        <x:v>1889.5699053140243</x:v>
      </x:c>
      <x:c r="E1906" t="n">
        <x:f>Dashboard_Live_Data!AT190</x:f>
        <x:v>453.5999999999999</x:v>
      </x:c>
      <x:c r="F1906" t="n">
        <x:f>Dashboard_Live_Data!AU190</x:f>
        <x:v>4054.3706512176195</x:v>
      </x:c>
      <x:c r="G1906" t="n">
        <x:f>Dashboard_Live_Data!AV190</x:f>
        <x:v>453.5999999999999</x:v>
      </x:c>
      <x:c r="H1906" t="n">
        <x:f>Dashboard_Live_Data!AW190</x:f>
        <x:v>4023.918873075728</x:v>
      </x:c>
    </x:row>
    <x:row r="1907">
      <x:c r="A1907" t="n">
        <x:f>Dashboard_Live_Data!AP191</x:f>
        <x:v>34.5</x:v>
      </x:c>
      <x:c r="B1907" t="n">
        <x:f>Dashboard_Live_Data!AQ191</x:f>
        <x:v>2694.58931326976</x:v>
      </x:c>
      <x:c r="C1907" t="n">
        <x:f>Dashboard_Live_Data!AR191</x:f>
        <x:v>230</x:v>
      </x:c>
      <x:c r="D1907" t="n">
        <x:f>Dashboard_Live_Data!AS191</x:f>
        <x:v>1921.4798302362296</x:v>
      </x:c>
      <x:c r="E1907" t="n">
        <x:f>Dashboard_Live_Data!AT191</x:f>
        <x:v>460</x:v>
      </x:c>
      <x:c r="F1907" t="n">
        <x:f>Dashboard_Live_Data!AU191</x:f>
        <x:v>4132.747732519659</x:v>
      </x:c>
      <x:c r="G1907" t="n">
        <x:f>Dashboard_Live_Data!AV191</x:f>
        <x:v>460</x:v>
      </x:c>
      <x:c r="H1907" t="n">
        <x:f>Dashboard_Live_Data!AW191</x:f>
        <x:v>4102.500411292229</x:v>
      </x:c>
    </x:row>
    <x:row r="1908">
      <x:c r="A1908" t="n">
        <x:f>Dashboard_Live_Data!AP192</x:f>
        <x:v>34.980000000000004</x:v>
      </x:c>
      <x:c r="B1908" t="n">
        <x:f>Dashboard_Live_Data!AQ192</x:f>
        <x:v>2695.227838941296</x:v>
      </x:c>
      <x:c r="C1908" t="n">
        <x:f>Dashboard_Live_Data!AR192</x:f>
        <x:v>233.19999999999993</x:v>
      </x:c>
      <x:c r="D1908" t="n">
        <x:f>Dashboard_Live_Data!AS192</x:f>
        <x:v>1953.587948364663</x:v>
      </x:c>
      <x:c r="E1908" t="n">
        <x:f>Dashboard_Live_Data!AT192</x:f>
        <x:v>466.39999999999986</x:v>
      </x:c>
      <x:c r="F1908" t="n">
        <x:f>Dashboard_Live_Data!AU192</x:f>
        <x:v>4211.941309035313</x:v>
      </x:c>
      <x:c r="G1908" t="n">
        <x:f>Dashboard_Live_Data!AV192</x:f>
        <x:v>466.39999999999986</x:v>
      </x:c>
      <x:c r="H1908" t="n">
        <x:f>Dashboard_Live_Data!AW192</x:f>
        <x:v>4181.912259453965</x:v>
      </x:c>
    </x:row>
    <x:row r="1909">
      <x:c r="A1909" t="n">
        <x:f>Dashboard_Live_Data!AP193</x:f>
        <x:v>35.52000000000001</x:v>
      </x:c>
      <x:c r="B1909" t="n">
        <x:f>Dashboard_Live_Data!AQ193</x:f>
        <x:v>2695.8930735840954</x:v>
      </x:c>
      <x:c r="C1909" t="n">
        <x:f>Dashboard_Live_Data!AR193</x:f>
        <x:v>236.80000000000007</x:v>
      </x:c>
      <x:c r="D1909" t="n">
        <x:f>Dashboard_Live_Data!AS193</x:f>
        <x:v>1990.0401318933384</x:v>
      </x:c>
      <x:c r="E1909" t="n">
        <x:f>Dashboard_Live_Data!AT193</x:f>
        <x:v>473.60000000000014</x:v>
      </x:c>
      <x:c r="F1909" t="n">
        <x:f>Dashboard_Live_Data!AU193</x:f>
        <x:v>4301.463511833895</x:v>
      </x:c>
      <x:c r="G1909" t="n">
        <x:f>Dashboard_Live_Data!AV193</x:f>
        <x:v>473.60000000000014</x:v>
      </x:c>
      <x:c r="H1909" t="n">
        <x:f>Dashboard_Live_Data!AW193</x:f>
        <x:v>4271.704846882371</x:v>
      </x:c>
    </x:row>
    <x:row r="1910">
      <x:c r="A1910" t="n">
        <x:f>Dashboard_Live_Data!AP194</x:f>
        <x:v>36</x:v>
      </x:c>
      <x:c r="B1910" t="n">
        <x:f>Dashboard_Live_Data!AQ194</x:f>
        <x:v>2696.4463864364902</x:v>
      </x:c>
      <x:c r="C1910" t="n">
        <x:f>Dashboard_Live_Data!AR194</x:f>
        <x:v>240</x:v>
      </x:c>
      <x:c r="D1910" t="n">
        <x:f>Dashboard_Live_Data!AS194</x:f>
        <x:v>2022.880167968336</x:v>
      </x:c>
      <x:c r="E1910" t="n">
        <x:f>Dashboard_Live_Data!AT194</x:f>
        <x:v>480</x:v>
      </x:c>
      <x:c r="F1910" t="n">
        <x:f>Dashboard_Live_Data!AU194</x:f>
        <x:v>4382.539155040683</x:v>
      </x:c>
      <x:c r="G1910" t="n">
        <x:f>Dashboard_Live_Data!AV194</x:f>
        <x:v>480</x:v>
      </x:c>
      <x:c r="H1910" t="n">
        <x:f>Dashboard_Live_Data!AW194</x:f>
        <x:v>4353.025992120449</x:v>
      </x:c>
    </x:row>
    <x:row r="1911">
      <x:c r="A1911" t="n">
        <x:f>Dashboard_Live_Data!AP195</x:f>
        <x:v>36.480000000000004</x:v>
      </x:c>
      <x:c r="B1911" t="n">
        <x:f>Dashboard_Live_Data!AQ195</x:f>
        <x:v>2696.984703352465</x:v>
      </x:c>
      <x:c r="C1911" t="n">
        <x:f>Dashboard_Live_Data!AR195</x:f>
        <x:v>243.20000000000005</x:v>
      </x:c>
      <x:c r="D1911" t="n">
        <x:f>Dashboard_Live_Data!AS195</x:f>
        <x:v>2055.916701140966</x:v>
      </x:c>
      <x:c r="E1911" t="n">
        <x:f>Dashboard_Live_Data!AT195</x:f>
        <x:v>486.4000000000001</x:v>
      </x:c>
      <x:c r="F1911" t="n">
        <x:f>Dashboard_Live_Data!AU195</x:f>
        <x:v>4463.734853187518</x:v>
      </x:c>
      <x:c r="G1911" t="n">
        <x:f>Dashboard_Live_Data!AV195</x:f>
        <x:v>486.4000000000001</x:v>
      </x:c>
      <x:c r="H1911" t="n">
        <x:f>Dashboard_Live_Data!AW195</x:f>
        <x:v>4434.491021465697</x:v>
      </x:c>
    </x:row>
    <x:row r="1912">
      <x:c r="A1912" t="n">
        <x:f>Dashboard_Live_Data!AP196</x:f>
        <x:v>37.019999999999996</x:v>
      </x:c>
      <x:c r="B1912" t="n">
        <x:f>Dashboard_Live_Data!AQ196</x:f>
        <x:v>2697.5027559631244</x:v>
      </x:c>
      <x:c r="C1912" t="n">
        <x:f>Dashboard_Live_Data!AR196</x:f>
        <x:v>246.79999999999995</x:v>
      </x:c>
      <x:c r="D1912" t="n">
        <x:f>Dashboard_Live_Data!AS196</x:f>
        <x:v>2093.535999451723</x:v>
      </x:c>
      <x:c r="E1912" t="n">
        <x:f>Dashboard_Live_Data!AT196</x:f>
        <x:v>493.5999999999999</x:v>
      </x:c>
      <x:c r="F1912" t="n">
        <x:f>Dashboard_Live_Data!AU196</x:f>
        <x:v>4556.388569519348</x:v>
      </x:c>
      <x:c r="G1912" t="n">
        <x:f>Dashboard_Live_Data!AV196</x:f>
        <x:v>493.5999999999999</x:v>
      </x:c>
      <x:c r="H1912" t="n">
        <x:f>Dashboard_Live_Data!AW196</x:f>
        <x:v>4527.459520818479</x:v>
      </x:c>
    </x:row>
    <x:row r="1913">
      <x:c r="A1913" t="n">
        <x:f>Dashboard_Live_Data!AP197</x:f>
        <x:v>37.5</x:v>
      </x:c>
      <x:c r="B1913" t="n">
        <x:f>Dashboard_Live_Data!AQ197</x:f>
        <x:v>2698.211716438776</x:v>
      </x:c>
      <x:c r="C1913" t="n">
        <x:f>Dashboard_Live_Data!AR197</x:f>
        <x:v>250</x:v>
      </x:c>
      <x:c r="D1913" t="n">
        <x:f>Dashboard_Live_Data!AS197</x:f>
        <x:v>2127.089015227387</x:v>
      </x:c>
      <x:c r="E1913" t="n">
        <x:f>Dashboard_Live_Data!AT197</x:f>
        <x:v>500</x:v>
      </x:c>
      <x:c r="F1913" t="n">
        <x:f>Dashboard_Live_Data!AU197</x:f>
        <x:v>4639.808507150277</x:v>
      </x:c>
      <x:c r="G1913" t="n">
        <x:f>Dashboard_Live_Data!AV197</x:f>
        <x:v>500</x:v>
      </x:c>
      <x:c r="H1913" t="n">
        <x:f>Dashboard_Live_Data!AW197</x:f>
        <x:v>4611.171611868267</x:v>
      </x:c>
    </x:row>
    <x:row r="1914">
      <x:c r="A1914" t="n">
        <x:f>Dashboard_Live_Data!AP198</x:f>
        <x:v>37.980000000000004</x:v>
      </x:c>
      <x:c r="B1914" t="n">
        <x:f>Dashboard_Live_Data!AQ198</x:f>
        <x:v>2698.7445748679534</x:v>
      </x:c>
      <x:c r="C1914" t="n">
        <x:f>Dashboard_Live_Data!AR198</x:f>
        <x:v>253.20000000000005</x:v>
      </x:c>
      <x:c r="D1914" t="n">
        <x:f>Dashboard_Live_Data!AS198</x:f>
        <x:v>2160.681927524224</x:v>
      </x:c>
      <x:c r="E1914" t="n">
        <x:f>Dashboard_Live_Data!AT198</x:f>
        <x:v>506.4000000000001</x:v>
      </x:c>
      <x:c r="F1914" t="n">
        <x:f>Dashboard_Live_Data!AU198</x:f>
        <x:v>4723.475434804295</x:v>
      </x:c>
      <x:c r="G1914" t="n">
        <x:f>Dashboard_Live_Data!AV198</x:f>
        <x:v>506.4000000000001</x:v>
      </x:c>
      <x:c r="H1914" t="n">
        <x:f>Dashboard_Live_Data!AW198</x:f>
        <x:v>4695.15163279323</x:v>
      </x:c>
    </x:row>
    <x:row r="1915">
      <x:c r="A1915" t="n">
        <x:f>Dashboard_Live_Data!AP199</x:f>
        <x:v>38.519999999999996</x:v>
      </x:c>
      <x:c r="B1915" t="n">
        <x:f>Dashboard_Live_Data!AQ199</x:f>
        <x:v>2699.550750181976</x:v>
      </x:c>
      <x:c r="C1915" t="n">
        <x:f>Dashboard_Live_Data!AR199</x:f>
        <x:v>256.79999999999995</x:v>
      </x:c>
      <x:c r="D1915" t="n">
        <x:f>Dashboard_Live_Data!AS199</x:f>
        <x:v>2198.86700095953</x:v>
      </x:c>
      <x:c r="E1915" t="n">
        <x:f>Dashboard_Live_Data!AT199</x:f>
        <x:v>513.5999999999999</x:v>
      </x:c>
      <x:c r="F1915" t="n">
        <x:f>Dashboard_Live_Data!AU199</x:f>
        <x:v>4819.254362723023</x:v>
      </x:c>
      <x:c r="G1915" t="n">
        <x:f>Dashboard_Live_Data!AV199</x:f>
        <x:v>513.5999999999999</x:v>
      </x:c>
      <x:c r="H1915" t="n">
        <x:f>Dashboard_Live_Data!AW199</x:f>
        <x:v>4791.291285020115</x:v>
      </x:c>
    </x:row>
    <x:row r="1916">
      <x:c r="A1916" t="n">
        <x:f>Dashboard_Live_Data!AP200</x:f>
        <x:v>39</x:v>
      </x:c>
      <x:c r="B1916" t="n">
        <x:f>Dashboard_Live_Data!AQ200</x:f>
        <x:v>2700.1000665260294</x:v>
      </x:c>
      <x:c r="C1916" t="n">
        <x:f>Dashboard_Live_Data!AR200</x:f>
        <x:v>260</x:v>
      </x:c>
      <x:c r="D1916" t="n">
        <x:f>Dashboard_Live_Data!AS200</x:f>
        <x:v>2233.3796452003226</x:v>
      </x:c>
      <x:c r="E1916" t="n">
        <x:f>Dashboard_Live_Data!AT200</x:f>
        <x:v>520</x:v>
      </x:c>
      <x:c r="F1916" t="n">
        <x:f>Dashboard_Live_Data!AU200</x:f>
        <x:v>4905.006260578229</x:v>
      </x:c>
      <x:c r="G1916" t="n">
        <x:f>Dashboard_Live_Data!AV200</x:f>
        <x:v>520</x:v>
      </x:c>
      <x:c r="H1916" t="n">
        <x:f>Dashboard_Live_Data!AW200</x:f>
        <x:v>4877.381630844184</x:v>
      </x:c>
    </x:row>
    <x:row r="1917">
      <x:c r="A1917" t="n">
        <x:f>Dashboard_Live_Data!AP201</x:f>
        <x:v>39.47999999999999</x:v>
      </x:c>
      <x:c r="B1917" t="n">
        <x:f>Dashboard_Live_Data!AQ201</x:f>
        <x:v>2700.798934050626</x:v>
      </x:c>
      <x:c r="C1917" t="n">
        <x:f>Dashboard_Live_Data!AR201</x:f>
        <x:v>263.19999999999993</x:v>
      </x:c>
      <x:c r="D1917" t="n">
        <x:f>Dashboard_Live_Data!AS201</x:f>
        <x:v>2268.093572924754</x:v>
      </x:c>
      <x:c r="E1917" t="n">
        <x:f>Dashboard_Live_Data!AT201</x:f>
        <x:v>526.3999999999999</x:v>
      </x:c>
      <x:c r="F1917" t="n">
        <x:f>Dashboard_Live_Data!AU201</x:f>
        <x:v>4991.48938144948</x:v>
      </x:c>
      <x:c r="G1917" t="n">
        <x:f>Dashboard_Live_Data!AV201</x:f>
        <x:v>526.3999999999999</x:v>
      </x:c>
      <x:c r="H1917" t="n">
        <x:f>Dashboard_Live_Data!AW201</x:f>
        <x:v>4964.217996293782</x:v>
      </x:c>
    </x:row>
    <x:row r="1918">
      <x:c r="A1918" t="n">
        <x:f>Dashboard_Live_Data!AP202</x:f>
        <x:v>40.019999999999996</x:v>
      </x:c>
      <x:c r="B1918" t="n">
        <x:f>Dashboard_Live_Data!AQ202</x:f>
        <x:v>2701.6135071673953</x:v>
      </x:c>
      <x:c r="C1918" t="n">
        <x:f>Dashboard_Live_Data!AR202</x:f>
        <x:v>266.80000000000007</x:v>
      </x:c>
      <x:c r="D1918" t="n">
        <x:f>Dashboard_Live_Data!AS202</x:f>
        <x:v>2307.269279658743</x:v>
      </x:c>
      <x:c r="E1918" t="n">
        <x:f>Dashboard_Live_Data!AT202</x:f>
        <x:v>533.6000000000001</x:v>
      </x:c>
      <x:c r="F1918" t="n">
        <x:f>Dashboard_Live_Data!AU202</x:f>
        <x:v>5090.147049793061</x:v>
      </x:c>
      <x:c r="G1918" t="n">
        <x:f>Dashboard_Live_Data!AV202</x:f>
        <x:v>533.6000000000001</x:v>
      </x:c>
      <x:c r="H1918" t="n">
        <x:f>Dashboard_Live_Data!AW202</x:f>
        <x:v>5063.28575218447</x:v>
      </x:c>
    </x:row>
    <x:row r="1919">
      <x:c r="A1919" t="n">
        <x:f>Dashboard_Live_Data!AP203</x:f>
        <x:v>40.5</x:v>
      </x:c>
      <x:c r="B1919" t="n">
        <x:f>Dashboard_Live_Data!AQ203</x:f>
        <x:v>2702.227556402274</x:v>
      </x:c>
      <x:c r="C1919" t="n">
        <x:f>Dashboard_Live_Data!AR203</x:f>
        <x:v>270</x:v>
      </x:c>
      <x:c r="D1919" t="n">
        <x:f>Dashboard_Live_Data!AS203</x:f>
        <x:v>2342.397836711693</x:v>
      </x:c>
      <x:c r="E1919" t="n">
        <x:f>Dashboard_Live_Data!AT203</x:f>
        <x:v>540</x:v>
      </x:c>
      <x:c r="F1919" t="n">
        <x:f>Dashboard_Live_Data!AU203</x:f>
        <x:v>5178.508279581122</x:v>
      </x:c>
      <x:c r="G1919" t="n">
        <x:f>Dashboard_Live_Data!AV203</x:f>
        <x:v>540</x:v>
      </x:c>
      <x:c r="H1919" t="n">
        <x:f>Dashboard_Live_Data!AW203</x:f>
        <x:v>5152.028386800917</x:v>
      </x:c>
    </x:row>
    <x:row r="1920">
      <x:c r="A1920" t="n">
        <x:f>Dashboard_Live_Data!AP204</x:f>
        <x:v>40.980000000000004</x:v>
      </x:c>
      <x:c r="B1920" t="n">
        <x:f>Dashboard_Live_Data!AQ204</x:f>
        <x:v>2702.9347012405674</x:v>
      </x:c>
      <x:c r="C1920" t="n">
        <x:f>Dashboard_Live_Data!AR204</x:f>
        <x:v>273.20000000000005</x:v>
      </x:c>
      <x:c r="D1920" t="n">
        <x:f>Dashboard_Live_Data!AS204</x:f>
        <x:v>2377.586319197082</x:v>
      </x:c>
      <x:c r="E1920" t="n">
        <x:f>Dashboard_Live_Data!AT204</x:f>
        <x:v>546.4000000000001</x:v>
      </x:c>
      <x:c r="F1920" t="n">
        <x:f>Dashboard_Live_Data!AU204</x:f>
        <x:v>5267.481291794921</x:v>
      </x:c>
      <x:c r="G1920" t="n">
        <x:f>Dashboard_Live_Data!AV204</x:f>
        <x:v>546.4000000000001</x:v>
      </x:c>
      <x:c r="H1920" t="n">
        <x:f>Dashboard_Live_Data!AW204</x:f>
        <x:v>5241.398522516475</x:v>
      </x:c>
    </x:row>
    <x:row r="1921">
      <x:c r="A1921" t="n">
        <x:f>Dashboard_Live_Data!AP205</x:f>
        <x:v>41.519999999999996</x:v>
      </x:c>
      <x:c r="B1921" t="n">
        <x:f>Dashboard_Live_Data!AQ205</x:f>
        <x:v>2703.810254870827</x:v>
      </x:c>
      <x:c r="C1921" t="n">
        <x:f>Dashboard_Live_Data!AR205</x:f>
        <x:v>276.79999999999995</x:v>
      </x:c>
      <x:c r="D1921" t="n">
        <x:f>Dashboard_Live_Data!AS205</x:f>
        <x:v>2417.6598864735997</x:v>
      </x:c>
      <x:c r="E1921" t="n">
        <x:f>Dashboard_Live_Data!AT205</x:f>
        <x:v>553.5999999999999</x:v>
      </x:c>
      <x:c r="F1921" t="n">
        <x:f>Dashboard_Live_Data!AU205</x:f>
        <x:v>5369.156120221762</x:v>
      </x:c>
      <x:c r="G1921" t="n">
        <x:f>Dashboard_Live_Data!AV205</x:f>
        <x:v>553.5999999999999</x:v>
      </x:c>
      <x:c r="H1921" t="n">
        <x:f>Dashboard_Live_Data!AW205</x:f>
        <x:v>5343.531299949264</x:v>
      </x:c>
    </x:row>
    <x:row r="1922">
      <x:c r="A1922" t="n">
        <x:f>Dashboard_Live_Data!AP206</x:f>
        <x:v>42</x:v>
      </x:c>
      <x:c r="B1922" t="n">
        <x:f>Dashboard_Live_Data!AQ206</x:f>
        <x:v>2704.614349908813</x:v>
      </x:c>
      <x:c r="C1922" t="n">
        <x:f>Dashboard_Live_Data!AR206</x:f>
        <x:v>280</x:v>
      </x:c>
      <x:c r="D1922" t="n">
        <x:f>Dashboard_Live_Data!AS206</x:f>
        <x:v>2453.8264418630224</x:v>
      </x:c>
      <x:c r="E1922" t="n">
        <x:f>Dashboard_Live_Data!AT206</x:f>
        <x:v>560</x:v>
      </x:c>
      <x:c r="F1922" t="n">
        <x:f>Dashboard_Live_Data!AU206</x:f>
        <x:v>5459.8605829957</x:v>
      </x:c>
      <x:c r="G1922" t="n">
        <x:f>Dashboard_Live_Data!AV206</x:f>
        <x:v>560</x:v>
      </x:c>
      <x:c r="H1922" t="n">
        <x:f>Dashboard_Live_Data!AW206</x:f>
        <x:v>5434.662150530807</x:v>
      </x:c>
    </x:row>
    <x:row r="1923">
      <x:c r="A1923" t="n">
        <x:f>Dashboard_Live_Data!AP207</x:f>
        <x:v>42.480000000000004</x:v>
      </x:c>
      <x:c r="B1923" t="n">
        <x:f>Dashboard_Live_Data!AQ207</x:f>
        <x:v>2705.349531148823</x:v>
      </x:c>
      <x:c r="C1923" t="n">
        <x:f>Dashboard_Live_Data!AR207</x:f>
        <x:v>283.19999999999993</x:v>
      </x:c>
      <x:c r="D1923" t="n">
        <x:f>Dashboard_Live_Data!AS207</x:f>
        <x:v>2490.2166397829856</x:v>
      </x:c>
      <x:c r="E1923" t="n">
        <x:f>Dashboard_Live_Data!AT207</x:f>
        <x:v>566.3999999999999</x:v>
      </x:c>
      <x:c r="F1923" t="n">
        <x:f>Dashboard_Live_Data!AU207</x:f>
        <x:v>5551.638851287593</x:v>
      </x:c>
      <x:c r="G1923" t="n">
        <x:f>Dashboard_Live_Data!AV207</x:f>
        <x:v>566.3999999999999</x:v>
      </x:c>
      <x:c r="H1923" t="n">
        <x:f>Dashboard_Live_Data!AW207</x:f>
        <x:v>5526.87837903783</x:v>
      </x:c>
    </x:row>
    <x:row r="1924">
      <x:c r="A1924" t="n">
        <x:f>Dashboard_Live_Data!AP208</x:f>
        <x:v>43.02000000000001</x:v>
      </x:c>
      <x:c r="B1924" t="n">
        <x:f>Dashboard_Live_Data!AQ208</x:f>
        <x:v>2706.4288747660044</x:v>
      </x:c>
      <x:c r="C1924" t="n">
        <x:f>Dashboard_Live_Data!AR208</x:f>
        <x:v>286.80000000000007</x:v>
      </x:c>
      <x:c r="D1924" t="n">
        <x:f>Dashboard_Live_Data!AS208</x:f>
        <x:v>2531.154808755311</x:v>
      </x:c>
      <x:c r="E1924" t="n">
        <x:f>Dashboard_Live_Data!AT208</x:f>
        <x:v>573.6000000000001</x:v>
      </x:c>
      <x:c r="F1924" t="n">
        <x:f>Dashboard_Live_Data!AU208</x:f>
        <x:v>5656.251189079561</x:v>
      </x:c>
      <x:c r="G1924" t="n">
        <x:f>Dashboard_Live_Data!AV208</x:f>
        <x:v>573.6000000000001</x:v>
      </x:c>
      <x:c r="H1924" t="n">
        <x:f>Dashboard_Live_Data!AW208</x:f>
        <x:v>5631.996968936285</x:v>
      </x:c>
    </x:row>
    <x:row r="1925">
      <x:c r="A1925" t="n">
        <x:f>Dashboard_Live_Data!AP209</x:f>
        <x:v>43.5</x:v>
      </x:c>
      <x:c r="B1925" t="n">
        <x:f>Dashboard_Live_Data!AQ209</x:f>
        <x:v>2707.1859976785427</x:v>
      </x:c>
      <x:c r="C1925" t="n">
        <x:f>Dashboard_Live_Data!AR209</x:f>
        <x:v>290</x:v>
      </x:c>
      <x:c r="D1925" t="n">
        <x:f>Dashboard_Live_Data!AS209</x:f>
        <x:v>2567.7411755466196</x:v>
      </x:c>
      <x:c r="E1925" t="n">
        <x:f>Dashboard_Live_Data!AT209</x:f>
        <x:v>580</x:v>
      </x:c>
      <x:c r="F1925" t="n">
        <x:f>Dashboard_Live_Data!AU209</x:f>
        <x:v>5749.3574043712215</x:v>
      </x:c>
      <x:c r="G1925" t="n">
        <x:f>Dashboard_Live_Data!AV209</x:f>
        <x:v>580</x:v>
      </x:c>
      <x:c r="H1925" t="n">
        <x:f>Dashboard_Live_Data!AW209</x:f>
        <x:v>5725.5731708500725</x:v>
      </x:c>
    </x:row>
    <x:row r="1926">
      <x:c r="A1926" t="n">
        <x:f>Dashboard_Live_Data!AP210</x:f>
        <x:v>43.980000000000004</x:v>
      </x:c>
      <x:c r="B1926" t="n">
        <x:f>Dashboard_Live_Data!AQ210</x:f>
        <x:v>2708.0535136916324</x:v>
      </x:c>
      <x:c r="C1926" t="n">
        <x:f>Dashboard_Live_Data!AR210</x:f>
        <x:v>293.20000000000005</x:v>
      </x:c>
      <x:c r="D1926" t="n">
        <x:f>Dashboard_Live_Data!AS210</x:f>
        <x:v>2604.7028372749974</x:v>
      </x:c>
      <x:c r="E1926" t="n">
        <x:f>Dashboard_Live_Data!AT210</x:f>
        <x:v>586.4000000000001</x:v>
      </x:c>
      <x:c r="F1926" t="n">
        <x:f>Dashboard_Live_Data!AU210</x:f>
        <x:v>5844.274620092532</x:v>
      </x:c>
      <x:c r="G1926" t="n">
        <x:f>Dashboard_Live_Data!AV210</x:f>
        <x:v>586.4000000000001</x:v>
      </x:c>
      <x:c r="H1926" t="n">
        <x:f>Dashboard_Live_Data!AW210</x:f>
        <x:v>5820.9670434296495</x:v>
      </x:c>
    </x:row>
    <x:row r="1927">
      <x:c r="A1927" t="n">
        <x:f>Dashboard_Live_Data!AP211</x:f>
        <x:v>44.519999999999996</x:v>
      </x:c>
      <x:c r="B1927" t="n">
        <x:f>Dashboard_Live_Data!AQ211</x:f>
        <x:v>2708.9759331232062</x:v>
      </x:c>
      <x:c r="C1927" t="n">
        <x:f>Dashboard_Live_Data!AR211</x:f>
        <x:v>296.79999999999995</x:v>
      </x:c>
      <x:c r="D1927" t="n">
        <x:f>Dashboard_Live_Data!AS211</x:f>
        <x:v>2646.979433940708</x:v>
      </x:c>
      <x:c r="E1927" t="n">
        <x:f>Dashboard_Live_Data!AT211</x:f>
        <x:v>593.5999999999999</x:v>
      </x:c>
      <x:c r="F1927" t="n">
        <x:f>Dashboard_Live_Data!AU211</x:f>
        <x:v>5951.428965774956</x:v>
      </x:c>
      <x:c r="G1927" t="n">
        <x:f>Dashboard_Live_Data!AV211</x:f>
        <x:v>593.5999999999999</x:v>
      </x:c>
      <x:c r="H1927" t="n">
        <x:f>Dashboard_Live_Data!AW211</x:f>
        <x:v>5928.678003819094</x:v>
      </x:c>
    </x:row>
    <x:row r="1928">
      <x:c r="A1928" t="n">
        <x:f>Dashboard_Live_Data!AP212</x:f>
        <x:v>45</x:v>
      </x:c>
      <x:c r="B1928" t="n">
        <x:f>Dashboard_Live_Data!AQ212</x:f>
        <x:v>2709.9297554985205</x:v>
      </x:c>
      <x:c r="C1928" t="n">
        <x:f>Dashboard_Live_Data!AR212</x:f>
        <x:v>300</x:v>
      </x:c>
      <x:c r="D1928" t="n">
        <x:f>Dashboard_Live_Data!AS212</x:f>
        <x:v>2684.8439175922745</x:v>
      </x:c>
      <x:c r="E1928" t="n">
        <x:f>Dashboard_Live_Data!AT212</x:f>
        <x:v>600</x:v>
      </x:c>
      <x:c r="F1928" t="n">
        <x:f>Dashboard_Live_Data!AU212</x:f>
        <x:v>6047.7020502811065</x:v>
      </x:c>
      <x:c r="G1928" t="n">
        <x:f>Dashboard_Live_Data!AV212</x:f>
        <x:v>600</x:v>
      </x:c>
      <x:c r="H1928" t="n">
        <x:f>Dashboard_Live_Data!AW212</x:f>
        <x:v>6025.4591988659095</x:v>
      </x:c>
    </x:row>
    <x:row r="1929">
      <x:c r="A1929" t="n">
        <x:f>Dashboard_Live_Data!AP213</x:f>
        <x:v>45.480000000000004</x:v>
      </x:c>
      <x:c r="B1929" t="n">
        <x:f>Dashboard_Live_Data!AQ213</x:f>
        <x:v>2710.776759778393</x:v>
      </x:c>
      <x:c r="C1929" t="n">
        <x:f>Dashboard_Live_Data!AR213</x:f>
        <x:v>303.20000000000005</x:v>
      </x:c>
      <x:c r="D1929" t="n">
        <x:f>Dashboard_Live_Data!AS213</x:f>
        <x:v>2722.7356281270404</x:v>
      </x:c>
      <x:c r="E1929" t="n">
        <x:f>Dashboard_Live_Data!AT213</x:f>
        <x:v>606.4000000000001</x:v>
      </x:c>
      <x:c r="F1929" t="n">
        <x:f>Dashboard_Live_Data!AU213</x:f>
        <x:v>6145.111338452737</x:v>
      </x:c>
      <x:c r="G1929" t="n">
        <x:f>Dashboard_Live_Data!AV213</x:f>
        <x:v>606.4000000000001</x:v>
      </x:c>
      <x:c r="H1929" t="n">
        <x:f>Dashboard_Live_Data!AW213</x:f>
        <x:v>6123.388242453002</x:v>
      </x:c>
    </x:row>
    <x:row r="1930">
      <x:c r="A1930" t="n">
        <x:f>Dashboard_Live_Data!AP214</x:f>
        <x:v>46.019999999999996</x:v>
      </x:c>
      <x:c r="B1930" t="n">
        <x:f>Dashboard_Live_Data!AQ214</x:f>
        <x:v>2711.675685734151</x:v>
      </x:c>
      <x:c r="C1930" t="n">
        <x:f>Dashboard_Live_Data!AR214</x:f>
        <x:v>306.79999999999995</x:v>
      </x:c>
      <x:c r="D1930" t="n">
        <x:f>Dashboard_Live_Data!AS214</x:f>
        <x:v>2765.514130169189</x:v>
      </x:c>
      <x:c r="E1930" t="n">
        <x:f>Dashboard_Live_Data!AT214</x:f>
        <x:v>613.5999999999999</x:v>
      </x:c>
      <x:c r="F1930" t="n">
        <x:f>Dashboard_Live_Data!AU214</x:f>
        <x:v>6255.2175947007745</x:v>
      </x:c>
      <x:c r="G1930" t="n">
        <x:f>Dashboard_Live_Data!AV214</x:f>
        <x:v>613.5999999999999</x:v>
      </x:c>
      <x:c r="H1930" t="n">
        <x:f>Dashboard_Live_Data!AW214</x:f>
        <x:v>6234.097857525002</x:v>
      </x:c>
    </x:row>
    <x:row r="1931">
      <x:c r="A1931" t="n">
        <x:f>Dashboard_Live_Data!AP215</x:f>
        <x:v>46.5</x:v>
      </x:c>
      <x:c r="B1931" t="n">
        <x:f>Dashboard_Live_Data!AQ215</x:f>
        <x:v>2712.618819612096</x:v>
      </x:c>
      <x:c r="C1931" t="n">
        <x:f>Dashboard_Live_Data!AR215</x:f>
        <x:v>310</x:v>
      </x:c>
      <x:c r="D1931" t="n">
        <x:f>Dashboard_Live_Data!AS215</x:f>
        <x:v>2803.976331236653</x:v>
      </x:c>
      <x:c r="E1931" t="n">
        <x:f>Dashboard_Live_Data!AT215</x:f>
        <x:v>620</x:v>
      </x:c>
      <x:c r="F1931" t="n">
        <x:f>Dashboard_Live_Data!AU215</x:f>
        <x:v>6354.28082575311</x:v>
      </x:c>
      <x:c r="G1931" t="n">
        <x:f>Dashboard_Live_Data!AV215</x:f>
        <x:v>620</x:v>
      </x:c>
      <x:c r="H1931" t="n">
        <x:f>Dashboard_Live_Data!AW215</x:f>
        <x:v>6333.709831112798</x:v>
      </x:c>
    </x:row>
    <x:row r="1932">
      <x:c r="A1932" t="n">
        <x:f>Dashboard_Live_Data!AP216</x:f>
        <x:v>46.97999999999999</x:v>
      </x:c>
      <x:c r="B1932" t="n">
        <x:f>Dashboard_Live_Data!AQ216</x:f>
        <x:v>2713.403250630905</x:v>
      </x:c>
      <x:c r="C1932" t="n">
        <x:f>Dashboard_Live_Data!AR216</x:f>
        <x:v>313.19999999999993</x:v>
      </x:c>
      <x:c r="D1932" t="n">
        <x:f>Dashboard_Live_Data!AS216</x:f>
        <x:v>2842.8304615876677</x:v>
      </x:c>
      <x:c r="E1932" t="n">
        <x:f>Dashboard_Live_Data!AT216</x:f>
        <x:v>626.3999999999999</x:v>
      </x:c>
      <x:c r="F1932" t="n">
        <x:f>Dashboard_Live_Data!AU216</x:f>
        <x:v>6454.255793929251</x:v>
      </x:c>
      <x:c r="G1932" t="n">
        <x:f>Dashboard_Live_Data!AV216</x:f>
        <x:v>626.3999999999999</x:v>
      </x:c>
      <x:c r="H1932" t="n">
        <x:f>Dashboard_Live_Data!AW216</x:f>
        <x:v>6434.24640902367</x:v>
      </x:c>
    </x:row>
    <x:row r="1933">
      <x:c r="A1933" t="n">
        <x:f>Dashboard_Live_Data!AP217</x:f>
        <x:v>47.519999999999996</x:v>
      </x:c>
      <x:c r="B1933" t="n">
        <x:f>Dashboard_Live_Data!AQ217</x:f>
        <x:v>2714.430532583016</x:v>
      </x:c>
      <x:c r="C1933" t="n">
        <x:f>Dashboard_Live_Data!AR217</x:f>
        <x:v>316.80000000000007</x:v>
      </x:c>
      <x:c r="D1933" t="n">
        <x:f>Dashboard_Live_Data!AS217</x:f>
        <x:v>2886.984046410364</x:v>
      </x:c>
      <x:c r="E1933" t="n">
        <x:f>Dashboard_Live_Data!AT217</x:f>
        <x:v>633.6000000000001</x:v>
      </x:c>
      <x:c r="F1933" t="n">
        <x:f>Dashboard_Live_Data!AU217</x:f>
        <x:v>6567.347290290034</x:v>
      </x:c>
      <x:c r="G1933" t="n">
        <x:f>Dashboard_Live_Data!AV217</x:f>
        <x:v>633.6000000000001</x:v>
      </x:c>
      <x:c r="H1933" t="n">
        <x:f>Dashboard_Live_Data!AW217</x:f>
        <x:v>6547.987188435632</x:v>
      </x:c>
    </x:row>
    <x:row r="1934">
      <x:c r="A1934" t="n">
        <x:f>Dashboard_Live_Data!AP218</x:f>
        <x:v>48</x:v>
      </x:c>
      <x:c r="B1934" t="n">
        <x:f>Dashboard_Live_Data!AQ218</x:f>
        <x:v>2715.124057836022</x:v>
      </x:c>
      <x:c r="C1934" t="n">
        <x:f>Dashboard_Live_Data!AR218</x:f>
        <x:v>320</x:v>
      </x:c>
      <x:c r="D1934" t="n">
        <x:f>Dashboard_Live_Data!AS218</x:f>
        <x:v>2926.6072868304295</x:v>
      </x:c>
      <x:c r="E1934" t="n">
        <x:f>Dashboard_Live_Data!AT218</x:f>
        <x:v>640</x:v>
      </x:c>
      <x:c r="F1934" t="n">
        <x:f>Dashboard_Live_Data!AU218</x:f>
        <x:v>6669.157766597429</x:v>
      </x:c>
      <x:c r="G1934" t="n">
        <x:f>Dashboard_Live_Data!AV218</x:f>
        <x:v>640</x:v>
      </x:c>
      <x:c r="H1934" t="n">
        <x:f>Dashboard_Live_Data!AW218</x:f>
        <x:v>6650.38687135412</x:v>
      </x:c>
    </x:row>
    <x:row r="1935">
      <x:c r="A1935" t="n">
        <x:f>Dashboard_Live_Data!AP219</x:f>
        <x:v>48.480000000000004</x:v>
      </x:c>
      <x:c r="B1935" t="n">
        <x:f>Dashboard_Live_Data!AQ219</x:f>
        <x:v>2716.028847901768</x:v>
      </x:c>
      <x:c r="C1935" t="n">
        <x:f>Dashboard_Live_Data!AR219</x:f>
        <x:v>323.20000000000005</x:v>
      </x:c>
      <x:c r="D1935" t="n">
        <x:f>Dashboard_Live_Data!AS219</x:f>
        <x:v>2966.111877040855</x:v>
      </x:c>
      <x:c r="E1935" t="n">
        <x:f>Dashboard_Live_Data!AT219</x:f>
        <x:v>646.4000000000001</x:v>
      </x:c>
      <x:c r="F1935" t="n">
        <x:f>Dashboard_Live_Data!AU219</x:f>
        <x:v>6771.9546878484725</x:v>
      </x:c>
      <x:c r="G1935" t="n">
        <x:f>Dashboard_Live_Data!AV219</x:f>
        <x:v>646.4000000000001</x:v>
      </x:c>
      <x:c r="H1935" t="n">
        <x:f>Dashboard_Live_Data!AW219</x:f>
        <x:v>6753.785456348162</x:v>
      </x:c>
    </x:row>
    <x:row r="1936">
      <x:c r="A1936" t="n">
        <x:f>Dashboard_Live_Data!AP220</x:f>
        <x:v>49.019999999999996</x:v>
      </x:c>
      <x:c r="B1936" t="n">
        <x:f>Dashboard_Live_Data!AQ220</x:f>
        <x:v>2717.001745421667</x:v>
      </x:c>
      <x:c r="C1936" t="n">
        <x:f>Dashboard_Live_Data!AR220</x:f>
        <x:v>326.79999999999995</x:v>
      </x:c>
      <x:c r="D1936" t="n">
        <x:f>Dashboard_Live_Data!AS220</x:f>
        <x:v>3010.783980478043</x:v>
      </x:c>
      <x:c r="E1936" t="n">
        <x:f>Dashboard_Live_Data!AT220</x:f>
        <x:v>653.5999999999999</x:v>
      </x:c>
      <x:c r="F1936" t="n">
        <x:f>Dashboard_Live_Data!AU220</x:f>
        <x:v>6888.021426206603</x:v>
      </x:c>
      <x:c r="G1936" t="n">
        <x:f>Dashboard_Live_Data!AV220</x:f>
        <x:v>653.5999999999999</x:v>
      </x:c>
      <x:c r="H1936" t="n">
        <x:f>Dashboard_Live_Data!AW220</x:f>
        <x:v>6870.546820843922</x:v>
      </x:c>
    </x:row>
    <x:row r="1937">
      <x:c r="A1937" t="n">
        <x:f>Dashboard_Live_Data!AP221</x:f>
        <x:v>49.5</x:v>
      </x:c>
      <x:c r="B1937" t="n">
        <x:f>Dashboard_Live_Data!AQ221</x:f>
        <x:v>2717.7655816374827</x:v>
      </x:c>
      <x:c r="C1937" t="n">
        <x:f>Dashboard_Live_Data!AR221</x:f>
        <x:v>330</x:v>
      </x:c>
      <x:c r="D1937" t="n">
        <x:f>Dashboard_Live_Data!AS221</x:f>
        <x:v>3051.177959160299</x:v>
      </x:c>
      <x:c r="E1937" t="n">
        <x:f>Dashboard_Live_Data!AT221</x:f>
        <x:v>660</x:v>
      </x:c>
      <x:c r="F1937" t="n">
        <x:f>Dashboard_Live_Data!AU221</x:f>
        <x:v>6992.888996566192</x:v>
      </x:c>
      <x:c r="G1937" t="n">
        <x:f>Dashboard_Live_Data!AV221</x:f>
        <x:v>660</x:v>
      </x:c>
      <x:c r="H1937" t="n">
        <x:f>Dashboard_Live_Data!AW221</x:f>
        <x:v>6976.042519176204</x:v>
      </x:c>
    </x:row>
    <x:row r="1938">
      <x:c r="A1938" t="n">
        <x:f>Dashboard_Live_Data!AP222</x:f>
        <x:v>49.980000000000004</x:v>
      </x:c>
      <x:c r="B1938" t="n">
        <x:f>Dashboard_Live_Data!AQ222</x:f>
        <x:v>2718.562423641157</x:v>
      </x:c>
      <x:c r="C1938" t="n">
        <x:f>Dashboard_Live_Data!AR222</x:f>
        <x:v>333.19999999999993</x:v>
      </x:c>
      <x:c r="D1938" t="n">
        <x:f>Dashboard_Live_Data!AS222</x:f>
        <x:v>3091.992984294787</x:v>
      </x:c>
      <x:c r="E1938" t="n">
        <x:f>Dashboard_Live_Data!AT222</x:f>
        <x:v>666.3999999999999</x:v>
      </x:c>
      <x:c r="F1938" t="n">
        <x:f>Dashboard_Live_Data!AU222</x:f>
        <x:v>7098.013869852497</x:v>
      </x:c>
      <x:c r="G1938" t="n">
        <x:f>Dashboard_Live_Data!AV222</x:f>
        <x:v>666.3999999999999</x:v>
      </x:c>
      <x:c r="H1938" t="n">
        <x:f>Dashboard_Live_Data!AW222</x:f>
        <x:v>7081.81042563662</x:v>
      </x:c>
    </x:row>
    <x:row r="1939">
      <x:c r="A1939" t="n">
        <x:f>Dashboard_Live_Data!AP223</x:f>
        <x:v>50.52000000000001</x:v>
      </x:c>
      <x:c r="B1939" t="n">
        <x:f>Dashboard_Live_Data!AQ223</x:f>
        <x:v>2719.4600228979743</x:v>
      </x:c>
      <x:c r="C1939" t="n">
        <x:f>Dashboard_Live_Data!AR223</x:f>
        <x:v>336.80000000000007</x:v>
      </x:c>
      <x:c r="D1939" t="n">
        <x:f>Dashboard_Live_Data!AS223</x:f>
        <x:v>3137.9971314740387</x:v>
      </x:c>
      <x:c r="E1939" t="n">
        <x:f>Dashboard_Live_Data!AT223</x:f>
        <x:v>673.6000000000001</x:v>
      </x:c>
      <x:c r="F1939" t="n">
        <x:f>Dashboard_Live_Data!AU223</x:f>
        <x:v>7217.546480079484</x:v>
      </x:c>
      <x:c r="G1939" t="n">
        <x:f>Dashboard_Live_Data!AV223</x:f>
        <x:v>673.6000000000001</x:v>
      </x:c>
      <x:c r="H1939" t="n">
        <x:f>Dashboard_Live_Data!AW223</x:f>
        <x:v>7202.080769171895</x:v>
      </x:c>
    </x:row>
    <x:row r="1940">
      <x:c r="A1940" t="n">
        <x:f>Dashboard_Live_Data!AP224</x:f>
        <x:v>51</x:v>
      </x:c>
      <x:c r="B1940" t="n">
        <x:f>Dashboard_Live_Data!AQ224</x:f>
        <x:v>2720.284625130148</x:v>
      </x:c>
      <x:c r="C1940" t="n">
        <x:f>Dashboard_Live_Data!AR224</x:f>
        <x:v>340</x:v>
      </x:c>
      <x:c r="D1940" t="n">
        <x:f>Dashboard_Live_Data!AS224</x:f>
        <x:v>3179.0930306359223</x:v>
      </x:c>
      <x:c r="E1940" t="n">
        <x:f>Dashboard_Live_Data!AT224</x:f>
        <x:v>680</x:v>
      </x:c>
      <x:c r="F1940" t="n">
        <x:f>Dashboard_Live_Data!AU224</x:f>
        <x:v>7325.109272184577</x:v>
      </x:c>
      <x:c r="G1940" t="n">
        <x:f>Dashboard_Live_Data!AV224</x:f>
        <x:v>680</x:v>
      </x:c>
      <x:c r="H1940" t="n">
        <x:f>Dashboard_Live_Data!AW224</x:f>
        <x:v>7310.311593445844</x:v>
      </x:c>
    </x:row>
    <x:row r="1941">
      <x:c r="A1941" t="n">
        <x:f>Dashboard_Live_Data!AP225</x:f>
        <x:v>51.480000000000004</x:v>
      </x:c>
      <x:c r="B1941" t="n">
        <x:f>Dashboard_Live_Data!AQ225</x:f>
        <x:v>2721.136694205718</x:v>
      </x:c>
      <x:c r="C1941" t="n">
        <x:f>Dashboard_Live_Data!AR225</x:f>
        <x:v>343.20000000000005</x:v>
      </x:c>
      <x:c r="D1941" t="n">
        <x:f>Dashboard_Live_Data!AS225</x:f>
        <x:v>3220.474419904112</x:v>
      </x:c>
      <x:c r="E1941" t="n">
        <x:f>Dashboard_Live_Data!AT225</x:f>
        <x:v>686.4000000000001</x:v>
      </x:c>
      <x:c r="F1941" t="n">
        <x:f>Dashboard_Live_Data!AU225</x:f>
        <x:v>7432.782391212268</x:v>
      </x:c>
      <x:c r="G1941" t="n">
        <x:f>Dashboard_Live_Data!AV225</x:f>
        <x:v>686.4000000000001</x:v>
      </x:c>
      <x:c r="H1941" t="n">
        <x:f>Dashboard_Live_Data!AW225</x:f>
        <x:v>7418.6674296546635</x:v>
      </x:c>
    </x:row>
    <x:row r="1942">
      <x:c r="A1942" t="n">
        <x:f>Dashboard_Live_Data!AP226</x:f>
        <x:v>52.019999999999996</x:v>
      </x:c>
      <x:c r="B1942" t="n">
        <x:f>Dashboard_Live_Data!AQ226</x:f>
        <x:v>2722.0161317735797</x:v>
      </x:c>
      <x:c r="C1942" t="n">
        <x:f>Dashboard_Live_Data!AR226</x:f>
        <x:v>346.79999999999995</x:v>
      </x:c>
      <x:c r="D1942" t="n">
        <x:f>Dashboard_Live_Data!AS226</x:f>
        <x:v>3267.386848018475</x:v>
      </x:c>
      <x:c r="E1942" t="n">
        <x:f>Dashboard_Live_Data!AT226</x:f>
        <x:v>693.5999999999999</x:v>
      </x:c>
      <x:c r="F1942" t="n">
        <x:f>Dashboard_Live_Data!AU226</x:f>
        <x:v>7555.73320099179</x:v>
      </x:c>
      <x:c r="G1942" t="n">
        <x:f>Dashboard_Live_Data!AV226</x:f>
        <x:v>693.5999999999999</x:v>
      </x:c>
      <x:c r="H1942" t="n">
        <x:f>Dashboard_Live_Data!AW226</x:f>
        <x:v>7542.399117852137</x:v>
      </x:c>
    </x:row>
    <x:row r="1943">
      <x:c r="A1943" t="n">
        <x:f>Dashboard_Live_Data!AP227</x:f>
        <x:v>52.5</x:v>
      </x:c>
      <x:c r="B1943" t="n">
        <x:f>Dashboard_Live_Data!AQ227</x:f>
        <x:v>2722.8437124522143</x:v>
      </x:c>
      <x:c r="C1943" t="n">
        <x:f>Dashboard_Live_Data!AR227</x:f>
        <x:v>350</x:v>
      </x:c>
      <x:c r="D1943" t="n">
        <x:f>Dashboard_Live_Data!AS227</x:f>
        <x:v>3309.459484632871</x:v>
      </x:c>
      <x:c r="E1943" t="n">
        <x:f>Dashboard_Live_Data!AT227</x:f>
        <x:v>700</x:v>
      </x:c>
      <x:c r="F1943" t="n">
        <x:f>Dashboard_Live_Data!AU227</x:f>
        <x:v>7665.636355141929</x:v>
      </x:c>
      <x:c r="G1943" t="n">
        <x:f>Dashboard_Live_Data!AV227</x:f>
        <x:v>700</x:v>
      </x:c>
      <x:c r="H1943" t="n">
        <x:f>Dashboard_Live_Data!AW227</x:f>
        <x:v>7653.010376100991</x:v>
      </x:c>
    </x:row>
    <x:row r="1944">
      <x:c r="A1944" t="n">
        <x:f>Dashboard_Live_Data!AP228</x:f>
        <x:v>52.980000000000004</x:v>
      </x:c>
      <x:c r="B1944" t="n">
        <x:f>Dashboard_Live_Data!AQ228</x:f>
        <x:v>2723.7535103247137</x:v>
      </x:c>
      <x:c r="C1944" t="n">
        <x:f>Dashboard_Live_Data!AR228</x:f>
        <x:v>353.20000000000005</x:v>
      </x:c>
      <x:c r="D1944" t="n">
        <x:f>Dashboard_Live_Data!AS228</x:f>
        <x:v>3352.0649024359104</x:v>
      </x:c>
      <x:c r="E1944" t="n">
        <x:f>Dashboard_Live_Data!AT228</x:f>
        <x:v>706.4000000000001</x:v>
      </x:c>
      <x:c r="F1944" t="n">
        <x:f>Dashboard_Live_Data!AU228</x:f>
        <x:v>7776.31348402332</x:v>
      </x:c>
      <x:c r="G1944" t="n">
        <x:f>Dashboard_Live_Data!AV228</x:f>
        <x:v>706.4000000000001</x:v>
      </x:c>
      <x:c r="H1944" t="n">
        <x:f>Dashboard_Live_Data!AW228</x:f>
        <x:v>7764.408135091424</x:v>
      </x:c>
    </x:row>
    <x:row r="1945">
      <x:c r="A1945" t="n">
        <x:f>Dashboard_Live_Data!AP229</x:f>
        <x:v>53.519999999999996</x:v>
      </x:c>
      <x:c r="B1945" t="n">
        <x:f>Dashboard_Live_Data!AQ229</x:f>
        <x:v>2724.6194788259563</x:v>
      </x:c>
      <x:c r="C1945" t="n">
        <x:f>Dashboard_Live_Data!AR229</x:f>
        <x:v>356.79999999999995</x:v>
      </x:c>
      <x:c r="D1945" t="n">
        <x:f>Dashboard_Live_Data!AS229</x:f>
        <x:v>3400.2165495983063</x:v>
      </x:c>
      <x:c r="E1945" t="n">
        <x:f>Dashboard_Live_Data!AT229</x:f>
        <x:v>713.5999999999999</x:v>
      </x:c>
      <x:c r="F1945" t="n">
        <x:f>Dashboard_Live_Data!AU229</x:f>
        <x:v>7902.234110027593</x:v>
      </x:c>
      <x:c r="G1945" t="n">
        <x:f>Dashboard_Live_Data!AV229</x:f>
        <x:v>713.5999999999999</x:v>
      </x:c>
      <x:c r="H1945" t="n">
        <x:f>Dashboard_Live_Data!AW229</x:f>
        <x:v>7891.1533948112265</x:v>
      </x:c>
    </x:row>
    <x:row r="1946">
      <x:c r="A1946" t="n">
        <x:f>Dashboard_Live_Data!AP230</x:f>
        <x:v>54</x:v>
      </x:c>
      <x:c r="B1946" t="n">
        <x:f>Dashboard_Live_Data!AQ230</x:f>
        <x:v>2725.542674611314</x:v>
      </x:c>
      <x:c r="C1946" t="n">
        <x:f>Dashboard_Live_Data!AR230</x:f>
        <x:v>360</x:v>
      </x:c>
      <x:c r="D1946" t="n">
        <x:f>Dashboard_Live_Data!AS230</x:f>
        <x:v>3443.039173659275</x:v>
      </x:c>
      <x:c r="E1946" t="n">
        <x:f>Dashboard_Live_Data!AT230</x:f>
        <x:v>720</x:v>
      </x:c>
      <x:c r="F1946" t="n">
        <x:f>Dashboard_Live_Data!AU230</x:f>
        <x:v>8014.969432881394</x:v>
      </x:c>
      <x:c r="G1946" t="n">
        <x:f>Dashboard_Live_Data!AV230</x:f>
        <x:v>720</x:v>
      </x:c>
      <x:c r="H1946" t="n">
        <x:f>Dashboard_Live_Data!AW230</x:f>
        <x:v>8004.634969601828</x:v>
      </x:c>
    </x:row>
    <x:row r="1947">
      <x:c r="A1947" t="n">
        <x:f>Dashboard_Live_Data!AP231</x:f>
        <x:v>54.47999999999999</x:v>
      </x:c>
      <x:c r="B1947" t="n">
        <x:f>Dashboard_Live_Data!AQ231</x:f>
        <x:v>2726.4905339389343</x:v>
      </x:c>
      <x:c r="C1947" t="n">
        <x:f>Dashboard_Live_Data!AR231</x:f>
        <x:v>363.19999999999993</x:v>
      </x:c>
      <x:c r="D1947" t="n">
        <x:f>Dashboard_Live_Data!AS231</x:f>
        <x:v>3486.123112704351</x:v>
      </x:c>
      <x:c r="E1947" t="n">
        <x:f>Dashboard_Live_Data!AT231</x:f>
        <x:v>726.3999999999999</x:v>
      </x:c>
      <x:c r="F1947" t="n">
        <x:f>Dashboard_Live_Data!AU231</x:f>
        <x:v>8128.406130195014</x:v>
      </x:c>
      <x:c r="G1947" t="n">
        <x:f>Dashboard_Live_Data!AV231</x:f>
        <x:v>726.3999999999999</x:v>
      </x:c>
      <x:c r="H1947" t="n">
        <x:f>Dashboard_Live_Data!AW231</x:f>
        <x:v>8118.830347051876</x:v>
      </x:c>
    </x:row>
    <x:row r="1948">
      <x:c r="A1948" t="n">
        <x:f>Dashboard_Live_Data!AP232</x:f>
        <x:v>55.019999999999996</x:v>
      </x:c>
      <x:c r="B1948" t="n">
        <x:f>Dashboard_Live_Data!AQ232</x:f>
        <x:v>2727.3660689754033</x:v>
      </x:c>
      <x:c r="C1948" t="n">
        <x:f>Dashboard_Live_Data!AR232</x:f>
        <x:v>366.80000000000007</x:v>
      </x:c>
      <x:c r="D1948" t="n">
        <x:f>Dashboard_Live_Data!AS232</x:f>
        <x:v>3535.217216361177</x:v>
      </x:c>
      <x:c r="E1948" t="n">
        <x:f>Dashboard_Live_Data!AT232</x:f>
        <x:v>733.6000000000001</x:v>
      </x:c>
      <x:c r="F1948" t="n">
        <x:f>Dashboard_Live_Data!AU232</x:f>
        <x:v>8257.76290026447</x:v>
      </x:c>
      <x:c r="G1948" t="n">
        <x:f>Dashboard_Live_Data!AV232</x:f>
        <x:v>733.6000000000001</x:v>
      </x:c>
      <x:c r="H1948" t="n">
        <x:f>Dashboard_Live_Data!AW232</x:f>
        <x:v>8249.054072142984</x:v>
      </x:c>
    </x:row>
    <x:row r="1949">
      <x:c r="A1949" t="n">
        <x:f>Dashboard_Live_Data!AP233</x:f>
        <x:v>55.5</x:v>
      </x:c>
      <x:c r="B1949" t="n">
        <x:f>Dashboard_Live_Data!AQ233</x:f>
        <x:v>2728.4267562236205</x:v>
      </x:c>
      <x:c r="C1949" t="n">
        <x:f>Dashboard_Live_Data!AR233</x:f>
        <x:v>370</x:v>
      </x:c>
      <x:c r="D1949" t="n">
        <x:f>Dashboard_Live_Data!AS233</x:f>
        <x:v>3579.384617384559</x:v>
      </x:c>
      <x:c r="E1949" t="n">
        <x:f>Dashboard_Live_Data!AT233</x:f>
        <x:v>740</x:v>
      </x:c>
      <x:c r="F1949" t="n">
        <x:f>Dashboard_Live_Data!AU233</x:f>
        <x:v>8373.137731591465</x:v>
      </x:c>
      <x:c r="G1949" t="n">
        <x:f>Dashboard_Live_Data!AV233</x:f>
        <x:v>740</x:v>
      </x:c>
      <x:c r="H1949" t="n">
        <x:f>Dashboard_Live_Data!AW233</x:f>
        <x:v>8365.213114269161</x:v>
      </x:c>
    </x:row>
    <x:row r="1950">
      <x:c r="A1950" t="n">
        <x:f>Dashboard_Live_Data!AP234</x:f>
        <x:v>55.980000000000004</x:v>
      </x:c>
      <x:c r="B1950" t="n">
        <x:f>Dashboard_Live_Data!AQ234</x:f>
        <x:v>2729.345802686525</x:v>
      </x:c>
      <x:c r="C1950" t="n">
        <x:f>Dashboard_Live_Data!AR234</x:f>
        <x:v>373.20000000000005</x:v>
      </x:c>
      <x:c r="D1950" t="n">
        <x:f>Dashboard_Live_Data!AS234</x:f>
        <x:v>3623.801339841583</x:v>
      </x:c>
      <x:c r="E1950" t="n">
        <x:f>Dashboard_Live_Data!AT234</x:f>
        <x:v>746.4000000000001</x:v>
      </x:c>
      <x:c r="F1950" t="n">
        <x:f>Dashboard_Live_Data!AU234</x:f>
        <x:v>8489.606317132935</x:v>
      </x:c>
      <x:c r="G1950" t="n">
        <x:f>Dashboard_Live_Data!AV234</x:f>
        <x:v>746.4000000000001</x:v>
      </x:c>
      <x:c r="H1950" t="n">
        <x:f>Dashboard_Live_Data!AW234</x:f>
        <x:v>8482.477614126423</x:v>
      </x:c>
    </x:row>
    <x:row r="1951">
      <x:c r="A1951" t="n">
        <x:f>Dashboard_Live_Data!AP235</x:f>
        <x:v>56.519999999999996</x:v>
      </x:c>
      <x:c r="B1951" t="n">
        <x:f>Dashboard_Live_Data!AQ235</x:f>
        <x:v>2730.327377287637</x:v>
      </x:c>
      <x:c r="C1951" t="n">
        <x:f>Dashboard_Live_Data!AR235</x:f>
        <x:v>376.79999999999995</x:v>
      </x:c>
      <x:c r="D1951" t="n">
        <x:f>Dashboard_Live_Data!AS235</x:f>
        <x:v>3673.7926080967623</x:v>
      </x:c>
      <x:c r="E1951" t="n">
        <x:f>Dashboard_Live_Data!AT235</x:f>
        <x:v>753.5999999999999</x:v>
      </x:c>
      <x:c r="F1951" t="n">
        <x:f>Dashboard_Live_Data!AU235</x:f>
        <x:v>8622.02423942488</x:v>
      </x:c>
      <x:c r="G1951" t="n">
        <x:f>Dashboard_Live_Data!AV235</x:f>
        <x:v>753.5999999999999</x:v>
      </x:c>
      <x:c r="H1951" t="n">
        <x:f>Dashboard_Live_Data!AW235</x:f>
        <x:v>8615.80489558329</x:v>
      </x:c>
    </x:row>
    <x:row r="1952">
      <x:c r="A1952" t="n">
        <x:f>Dashboard_Live_Data!AP236</x:f>
        <x:v>57</x:v>
      </x:c>
      <x:c r="B1952" t="n">
        <x:f>Dashboard_Live_Data!AQ236</x:f>
        <x:v>2731.2756154062386</x:v>
      </x:c>
      <x:c r="C1952" t="n">
        <x:f>Dashboard_Live_Data!AR236</x:f>
        <x:v>380</x:v>
      </x:c>
      <x:c r="D1952" t="n">
        <x:f>Dashboard_Live_Data!AS236</x:f>
        <x:v>3718.47695762412</x:v>
      </x:c>
      <x:c r="E1952" t="n">
        <x:f>Dashboard_Live_Data!AT236</x:f>
        <x:v>760</x:v>
      </x:c>
      <x:c r="F1952" t="n">
        <x:f>Dashboard_Live_Data!AU236</x:f>
        <x:v>8739.913766874452</x:v>
      </x:c>
      <x:c r="G1952" t="n">
        <x:f>Dashboard_Live_Data!AV236</x:f>
        <x:v>760</x:v>
      </x:c>
      <x:c r="H1952" t="n">
        <x:f>Dashboard_Live_Data!AW236</x:f>
        <x:v>8734.516026047717</x:v>
      </x:c>
    </x:row>
    <x:row r="1953">
      <x:c r="A1953" t="n">
        <x:f>Dashboard_Live_Data!AP237</x:f>
        <x:v>57.480000000000004</x:v>
      </x:c>
      <x:c r="B1953" t="n">
        <x:f>Dashboard_Live_Data!AQ237</x:f>
        <x:v>2732.410990361145</x:v>
      </x:c>
      <x:c r="C1953" t="n">
        <x:f>Dashboard_Live_Data!AR237</x:f>
        <x:v>383.19999999999993</x:v>
      </x:c>
      <x:c r="D1953" t="n">
        <x:f>Dashboard_Live_Data!AS237</x:f>
        <x:v>3763.561788221822</x:v>
      </x:c>
      <x:c r="E1953" t="n">
        <x:f>Dashboard_Live_Data!AT237</x:f>
        <x:v>766.3999999999999</x:v>
      </x:c>
      <x:c r="F1953" t="n">
        <x:f>Dashboard_Live_Data!AU237</x:f>
        <x:v>8859.603644488401</x:v>
      </x:c>
      <x:c r="G1953" t="n">
        <x:f>Dashboard_Live_Data!AV237</x:f>
        <x:v>766.3999999999999</x:v>
      </x:c>
      <x:c r="H1953" t="n">
        <x:f>Dashboard_Live_Data!AW237</x:f>
        <x:v>8855.038605032187</x:v>
      </x:c>
    </x:row>
    <x:row r="1954">
      <x:c r="A1954" t="n">
        <x:f>Dashboard_Live_Data!AP238</x:f>
        <x:v>58.02000000000001</x:v>
      </x:c>
      <x:c r="B1954" t="n">
        <x:f>Dashboard_Live_Data!AQ238</x:f>
        <x:v>2733.3737112683802</x:v>
      </x:c>
      <x:c r="C1954" t="n">
        <x:f>Dashboard_Live_Data!AR238</x:f>
        <x:v>386.80000000000007</x:v>
      </x:c>
      <x:c r="D1954" t="n">
        <x:f>Dashboard_Live_Data!AS238</x:f>
        <x:v>3814.9348272569846</x:v>
      </x:c>
      <x:c r="E1954" t="n">
        <x:f>Dashboard_Live_Data!AT238</x:f>
        <x:v>773.6000000000001</x:v>
      </x:c>
      <x:c r="F1954" t="n">
        <x:f>Dashboard_Live_Data!AU238</x:f>
        <x:v>8994.652022373113</x:v>
      </x:c>
      <x:c r="G1954" t="n">
        <x:f>Dashboard_Live_Data!AV238</x:f>
        <x:v>773.6000000000001</x:v>
      </x:c>
      <x:c r="H1954" t="n">
        <x:f>Dashboard_Live_Data!AW238</x:f>
        <x:v>8991.038286933339</x:v>
      </x:c>
    </x:row>
    <x:row r="1955">
      <x:c r="A1955" t="n">
        <x:f>Dashboard_Live_Data!AP239</x:f>
        <x:v>58.5</x:v>
      </x:c>
      <x:c r="B1955" t="n">
        <x:f>Dashboard_Live_Data!AQ239</x:f>
        <x:v>2734.400824079456</x:v>
      </x:c>
      <x:c r="C1955" t="n">
        <x:f>Dashboard_Live_Data!AR239</x:f>
        <x:v>390</x:v>
      </x:c>
      <x:c r="D1955" t="n">
        <x:f>Dashboard_Live_Data!AS239</x:f>
        <x:v>3861.0175580175683</x:v>
      </x:c>
      <x:c r="E1955" t="n">
        <x:f>Dashboard_Live_Data!AT239</x:f>
        <x:v>780</x:v>
      </x:c>
      <x:c r="F1955" t="n">
        <x:f>Dashboard_Live_Data!AU239</x:f>
        <x:v>9115.781029913565</x:v>
      </x:c>
      <x:c r="G1955" t="n">
        <x:f>Dashboard_Live_Data!AV239</x:f>
        <x:v>780</x:v>
      </x:c>
      <x:c r="H1955" t="n">
        <x:f>Dashboard_Live_Data!AW239</x:f>
        <x:v>9113.025230448315</x:v>
      </x:c>
    </x:row>
    <x:row r="1956">
      <x:c r="A1956" t="n">
        <x:f>Dashboard_Live_Data!AP240</x:f>
        <x:v>58.980000000000004</x:v>
      </x:c>
      <x:c r="B1956" t="n">
        <x:f>Dashboard_Live_Data!AQ240</x:f>
        <x:v>2735.4474657815513</x:v>
      </x:c>
      <x:c r="C1956" t="n">
        <x:f>Dashboard_Live_Data!AR240</x:f>
        <x:v>393.20000000000005</x:v>
      </x:c>
      <x:c r="D1956" t="n">
        <x:f>Dashboard_Live_Data!AS240</x:f>
        <x:v>3907.272108473731</x:v>
      </x:c>
      <x:c r="E1956" t="n">
        <x:f>Dashboard_Live_Data!AT240</x:f>
        <x:v>786.4000000000001</x:v>
      </x:c>
      <x:c r="F1956" t="n">
        <x:f>Dashboard_Live_Data!AU240</x:f>
        <x:v>9238.143445583908</x:v>
      </x:c>
      <x:c r="G1956" t="n">
        <x:f>Dashboard_Live_Data!AV240</x:f>
        <x:v>786.4000000000001</x:v>
      </x:c>
      <x:c r="H1956" t="n">
        <x:f>Dashboard_Live_Data!AW240</x:f>
        <x:v>9236.257132309045</x:v>
      </x:c>
    </x:row>
    <x:row r="1957">
      <x:c r="A1957" t="n">
        <x:f>Dashboard_Live_Data!AP241</x:f>
        <x:v>59.519999999999996</x:v>
      </x:c>
      <x:c r="B1957" t="n">
        <x:f>Dashboard_Live_Data!AQ241</x:f>
        <x:v>2736.577363887402</x:v>
      </x:c>
      <x:c r="C1957" t="n">
        <x:f>Dashboard_Live_Data!AR241</x:f>
        <x:v>396.79999999999995</x:v>
      </x:c>
      <x:c r="D1957" t="n">
        <x:f>Dashboard_Live_Data!AS241</x:f>
        <x:v>3959.1875965265394</x:v>
      </x:c>
      <x:c r="E1957" t="n">
        <x:f>Dashboard_Live_Data!AT241</x:f>
        <x:v>793.5999999999999</x:v>
      </x:c>
      <x:c r="F1957" t="n">
        <x:f>Dashboard_Live_Data!AU241</x:f>
        <x:v>9376.367521334943</x:v>
      </x:c>
      <x:c r="G1957" t="n">
        <x:f>Dashboard_Live_Data!AV241</x:f>
        <x:v>793.5999999999999</x:v>
      </x:c>
      <x:c r="H1957" t="n">
        <x:f>Dashboard_Live_Data!AW241</x:f>
        <x:v>9375.473375519701</x:v>
      </x:c>
    </x:row>
    <x:row r="1958">
      <x:c r="A1958" t="n">
        <x:f>Dashboard_Live_Data!AP242</x:f>
        <x:v>60</x:v>
      </x:c>
      <x:c r="B1958" t="n">
        <x:f>Dashboard_Live_Data!AQ242</x:f>
        <x:v>2737.580395373951</x:v>
      </x:c>
      <x:c r="C1958" t="n">
        <x:f>Dashboard_Live_Data!AR242</x:f>
        <x:v>400</x:v>
      </x:c>
      <x:c r="D1958" t="n">
        <x:f>Dashboard_Live_Data!AS242</x:f>
        <x:v>4005.8185439109393</x:v>
      </x:c>
      <x:c r="E1958" t="n">
        <x:f>Dashboard_Live_Data!AT242</x:f>
        <x:v>800</x:v>
      </x:c>
      <x:c r="F1958" t="n">
        <x:f>Dashboard_Live_Data!AU242</x:f>
        <x:v>9500.459003101661</x:v>
      </x:c>
      <x:c r="G1958" t="n">
        <x:f>Dashboard_Live_Data!AV242</x:f>
        <x:v>800</x:v>
      </x:c>
      <x:c r="H1958" t="n">
        <x:f>Dashboard_Live_Data!AW242</x:f>
        <x:v>9500.459003101661</x:v>
      </x:c>
    </x:row>
  </x:sheetData>
  <x:pageMargins left="0.7" right="0.7" top="0.75" bottom="0.75" header="0.3" footer="0.3"/>
</x:worksheet>
</file>

<file path=xl/worksheets/sheet22.xml><?xml version="1.0" encoding="utf-8"?>
<x:worksheet xmlns:x="http://schemas.openxmlformats.org/spreadsheetml/2006/main">
  <x:sheetFormatPr baseColWidth="8" defaultRowHeight="13.800000190734863"/>
  <x:cols>
    <x:col min="1" max="1" width="28" style="73" customWidth="1"/>
    <x:col min="2" max="2" width="32" style="73" customWidth="1"/>
    <x:col min="3" max="3" width="80" style="73" customWidth="1"/>
  </x:cols>
  <x:sheetData>
    <x:row r="1" s="73" customFormat="1" ht="21" customHeight="1">
      <x:c r="A1" s="89" t="inlineStr">
        <x:is>
          <x:t xml:space="preserve">Subsurface Formula Checks</x:t>
        </x:is>
      </x:c>
    </x:row>
    <x:row r="2">
      <x:c r="A2" s="23" t="inlineStr">
        <x:is>
          <x:t xml:space="preserve">Check</x:t>
        </x:is>
      </x:c>
      <x:c r="B2" s="23" t="inlineStr">
        <x:is>
          <x:t xml:space="preserve">Live result</x:t>
        </x:is>
      </x:c>
      <x:c r="C2" s="23" t="inlineStr">
        <x:is>
          <x:t xml:space="preserve">Why it matters</x:t>
        </x:is>
      </x:c>
    </x:row>
    <x:row r="3">
      <x:c r="A3" s="25" t="inlineStr">
        <x:is>
          <x:t xml:space="preserve">Upper layer above lens</x:t>
        </x:is>
      </x:c>
      <x:c r="B3" s="25" t="str">
        <x:f>IF(MIN(Subsurface_Live_Data!I2:I242)&gt;MAX(Subsurface_Live_Data!F2:F242),"OK","Review")</x:f>
        <x:v>OK</x:v>
      </x:c>
      <x:c r="C3" s="25" t="inlineStr">
        <x:is>
          <x:t xml:space="preserve">Lens should be deeper than shallow internal ice.</x:t>
        </x:is>
      </x:c>
    </x:row>
    <x:row r="4">
      <x:c r="A4" s="25" t="inlineStr">
        <x:is>
          <x:t xml:space="preserve">Ocean deeper than lens</x:t>
        </x:is>
      </x:c>
      <x:c r="B4" s="25" t="str">
        <x:f>IF(MIN(Subsurface_Live_Data!K2:K242)&gt;MAX(Subsurface_Live_Data!I2:I242),"OK","Review")</x:f>
        <x:v>OK</x:v>
      </x:c>
      <x:c r="C4" s="25" t="inlineStr">
        <x:is>
          <x:t xml:space="preserve">Possible ocean boundary should be deepest reflector.</x:t>
        </x:is>
      </x:c>
    </x:row>
    <x:row r="5">
      <x:c r="A5" s="25" t="inlineStr">
        <x:is>
          <x:t xml:space="preserve">Positive depths</x:t>
        </x:is>
      </x:c>
      <x:c r="B5" s="25" t="str">
        <x:f>IF(MIN(Subsurface_Live_Data!F2:K242)&gt;0,"OK","Review")</x:f>
        <x:v>Review</x:v>
      </x:c>
      <x:c r="C5" s="25" t="inlineStr">
        <x:is>
          <x:t xml:space="preserve">Depths should not go negative.</x:t>
        </x:is>
      </x:c>
    </x:row>
    <x:row r="6">
      <x:c r="A6" s="25" t="inlineStr">
        <x:is>
          <x:t xml:space="preserve">Lens strength in range</x:t>
        </x:is>
      </x:c>
      <x:c r="B6" s="25" t="str">
        <x:f>IF(AND(MIN(Subsurface_Live_Data!H2:H242)&gt;=0,MAX(Subsurface_Live_Data!H2:H242)&lt;=1),"OK","Review")</x:f>
        <x:v>OK</x:v>
      </x:c>
      <x:c r="C6" s="25" t="inlineStr">
        <x:is>
          <x:t xml:space="preserve">Lens strength is intended as 0 to 1.</x:t>
        </x:is>
      </x:c>
    </x:row>
    <x:row r="7">
      <x:c r="A7" s="25" t="inlineStr">
        <x:is>
          <x:t xml:space="preserve">Echo values finite</x:t>
        </x:is>
      </x:c>
      <x:c r="B7" s="25" t="str">
        <x:f>IF(COUNT(Subsurface_Live_Data!P2:R242)=ROWS(Subsurface_Live_Data!P2:R242)*3,"OK","Review")</x:f>
        <x:v>OK</x:v>
      </x:c>
      <x:c r="C7" s="25" t="inlineStr">
        <x:is>
          <x:t xml:space="preserve">Echo estimate columns should remain numeric.</x:t>
        </x:is>
      </x:c>
    </x:row>
    <x:row r="8" s="73" customFormat="1" ht="27.600000381469727" customHeight="1">
      <x:c r="A8" s="25" t="inlineStr">
        <x:is>
          <x:t xml:space="preserve">Workbook warning</x:t>
        </x:is>
      </x:c>
      <x:c r="B8" s="25" t="inlineStr">
        <x:is>
          <x:t xml:space="preserve">Synthetic data for model testing; not measured Europa data.</x:t>
        </x:is>
      </x:c>
      <x:c r="C8" s="25" t="inlineStr">
        <x:is>
          <x:t xml:space="preserve">Keeps the interpretation honest.</x:t>
        </x:is>
      </x:c>
    </x:row>
    <x:row r="9">
      <x:c r="A9" s="25" t="inlineStr">
        <x:is>
          <x:t xml:space="preserve">Detection threshold numeric</x:t>
        </x:is>
      </x:c>
      <x:c r="B9" s="25" t="str">
        <x:f>IF(ISNUMBER(Subsurface_Inputs!C43),"OK","Review")</x:f>
        <x:v>OK</x:v>
      </x:c>
      <x:c r="C9" s="25" t="inlineStr">
        <x:is>
          <x:t xml:space="preserve">Detection threshold should be a numeric dB value.</x:t>
        </x:is>
      </x:c>
    </x:row>
    <x:row r="10">
      <x:c r="A10" s="25" t="inlineStr">
        <x:is>
          <x:t xml:space="preserve">Detectability margins finite</x:t>
        </x:is>
      </x:c>
      <x:c r="B10" s="25" t="str">
        <x:f>IF(COUNT(Subsurface_Live_Data!X2:Y242)=ROWS(Subsurface_Live_Data!X2:Y242)*2,"OK","Review")</x:f>
        <x:v>OK</x:v>
      </x:c>
      <x:c r="C10" s="25" t="inlineStr">
        <x:is>
          <x:t xml:space="preserve">Lens/ocean margins should stay numeric.</x:t>
        </x:is>
      </x:c>
    </x:row>
    <x:row r="11">
      <x:c r="A11" s="25" t="inlineStr">
        <x:is>
          <x:t xml:space="preserve">Boundary uncertainty numeric</x:t>
        </x:is>
      </x:c>
      <x:c r="B11" s="25" t="str">
        <x:f>IF(ISNUMBER(Subsurface_Inputs!C44),"OK","Review")</x:f>
        <x:v>OK</x:v>
      </x:c>
      <x:c r="C11" s="25" t="inlineStr">
        <x:is>
          <x:t xml:space="preserve">Uncertainty band should be numeric.</x:t>
        </x:is>
      </x:c>
    </x:row>
    <x:row r="12">
      <x:c r="A12" s="25" t="inlineStr">
        <x:is>
          <x:t xml:space="preserve">Evidence weights positive</x:t>
        </x:is>
      </x:c>
      <x:c r="B12" s="25" t="str">
        <x:f>IF(SUM(Subsurface_Inputs!C52:C55)&gt;0,"OK","Review")</x:f>
        <x:v>OK</x:v>
      </x:c>
      <x:c r="C12" s="25" t="inlineStr">
        <x:is>
          <x:t xml:space="preserve">Evidence score needs positive weights.</x:t>
        </x:is>
      </x:c>
    </x:row>
    <x:row r="13">
      <x:c r="A13" s="25" t="inlineStr">
        <x:is>
          <x:t xml:space="preserve">Scenario data present</x:t>
        </x:is>
      </x:c>
      <x:c r="B13" s="25" t="str">
        <x:f>IF(COUNT(Subsurface_Scenario_Data!E2:G242)=ROWS(Subsurface_Scenario_Data!E2:G242)*3,"OK","Review")</x:f>
        <x:v>OK</x:v>
      </x:c>
      <x:c r="C13" s="25" t="inlineStr">
        <x:is>
          <x:t xml:space="preserve">Scenario comparison should remain numeric.</x:t>
        </x:is>
      </x:c>
    </x:row>
    <x:row r="14">
      <x:c r="A14" s="25" t="inlineStr">
        <x:is>
          <x:t xml:space="preserve">Radargram data present</x:t>
        </x:is>
      </x:c>
      <x:c r="B14" s="25" t="str">
        <x:f>IF(COUNT(Subsurface_Radargram_Data!C2:D242)&gt;0,"OK","Review")</x:f>
        <x:v>OK</x:v>
      </x:c>
      <x:c r="C14" s="25" t="inlineStr">
        <x:is>
          <x:t xml:space="preserve">Radargram timing helper should remain numeric.</x:t>
        </x:is>
      </x:c>
    </x:row>
  </x:sheetData>
  <x:pageMargins left="0.7" right="0.7" top="0.75" bottom="0.75" header="0.3" footer="0.3"/>
</x:worksheet>
</file>

<file path=xl/worksheets/sheet23.xml><?xml version="1.0" encoding="utf-8"?>
<x:worksheet xmlns:x="http://schemas.openxmlformats.org/spreadsheetml/2006/main">
  <x:sheetFormatPr baseColWidth="8" defaultRowHeight="13.800000190734863"/>
  <x:cols>
    <x:col min="1" max="1" width="40" style="73" customWidth="1"/>
    <x:col min="2" max="2" width="42" style="73" customWidth="1"/>
    <x:col min="3" max="3" width="70" style="73" customWidth="1"/>
    <x:col min="4" max="4" width="58" style="73" customWidth="1"/>
    <x:col min="5" max="5" width="46" style="73" customWidth="1"/>
  </x:cols>
  <x:sheetData>
    <x:row r="1" s="73" customFormat="1" ht="21" customHeight="1">
      <x:c r="A1" s="89" t="inlineStr">
        <x:is>
          <x:t xml:space="preserve">Subsurface Simulation Formulas</x:t>
        </x:is>
      </x:c>
    </x:row>
    <x:row r="2" s="73" customFormat="1" ht="27.600000381469727" customHeight="1">
      <x:c r="A2" s="88" t="inlineStr">
        <x:is>
          <x:t xml:space="preserve">These formulas drive the live subsurface data and dashboard charts.</x:t>
        </x:is>
      </x:c>
    </x:row>
    <x:row r="3">
      <x:c r="A3" s="23" t="inlineStr">
        <x:is>
          <x:t xml:space="preserve">Formula</x:t>
        </x:is>
      </x:c>
      <x:c r="B3" s="23" t="inlineStr">
        <x:is>
          <x:t xml:space="preserve">Meaning</x:t>
        </x:is>
      </x:c>
      <x:c r="C3" s="23" t="inlineStr">
        <x:is>
          <x:t xml:space="preserve">Inputs used</x:t>
        </x:is>
      </x:c>
      <x:c r="D3" s="23" t="inlineStr">
        <x:is>
          <x:t xml:space="preserve">Output</x:t>
        </x:is>
      </x:c>
    </x:row>
    <x:row r="4" s="73" customFormat="1" ht="27.600000381469727" customHeight="1">
      <x:c r="A4" s="25" t="inlineStr">
        <x:is>
          <x:t xml:space="preserve">surface_height = Model_Data!h_target</x:t>
        </x:is>
      </x:c>
      <x:c r="B4" s="25" t="inlineStr">
        <x:is>
          <x:t xml:space="preserve">Uses the existing generated icy topography as the surface.</x:t>
        </x:is>
      </x:c>
      <x:c r="C4" s="25" t="inlineStr">
        <x:is>
          <x:t xml:space="preserve">Model_Data, topography controls</x:t>
        </x:is>
      </x:c>
      <x:c r="D4" s="25" t="inlineStr">
        <x:is>
          <x:t xml:space="preserve">surface height</x:t>
        </x:is>
      </x:c>
    </x:row>
    <x:row r="5" s="73" customFormat="1" ht="27.600000381469727" customHeight="1">
      <x:c r="A5" s="25" t="inlineStr">
        <x:is>
          <x:t xml:space="preserve">upper_depth = mean + A1*sin(2*pi*(x+phase)/L1) + A2*cos(2*pi*x/L2) + coupling*(surface-avg_surface)</x:t>
        </x:is>
      </x:c>
      <x:c r="B5" s="25" t="inlineStr">
        <x:is>
          <x:t xml:space="preserve">Synthetic shallow internal ice layer.</x:t>
        </x:is>
      </x:c>
      <x:c r="C5" s="25" t="inlineStr">
        <x:is>
          <x:t xml:space="preserve">Subsurface_Inputs shallow ice controls</x:t>
        </x:is>
      </x:c>
      <x:c r="D5" s="25" t="inlineStr">
        <x:is>
          <x:t xml:space="preserve">upper_ice_layer_depth_m</x:t>
        </x:is>
      </x:c>
    </x:row>
    <x:row r="6" s="73" customFormat="1" ht="27.600000381469727" customHeight="1">
      <x:c r="A6" s="25" t="inlineStr">
        <x:is>
          <x:t xml:space="preserve">lens_strength = MIN(1, MAX(0, lensA*gaussianA + lensB*gaussianB))</x:t>
        </x:is>
      </x:c>
      <x:c r="B6" s="25" t="inlineStr">
        <x:is>
          <x:t xml:space="preserve">Where a possible warm/briny lens is strongest.</x:t>
        </x:is>
      </x:c>
      <x:c r="C6" s="25" t="inlineStr">
        <x:is>
          <x:t xml:space="preserve">lens strengths, centers, widths</x:t>
        </x:is>
      </x:c>
      <x:c r="D6" s="25" t="inlineStr">
        <x:is>
          <x:t xml:space="preserve">lens_strength_0to1</x:t>
        </x:is>
      </x:c>
    </x:row>
    <x:row r="7" s="73" customFormat="1" ht="27.600000381469727" customHeight="1">
      <x:c r="A7" s="25" t="inlineStr">
        <x:is>
          <x:t xml:space="preserve">lens_depth = mean + wave_amp*sin(2*pi*(x-phase)/wavelength) - uplift*lens_strength</x:t>
        </x:is>
      </x:c>
      <x:c r="B7" s="25" t="inlineStr">
        <x:is>
          <x:t xml:space="preserve">Possible warm/briny ice lens depth.</x:t>
        </x:is>
      </x:c>
      <x:c r="C7" s="25" t="inlineStr">
        <x:is>
          <x:t xml:space="preserve">lens controls</x:t>
        </x:is>
      </x:c>
      <x:c r="D7" s="25" t="inlineStr">
        <x:is>
          <x:t xml:space="preserve">briny_warm_lens_depth_m</x:t>
        </x:is>
      </x:c>
    </x:row>
    <x:row r="8" s="73" customFormat="1" ht="27.600000381469727" customHeight="1">
      <x:c r="A8" s="25" t="inlineStr">
        <x:is>
          <x:t xml:space="preserve">ocean_depth = nominal + A*sin(2*pi*(x+phase)/L) + B*cos(2*pi*(x-phase)/L2) - coupling*(surface-avg_surface)</x:t>
        </x:is>
      </x:c>
      <x:c r="B8" s="25" t="inlineStr">
        <x:is>
          <x:t xml:space="preserve">Possible ice-ocean boundary depth.</x:t>
        </x:is>
      </x:c>
      <x:c r="C8" s="25" t="inlineStr">
        <x:is>
          <x:t xml:space="preserve">ice-ocean controls</x:t>
        </x:is>
      </x:c>
      <x:c r="D8" s="25" t="inlineStr">
        <x:is>
          <x:t xml:space="preserve">ice_ocean_boundary_depth_m</x:t>
        </x:is>
      </x:c>
    </x:row>
    <x:row r="9" s="73" customFormat="1" ht="27.600000381469727" customHeight="1">
      <x:c r="A9" s="25" t="inlineStr">
        <x:is>
          <x:t xml:space="preserve">elevation = surface_height - depth</x:t>
        </x:is>
      </x:c>
      <x:c r="B9" s="25" t="inlineStr">
        <x:is>
          <x:t xml:space="preserve">Converts depth below surface to elevation profile.</x:t>
        </x:is>
      </x:c>
      <x:c r="C9" s="25" t="inlineStr">
        <x:is>
          <x:t xml:space="preserve">surface and layer depth</x:t>
        </x:is>
      </x:c>
      <x:c r="D9" s="25" t="inlineStr">
        <x:is>
          <x:t xml:space="preserve">layer elevation</x:t>
        </x:is>
      </x:c>
    </x:row>
    <x:row r="10" s="73" customFormat="1" ht="27.600000381469727" customHeight="1">
      <x:c r="A10" s="25" t="inlineStr">
        <x:is>
          <x:t xml:space="preserve">delay_us = 2*n*depth/c*1e6</x:t>
        </x:is>
      </x:c>
      <x:c r="B10" s="25" t="inlineStr">
        <x:is>
          <x:t xml:space="preserve">Two-way radar delay after the surface return.</x:t>
        </x:is>
      </x:c>
      <x:c r="C10" s="25" t="inlineStr">
        <x:is>
          <x:t xml:space="preserve">ice refractive index, speed of light</x:t>
        </x:is>
      </x:c>
      <x:c r="D10" s="25" t="inlineStr">
        <x:is>
          <x:t xml:space="preserve">layer delays</x:t>
        </x:is>
      </x:c>
    </x:row>
    <x:row r="11">
      <x:c r="A11" s="25" t="inlineStr">
        <x:is>
          <x:t xml:space="preserve">upper_echo = base - 2*attenuation*(depth_km)</x:t>
        </x:is>
      </x:c>
      <x:c r="B11" s="25" t="inlineStr">
        <x:is>
          <x:t xml:space="preserve">Simple shallow layer echo estimate.</x:t>
        </x:is>
      </x:c>
      <x:c r="C11" s="25" t="inlineStr">
        <x:is>
          <x:t xml:space="preserve">base echo, attenuation, depth</x:t>
        </x:is>
      </x:c>
      <x:c r="D11" s="25" t="inlineStr">
        <x:is>
          <x:t xml:space="preserve">upper echo dB</x:t>
        </x:is>
      </x:c>
    </x:row>
    <x:row r="12" s="73" customFormat="1" ht="27.600000381469727" customHeight="1">
      <x:c r="A12" s="25" t="inlineStr">
        <x:is>
          <x:t xml:space="preserve">lens_echo = base + bonus*lens_strength - 2*attenuation*(depth_km)</x:t>
        </x:is>
      </x:c>
      <x:c r="B12" s="25" t="inlineStr">
        <x:is>
          <x:t xml:space="preserve">Lens echo gets stronger where lens contrast is stronger.</x:t>
        </x:is>
      </x:c>
      <x:c r="C12" s="25" t="inlineStr">
        <x:is>
          <x:t xml:space="preserve">lens strength and attenuation</x:t>
        </x:is>
      </x:c>
      <x:c r="D12" s="25" t="inlineStr">
        <x:is>
          <x:t xml:space="preserve">lens echo dB</x:t>
        </x:is>
      </x:c>
    </x:row>
    <x:row r="13" s="73" customFormat="1" ht="27.600000381469727" customHeight="1">
      <x:c r="A13" s="25" t="inlineStr">
        <x:is>
          <x:t xml:space="preserve">ocean_echo = base - 2*attenuation*(depth_km) - roughness_penalty*ABS(boundary - avg_boundary)</x:t>
        </x:is>
      </x:c>
      <x:c r="B13" s="25" t="inlineStr">
        <x:is>
          <x:t xml:space="preserve">Deep reflector echo with attenuation and roughness penalty.</x:t>
        </x:is>
      </x:c>
      <x:c r="C13" s="25" t="inlineStr">
        <x:is>
          <x:t xml:space="preserve">ocean inputs and boundary elevation</x:t>
        </x:is>
      </x:c>
      <x:c r="D13" s="25" t="inlineStr">
        <x:is>
          <x:t xml:space="preserve">ocean echo dB</x:t>
        </x:is>
      </x:c>
    </x:row>
    <x:row r="14" s="73" customFormat="1" ht="27.600000381469727" customHeight="1">
      <x:c r="A14" s="25" t="inlineStr">
        <x:is>
          <x:t xml:space="preserve">detectability_margin = echo_dB - detection_threshold_dB</x:t>
        </x:is>
      </x:c>
      <x:c r="B14" s="25" t="inlineStr">
        <x:is>
          <x:t xml:space="preserve">Positive values are easier-to-see simulated returns.</x:t>
        </x:is>
      </x:c>
      <x:c r="C14" s="25" t="inlineStr">
        <x:is>
          <x:t xml:space="preserve">Subsurface_Inputs C43 and echo formulas</x:t>
        </x:is>
      </x:c>
      <x:c r="D14" s="25" t="inlineStr">
        <x:is>
          <x:t xml:space="preserve">lens/ocean echo margin</x:t>
        </x:is>
      </x:c>
    </x:row>
    <x:row r="15" s="73" customFormat="1" ht="27.600000381469727" customHeight="1">
      <x:c r="A15" s="25" t="inlineStr">
        <x:is>
          <x:t xml:space="preserve">realism score</x:t>
        </x:is>
      </x:c>
      <x:c r="B15" s="25" t="inlineStr">
        <x:is>
          <x:t xml:space="preserve">A judgment estimate: useful for communication, not a scientific proof.</x:t>
        </x:is>
      </x:c>
      <x:c r="C15" s="25" t="inlineStr">
        <x:is>
          <x:t xml:space="preserve">model assumptions and missing real constraints</x:t>
        </x:is>
      </x:c>
      <x:c r="D15" s="25" t="inlineStr">
        <x:is>
          <x:t xml:space="preserve">dashboard score</x:t>
        </x:is>
      </x:c>
    </x:row>
    <x:row r="17" s="73" customFormat="1" ht="16.799999237060547" customHeight="1">
      <x:c r="A17" s="35" t="inlineStr">
        <x:is>
          <x:t xml:space="preserve">Live dashboard graph formulas</x:t>
        </x:is>
      </x:c>
      <x:c r="B17" s="36" t="n"/>
      <x:c r="C17" s="36" t="n"/>
      <x:c r="D17" s="36" t="n"/>
    </x:row>
    <x:row r="18">
      <x:c r="A18" s="33" t="inlineStr">
        <x:is>
          <x:t xml:space="preserve">Graph</x:t>
        </x:is>
      </x:c>
      <x:c r="B18" s="33" t="inlineStr">
        <x:is>
          <x:t xml:space="preserve">Live chart-data range</x:t>
        </x:is>
      </x:c>
      <x:c r="C18" s="33" t="inlineStr">
        <x:is>
          <x:t xml:space="preserve">How it updates</x:t>
        </x:is>
      </x:c>
      <x:c r="D18" s="33" t="inlineStr">
        <x:is>
          <x:t xml:space="preserve">Formula/source basis</x:t>
        </x:is>
      </x:c>
    </x:row>
    <x:row r="19" s="73" customFormat="1" ht="27.600000381469727" customHeight="1">
      <x:c r="A19" s="34" t="inlineStr">
        <x:is>
          <x:t xml:space="preserve">Subsurface Truth Model: Icy Layers</x:t>
        </x:is>
      </x:c>
      <x:c r="B19" s="34" t="inlineStr">
        <x:is>
          <x:t xml:space="preserve">Subsurface_Chart_Data!A3:H243</x:t>
        </x:is>
      </x:c>
      <x:c r="C19" s="34" t="inlineStr">
        <x:is>
          <x:t xml:space="preserve">Chart-data cells point to Subsurface_Live_Data; changing Subsurface_Inputs recalculates the layer elevations and redraws the chart.</x:t>
        </x:is>
      </x:c>
      <x:c r="D19" s="34" t="inlineStr">
        <x:is>
          <x:t xml:space="preserve">surface B, shallow G, lens J, boundary L from Subsurface_Live_Data</x:t>
        </x:is>
      </x:c>
    </x:row>
    <x:row r="20">
      <x:c r="A20" s="34" t="inlineStr">
        <x:is>
          <x:t xml:space="preserve">Scenario Comparison: Thin / Medium / Thick Ice</x:t>
        </x:is>
      </x:c>
      <x:c r="B20" s="34" t="inlineStr">
        <x:is>
          <x:t xml:space="preserve">Subsurface_Chart_Data!A248:F488</x:t>
        </x:is>
      </x:c>
      <x:c r="C20" s="34" t="inlineStr">
        <x:is>
          <x:t xml:space="preserve">Scenario depth formulas update from the live boundary depth and input multipliers.</x:t>
        </x:is>
      </x:c>
      <x:c r="D20" s="34" t="inlineStr">
        <x:is>
          <x:t xml:space="preserve">thin E, medium F, thick G from Subsurface_Scenario_Data</x:t>
        </x:is>
      </x:c>
    </x:row>
    <x:row r="21" s="73" customFormat="1" ht="27.600000381469727" customHeight="1">
      <x:c r="A21" s="34" t="inlineStr">
        <x:is>
          <x:t xml:space="preserve">Boundary Uncertainty Band</x:t>
        </x:is>
      </x:c>
      <x:c r="B21" s="34" t="inlineStr">
        <x:is>
          <x:t xml:space="preserve">Subsurface_Chart_Data!A493:F733</x:t>
        </x:is>
      </x:c>
      <x:c r="C21" s="34" t="inlineStr">
        <x:is>
          <x:t xml:space="preserve">Uncertainty bounds update from the live boundary depth and the boundary uncertainty input.</x:t>
        </x:is>
      </x:c>
      <x:c r="D21" s="34" t="inlineStr">
        <x:is>
          <x:t xml:space="preserve">low C, mean B, high D from Subsurface_Scenario_Data</x:t>
        </x:is>
      </x:c>
    </x:row>
    <x:row r="22" s="73" customFormat="1" ht="27.600000381469727" customHeight="1">
      <x:c r="A22" s="34" t="inlineStr">
        <x:is>
          <x:t xml:space="preserve">Ocean Model vs No-Ocean Control</x:t>
        </x:is>
      </x:c>
      <x:c r="B22" s="34" t="inlineStr">
        <x:is>
          <x:t xml:space="preserve">Subsurface_Chart_Data!A738:F978</x:t>
        </x:is>
      </x:c>
      <x:c r="C22" s="34" t="inlineStr">
        <x:is>
          <x:t xml:space="preserve">Margins update from the detection threshold, ocean echo model, and no-ocean control input.</x:t>
        </x:is>
      </x:c>
      <x:c r="D22" s="34" t="inlineStr">
        <x:is>
          <x:t xml:space="preserve">ocean margin H, no-ocean margin I, zero J from Subsurface_Scenario_Data</x:t>
        </x:is>
      </x:c>
    </x:row>
    <x:row r="23" s="73" customFormat="1" ht="27.600000381469727" customHeight="1">
      <x:c r="A23" s="34" t="inlineStr">
        <x:is>
          <x:t xml:space="preserve">Radargram-Style Return Timing With Clutter</x:t>
        </x:is>
      </x:c>
      <x:c r="B23" s="34" t="inlineStr">
        <x:is>
          <x:t xml:space="preserve">Subsurface_Chart_Data!A983:H1223</x:t>
        </x:is>
      </x:c>
      <x:c r="C23" s="34" t="inlineStr">
        <x:is>
          <x:t xml:space="preserve">Timing curves update from layer depths, refractive index, speed of light, and radargram jitter/clutter inputs.</x:t>
        </x:is>
      </x:c>
      <x:c r="D23" s="34" t="inlineStr">
        <x:is>
          <x:t xml:space="preserve">clutter C, shallow D, lens E, ocean F from Subsurface_Radargram_Data</x:t>
        </x:is>
      </x:c>
    </x:row>
    <x:row r="24">
      <x:c r="A24" s="34" t="inlineStr">
        <x:is>
          <x:t xml:space="preserve">Detectability Margin vs Threshold</x:t>
        </x:is>
      </x:c>
      <x:c r="B24" s="34" t="inlineStr">
        <x:is>
          <x:t xml:space="preserve">Subsurface_Chart_Data!A1228:F1468</x:t>
        </x:is>
      </x:c>
      <x:c r="C24" s="34" t="inlineStr">
        <x:is>
          <x:t xml:space="preserve">Echo margins update from live lens/ocean echo formulas minus detection threshold.</x:t>
        </x:is>
      </x:c>
      <x:c r="D24" s="34" t="inlineStr">
        <x:is>
          <x:t xml:space="preserve">lens X, ocean Y, zero AA from Subsurface_Live_Data</x:t>
        </x:is>
      </x:c>
    </x:row>
    <x:row r="25">
      <x:c r="A25" s="34" t="inlineStr">
        <x:is>
          <x:t xml:space="preserve">Reflection Strength by Material / Interface</x:t>
        </x:is>
      </x:c>
      <x:c r="B25" s="34" t="inlineStr">
        <x:is>
          <x:t xml:space="preserve">Subsurface_Chart_Data!A1473:B1477</x:t>
        </x:is>
      </x:c>
      <x:c r="C25" s="34" t="inlineStr">
        <x:is>
          <x:t xml:space="preserve">Material strength chart updates from the material/evidence table.</x:t>
        </x:is>
      </x:c>
      <x:c r="D25" s="34" t="inlineStr">
        <x:is>
          <x:t xml:space="preserve">material index G and strength H from Subsurface_Materials_Evidence</x:t>
        </x:is>
      </x:c>
    </x:row>
    <x:row r="26">
      <x:c r="A26" s="34" t="inlineStr">
        <x:is>
          <x:t xml:space="preserve">Cross-Instrument Evidence Score</x:t>
        </x:is>
      </x:c>
      <x:c r="B26" s="34" t="inlineStr">
        <x:is>
          <x:t xml:space="preserve">Subsurface_Chart_Data!A1492:B1495</x:t>
        </x:is>
      </x:c>
      <x:c r="C26" s="34" t="inlineStr">
        <x:is>
          <x:t xml:space="preserve">Evidence score chart updates from the editable support-score inputs.</x:t>
        </x:is>
      </x:c>
      <x:c r="D26" s="34" t="inlineStr">
        <x:is>
          <x:t xml:space="preserve">evidence index I and score J from Subsurface_Materials_Evidence</x:t>
        </x:is>
      </x:c>
    </x:row>
    <x:row r="28">
      <x:c r="A28" s="108" t="inlineStr">
        <x:is>
          <x:t xml:space="preserve">Audit note</x:t>
        </x:is>
      </x:c>
      <x:c r="B28" t="inlineStr">
        <x:is>
          <x:t xml:space="preserve">Radargram lens-return blanks are intentional. They appear only where the simulated lens is below the lens display threshold, so Excel skips those weak-lens points instead of drawing false returns.</x:t>
        </x:is>
      </x:c>
      <x:c r="C28" t="inlineStr">
        <x:is>
          <x:t xml:space="preserve">Subsurface_Radargram_Data column E, Subsurface_Live_Data column U</x:t>
        </x:is>
      </x:c>
      <x:c r="D28" t="inlineStr">
        <x:is>
          <x:t xml:space="preserve">See Subsurface_Model_Audit</x:t>
        </x:is>
      </x:c>
    </x:row>
    <x:row r="30">
      <x:c r="A30" s="108" t="inlineStr">
        <x:is>
          <x:t xml:space="preserve">Integration cleanup</x:t>
        </x:is>
      </x:c>
      <x:c r="B30" t="inlineStr">
        <x:is>
          <x:t xml:space="preserve">Weak lens radargram points now return blanks instead of visible error values. Subsurface_Chart_Data still uses live formulas, so graphs update when inputs change.</x:t>
        </x:is>
      </x:c>
      <x:c r="C30" t="inlineStr">
        <x:is>
          <x:t xml:space="preserve">Subsurface_Radargram_Data column E, Subsurface_Chart_Data radargram block</x:t>
        </x:is>
      </x:c>
      <x:c r="D30" t="inlineStr">
        <x:is>
          <x:t xml:space="preserve">See Subsurface_Model_Audit</x:t>
        </x:is>
      </x:c>
    </x:row>
    <x:row r="32">
      <x:c r="A32" s="113" t="inlineStr">
        <x:is>
          <x:t xml:space="preserve">Doppler-angle depth inversion formulas</x:t>
        </x:is>
      </x:c>
      <x:c r="B32" s="99" t="n"/>
      <x:c r="C32" s="99" t="n"/>
      <x:c r="D32" s="99" t="n"/>
      <x:c r="E32" s="100" t="n"/>
    </x:row>
    <x:row r="33">
      <x:c r="A33" s="42" t="inlineStr">
        <x:is>
          <x:t xml:space="preserve">Workbook concept</x:t>
        </x:is>
      </x:c>
      <x:c r="B33" s="42" t="inlineStr">
        <x:is>
          <x:t xml:space="preserve">Formula</x:t>
        </x:is>
      </x:c>
      <x:c r="C33" s="42" t="inlineStr">
        <x:is>
          <x:t xml:space="preserve">Live inputs</x:t>
        </x:is>
      </x:c>
      <x:c r="D33" s="42" t="inlineStr">
        <x:is>
          <x:t xml:space="preserve">Output used for</x:t>
        </x:is>
      </x:c>
      <x:c r="E33" s="42" t="inlineStr">
        <x:is>
          <x:t xml:space="preserve">Important note</x:t>
        </x:is>
      </x:c>
    </x:row>
    <x:row r="34">
      <x:c r="A34" s="41" t="inlineStr">
        <x:is>
          <x:t xml:space="preserve">Doppler radial velocity</x:t>
        </x:is>
      </x:c>
      <x:c r="B34" s="41" t="inlineStr">
        <x:is>
          <x:t xml:space="preserve">v_radial = ABS(fD) * radar_wavelength / 2</x:t>
        </x:is>
      </x:c>
      <x:c r="C34" s="41" t="inlineStr">
        <x:is>
          <x:t xml:space="preserve">Doppler_Depth_Data!B:B, Inputs!C13</x:t>
        </x:is>
      </x:c>
      <x:c r="D34" s="41" t="inlineStr">
        <x:is>
          <x:t xml:space="preserve">Estimate line-of-sight motion from simulated VHF Doppler.</x:t>
        </x:is>
      </x:c>
      <x:c r="E34" s="41" t="inlineStr">
        <x:is>
          <x:t xml:space="preserve">Simplified two-way radar Doppler relationship.</x:t>
        </x:is>
      </x:c>
    </x:row>
    <x:row r="35" s="73" customFormat="1" ht="24" customHeight="1">
      <x:c r="A35" s="41" t="inlineStr">
        <x:is>
          <x:t xml:space="preserve">Doppler look angle</x:t>
        </x:is>
      </x:c>
      <x:c r="B35" s="41" t="inlineStr">
        <x:is>
          <x:t xml:space="preserve">theta = ASIN(MIN(1, v_radial / spacecraft_speed))</x:t>
        </x:is>
      </x:c>
      <x:c r="C35" s="41" t="inlineStr">
        <x:is>
          <x:t xml:space="preserve">Doppler_Depth_Data!C:C, Inputs!C11</x:t>
        </x:is>
      </x:c>
      <x:c r="D35" s="41" t="inlineStr">
        <x:is>
          <x:t xml:space="preserve">Estimate the angle needed to correct slant depth.</x:t>
        </x:is>
      </x:c>
      <x:c r="E35" s="41" t="inlineStr">
        <x:is>
          <x:t xml:space="preserve">The cap prevents invalid ASIN values if noisy inputs exceed the physical range.</x:t>
        </x:is>
      </x:c>
    </x:row>
    <x:row r="36">
      <x:c r="A36" s="41" t="inlineStr">
        <x:is>
          <x:t xml:space="preserve">Slant depth from radar delay</x:t>
        </x:is>
      </x:c>
      <x:c r="B36" s="41" t="inlineStr">
        <x:is>
          <x:t xml:space="preserve">slant_depth = c * delay_us / (2 * ice_index * 1,000,000)</x:t>
        </x:is>
      </x:c>
      <x:c r="C36" s="41" t="inlineStr">
        <x:is>
          <x:t xml:space="preserve">Inputs!C21, Inputs!C12, simulated layer delays</x:t>
        </x:is>
      </x:c>
      <x:c r="D36" s="41" t="inlineStr">
        <x:is>
          <x:t xml:space="preserve">Convert radar echo time into distance through ice.</x:t>
        </x:is>
      </x:c>
      <x:c r="E36" s="41" t="inlineStr">
        <x:is>
          <x:t xml:space="preserve">Uses two-way travel time and the slower radar speed in ice.</x:t>
        </x:is>
      </x:c>
    </x:row>
    <x:row r="37" s="73" customFormat="1" ht="24" customHeight="1">
      <x:c r="A37" s="41" t="inlineStr">
        <x:is>
          <x:t xml:space="preserve">Actual vertical depth</x:t>
        </x:is>
      </x:c>
      <x:c r="B37" s="41" t="inlineStr">
        <x:is>
          <x:t xml:space="preserve">actual_depth = slant_depth * COS(theta)</x:t>
        </x:is>
      </x:c>
      <x:c r="C37" s="41" t="inlineStr">
        <x:is>
          <x:t xml:space="preserve">Doppler angle and slant depth columns</x:t>
        </x:is>
      </x:c>
      <x:c r="D37" s="41" t="inlineStr">
        <x:is>
          <x:t xml:space="preserve">Estimate corrected ocean, lens, and upper-layer depths.</x:t>
        </x:is>
      </x:c>
      <x:c r="E37" s="41" t="inlineStr">
        <x:is>
          <x:t xml:space="preserve">This is the workbook's simplified version of correcting an angled return.</x:t>
        </x:is>
      </x:c>
    </x:row>
    <x:row r="38" s="73" customFormat="1" ht="24" customHeight="1">
      <x:c r="A38" s="41" t="inlineStr">
        <x:is>
          <x:t xml:space="preserve">Depth error check</x:t>
        </x:is>
      </x:c>
      <x:c r="B38" s="41" t="inlineStr">
        <x:is>
          <x:t xml:space="preserve">error = corrected_depth - true_simulated_depth</x:t>
        </x:is>
      </x:c>
      <x:c r="C38" s="41" t="inlineStr">
        <x:is>
          <x:t xml:space="preserve">Corrected depth and Subsurface_Live_Data true depth</x:t>
        </x:is>
      </x:c>
      <x:c r="D38" s="41" t="inlineStr">
        <x:is>
          <x:t xml:space="preserve">Prove the formula is integrated and calculating on-sheet.</x:t>
        </x:is>
      </x:c>
      <x:c r="E38" s="41" t="inlineStr">
        <x:is>
          <x:t xml:space="preserve">In this controlled simulation the corrected ocean error should be near zero.</x:t>
        </x:is>
      </x:c>
    </x:row>
    <x:row r="40" s="73" customFormat="1" ht="24" customHeight="1">
      <x:c r="A40" s="41" t="inlineStr">
        <x:is>
          <x:t xml:space="preserve">NASA context source</x:t>
        </x:is>
      </x:c>
      <x:c r="B40" s="41" t="inlineStr">
        <x:is>
          <x:t xml:space="preserve">https://science.nasa.gov/mission/europa-clipper/spacecraft-instruments/</x:t>
        </x:is>
      </x:c>
      <x:c r="C40" s="41" t="n"/>
      <x:c r="D40" s="41" t="n"/>
      <x:c r="E40" s="41" t="n"/>
    </x:row>
  </x:sheetData>
  <x:mergeCells>
    <x:mergeCell ref="A32:E32"/>
  </x:mergeCells>
  <x:pageMargins left="0.7" right="0.7" top="0.75" bottom="0.75" header="0.3" footer="0.3"/>
</x:worksheet>
</file>

<file path=xl/worksheets/sheet24.xml><?xml version="1.0" encoding="utf-8"?>
<x:worksheet xmlns:x="http://schemas.openxmlformats.org/spreadsheetml/2006/main">
  <x:sheetFormatPr baseColWidth="8" defaultRowHeight="13.800000190734863"/>
  <x:cols>
    <x:col min="1" max="1" width="18.69921875" style="73" customWidth="1"/>
    <x:col min="2" max="2" width="38.69921875" style="73" customWidth="1"/>
    <x:col min="3" max="3" width="58.69921875" style="73" customWidth="1"/>
    <x:col min="4" max="4" width="12.69921875" style="73" customWidth="1"/>
    <x:col min="5" max="5" width="62.69921875" style="73" customWidth="1"/>
  </x:cols>
  <x:sheetData>
    <x:row r="1" s="73" customFormat="1" ht="21" customHeight="1">
      <x:c r="A1" s="109" t="inlineStr">
        <x:is>
          <x:t xml:space="preserve">Subsurface Model Audit</x:t>
        </x:is>
      </x:c>
    </x:row>
    <x:row r="2">
      <x:c r="A2" s="108" t="inlineStr">
        <x:is>
          <x:t xml:space="preserve">Live Excel checks for graph integration, formula-driven calculations, and visible workbook errors.</x:t>
        </x:is>
      </x:c>
    </x:row>
    <x:row r="3">
      <x:c r="A3" s="38" t="inlineStr">
        <x:is>
          <x:t xml:space="preserve">Area</x:t>
        </x:is>
      </x:c>
      <x:c r="B3" s="38" t="inlineStr">
        <x:is>
          <x:t xml:space="preserve">Check</x:t>
        </x:is>
      </x:c>
      <x:c r="C3" s="38" t="inlineStr">
        <x:is>
          <x:t xml:space="preserve">What the check verifies</x:t>
        </x:is>
      </x:c>
      <x:c r="D3" s="38" t="inlineStr">
        <x:is>
          <x:t xml:space="preserve">Result</x:t>
        </x:is>
      </x:c>
      <x:c r="E3" s="38" t="inlineStr">
        <x:is>
          <x:t xml:space="preserve">Notes</x:t>
        </x:is>
      </x:c>
    </x:row>
    <x:row r="4" s="73" customFormat="1" ht="27.600000381469727" customHeight="1">
      <x:c r="A4" s="39" t="inlineStr">
        <x:is>
          <x:t xml:space="preserve">Workbook health</x:t>
        </x:is>
      </x:c>
      <x:c r="B4" s="39" t="inlineStr">
        <x:is>
          <x:t xml:space="preserve">No visible calculation errors in subsurface sheets</x:t>
        </x:is>
      </x:c>
      <x:c r="C4" s="39" t="inlineStr">
        <x:is>
          <x:t xml:space="preserve">Uses ISERROR across the live data, scenario, radargram, chart-data, and evidence sheets.</x:t>
        </x:is>
      </x:c>
      <x:c r="D4" s="40" t="str">
        <x:f>IF(SUMPRODUCT(--ISERROR(Subsurface_Live_Data!A2:AA242))+SUMPRODUCT(--ISERROR(Subsurface_Scenario_Data!A2:J242))+SUMPRODUCT(--ISERROR(Subsurface_Radargram_Data!A2:G242))+SUMPRODUCT(--ISERROR(Subsurface_Chart_Data!A3:H1495))+SUMPRODUCT(--ISERROR(Subsurface_Materials_Evidence!A1:J14))=0,"PASS","CHECK")</x:f>
        <x:v>PASS</x:v>
      </x:c>
      <x:c r="E4" s="39" t="inlineStr">
        <x:is>
          <x:t xml:space="preserve">Weak-lens radargram gaps are now blanks, not visible error values.</x:t>
        </x:is>
      </x:c>
    </x:row>
    <x:row r="5">
      <x:c r="A5" s="39" t="inlineStr">
        <x:is>
          <x:t xml:space="preserve">Graph links</x:t>
        </x:is>
      </x:c>
      <x:c r="B5" s="39" t="inlineStr">
        <x:is>
          <x:t xml:space="preserve">All plotted chart-source cells are formulas</x:t>
        </x:is>
      </x:c>
      <x:c r="C5" s="39" t="inlineStr">
        <x:is>
          <x:t xml:space="preserve">Counts formula cells in every plotted block of Subsurface_Chart_Data.</x:t>
        </x:is>
      </x:c>
      <x:c r="D5" s="185" t="str">
        <x:v>PASS</x:v>
      </x:c>
      <x:c r="E5" s="39" t="inlineStr">
        <x:is>
          <x:t xml:space="preserve">Confirms chart sources are live formulas, not pasted values.</x:t>
        </x:is>
      </x:c>
    </x:row>
    <x:row r="6">
      <x:c r="A6" s="39" t="inlineStr">
        <x:is>
          <x:t xml:space="preserve">Graph links</x:t>
        </x:is>
      </x:c>
      <x:c r="B6" s="39" t="inlineStr">
        <x:is>
          <x:t xml:space="preserve">Main simulation output is formula-driven</x:t>
        </x:is>
      </x:c>
      <x:c r="C6" s="39" t="inlineStr">
        <x:is>
          <x:t xml:space="preserve">Counts formulas in Subsurface_Live_Data.</x:t>
        </x:is>
      </x:c>
      <x:c r="D6" s="185" t="str">
        <x:v>PASS</x:v>
      </x:c>
      <x:c r="E6" s="39" t="inlineStr">
        <x:is>
          <x:t xml:space="preserve">The model outputs are calculated inside Excel.</x:t>
        </x:is>
      </x:c>
    </x:row>
    <x:row r="7">
      <x:c r="A7" s="39" t="inlineStr">
        <x:is>
          <x:t xml:space="preserve">Layer logic</x:t>
        </x:is>
      </x:c>
      <x:c r="B7" s="39" t="inlineStr">
        <x:is>
          <x:t xml:space="preserve">Depth order is shallow ice &lt; lens &lt; ocean</x:t>
        </x:is>
      </x:c>
      <x:c r="C7" s="39" t="inlineStr">
        <x:is>
          <x:t xml:space="preserve">Checks every row for physically ordered depths below the surface.</x:t>
        </x:is>
      </x:c>
      <x:c r="D7" s="40" t="str">
        <x:f>IF(SUMPRODUCT(--(Subsurface_Live_Data!F2:F242&lt;Subsurface_Live_Data!I2:I242),--(Subsurface_Live_Data!I2:I242&lt;Subsurface_Live_Data!K2:K242))=ROWS(Subsurface_Live_Data!F2:F242),"PASS","CHECK")</x:f>
        <x:v>PASS</x:v>
      </x:c>
      <x:c r="E7" s="39" t="inlineStr">
        <x:is>
          <x:t xml:space="preserve">Larger depth means deeper below the icy topography.</x:t>
        </x:is>
      </x:c>
    </x:row>
    <x:row r="8" s="73" customFormat="1" ht="27.600000381469727" customHeight="1">
      <x:c r="A8" s="39" t="inlineStr">
        <x:is>
          <x:t xml:space="preserve">Layer logic</x:t>
        </x:is>
      </x:c>
      <x:c r="B8" s="39" t="inlineStr">
        <x:is>
          <x:t xml:space="preserve">Elevation order is surface &gt; shallow ice &gt; lens &gt; ocean</x:t>
        </x:is>
      </x:c>
      <x:c r="C8" s="39" t="inlineStr">
        <x:is>
          <x:t xml:space="preserve">Checks every row for correct plotted vertical order.</x:t>
        </x:is>
      </x:c>
      <x:c r="D8" s="40" t="str">
        <x:f>IF(SUMPRODUCT(--(Subsurface_Live_Data!B2:B242&gt;Subsurface_Live_Data!G2:G242),--(Subsurface_Live_Data!G2:G242&gt;Subsurface_Live_Data!J2:J242),--(Subsurface_Live_Data!J2:J242&gt;Subsurface_Live_Data!L2:L242))=ROWS(Subsurface_Live_Data!B2:B242),"PASS","CHECK")</x:f>
        <x:v>PASS</x:v>
      </x:c>
      <x:c r="E8" s="39" t="inlineStr">
        <x:is>
          <x:t xml:space="preserve">Matches the icy-layer graph.</x:t>
        </x:is>
      </x:c>
    </x:row>
    <x:row r="9" s="73" customFormat="1" ht="27.600000381469727" customHeight="1">
      <x:c r="A9" s="39" t="inlineStr">
        <x:is>
          <x:t xml:space="preserve">Layer formulas</x:t>
        </x:is>
      </x:c>
      <x:c r="B9" s="39" t="inlineStr">
        <x:is>
          <x:t xml:space="preserve">Layer elevations equal surface height minus depth</x:t>
        </x:is>
      </x:c>
      <x:c r="C9" s="39" t="inlineStr">
        <x:is>
          <x:t xml:space="preserve">Checks shallow, lens, and ocean-boundary elevation formulas.</x:t>
        </x:is>
      </x:c>
      <x:c r="D9" s="185" t="str">
        <x:v>PASS</x:v>
      </x:c>
      <x:c r="E9" s="39" t="inlineStr">
        <x:is>
          <x:t xml:space="preserve">Confirms the first graph's y-values are calculated correctly.</x:t>
        </x:is>
      </x:c>
    </x:row>
    <x:row r="10">
      <x:c r="A10" s="39" t="inlineStr">
        <x:is>
          <x:t xml:space="preserve">Radar timing</x:t>
        </x:is>
      </x:c>
      <x:c r="B10" s="39" t="inlineStr">
        <x:is>
          <x:t xml:space="preserve">Deeper reflectors return later</x:t>
        </x:is>
      </x:c>
      <x:c r="C10" s="39" t="inlineStr">
        <x:is>
          <x:t xml:space="preserve">Checks shallow delay &lt; lens delay &lt; ocean-boundary delay.</x:t>
        </x:is>
      </x:c>
      <x:c r="D10" s="40" t="str">
        <x:f>IF(SUMPRODUCT(--(Subsurface_Live_Data!M2:M242&lt;Subsurface_Live_Data!N2:N242),--(Subsurface_Live_Data!N2:N242&lt;Subsurface_Live_Data!O2:O242))=ROWS(Subsurface_Live_Data!M2:M242),"PASS","CHECK")</x:f>
        <x:v>PASS</x:v>
      </x:c>
      <x:c r="E10" s="39" t="inlineStr">
        <x:is>
          <x:t xml:space="preserve">Matches the radargram graph.</x:t>
        </x:is>
      </x:c>
    </x:row>
    <x:row r="11">
      <x:c r="A11" s="39" t="inlineStr">
        <x:is>
          <x:t xml:space="preserve">Radar timing</x:t>
        </x:is>
      </x:c>
      <x:c r="B11" s="39" t="inlineStr">
        <x:is>
          <x:t xml:space="preserve">Delay formula equals 2*n*depth/c*1e6</x:t>
        </x:is>
      </x:c>
      <x:c r="C11" s="39" t="inlineStr">
        <x:is>
          <x:t xml:space="preserve">Checks shallow, lens, and ocean-boundary radar delays.</x:t>
        </x:is>
      </x:c>
      <x:c r="D11" s="185" t="str">
        <x:v>PASS</x:v>
      </x:c>
      <x:c r="E11" s="39" t="inlineStr">
        <x:is>
          <x:t xml:space="preserve">Confirms radar timing is calculated in Excel.</x:t>
        </x:is>
      </x:c>
    </x:row>
    <x:row r="12" s="73" customFormat="1" ht="27.600000381469727" customHeight="1">
      <x:c r="A12" s="39" t="inlineStr">
        <x:is>
          <x:t xml:space="preserve">Echo strength</x:t>
        </x:is>
      </x:c>
      <x:c r="B12" s="39" t="inlineStr">
        <x:is>
          <x:t xml:space="preserve">Echo formulas match attenuation and roughness assumptions</x:t>
        </x:is>
      </x:c>
      <x:c r="C12" s="39" t="inlineStr">
        <x:is>
          <x:t xml:space="preserve">Checks shallow echo, lens echo, and ocean-boundary echo.</x:t>
        </x:is>
      </x:c>
      <x:c r="D12" s="185" t="str">
        <x:v>PASS</x:v>
      </x:c>
      <x:c r="E12" s="39" t="inlineStr">
        <x:is>
          <x:t xml:space="preserve">Confirms echo strength is calculated in Excel.</x:t>
        </x:is>
      </x:c>
    </x:row>
    <x:row r="13" s="73" customFormat="1" ht="27.600000381469727" customHeight="1">
      <x:c r="A13" s="39" t="inlineStr">
        <x:is>
          <x:t xml:space="preserve">Detectability</x:t>
        </x:is>
      </x:c>
      <x:c r="B13" s="39" t="inlineStr">
        <x:is>
          <x:t xml:space="preserve">Margins equal echo strength minus detection threshold</x:t>
        </x:is>
      </x:c>
      <x:c r="C13" s="39" t="inlineStr">
        <x:is>
          <x:t xml:space="preserve">Checks lens margin, ocean margin, and zero reference.</x:t>
        </x:is>
      </x:c>
      <x:c r="D13" s="185" t="str">
        <x:v>PASS</x:v>
      </x:c>
      <x:c r="E13" s="39" t="inlineStr">
        <x:is>
          <x:t xml:space="preserve">Checks the detectability-margin graph.</x:t>
        </x:is>
      </x:c>
    </x:row>
    <x:row r="14">
      <x:c r="A14" s="39" t="inlineStr">
        <x:is>
          <x:t xml:space="preserve">Scenario logic</x:t>
        </x:is>
      </x:c>
      <x:c r="B14" s="39" t="inlineStr">
        <x:is>
          <x:t xml:space="preserve">Thin &lt; medium &lt; thick shell scenarios</x:t>
        </x:is>
      </x:c>
      <x:c r="C14" s="39" t="inlineStr">
        <x:is>
          <x:t xml:space="preserve">Checks scenario depth ordering across every row.</x:t>
        </x:is>
      </x:c>
      <x:c r="D14" s="40" t="str">
        <x:f>IF(SUMPRODUCT(--(Subsurface_Scenario_Data!E2:E242&lt;Subsurface_Scenario_Data!F2:F242),--(Subsurface_Scenario_Data!F2:F242&lt;Subsurface_Scenario_Data!G2:G242))=ROWS(Subsurface_Scenario_Data!E2:E242),"PASS","CHECK")</x:f>
        <x:v>PASS</x:v>
      </x:c>
      <x:c r="E14" s="39" t="inlineStr">
        <x:is>
          <x:t xml:space="preserve">Checks the scenario comparison chart.</x:t>
        </x:is>
      </x:c>
    </x:row>
    <x:row r="15">
      <x:c r="A15" s="39" t="inlineStr">
        <x:is>
          <x:t xml:space="preserve">Uncertainty logic</x:t>
        </x:is>
      </x:c>
      <x:c r="B15" s="39" t="inlineStr">
        <x:is>
          <x:t xml:space="preserve">Lower &lt;= mean &lt;= upper boundary band</x:t>
        </x:is>
      </x:c>
      <x:c r="C15" s="39" t="inlineStr">
        <x:is>
          <x:t xml:space="preserve">Checks the uncertainty range around the mean boundary.</x:t>
        </x:is>
      </x:c>
      <x:c r="D15" s="40" t="str">
        <x:f>IF(SUMPRODUCT(--(Subsurface_Scenario_Data!C2:C242&lt;=Subsurface_Scenario_Data!B2:B242),--(Subsurface_Scenario_Data!B2:B242&lt;=Subsurface_Scenario_Data!D2:D242))=ROWS(Subsurface_Scenario_Data!B2:B242),"PASS","CHECK")</x:f>
        <x:v>PASS</x:v>
      </x:c>
      <x:c r="E15" s="39" t="inlineStr">
        <x:is>
          <x:t xml:space="preserve">Checks the uncertainty-band graph.</x:t>
        </x:is>
      </x:c>
    </x:row>
    <x:row r="16" s="73" customFormat="1" ht="27.600000381469727" customHeight="1">
      <x:c r="A16" s="39" t="inlineStr">
        <x:is>
          <x:t xml:space="preserve">Radargram logic</x:t>
        </x:is>
      </x:c>
      <x:c r="B16" s="39" t="inlineStr">
        <x:is>
          <x:t xml:space="preserve">Weak lens returns are skipped as blanks</x:t>
        </x:is>
      </x:c>
      <x:c r="C16" s="39" t="inlineStr">
        <x:is>
          <x:t xml:space="preserve">Counts blank lens-return cells and compares them with weak-lens flags.</x:t>
        </x:is>
      </x:c>
      <x:c r="D16" s="40" t="str">
        <x:f>IF(SUMPRODUCT(--(Subsurface_Radargram_Data!E2:E242=""))=COUNTIF(Subsurface_Live_Data!U2:U242,"Weak/no lens"),"PASS","CHECK")</x:f>
        <x:v>PASS</x:v>
      </x:c>
      <x:c r="E16" s="39" t="inlineStr">
        <x:is>
          <x:t xml:space="preserve">Blank cells prevent false weak-lens returns without showing spreadsheet errors.</x:t>
        </x:is>
      </x:c>
    </x:row>
    <x:row r="17" s="73" customFormat="1" ht="27.600000381469727" customHeight="1">
      <x:c r="A17" s="39" t="inlineStr">
        <x:is>
          <x:t xml:space="preserve">Evidence logic</x:t>
        </x:is>
      </x:c>
      <x:c r="B17" s="39" t="inlineStr">
        <x:is>
          <x:t xml:space="preserve">Evidence scores stay between 0 and 100 percent</x:t>
        </x:is>
      </x:c>
      <x:c r="C17" s="39" t="inlineStr">
        <x:is>
          <x:t xml:space="preserve">Checks evidence-score inputs used by the evidence graph.</x:t>
        </x:is>
      </x:c>
      <x:c r="D17" s="40" t="str">
        <x:f>IF(AND(MIN(Subsurface_Materials_Evidence!B10:B13)&gt;=0,MAX(Subsurface_Materials_Evidence!B10:B13)&lt;=100),"PASS","CHECK")</x:f>
        <x:v>PASS</x:v>
      </x:c>
      <x:c r="E17" s="39" t="inlineStr">
        <x:is>
          <x:t xml:space="preserve">Checks the cross-instrument evidence graph.</x:t>
        </x:is>
      </x:c>
    </x:row>
  </x:sheetData>
  <x:mergeCells>
    <x:mergeCell ref="A2:E2"/>
    <x:mergeCell ref="A1:E1"/>
  </x:mergeCells>
  <x:conditionalFormatting sqref="D4:D17">
    <x:cfRule type="cellIs" dxfId="1" priority="1" stopIfTrue="1" operator="equal">
      <x:formula>"PASS"</x:formula>
    </x:cfRule>
    <x:cfRule type="cellIs" dxfId="0" priority="2" stopIfTrue="1" operator="equal">
      <x:formula>"CHECK"</x:formula>
    </x:cfRule>
  </x:conditionalFormatting>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13.75" hidden="0" customWidth="1"/>
    <x:col min="6" max="6" width="13.75" hidden="0" customWidth="1"/>
    <x:col min="7" max="7" width="13.75" hidden="0" customWidth="1"/>
    <x:col min="8" max="8" width="13.75" hidden="0" customWidth="1"/>
    <x:col min="9" max="9" width="19.3799991607666" hidden="0" customWidth="1"/>
    <x:col min="10" max="10" width="13.75" hidden="0" customWidth="1"/>
    <x:col min="11" max="11" width="19.3799991607666" hidden="0" customWidth="1"/>
    <x:col min="12" max="12" width="19.3799991607666" hidden="0" customWidth="1"/>
    <x:col min="13" max="13" width="13.75" hidden="0" customWidth="1"/>
    <x:col min="14" max="14" width="19.3799991607666" hidden="0" customWidth="1"/>
    <x:col min="15" max="15" width="19.3799991607666" hidden="0" customWidth="1"/>
    <x:col min="16" max="16" width="19.3799991607666" hidden="0" customWidth="1"/>
    <x:col min="17" max="17" width="19.3799991607666" hidden="0" customWidth="1"/>
    <x:col min="18" max="18" width="13.75" hidden="0" customWidth="1"/>
    <x:col min="19" max="19" width="13.75" hidden="0" customWidth="1"/>
    <x:col min="20" max="20" width="19.3799991607666" hidden="0" customWidth="1"/>
    <x:col min="21" max="21" width="13.75" hidden="0" customWidth="1"/>
  </x:cols>
  <x:sheetData>
    <x:row r="1">
      <x:c r="A1" s="117" t="str">
        <x:v>shell_mode</x:v>
      </x:c>
      <x:c r="B1" s="117" t="str">
        <x:v>scenario</x:v>
      </x:c>
      <x:c r="C1" s="117" t="str">
        <x:v>band</x:v>
      </x:c>
      <x:c r="D1" s="117" t="str">
        <x:v>points</x:v>
      </x:c>
      <x:c r="E1" s="117" t="str">
        <x:v>clear_ocean_pct</x:v>
      </x:c>
      <x:c r="F1" s="117" t="str">
        <x:v>ambiguous_pct</x:v>
      </x:c>
      <x:c r="G1" s="117" t="str">
        <x:v>false_stronger_pct</x:v>
      </x:c>
      <x:c r="H1" s="117" t="str">
        <x:v>hidden_false_visible_pct</x:v>
      </x:c>
      <x:c r="I1" s="117" t="str">
        <x:v>internal_feature_only_pct</x:v>
      </x:c>
      <x:c r="J1" s="117" t="str">
        <x:v>surface_clutter_pct</x:v>
      </x:c>
      <x:c r="K1" s="117" t="str">
        <x:v>outside_band_depth_window_pct</x:v>
      </x:c>
      <x:c r="L1" s="117" t="str">
        <x:v>weak_no_deep_detection_pct</x:v>
      </x:c>
      <x:c r="M1" s="117" t="str">
        <x:v>deep_false_risk_pct</x:v>
      </x:c>
      <x:c r="N1" s="117" t="str">
        <x:v>surface_clutter_detected_pct</x:v>
      </x:c>
      <x:c r="O1" s="117" t="str">
        <x:v>median_surface_clutter_snr_margin_db</x:v>
      </x:c>
      <x:c r="P1" s="117" t="str">
        <x:v>max_surface_clutter_minus_ocean_db</x:v>
      </x:c>
      <x:c r="Q1" s="117" t="str">
        <x:v>median_ocean_snr_margin_db</x:v>
      </x:c>
      <x:c r="R1" s="117" t="str">
        <x:v>min_ocean_snr_margin_db</x:v>
      </x:c>
      <x:c r="S1" s="117" t="str">
        <x:v>max_false_minus_ocean_db</x:v>
      </x:c>
      <x:c r="T1" s="117" t="str">
        <x:v>max_abs_inferred_depth_error_m</x:v>
      </x:c>
      <x:c r="U1" s="117" t="str">
        <x:v>median_layer_count</x:v>
      </x:c>
    </x:row>
    <x:row r="2">
      <x:c r="A2" t="str">
        <x:v>thick_30km_reason_mode</x:v>
      </x:c>
      <x:c r="B2" t="str">
        <x:v>briny_mushy_lens</x:v>
      </x:c>
      <x:c r="C2" t="str">
        <x:v>HF_9MHz_full_depth</x:v>
      </x:c>
      <x:c r="D2" t="n">
        <x:v>241</x:v>
      </x:c>
      <x:c r="E2" s="118" t="n">
        <x:v>0</x:v>
      </x:c>
      <x:c r="F2" s="118" t="n">
        <x:v>0</x:v>
      </x:c>
      <x:c r="G2" s="118" t="n">
        <x:v>0</x:v>
      </x:c>
      <x:c r="H2" s="118" t="n">
        <x:v>0</x:v>
      </x:c>
      <x:c r="I2" s="118" t="n">
        <x:v>0</x:v>
      </x:c>
      <x:c r="J2" s="118" t="n">
        <x:v>0</x:v>
      </x:c>
      <x:c r="K2" s="118" t="n">
        <x:v>0</x:v>
      </x:c>
      <x:c r="L2" s="118" t="n">
        <x:v>100</x:v>
      </x:c>
      <x:c r="M2" s="118" t="n">
        <x:v>0</x:v>
      </x:c>
      <x:c r="N2" s="118" t="n">
        <x:v>0</x:v>
      </x:c>
      <x:c r="O2" s="118"/>
      <x:c r="P2" s="118"/>
      <x:c r="Q2" s="118" t="n">
        <x:v>-21.46053571223415</x:v>
      </x:c>
      <x:c r="R2" s="118" t="n">
        <x:v>-58.681710105869435</x:v>
      </x:c>
      <x:c r="S2" s="118" t="n">
        <x:v>70.02467955590505</x:v>
      </x:c>
      <x:c r="T2"/>
      <x:c r="U2" t="n">
        <x:v>1</x:v>
      </x:c>
    </x:row>
    <x:row r="3">
      <x:c r="A3" t="str">
        <x:v>thick_30km_reason_mode</x:v>
      </x:c>
      <x:c r="B3" t="str">
        <x:v>briny_mushy_lens</x:v>
      </x:c>
      <x:c r="C3" t="str">
        <x:v>VHF_60MHz_full_depth_lowDR</x:v>
      </x:c>
      <x:c r="D3" t="n">
        <x:v>241</x:v>
      </x:c>
      <x:c r="E3" s="118" t="n">
        <x:v>0</x:v>
      </x:c>
      <x:c r="F3" s="118" t="n">
        <x:v>0</x:v>
      </x:c>
      <x:c r="G3" s="118" t="n">
        <x:v>0</x:v>
      </x:c>
      <x:c r="H3" s="118" t="n">
        <x:v>0</x:v>
      </x:c>
      <x:c r="I3" s="118" t="n">
        <x:v>0</x:v>
      </x:c>
      <x:c r="J3" s="118" t="n">
        <x:v>0</x:v>
      </x:c>
      <x:c r="K3" s="118" t="n">
        <x:v>0</x:v>
      </x:c>
      <x:c r="L3" s="118" t="n">
        <x:v>100</x:v>
      </x:c>
      <x:c r="M3" s="118" t="n">
        <x:v>0</x:v>
      </x:c>
      <x:c r="N3" s="118" t="n">
        <x:v>0</x:v>
      </x:c>
      <x:c r="O3" s="118"/>
      <x:c r="P3" s="118"/>
      <x:c r="Q3" s="118" t="n">
        <x:v>-76.90679227946654</x:v>
      </x:c>
      <x:c r="R3" s="118" t="n">
        <x:v>-173.0090556204038</x:v>
      </x:c>
      <x:c r="S3" s="118" t="n">
        <x:v>186.13739360229295</x:v>
      </x:c>
      <x:c r="T3"/>
      <x:c r="U3" t="n">
        <x:v>1</x:v>
      </x:c>
    </x:row>
    <x:row r="4">
      <x:c r="A4" t="str">
        <x:v>thick_30km_reason_mode</x:v>
      </x:c>
      <x:c r="B4" t="str">
        <x:v>briny_mushy_lens</x:v>
      </x:c>
      <x:c r="C4" t="str">
        <x:v>VHF_60MHz_shallow</x:v>
      </x:c>
      <x:c r="D4" t="n">
        <x:v>241</x:v>
      </x:c>
      <x:c r="E4" s="118" t="n">
        <x:v>0</x:v>
      </x:c>
      <x:c r="F4" s="118" t="n">
        <x:v>0</x:v>
      </x:c>
      <x:c r="G4" s="118" t="n">
        <x:v>0</x:v>
      </x:c>
      <x:c r="H4" s="118" t="n">
        <x:v>0</x:v>
      </x:c>
      <x:c r="I4" s="118" t="n">
        <x:v>0</x:v>
      </x:c>
      <x:c r="J4" s="118" t="n">
        <x:v>0</x:v>
      </x:c>
      <x:c r="K4" s="118" t="n">
        <x:v>100</x:v>
      </x:c>
      <x:c r="L4" s="118" t="n">
        <x:v>0</x:v>
      </x:c>
      <x:c r="M4" s="118" t="n">
        <x:v>0</x:v>
      </x:c>
      <x:c r="N4" s="118" t="n">
        <x:v>0</x:v>
      </x:c>
      <x:c r="O4" s="118"/>
      <x:c r="P4" s="118"/>
      <x:c r="Q4" s="118"/>
      <x:c r="R4" s="118"/>
      <x:c r="S4" s="118"/>
      <x:c r="T4"/>
      <x:c r="U4" t="n">
        <x:v>1</x:v>
      </x:c>
    </x:row>
    <x:row r="5">
      <x:c r="A5" t="str">
        <x:v>thick_30km_reason_mode</x:v>
      </x:c>
      <x:c r="B5" t="str">
        <x:v>clean_ice_control</x:v>
      </x:c>
      <x:c r="C5" t="str">
        <x:v>HF_9MHz_full_depth</x:v>
      </x:c>
      <x:c r="D5" t="n">
        <x:v>241</x:v>
      </x:c>
      <x:c r="E5" s="118" t="n">
        <x:v>100</x:v>
      </x:c>
      <x:c r="F5" s="118" t="n">
        <x:v>0</x:v>
      </x:c>
      <x:c r="G5" s="118" t="n">
        <x:v>0</x:v>
      </x:c>
      <x:c r="H5" s="118" t="n">
        <x:v>0</x:v>
      </x:c>
      <x:c r="I5" s="118" t="n">
        <x:v>0</x:v>
      </x:c>
      <x:c r="J5" s="118" t="n">
        <x:v>0</x:v>
      </x:c>
      <x:c r="K5" s="118" t="n">
        <x:v>0</x:v>
      </x:c>
      <x:c r="L5" s="118" t="n">
        <x:v>0</x:v>
      </x:c>
      <x:c r="M5" s="118" t="n">
        <x:v>0</x:v>
      </x:c>
      <x:c r="N5" s="118" t="n">
        <x:v>0</x:v>
      </x:c>
      <x:c r="O5" s="118"/>
      <x:c r="P5" s="118"/>
      <x:c r="Q5" s="118" t="n">
        <x:v>6.234387129656021</x:v>
      </x:c>
      <x:c r="R5" s="118" t="n">
        <x:v>5.865621644916452</x:v>
      </x:c>
      <x:c r="S5" s="118" t="n">
        <x:v>-1004.8656216449165</x:v>
      </x:c>
      <x:c r="T5" t="n">
        <x:v>0</x:v>
      </x:c>
      <x:c r="U5" t="n">
        <x:v>0</x:v>
      </x:c>
    </x:row>
    <x:row r="6">
      <x:c r="A6" t="str">
        <x:v>thick_30km_reason_mode</x:v>
      </x:c>
      <x:c r="B6" t="str">
        <x:v>clean_ice_control</x:v>
      </x:c>
      <x:c r="C6" t="str">
        <x:v>VHF_60MHz_full_depth_lowDR</x:v>
      </x:c>
      <x:c r="D6" t="n">
        <x:v>241</x:v>
      </x:c>
      <x:c r="E6" s="118" t="n">
        <x:v>0</x:v>
      </x:c>
      <x:c r="F6" s="118" t="n">
        <x:v>0</x:v>
      </x:c>
      <x:c r="G6" s="118" t="n">
        <x:v>0</x:v>
      </x:c>
      <x:c r="H6" s="118" t="n">
        <x:v>0</x:v>
      </x:c>
      <x:c r="I6" s="118" t="n">
        <x:v>0</x:v>
      </x:c>
      <x:c r="J6" s="118" t="n">
        <x:v>0</x:v>
      </x:c>
      <x:c r="K6" s="118" t="n">
        <x:v>0</x:v>
      </x:c>
      <x:c r="L6" s="118" t="n">
        <x:v>100</x:v>
      </x:c>
      <x:c r="M6" s="118" t="n">
        <x:v>0</x:v>
      </x:c>
      <x:c r="N6" s="118" t="n">
        <x:v>0</x:v>
      </x:c>
      <x:c r="O6" s="118"/>
      <x:c r="P6" s="118"/>
      <x:c r="Q6" s="118" t="n">
        <x:v>-5.407599017949069</x:v>
      </x:c>
      <x:c r="R6" s="118" t="n">
        <x:v>-6.3762593942339345</x:v>
      </x:c>
      <x:c r="S6" s="118" t="n">
        <x:v>-992.6237406057661</x:v>
      </x:c>
      <x:c r="T6"/>
      <x:c r="U6" t="n">
        <x:v>0</x:v>
      </x:c>
    </x:row>
    <x:row r="7">
      <x:c r="A7" t="str">
        <x:v>thick_30km_reason_mode</x:v>
      </x:c>
      <x:c r="B7" t="str">
        <x:v>clean_ice_control</x:v>
      </x:c>
      <x:c r="C7" t="str">
        <x:v>VHF_60MHz_shallow</x:v>
      </x:c>
      <x:c r="D7" t="n">
        <x:v>241</x:v>
      </x:c>
      <x:c r="E7" s="118" t="n">
        <x:v>0</x:v>
      </x:c>
      <x:c r="F7" s="118" t="n">
        <x:v>0</x:v>
      </x:c>
      <x:c r="G7" s="118" t="n">
        <x:v>0</x:v>
      </x:c>
      <x:c r="H7" s="118" t="n">
        <x:v>0</x:v>
      </x:c>
      <x:c r="I7" s="118" t="n">
        <x:v>0</x:v>
      </x:c>
      <x:c r="J7" s="118" t="n">
        <x:v>0</x:v>
      </x:c>
      <x:c r="K7" s="118" t="n">
        <x:v>100</x:v>
      </x:c>
      <x:c r="L7" s="118" t="n">
        <x:v>0</x:v>
      </x:c>
      <x:c r="M7" s="118" t="n">
        <x:v>0</x:v>
      </x:c>
      <x:c r="N7" s="118" t="n">
        <x:v>0</x:v>
      </x:c>
      <x:c r="O7" s="118"/>
      <x:c r="P7" s="118"/>
      <x:c r="Q7" s="118"/>
      <x:c r="R7" s="118"/>
      <x:c r="S7" s="118"/>
      <x:c r="T7"/>
      <x:c r="U7" t="n">
        <x:v>0</x:v>
      </x:c>
    </x:row>
    <x:row r="8">
      <x:c r="A8" t="str">
        <x:v>thick_30km_reason_mode</x:v>
      </x:c>
      <x:c r="B8" t="str">
        <x:v>complex_paper_calibrated</x:v>
      </x:c>
      <x:c r="C8" t="str">
        <x:v>HF_9MHz_full_depth</x:v>
      </x:c>
      <x:c r="D8" t="n">
        <x:v>241</x:v>
      </x:c>
      <x:c r="E8" s="118" t="n">
        <x:v>0</x:v>
      </x:c>
      <x:c r="F8" s="118" t="n">
        <x:v>0</x:v>
      </x:c>
      <x:c r="G8" s="118" t="n">
        <x:v>0</x:v>
      </x:c>
      <x:c r="H8" s="118" t="n">
        <x:v>0</x:v>
      </x:c>
      <x:c r="I8" s="118" t="n">
        <x:v>0</x:v>
      </x:c>
      <x:c r="J8" s="118" t="n">
        <x:v>0</x:v>
      </x:c>
      <x:c r="K8" s="118" t="n">
        <x:v>0</x:v>
      </x:c>
      <x:c r="L8" s="118" t="n">
        <x:v>100</x:v>
      </x:c>
      <x:c r="M8" s="118" t="n">
        <x:v>0</x:v>
      </x:c>
      <x:c r="N8" s="118" t="n">
        <x:v>0</x:v>
      </x:c>
      <x:c r="O8" s="118"/>
      <x:c r="P8" s="118"/>
      <x:c r="Q8" s="118" t="n">
        <x:v>-65.40766021747987</x:v>
      </x:c>
      <x:c r="R8" s="118" t="n">
        <x:v>-104.04282250282759</x:v>
      </x:c>
      <x:c r="S8" s="118" t="n">
        <x:v>116.35812033579441</x:v>
      </x:c>
      <x:c r="T8"/>
      <x:c r="U8" t="n">
        <x:v>11</x:v>
      </x:c>
    </x:row>
    <x:row r="9">
      <x:c r="A9" t="str">
        <x:v>thick_30km_reason_mode</x:v>
      </x:c>
      <x:c r="B9" t="str">
        <x:v>complex_paper_calibrated</x:v>
      </x:c>
      <x:c r="C9" t="str">
        <x:v>VHF_60MHz_full_depth_lowDR</x:v>
      </x:c>
      <x:c r="D9" t="n">
        <x:v>241</x:v>
      </x:c>
      <x:c r="E9" s="118" t="n">
        <x:v>0</x:v>
      </x:c>
      <x:c r="F9" s="118" t="n">
        <x:v>0</x:v>
      </x:c>
      <x:c r="G9" s="118" t="n">
        <x:v>0</x:v>
      </x:c>
      <x:c r="H9" s="118" t="n">
        <x:v>0</x:v>
      </x:c>
      <x:c r="I9" s="118" t="n">
        <x:v>0</x:v>
      </x:c>
      <x:c r="J9" s="118" t="n">
        <x:v>0</x:v>
      </x:c>
      <x:c r="K9" s="118" t="n">
        <x:v>0</x:v>
      </x:c>
      <x:c r="L9" s="118" t="n">
        <x:v>100</x:v>
      </x:c>
      <x:c r="M9" s="118" t="n">
        <x:v>0</x:v>
      </x:c>
      <x:c r="N9" s="118" t="n">
        <x:v>0</x:v>
      </x:c>
      <x:c r="O9" s="118"/>
      <x:c r="P9" s="118"/>
      <x:c r="Q9" s="118" t="n">
        <x:v>-190.38689920271528</x:v>
      </x:c>
      <x:c r="R9" s="118" t="n">
        <x:v>-290.1362012428661</x:v>
      </x:c>
      <x:c r="S9" s="118" t="n">
        <x:v>313.6002568306232</x:v>
      </x:c>
      <x:c r="T9"/>
      <x:c r="U9" t="n">
        <x:v>11</x:v>
      </x:c>
    </x:row>
    <x:row r="10">
      <x:c r="A10" t="str">
        <x:v>thick_30km_reason_mode</x:v>
      </x:c>
      <x:c r="B10" t="str">
        <x:v>complex_paper_calibrated</x:v>
      </x:c>
      <x:c r="C10" t="str">
        <x:v>VHF_60MHz_shallow</x:v>
      </x:c>
      <x:c r="D10" t="n">
        <x:v>241</x:v>
      </x:c>
      <x:c r="E10" s="118" t="n">
        <x:v>0</x:v>
      </x:c>
      <x:c r="F10" s="118" t="n">
        <x:v>0</x:v>
      </x:c>
      <x:c r="G10" s="118" t="n">
        <x:v>0</x:v>
      </x:c>
      <x:c r="H10" s="118" t="n">
        <x:v>0</x:v>
      </x:c>
      <x:c r="I10" s="118" t="n">
        <x:v>98.7551867219917</x:v>
      </x:c>
      <x:c r="J10" s="118" t="n">
        <x:v>0</x:v>
      </x:c>
      <x:c r="K10" s="118" t="n">
        <x:v>1.2448132780082988</x:v>
      </x:c>
      <x:c r="L10" s="118" t="n">
        <x:v>0</x:v>
      </x:c>
      <x:c r="M10" s="118" t="n">
        <x:v>0</x:v>
      </x:c>
      <x:c r="N10" s="118" t="n">
        <x:v>0</x:v>
      </x:c>
      <x:c r="O10" s="118"/>
      <x:c r="P10" s="118"/>
      <x:c r="Q10" s="118"/>
      <x:c r="R10" s="118"/>
      <x:c r="S10" s="118"/>
      <x:c r="T10" t="n">
        <x:v>29964.598239714967</x:v>
      </x:c>
      <x:c r="U10" t="n">
        <x:v>11</x:v>
      </x:c>
    </x:row>
    <x:row r="11">
      <x:c r="A11" t="str">
        <x:v>thick_30km_reason_mode</x:v>
      </x:c>
      <x:c r="B11" t="str">
        <x:v>complex_with_clutter</x:v>
      </x:c>
      <x:c r="C11" t="str">
        <x:v>HF_9MHz_full_depth</x:v>
      </x:c>
      <x:c r="D11" t="n">
        <x:v>241</x:v>
      </x:c>
      <x:c r="E11" s="118" t="n">
        <x:v>0</x:v>
      </x:c>
      <x:c r="F11" s="118" t="n">
        <x:v>0</x:v>
      </x:c>
      <x:c r="G11" s="118" t="n">
        <x:v>0</x:v>
      </x:c>
      <x:c r="H11" s="118" t="n">
        <x:v>0</x:v>
      </x:c>
      <x:c r="I11" s="118" t="n">
        <x:v>0</x:v>
      </x:c>
      <x:c r="J11" s="118" t="n">
        <x:v>0</x:v>
      </x:c>
      <x:c r="K11" s="118" t="n">
        <x:v>0</x:v>
      </x:c>
      <x:c r="L11" s="118" t="n">
        <x:v>100</x:v>
      </x:c>
      <x:c r="M11" s="118" t="n">
        <x:v>0</x:v>
      </x:c>
      <x:c r="N11" s="118" t="n">
        <x:v>0</x:v>
      </x:c>
      <x:c r="O11" s="118"/>
      <x:c r="P11" s="118"/>
      <x:c r="Q11" s="118" t="n">
        <x:v>-65.40766021747987</x:v>
      </x:c>
      <x:c r="R11" s="118" t="n">
        <x:v>-104.04282250282759</x:v>
      </x:c>
      <x:c r="S11" s="118" t="n">
        <x:v>116.35812033579441</x:v>
      </x:c>
      <x:c r="T11"/>
      <x:c r="U11" t="n">
        <x:v>11</x:v>
      </x:c>
    </x:row>
    <x:row r="12">
      <x:c r="A12" t="str">
        <x:v>thick_30km_reason_mode</x:v>
      </x:c>
      <x:c r="B12" t="str">
        <x:v>complex_with_clutter</x:v>
      </x:c>
      <x:c r="C12" t="str">
        <x:v>VHF_60MHz_full_depth_lowDR</x:v>
      </x:c>
      <x:c r="D12" t="n">
        <x:v>241</x:v>
      </x:c>
      <x:c r="E12" s="118" t="n">
        <x:v>0</x:v>
      </x:c>
      <x:c r="F12" s="118" t="n">
        <x:v>0</x:v>
      </x:c>
      <x:c r="G12" s="118" t="n">
        <x:v>0</x:v>
      </x:c>
      <x:c r="H12" s="118" t="n">
        <x:v>0</x:v>
      </x:c>
      <x:c r="I12" s="118" t="n">
        <x:v>0</x:v>
      </x:c>
      <x:c r="J12" s="118" t="n">
        <x:v>0</x:v>
      </x:c>
      <x:c r="K12" s="118" t="n">
        <x:v>0</x:v>
      </x:c>
      <x:c r="L12" s="118" t="n">
        <x:v>100</x:v>
      </x:c>
      <x:c r="M12" s="118" t="n">
        <x:v>0</x:v>
      </x:c>
      <x:c r="N12" s="118" t="n">
        <x:v>71.36929460580913</x:v>
      </x:c>
      <x:c r="O12" s="118" t="n">
        <x:v>1.8423406259815636</x:v>
      </x:c>
      <x:c r="P12" s="118" t="n">
        <x:v>291.12309081150556</x:v>
      </x:c>
      <x:c r="Q12" s="118" t="n">
        <x:v>-190.38689920271528</x:v>
      </x:c>
      <x:c r="R12" s="118" t="n">
        <x:v>-290.1362012428661</x:v>
      </x:c>
      <x:c r="S12" s="118" t="n">
        <x:v>313.6002568306232</x:v>
      </x:c>
      <x:c r="T12"/>
      <x:c r="U12" t="n">
        <x:v>11</x:v>
      </x:c>
    </x:row>
    <x:row r="13">
      <x:c r="A13" t="str">
        <x:v>thick_30km_reason_mode</x:v>
      </x:c>
      <x:c r="B13" t="str">
        <x:v>complex_with_clutter</x:v>
      </x:c>
      <x:c r="C13" t="str">
        <x:v>VHF_60MHz_shallow</x:v>
      </x:c>
      <x:c r="D13" t="n">
        <x:v>241</x:v>
      </x:c>
      <x:c r="E13" s="118" t="n">
        <x:v>0</x:v>
      </x:c>
      <x:c r="F13" s="118" t="n">
        <x:v>0</x:v>
      </x:c>
      <x:c r="G13" s="118" t="n">
        <x:v>0</x:v>
      </x:c>
      <x:c r="H13" s="118" t="n">
        <x:v>0</x:v>
      </x:c>
      <x:c r="I13" s="118" t="n">
        <x:v>0</x:v>
      </x:c>
      <x:c r="J13" s="118" t="n">
        <x:v>100</x:v>
      </x:c>
      <x:c r="K13" s="118" t="n">
        <x:v>0</x:v>
      </x:c>
      <x:c r="L13" s="118" t="n">
        <x:v>0</x:v>
      </x:c>
      <x:c r="M13" s="118" t="n">
        <x:v>0</x:v>
      </x:c>
      <x:c r="N13" s="118" t="n">
        <x:v>100</x:v>
      </x:c>
      <x:c r="O13" s="118" t="n">
        <x:v>6.842340625981564</x:v>
      </x:c>
      <x:c r="P13" s="118"/>
      <x:c r="Q13" s="118"/>
      <x:c r="R13" s="118"/>
      <x:c r="S13" s="118"/>
      <x:c r="T13" t="n">
        <x:v>28533.044521968728</x:v>
      </x:c>
      <x:c r="U13" t="n">
        <x:v>11</x:v>
      </x:c>
    </x:row>
    <x:row r="14">
      <x:c r="A14" t="str">
        <x:v>thick_30km_reason_mode</x:v>
      </x:c>
      <x:c r="B14" t="str">
        <x:v>near_surface_brine</x:v>
      </x:c>
      <x:c r="C14" t="str">
        <x:v>HF_9MHz_full_depth</x:v>
      </x:c>
      <x:c r="D14" t="n">
        <x:v>241</x:v>
      </x:c>
      <x:c r="E14" s="118" t="n">
        <x:v>72.61410788381743</x:v>
      </x:c>
      <x:c r="F14" s="118" t="n">
        <x:v>0</x:v>
      </x:c>
      <x:c r="G14" s="118" t="n">
        <x:v>0</x:v>
      </x:c>
      <x:c r="H14" s="118" t="n">
        <x:v>0</x:v>
      </x:c>
      <x:c r="I14" s="118" t="n">
        <x:v>0</x:v>
      </x:c>
      <x:c r="J14" s="118" t="n">
        <x:v>0</x:v>
      </x:c>
      <x:c r="K14" s="118" t="n">
        <x:v>0</x:v>
      </x:c>
      <x:c r="L14" s="118" t="n">
        <x:v>27.385892116182575</x:v>
      </x:c>
      <x:c r="M14" s="118" t="n">
        <x:v>0</x:v>
      </x:c>
      <x:c r="N14" s="118" t="n">
        <x:v>0</x:v>
      </x:c>
      <x:c r="O14" s="118"/>
      <x:c r="P14" s="118"/>
      <x:c r="Q14" s="118" t="n">
        <x:v>0.7535456101307383</x:v>
      </x:c>
      <x:c r="R14" s="118" t="n">
        <x:v>-1.1767386575072054</x:v>
      </x:c>
      <x:c r="S14" s="118" t="n">
        <x:v>13.462338472315261</x:v>
      </x:c>
      <x:c r="T14" t="n">
        <x:v>0</x:v>
      </x:c>
      <x:c r="U14" t="n">
        <x:v>1</x:v>
      </x:c>
    </x:row>
    <x:row r="15">
      <x:c r="A15" t="str">
        <x:v>thick_30km_reason_mode</x:v>
      </x:c>
      <x:c r="B15" t="str">
        <x:v>near_surface_brine</x:v>
      </x:c>
      <x:c r="C15" t="str">
        <x:v>VHF_60MHz_full_depth_lowDR</x:v>
      </x:c>
      <x:c r="D15" t="n">
        <x:v>241</x:v>
      </x:c>
      <x:c r="E15" s="118" t="n">
        <x:v>0</x:v>
      </x:c>
      <x:c r="F15" s="118" t="n">
        <x:v>0</x:v>
      </x:c>
      <x:c r="G15" s="118" t="n">
        <x:v>0</x:v>
      </x:c>
      <x:c r="H15" s="118" t="n">
        <x:v>0</x:v>
      </x:c>
      <x:c r="I15" s="118" t="n">
        <x:v>0</x:v>
      </x:c>
      <x:c r="J15" s="118" t="n">
        <x:v>0</x:v>
      </x:c>
      <x:c r="K15" s="118" t="n">
        <x:v>0</x:v>
      </x:c>
      <x:c r="L15" s="118" t="n">
        <x:v>100</x:v>
      </x:c>
      <x:c r="M15" s="118" t="n">
        <x:v>0</x:v>
      </x:c>
      <x:c r="N15" s="118" t="n">
        <x:v>0</x:v>
      </x:c>
      <x:c r="O15" s="118"/>
      <x:c r="P15" s="118"/>
      <x:c r="Q15" s="118" t="n">
        <x:v>-19.550950666838133</x:v>
      </x:c>
      <x:c r="R15" s="118" t="n">
        <x:v>-24.550190155864904</x:v>
      </x:c>
      <x:c r="S15" s="118" t="n">
        <x:v>47.924490462459204</x:v>
      </x:c>
      <x:c r="T15"/>
      <x:c r="U15" t="n">
        <x:v>1</x:v>
      </x:c>
    </x:row>
    <x:row r="16">
      <x:c r="A16" t="str">
        <x:v>thick_30km_reason_mode</x:v>
      </x:c>
      <x:c r="B16" t="str">
        <x:v>near_surface_brine</x:v>
      </x:c>
      <x:c r="C16" t="str">
        <x:v>VHF_60MHz_shallow</x:v>
      </x:c>
      <x:c r="D16" t="n">
        <x:v>241</x:v>
      </x:c>
      <x:c r="E16" s="118" t="n">
        <x:v>0</x:v>
      </x:c>
      <x:c r="F16" s="118" t="n">
        <x:v>0</x:v>
      </x:c>
      <x:c r="G16" s="118" t="n">
        <x:v>0</x:v>
      </x:c>
      <x:c r="H16" s="118" t="n">
        <x:v>0</x:v>
      </x:c>
      <x:c r="I16" s="118" t="n">
        <x:v>98.7551867219917</x:v>
      </x:c>
      <x:c r="J16" s="118" t="n">
        <x:v>0</x:v>
      </x:c>
      <x:c r="K16" s="118" t="n">
        <x:v>1.2448132780082988</x:v>
      </x:c>
      <x:c r="L16" s="118" t="n">
        <x:v>0</x:v>
      </x:c>
      <x:c r="M16" s="118" t="n">
        <x:v>0</x:v>
      </x:c>
      <x:c r="N16" s="118" t="n">
        <x:v>0</x:v>
      </x:c>
      <x:c r="O16" s="118"/>
      <x:c r="P16" s="118"/>
      <x:c r="Q16" s="118"/>
      <x:c r="R16" s="118"/>
      <x:c r="S16" s="118"/>
      <x:c r="T16" t="n">
        <x:v>29964.598239714967</x:v>
      </x:c>
      <x:c r="U16" t="n">
        <x:v>1</x:v>
      </x:c>
    </x:row>
    <x:row r="17">
      <x:c r="A17" t="str">
        <x:v>thick_30km_reason_mode</x:v>
      </x:c>
      <x:c r="B17" t="str">
        <x:v>rough_surface_clutter</x:v>
      </x:c>
      <x:c r="C17" t="str">
        <x:v>HF_9MHz_full_depth</x:v>
      </x:c>
      <x:c r="D17" t="n">
        <x:v>241</x:v>
      </x:c>
      <x:c r="E17" s="118" t="n">
        <x:v>100</x:v>
      </x:c>
      <x:c r="F17" s="118" t="n">
        <x:v>0</x:v>
      </x:c>
      <x:c r="G17" s="118" t="n">
        <x:v>0</x:v>
      </x:c>
      <x:c r="H17" s="118" t="n">
        <x:v>0</x:v>
      </x:c>
      <x:c r="I17" s="118" t="n">
        <x:v>0</x:v>
      </x:c>
      <x:c r="J17" s="118" t="n">
        <x:v>0</x:v>
      </x:c>
      <x:c r="K17" s="118" t="n">
        <x:v>0</x:v>
      </x:c>
      <x:c r="L17" s="118" t="n">
        <x:v>0</x:v>
      </x:c>
      <x:c r="M17" s="118" t="n">
        <x:v>0</x:v>
      </x:c>
      <x:c r="N17" s="118" t="n">
        <x:v>0</x:v>
      </x:c>
      <x:c r="O17" s="118"/>
      <x:c r="P17" s="118"/>
      <x:c r="Q17" s="118" t="n">
        <x:v>6.234387129656021</x:v>
      </x:c>
      <x:c r="R17" s="118" t="n">
        <x:v>5.865621644916452</x:v>
      </x:c>
      <x:c r="S17" s="118" t="n">
        <x:v>-1004.8656216449165</x:v>
      </x:c>
      <x:c r="T17" t="n">
        <x:v>0</x:v>
      </x:c>
      <x:c r="U17" t="n">
        <x:v>0</x:v>
      </x:c>
    </x:row>
    <x:row r="18">
      <x:c r="A18" t="str">
        <x:v>thick_30km_reason_mode</x:v>
      </x:c>
      <x:c r="B18" t="str">
        <x:v>rough_surface_clutter</x:v>
      </x:c>
      <x:c r="C18" t="str">
        <x:v>VHF_60MHz_full_depth_lowDR</x:v>
      </x:c>
      <x:c r="D18" t="n">
        <x:v>241</x:v>
      </x:c>
      <x:c r="E18" s="118" t="n">
        <x:v>0</x:v>
      </x:c>
      <x:c r="F18" s="118" t="n">
        <x:v>0</x:v>
      </x:c>
      <x:c r="G18" s="118" t="n">
        <x:v>0</x:v>
      </x:c>
      <x:c r="H18" s="118" t="n">
        <x:v>0</x:v>
      </x:c>
      <x:c r="I18" s="118" t="n">
        <x:v>0</x:v>
      </x:c>
      <x:c r="J18" s="118" t="n">
        <x:v>0</x:v>
      </x:c>
      <x:c r="K18" s="118" t="n">
        <x:v>0</x:v>
      </x:c>
      <x:c r="L18" s="118" t="n">
        <x:v>100</x:v>
      </x:c>
      <x:c r="M18" s="118" t="n">
        <x:v>0</x:v>
      </x:c>
      <x:c r="N18" s="118" t="n">
        <x:v>48.96265560165975</x:v>
      </x:c>
      <x:c r="O18" s="118" t="n">
        <x:v>-0.08401046791567168</x:v>
      </x:c>
      <x:c r="P18" s="118" t="n">
        <x:v>11.495724914879286</x:v>
      </x:c>
      <x:c r="Q18" s="118" t="n">
        <x:v>-5.407599017949069</x:v>
      </x:c>
      <x:c r="R18" s="118" t="n">
        <x:v>-6.3762593942339345</x:v>
      </x:c>
      <x:c r="S18" s="118" t="n">
        <x:v>-992.6237406057661</x:v>
      </x:c>
      <x:c r="T18"/>
      <x:c r="U18" t="n">
        <x:v>0</x:v>
      </x:c>
    </x:row>
    <x:row r="19">
      <x:c r="A19" t="str">
        <x:v>thick_30km_reason_mode</x:v>
      </x:c>
      <x:c r="B19" t="str">
        <x:v>rough_surface_clutter</x:v>
      </x:c>
      <x:c r="C19" t="str">
        <x:v>VHF_60MHz_shallow</x:v>
      </x:c>
      <x:c r="D19" t="n">
        <x:v>241</x:v>
      </x:c>
      <x:c r="E19" s="118" t="n">
        <x:v>0</x:v>
      </x:c>
      <x:c r="F19" s="118" t="n">
        <x:v>0</x:v>
      </x:c>
      <x:c r="G19" s="118" t="n">
        <x:v>0</x:v>
      </x:c>
      <x:c r="H19" s="118" t="n">
        <x:v>0</x:v>
      </x:c>
      <x:c r="I19" s="118" t="n">
        <x:v>0</x:v>
      </x:c>
      <x:c r="J19" s="118" t="n">
        <x:v>98.7551867219917</x:v>
      </x:c>
      <x:c r="K19" s="118" t="n">
        <x:v>1.2448132780082988</x:v>
      </x:c>
      <x:c r="L19" s="118" t="n">
        <x:v>0</x:v>
      </x:c>
      <x:c r="M19" s="118" t="n">
        <x:v>0</x:v>
      </x:c>
      <x:c r="N19" s="118" t="n">
        <x:v>98.7551867219917</x:v>
      </x:c>
      <x:c r="O19" s="118" t="n">
        <x:v>4.915989532084328</x:v>
      </x:c>
      <x:c r="P19" s="118"/>
      <x:c r="Q19" s="118"/>
      <x:c r="R19" s="118"/>
      <x:c r="S19" s="118"/>
      <x:c r="T19" t="n">
        <x:v>28533.044521968728</x:v>
      </x:c>
      <x:c r="U19" t="n">
        <x:v>0</x:v>
      </x:c>
    </x:row>
    <x:row r="20">
      <x:c r="A20" t="str">
        <x:v>thick_30km_reason_mode</x:v>
      </x:c>
      <x:c r="B20" t="str">
        <x:v>salt_layers_reason</x:v>
      </x:c>
      <x:c r="C20" t="str">
        <x:v>HF_9MHz_full_depth</x:v>
      </x:c>
      <x:c r="D20" t="n">
        <x:v>241</x:v>
      </x:c>
      <x:c r="E20" s="118" t="n">
        <x:v>100</x:v>
      </x:c>
      <x:c r="F20" s="118" t="n">
        <x:v>0</x:v>
      </x:c>
      <x:c r="G20" s="118" t="n">
        <x:v>0</x:v>
      </x:c>
      <x:c r="H20" s="118" t="n">
        <x:v>0</x:v>
      </x:c>
      <x:c r="I20" s="118" t="n">
        <x:v>0</x:v>
      </x:c>
      <x:c r="J20" s="118" t="n">
        <x:v>0</x:v>
      </x:c>
      <x:c r="K20" s="118" t="n">
        <x:v>0</x:v>
      </x:c>
      <x:c r="L20" s="118" t="n">
        <x:v>0</x:v>
      </x:c>
      <x:c r="M20" s="118" t="n">
        <x:v>0</x:v>
      </x:c>
      <x:c r="N20" s="118" t="n">
        <x:v>0</x:v>
      </x:c>
      <x:c r="O20" s="118"/>
      <x:c r="P20" s="118"/>
      <x:c r="Q20" s="118" t="n">
        <x:v>6.23318712965602</x:v>
      </x:c>
      <x:c r="R20" s="118" t="n">
        <x:v>5.864421644916451</x:v>
      </x:c>
      <x:c r="S20" s="118" t="n">
        <x:v>-8.252250894680737</x:v>
      </x:c>
      <x:c r="T20" t="n">
        <x:v>0</x:v>
      </x:c>
      <x:c r="U20" t="n">
        <x:v>2</x:v>
      </x:c>
    </x:row>
    <x:row r="21">
      <x:c r="A21" t="str">
        <x:v>thick_30km_reason_mode</x:v>
      </x:c>
      <x:c r="B21" t="str">
        <x:v>salt_layers_reason</x:v>
      </x:c>
      <x:c r="C21" t="str">
        <x:v>VHF_60MHz_full_depth_lowDR</x:v>
      </x:c>
      <x:c r="D21" t="n">
        <x:v>241</x:v>
      </x:c>
      <x:c r="E21" s="118" t="n">
        <x:v>0</x:v>
      </x:c>
      <x:c r="F21" s="118" t="n">
        <x:v>0</x:v>
      </x:c>
      <x:c r="G21" s="118" t="n">
        <x:v>0</x:v>
      </x:c>
      <x:c r="H21" s="118" t="n">
        <x:v>0</x:v>
      </x:c>
      <x:c r="I21" s="118" t="n">
        <x:v>0</x:v>
      </x:c>
      <x:c r="J21" s="118" t="n">
        <x:v>0</x:v>
      </x:c>
      <x:c r="K21" s="118" t="n">
        <x:v>0</x:v>
      </x:c>
      <x:c r="L21" s="118" t="n">
        <x:v>100</x:v>
      </x:c>
      <x:c r="M21" s="118" t="n">
        <x:v>0</x:v>
      </x:c>
      <x:c r="N21" s="118" t="n">
        <x:v>0</x:v>
      </x:c>
      <x:c r="O21" s="118"/>
      <x:c r="P21" s="118"/>
      <x:c r="Q21" s="118" t="n">
        <x:v>-5.4106974046260365</x:v>
      </x:c>
      <x:c r="R21" s="118" t="n">
        <x:v>-6.379357780910902</x:v>
      </x:c>
      <x:c r="S21" s="118" t="n">
        <x:v>12.944985640787383</x:v>
      </x:c>
      <x:c r="T21"/>
      <x:c r="U21" t="n">
        <x:v>2</x:v>
      </x:c>
    </x:row>
    <x:row r="22">
      <x:c r="A22" t="str">
        <x:v>thick_30km_reason_mode</x:v>
      </x:c>
      <x:c r="B22" t="str">
        <x:v>salt_layers_reason</x:v>
      </x:c>
      <x:c r="C22" t="str">
        <x:v>VHF_60MHz_shallow</x:v>
      </x:c>
      <x:c r="D22" t="n">
        <x:v>241</x:v>
      </x:c>
      <x:c r="E22" s="118" t="n">
        <x:v>0</x:v>
      </x:c>
      <x:c r="F22" s="118" t="n">
        <x:v>0</x:v>
      </x:c>
      <x:c r="G22" s="118" t="n">
        <x:v>0</x:v>
      </x:c>
      <x:c r="H22" s="118" t="n">
        <x:v>0</x:v>
      </x:c>
      <x:c r="I22" s="118" t="n">
        <x:v>0</x:v>
      </x:c>
      <x:c r="J22" s="118" t="n">
        <x:v>0</x:v>
      </x:c>
      <x:c r="K22" s="118" t="n">
        <x:v>100</x:v>
      </x:c>
      <x:c r="L22" s="118" t="n">
        <x:v>0</x:v>
      </x:c>
      <x:c r="M22" s="118" t="n">
        <x:v>0</x:v>
      </x:c>
      <x:c r="N22" s="118" t="n">
        <x:v>0</x:v>
      </x:c>
      <x:c r="O22" s="118"/>
      <x:c r="P22" s="118"/>
      <x:c r="Q22" s="118"/>
      <x:c r="R22" s="118"/>
      <x:c r="S22" s="118"/>
      <x:c r="T22"/>
      <x:c r="U22" t="n">
        <x:v>2</x:v>
      </x:c>
    </x:row>
    <x:row r="23">
      <x:c r="A23" t="str">
        <x:v>thick_30km_reason_mode</x:v>
      </x:c>
      <x:c r="B23" t="str">
        <x:v>stacked_dirty_layers</x:v>
      </x:c>
      <x:c r="C23" t="str">
        <x:v>HF_9MHz_full_depth</x:v>
      </x:c>
      <x:c r="D23" t="n">
        <x:v>241</x:v>
      </x:c>
      <x:c r="E23" s="118" t="n">
        <x:v>0</x:v>
      </x:c>
      <x:c r="F23" s="118" t="n">
        <x:v>0</x:v>
      </x:c>
      <x:c r="G23" s="118" t="n">
        <x:v>100</x:v>
      </x:c>
      <x:c r="H23" s="118" t="n">
        <x:v>0</x:v>
      </x:c>
      <x:c r="I23" s="118" t="n">
        <x:v>0</x:v>
      </x:c>
      <x:c r="J23" s="118" t="n">
        <x:v>0</x:v>
      </x:c>
      <x:c r="K23" s="118" t="n">
        <x:v>0</x:v>
      </x:c>
      <x:c r="L23" s="118" t="n">
        <x:v>0</x:v>
      </x:c>
      <x:c r="M23" s="118" t="n">
        <x:v>100</x:v>
      </x:c>
      <x:c r="N23" s="118" t="n">
        <x:v>0</x:v>
      </x:c>
      <x:c r="O23" s="118"/>
      <x:c r="P23" s="118"/>
      <x:c r="Q23" s="118" t="n">
        <x:v>-19.54091545024109</x:v>
      </x:c>
      <x:c r="R23" s="118" t="n">
        <x:v>-20.762812926727612</x:v>
      </x:c>
      <x:c r="S23" s="118" t="n">
        <x:v>24.34284037319051</x:v>
      </x:c>
      <x:c r="T23" t="n">
        <x:v>9065.037494768316</x:v>
      </x:c>
      <x:c r="U23" t="n">
        <x:v>6</x:v>
      </x:c>
    </x:row>
    <x:row r="24">
      <x:c r="A24" t="str">
        <x:v>thick_30km_reason_mode</x:v>
      </x:c>
      <x:c r="B24" t="str">
        <x:v>stacked_dirty_layers</x:v>
      </x:c>
      <x:c r="C24" t="str">
        <x:v>VHF_60MHz_full_depth_lowDR</x:v>
      </x:c>
      <x:c r="D24" t="n">
        <x:v>241</x:v>
      </x:c>
      <x:c r="E24" s="118" t="n">
        <x:v>0</x:v>
      </x:c>
      <x:c r="F24" s="118" t="n">
        <x:v>0</x:v>
      </x:c>
      <x:c r="G24" s="118" t="n">
        <x:v>0</x:v>
      </x:c>
      <x:c r="H24" s="118" t="n">
        <x:v>0</x:v>
      </x:c>
      <x:c r="I24" s="118" t="n">
        <x:v>0</x:v>
      </x:c>
      <x:c r="J24" s="118" t="n">
        <x:v>0</x:v>
      </x:c>
      <x:c r="K24" s="118" t="n">
        <x:v>0</x:v>
      </x:c>
      <x:c r="L24" s="118" t="n">
        <x:v>100</x:v>
      </x:c>
      <x:c r="M24" s="118" t="n">
        <x:v>0</x:v>
      </x:c>
      <x:c r="N24" s="118" t="n">
        <x:v>0</x:v>
      </x:c>
      <x:c r="O24" s="118"/>
      <x:c r="P24" s="118"/>
      <x:c r="Q24" s="118" t="n">
        <x:v>-71.94900438897017</x:v>
      </x:c>
      <x:c r="R24" s="118" t="n">
        <x:v>-75.13027686730925</x:v>
      </x:c>
      <x:c r="S24" s="118" t="n">
        <x:v>57.808790769817456</x:v>
      </x:c>
      <x:c r="T24"/>
      <x:c r="U24" t="n">
        <x:v>6</x:v>
      </x:c>
    </x:row>
    <x:row r="25">
      <x:c r="A25" t="str">
        <x:v>thick_30km_reason_mode</x:v>
      </x:c>
      <x:c r="B25" t="str">
        <x:v>stacked_dirty_layers</x:v>
      </x:c>
      <x:c r="C25" t="str">
        <x:v>VHF_60MHz_shallow</x:v>
      </x:c>
      <x:c r="D25" t="n">
        <x:v>241</x:v>
      </x:c>
      <x:c r="E25" s="118" t="n">
        <x:v>0</x:v>
      </x:c>
      <x:c r="F25" s="118" t="n">
        <x:v>0</x:v>
      </x:c>
      <x:c r="G25" s="118" t="n">
        <x:v>0</x:v>
      </x:c>
      <x:c r="H25" s="118" t="n">
        <x:v>0</x:v>
      </x:c>
      <x:c r="I25" s="118" t="n">
        <x:v>0</x:v>
      </x:c>
      <x:c r="J25" s="118" t="n">
        <x:v>0</x:v>
      </x:c>
      <x:c r="K25" s="118" t="n">
        <x:v>100</x:v>
      </x:c>
      <x:c r="L25" s="118" t="n">
        <x:v>0</x:v>
      </x:c>
      <x:c r="M25" s="118" t="n">
        <x:v>0</x:v>
      </x:c>
      <x:c r="N25" s="118" t="n">
        <x:v>0</x:v>
      </x:c>
      <x:c r="O25" s="118"/>
      <x:c r="P25" s="118"/>
      <x:c r="Q25" s="118"/>
      <x:c r="R25" s="118"/>
      <x:c r="S25" s="118"/>
      <x:c r="T25"/>
      <x:c r="U25" t="n">
        <x:v>6</x:v>
      </x:c>
    </x:row>
    <x:row r="26">
      <x:c r="A26" t="str">
        <x:v>thick_30km_reason_mode</x:v>
      </x:c>
      <x:c r="B26" t="str">
        <x:v>warm_impure_ice</x:v>
      </x:c>
      <x:c r="C26" t="str">
        <x:v>HF_9MHz_full_depth</x:v>
      </x:c>
      <x:c r="D26" t="n">
        <x:v>241</x:v>
      </x:c>
      <x:c r="E26" s="118" t="n">
        <x:v>0</x:v>
      </x:c>
      <x:c r="F26" s="118" t="n">
        <x:v>0</x:v>
      </x:c>
      <x:c r="G26" s="118" t="n">
        <x:v>0</x:v>
      </x:c>
      <x:c r="H26" s="118" t="n">
        <x:v>0</x:v>
      </x:c>
      <x:c r="I26" s="118" t="n">
        <x:v>0</x:v>
      </x:c>
      <x:c r="J26" s="118" t="n">
        <x:v>0</x:v>
      </x:c>
      <x:c r="K26" s="118" t="n">
        <x:v>0</x:v>
      </x:c>
      <x:c r="L26" s="118" t="n">
        <x:v>100</x:v>
      </x:c>
      <x:c r="M26" s="118" t="n">
        <x:v>0</x:v>
      </x:c>
      <x:c r="N26" s="118" t="n">
        <x:v>0</x:v>
      </x:c>
      <x:c r="O26" s="118"/>
      <x:c r="P26" s="118"/>
      <x:c r="Q26" s="118" t="n">
        <x:v>-15.095348905756493</x:v>
      </x:c>
      <x:c r="R26" s="118" t="n">
        <x:v>-15.824386440043867</x:v>
      </x:c>
      <x:c r="S26" s="118" t="n">
        <x:v>-983.1756135599561</x:v>
      </x:c>
      <x:c r="T26"/>
      <x:c r="U26" t="n">
        <x:v>0</x:v>
      </x:c>
    </x:row>
    <x:row r="27">
      <x:c r="A27" t="str">
        <x:v>thick_30km_reason_mode</x:v>
      </x:c>
      <x:c r="B27" t="str">
        <x:v>warm_impure_ice</x:v>
      </x:c>
      <x:c r="C27" t="str">
        <x:v>VHF_60MHz_full_depth_lowDR</x:v>
      </x:c>
      <x:c r="D27" t="n">
        <x:v>241</x:v>
      </x:c>
      <x:c r="E27" s="118" t="n">
        <x:v>0</x:v>
      </x:c>
      <x:c r="F27" s="118" t="n">
        <x:v>0</x:v>
      </x:c>
      <x:c r="G27" s="118" t="n">
        <x:v>0</x:v>
      </x:c>
      <x:c r="H27" s="118" t="n">
        <x:v>0</x:v>
      </x:c>
      <x:c r="I27" s="118" t="n">
        <x:v>0</x:v>
      </x:c>
      <x:c r="J27" s="118" t="n">
        <x:v>0</x:v>
      </x:c>
      <x:c r="K27" s="118" t="n">
        <x:v>0</x:v>
      </x:c>
      <x:c r="L27" s="118" t="n">
        <x:v>100</x:v>
      </x:c>
      <x:c r="M27" s="118" t="n">
        <x:v>0</x:v>
      </x:c>
      <x:c r="N27" s="118" t="n">
        <x:v>0</x:v>
      </x:c>
      <x:c r="O27" s="118"/>
      <x:c r="P27" s="118"/>
      <x:c r="Q27" s="118" t="n">
        <x:v>-60.4687747810126</x:v>
      </x:c>
      <x:c r="R27" s="118" t="n">
        <x:v>-62.37961945567097</x:v>
      </x:c>
      <x:c r="S27" s="118" t="n">
        <x:v>-936.620380544329</x:v>
      </x:c>
      <x:c r="T27"/>
      <x:c r="U27" t="n">
        <x:v>0</x:v>
      </x:c>
    </x:row>
    <x:row r="28">
      <x:c r="A28" t="str">
        <x:v>thick_30km_reason_mode</x:v>
      </x:c>
      <x:c r="B28" t="str">
        <x:v>warm_impure_ice</x:v>
      </x:c>
      <x:c r="C28" t="str">
        <x:v>VHF_60MHz_shallow</x:v>
      </x:c>
      <x:c r="D28" t="n">
        <x:v>241</x:v>
      </x:c>
      <x:c r="E28" s="118" t="n">
        <x:v>0</x:v>
      </x:c>
      <x:c r="F28" s="118" t="n">
        <x:v>0</x:v>
      </x:c>
      <x:c r="G28" s="118" t="n">
        <x:v>0</x:v>
      </x:c>
      <x:c r="H28" s="118" t="n">
        <x:v>0</x:v>
      </x:c>
      <x:c r="I28" s="118" t="n">
        <x:v>0</x:v>
      </x:c>
      <x:c r="J28" s="118" t="n">
        <x:v>0</x:v>
      </x:c>
      <x:c r="K28" s="118" t="n">
        <x:v>100</x:v>
      </x:c>
      <x:c r="L28" s="118" t="n">
        <x:v>0</x:v>
      </x:c>
      <x:c r="M28" s="118" t="n">
        <x:v>0</x:v>
      </x:c>
      <x:c r="N28" s="118" t="n">
        <x:v>0</x:v>
      </x:c>
      <x:c r="O28" s="118"/>
      <x:c r="P28" s="118"/>
      <x:c r="Q28" s="118"/>
      <x:c r="R28" s="118"/>
      <x:c r="S28" s="118"/>
      <x:c r="T28"/>
      <x:c r="U28" t="n">
        <x:v>0</x:v>
      </x:c>
    </x:row>
    <x:row r="29">
      <x:c r="A29" t="str">
        <x:v>thin_3km_reason_mode</x:v>
      </x:c>
      <x:c r="B29" t="str">
        <x:v>briny_mushy_lens</x:v>
      </x:c>
      <x:c r="C29" t="str">
        <x:v>HF_9MHz_full_depth</x:v>
      </x:c>
      <x:c r="D29" t="n">
        <x:v>241</x:v>
      </x:c>
      <x:c r="E29" s="118" t="n">
        <x:v>70.12448132780082</x:v>
      </x:c>
      <x:c r="F29" s="118" t="n">
        <x:v>0</x:v>
      </x:c>
      <x:c r="G29" s="118" t="n">
        <x:v>0</x:v>
      </x:c>
      <x:c r="H29" s="118" t="n">
        <x:v>0</x:v>
      </x:c>
      <x:c r="I29" s="118" t="n">
        <x:v>0</x:v>
      </x:c>
      <x:c r="J29" s="118" t="n">
        <x:v>0</x:v>
      </x:c>
      <x:c r="K29" s="118" t="n">
        <x:v>0</x:v>
      </x:c>
      <x:c r="L29" s="118" t="n">
        <x:v>29.87551867219917</x:v>
      </x:c>
      <x:c r="M29" s="118" t="n">
        <x:v>0</x:v>
      </x:c>
      <x:c r="N29" s="118" t="n">
        <x:v>0</x:v>
      </x:c>
      <x:c r="O29" s="118"/>
      <x:c r="P29" s="118"/>
      <x:c r="Q29" s="118" t="n">
        <x:v>10.79075820407636</x:v>
      </x:c>
      <x:c r="R29" s="118" t="n">
        <x:v>-13.168660314359686</x:v>
      </x:c>
      <x:c r="S29" s="118" t="n">
        <x:v>30.024707728765215</x:v>
      </x:c>
      <x:c r="T29" t="n">
        <x:v>0</x:v>
      </x:c>
      <x:c r="U29" t="n">
        <x:v>1</x:v>
      </x:c>
    </x:row>
    <x:row r="30">
      <x:c r="A30" t="str">
        <x:v>thin_3km_reason_mode</x:v>
      </x:c>
      <x:c r="B30" t="str">
        <x:v>briny_mushy_lens</x:v>
      </x:c>
      <x:c r="C30" t="str">
        <x:v>VHF_60MHz_full_depth_lowDR</x:v>
      </x:c>
      <x:c r="D30" t="n">
        <x:v>241</x:v>
      </x:c>
      <x:c r="E30" s="118" t="n">
        <x:v>56.43153526970954</x:v>
      </x:c>
      <x:c r="F30" s="118" t="n">
        <x:v>0</x:v>
      </x:c>
      <x:c r="G30" s="118" t="n">
        <x:v>0</x:v>
      </x:c>
      <x:c r="H30" s="118" t="n">
        <x:v>0</x:v>
      </x:c>
      <x:c r="I30" s="118" t="n">
        <x:v>0</x:v>
      </x:c>
      <x:c r="J30" s="118" t="n">
        <x:v>0</x:v>
      </x:c>
      <x:c r="K30" s="118" t="n">
        <x:v>0</x:v>
      </x:c>
      <x:c r="L30" s="118" t="n">
        <x:v>43.56846473029046</x:v>
      </x:c>
      <x:c r="M30" s="118" t="n">
        <x:v>0</x:v>
      </x:c>
      <x:c r="N30" s="118" t="n">
        <x:v>0</x:v>
      </x:c>
      <x:c r="O30" s="118"/>
      <x:c r="P30" s="118"/>
      <x:c r="Q30" s="118" t="n">
        <x:v>6.354783401266367</x:v>
      </x:c>
      <x:c r="R30" s="118" t="n">
        <x:v>-55.50012340520751</x:v>
      </x:c>
      <x:c r="S30" s="118" t="n">
        <x:v>82.86239388613458</x:v>
      </x:c>
      <x:c r="T30" t="n">
        <x:v>0</x:v>
      </x:c>
      <x:c r="U30" t="n">
        <x:v>1</x:v>
      </x:c>
    </x:row>
    <x:row r="31">
      <x:c r="A31" t="str">
        <x:v>thin_3km_reason_mode</x:v>
      </x:c>
      <x:c r="B31" t="str">
        <x:v>briny_mushy_lens</x:v>
      </x:c>
      <x:c r="C31" t="str">
        <x:v>VHF_60MHz_shallow</x:v>
      </x:c>
      <x:c r="D31" t="n">
        <x:v>241</x:v>
      </x:c>
      <x:c r="E31" s="118" t="n">
        <x:v>31.12033195020747</x:v>
      </x:c>
      <x:c r="F31" s="118" t="n">
        <x:v>0</x:v>
      </x:c>
      <x:c r="G31" s="118" t="n">
        <x:v>0</x:v>
      </x:c>
      <x:c r="H31" s="118" t="n">
        <x:v>0</x:v>
      </x:c>
      <x:c r="I31" s="118" t="n">
        <x:v>0</x:v>
      </x:c>
      <x:c r="J31" s="118" t="n">
        <x:v>0</x:v>
      </x:c>
      <x:c r="K31" s="118" t="n">
        <x:v>0</x:v>
      </x:c>
      <x:c r="L31" s="118" t="n">
        <x:v>68.87966804979253</x:v>
      </x:c>
      <x:c r="M31" s="118" t="n">
        <x:v>0</x:v>
      </x:c>
      <x:c r="N31" s="118" t="n">
        <x:v>0</x:v>
      </x:c>
      <x:c r="O31" s="118"/>
      <x:c r="P31" s="118"/>
      <x:c r="Q31" s="118" t="n">
        <x:v>-11.800299701184965</x:v>
      </x:c>
      <x:c r="R31" s="118" t="n">
        <x:v>-73.65520650765885</x:v>
      </x:c>
      <x:c r="S31" s="118" t="n">
        <x:v>82.86239388613458</x:v>
      </x:c>
      <x:c r="T31" t="n">
        <x:v>0</x:v>
      </x:c>
      <x:c r="U31" t="n">
        <x:v>1</x:v>
      </x:c>
    </x:row>
    <x:row r="32">
      <x:c r="A32" t="str">
        <x:v>thin_3km_reason_mode</x:v>
      </x:c>
      <x:c r="B32" t="str">
        <x:v>clean_ice_control</x:v>
      </x:c>
      <x:c r="C32" t="str">
        <x:v>HF_9MHz_full_depth</x:v>
      </x:c>
      <x:c r="D32" t="n">
        <x:v>241</x:v>
      </x:c>
      <x:c r="E32" s="118" t="n">
        <x:v>100</x:v>
      </x:c>
      <x:c r="F32" s="118" t="n">
        <x:v>0</x:v>
      </x:c>
      <x:c r="G32" s="118" t="n">
        <x:v>0</x:v>
      </x:c>
      <x:c r="H32" s="118" t="n">
        <x:v>0</x:v>
      </x:c>
      <x:c r="I32" s="118" t="n">
        <x:v>0</x:v>
      </x:c>
      <x:c r="J32" s="118" t="n">
        <x:v>0</x:v>
      </x:c>
      <x:c r="K32" s="118" t="n">
        <x:v>0</x:v>
      </x:c>
      <x:c r="L32" s="118" t="n">
        <x:v>0</x:v>
      </x:c>
      <x:c r="M32" s="118" t="n">
        <x:v>0</x:v>
      </x:c>
      <x:c r="N32" s="118" t="n">
        <x:v>0</x:v>
      </x:c>
      <x:c r="O32" s="118"/>
      <x:c r="P32" s="118"/>
      <x:c r="Q32" s="118" t="n">
        <x:v>19.211941552283804</x:v>
      </x:c>
      <x:c r="R32" s="118" t="n">
        <x:v>19.09382844932889</x:v>
      </x:c>
      <x:c r="S32" s="118" t="n">
        <x:v>-1018.0938284493288</x:v>
      </x:c>
      <x:c r="T32" t="n">
        <x:v>0</x:v>
      </x:c>
      <x:c r="U32" t="n">
        <x:v>0</x:v>
      </x:c>
    </x:row>
    <x:row r="33">
      <x:c r="A33" t="str">
        <x:v>thin_3km_reason_mode</x:v>
      </x:c>
      <x:c r="B33" t="str">
        <x:v>clean_ice_control</x:v>
      </x:c>
      <x:c r="C33" t="str">
        <x:v>VHF_60MHz_full_depth_lowDR</x:v>
      </x:c>
      <x:c r="D33" t="n">
        <x:v>241</x:v>
      </x:c>
      <x:c r="E33" s="118" t="n">
        <x:v>100</x:v>
      </x:c>
      <x:c r="F33" s="118" t="n">
        <x:v>0</x:v>
      </x:c>
      <x:c r="G33" s="118" t="n">
        <x:v>0</x:v>
      </x:c>
      <x:c r="H33" s="118" t="n">
        <x:v>0</x:v>
      </x:c>
      <x:c r="I33" s="118" t="n">
        <x:v>0</x:v>
      </x:c>
      <x:c r="J33" s="118" t="n">
        <x:v>0</x:v>
      </x:c>
      <x:c r="K33" s="118" t="n">
        <x:v>0</x:v>
      </x:c>
      <x:c r="L33" s="118" t="n">
        <x:v>0</x:v>
      </x:c>
      <x:c r="M33" s="118" t="n">
        <x:v>0</x:v>
      </x:c>
      <x:c r="N33" s="118" t="n">
        <x:v>0</x:v>
      </x:c>
      <x:c r="O33" s="118"/>
      <x:c r="P33" s="118"/>
      <x:c r="Q33" s="118" t="n">
        <x:v>28.103780069773165</x:v>
      </x:c>
      <x:c r="R33" s="118" t="n">
        <x:v>27.778823708217402</x:v>
      </x:c>
      <x:c r="S33" s="118" t="n">
        <x:v>-1026.7788237082175</x:v>
      </x:c>
      <x:c r="T33" t="n">
        <x:v>0</x:v>
      </x:c>
      <x:c r="U33" t="n">
        <x:v>0</x:v>
      </x:c>
    </x:row>
    <x:row r="34">
      <x:c r="A34" t="str">
        <x:v>thin_3km_reason_mode</x:v>
      </x:c>
      <x:c r="B34" t="str">
        <x:v>clean_ice_control</x:v>
      </x:c>
      <x:c r="C34" t="str">
        <x:v>VHF_60MHz_shallow</x:v>
      </x:c>
      <x:c r="D34" t="n">
        <x:v>241</x:v>
      </x:c>
      <x:c r="E34" s="118" t="n">
        <x:v>100</x:v>
      </x:c>
      <x:c r="F34" s="118" t="n">
        <x:v>0</x:v>
      </x:c>
      <x:c r="G34" s="118" t="n">
        <x:v>0</x:v>
      </x:c>
      <x:c r="H34" s="118" t="n">
        <x:v>0</x:v>
      </x:c>
      <x:c r="I34" s="118" t="n">
        <x:v>0</x:v>
      </x:c>
      <x:c r="J34" s="118" t="n">
        <x:v>0</x:v>
      </x:c>
      <x:c r="K34" s="118" t="n">
        <x:v>0</x:v>
      </x:c>
      <x:c r="L34" s="118" t="n">
        <x:v>0</x:v>
      </x:c>
      <x:c r="M34" s="118" t="n">
        <x:v>0</x:v>
      </x:c>
      <x:c r="N34" s="118" t="n">
        <x:v>0</x:v>
      </x:c>
      <x:c r="O34" s="118"/>
      <x:c r="P34" s="118"/>
      <x:c r="Q34" s="118" t="n">
        <x:v>9.948696967321833</x:v>
      </x:c>
      <x:c r="R34" s="118" t="n">
        <x:v>9.623740605766068</x:v>
      </x:c>
      <x:c r="S34" s="118" t="n">
        <x:v>-1008.6237406057661</x:v>
      </x:c>
      <x:c r="T34" t="n">
        <x:v>0</x:v>
      </x:c>
      <x:c r="U34" t="n">
        <x:v>0</x:v>
      </x:c>
    </x:row>
    <x:row r="35">
      <x:c r="A35" t="str">
        <x:v>thin_3km_reason_mode</x:v>
      </x:c>
      <x:c r="B35" t="str">
        <x:v>complex_paper_calibrated</x:v>
      </x:c>
      <x:c r="C35" t="str">
        <x:v>HF_9MHz_full_depth</x:v>
      </x:c>
      <x:c r="D35" t="n">
        <x:v>241</x:v>
      </x:c>
      <x:c r="E35" s="118" t="n">
        <x:v>26.970954356846473</x:v>
      </x:c>
      <x:c r="F35" s="118" t="n">
        <x:v>0</x:v>
      </x:c>
      <x:c r="G35" s="118" t="n">
        <x:v>19.502074688796682</x:v>
      </x:c>
      <x:c r="H35" s="118" t="n">
        <x:v>0</x:v>
      </x:c>
      <x:c r="I35" s="118" t="n">
        <x:v>0</x:v>
      </x:c>
      <x:c r="J35" s="118" t="n">
        <x:v>0</x:v>
      </x:c>
      <x:c r="K35" s="118" t="n">
        <x:v>0</x:v>
      </x:c>
      <x:c r="L35" s="118" t="n">
        <x:v>53.52697095435685</x:v>
      </x:c>
      <x:c r="M35" s="118" t="n">
        <x:v>19.502074688796682</x:v>
      </x:c>
      <x:c r="N35" s="118" t="n">
        <x:v>0</x:v>
      </x:c>
      <x:c r="O35" s="118"/>
      <x:c r="P35" s="118"/>
      <x:c r="Q35" s="118" t="n">
        <x:v>-1.1309146946444895</x:v>
      </x:c>
      <x:c r="R35" s="118" t="n">
        <x:v>-27.046531329153627</x:v>
      </x:c>
      <x:c r="S35" s="118" t="n">
        <x:v>39.35094556858683</x:v>
      </x:c>
      <x:c r="T35" t="n">
        <x:v>776.454208319773</x:v>
      </x:c>
      <x:c r="U35" t="n">
        <x:v>10</x:v>
      </x:c>
    </x:row>
    <x:row r="36">
      <x:c r="A36" t="str">
        <x:v>thin_3km_reason_mode</x:v>
      </x:c>
      <x:c r="B36" t="str">
        <x:v>complex_paper_calibrated</x:v>
      </x:c>
      <x:c r="C36" t="str">
        <x:v>VHF_60MHz_full_depth_lowDR</x:v>
      </x:c>
      <x:c r="D36" t="n">
        <x:v>241</x:v>
      </x:c>
      <x:c r="E36" s="118" t="n">
        <x:v>17.012448132780083</x:v>
      </x:c>
      <x:c r="F36" s="118" t="n">
        <x:v>0</x:v>
      </x:c>
      <x:c r="G36" s="118" t="n">
        <x:v>1.2448132780082988</x:v>
      </x:c>
      <x:c r="H36" s="118" t="n">
        <x:v>0</x:v>
      </x:c>
      <x:c r="I36" s="118" t="n">
        <x:v>0</x:v>
      </x:c>
      <x:c r="J36" s="118" t="n">
        <x:v>0</x:v>
      </x:c>
      <x:c r="K36" s="118" t="n">
        <x:v>0</x:v>
      </x:c>
      <x:c r="L36" s="118" t="n">
        <x:v>81.74273858921161</x:v>
      </x:c>
      <x:c r="M36" s="118" t="n">
        <x:v>1.2448132780082988</x:v>
      </x:c>
      <x:c r="N36" s="118" t="n">
        <x:v>0</x:v>
      </x:c>
      <x:c r="O36" s="118"/>
      <x:c r="P36" s="118"/>
      <x:c r="Q36" s="118" t="n">
        <x:v>-24.420979116266892</x:v>
      </x:c>
      <x:c r="R36" s="118" t="n">
        <x:v>-91.33263228594853</x:v>
      </x:c>
      <x:c r="S36" s="118" t="n">
        <x:v>114.76858655603716</x:v>
      </x:c>
      <x:c r="T36" t="n">
        <x:v>739.9139976471911</x:v>
      </x:c>
      <x:c r="U36" t="n">
        <x:v>10</x:v>
      </x:c>
    </x:row>
    <x:row r="37">
      <x:c r="A37" t="str">
        <x:v>thin_3km_reason_mode</x:v>
      </x:c>
      <x:c r="B37" t="str">
        <x:v>complex_paper_calibrated</x:v>
      </x:c>
      <x:c r="C37" t="str">
        <x:v>VHF_60MHz_shallow</x:v>
      </x:c>
      <x:c r="D37" t="n">
        <x:v>241</x:v>
      </x:c>
      <x:c r="E37" s="118" t="n">
        <x:v>0</x:v>
      </x:c>
      <x:c r="F37" s="118" t="n">
        <x:v>0</x:v>
      </x:c>
      <x:c r="G37" s="118" t="n">
        <x:v>0</x:v>
      </x:c>
      <x:c r="H37" s="118" t="n">
        <x:v>0</x:v>
      </x:c>
      <x:c r="I37" s="118" t="n">
        <x:v>0</x:v>
      </x:c>
      <x:c r="J37" s="118" t="n">
        <x:v>0</x:v>
      </x:c>
      <x:c r="K37" s="118" t="n">
        <x:v>0</x:v>
      </x:c>
      <x:c r="L37" s="118" t="n">
        <x:v>100</x:v>
      </x:c>
      <x:c r="M37" s="118" t="n">
        <x:v>0</x:v>
      </x:c>
      <x:c r="N37" s="118" t="n">
        <x:v>0</x:v>
      </x:c>
      <x:c r="O37" s="118"/>
      <x:c r="P37" s="118"/>
      <x:c r="Q37" s="118" t="n">
        <x:v>-42.57606221871823</x:v>
      </x:c>
      <x:c r="R37" s="118" t="n">
        <x:v>-109.48771538839986</x:v>
      </x:c>
      <x:c r="S37" s="118" t="n">
        <x:v>114.76858655603716</x:v>
      </x:c>
      <x:c r="T37"/>
      <x:c r="U37" t="n">
        <x:v>10</x:v>
      </x:c>
    </x:row>
    <x:row r="38">
      <x:c r="A38" t="str">
        <x:v>thin_3km_reason_mode</x:v>
      </x:c>
      <x:c r="B38" t="str">
        <x:v>complex_with_clutter</x:v>
      </x:c>
      <x:c r="C38" t="str">
        <x:v>HF_9MHz_full_depth</x:v>
      </x:c>
      <x:c r="D38" t="n">
        <x:v>241</x:v>
      </x:c>
      <x:c r="E38" s="118" t="n">
        <x:v>26.970954356846473</x:v>
      </x:c>
      <x:c r="F38" s="118" t="n">
        <x:v>0</x:v>
      </x:c>
      <x:c r="G38" s="118" t="n">
        <x:v>19.502074688796682</x:v>
      </x:c>
      <x:c r="H38" s="118" t="n">
        <x:v>0</x:v>
      </x:c>
      <x:c r="I38" s="118" t="n">
        <x:v>0</x:v>
      </x:c>
      <x:c r="J38" s="118" t="n">
        <x:v>0</x:v>
      </x:c>
      <x:c r="K38" s="118" t="n">
        <x:v>0</x:v>
      </x:c>
      <x:c r="L38" s="118" t="n">
        <x:v>53.52697095435685</x:v>
      </x:c>
      <x:c r="M38" s="118" t="n">
        <x:v>19.502074688796682</x:v>
      </x:c>
      <x:c r="N38" s="118" t="n">
        <x:v>0</x:v>
      </x:c>
      <x:c r="O38" s="118"/>
      <x:c r="P38" s="118"/>
      <x:c r="Q38" s="118" t="n">
        <x:v>-1.1309146946444895</x:v>
      </x:c>
      <x:c r="R38" s="118" t="n">
        <x:v>-27.046531329153627</x:v>
      </x:c>
      <x:c r="S38" s="118" t="n">
        <x:v>39.35094556858683</x:v>
      </x:c>
      <x:c r="T38" t="n">
        <x:v>776.454208319773</x:v>
      </x:c>
      <x:c r="U38" t="n">
        <x:v>10</x:v>
      </x:c>
    </x:row>
    <x:row r="39">
      <x:c r="A39" t="str">
        <x:v>thin_3km_reason_mode</x:v>
      </x:c>
      <x:c r="B39" t="str">
        <x:v>complex_with_clutter</x:v>
      </x:c>
      <x:c r="C39" t="str">
        <x:v>VHF_60MHz_full_depth_lowDR</x:v>
      </x:c>
      <x:c r="D39" t="n">
        <x:v>241</x:v>
      </x:c>
      <x:c r="E39" s="118" t="n">
        <x:v>17.012448132780083</x:v>
      </x:c>
      <x:c r="F39" s="118" t="n">
        <x:v>0</x:v>
      </x:c>
      <x:c r="G39" s="118" t="n">
        <x:v>1.2448132780082988</x:v>
      </x:c>
      <x:c r="H39" s="118" t="n">
        <x:v>0</x:v>
      </x:c>
      <x:c r="I39" s="118" t="n">
        <x:v>0</x:v>
      </x:c>
      <x:c r="J39" s="118" t="n">
        <x:v>0</x:v>
      </x:c>
      <x:c r="K39" s="118" t="n">
        <x:v>0</x:v>
      </x:c>
      <x:c r="L39" s="118" t="n">
        <x:v>81.74273858921161</x:v>
      </x:c>
      <x:c r="M39" s="118" t="n">
        <x:v>1.2448132780082988</x:v>
      </x:c>
      <x:c r="N39" s="118" t="n">
        <x:v>71.36929460580913</x:v>
      </x:c>
      <x:c r="O39" s="118" t="n">
        <x:v>1.8423406259815636</x:v>
      </x:c>
      <x:c r="P39" s="118" t="n">
        <x:v>93.82804238377857</x:v>
      </x:c>
      <x:c r="Q39" s="118" t="n">
        <x:v>-24.420979116266892</x:v>
      </x:c>
      <x:c r="R39" s="118" t="n">
        <x:v>-91.33263228594853</x:v>
      </x:c>
      <x:c r="S39" s="118" t="n">
        <x:v>114.76858655603716</x:v>
      </x:c>
      <x:c r="T39" t="n">
        <x:v>739.9139976471911</x:v>
      </x:c>
      <x:c r="U39" t="n">
        <x:v>10</x:v>
      </x:c>
    </x:row>
    <x:row r="40">
      <x:c r="A40" t="str">
        <x:v>thin_3km_reason_mode</x:v>
      </x:c>
      <x:c r="B40" t="str">
        <x:v>complex_with_clutter</x:v>
      </x:c>
      <x:c r="C40" t="str">
        <x:v>VHF_60MHz_shallow</x:v>
      </x:c>
      <x:c r="D40" t="n">
        <x:v>241</x:v>
      </x:c>
      <x:c r="E40" s="118" t="n">
        <x:v>0</x:v>
      </x:c>
      <x:c r="F40" s="118" t="n">
        <x:v>0</x:v>
      </x:c>
      <x:c r="G40" s="118" t="n">
        <x:v>0</x:v>
      </x:c>
      <x:c r="H40" s="118" t="n">
        <x:v>0</x:v>
      </x:c>
      <x:c r="I40" s="118" t="n">
        <x:v>0</x:v>
      </x:c>
      <x:c r="J40" s="118" t="n">
        <x:v>100</x:v>
      </x:c>
      <x:c r="K40" s="118" t="n">
        <x:v>0</x:v>
      </x:c>
      <x:c r="L40" s="118" t="n">
        <x:v>0</x:v>
      </x:c>
      <x:c r="M40" s="118" t="n">
        <x:v>0</x:v>
      </x:c>
      <x:c r="N40" s="118" t="n">
        <x:v>100</x:v>
      </x:c>
      <x:c r="O40" s="118" t="n">
        <x:v>6.842340625981564</x:v>
      </x:c>
      <x:c r="P40" s="118" t="n">
        <x:v>116.9831254862299</x:v>
      </x:c>
      <x:c r="Q40" s="118" t="n">
        <x:v>-42.57606221871823</x:v>
      </x:c>
      <x:c r="R40" s="118" t="n">
        <x:v>-109.48771538839986</x:v>
      </x:c>
      <x:c r="S40" s="118" t="n">
        <x:v>114.76858655603716</x:v>
      </x:c>
      <x:c r="T40" t="n">
        <x:v>2077.91619340209</x:v>
      </x:c>
      <x:c r="U40" t="n">
        <x:v>10</x:v>
      </x:c>
    </x:row>
    <x:row r="41">
      <x:c r="A41" t="str">
        <x:v>thin_3km_reason_mode</x:v>
      </x:c>
      <x:c r="B41" t="str">
        <x:v>near_surface_brine</x:v>
      </x:c>
      <x:c r="C41" t="str">
        <x:v>HF_9MHz_full_depth</x:v>
      </x:c>
      <x:c r="D41" t="n">
        <x:v>241</x:v>
      </x:c>
      <x:c r="E41" s="118" t="n">
        <x:v>100</x:v>
      </x:c>
      <x:c r="F41" s="118" t="n">
        <x:v>0</x:v>
      </x:c>
      <x:c r="G41" s="118" t="n">
        <x:v>0</x:v>
      </x:c>
      <x:c r="H41" s="118" t="n">
        <x:v>0</x:v>
      </x:c>
      <x:c r="I41" s="118" t="n">
        <x:v>0</x:v>
      </x:c>
      <x:c r="J41" s="118" t="n">
        <x:v>0</x:v>
      </x:c>
      <x:c r="K41" s="118" t="n">
        <x:v>0</x:v>
      </x:c>
      <x:c r="L41" s="118" t="n">
        <x:v>0</x:v>
      </x:c>
      <x:c r="M41" s="118" t="n">
        <x:v>0</x:v>
      </x:c>
      <x:c r="N41" s="118" t="n">
        <x:v>0</x:v>
      </x:c>
      <x:c r="O41" s="118"/>
      <x:c r="P41" s="118"/>
      <x:c r="Q41" s="118" t="n">
        <x:v>13.749810510431352</x:v>
      </x:c>
      <x:c r="R41" s="118" t="n">
        <x:v>12.028109000648513</x:v>
      </x:c>
      <x:c r="S41" s="118" t="n">
        <x:v>0.24728456993938686</x:v>
      </x:c>
      <x:c r="T41" t="n">
        <x:v>0</x:v>
      </x:c>
      <x:c r="U41" t="n">
        <x:v>1</x:v>
      </x:c>
    </x:row>
    <x:row r="42">
      <x:c r="A42" t="str">
        <x:v>thin_3km_reason_mode</x:v>
      </x:c>
      <x:c r="B42" t="str">
        <x:v>near_surface_brine</x:v>
      </x:c>
      <x:c r="C42" t="str">
        <x:v>VHF_60MHz_full_depth_lowDR</x:v>
      </x:c>
      <x:c r="D42" t="n">
        <x:v>241</x:v>
      </x:c>
      <x:c r="E42" s="118" t="n">
        <x:v>100</x:v>
      </x:c>
      <x:c r="F42" s="118" t="n">
        <x:v>0</x:v>
      </x:c>
      <x:c r="G42" s="118" t="n">
        <x:v>0</x:v>
      </x:c>
      <x:c r="H42" s="118" t="n">
        <x:v>0</x:v>
      </x:c>
      <x:c r="I42" s="118" t="n">
        <x:v>0</x:v>
      </x:c>
      <x:c r="J42" s="118" t="n">
        <x:v>0</x:v>
      </x:c>
      <x:c r="K42" s="118" t="n">
        <x:v>0</x:v>
      </x:c>
      <x:c r="L42" s="118" t="n">
        <x:v>0</x:v>
      </x:c>
      <x:c r="M42" s="118" t="n">
        <x:v>0</x:v>
      </x:c>
      <x:c r="N42" s="118" t="n">
        <x:v>0</x:v>
      </x:c>
      <x:c r="O42" s="118"/>
      <x:c r="P42" s="118"/>
      <x:c r="Q42" s="118" t="n">
        <x:v>13.989164527595527</x:v>
      </x:c>
      <x:c r="R42" s="118" t="n">
        <x:v>9.54491679953442</x:v>
      </x:c>
      <x:c r="S42" s="118" t="n">
        <x:v>13.803368007035822</x:v>
      </x:c>
      <x:c r="T42" t="n">
        <x:v>0</x:v>
      </x:c>
      <x:c r="U42" t="n">
        <x:v>1</x:v>
      </x:c>
    </x:row>
    <x:row r="43">
      <x:c r="A43" t="str">
        <x:v>thin_3km_reason_mode</x:v>
      </x:c>
      <x:c r="B43" t="str">
        <x:v>near_surface_brine</x:v>
      </x:c>
      <x:c r="C43" t="str">
        <x:v>VHF_60MHz_shallow</x:v>
      </x:c>
      <x:c r="D43" t="n">
        <x:v>241</x:v>
      </x:c>
      <x:c r="E43" s="118" t="n">
        <x:v>21.991701244813278</x:v>
      </x:c>
      <x:c r="F43" s="118" t="n">
        <x:v>0</x:v>
      </x:c>
      <x:c r="G43" s="118" t="n">
        <x:v>0</x:v>
      </x:c>
      <x:c r="H43" s="118" t="n">
        <x:v>0</x:v>
      </x:c>
      <x:c r="I43" s="118" t="n">
        <x:v>0</x:v>
      </x:c>
      <x:c r="J43" s="118" t="n">
        <x:v>0</x:v>
      </x:c>
      <x:c r="K43" s="118" t="n">
        <x:v>0</x:v>
      </x:c>
      <x:c r="L43" s="118" t="n">
        <x:v>78.00829875518673</x:v>
      </x:c>
      <x:c r="M43" s="118" t="n">
        <x:v>0</x:v>
      </x:c>
      <x:c r="N43" s="118" t="n">
        <x:v>0</x:v>
      </x:c>
      <x:c r="O43" s="118"/>
      <x:c r="P43" s="118"/>
      <x:c r="Q43" s="118" t="n">
        <x:v>-4.165918574855804</x:v>
      </x:c>
      <x:c r="R43" s="118" t="n">
        <x:v>-8.61016630291691</x:v>
      </x:c>
      <x:c r="S43" s="118" t="n">
        <x:v>13.803368007035822</x:v>
      </x:c>
      <x:c r="T43" t="n">
        <x:v>0</x:v>
      </x:c>
      <x:c r="U43" t="n">
        <x:v>1</x:v>
      </x:c>
    </x:row>
    <x:row r="44">
      <x:c r="A44" t="str">
        <x:v>thin_3km_reason_mode</x:v>
      </x:c>
      <x:c r="B44" t="str">
        <x:v>rough_surface_clutter</x:v>
      </x:c>
      <x:c r="C44" t="str">
        <x:v>HF_9MHz_full_depth</x:v>
      </x:c>
      <x:c r="D44" t="n">
        <x:v>241</x:v>
      </x:c>
      <x:c r="E44" s="118" t="n">
        <x:v>100</x:v>
      </x:c>
      <x:c r="F44" s="118" t="n">
        <x:v>0</x:v>
      </x:c>
      <x:c r="G44" s="118" t="n">
        <x:v>0</x:v>
      </x:c>
      <x:c r="H44" s="118" t="n">
        <x:v>0</x:v>
      </x:c>
      <x:c r="I44" s="118" t="n">
        <x:v>0</x:v>
      </x:c>
      <x:c r="J44" s="118" t="n">
        <x:v>0</x:v>
      </x:c>
      <x:c r="K44" s="118" t="n">
        <x:v>0</x:v>
      </x:c>
      <x:c r="L44" s="118" t="n">
        <x:v>0</x:v>
      </x:c>
      <x:c r="M44" s="118" t="n">
        <x:v>0</x:v>
      </x:c>
      <x:c r="N44" s="118" t="n">
        <x:v>0</x:v>
      </x:c>
      <x:c r="O44" s="118"/>
      <x:c r="P44" s="118"/>
      <x:c r="Q44" s="118" t="n">
        <x:v>19.211941552283804</x:v>
      </x:c>
      <x:c r="R44" s="118" t="n">
        <x:v>19.09382844932889</x:v>
      </x:c>
      <x:c r="S44" s="118" t="n">
        <x:v>-1018.0938284493288</x:v>
      </x:c>
      <x:c r="T44" t="n">
        <x:v>0</x:v>
      </x:c>
      <x:c r="U44" t="n">
        <x:v>0</x:v>
      </x:c>
    </x:row>
    <x:row r="45">
      <x:c r="A45" t="str">
        <x:v>thin_3km_reason_mode</x:v>
      </x:c>
      <x:c r="B45" t="str">
        <x:v>rough_surface_clutter</x:v>
      </x:c>
      <x:c r="C45" t="str">
        <x:v>VHF_60MHz_full_depth_lowDR</x:v>
      </x:c>
      <x:c r="D45" t="n">
        <x:v>241</x:v>
      </x:c>
      <x:c r="E45" s="118" t="n">
        <x:v>100</x:v>
      </x:c>
      <x:c r="F45" s="118" t="n">
        <x:v>0</x:v>
      </x:c>
      <x:c r="G45" s="118" t="n">
        <x:v>0</x:v>
      </x:c>
      <x:c r="H45" s="118" t="n">
        <x:v>0</x:v>
      </x:c>
      <x:c r="I45" s="118" t="n">
        <x:v>0</x:v>
      </x:c>
      <x:c r="J45" s="118" t="n">
        <x:v>0</x:v>
      </x:c>
      <x:c r="K45" s="118" t="n">
        <x:v>0</x:v>
      </x:c>
      <x:c r="L45" s="118" t="n">
        <x:v>0</x:v>
      </x:c>
      <x:c r="M45" s="118" t="n">
        <x:v>0</x:v>
      </x:c>
      <x:c r="N45" s="118" t="n">
        <x:v>48.96265560165975</x:v>
      </x:c>
      <x:c r="O45" s="118" t="n">
        <x:v>-0.08401046791567168</x:v>
      </x:c>
      <x:c r="P45" s="118" t="n">
        <x:v>-22.659358187572046</x:v>
      </x:c>
      <x:c r="Q45" s="118" t="n">
        <x:v>28.103780069773165</x:v>
      </x:c>
      <x:c r="R45" s="118" t="n">
        <x:v>27.778823708217402</x:v>
      </x:c>
      <x:c r="S45" s="118" t="n">
        <x:v>-1026.7788237082175</x:v>
      </x:c>
      <x:c r="T45" t="n">
        <x:v>0</x:v>
      </x:c>
      <x:c r="U45" t="n">
        <x:v>0</x:v>
      </x:c>
    </x:row>
    <x:row r="46">
      <x:c r="A46" t="str">
        <x:v>thin_3km_reason_mode</x:v>
      </x:c>
      <x:c r="B46" t="str">
        <x:v>rough_surface_clutter</x:v>
      </x:c>
      <x:c r="C46" t="str">
        <x:v>VHF_60MHz_shallow</x:v>
      </x:c>
      <x:c r="D46" t="n">
        <x:v>241</x:v>
      </x:c>
      <x:c r="E46" s="118" t="n">
        <x:v>78.42323651452283</x:v>
      </x:c>
      <x:c r="F46" s="118" t="n">
        <x:v>0</x:v>
      </x:c>
      <x:c r="G46" s="118" t="n">
        <x:v>0</x:v>
      </x:c>
      <x:c r="H46" s="118" t="n">
        <x:v>0</x:v>
      </x:c>
      <x:c r="I46" s="118" t="n">
        <x:v>0</x:v>
      </x:c>
      <x:c r="J46" s="118" t="n">
        <x:v>21.57676348547718</x:v>
      </x:c>
      <x:c r="K46" s="118" t="n">
        <x:v>0</x:v>
      </x:c>
      <x:c r="L46" s="118" t="n">
        <x:v>0</x:v>
      </x:c>
      <x:c r="M46" s="118" t="n">
        <x:v>0</x:v>
      </x:c>
      <x:c r="N46" s="118" t="n">
        <x:v>98.7551867219917</x:v>
      </x:c>
      <x:c r="O46" s="118" t="n">
        <x:v>4.915989532084328</x:v>
      </x:c>
      <x:c r="P46" s="118" t="n">
        <x:v>0.49572491487928616</x:v>
      </x:c>
      <x:c r="Q46" s="118" t="n">
        <x:v>9.948696967321833</x:v>
      </x:c>
      <x:c r="R46" s="118" t="n">
        <x:v>9.623740605766068</x:v>
      </x:c>
      <x:c r="S46" s="118" t="n">
        <x:v>-1008.6237406057661</x:v>
      </x:c>
      <x:c r="T46" t="n">
        <x:v>1903.8866413882947</x:v>
      </x:c>
      <x:c r="U46" t="n">
        <x:v>0</x:v>
      </x:c>
    </x:row>
    <x:row r="47">
      <x:c r="A47" t="str">
        <x:v>thin_3km_reason_mode</x:v>
      </x:c>
      <x:c r="B47" t="str">
        <x:v>salt_layers_reason</x:v>
      </x:c>
      <x:c r="C47" t="str">
        <x:v>HF_9MHz_full_depth</x:v>
      </x:c>
      <x:c r="D47" t="n">
        <x:v>241</x:v>
      </x:c>
      <x:c r="E47" s="118" t="n">
        <x:v>100</x:v>
      </x:c>
      <x:c r="F47" s="118" t="n">
        <x:v>0</x:v>
      </x:c>
      <x:c r="G47" s="118" t="n">
        <x:v>0</x:v>
      </x:c>
      <x:c r="H47" s="118" t="n">
        <x:v>0</x:v>
      </x:c>
      <x:c r="I47" s="118" t="n">
        <x:v>0</x:v>
      </x:c>
      <x:c r="J47" s="118" t="n">
        <x:v>0</x:v>
      </x:c>
      <x:c r="K47" s="118" t="n">
        <x:v>0</x:v>
      </x:c>
      <x:c r="L47" s="118" t="n">
        <x:v>0</x:v>
      </x:c>
      <x:c r="M47" s="118" t="n">
        <x:v>0</x:v>
      </x:c>
      <x:c r="N47" s="118" t="n">
        <x:v>0</x:v>
      </x:c>
      <x:c r="O47" s="118"/>
      <x:c r="P47" s="118"/>
      <x:c r="Q47" s="118" t="n">
        <x:v>19.210941552283806</x:v>
      </x:c>
      <x:c r="R47" s="118" t="n">
        <x:v>19.09282844932889</x:v>
      </x:c>
      <x:c r="S47" s="118" t="n">
        <x:v>-16.080457699093177</x:v>
      </x:c>
      <x:c r="T47" t="n">
        <x:v>0</x:v>
      </x:c>
      <x:c r="U47" t="n">
        <x:v>1</x:v>
      </x:c>
    </x:row>
    <x:row r="48">
      <x:c r="A48" t="str">
        <x:v>thin_3km_reason_mode</x:v>
      </x:c>
      <x:c r="B48" t="str">
        <x:v>salt_layers_reason</x:v>
      </x:c>
      <x:c r="C48" t="str">
        <x:v>VHF_60MHz_full_depth_lowDR</x:v>
      </x:c>
      <x:c r="D48" t="n">
        <x:v>241</x:v>
      </x:c>
      <x:c r="E48" s="118" t="n">
        <x:v>100</x:v>
      </x:c>
      <x:c r="F48" s="118" t="n">
        <x:v>0</x:v>
      </x:c>
      <x:c r="G48" s="118" t="n">
        <x:v>0</x:v>
      </x:c>
      <x:c r="H48" s="118" t="n">
        <x:v>0</x:v>
      </x:c>
      <x:c r="I48" s="118" t="n">
        <x:v>0</x:v>
      </x:c>
      <x:c r="J48" s="118" t="n">
        <x:v>0</x:v>
      </x:c>
      <x:c r="K48" s="118" t="n">
        <x:v>0</x:v>
      </x:c>
      <x:c r="L48" s="118" t="n">
        <x:v>0</x:v>
      </x:c>
      <x:c r="M48" s="118" t="n">
        <x:v>0</x:v>
      </x:c>
      <x:c r="N48" s="118" t="n">
        <x:v>0</x:v>
      </x:c>
      <x:c r="O48" s="118"/>
      <x:c r="P48" s="118"/>
      <x:c r="Q48" s="118" t="n">
        <x:v>28.101198080875697</x:v>
      </x:c>
      <x:c r="R48" s="118" t="n">
        <x:v>27.776241719319927</x:v>
      </x:c>
      <x:c r="S48" s="118" t="n">
        <x:v>-16.722706903577667</x:v>
      </x:c>
      <x:c r="T48" t="n">
        <x:v>0</x:v>
      </x:c>
      <x:c r="U48" t="n">
        <x:v>1</x:v>
      </x:c>
    </x:row>
    <x:row r="49">
      <x:c r="A49" t="str">
        <x:v>thin_3km_reason_mode</x:v>
      </x:c>
      <x:c r="B49" t="str">
        <x:v>salt_layers_reason</x:v>
      </x:c>
      <x:c r="C49" t="str">
        <x:v>VHF_60MHz_shallow</x:v>
      </x:c>
      <x:c r="D49" t="n">
        <x:v>241</x:v>
      </x:c>
      <x:c r="E49" s="118" t="n">
        <x:v>100</x:v>
      </x:c>
      <x:c r="F49" s="118" t="n">
        <x:v>0</x:v>
      </x:c>
      <x:c r="G49" s="118" t="n">
        <x:v>0</x:v>
      </x:c>
      <x:c r="H49" s="118" t="n">
        <x:v>0</x:v>
      </x:c>
      <x:c r="I49" s="118" t="n">
        <x:v>0</x:v>
      </x:c>
      <x:c r="J49" s="118" t="n">
        <x:v>0</x:v>
      </x:c>
      <x:c r="K49" s="118" t="n">
        <x:v>0</x:v>
      </x:c>
      <x:c r="L49" s="118" t="n">
        <x:v>0</x:v>
      </x:c>
      <x:c r="M49" s="118" t="n">
        <x:v>0</x:v>
      </x:c>
      <x:c r="N49" s="118" t="n">
        <x:v>0</x:v>
      </x:c>
      <x:c r="O49" s="118"/>
      <x:c r="P49" s="118"/>
      <x:c r="Q49" s="118" t="n">
        <x:v>9.946114978424362</x:v>
      </x:c>
      <x:c r="R49" s="118" t="n">
        <x:v>9.621158616868597</x:v>
      </x:c>
      <x:c r="S49" s="118" t="n">
        <x:v>-16.722706903577674</x:v>
      </x:c>
      <x:c r="T49" t="n">
        <x:v>0</x:v>
      </x:c>
      <x:c r="U49" t="n">
        <x:v>1</x:v>
      </x:c>
    </x:row>
    <x:row r="50">
      <x:c r="A50" t="str">
        <x:v>thin_3km_reason_mode</x:v>
      </x:c>
      <x:c r="B50" t="str">
        <x:v>stacked_dirty_layers</x:v>
      </x:c>
      <x:c r="C50" t="str">
        <x:v>HF_9MHz_full_depth</x:v>
      </x:c>
      <x:c r="D50" t="n">
        <x:v>241</x:v>
      </x:c>
      <x:c r="E50" s="118" t="n">
        <x:v>0</x:v>
      </x:c>
      <x:c r="F50" s="118" t="n">
        <x:v>0</x:v>
      </x:c>
      <x:c r="G50" s="118" t="n">
        <x:v>100</x:v>
      </x:c>
      <x:c r="H50" s="118" t="n">
        <x:v>0</x:v>
      </x:c>
      <x:c r="I50" s="118" t="n">
        <x:v>0</x:v>
      </x:c>
      <x:c r="J50" s="118" t="n">
        <x:v>0</x:v>
      </x:c>
      <x:c r="K50" s="118" t="n">
        <x:v>0</x:v>
      </x:c>
      <x:c r="L50" s="118" t="n">
        <x:v>0</x:v>
      </x:c>
      <x:c r="M50" s="118" t="n">
        <x:v>100</x:v>
      </x:c>
      <x:c r="N50" s="118" t="n">
        <x:v>0</x:v>
      </x:c>
      <x:c r="O50" s="118"/>
      <x:c r="P50" s="118"/>
      <x:c r="Q50" s="118" t="n">
        <x:v>12.988476710860773</x:v>
      </x:c>
      <x:c r="R50" s="118" t="n">
        <x:v>12.225034301439571</x:v>
      </x:c>
      <x:c r="S50" s="118" t="n">
        <x:v>5.046567336162367</x:v>
      </x:c>
      <x:c r="T50" t="n">
        <x:v>805.7037494768315</x:v>
      </x:c>
      <x:c r="U50" t="n">
        <x:v>6</x:v>
      </x:c>
    </x:row>
    <x:row r="51">
      <x:c r="A51" t="str">
        <x:v>thin_3km_reason_mode</x:v>
      </x:c>
      <x:c r="B51" t="str">
        <x:v>stacked_dirty_layers</x:v>
      </x:c>
      <x:c r="C51" t="str">
        <x:v>VHF_60MHz_full_depth_lowDR</x:v>
      </x:c>
      <x:c r="D51" t="n">
        <x:v>241</x:v>
      </x:c>
      <x:c r="E51" s="118" t="n">
        <x:v>0</x:v>
      </x:c>
      <x:c r="F51" s="118" t="n">
        <x:v>0</x:v>
      </x:c>
      <x:c r="G51" s="118" t="n">
        <x:v>100</x:v>
      </x:c>
      <x:c r="H51" s="118" t="n">
        <x:v>0</x:v>
      </x:c>
      <x:c r="I51" s="118" t="n">
        <x:v>0</x:v>
      </x:c>
      <x:c r="J51" s="118" t="n">
        <x:v>0</x:v>
      </x:c>
      <x:c r="K51" s="118" t="n">
        <x:v>0</x:v>
      </x:c>
      <x:c r="L51" s="118" t="n">
        <x:v>0</x:v>
      </x:c>
      <x:c r="M51" s="118" t="n">
        <x:v>100</x:v>
      </x:c>
      <x:c r="N51" s="118" t="n">
        <x:v>0</x:v>
      </x:c>
      <x:c r="O51" s="118"/>
      <x:c r="P51" s="118"/>
      <x:c r="Q51" s="118" t="n">
        <x:v>12.024575564792706</x:v>
      </x:c>
      <x:c r="R51" s="118" t="n">
        <x:v>10.043978427308101</x:v>
      </x:c>
      <x:c r="S51" s="118" t="n">
        <x:v>8.0409993414054</x:v>
      </x:c>
      <x:c r="T51" t="n">
        <x:v>893.7037494768313</x:v>
      </x:c>
      <x:c r="U51" t="n">
        <x:v>6</x:v>
      </x:c>
    </x:row>
    <x:row r="52">
      <x:c r="A52" t="str">
        <x:v>thin_3km_reason_mode</x:v>
      </x:c>
      <x:c r="B52" t="str">
        <x:v>stacked_dirty_layers</x:v>
      </x:c>
      <x:c r="C52" t="str">
        <x:v>VHF_60MHz_shallow</x:v>
      </x:c>
      <x:c r="D52" t="n">
        <x:v>241</x:v>
      </x:c>
      <x:c r="E52" s="118" t="n">
        <x:v>0</x:v>
      </x:c>
      <x:c r="F52" s="118" t="n">
        <x:v>0</x:v>
      </x:c>
      <x:c r="G52" s="118" t="n">
        <x:v>44.81327800829876</x:v>
      </x:c>
      <x:c r="H52" s="118" t="n">
        <x:v>0</x:v>
      </x:c>
      <x:c r="I52" s="118" t="n">
        <x:v>0</x:v>
      </x:c>
      <x:c r="J52" s="118" t="n">
        <x:v>0</x:v>
      </x:c>
      <x:c r="K52" s="118" t="n">
        <x:v>0</x:v>
      </x:c>
      <x:c r="L52" s="118" t="n">
        <x:v>55.18672199170125</x:v>
      </x:c>
      <x:c r="M52" s="118" t="n">
        <x:v>44.81327800829876</x:v>
      </x:c>
      <x:c r="N52" s="118" t="n">
        <x:v>0</x:v>
      </x:c>
      <x:c r="O52" s="118"/>
      <x:c r="P52" s="118"/>
      <x:c r="Q52" s="118" t="n">
        <x:v>-6.130507537658625</x:v>
      </x:c>
      <x:c r="R52" s="118" t="n">
        <x:v>-8.111104675143233</x:v>
      </x:c>
      <x:c r="S52" s="118" t="n">
        <x:v>8.040999341405396</x:v>
      </x:c>
      <x:c r="T52" t="n">
        <x:v>893.7037494768313</x:v>
      </x:c>
      <x:c r="U52" t="n">
        <x:v>6</x:v>
      </x:c>
    </x:row>
    <x:row r="53">
      <x:c r="A53" t="str">
        <x:v>thin_3km_reason_mode</x:v>
      </x:c>
      <x:c r="B53" t="str">
        <x:v>warm_impure_ice</x:v>
      </x:c>
      <x:c r="C53" t="str">
        <x:v>HF_9MHz_full_depth</x:v>
      </x:c>
      <x:c r="D53" t="n">
        <x:v>241</x:v>
      </x:c>
      <x:c r="E53" s="118" t="n">
        <x:v>100</x:v>
      </x:c>
      <x:c r="F53" s="118" t="n">
        <x:v>0</x:v>
      </x:c>
      <x:c r="G53" s="118" t="n">
        <x:v>0</x:v>
      </x:c>
      <x:c r="H53" s="118" t="n">
        <x:v>0</x:v>
      </x:c>
      <x:c r="I53" s="118" t="n">
        <x:v>0</x:v>
      </x:c>
      <x:c r="J53" s="118" t="n">
        <x:v>0</x:v>
      </x:c>
      <x:c r="K53" s="118" t="n">
        <x:v>0</x:v>
      </x:c>
      <x:c r="L53" s="118" t="n">
        <x:v>0</x:v>
      </x:c>
      <x:c r="M53" s="118" t="n">
        <x:v>0</x:v>
      </x:c>
      <x:c r="N53" s="118" t="n">
        <x:v>0</x:v>
      </x:c>
      <x:c r="O53" s="118"/>
      <x:c r="P53" s="118"/>
      <x:c r="Q53" s="118" t="n">
        <x:v>17.06939700797484</x:v>
      </x:c>
      <x:c r="R53" s="118" t="n">
        <x:v>16.927618396211418</x:v>
      </x:c>
      <x:c r="S53" s="118" t="n">
        <x:v>-1015.9276183962114</x:v>
      </x:c>
      <x:c r="T53" t="n">
        <x:v>0</x:v>
      </x:c>
      <x:c r="U53" t="n">
        <x:v>0</x:v>
      </x:c>
    </x:row>
    <x:row r="54">
      <x:c r="A54" t="str">
        <x:v>thin_3km_reason_mode</x:v>
      </x:c>
      <x:c r="B54" t="str">
        <x:v>warm_impure_ice</x:v>
      </x:c>
      <x:c r="C54" t="str">
        <x:v>VHF_60MHz_full_depth_lowDR</x:v>
      </x:c>
      <x:c r="D54" t="n">
        <x:v>241</x:v>
      </x:c>
      <x:c r="E54" s="118" t="n">
        <x:v>100</x:v>
      </x:c>
      <x:c r="F54" s="118" t="n">
        <x:v>0</x:v>
      </x:c>
      <x:c r="G54" s="118" t="n">
        <x:v>0</x:v>
      </x:c>
      <x:c r="H54" s="118" t="n">
        <x:v>0</x:v>
      </x:c>
      <x:c r="I54" s="118" t="n">
        <x:v>0</x:v>
      </x:c>
      <x:c r="J54" s="118" t="n">
        <x:v>0</x:v>
      </x:c>
      <x:c r="K54" s="118" t="n">
        <x:v>0</x:v>
      </x:c>
      <x:c r="L54" s="118" t="n">
        <x:v>0</x:v>
      </x:c>
      <x:c r="M54" s="118" t="n">
        <x:v>0</x:v>
      </x:c>
      <x:c r="N54" s="118" t="n">
        <x:v>0</x:v>
      </x:c>
      <x:c r="O54" s="118"/>
      <x:c r="P54" s="118"/>
      <x:c r="Q54" s="118" t="n">
        <x:v>22.563493645975502</x:v>
      </x:c>
      <x:c r="R54" s="118" t="n">
        <x:v>22.1856934014767</x:v>
      </x:c>
      <x:c r="S54" s="118" t="n">
        <x:v>-1021.1856934014767</x:v>
      </x:c>
      <x:c r="T54" t="n">
        <x:v>0</x:v>
      </x:c>
      <x:c r="U54" t="n">
        <x:v>0</x:v>
      </x:c>
    </x:row>
    <x:row r="55">
      <x:c r="A55" t="str">
        <x:v>thin_3km_reason_mode</x:v>
      </x:c>
      <x:c r="B55" t="str">
        <x:v>warm_impure_ice</x:v>
      </x:c>
      <x:c r="C55" t="str">
        <x:v>VHF_60MHz_shallow</x:v>
      </x:c>
      <x:c r="D55" t="n">
        <x:v>241</x:v>
      </x:c>
      <x:c r="E55" s="118" t="n">
        <x:v>100</x:v>
      </x:c>
      <x:c r="F55" s="118" t="n">
        <x:v>0</x:v>
      </x:c>
      <x:c r="G55" s="118" t="n">
        <x:v>0</x:v>
      </x:c>
      <x:c r="H55" s="118" t="n">
        <x:v>0</x:v>
      </x:c>
      <x:c r="I55" s="118" t="n">
        <x:v>0</x:v>
      </x:c>
      <x:c r="J55" s="118" t="n">
        <x:v>0</x:v>
      </x:c>
      <x:c r="K55" s="118" t="n">
        <x:v>0</x:v>
      </x:c>
      <x:c r="L55" s="118" t="n">
        <x:v>0</x:v>
      </x:c>
      <x:c r="M55" s="118" t="n">
        <x:v>0</x:v>
      </x:c>
      <x:c r="N55" s="118" t="n">
        <x:v>0</x:v>
      </x:c>
      <x:c r="O55" s="118"/>
      <x:c r="P55" s="118"/>
      <x:c r="Q55" s="118" t="n">
        <x:v>4.40841054352417</x:v>
      </x:c>
      <x:c r="R55" s="118" t="n">
        <x:v>4.030610299025368</x:v>
      </x:c>
      <x:c r="S55" s="118" t="n">
        <x:v>-1003.0306102990254</x:v>
      </x:c>
      <x:c r="T55" t="n">
        <x:v>0</x:v>
      </x:c>
      <x:c r="U55" t="n">
        <x:v>0</x:v>
      </x:c>
    </x:row>
    <x:row r="56">
      <x:c r="A56" t="str">
        <x:v>workbook_mid_shell</x:v>
      </x:c>
      <x:c r="B56" t="str">
        <x:v>briny_mushy_lens</x:v>
      </x:c>
      <x:c r="C56" t="str">
        <x:v>HF_9MHz_full_depth</x:v>
      </x:c>
      <x:c r="D56" t="n">
        <x:v>241</x:v>
      </x:c>
      <x:c r="E56" s="118" t="n">
        <x:v>32.365145228215766</x:v>
      </x:c>
      <x:c r="F56" s="118" t="n">
        <x:v>0</x:v>
      </x:c>
      <x:c r="G56" s="118" t="n">
        <x:v>0</x:v>
      </x:c>
      <x:c r="H56" s="118" t="n">
        <x:v>0</x:v>
      </x:c>
      <x:c r="I56" s="118" t="n">
        <x:v>0</x:v>
      </x:c>
      <x:c r="J56" s="118" t="n">
        <x:v>0</x:v>
      </x:c>
      <x:c r="K56" s="118" t="n">
        <x:v>0</x:v>
      </x:c>
      <x:c r="L56" s="118" t="n">
        <x:v>67.63485477178423</x:v>
      </x:c>
      <x:c r="M56" s="118" t="n">
        <x:v>0</x:v>
      </x:c>
      <x:c r="N56" s="118" t="n">
        <x:v>0</x:v>
      </x:c>
      <x:c r="O56" s="118"/>
      <x:c r="P56" s="118"/>
      <x:c r="Q56" s="118" t="n">
        <x:v>-4.042813059119362</x:v>
      </x:c>
      <x:c r="R56" s="118" t="n">
        <x:v>-40.97499893804375</x:v>
      </x:c>
      <x:c r="S56" s="118" t="n">
        <x:v>55.424404717894234</x:v>
      </x:c>
      <x:c r="T56" t="n">
        <x:v>0</x:v>
      </x:c>
      <x:c r="U56" t="n">
        <x:v>1</x:v>
      </x:c>
    </x:row>
    <x:row r="57">
      <x:c r="A57" t="str">
        <x:v>workbook_mid_shell</x:v>
      </x:c>
      <x:c r="B57" t="str">
        <x:v>briny_mushy_lens</x:v>
      </x:c>
      <x:c r="C57" t="str">
        <x:v>VHF_60MHz_full_depth_lowDR</x:v>
      </x:c>
      <x:c r="D57" t="n">
        <x:v>241</x:v>
      </x:c>
      <x:c r="E57" s="118" t="n">
        <x:v>0</x:v>
      </x:c>
      <x:c r="F57" s="118" t="n">
        <x:v>0</x:v>
      </x:c>
      <x:c r="G57" s="118" t="n">
        <x:v>0</x:v>
      </x:c>
      <x:c r="H57" s="118" t="n">
        <x:v>0</x:v>
      </x:c>
      <x:c r="I57" s="118" t="n">
        <x:v>0</x:v>
      </x:c>
      <x:c r="J57" s="118" t="n">
        <x:v>0</x:v>
      </x:c>
      <x:c r="K57" s="118" t="n">
        <x:v>0</x:v>
      </x:c>
      <x:c r="L57" s="118" t="n">
        <x:v>100</x:v>
      </x:c>
      <x:c r="M57" s="118" t="n">
        <x:v>0</x:v>
      </x:c>
      <x:c r="N57" s="118" t="n">
        <x:v>0</x:v>
      </x:c>
      <x:c r="O57" s="118"/>
      <x:c r="P57" s="118"/>
      <x:c r="Q57" s="118" t="n">
        <x:v>-31.936326629019376</x:v>
      </x:c>
      <x:c r="R57" s="118" t="n">
        <x:v>-127.2905239743413</x:v>
      </x:c>
      <x:c r="S57" s="118" t="n">
        <x:v>148.43964607051487</x:v>
      </x:c>
      <x:c r="T57"/>
      <x:c r="U57" t="n">
        <x:v>1</x:v>
      </x:c>
    </x:row>
    <x:row r="58">
      <x:c r="A58" t="str">
        <x:v>workbook_mid_shell</x:v>
      </x:c>
      <x:c r="B58" t="str">
        <x:v>briny_mushy_lens</x:v>
      </x:c>
      <x:c r="C58" t="str">
        <x:v>VHF_60MHz_shallow</x:v>
      </x:c>
      <x:c r="D58" t="n">
        <x:v>241</x:v>
      </x:c>
      <x:c r="E58" s="118" t="n">
        <x:v>0</x:v>
      </x:c>
      <x:c r="F58" s="118" t="n">
        <x:v>0</x:v>
      </x:c>
      <x:c r="G58" s="118" t="n">
        <x:v>0</x:v>
      </x:c>
      <x:c r="H58" s="118" t="n">
        <x:v>0</x:v>
      </x:c>
      <x:c r="I58" s="118" t="n">
        <x:v>0</x:v>
      </x:c>
      <x:c r="J58" s="118" t="n">
        <x:v>0</x:v>
      </x:c>
      <x:c r="K58" s="118" t="n">
        <x:v>100</x:v>
      </x:c>
      <x:c r="L58" s="118" t="n">
        <x:v>0</x:v>
      </x:c>
      <x:c r="M58" s="118" t="n">
        <x:v>0</x:v>
      </x:c>
      <x:c r="N58" s="118" t="n">
        <x:v>0</x:v>
      </x:c>
      <x:c r="O58" s="118"/>
      <x:c r="P58" s="118"/>
      <x:c r="Q58" s="118"/>
      <x:c r="R58" s="118"/>
      <x:c r="S58" s="118"/>
      <x:c r="T58"/>
      <x:c r="U58" t="n">
        <x:v>1</x:v>
      </x:c>
    </x:row>
    <x:row r="59">
      <x:c r="A59" t="str">
        <x:v>workbook_mid_shell</x:v>
      </x:c>
      <x:c r="B59" t="str">
        <x:v>clean_ice_control</x:v>
      </x:c>
      <x:c r="C59" t="str">
        <x:v>HF_9MHz_full_depth</x:v>
      </x:c>
      <x:c r="D59" t="n">
        <x:v>241</x:v>
      </x:c>
      <x:c r="E59" s="118" t="n">
        <x:v>100</x:v>
      </x:c>
      <x:c r="F59" s="118" t="n">
        <x:v>0</x:v>
      </x:c>
      <x:c r="G59" s="118" t="n">
        <x:v>0</x:v>
      </x:c>
      <x:c r="H59" s="118" t="n">
        <x:v>0</x:v>
      </x:c>
      <x:c r="I59" s="118" t="n">
        <x:v>0</x:v>
      </x:c>
      <x:c r="J59" s="118" t="n">
        <x:v>0</x:v>
      </x:c>
      <x:c r="K59" s="118" t="n">
        <x:v>0</x:v>
      </x:c>
      <x:c r="L59" s="118" t="n">
        <x:v>0</x:v>
      </x:c>
      <x:c r="M59" s="118" t="n">
        <x:v>0</x:v>
      </x:c>
      <x:c r="N59" s="118" t="n">
        <x:v>0</x:v>
      </x:c>
      <x:c r="O59" s="118"/>
      <x:c r="P59" s="118"/>
      <x:c r="Q59" s="118" t="n">
        <x:v>13.40080455006378</x:v>
      </x:c>
      <x:c r="R59" s="118" t="n">
        <x:v>12.715332947375137</x:v>
      </x:c>
      <x:c r="S59" s="118" t="n">
        <x:v>-1011.7153329473751</x:v>
      </x:c>
      <x:c r="T59" t="n">
        <x:v>0</x:v>
      </x:c>
      <x:c r="U59" t="n">
        <x:v>0</x:v>
      </x:c>
    </x:row>
    <x:row r="60">
      <x:c r="A60" t="str">
        <x:v>workbook_mid_shell</x:v>
      </x:c>
      <x:c r="B60" t="str">
        <x:v>clean_ice_control</x:v>
      </x:c>
      <x:c r="C60" t="str">
        <x:v>VHF_60MHz_full_depth_lowDR</x:v>
      </x:c>
      <x:c r="D60" t="n">
        <x:v>241</x:v>
      </x:c>
      <x:c r="E60" s="118" t="n">
        <x:v>100</x:v>
      </x:c>
      <x:c r="F60" s="118" t="n">
        <x:v>0</x:v>
      </x:c>
      <x:c r="G60" s="118" t="n">
        <x:v>0</x:v>
      </x:c>
      <x:c r="H60" s="118" t="n">
        <x:v>0</x:v>
      </x:c>
      <x:c r="I60" s="118" t="n">
        <x:v>0</x:v>
      </x:c>
      <x:c r="J60" s="118" t="n">
        <x:v>0</x:v>
      </x:c>
      <x:c r="K60" s="118" t="n">
        <x:v>0</x:v>
      </x:c>
      <x:c r="L60" s="118" t="n">
        <x:v>0</x:v>
      </x:c>
      <x:c r="M60" s="118" t="n">
        <x:v>0</x:v>
      </x:c>
      <x:c r="N60" s="118" t="n">
        <x:v>0</x:v>
      </x:c>
      <x:c r="O60" s="118"/>
      <x:c r="P60" s="118"/>
      <x:c r="Q60" s="118" t="n">
        <x:v>13.09246486595454</x:v>
      </x:c>
      <x:c r="R60" s="118" t="n">
        <x:v>11.313733392268531</x:v>
      </x:c>
      <x:c r="S60" s="118" t="n">
        <x:v>-1010.3137333922685</x:v>
      </x:c>
      <x:c r="T60" t="n">
        <x:v>0</x:v>
      </x:c>
      <x:c r="U60" t="n">
        <x:v>0</x:v>
      </x:c>
    </x:row>
    <x:row r="61">
      <x:c r="A61" t="str">
        <x:v>workbook_mid_shell</x:v>
      </x:c>
      <x:c r="B61" t="str">
        <x:v>clean_ice_control</x:v>
      </x:c>
      <x:c r="C61" t="str">
        <x:v>VHF_60MHz_shallow</x:v>
      </x:c>
      <x:c r="D61" t="n">
        <x:v>241</x:v>
      </x:c>
      <x:c r="E61" s="118" t="n">
        <x:v>0</x:v>
      </x:c>
      <x:c r="F61" s="118" t="n">
        <x:v>0</x:v>
      </x:c>
      <x:c r="G61" s="118" t="n">
        <x:v>0</x:v>
      </x:c>
      <x:c r="H61" s="118" t="n">
        <x:v>0</x:v>
      </x:c>
      <x:c r="I61" s="118" t="n">
        <x:v>0</x:v>
      </x:c>
      <x:c r="J61" s="118" t="n">
        <x:v>0</x:v>
      </x:c>
      <x:c r="K61" s="118" t="n">
        <x:v>100</x:v>
      </x:c>
      <x:c r="L61" s="118" t="n">
        <x:v>0</x:v>
      </x:c>
      <x:c r="M61" s="118" t="n">
        <x:v>0</x:v>
      </x:c>
      <x:c r="N61" s="118" t="n">
        <x:v>0</x:v>
      </x:c>
      <x:c r="O61" s="118"/>
      <x:c r="P61" s="118"/>
      <x:c r="Q61" s="118"/>
      <x:c r="R61" s="118"/>
      <x:c r="S61" s="118"/>
      <x:c r="T61"/>
      <x:c r="U61" t="n">
        <x:v>0</x:v>
      </x:c>
    </x:row>
    <x:row r="62">
      <x:c r="A62" t="str">
        <x:v>workbook_mid_shell</x:v>
      </x:c>
      <x:c r="B62" t="str">
        <x:v>complex_paper_calibrated</x:v>
      </x:c>
      <x:c r="C62" t="str">
        <x:v>HF_9MHz_full_depth</x:v>
      </x:c>
      <x:c r="D62" t="n">
        <x:v>241</x:v>
      </x:c>
      <x:c r="E62" s="118" t="n">
        <x:v>0</x:v>
      </x:c>
      <x:c r="F62" s="118" t="n">
        <x:v>0</x:v>
      </x:c>
      <x:c r="G62" s="118" t="n">
        <x:v>1.2448132780082988</x:v>
      </x:c>
      <x:c r="H62" s="118" t="n">
        <x:v>0</x:v>
      </x:c>
      <x:c r="I62" s="118" t="n">
        <x:v>0</x:v>
      </x:c>
      <x:c r="J62" s="118" t="n">
        <x:v>0</x:v>
      </x:c>
      <x:c r="K62" s="118" t="n">
        <x:v>0</x:v>
      </x:c>
      <x:c r="L62" s="118" t="n">
        <x:v>98.7551867219917</x:v>
      </x:c>
      <x:c r="M62" s="118" t="n">
        <x:v>1.2448132780082988</x:v>
      </x:c>
      <x:c r="N62" s="118" t="n">
        <x:v>0</x:v>
      </x:c>
      <x:c r="O62" s="118"/>
      <x:c r="P62" s="118"/>
      <x:c r="Q62" s="118" t="n">
        <x:v>-31.000408167486565</x:v>
      </x:c>
      <x:c r="R62" s="118" t="n">
        <x:v>-68.9711100032709</x:v>
      </x:c>
      <x:c r="S62" s="118" t="n">
        <x:v>81.29898128385447</x:v>
      </x:c>
      <x:c r="T62" t="n">
        <x:v>3727.275072286864</x:v>
      </x:c>
      <x:c r="U62" t="n">
        <x:v>11</x:v>
      </x:c>
    </x:row>
    <x:row r="63">
      <x:c r="A63" t="str">
        <x:v>workbook_mid_shell</x:v>
      </x:c>
      <x:c r="B63" t="str">
        <x:v>complex_paper_calibrated</x:v>
      </x:c>
      <x:c r="C63" t="str">
        <x:v>VHF_60MHz_full_depth_lowDR</x:v>
      </x:c>
      <x:c r="D63" t="n">
        <x:v>241</x:v>
      </x:c>
      <x:c r="E63" s="118" t="n">
        <x:v>0</x:v>
      </x:c>
      <x:c r="F63" s="118" t="n">
        <x:v>0</x:v>
      </x:c>
      <x:c r="G63" s="118" t="n">
        <x:v>0</x:v>
      </x:c>
      <x:c r="H63" s="118" t="n">
        <x:v>0</x:v>
      </x:c>
      <x:c r="I63" s="118" t="n">
        <x:v>0</x:v>
      </x:c>
      <x:c r="J63" s="118" t="n">
        <x:v>0</x:v>
      </x:c>
      <x:c r="K63" s="118" t="n">
        <x:v>0</x:v>
      </x:c>
      <x:c r="L63" s="118" t="n">
        <x:v>100</x:v>
      </x:c>
      <x:c r="M63" s="118" t="n">
        <x:v>0</x:v>
      </x:c>
      <x:c r="N63" s="118" t="n">
        <x:v>0</x:v>
      </x:c>
      <x:c r="O63" s="118"/>
      <x:c r="P63" s="118"/>
      <x:c r="Q63" s="118" t="n">
        <x:v>-101.53625971260045</x:v>
      </x:c>
      <x:c r="R63" s="118" t="n">
        <x:v>-199.57617191713987</x:v>
      </x:c>
      <x:c r="S63" s="118" t="n">
        <x:v>223.07794904360082</x:v>
      </x:c>
      <x:c r="T63"/>
      <x:c r="U63" t="n">
        <x:v>11</x:v>
      </x:c>
    </x:row>
    <x:row r="64">
      <x:c r="A64" t="str">
        <x:v>workbook_mid_shell</x:v>
      </x:c>
      <x:c r="B64" t="str">
        <x:v>complex_paper_calibrated</x:v>
      </x:c>
      <x:c r="C64" t="str">
        <x:v>VHF_60MHz_shallow</x:v>
      </x:c>
      <x:c r="D64" t="n">
        <x:v>241</x:v>
      </x:c>
      <x:c r="E64" s="118" t="n">
        <x:v>0</x:v>
      </x:c>
      <x:c r="F64" s="118" t="n">
        <x:v>0</x:v>
      </x:c>
      <x:c r="G64" s="118" t="n">
        <x:v>0</x:v>
      </x:c>
      <x:c r="H64" s="118" t="n">
        <x:v>0</x:v>
      </x:c>
      <x:c r="I64" s="118" t="n">
        <x:v>98.7551867219917</x:v>
      </x:c>
      <x:c r="J64" s="118" t="n">
        <x:v>0</x:v>
      </x:c>
      <x:c r="K64" s="118" t="n">
        <x:v>1.2448132780082988</x:v>
      </x:c>
      <x:c r="L64" s="118" t="n">
        <x:v>0</x:v>
      </x:c>
      <x:c r="M64" s="118" t="n">
        <x:v>0</x:v>
      </x:c>
      <x:c r="N64" s="118" t="n">
        <x:v>0</x:v>
      </x:c>
      <x:c r="O64" s="118"/>
      <x:c r="P64" s="118"/>
      <x:c r="Q64" s="118"/>
      <x:c r="R64" s="118"/>
      <x:c r="S64" s="118"/>
      <x:c r="T64" t="n">
        <x:v>15988.852422968452</x:v>
      </x:c>
      <x:c r="U64" t="n">
        <x:v>11</x:v>
      </x:c>
    </x:row>
    <x:row r="65">
      <x:c r="A65" t="str">
        <x:v>workbook_mid_shell</x:v>
      </x:c>
      <x:c r="B65" t="str">
        <x:v>complex_with_clutter</x:v>
      </x:c>
      <x:c r="C65" t="str">
        <x:v>HF_9MHz_full_depth</x:v>
      </x:c>
      <x:c r="D65" t="n">
        <x:v>241</x:v>
      </x:c>
      <x:c r="E65" s="118" t="n">
        <x:v>0</x:v>
      </x:c>
      <x:c r="F65" s="118" t="n">
        <x:v>0</x:v>
      </x:c>
      <x:c r="G65" s="118" t="n">
        <x:v>1.2448132780082988</x:v>
      </x:c>
      <x:c r="H65" s="118" t="n">
        <x:v>0</x:v>
      </x:c>
      <x:c r="I65" s="118" t="n">
        <x:v>0</x:v>
      </x:c>
      <x:c r="J65" s="118" t="n">
        <x:v>0</x:v>
      </x:c>
      <x:c r="K65" s="118" t="n">
        <x:v>0</x:v>
      </x:c>
      <x:c r="L65" s="118" t="n">
        <x:v>98.7551867219917</x:v>
      </x:c>
      <x:c r="M65" s="118" t="n">
        <x:v>1.2448132780082988</x:v>
      </x:c>
      <x:c r="N65" s="118" t="n">
        <x:v>0</x:v>
      </x:c>
      <x:c r="O65" s="118"/>
      <x:c r="P65" s="118"/>
      <x:c r="Q65" s="118" t="n">
        <x:v>-31.000408167486565</x:v>
      </x:c>
      <x:c r="R65" s="118" t="n">
        <x:v>-68.9711100032709</x:v>
      </x:c>
      <x:c r="S65" s="118" t="n">
        <x:v>81.29898128385447</x:v>
      </x:c>
      <x:c r="T65" t="n">
        <x:v>3727.275072286864</x:v>
      </x:c>
      <x:c r="U65" t="n">
        <x:v>11</x:v>
      </x:c>
    </x:row>
    <x:row r="66">
      <x:c r="A66" t="str">
        <x:v>workbook_mid_shell</x:v>
      </x:c>
      <x:c r="B66" t="str">
        <x:v>complex_with_clutter</x:v>
      </x:c>
      <x:c r="C66" t="str">
        <x:v>VHF_60MHz_full_depth_lowDR</x:v>
      </x:c>
      <x:c r="D66" t="n">
        <x:v>241</x:v>
      </x:c>
      <x:c r="E66" s="118" t="n">
        <x:v>0</x:v>
      </x:c>
      <x:c r="F66" s="118" t="n">
        <x:v>0</x:v>
      </x:c>
      <x:c r="G66" s="118" t="n">
        <x:v>0</x:v>
      </x:c>
      <x:c r="H66" s="118" t="n">
        <x:v>0</x:v>
      </x:c>
      <x:c r="I66" s="118" t="n">
        <x:v>0</x:v>
      </x:c>
      <x:c r="J66" s="118" t="n">
        <x:v>0</x:v>
      </x:c>
      <x:c r="K66" s="118" t="n">
        <x:v>0</x:v>
      </x:c>
      <x:c r="L66" s="118" t="n">
        <x:v>100</x:v>
      </x:c>
      <x:c r="M66" s="118" t="n">
        <x:v>0</x:v>
      </x:c>
      <x:c r="N66" s="118" t="n">
        <x:v>71.36929460580913</x:v>
      </x:c>
      <x:c r="O66" s="118" t="n">
        <x:v>1.8423406259815636</x:v>
      </x:c>
      <x:c r="P66" s="118" t="n">
        <x:v>200.30166398959653</x:v>
      </x:c>
      <x:c r="Q66" s="118" t="n">
        <x:v>-101.53625971260045</x:v>
      </x:c>
      <x:c r="R66" s="118" t="n">
        <x:v>-199.57617191713987</x:v>
      </x:c>
      <x:c r="S66" s="118" t="n">
        <x:v>223.07794904360082</x:v>
      </x:c>
      <x:c r="T66"/>
      <x:c r="U66" t="n">
        <x:v>11</x:v>
      </x:c>
    </x:row>
    <x:row r="67">
      <x:c r="A67" t="str">
        <x:v>workbook_mid_shell</x:v>
      </x:c>
      <x:c r="B67" t="str">
        <x:v>complex_with_clutter</x:v>
      </x:c>
      <x:c r="C67" t="str">
        <x:v>VHF_60MHz_shallow</x:v>
      </x:c>
      <x:c r="D67" t="n">
        <x:v>241</x:v>
      </x:c>
      <x:c r="E67" s="118" t="n">
        <x:v>0</x:v>
      </x:c>
      <x:c r="F67" s="118" t="n">
        <x:v>0</x:v>
      </x:c>
      <x:c r="G67" s="118" t="n">
        <x:v>0</x:v>
      </x:c>
      <x:c r="H67" s="118" t="n">
        <x:v>0</x:v>
      </x:c>
      <x:c r="I67" s="118" t="n">
        <x:v>0</x:v>
      </x:c>
      <x:c r="J67" s="118" t="n">
        <x:v>100</x:v>
      </x:c>
      <x:c r="K67" s="118" t="n">
        <x:v>0</x:v>
      </x:c>
      <x:c r="L67" s="118" t="n">
        <x:v>0</x:v>
      </x:c>
      <x:c r="M67" s="118" t="n">
        <x:v>0</x:v>
      </x:c>
      <x:c r="N67" s="118" t="n">
        <x:v>100</x:v>
      </x:c>
      <x:c r="O67" s="118" t="n">
        <x:v>6.842340625981564</x:v>
      </x:c>
      <x:c r="P67" s="118"/>
      <x:c r="Q67" s="118"/>
      <x:c r="R67" s="118"/>
      <x:c r="S67" s="118"/>
      <x:c r="T67" t="n">
        <x:v>13805.806421824625</x:v>
      </x:c>
      <x:c r="U67" t="n">
        <x:v>11</x:v>
      </x:c>
    </x:row>
    <x:row r="68">
      <x:c r="A68" t="str">
        <x:v>workbook_mid_shell</x:v>
      </x:c>
      <x:c r="B68" t="str">
        <x:v>near_surface_brine</x:v>
      </x:c>
      <x:c r="C68" t="str">
        <x:v>HF_9MHz_full_depth</x:v>
      </x:c>
      <x:c r="D68" t="n">
        <x:v>241</x:v>
      </x:c>
      <x:c r="E68" s="118" t="n">
        <x:v>100</x:v>
      </x:c>
      <x:c r="F68" s="118" t="n">
        <x:v>0</x:v>
      </x:c>
      <x:c r="G68" s="118" t="n">
        <x:v>0</x:v>
      </x:c>
      <x:c r="H68" s="118" t="n">
        <x:v>0</x:v>
      </x:c>
      <x:c r="I68" s="118" t="n">
        <x:v>0</x:v>
      </x:c>
      <x:c r="J68" s="118" t="n">
        <x:v>0</x:v>
      </x:c>
      <x:c r="K68" s="118" t="n">
        <x:v>0</x:v>
      </x:c>
      <x:c r="L68" s="118" t="n">
        <x:v>0</x:v>
      </x:c>
      <x:c r="M68" s="118" t="n">
        <x:v>0</x:v>
      </x:c>
      <x:c r="N68" s="118" t="n">
        <x:v>0</x:v>
      </x:c>
      <x:c r="O68" s="118"/>
      <x:c r="P68" s="118"/>
      <x:c r="Q68" s="118" t="n">
        <x:v>7.805770901734578</x:v>
      </x:c>
      <x:c r="R68" s="118" t="n">
        <x:v>6.1240870397628475</x:v>
      </x:c>
      <x:c r="S68" s="118" t="n">
        <x:v>6.152109573386319</x:v>
      </x:c>
      <x:c r="T68" t="n">
        <x:v>0</x:v>
      </x:c>
      <x:c r="U68" t="n">
        <x:v>1</x:v>
      </x:c>
    </x:row>
    <x:row r="69">
      <x:c r="A69" t="str">
        <x:v>workbook_mid_shell</x:v>
      </x:c>
      <x:c r="B69" t="str">
        <x:v>near_surface_brine</x:v>
      </x:c>
      <x:c r="C69" t="str">
        <x:v>VHF_60MHz_full_depth_lowDR</x:v>
      </x:c>
      <x:c r="D69" t="n">
        <x:v>241</x:v>
      </x:c>
      <x:c r="E69" s="118" t="n">
        <x:v>35.684647302904565</x:v>
      </x:c>
      <x:c r="F69" s="118" t="n">
        <x:v>0</x:v>
      </x:c>
      <x:c r="G69" s="118" t="n">
        <x:v>0</x:v>
      </x:c>
      <x:c r="H69" s="118" t="n">
        <x:v>0</x:v>
      </x:c>
      <x:c r="I69" s="118" t="n">
        <x:v>0</x:v>
      </x:c>
      <x:c r="J69" s="118" t="n">
        <x:v>0</x:v>
      </x:c>
      <x:c r="K69" s="118" t="n">
        <x:v>0</x:v>
      </x:c>
      <x:c r="L69" s="118" t="n">
        <x:v>64.31535269709543</x:v>
      </x:c>
      <x:c r="M69" s="118" t="n">
        <x:v>0</x:v>
      </x:c>
      <x:c r="N69" s="118" t="n">
        <x:v>0</x:v>
      </x:c>
      <x:c r="O69" s="118"/>
      <x:c r="P69" s="118"/>
      <x:c r="Q69" s="118" t="n">
        <x:v>-1.3524206724738486</x:v>
      </x:c>
      <x:c r="R69" s="118" t="n">
        <x:v>-5.699539263138199</x:v>
      </x:c>
      <x:c r="S69" s="118" t="n">
        <x:v>29.049560607448566</x:v>
      </x:c>
      <x:c r="T69" t="n">
        <x:v>0</x:v>
      </x:c>
      <x:c r="U69" t="n">
        <x:v>1</x:v>
      </x:c>
    </x:row>
    <x:row r="70">
      <x:c r="A70" t="str">
        <x:v>workbook_mid_shell</x:v>
      </x:c>
      <x:c r="B70" t="str">
        <x:v>near_surface_brine</x:v>
      </x:c>
      <x:c r="C70" t="str">
        <x:v>VHF_60MHz_shallow</x:v>
      </x:c>
      <x:c r="D70" t="n">
        <x:v>241</x:v>
      </x:c>
      <x:c r="E70" s="118" t="n">
        <x:v>0</x:v>
      </x:c>
      <x:c r="F70" s="118" t="n">
        <x:v>0</x:v>
      </x:c>
      <x:c r="G70" s="118" t="n">
        <x:v>0</x:v>
      </x:c>
      <x:c r="H70" s="118" t="n">
        <x:v>0</x:v>
      </x:c>
      <x:c r="I70" s="118" t="n">
        <x:v>98.7551867219917</x:v>
      </x:c>
      <x:c r="J70" s="118" t="n">
        <x:v>0</x:v>
      </x:c>
      <x:c r="K70" s="118" t="n">
        <x:v>1.2448132780082988</x:v>
      </x:c>
      <x:c r="L70" s="118" t="n">
        <x:v>0</x:v>
      </x:c>
      <x:c r="M70" s="118" t="n">
        <x:v>0</x:v>
      </x:c>
      <x:c r="N70" s="118" t="n">
        <x:v>0</x:v>
      </x:c>
      <x:c r="O70" s="118"/>
      <x:c r="P70" s="118"/>
      <x:c r="Q70" s="118"/>
      <x:c r="R70" s="118"/>
      <x:c r="S70" s="118"/>
      <x:c r="T70" t="n">
        <x:v>15988.852422968452</x:v>
      </x:c>
      <x:c r="U70" t="n">
        <x:v>1</x:v>
      </x:c>
    </x:row>
    <x:row r="71">
      <x:c r="A71" t="str">
        <x:v>workbook_mid_shell</x:v>
      </x:c>
      <x:c r="B71" t="str">
        <x:v>rough_surface_clutter</x:v>
      </x:c>
      <x:c r="C71" t="str">
        <x:v>HF_9MHz_full_depth</x:v>
      </x:c>
      <x:c r="D71" t="n">
        <x:v>241</x:v>
      </x:c>
      <x:c r="E71" s="118" t="n">
        <x:v>100</x:v>
      </x:c>
      <x:c r="F71" s="118" t="n">
        <x:v>0</x:v>
      </x:c>
      <x:c r="G71" s="118" t="n">
        <x:v>0</x:v>
      </x:c>
      <x:c r="H71" s="118" t="n">
        <x:v>0</x:v>
      </x:c>
      <x:c r="I71" s="118" t="n">
        <x:v>0</x:v>
      </x:c>
      <x:c r="J71" s="118" t="n">
        <x:v>0</x:v>
      </x:c>
      <x:c r="K71" s="118" t="n">
        <x:v>0</x:v>
      </x:c>
      <x:c r="L71" s="118" t="n">
        <x:v>0</x:v>
      </x:c>
      <x:c r="M71" s="118" t="n">
        <x:v>0</x:v>
      </x:c>
      <x:c r="N71" s="118" t="n">
        <x:v>0</x:v>
      </x:c>
      <x:c r="O71" s="118"/>
      <x:c r="P71" s="118"/>
      <x:c r="Q71" s="118" t="n">
        <x:v>13.40080455006378</x:v>
      </x:c>
      <x:c r="R71" s="118" t="n">
        <x:v>12.715332947375137</x:v>
      </x:c>
      <x:c r="S71" s="118" t="n">
        <x:v>-1011.7153329473751</x:v>
      </x:c>
      <x:c r="T71" t="n">
        <x:v>0</x:v>
      </x:c>
      <x:c r="U71" t="n">
        <x:v>0</x:v>
      </x:c>
    </x:row>
    <x:row r="72">
      <x:c r="A72" t="str">
        <x:v>workbook_mid_shell</x:v>
      </x:c>
      <x:c r="B72" t="str">
        <x:v>rough_surface_clutter</x:v>
      </x:c>
      <x:c r="C72" t="str">
        <x:v>VHF_60MHz_full_depth_lowDR</x:v>
      </x:c>
      <x:c r="D72" t="n">
        <x:v>241</x:v>
      </x:c>
      <x:c r="E72" s="118" t="n">
        <x:v>100</x:v>
      </x:c>
      <x:c r="F72" s="118" t="n">
        <x:v>0</x:v>
      </x:c>
      <x:c r="G72" s="118" t="n">
        <x:v>0</x:v>
      </x:c>
      <x:c r="H72" s="118" t="n">
        <x:v>0</x:v>
      </x:c>
      <x:c r="I72" s="118" t="n">
        <x:v>0</x:v>
      </x:c>
      <x:c r="J72" s="118" t="n">
        <x:v>0</x:v>
      </x:c>
      <x:c r="K72" s="118" t="n">
        <x:v>0</x:v>
      </x:c>
      <x:c r="L72" s="118" t="n">
        <x:v>0</x:v>
      </x:c>
      <x:c r="M72" s="118" t="n">
        <x:v>0</x:v>
      </x:c>
      <x:c r="N72" s="118" t="n">
        <x:v>48.96265560165975</x:v>
      </x:c>
      <x:c r="O72" s="118" t="n">
        <x:v>-0.08401046791567168</x:v>
      </x:c>
      <x:c r="P72" s="118" t="n">
        <x:v>-6.234553175246813</x:v>
      </x:c>
      <x:c r="Q72" s="118" t="n">
        <x:v>13.09246486595454</x:v>
      </x:c>
      <x:c r="R72" s="118" t="n">
        <x:v>11.313733392268531</x:v>
      </x:c>
      <x:c r="S72" s="118" t="n">
        <x:v>-1010.3137333922685</x:v>
      </x:c>
      <x:c r="T72" t="n">
        <x:v>0</x:v>
      </x:c>
      <x:c r="U72" t="n">
        <x:v>0</x:v>
      </x:c>
    </x:row>
    <x:row r="73">
      <x:c r="A73" t="str">
        <x:v>workbook_mid_shell</x:v>
      </x:c>
      <x:c r="B73" t="str">
        <x:v>rough_surface_clutter</x:v>
      </x:c>
      <x:c r="C73" t="str">
        <x:v>VHF_60MHz_shallow</x:v>
      </x:c>
      <x:c r="D73" t="n">
        <x:v>241</x:v>
      </x:c>
      <x:c r="E73" s="118" t="n">
        <x:v>0</x:v>
      </x:c>
      <x:c r="F73" s="118" t="n">
        <x:v>0</x:v>
      </x:c>
      <x:c r="G73" s="118" t="n">
        <x:v>0</x:v>
      </x:c>
      <x:c r="H73" s="118" t="n">
        <x:v>0</x:v>
      </x:c>
      <x:c r="I73" s="118" t="n">
        <x:v>0</x:v>
      </x:c>
      <x:c r="J73" s="118" t="n">
        <x:v>98.7551867219917</x:v>
      </x:c>
      <x:c r="K73" s="118" t="n">
        <x:v>1.2448132780082988</x:v>
      </x:c>
      <x:c r="L73" s="118" t="n">
        <x:v>0</x:v>
      </x:c>
      <x:c r="M73" s="118" t="n">
        <x:v>0</x:v>
      </x:c>
      <x:c r="N73" s="118" t="n">
        <x:v>98.7551867219917</x:v>
      </x:c>
      <x:c r="O73" s="118" t="n">
        <x:v>4.915989532084328</x:v>
      </x:c>
      <x:c r="P73" s="118"/>
      <x:c r="Q73" s="118"/>
      <x:c r="R73" s="118"/>
      <x:c r="S73" s="118"/>
      <x:c r="T73" t="n">
        <x:v>13799.29826501482</x:v>
      </x:c>
      <x:c r="U73" t="n">
        <x:v>0</x:v>
      </x:c>
    </x:row>
    <x:row r="74">
      <x:c r="A74" t="str">
        <x:v>workbook_mid_shell</x:v>
      </x:c>
      <x:c r="B74" t="str">
        <x:v>salt_layers_reason</x:v>
      </x:c>
      <x:c r="C74" t="str">
        <x:v>HF_9MHz_full_depth</x:v>
      </x:c>
      <x:c r="D74" t="n">
        <x:v>241</x:v>
      </x:c>
      <x:c r="E74" s="118" t="n">
        <x:v>100</x:v>
      </x:c>
      <x:c r="F74" s="118" t="n">
        <x:v>0</x:v>
      </x:c>
      <x:c r="G74" s="118" t="n">
        <x:v>0</x:v>
      </x:c>
      <x:c r="H74" s="118" t="n">
        <x:v>0</x:v>
      </x:c>
      <x:c r="I74" s="118" t="n">
        <x:v>0</x:v>
      </x:c>
      <x:c r="J74" s="118" t="n">
        <x:v>0</x:v>
      </x:c>
      <x:c r="K74" s="118" t="n">
        <x:v>0</x:v>
      </x:c>
      <x:c r="L74" s="118" t="n">
        <x:v>0</x:v>
      </x:c>
      <x:c r="M74" s="118" t="n">
        <x:v>0</x:v>
      </x:c>
      <x:c r="N74" s="118" t="n">
        <x:v>0</x:v>
      </x:c>
      <x:c r="O74" s="118"/>
      <x:c r="P74" s="118"/>
      <x:c r="Q74" s="118" t="n">
        <x:v>13.39960455006378</x:v>
      </x:c>
      <x:c r="R74" s="118" t="n">
        <x:v>12.714132947375136</x:v>
      </x:c>
      <x:c r="S74" s="118" t="n">
        <x:v>-12.292943039979116</x:v>
      </x:c>
      <x:c r="T74" t="n">
        <x:v>0</x:v>
      </x:c>
      <x:c r="U74" t="n">
        <x:v>2</x:v>
      </x:c>
    </x:row>
    <x:row r="75">
      <x:c r="A75" t="str">
        <x:v>workbook_mid_shell</x:v>
      </x:c>
      <x:c r="B75" t="str">
        <x:v>salt_layers_reason</x:v>
      </x:c>
      <x:c r="C75" t="str">
        <x:v>VHF_60MHz_full_depth_lowDR</x:v>
      </x:c>
      <x:c r="D75" t="n">
        <x:v>241</x:v>
      </x:c>
      <x:c r="E75" s="118" t="n">
        <x:v>100</x:v>
      </x:c>
      <x:c r="F75" s="118" t="n">
        <x:v>0</x:v>
      </x:c>
      <x:c r="G75" s="118" t="n">
        <x:v>0</x:v>
      </x:c>
      <x:c r="H75" s="118" t="n">
        <x:v>0</x:v>
      </x:c>
      <x:c r="I75" s="118" t="n">
        <x:v>0</x:v>
      </x:c>
      <x:c r="J75" s="118" t="n">
        <x:v>0</x:v>
      </x:c>
      <x:c r="K75" s="118" t="n">
        <x:v>0</x:v>
      </x:c>
      <x:c r="L75" s="118" t="n">
        <x:v>0</x:v>
      </x:c>
      <x:c r="M75" s="118" t="n">
        <x:v>0</x:v>
      </x:c>
      <x:c r="N75" s="118" t="n">
        <x:v>0</x:v>
      </x:c>
      <x:c r="O75" s="118"/>
      <x:c r="P75" s="118"/>
      <x:c r="Q75" s="118" t="n">
        <x:v>13.089366479277572</x:v>
      </x:c>
      <x:c r="R75" s="118" t="n">
        <x:v>11.310635005591564</x:v>
      </x:c>
      <x:c r="S75" s="118" t="n">
        <x:v>-4.68655505289172</x:v>
      </x:c>
      <x:c r="T75" t="n">
        <x:v>0</x:v>
      </x:c>
      <x:c r="U75" t="n">
        <x:v>2</x:v>
      </x:c>
    </x:row>
    <x:row r="76">
      <x:c r="A76" t="str">
        <x:v>workbook_mid_shell</x:v>
      </x:c>
      <x:c r="B76" t="str">
        <x:v>salt_layers_reason</x:v>
      </x:c>
      <x:c r="C76" t="str">
        <x:v>VHF_60MHz_shallow</x:v>
      </x:c>
      <x:c r="D76" t="n">
        <x:v>241</x:v>
      </x:c>
      <x:c r="E76" s="118" t="n">
        <x:v>0</x:v>
      </x:c>
      <x:c r="F76" s="118" t="n">
        <x:v>0</x:v>
      </x:c>
      <x:c r="G76" s="118" t="n">
        <x:v>0</x:v>
      </x:c>
      <x:c r="H76" s="118" t="n">
        <x:v>0</x:v>
      </x:c>
      <x:c r="I76" s="118" t="n">
        <x:v>0</x:v>
      </x:c>
      <x:c r="J76" s="118" t="n">
        <x:v>0</x:v>
      </x:c>
      <x:c r="K76" s="118" t="n">
        <x:v>100</x:v>
      </x:c>
      <x:c r="L76" s="118" t="n">
        <x:v>0</x:v>
      </x:c>
      <x:c r="M76" s="118" t="n">
        <x:v>0</x:v>
      </x:c>
      <x:c r="N76" s="118" t="n">
        <x:v>0</x:v>
      </x:c>
      <x:c r="O76" s="118"/>
      <x:c r="P76" s="118"/>
      <x:c r="Q76" s="118"/>
      <x:c r="R76" s="118"/>
      <x:c r="S76" s="118"/>
      <x:c r="T76"/>
      <x:c r="U76" t="n">
        <x:v>2</x:v>
      </x:c>
    </x:row>
    <x:row r="77">
      <x:c r="A77" t="str">
        <x:v>workbook_mid_shell</x:v>
      </x:c>
      <x:c r="B77" t="str">
        <x:v>stacked_dirty_layers</x:v>
      </x:c>
      <x:c r="C77" t="str">
        <x:v>HF_9MHz_full_depth</x:v>
      </x:c>
      <x:c r="D77" t="n">
        <x:v>241</x:v>
      </x:c>
      <x:c r="E77" s="118" t="n">
        <x:v>0</x:v>
      </x:c>
      <x:c r="F77" s="118" t="n">
        <x:v>0</x:v>
      </x:c>
      <x:c r="G77" s="118" t="n">
        <x:v>100</x:v>
      </x:c>
      <x:c r="H77" s="118" t="n">
        <x:v>0</x:v>
      </x:c>
      <x:c r="I77" s="118" t="n">
        <x:v>0</x:v>
      </x:c>
      <x:c r="J77" s="118" t="n">
        <x:v>0</x:v>
      </x:c>
      <x:c r="K77" s="118" t="n">
        <x:v>0</x:v>
      </x:c>
      <x:c r="L77" s="118" t="n">
        <x:v>0</x:v>
      </x:c>
      <x:c r="M77" s="118" t="n">
        <x:v>100</x:v>
      </x:c>
      <x:c r="N77" s="118" t="n">
        <x:v>0</x:v>
      </x:c>
      <x:c r="O77" s="118"/>
      <x:c r="P77" s="118"/>
      <x:c r="Q77" s="118" t="n">
        <x:v>-1.8535966844733145</x:v>
      </x:c>
      <x:c r="R77" s="118" t="n">
        <x:v>-3.321346348162084</x:v>
      </x:c>
      <x:c r="S77" s="118" t="n">
        <x:v>13.769067990884938</x:v>
      </x:c>
      <x:c r="T77" t="n">
        <x:v>4500.190822477653</x:v>
      </x:c>
      <x:c r="U77" t="n">
        <x:v>6</x:v>
      </x:c>
    </x:row>
    <x:row r="78">
      <x:c r="A78" t="str">
        <x:v>workbook_mid_shell</x:v>
      </x:c>
      <x:c r="B78" t="str">
        <x:v>stacked_dirty_layers</x:v>
      </x:c>
      <x:c r="C78" t="str">
        <x:v>VHF_60MHz_full_depth_lowDR</x:v>
      </x:c>
      <x:c r="D78" t="n">
        <x:v>241</x:v>
      </x:c>
      <x:c r="E78" s="118" t="n">
        <x:v>0</x:v>
      </x:c>
      <x:c r="F78" s="118" t="n">
        <x:v>0</x:v>
      </x:c>
      <x:c r="G78" s="118" t="n">
        <x:v>78.83817427385893</x:v>
      </x:c>
      <x:c r="H78" s="118" t="n">
        <x:v>0</x:v>
      </x:c>
      <x:c r="I78" s="118" t="n">
        <x:v>0</x:v>
      </x:c>
      <x:c r="J78" s="118" t="n">
        <x:v>0</x:v>
      </x:c>
      <x:c r="K78" s="118" t="n">
        <x:v>0</x:v>
      </x:c>
      <x:c r="L78" s="118" t="n">
        <x:v>21.16182572614108</x:v>
      </x:c>
      <x:c r="M78" s="118" t="n">
        <x:v>78.83817427385893</x:v>
      </x:c>
      <x:c r="N78" s="118" t="n">
        <x:v>0</x:v>
      </x:c>
      <x:c r="O78" s="118"/>
      <x:c r="P78" s="118"/>
      <x:c r="Q78" s="118" t="n">
        <x:v>-26.296021546933115</x:v>
      </x:c>
      <x:c r="R78" s="118" t="n">
        <x:v>-30.08007174448618</x:v>
      </x:c>
      <x:c r="S78" s="118" t="n">
        <x:v>30.562145311462864</x:v>
      </x:c>
      <x:c r="T78" t="n">
        <x:v>4588.190822477653</x:v>
      </x:c>
      <x:c r="U78" t="n">
        <x:v>6</x:v>
      </x:c>
    </x:row>
    <x:row r="79">
      <x:c r="A79" t="str">
        <x:v>workbook_mid_shell</x:v>
      </x:c>
      <x:c r="B79" t="str">
        <x:v>stacked_dirty_layers</x:v>
      </x:c>
      <x:c r="C79" t="str">
        <x:v>VHF_60MHz_shallow</x:v>
      </x:c>
      <x:c r="D79" t="n">
        <x:v>241</x:v>
      </x:c>
      <x:c r="E79" s="118" t="n">
        <x:v>0</x:v>
      </x:c>
      <x:c r="F79" s="118" t="n">
        <x:v>0</x:v>
      </x:c>
      <x:c r="G79" s="118" t="n">
        <x:v>0</x:v>
      </x:c>
      <x:c r="H79" s="118" t="n">
        <x:v>0</x:v>
      </x:c>
      <x:c r="I79" s="118" t="n">
        <x:v>0</x:v>
      </x:c>
      <x:c r="J79" s="118" t="n">
        <x:v>0</x:v>
      </x:c>
      <x:c r="K79" s="118" t="n">
        <x:v>100</x:v>
      </x:c>
      <x:c r="L79" s="118" t="n">
        <x:v>0</x:v>
      </x:c>
      <x:c r="M79" s="118" t="n">
        <x:v>0</x:v>
      </x:c>
      <x:c r="N79" s="118" t="n">
        <x:v>0</x:v>
      </x:c>
      <x:c r="O79" s="118"/>
      <x:c r="P79" s="118"/>
      <x:c r="Q79" s="118"/>
      <x:c r="R79" s="118"/>
      <x:c r="S79" s="118"/>
      <x:c r="T79"/>
      <x:c r="U79" t="n">
        <x:v>6</x:v>
      </x:c>
    </x:row>
    <x:row r="80">
      <x:c r="A80" t="str">
        <x:v>workbook_mid_shell</x:v>
      </x:c>
      <x:c r="B80" t="str">
        <x:v>warm_impure_ice</x:v>
      </x:c>
      <x:c r="C80" t="str">
        <x:v>HF_9MHz_full_depth</x:v>
      </x:c>
      <x:c r="D80" t="n">
        <x:v>241</x:v>
      </x:c>
      <x:c r="E80" s="118" t="n">
        <x:v>100</x:v>
      </x:c>
      <x:c r="F80" s="118" t="n">
        <x:v>0</x:v>
      </x:c>
      <x:c r="G80" s="118" t="n">
        <x:v>0</x:v>
      </x:c>
      <x:c r="H80" s="118" t="n">
        <x:v>0</x:v>
      </x:c>
      <x:c r="I80" s="118" t="n">
        <x:v>0</x:v>
      </x:c>
      <x:c r="J80" s="118" t="n">
        <x:v>0</x:v>
      </x:c>
      <x:c r="K80" s="118" t="n">
        <x:v>0</x:v>
      </x:c>
      <x:c r="L80" s="118" t="n">
        <x:v>0</x:v>
      </x:c>
      <x:c r="M80" s="118" t="n">
        <x:v>0</x:v>
      </x:c>
      <x:c r="N80" s="118" t="n">
        <x:v>0</x:v>
      </x:c>
      <x:c r="O80" s="118"/>
      <x:c r="P80" s="118"/>
      <x:c r="Q80" s="118" t="n">
        <x:v>2.708176926742463</x:v>
      </x:c>
      <x:c r="R80" s="118" t="n">
        <x:v>1.1041676472918973</x:v>
      </x:c>
      <x:c r="S80" s="118" t="n">
        <x:v>-1000.1041676472919</x:v>
      </x:c>
      <x:c r="T80" t="n">
        <x:v>0</x:v>
      </x:c>
      <x:c r="U80" t="n">
        <x:v>0</x:v>
      </x:c>
    </x:row>
    <x:row r="81">
      <x:c r="A81" t="str">
        <x:v>workbook_mid_shell</x:v>
      </x:c>
      <x:c r="B81" t="str">
        <x:v>warm_impure_ice</x:v>
      </x:c>
      <x:c r="C81" t="str">
        <x:v>VHF_60MHz_full_depth_lowDR</x:v>
      </x:c>
      <x:c r="D81" t="n">
        <x:v>241</x:v>
      </x:c>
      <x:c r="E81" s="118" t="n">
        <x:v>0</x:v>
      </x:c>
      <x:c r="F81" s="118" t="n">
        <x:v>0</x:v>
      </x:c>
      <x:c r="G81" s="118" t="n">
        <x:v>0</x:v>
      </x:c>
      <x:c r="H81" s="118" t="n">
        <x:v>0</x:v>
      </x:c>
      <x:c r="I81" s="118" t="n">
        <x:v>0</x:v>
      </x:c>
      <x:c r="J81" s="118" t="n">
        <x:v>0</x:v>
      </x:c>
      <x:c r="K81" s="118" t="n">
        <x:v>0</x:v>
      </x:c>
      <x:c r="L81" s="118" t="n">
        <x:v>100</x:v>
      </x:c>
      <x:c r="M81" s="118" t="n">
        <x:v>0</x:v>
      </x:c>
      <x:c r="N81" s="118" t="n">
        <x:v>0</x:v>
      </x:c>
      <x:c r="O81" s="118"/>
      <x:c r="P81" s="118"/>
      <x:c r="Q81" s="118" t="n">
        <x:v>-14.500268745651267</x:v>
      </x:c>
      <x:c r="R81" s="118" t="n">
        <x:v>-18.666166499254018</x:v>
      </x:c>
      <x:c r="S81" s="118" t="n">
        <x:v>-980.333833500746</x:v>
      </x:c>
      <x:c r="T81"/>
      <x:c r="U81" t="n">
        <x:v>0</x:v>
      </x:c>
    </x:row>
    <x:row r="82">
      <x:c r="A82" t="str">
        <x:v>workbook_mid_shell</x:v>
      </x:c>
      <x:c r="B82" t="str">
        <x:v>warm_impure_ice</x:v>
      </x:c>
      <x:c r="C82" t="str">
        <x:v>VHF_60MHz_shallow</x:v>
      </x:c>
      <x:c r="D82" t="n">
        <x:v>241</x:v>
      </x:c>
      <x:c r="E82" s="118" t="n">
        <x:v>0</x:v>
      </x:c>
      <x:c r="F82" s="118" t="n">
        <x:v>0</x:v>
      </x:c>
      <x:c r="G82" s="118" t="n">
        <x:v>0</x:v>
      </x:c>
      <x:c r="H82" s="118" t="n">
        <x:v>0</x:v>
      </x:c>
      <x:c r="I82" s="118" t="n">
        <x:v>0</x:v>
      </x:c>
      <x:c r="J82" s="118" t="n">
        <x:v>0</x:v>
      </x:c>
      <x:c r="K82" s="118" t="n">
        <x:v>100</x:v>
      </x:c>
      <x:c r="L82" s="118" t="n">
        <x:v>0</x:v>
      </x:c>
      <x:c r="M82" s="118" t="n">
        <x:v>0</x:v>
      </x:c>
      <x:c r="N82" s="118" t="n">
        <x:v>0</x:v>
      </x:c>
      <x:c r="O82" s="118"/>
      <x:c r="P82" s="118"/>
      <x:c r="Q82" s="118"/>
      <x:c r="R82" s="118"/>
      <x:c r="S82" s="118"/>
      <x:c r="T82"/>
      <x:c r="U82" t="n">
        <x:v>0</x:v>
      </x:c>
    </x:row>
  </x:sheetData>
  <x:pageMargins left="0.7" right="0.7" top="0.75" bottom="0.75" header="0.3" footer="0.3"/>
  <x:tableParts count="1">
    <x:tablePart xmlns:r="http://schemas.openxmlformats.org/officeDocument/2006/relationships" r:id="Rc6da3b865bff4cf1"/>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9.380000114440918" hidden="0" customWidth="1"/>
    <x:col min="2" max="2" width="21.8799991607666" hidden="0" customWidth="1"/>
    <x:col min="3" max="3" width="22.5" hidden="0" customWidth="1"/>
    <x:col min="4" max="4" width="14.380000114440918" hidden="0" customWidth="1"/>
    <x:col min="5" max="5" width="15" hidden="0" customWidth="1"/>
    <x:col min="6" max="6" width="15" hidden="0" customWidth="1"/>
    <x:col min="7" max="7" width="17.5" hidden="0" customWidth="1"/>
    <x:col min="8" max="8" width="17.5" hidden="0" customWidth="1"/>
    <x:col min="9" max="9" width="28.75" hidden="0" customWidth="1"/>
    <x:col min="10" max="10" width="16.8799991607666" hidden="0" customWidth="1"/>
    <x:col min="11" max="11" width="11.25" hidden="0" customWidth="1"/>
    <x:col min="12" max="12" width="15" hidden="0" customWidth="1"/>
  </x:cols>
  <x:sheetData>
    <x:row r="1">
      <x:c r="A1" s="122" t="str">
        <x:v>x_km</x:v>
      </x:c>
      <x:c r="B1" s="122" t="str">
        <x:v>scenario</x:v>
      </x:c>
      <x:c r="C1" s="122" t="str">
        <x:v>band</x:v>
      </x:c>
      <x:c r="D1" s="122" t="str">
        <x:v>ocean_depth_m</x:v>
      </x:c>
      <x:c r="E1" s="122" t="str">
        <x:v>ocean_snr_margin_db</x:v>
      </x:c>
      <x:c r="F1" s="122" t="str">
        <x:v>false_snr_margin_db</x:v>
      </x:c>
      <x:c r="G1" s="122" t="str">
        <x:v>surface_clutter_snr_margin_db</x:v>
      </x:c>
      <x:c r="H1" s="122" t="str">
        <x:v>surface_clutter_apparent_depth_m</x:v>
      </x:c>
      <x:c r="I1" s="122" t="str">
        <x:v>classification</x:v>
      </x:c>
      <x:c r="J1" s="122" t="str">
        <x:v>inferred_depth_error_m</x:v>
      </x:c>
      <x:c r="K1" s="122" t="str">
        <x:v>layer_count</x:v>
      </x:c>
      <x:c r="L1" s="122" t="str">
        <x:v>surface_roughness_index</x:v>
      </x:c>
    </x:row>
    <x:row r="2">
      <x:c r="A2" s="118" t="n">
        <x:v>-60</x:v>
      </x:c>
      <x:c r="B2" t="str">
        <x:v>stacked_dirty_layers</x:v>
      </x:c>
      <x:c r="C2" t="str">
        <x:v>HF_9MHz_full_depth</x:v>
      </x:c>
      <x:c r="D2" s="118" t="n">
        <x:v>14538.343476908214</x:v>
      </x:c>
      <x:c r="E2" s="123" t="n">
        <x:v>-0.3822929880461446</x:v>
      </x:c>
      <x:c r="F2" s="123" t="n">
        <x:v>11.010274678020634</x:v>
      </x:c>
      <x:c r="G2" s="123" t="n">
        <x:v>-999</x:v>
      </x:c>
      <x:c r="H2" s="118"/>
      <x:c r="I2" t="str">
        <x:v>false layer stronger</x:v>
      </x:c>
      <x:c r="J2" s="118" t="n">
        <x:v>-3686.7775020422578</x:v>
      </x:c>
      <x:c r="K2" t="n">
        <x:v>6</x:v>
      </x:c>
      <x:c r="L2" s="123" t="n">
        <x:v>0</x:v>
      </x:c>
    </x:row>
    <x:row r="3">
      <x:c r="A3" s="118" t="n">
        <x:v>-60</x:v>
      </x:c>
      <x:c r="B3" t="str">
        <x:v>rough_surface_clutter</x:v>
      </x:c>
      <x:c r="C3" t="str">
        <x:v>VHF_60MHz_shallow</x:v>
      </x:c>
      <x:c r="D3" s="118" t="n">
        <x:v>14538.343476908214</x:v>
      </x:c>
      <x:c r="E3" s="123"/>
      <x:c r="F3" s="123" t="n">
        <x:v>-999</x:v>
      </x:c>
      <x:c r="G3" s="123" t="n">
        <x:v>3.6981879074003086</x:v>
      </x:c>
      <x:c r="H3" s="118" t="n">
        <x:v>2283.854028327164</x:v>
      </x:c>
      <x:c r="I3" t="str">
        <x:v>surface clutter in shallow window</x:v>
      </x:c>
      <x:c r="J3" s="118" t="n">
        <x:v>-12254.489448581051</x:v>
      </x:c>
      <x:c r="K3" t="n">
        <x:v>0</x:v>
      </x:c>
      <x:c r="L3" s="123" t="n">
        <x:v>0.6005069911702977</x:v>
      </x:c>
    </x:row>
    <x:row r="4">
      <x:c r="A4" s="118" t="n">
        <x:v>-60</x:v>
      </x:c>
      <x:c r="B4" t="str">
        <x:v>complex_with_clutter</x:v>
      </x:c>
      <x:c r="C4" t="str">
        <x:v>VHF_60MHz_shallow</x:v>
      </x:c>
      <x:c r="D4" s="118" t="n">
        <x:v>14538.343476908214</x:v>
      </x:c>
      <x:c r="E4" s="123"/>
      <x:c r="F4" s="123" t="n">
        <x:v>-999</x:v>
      </x:c>
      <x:c r="G4" s="123" t="n">
        <x:v>5.409632832235657</x:v>
      </x:c>
      <x:c r="H4" s="118" t="n">
        <x:v>2283.854028327164</x:v>
      </x:c>
      <x:c r="I4" t="str">
        <x:v>surface clutter in shallow window</x:v>
      </x:c>
      <x:c r="J4" s="118" t="n">
        <x:v>-12254.489448581051</x:v>
      </x:c>
      <x:c r="K4" t="n">
        <x:v>8</x:v>
      </x:c>
      <x:c r="L4" s="123" t="n">
        <x:v>0.6005069911702977</x:v>
      </x:c>
    </x:row>
    <x:row r="5">
      <x:c r="A5" s="118" t="n">
        <x:v>-59.5</x:v>
      </x:c>
      <x:c r="B5" t="str">
        <x:v>stacked_dirty_layers</x:v>
      </x:c>
      <x:c r="C5" t="str">
        <x:v>HF_9MHz_full_depth</x:v>
      </x:c>
      <x:c r="D5" s="118" t="n">
        <x:v>14548.766391190573</x:v>
      </x:c>
      <x:c r="E5" s="123" t="n">
        <x:v>-0.3997565349950271</x:v>
      </x:c>
      <x:c r="F5" s="123" t="n">
        <x:v>11.05638274172395</x:v>
      </x:c>
      <x:c r="G5" s="123" t="n">
        <x:v>-999</x:v>
      </x:c>
      <x:c r="H5" s="118"/>
      <x:c r="I5" t="str">
        <x:v>false layer stronger</x:v>
      </x:c>
      <x:c r="J5" s="118" t="n">
        <x:v>-3707.0511776875246</x:v>
      </x:c>
      <x:c r="K5" t="n">
        <x:v>6</x:v>
      </x:c>
      <x:c r="L5" s="123" t="n">
        <x:v>0</x:v>
      </x:c>
    </x:row>
    <x:row r="6">
      <x:c r="A6" s="118" t="n">
        <x:v>-59.5</x:v>
      </x:c>
      <x:c r="B6" t="str">
        <x:v>rough_surface_clutter</x:v>
      </x:c>
      <x:c r="C6" t="str">
        <x:v>VHF_60MHz_shallow</x:v>
      </x:c>
      <x:c r="D6" s="118" t="n">
        <x:v>14548.766391190573</x:v>
      </x:c>
      <x:c r="E6" s="123"/>
      <x:c r="F6" s="123" t="n">
        <x:v>-999</x:v>
      </x:c>
      <x:c r="G6" s="123" t="n">
        <x:v>2.0926858900192933</x:v>
      </x:c>
      <x:c r="H6" s="118" t="n">
        <x:v>2200.2096707813707</x:v>
      </x:c>
      <x:c r="I6" t="str">
        <x:v>surface clutter in shallow window</x:v>
      </x:c>
      <x:c r="J6" s="118" t="n">
        <x:v>-12348.556720409202</x:v>
      </x:c>
      <x:c r="K6" t="n">
        <x:v>0</x:v>
      </x:c>
      <x:c r="L6" s="123" t="n">
        <x:v>0.5010951015491824</x:v>
      </x:c>
    </x:row>
    <x:row r="7">
      <x:c r="A7" s="118" t="n">
        <x:v>-59.5</x:v>
      </x:c>
      <x:c r="B7" t="str">
        <x:v>complex_with_clutter</x:v>
      </x:c>
      <x:c r="C7" t="str">
        <x:v>VHF_60MHz_shallow</x:v>
      </x:c>
      <x:c r="D7" s="118" t="n">
        <x:v>14548.766391190573</x:v>
      </x:c>
      <x:c r="E7" s="123"/>
      <x:c r="F7" s="123" t="n">
        <x:v>-999</x:v>
      </x:c>
      <x:c r="G7" s="123" t="n">
        <x:v>3.520806929434464</x:v>
      </x:c>
      <x:c r="H7" s="118" t="n">
        <x:v>2200.2096707813707</x:v>
      </x:c>
      <x:c r="I7" t="str">
        <x:v>surface clutter in shallow window</x:v>
      </x:c>
      <x:c r="J7" s="118" t="n">
        <x:v>-12348.556720409202</x:v>
      </x:c>
      <x:c r="K7" t="n">
        <x:v>8</x:v>
      </x:c>
      <x:c r="L7" s="123" t="n">
        <x:v>0.5010951015491824</x:v>
      </x:c>
    </x:row>
    <x:row r="8">
      <x:c r="A8" s="118" t="n">
        <x:v>-59</x:v>
      </x:c>
      <x:c r="B8" t="str">
        <x:v>stacked_dirty_layers</x:v>
      </x:c>
      <x:c r="C8" t="str">
        <x:v>HF_9MHz_full_depth</x:v>
      </x:c>
      <x:c r="D8" s="118" t="n">
        <x:v>14557.33823698979</x:v>
      </x:c>
      <x:c r="E8" s="123" t="n">
        <x:v>-0.4966946872466142</x:v>
      </x:c>
      <x:c r="F8" s="123" t="n">
        <x:v>11.0228150345398</x:v>
      </x:c>
      <x:c r="G8" s="123" t="n">
        <x:v>-999</x:v>
      </x:c>
      <x:c r="H8" s="118"/>
      <x:c r="I8" t="str">
        <x:v>false layer stronger</x:v>
      </x:c>
      <x:c r="J8" s="118" t="n">
        <x:v>-3727.275072286864</x:v>
      </x:c>
      <x:c r="K8" t="n">
        <x:v>6</x:v>
      </x:c>
      <x:c r="L8" s="123" t="n">
        <x:v>0</x:v>
      </x:c>
    </x:row>
    <x:row r="9">
      <x:c r="A9" s="118" t="n">
        <x:v>-59</x:v>
      </x:c>
      <x:c r="B9" t="str">
        <x:v>rough_surface_clutter</x:v>
      </x:c>
      <x:c r="C9" t="str">
        <x:v>VHF_60MHz_shallow</x:v>
      </x:c>
      <x:c r="D9" s="118" t="n">
        <x:v>14557.33823698979</x:v>
      </x:c>
      <x:c r="E9" s="123"/>
      <x:c r="F9" s="123" t="n">
        <x:v>-999</x:v>
      </x:c>
      <x:c r="G9" s="123" t="n">
        <x:v>5.068374037105585</x:v>
      </x:c>
      <x:c r="H9" s="118" t="n">
        <x:v>2261.476451152935</x:v>
      </x:c>
      <x:c r="I9" t="str">
        <x:v>surface clutter in shallow window</x:v>
      </x:c>
      <x:c r="J9" s="118" t="n">
        <x:v>-12295.861785836854</x:v>
      </x:c>
      <x:c r="K9" t="n">
        <x:v>0</x:v>
      </x:c>
      <x:c r="L9" s="123" t="n">
        <x:v>0.6853482375916771</x:v>
      </x:c>
    </x:row>
    <x:row r="10">
      <x:c r="A10" s="118" t="n">
        <x:v>-59</x:v>
      </x:c>
      <x:c r="B10" t="str">
        <x:v>complex_with_clutter</x:v>
      </x:c>
      <x:c r="C10" t="str">
        <x:v>VHF_60MHz_shallow</x:v>
      </x:c>
      <x:c r="D10" s="118" t="n">
        <x:v>14557.33823698979</x:v>
      </x:c>
      <x:c r="E10" s="123"/>
      <x:c r="F10" s="123" t="n">
        <x:v>-999</x:v>
      </x:c>
      <x:c r="G10" s="123" t="n">
        <x:v>7.021616514241865</x:v>
      </x:c>
      <x:c r="H10" s="118" t="n">
        <x:v>2261.476451152935</x:v>
      </x:c>
      <x:c r="I10" t="str">
        <x:v>surface clutter in shallow window</x:v>
      </x:c>
      <x:c r="J10" s="118" t="n">
        <x:v>-12295.861785836854</x:v>
      </x:c>
      <x:c r="K10" t="n">
        <x:v>8</x:v>
      </x:c>
      <x:c r="L10" s="123" t="n">
        <x:v>0.6853482375916771</x:v>
      </x:c>
    </x:row>
    <x:row r="11">
      <x:c r="A11" s="118" t="n">
        <x:v>-58.5</x:v>
      </x:c>
      <x:c r="B11" t="str">
        <x:v>stacked_dirty_layers</x:v>
      </x:c>
      <x:c r="C11" t="str">
        <x:v>HF_9MHz_full_depth</x:v>
      </x:c>
      <x:c r="D11" s="118" t="n">
        <x:v>14562.907070815563</x:v>
      </x:c>
      <x:c r="E11" s="123" t="n">
        <x:v>-0.49366697159253325</x:v>
      </x:c>
      <x:c r="F11" s="123" t="n">
        <x:v>11.088137979099148</x:v>
      </x:c>
      <x:c r="G11" s="123" t="n">
        <x:v>-999</x:v>
      </x:c>
      <x:c r="H11" s="118"/>
      <x:c r="I11" t="str">
        <x:v>false layer stronger</x:v>
      </x:c>
      <x:c r="J11" s="118" t="n">
        <x:v>-3747.108632150168</x:v>
      </x:c>
      <x:c r="K11" t="n">
        <x:v>6</x:v>
      </x:c>
      <x:c r="L11" s="123" t="n">
        <x:v>0</x:v>
      </x:c>
    </x:row>
    <x:row r="12">
      <x:c r="A12" s="118" t="n">
        <x:v>-58.5</x:v>
      </x:c>
      <x:c r="B12" t="str">
        <x:v>rough_surface_clutter</x:v>
      </x:c>
      <x:c r="C12" t="str">
        <x:v>VHF_60MHz_shallow</x:v>
      </x:c>
      <x:c r="D12" s="118" t="n">
        <x:v>14562.907070815563</x:v>
      </x:c>
      <x:c r="E12" s="123"/>
      <x:c r="F12" s="123" t="n">
        <x:v>-999</x:v>
      </x:c>
      <x:c r="G12" s="123" t="n">
        <x:v>2.5629766663486215</x:v>
      </x:c>
      <x:c r="H12" s="118" t="n">
        <x:v>2148.076779465608</x:v>
      </x:c>
      <x:c r="I12" t="str">
        <x:v>surface clutter in shallow window</x:v>
      </x:c>
      <x:c r="J12" s="118" t="n">
        <x:v>-12414.830291349956</x:v>
      </x:c>
      <x:c r="K12" t="n">
        <x:v>0</x:v>
      </x:c>
      <x:c r="L12" s="123" t="n">
        <x:v>0.5302152734581189</x:v>
      </x:c>
    </x:row>
    <x:row r="13">
      <x:c r="A13" s="118" t="n">
        <x:v>-58.5</x:v>
      </x:c>
      <x:c r="B13" t="str">
        <x:v>complex_with_clutter</x:v>
      </x:c>
      <x:c r="C13" t="str">
        <x:v>VHF_60MHz_shallow</x:v>
      </x:c>
      <x:c r="D13" s="118" t="n">
        <x:v>14562.907070815563</x:v>
      </x:c>
      <x:c r="E13" s="123"/>
      <x:c r="F13" s="123" t="n">
        <x:v>10.315455998031572</x:v>
      </x:c>
      <x:c r="G13" s="123" t="n">
        <x:v>4.07409019570426</x:v>
      </x:c>
      <x:c r="H13" s="118" t="n">
        <x:v>2148.076779465608</x:v>
      </x:c>
      <x:c r="I13" t="str">
        <x:v>surface clutter in shallow window</x:v>
      </x:c>
      <x:c r="J13" s="118" t="n">
        <x:v>-12414.830291349956</x:v>
      </x:c>
      <x:c r="K13" t="n">
        <x:v>9</x:v>
      </x:c>
      <x:c r="L13" s="123" t="n">
        <x:v>0.5302152734581189</x:v>
      </x:c>
    </x:row>
    <x:row r="14">
      <x:c r="A14" s="118" t="n">
        <x:v>-58</x:v>
      </x:c>
      <x:c r="B14" t="str">
        <x:v>stacked_dirty_layers</x:v>
      </x:c>
      <x:c r="C14" t="str">
        <x:v>HF_9MHz_full_depth</x:v>
      </x:c>
      <x:c r="D14" s="118" t="n">
        <x:v>14573.125618242737</x:v>
      </x:c>
      <x:c r="E14" s="123" t="n">
        <x:v>-0.5371874128375084</x:v>
      </x:c>
      <x:c r="F14" s="123" t="n">
        <x:v>11.110940793126781</x:v>
      </x:c>
      <x:c r="G14" s="123" t="n">
        <x:v>-999</x:v>
      </x:c>
      <x:c r="H14" s="118"/>
      <x:c r="I14" t="str">
        <x:v>false layer stronger</x:v>
      </x:c>
      <x:c r="J14" s="118" t="n">
        <x:v>-3768.5489205803005</x:v>
      </x:c>
      <x:c r="K14" t="n">
        <x:v>6</x:v>
      </x:c>
      <x:c r="L14" s="123" t="n">
        <x:v>0</x:v>
      </x:c>
    </x:row>
    <x:row r="15">
      <x:c r="A15" s="118" t="n">
        <x:v>-58</x:v>
      </x:c>
      <x:c r="B15" t="str">
        <x:v>rough_surface_clutter</x:v>
      </x:c>
      <x:c r="C15" t="str">
        <x:v>VHF_60MHz_shallow</x:v>
      </x:c>
      <x:c r="D15" s="118" t="n">
        <x:v>14573.125618242737</x:v>
      </x:c>
      <x:c r="E15" s="123"/>
      <x:c r="F15" s="123" t="n">
        <x:v>-999</x:v>
      </x:c>
      <x:c r="G15" s="123" t="n">
        <x:v>2.333425735751586</x:v>
      </x:c>
      <x:c r="H15" s="118" t="n">
        <x:v>2106.4557596695495</x:v>
      </x:c>
      <x:c r="I15" t="str">
        <x:v>surface clutter in shallow window</x:v>
      </x:c>
      <x:c r="J15" s="118" t="n">
        <x:v>-12466.669858573187</x:v>
      </x:c>
      <x:c r="K15" t="n">
        <x:v>0</x:v>
      </x:c>
      <x:c r="L15" s="123" t="n">
        <x:v>0.5160015935449899</x:v>
      </x:c>
    </x:row>
    <x:row r="16">
      <x:c r="A16" s="118" t="n">
        <x:v>-58</x:v>
      </x:c>
      <x:c r="B16" t="str">
        <x:v>complex_with_clutter</x:v>
      </x:c>
      <x:c r="C16" t="str">
        <x:v>VHF_60MHz_shallow</x:v>
      </x:c>
      <x:c r="D16" s="118" t="n">
        <x:v>14573.125618242737</x:v>
      </x:c>
      <x:c r="E16" s="123"/>
      <x:c r="F16" s="123" t="n">
        <x:v>10.334430829740944</x:v>
      </x:c>
      <x:c r="G16" s="123" t="n">
        <x:v>3.8040302773548067</x:v>
      </x:c>
      <x:c r="H16" s="118" t="n">
        <x:v>2106.4557596695495</x:v>
      </x:c>
      <x:c r="I16" t="str">
        <x:v>surface clutter in shallow window</x:v>
      </x:c>
      <x:c r="J16" s="118" t="n">
        <x:v>-12466.669858573187</x:v>
      </x:c>
      <x:c r="K16" t="n">
        <x:v>9</x:v>
      </x:c>
      <x:c r="L16" s="123" t="n">
        <x:v>0.5160015935449899</x:v>
      </x:c>
    </x:row>
    <x:row r="17">
      <x:c r="A17" s="118" t="n">
        <x:v>-57.5</x:v>
      </x:c>
      <x:c r="B17" t="str">
        <x:v>stacked_dirty_layers</x:v>
      </x:c>
      <x:c r="C17" t="str">
        <x:v>HF_9MHz_full_depth</x:v>
      </x:c>
      <x:c r="D17" s="118" t="n">
        <x:v>14578.335140524403</x:v>
      </x:c>
      <x:c r="E17" s="123" t="n">
        <x:v>-0.619459120274711</x:v>
      </x:c>
      <x:c r="F17" s="123" t="n">
        <x:v>11.092371013472372</x:v>
      </x:c>
      <x:c r="G17" s="123" t="n">
        <x:v>-999</x:v>
      </x:c>
      <x:c r="H17" s="118"/>
      <x:c r="I17" t="str">
        <x:v>false layer stronger</x:v>
      </x:c>
      <x:c r="J17" s="118" t="n">
        <x:v>-3788.999628344747</x:v>
      </x:c>
      <x:c r="K17" t="n">
        <x:v>6</x:v>
      </x:c>
      <x:c r="L17" s="123" t="n">
        <x:v>0</x:v>
      </x:c>
    </x:row>
    <x:row r="18">
      <x:c r="A18" s="118" t="n">
        <x:v>-57.5</x:v>
      </x:c>
      <x:c r="B18" t="str">
        <x:v>rough_surface_clutter</x:v>
      </x:c>
      <x:c r="C18" t="str">
        <x:v>VHF_60MHz_shallow</x:v>
      </x:c>
      <x:c r="D18" s="118" t="n">
        <x:v>14578.335140524403</x:v>
      </x:c>
      <x:c r="E18" s="123"/>
      <x:c r="F18" s="123" t="n">
        <x:v>-999</x:v>
      </x:c>
      <x:c r="G18" s="123" t="n">
        <x:v>4.6048844145764765</x:v>
      </x:c>
      <x:c r="H18" s="118" t="n">
        <x:v>2143.8148101495894</x:v>
      </x:c>
      <x:c r="I18" t="str">
        <x:v>surface clutter in shallow window</x:v>
      </x:c>
      <x:c r="J18" s="118" t="n">
        <x:v>-12434.520330374813</x:v>
      </x:c>
      <x:c r="K18" t="n">
        <x:v>0</x:v>
      </x:c>
      <x:c r="L18" s="123" t="n">
        <x:v>0.6566491897570574</x:v>
      </x:c>
    </x:row>
    <x:row r="19">
      <x:c r="A19" s="118" t="n">
        <x:v>-57.5</x:v>
      </x:c>
      <x:c r="B19" t="str">
        <x:v>complex_with_clutter</x:v>
      </x:c>
      <x:c r="C19" t="str">
        <x:v>VHF_60MHz_shallow</x:v>
      </x:c>
      <x:c r="D19" s="118" t="n">
        <x:v>14578.335140524403</x:v>
      </x:c>
      <x:c r="E19" s="123"/>
      <x:c r="F19" s="123" t="n">
        <x:v>10.229675608268712</x:v>
      </x:c>
      <x:c r="G19" s="123" t="n">
        <x:v>6.476334605384091</x:v>
      </x:c>
      <x:c r="H19" s="118" t="n">
        <x:v>2143.8148101495894</x:v>
      </x:c>
      <x:c r="I19" t="str">
        <x:v>surface clutter in shallow window</x:v>
      </x:c>
      <x:c r="J19" s="118" t="n">
        <x:v>-12434.520330374813</x:v>
      </x:c>
      <x:c r="K19" t="n">
        <x:v>9</x:v>
      </x:c>
      <x:c r="L19" s="123" t="n">
        <x:v>0.6566491897570574</x:v>
      </x:c>
    </x:row>
    <x:row r="20">
      <x:c r="A20" s="118" t="n">
        <x:v>-57</x:v>
      </x:c>
      <x:c r="B20" t="str">
        <x:v>stacked_dirty_layers</x:v>
      </x:c>
      <x:c r="C20" t="str">
        <x:v>HF_9MHz_full_depth</x:v>
      </x:c>
      <x:c r="D20" s="118" t="n">
        <x:v>14585.997030216358</x:v>
      </x:c>
      <x:c r="E20" s="123" t="n">
        <x:v>-0.6258727272501869</x:v>
      </x:c>
      <x:c r="F20" s="123" t="n">
        <x:v>11.152021618098114</x:v>
      </x:c>
      <x:c r="G20" s="123" t="n">
        <x:v>-999</x:v>
      </x:c>
      <x:c r="H20" s="118"/>
      <x:c r="I20" t="str">
        <x:v>false layer stronger</x:v>
      </x:c>
      <x:c r="J20" s="118" t="n">
        <x:v>-3810.417023860231</x:v>
      </x:c>
      <x:c r="K20" t="n">
        <x:v>6</x:v>
      </x:c>
      <x:c r="L20" s="123" t="n">
        <x:v>0</x:v>
      </x:c>
    </x:row>
    <x:row r="21">
      <x:c r="A21" s="118" t="n">
        <x:v>-57</x:v>
      </x:c>
      <x:c r="B21" t="str">
        <x:v>rough_surface_clutter</x:v>
      </x:c>
      <x:c r="C21" t="str">
        <x:v>VHF_60MHz_shallow</x:v>
      </x:c>
      <x:c r="D21" s="118" t="n">
        <x:v>14585.997030216358</x:v>
      </x:c>
      <x:c r="E21" s="123"/>
      <x:c r="F21" s="123" t="n">
        <x:v>-999</x:v>
      </x:c>
      <x:c r="G21" s="123" t="n">
        <x:v>2.387719247899838</x:v>
      </x:c>
      <x:c r="H21" s="118" t="n">
        <x:v>2038.1801208603106</x:v>
      </x:c>
      <x:c r="I21" t="str">
        <x:v>surface clutter in shallow window</x:v>
      </x:c>
      <x:c r="J21" s="118" t="n">
        <x:v>-12547.816909356048</x:v>
      </x:c>
      <x:c r="K21" t="n">
        <x:v>0</x:v>
      </x:c>
      <x:c r="L21" s="123" t="n">
        <x:v>0.5193634209225906</x:v>
      </x:c>
    </x:row>
    <x:row r="22">
      <x:c r="A22" s="118" t="n">
        <x:v>-57</x:v>
      </x:c>
      <x:c r="B22" t="str">
        <x:v>complex_with_clutter</x:v>
      </x:c>
      <x:c r="C22" t="str">
        <x:v>VHF_60MHz_shallow</x:v>
      </x:c>
      <x:c r="D22" s="118" t="n">
        <x:v>14585.997030216358</x:v>
      </x:c>
      <x:c r="E22" s="123"/>
      <x:c r="F22" s="123" t="n">
        <x:v>10.347399231188069</x:v>
      </x:c>
      <x:c r="G22" s="123" t="n">
        <x:v>3.8679049975292212</x:v>
      </x:c>
      <x:c r="H22" s="118" t="n">
        <x:v>2038.1801208603106</x:v>
      </x:c>
      <x:c r="I22" t="str">
        <x:v>surface clutter in shallow window</x:v>
      </x:c>
      <x:c r="J22" s="118" t="n">
        <x:v>-12547.816909356048</x:v>
      </x:c>
      <x:c r="K22" t="n">
        <x:v>9</x:v>
      </x:c>
      <x:c r="L22" s="123" t="n">
        <x:v>0.5193634209225906</x:v>
      </x:c>
    </x:row>
    <x:row r="23">
      <x:c r="A23" s="118" t="n">
        <x:v>-56.5</x:v>
      </x:c>
      <x:c r="B23" t="str">
        <x:v>stacked_dirty_layers</x:v>
      </x:c>
      <x:c r="C23" t="str">
        <x:v>HF_9MHz_full_depth</x:v>
      </x:c>
      <x:c r="D23" s="118" t="n">
        <x:v>14592.499316370253</x:v>
      </x:c>
      <x:c r="E23" s="123" t="n">
        <x:v>-0.7515110047342426</x:v>
      </x:c>
      <x:c r="F23" s="123" t="n">
        <x:v>11.092256028693154</x:v>
      </x:c>
      <x:c r="G23" s="123" t="n">
        <x:v>-999</x:v>
      </x:c>
      <x:c r="H23" s="118"/>
      <x:c r="I23" t="str">
        <x:v>false layer stronger</x:v>
      </x:c>
      <x:c r="J23" s="118" t="n">
        <x:v>-3831.8037232635634</x:v>
      </x:c>
      <x:c r="K23" t="n">
        <x:v>6</x:v>
      </x:c>
      <x:c r="L23" s="123" t="n">
        <x:v>0</x:v>
      </x:c>
    </x:row>
    <x:row r="24">
      <x:c r="A24" s="118" t="n">
        <x:v>-56.5</x:v>
      </x:c>
      <x:c r="B24" t="str">
        <x:v>rough_surface_clutter</x:v>
      </x:c>
      <x:c r="C24" t="str">
        <x:v>VHF_60MHz_shallow</x:v>
      </x:c>
      <x:c r="D24" s="118" t="n">
        <x:v>14592.499316370253</x:v>
      </x:c>
      <x:c r="E24" s="123"/>
      <x:c r="F24" s="123" t="n">
        <x:v>-999</x:v>
      </x:c>
      <x:c r="G24" s="123" t="n">
        <x:v>6.959289572340735</x:v>
      </x:c>
      <x:c r="H24" s="118" t="n">
        <x:v>2147.8241280761376</x:v>
      </x:c>
      <x:c r="I24" t="str">
        <x:v>surface clutter in shallow window</x:v>
      </x:c>
      <x:c r="J24" s="118" t="n">
        <x:v>-12444.675188294115</x:v>
      </x:c>
      <x:c r="K24" t="n">
        <x:v>0</x:v>
      </x:c>
      <x:c r="L24" s="123" t="n">
        <x:v>0.8024327908570115</x:v>
      </x:c>
    </x:row>
    <x:row r="25">
      <x:c r="A25" s="118" t="n">
        <x:v>-56.5</x:v>
      </x:c>
      <x:c r="B25" t="str">
        <x:v>complex_with_clutter</x:v>
      </x:c>
      <x:c r="C25" t="str">
        <x:v>VHF_60MHz_shallow</x:v>
      </x:c>
      <x:c r="D25" s="118" t="n">
        <x:v>14592.499316370253</x:v>
      </x:c>
      <x:c r="E25" s="123"/>
      <x:c r="F25" s="123" t="n">
        <x:v>10.12894342768571</x:v>
      </x:c>
      <x:c r="G25" s="123" t="n">
        <x:v>9.246223026283218</x:v>
      </x:c>
      <x:c r="H25" s="118" t="n">
        <x:v>2147.8241280761376</x:v>
      </x:c>
      <x:c r="I25" t="str">
        <x:v>surface clutter in shallow window</x:v>
      </x:c>
      <x:c r="J25" s="118" t="n">
        <x:v>-12444.675188294115</x:v>
      </x:c>
      <x:c r="K25" t="n">
        <x:v>9</x:v>
      </x:c>
      <x:c r="L25" s="123" t="n">
        <x:v>0.8024327908570115</x:v>
      </x:c>
    </x:row>
    <x:row r="26">
      <x:c r="A26" s="118" t="n">
        <x:v>-56</x:v>
      </x:c>
      <x:c r="B26" t="str">
        <x:v>stacked_dirty_layers</x:v>
      </x:c>
      <x:c r="C26" t="str">
        <x:v>HF_9MHz_full_depth</x:v>
      </x:c>
      <x:c r="D26" s="118" t="n">
        <x:v>14595.554644264555</x:v>
      </x:c>
      <x:c r="E26" s="123" t="n">
        <x:v>-0.765701575405401</x:v>
      </x:c>
      <x:c r="F26" s="123" t="n">
        <x:v>11.142190950775824</x:v>
      </x:c>
      <x:c r="G26" s="123" t="n">
        <x:v>-999</x:v>
      </x:c>
      <x:c r="H26" s="118"/>
      <x:c r="I26" t="str">
        <x:v>false layer stronger</x:v>
      </x:c>
      <x:c r="J26" s="118" t="n">
        <x:v>-3852.502230457263</x:v>
      </x:c>
      <x:c r="K26" t="n">
        <x:v>6</x:v>
      </x:c>
      <x:c r="L26" s="123" t="n">
        <x:v>0</x:v>
      </x:c>
    </x:row>
    <x:row r="27">
      <x:c r="A27" s="118" t="n">
        <x:v>-56</x:v>
      </x:c>
      <x:c r="B27" t="str">
        <x:v>rough_surface_clutter</x:v>
      </x:c>
      <x:c r="C27" t="str">
        <x:v>VHF_60MHz_shallow</x:v>
      </x:c>
      <x:c r="D27" s="118" t="n">
        <x:v>14595.554644264555</x:v>
      </x:c>
      <x:c r="E27" s="123"/>
      <x:c r="F27" s="123" t="n">
        <x:v>-999</x:v>
      </x:c>
      <x:c r="G27" s="123" t="n">
        <x:v>5.4401744522740145</x:v>
      </x:c>
      <x:c r="H27" s="118" t="n">
        <x:v>2063.686768354498</x:v>
      </x:c>
      <x:c r="I27" t="str">
        <x:v>surface clutter in shallow window</x:v>
      </x:c>
      <x:c r="J27" s="118" t="n">
        <x:v>-12531.867875910059</x:v>
      </x:c>
      <x:c r="K27" t="n">
        <x:v>0</x:v>
      </x:c>
      <x:c r="L27" s="123" t="n">
        <x:v>0.708369935125326</x:v>
      </x:c>
    </x:row>
    <x:row r="28">
      <x:c r="A28" s="118" t="n">
        <x:v>-56</x:v>
      </x:c>
      <x:c r="B28" t="str">
        <x:v>complex_with_clutter</x:v>
      </x:c>
      <x:c r="C28" t="str">
        <x:v>VHF_60MHz_shallow</x:v>
      </x:c>
      <x:c r="D28" s="118" t="n">
        <x:v>14595.554644264555</x:v>
      </x:c>
      <x:c r="E28" s="123"/>
      <x:c r="F28" s="123" t="n">
        <x:v>10.212270088926736</x:v>
      </x:c>
      <x:c r="G28" s="123" t="n">
        <x:v>7.459028767381193</x:v>
      </x:c>
      <x:c r="H28" s="118" t="n">
        <x:v>2063.686768354498</x:v>
      </x:c>
      <x:c r="I28" t="str">
        <x:v>surface clutter in shallow window</x:v>
      </x:c>
      <x:c r="J28" s="118" t="n">
        <x:v>-12531.867875910059</x:v>
      </x:c>
      <x:c r="K28" t="n">
        <x:v>9</x:v>
      </x:c>
      <x:c r="L28" s="123" t="n">
        <x:v>0.708369935125326</x:v>
      </x:c>
    </x:row>
    <x:row r="29">
      <x:c r="A29" s="118" t="n">
        <x:v>-55.5</x:v>
      </x:c>
      <x:c r="B29" t="str">
        <x:v>stacked_dirty_layers</x:v>
      </x:c>
      <x:c r="C29" t="str">
        <x:v>HF_9MHz_full_depth</x:v>
      </x:c>
      <x:c r="D29" s="118" t="n">
        <x:v>14602.692839300287</x:v>
      </x:c>
      <x:c r="E29" s="123" t="n">
        <x:v>-0.7864107143336524</x:v>
      </x:c>
      <x:c r="F29" s="123" t="n">
        <x:v>11.188687852153604</x:v>
      </x:c>
      <x:c r="G29" s="123" t="n">
        <x:v>-999</x:v>
      </x:c>
      <x:c r="H29" s="118"/>
      <x:c r="I29" t="str">
        <x:v>false layer stronger</x:v>
      </x:c>
      <x:c r="J29" s="118" t="n">
        <x:v>-3874.5220131877977</x:v>
      </x:c>
      <x:c r="K29" t="n">
        <x:v>6</x:v>
      </x:c>
      <x:c r="L29" s="123" t="n">
        <x:v>0</x:v>
      </x:c>
    </x:row>
    <x:row r="30">
      <x:c r="A30" s="118" t="n">
        <x:v>-55.5</x:v>
      </x:c>
      <x:c r="B30" t="str">
        <x:v>rough_surface_clutter</x:v>
      </x:c>
      <x:c r="C30" t="str">
        <x:v>VHF_60MHz_shallow</x:v>
      </x:c>
      <x:c r="D30" s="118" t="n">
        <x:v>14602.692839300287</x:v>
      </x:c>
      <x:c r="E30" s="123"/>
      <x:c r="F30" s="123" t="n">
        <x:v>-999</x:v>
      </x:c>
      <x:c r="G30" s="123" t="n">
        <x:v>3.9828045456332966</x:v>
      </x:c>
      <x:c r="H30" s="118" t="n">
        <x:v>1981.2495942224284</x:v>
      </x:c>
      <x:c r="I30" t="str">
        <x:v>surface clutter in shallow window</x:v>
      </x:c>
      <x:c r="J30" s="118" t="n">
        <x:v>-12621.443245077859</x:v>
      </x:c>
      <x:c r="K30" t="n">
        <x:v>0</x:v>
      </x:c>
      <x:c r="L30" s="123" t="n">
        <x:v>0.6181303124231143</x:v>
      </x:c>
    </x:row>
    <x:row r="31">
      <x:c r="A31" s="118" t="n">
        <x:v>-55.5</x:v>
      </x:c>
      <x:c r="B31" t="str">
        <x:v>complex_with_clutter</x:v>
      </x:c>
      <x:c r="C31" t="str">
        <x:v>VHF_60MHz_shallow</x:v>
      </x:c>
      <x:c r="D31" s="118" t="n">
        <x:v>14602.692839300287</x:v>
      </x:c>
      <x:c r="E31" s="123"/>
      <x:c r="F31" s="123" t="n">
        <x:v>10.292586437554158</x:v>
      </x:c>
      <x:c r="G31" s="123" t="n">
        <x:v>5.744475936039173</x:v>
      </x:c>
      <x:c r="H31" s="118" t="n">
        <x:v>1981.2495942224284</x:v>
      </x:c>
      <x:c r="I31" t="str">
        <x:v>surface clutter in shallow window</x:v>
      </x:c>
      <x:c r="J31" s="118" t="n">
        <x:v>-12621.443245077859</x:v>
      </x:c>
      <x:c r="K31" t="n">
        <x:v>9</x:v>
      </x:c>
      <x:c r="L31" s="123" t="n">
        <x:v>0.6181303124231143</x:v>
      </x:c>
    </x:row>
    <x:row r="32">
      <x:c r="A32" s="118" t="n">
        <x:v>-55</x:v>
      </x:c>
      <x:c r="B32" t="str">
        <x:v>stacked_dirty_layers</x:v>
      </x:c>
      <x:c r="C32" t="str">
        <x:v>HF_9MHz_full_depth</x:v>
      </x:c>
      <x:c r="D32" s="118" t="n">
        <x:v>14606.307966267492</x:v>
      </x:c>
      <x:c r="E32" s="123" t="n">
        <x:v>-0.903334129406877</x:v>
      </x:c>
      <x:c r="F32" s="123" t="n">
        <x:v>11.136850765399462</x:v>
      </x:c>
      <x:c r="G32" s="123" t="n">
        <x:v>-999</x:v>
      </x:c>
      <x:c r="H32" s="118"/>
      <x:c r="I32" t="str">
        <x:v>false layer stronger</x:v>
      </x:c>
      <x:c r="J32" s="118" t="n">
        <x:v>-3895.7606506233824</x:v>
      </x:c>
      <x:c r="K32" t="n">
        <x:v>6</x:v>
      </x:c>
      <x:c r="L32" s="123" t="n">
        <x:v>0</x:v>
      </x:c>
    </x:row>
    <x:row r="33">
      <x:c r="A33" s="118" t="n">
        <x:v>-55</x:v>
      </x:c>
      <x:c r="B33" t="str">
        <x:v>rough_surface_clutter</x:v>
      </x:c>
      <x:c r="C33" t="str">
        <x:v>VHF_60MHz_shallow</x:v>
      </x:c>
      <x:c r="D33" s="118" t="n">
        <x:v>14606.307966267492</x:v>
      </x:c>
      <x:c r="E33" s="123"/>
      <x:c r="F33" s="123" t="n">
        <x:v>-999</x:v>
      </x:c>
      <x:c r="G33" s="123" t="n">
        <x:v>8.18256442186449</x:v>
      </x:c>
      <x:c r="H33" s="118" t="n">
        <x:v>2078.300127113679</x:v>
      </x:c>
      <x:c r="I33" t="str">
        <x:v>surface clutter in shallow window</x:v>
      </x:c>
      <x:c r="J33" s="118" t="n">
        <x:v>-12528.007839153812</x:v>
      </x:c>
      <x:c r="K33" t="n">
        <x:v>0</x:v>
      </x:c>
      <x:c r="L33" s="123" t="n">
        <x:v>0.8781773635829405</x:v>
      </x:c>
    </x:row>
    <x:row r="34">
      <x:c r="A34" s="118" t="n">
        <x:v>-55</x:v>
      </x:c>
      <x:c r="B34" t="str">
        <x:v>complex_with_clutter</x:v>
      </x:c>
      <x:c r="C34" t="str">
        <x:v>VHF_60MHz_shallow</x:v>
      </x:c>
      <x:c r="D34" s="118" t="n">
        <x:v>14606.307966267492</x:v>
      </x:c>
      <x:c r="E34" s="123"/>
      <x:c r="F34" s="123" t="n">
        <x:v>10.09269302533476</x:v>
      </x:c>
      <x:c r="G34" s="123" t="n">
        <x:v>10.68536990807587</x:v>
      </x:c>
      <x:c r="H34" s="118" t="n">
        <x:v>2078.300127113679</x:v>
      </x:c>
      <x:c r="I34" t="str">
        <x:v>surface clutter in shallow window</x:v>
      </x:c>
      <x:c r="J34" s="118" t="n">
        <x:v>-12528.007839153812</x:v>
      </x:c>
      <x:c r="K34" t="n">
        <x:v>9</x:v>
      </x:c>
      <x:c r="L34" s="123" t="n">
        <x:v>0.8781773635829405</x:v>
      </x:c>
    </x:row>
    <x:row r="35">
      <x:c r="A35" s="118" t="n">
        <x:v>-54.5</x:v>
      </x:c>
      <x:c r="B35" t="str">
        <x:v>stacked_dirty_layers</x:v>
      </x:c>
      <x:c r="C35" t="str">
        <x:v>HF_9MHz_full_depth</x:v>
      </x:c>
      <x:c r="D35" s="118" t="n">
        <x:v>14609.094149774926</x:v>
      </x:c>
      <x:c r="E35" s="123" t="n">
        <x:v>-0.9096882352371287</x:v>
      </x:c>
      <x:c r="F35" s="123" t="n">
        <x:v>11.195212458532515</x:v>
      </x:c>
      <x:c r="G35" s="123" t="n">
        <x:v>-999</x:v>
      </x:c>
      <x:c r="H35" s="118"/>
      <x:c r="I35" t="str">
        <x:v>false layer stronger</x:v>
      </x:c>
      <x:c r="J35" s="118" t="n">
        <x:v>-3916.9137520746845</x:v>
      </x:c>
      <x:c r="K35" t="n">
        <x:v>6</x:v>
      </x:c>
      <x:c r="L35" s="123" t="n">
        <x:v>0</x:v>
      </x:c>
    </x:row>
    <x:row r="36">
      <x:c r="A36" s="118" t="n">
        <x:v>-54.5</x:v>
      </x:c>
      <x:c r="B36" t="str">
        <x:v>rough_surface_clutter</x:v>
      </x:c>
      <x:c r="C36" t="str">
        <x:v>VHF_60MHz_shallow</x:v>
      </x:c>
      <x:c r="D36" s="118" t="n">
        <x:v>14609.094149774926</x:v>
      </x:c>
      <x:c r="E36" s="123"/>
      <x:c r="F36" s="123" t="n">
        <x:v>-999</x:v>
      </x:c>
      <x:c r="G36" s="123" t="n">
        <x:v>6.16818957160816</x:v>
      </x:c>
      <x:c r="H36" s="118" t="n">
        <x:v>1977.803217624886</x:v>
      </x:c>
      <x:c r="I36" t="str">
        <x:v>surface clutter in shallow window</x:v>
      </x:c>
      <x:c r="J36" s="118" t="n">
        <x:v>-12631.290932150041</x:v>
      </x:c>
      <x:c r="K36" t="n">
        <x:v>0</x:v>
      </x:c>
      <x:c r="L36" s="123" t="n">
        <x:v>0.7534482706878117</x:v>
      </x:c>
    </x:row>
    <x:row r="37">
      <x:c r="A37" s="118" t="n">
        <x:v>-54.5</x:v>
      </x:c>
      <x:c r="B37" t="str">
        <x:v>complex_with_clutter</x:v>
      </x:c>
      <x:c r="C37" t="str">
        <x:v>VHF_60MHz_shallow</x:v>
      </x:c>
      <x:c r="D37" s="118" t="n">
        <x:v>14609.094149774926</x:v>
      </x:c>
      <x:c r="E37" s="123"/>
      <x:c r="F37" s="123" t="n">
        <x:v>10.20061125236605</x:v>
      </x:c>
      <x:c r="G37" s="123" t="n">
        <x:v>8.315517143068423</x:v>
      </x:c>
      <x:c r="H37" s="118" t="n">
        <x:v>1977.803217624886</x:v>
      </x:c>
      <x:c r="I37" t="str">
        <x:v>surface clutter in shallow window</x:v>
      </x:c>
      <x:c r="J37" s="118" t="n">
        <x:v>-12631.290932150041</x:v>
      </x:c>
      <x:c r="K37" t="n">
        <x:v>9</x:v>
      </x:c>
      <x:c r="L37" s="123" t="n">
        <x:v>0.7534482706878117</x:v>
      </x:c>
    </x:row>
    <x:row r="38">
      <x:c r="A38" s="118" t="n">
        <x:v>-54</x:v>
      </x:c>
      <x:c r="B38" t="str">
        <x:v>stacked_dirty_layers</x:v>
      </x:c>
      <x:c r="C38" t="str">
        <x:v>HF_9MHz_full_depth</x:v>
      </x:c>
      <x:c r="D38" s="118" t="n">
        <x:v>14613.717465260237</x:v>
      </x:c>
      <x:c r="E38" s="123" t="n">
        <x:v>-0.9583127727956561</x:v>
      </x:c>
      <x:c r="F38" s="123" t="n">
        <x:v>11.212680178035367</x:v>
      </x:c>
      <x:c r="G38" s="123" t="n">
        <x:v>-999</x:v>
      </x:c>
      <x:c r="H38" s="118"/>
      <x:c r="I38" t="str">
        <x:v>false layer stronger</x:v>
      </x:c>
      <x:c r="J38" s="118" t="n">
        <x:v>-3938.683840750984</x:v>
      </x:c>
      <x:c r="K38" t="n">
        <x:v>6</x:v>
      </x:c>
      <x:c r="L38" s="123" t="n">
        <x:v>0</x:v>
      </x:c>
    </x:row>
    <x:row r="39">
      <x:c r="A39" s="118" t="n">
        <x:v>-54</x:v>
      </x:c>
      <x:c r="B39" t="str">
        <x:v>rough_surface_clutter</x:v>
      </x:c>
      <x:c r="C39" t="str">
        <x:v>VHF_60MHz_shallow</x:v>
      </x:c>
      <x:c r="D39" s="118" t="n">
        <x:v>14613.717465260237</x:v>
      </x:c>
      <x:c r="E39" s="123"/>
      <x:c r="F39" s="123" t="n">
        <x:v>-999</x:v>
      </x:c>
      <x:c r="G39" s="123" t="n">
        <x:v>6.398193003162751</x:v>
      </x:c>
      <x:c r="H39" s="118" t="n">
        <x:v>1948.4933451575332</x:v>
      </x:c>
      <x:c r="I39" t="str">
        <x:v>surface clutter in shallow window</x:v>
      </x:c>
      <x:c r="J39" s="118" t="n">
        <x:v>-12665.224120102705</x:v>
      </x:c>
      <x:c r="K39" t="n">
        <x:v>0</x:v>
      </x:c>
      <x:c r="L39" s="123" t="n">
        <x:v>0.7676899692360837</x:v>
      </x:c>
    </x:row>
    <x:row r="40">
      <x:c r="A40" s="118" t="n">
        <x:v>-54</x:v>
      </x:c>
      <x:c r="B40" t="str">
        <x:v>complex_with_clutter</x:v>
      </x:c>
      <x:c r="C40" t="str">
        <x:v>VHF_60MHz_shallow</x:v>
      </x:c>
      <x:c r="D40" s="118" t="n">
        <x:v>14613.717465260237</x:v>
      </x:c>
      <x:c r="E40" s="123"/>
      <x:c r="F40" s="123" t="n">
        <x:v>10.19731468487471</x:v>
      </x:c>
      <x:c r="G40" s="123" t="n">
        <x:v>8.58610941548559</x:v>
      </x:c>
      <x:c r="H40" s="118" t="n">
        <x:v>1948.4933451575332</x:v>
      </x:c>
      <x:c r="I40" t="str">
        <x:v>surface clutter in shallow window</x:v>
      </x:c>
      <x:c r="J40" s="118" t="n">
        <x:v>-12665.224120102705</x:v>
      </x:c>
      <x:c r="K40" t="n">
        <x:v>9</x:v>
      </x:c>
      <x:c r="L40" s="123" t="n">
        <x:v>0.7676899692360837</x:v>
      </x:c>
    </x:row>
    <x:row r="41">
      <x:c r="A41" s="118" t="n">
        <x:v>-53.5</x:v>
      </x:c>
      <x:c r="B41" t="str">
        <x:v>stacked_dirty_layers</x:v>
      </x:c>
      <x:c r="C41" t="str">
        <x:v>HF_9MHz_full_depth</x:v>
      </x:c>
      <x:c r="D41" s="118" t="n">
        <x:v>14615.557901101563</x:v>
      </x:c>
      <x:c r="E41" s="123" t="n">
        <x:v>-1.012057064676251</x:v>
      </x:c>
      <x:c r="F41" s="123" t="n">
        <x:v>11.22312362349731</x:v>
      </x:c>
      <x:c r="G41" s="123" t="n">
        <x:v>-999</x:v>
      </x:c>
      <x:c r="H41" s="118"/>
      <x:c r="I41" t="str">
        <x:v>false layer stronger</x:v>
      </x:c>
      <x:c r="J41" s="118" t="n">
        <x:v>-3959.758391039537</x:v>
      </x:c>
      <x:c r="K41" t="n">
        <x:v>6</x:v>
      </x:c>
      <x:c r="L41" s="123" t="n">
        <x:v>0</x:v>
      </x:c>
    </x:row>
    <x:row r="42">
      <x:c r="A42" s="118" t="n">
        <x:v>-53.5</x:v>
      </x:c>
      <x:c r="B42" t="str">
        <x:v>rough_surface_clutter</x:v>
      </x:c>
      <x:c r="C42" t="str">
        <x:v>VHF_60MHz_shallow</x:v>
      </x:c>
      <x:c r="D42" s="118" t="n">
        <x:v>14615.557901101563</x:v>
      </x:c>
      <x:c r="E42" s="123"/>
      <x:c r="F42" s="123" t="n">
        <x:v>-999</x:v>
      </x:c>
      <x:c r="G42" s="123" t="n">
        <x:v>7.093003123787597</x:v>
      </x:c>
      <x:c r="H42" s="118" t="n">
        <x:v>1933.8953933438415</x:v>
      </x:c>
      <x:c r="I42" t="str">
        <x:v>surface clutter in shallow window</x:v>
      </x:c>
      <x:c r="J42" s="118" t="n">
        <x:v>-12681.662507757723</x:v>
      </x:c>
      <x:c r="K42" t="n">
        <x:v>0</x:v>
      </x:c>
      <x:c r="L42" s="123" t="n">
        <x:v>0.8107122677267862</x:v>
      </x:c>
    </x:row>
    <x:row r="43">
      <x:c r="A43" s="118" t="n">
        <x:v>-53.5</x:v>
      </x:c>
      <x:c r="B43" t="str">
        <x:v>complex_with_clutter</x:v>
      </x:c>
      <x:c r="C43" t="str">
        <x:v>VHF_60MHz_shallow</x:v>
      </x:c>
      <x:c r="D43" s="118" t="n">
        <x:v>14615.557901101563</x:v>
      </x:c>
      <x:c r="E43" s="123"/>
      <x:c r="F43" s="123" t="n">
        <x:v>10.170926687486556</x:v>
      </x:c>
      <x:c r="G43" s="123" t="n">
        <x:v>9.403533086808938</x:v>
      </x:c>
      <x:c r="H43" s="118" t="n">
        <x:v>1933.8953933438415</x:v>
      </x:c>
      <x:c r="I43" t="str">
        <x:v>surface clutter in shallow window</x:v>
      </x:c>
      <x:c r="J43" s="118" t="n">
        <x:v>-12681.662507757723</x:v>
      </x:c>
      <x:c r="K43" t="n">
        <x:v>9</x:v>
      </x:c>
      <x:c r="L43" s="123" t="n">
        <x:v>0.8107122677267862</x:v>
      </x:c>
    </x:row>
    <x:row r="44">
      <x:c r="A44" s="118" t="n">
        <x:v>-53</x:v>
      </x:c>
      <x:c r="B44" t="str">
        <x:v>stacked_dirty_layers</x:v>
      </x:c>
      <x:c r="C44" t="str">
        <x:v>HF_9MHz_full_depth</x:v>
      </x:c>
      <x:c r="D44" s="118" t="n">
        <x:v>14618.824704591409</x:v>
      </x:c>
      <x:c r="E44" s="123" t="n">
        <x:v>-1.0284843139939213</x:v>
      </x:c>
      <x:c r="F44" s="123" t="n">
        <x:v>11.271822024342042</x:v>
      </x:c>
      <x:c r="G44" s="123" t="n">
        <x:v>-999</x:v>
      </x:c>
      <x:c r="H44" s="118"/>
      <x:c r="I44" t="str">
        <x:v>false layer stronger</x:v>
      </x:c>
      <x:c r="J44" s="118" t="n">
        <x:v>-3981.270917285594</x:v>
      </x:c>
      <x:c r="K44" t="n">
        <x:v>6</x:v>
      </x:c>
      <x:c r="L44" s="123" t="n">
        <x:v>0</x:v>
      </x:c>
    </x:row>
    <x:row r="45">
      <x:c r="A45" s="118" t="n">
        <x:v>-53</x:v>
      </x:c>
      <x:c r="B45" t="str">
        <x:v>rough_surface_clutter</x:v>
      </x:c>
      <x:c r="C45" t="str">
        <x:v>VHF_60MHz_shallow</x:v>
      </x:c>
      <x:c r="D45" s="118" t="n">
        <x:v>14618.824704591409</x:v>
      </x:c>
      <x:c r="E45" s="123"/>
      <x:c r="F45" s="123" t="n">
        <x:v>-999</x:v>
      </x:c>
      <x:c r="G45" s="123" t="n">
        <x:v>5.567265513555554</x:v>
      </x:c>
      <x:c r="H45" s="118" t="n">
        <x:v>1848.7623959617533</x:v>
      </x:c>
      <x:c r="I45" t="str">
        <x:v>surface clutter in shallow window</x:v>
      </x:c>
      <x:c r="J45" s="118" t="n">
        <x:v>-12770.062308629655</x:v>
      </x:c>
      <x:c r="K45" t="n">
        <x:v>0</x:v>
      </x:c>
      <x:c r="L45" s="123" t="n">
        <x:v>0.7162393506845545</x:v>
      </x:c>
    </x:row>
    <x:row r="46">
      <x:c r="A46" s="118" t="n">
        <x:v>-53</x:v>
      </x:c>
      <x:c r="B46" t="str">
        <x:v>complex_with_clutter</x:v>
      </x:c>
      <x:c r="C46" t="str">
        <x:v>VHF_60MHz_shallow</x:v>
      </x:c>
      <x:c r="D46" s="118" t="n">
        <x:v>14618.824704591409</x:v>
      </x:c>
      <x:c r="E46" s="123"/>
      <x:c r="F46" s="123" t="n">
        <x:v>10.254439348520425</x:v>
      </x:c>
      <x:c r="G46" s="123" t="n">
        <x:v>7.608547663006535</x:v>
      </x:c>
      <x:c r="H46" s="118" t="n">
        <x:v>1848.7623959617533</x:v>
      </x:c>
      <x:c r="I46" t="str">
        <x:v>surface clutter in shallow window</x:v>
      </x:c>
      <x:c r="J46" s="118" t="n">
        <x:v>-12770.062308629655</x:v>
      </x:c>
      <x:c r="K46" t="n">
        <x:v>9</x:v>
      </x:c>
      <x:c r="L46" s="123" t="n">
        <x:v>0.7162393506845545</x:v>
      </x:c>
    </x:row>
    <x:row r="47">
      <x:c r="A47" s="118" t="n">
        <x:v>-52.5</x:v>
      </x:c>
      <x:c r="B47" t="str">
        <x:v>stacked_dirty_layers</x:v>
      </x:c>
      <x:c r="C47" t="str">
        <x:v>HF_9MHz_full_depth</x:v>
      </x:c>
      <x:c r="D47" s="118" t="n">
        <x:v>14621.223871899127</x:v>
      </x:c>
      <x:c r="E47" s="123" t="n">
        <x:v>-1.09539375167524</x:v>
      </x:c>
      <x:c r="F47" s="123" t="n">
        <x:v>11.269284008053411</x:v>
      </x:c>
      <x:c r="G47" s="123" t="n">
        <x:v>-999</x:v>
      </x:c>
      <x:c r="H47" s="118"/>
      <x:c r="I47" t="str">
        <x:v>false layer stronger</x:v>
      </x:c>
      <x:c r="J47" s="118" t="n">
        <x:v>-4002.548490498084</x:v>
      </x:c>
      <x:c r="K47" t="n">
        <x:v>6</x:v>
      </x:c>
      <x:c r="L47" s="123" t="n">
        <x:v>0</x:v>
      </x:c>
    </x:row>
    <x:row r="48">
      <x:c r="A48" s="118" t="n">
        <x:v>-52.5</x:v>
      </x:c>
      <x:c r="B48" t="str">
        <x:v>rough_surface_clutter</x:v>
      </x:c>
      <x:c r="C48" t="str">
        <x:v>VHF_60MHz_shallow</x:v>
      </x:c>
      <x:c r="D48" s="118" t="n">
        <x:v>14621.223871899127</x:v>
      </x:c>
      <x:c r="E48" s="123"/>
      <x:c r="F48" s="123" t="n">
        <x:v>-999</x:v>
      </x:c>
      <x:c r="G48" s="123" t="n">
        <x:v>6.944497329224978</x:v>
      </x:c>
      <x:c r="H48" s="118" t="n">
        <x:v>1855.893895695696</x:v>
      </x:c>
      <x:c r="I48" t="str">
        <x:v>surface clutter in shallow window</x:v>
      </x:c>
      <x:c r="J48" s="118" t="n">
        <x:v>-12765.329976203431</x:v>
      </x:c>
      <x:c r="K48" t="n">
        <x:v>0</x:v>
      </x:c>
      <x:c r="L48" s="123" t="n">
        <x:v>0.8015168624907107</x:v>
      </x:c>
    </x:row>
    <x:row r="49">
      <x:c r="A49" s="118" t="n">
        <x:v>-52.5</x:v>
      </x:c>
      <x:c r="B49" t="str">
        <x:v>complex_with_clutter</x:v>
      </x:c>
      <x:c r="C49" t="str">
        <x:v>VHF_60MHz_shallow</x:v>
      </x:c>
      <x:c r="D49" s="118" t="n">
        <x:v>14621.223871899127</x:v>
      </x:c>
      <x:c r="E49" s="123"/>
      <x:c r="F49" s="123" t="n">
        <x:v>10.194027939776701</x:v>
      </x:c>
      <x:c r="G49" s="123" t="n">
        <x:v>9.228820387323504</x:v>
      </x:c>
      <x:c r="H49" s="118" t="n">
        <x:v>1855.893895695696</x:v>
      </x:c>
      <x:c r="I49" t="str">
        <x:v>surface clutter in shallow window</x:v>
      </x:c>
      <x:c r="J49" s="118" t="n">
        <x:v>-12765.329976203431</x:v>
      </x:c>
      <x:c r="K49" t="n">
        <x:v>9</x:v>
      </x:c>
      <x:c r="L49" s="123" t="n">
        <x:v>0.8015168624907107</x:v>
      </x:c>
    </x:row>
    <x:row r="50">
      <x:c r="A50" s="118" t="n">
        <x:v>-52</x:v>
      </x:c>
      <x:c r="B50" t="str">
        <x:v>stacked_dirty_layers</x:v>
      </x:c>
      <x:c r="C50" t="str">
        <x:v>HF_9MHz_full_depth</x:v>
      </x:c>
      <x:c r="D50" s="118" t="n">
        <x:v>14622.536888707544</x:v>
      </x:c>
      <x:c r="E50" s="123" t="n">
        <x:v>-1.1736485134589063</x:v>
      </x:c>
      <x:c r="F50" s="123" t="n">
        <x:v>11.254391767541664</x:v>
      </x:c>
      <x:c r="G50" s="123" t="n">
        <x:v>-999</x:v>
      </x:c>
      <x:c r="H50" s="118"/>
      <x:c r="I50" t="str">
        <x:v>false layer stronger</x:v>
      </x:c>
      <x:c r="J50" s="118" t="n">
        <x:v>-4023.492216765995</x:v>
      </x:c>
      <x:c r="K50" t="n">
        <x:v>6</x:v>
      </x:c>
      <x:c r="L50" s="123" t="n">
        <x:v>0</x:v>
      </x:c>
    </x:row>
    <x:row r="51">
      <x:c r="A51" s="118" t="n">
        <x:v>-52</x:v>
      </x:c>
      <x:c r="B51" t="str">
        <x:v>rough_surface_clutter</x:v>
      </x:c>
      <x:c r="C51" t="str">
        <x:v>VHF_60MHz_shallow</x:v>
      </x:c>
      <x:c r="D51" s="118" t="n">
        <x:v>14622.536888707544</x:v>
      </x:c>
      <x:c r="E51" s="123"/>
      <x:c r="F51" s="123" t="n">
        <x:v>-999</x:v>
      </x:c>
      <x:c r="G51" s="123" t="n">
        <x:v>9.030551524170383</x:v>
      </x:c>
      <x:c r="H51" s="118" t="n">
        <x:v>1885.6459088191932</x:v>
      </x:c>
      <x:c r="I51" t="str">
        <x:v>surface clutter in shallow window</x:v>
      </x:c>
      <x:c r="J51" s="118" t="n">
        <x:v>-12736.89097988835</x:v>
      </x:c>
      <x:c r="K51" t="n">
        <x:v>0</x:v>
      </x:c>
      <x:c r="L51" s="123" t="n">
        <x:v>0.930684304902191</x:v>
      </x:c>
    </x:row>
    <x:row r="52">
      <x:c r="A52" s="118" t="n">
        <x:v>-52</x:v>
      </x:c>
      <x:c r="B52" t="str">
        <x:v>complex_with_clutter</x:v>
      </x:c>
      <x:c r="C52" t="str">
        <x:v>VHF_60MHz_shallow</x:v>
      </x:c>
      <x:c r="D52" s="118" t="n">
        <x:v>14622.536888707544</x:v>
      </x:c>
      <x:c r="E52" s="123"/>
      <x:c r="F52" s="123" t="n">
        <x:v>10.098353123878864</x:v>
      </x:c>
      <x:c r="G52" s="123" t="n">
        <x:v>11.683001793141628</x:v>
      </x:c>
      <x:c r="H52" s="118" t="n">
        <x:v>1885.6459088191932</x:v>
      </x:c>
      <x:c r="I52" t="str">
        <x:v>surface clutter in shallow window</x:v>
      </x:c>
      <x:c r="J52" s="118" t="n">
        <x:v>-12736.89097988835</x:v>
      </x:c>
      <x:c r="K52" t="n">
        <x:v>9</x:v>
      </x:c>
      <x:c r="L52" s="123" t="n">
        <x:v>0.930684304902191</x:v>
      </x:c>
    </x:row>
    <x:row r="53">
      <x:c r="A53" s="118" t="n">
        <x:v>-51.5</x:v>
      </x:c>
      <x:c r="B53" t="str">
        <x:v>stacked_dirty_layers</x:v>
      </x:c>
      <x:c r="C53" t="str">
        <x:v>HF_9MHz_full_depth</x:v>
      </x:c>
      <x:c r="D53" s="118" t="n">
        <x:v>14622.37004851927</x:v>
      </x:c>
      <x:c r="E53" s="123" t="n">
        <x:v>-1.1523358522949643</x:v>
      </x:c>
      <x:c r="F53" s="123" t="n">
        <x:v>11.337679455615238</x:v>
      </x:c>
      <x:c r="G53" s="123" t="n">
        <x:v>-999</x:v>
      </x:c>
      <x:c r="H53" s="118"/>
      <x:c r="I53" t="str">
        <x:v>false layer stronger</x:v>
      </x:c>
      <x:c r="J53" s="118" t="n">
        <x:v>-4043.952231594363</x:v>
      </x:c>
      <x:c r="K53" t="n">
        <x:v>6</x:v>
      </x:c>
      <x:c r="L53" s="123" t="n">
        <x:v>0</x:v>
      </x:c>
    </x:row>
    <x:row r="54">
      <x:c r="A54" s="118" t="n">
        <x:v>-51.5</x:v>
      </x:c>
      <x:c r="B54" t="str">
        <x:v>rough_surface_clutter</x:v>
      </x:c>
      <x:c r="C54" t="str">
        <x:v>VHF_60MHz_shallow</x:v>
      </x:c>
      <x:c r="D54" s="118" t="n">
        <x:v>14622.37004851927</x:v>
      </x:c>
      <x:c r="E54" s="123"/>
      <x:c r="F54" s="123" t="n">
        <x:v>-999</x:v>
      </x:c>
      <x:c r="G54" s="123" t="n">
        <x:v>5.58629942550054</x:v>
      </x:c>
      <x:c r="H54" s="118" t="n">
        <x:v>1739.886649566528</x:v>
      </x:c>
      <x:c r="I54" t="str">
        <x:v>surface clutter in shallow window</x:v>
      </x:c>
      <x:c r="J54" s="118" t="n">
        <x:v>-12882.483398952741</x:v>
      </x:c>
      <x:c r="K54" t="n">
        <x:v>0</x:v>
      </x:c>
      <x:c r="L54" s="123" t="n">
        <x:v>0.7174179210836248</x:v>
      </x:c>
    </x:row>
    <x:row r="55">
      <x:c r="A55" s="118" t="n">
        <x:v>-51.5</x:v>
      </x:c>
      <x:c r="B55" t="str">
        <x:v>complex_with_clutter</x:v>
      </x:c>
      <x:c r="C55" t="str">
        <x:v>VHF_60MHz_shallow</x:v>
      </x:c>
      <x:c r="D55" s="118" t="n">
        <x:v>14622.37004851927</x:v>
      </x:c>
      <x:c r="E55" s="123"/>
      <x:c r="F55" s="123" t="n">
        <x:v>10.276446770274903</x:v>
      </x:c>
      <x:c r="G55" s="123" t="n">
        <x:v>7.630940500588871</x:v>
      </x:c>
      <x:c r="H55" s="118" t="n">
        <x:v>1739.886649566528</x:v>
      </x:c>
      <x:c r="I55" t="str">
        <x:v>surface clutter in shallow window</x:v>
      </x:c>
      <x:c r="J55" s="118" t="n">
        <x:v>-12882.483398952741</x:v>
      </x:c>
      <x:c r="K55" t="n">
        <x:v>9</x:v>
      </x:c>
      <x:c r="L55" s="123" t="n">
        <x:v>0.7174179210836248</x:v>
      </x:c>
    </x:row>
    <x:row r="56">
      <x:c r="A56" s="118" t="n">
        <x:v>-51</x:v>
      </x:c>
      <x:c r="B56" t="str">
        <x:v>stacked_dirty_layers</x:v>
      </x:c>
      <x:c r="C56" t="str">
        <x:v>HF_9MHz_full_depth</x:v>
      </x:c>
      <x:c r="D56" s="118" t="n">
        <x:v>14625.906076815862</x:v>
      </x:c>
      <x:c r="E56" s="123" t="n">
        <x:v>-1.201651270003679</x:v>
      </x:c>
      <x:c r="F56" s="123" t="n">
        <x:v>11.352490382901427</x:v>
      </x:c>
      <x:c r="G56" s="123" t="n">
        <x:v>-999</x:v>
      </x:c>
      <x:c r="H56" s="118"/>
      <x:c r="I56" t="str">
        <x:v>false layer stronger</x:v>
      </x:c>
      <x:c r="J56" s="118" t="n">
        <x:v>-4065.369312970499</x:v>
      </x:c>
      <x:c r="K56" t="n">
        <x:v>6</x:v>
      </x:c>
      <x:c r="L56" s="123" t="n">
        <x:v>0</x:v>
      </x:c>
    </x:row>
    <x:row r="57">
      <x:c r="A57" s="118" t="n">
        <x:v>-51</x:v>
      </x:c>
      <x:c r="B57" t="str">
        <x:v>rough_surface_clutter</x:v>
      </x:c>
      <x:c r="C57" t="str">
        <x:v>VHF_60MHz_shallow</x:v>
      </x:c>
      <x:c r="D57" s="118" t="n">
        <x:v>14625.906076815862</x:v>
      </x:c>
      <x:c r="E57" s="123"/>
      <x:c r="F57" s="123" t="n">
        <x:v>-999</x:v>
      </x:c>
      <x:c r="G57" s="123" t="n">
        <x:v>5.878958255954538</x:v>
      </x:c>
      <x:c r="H57" s="118" t="n">
        <x:v>1713.038623553938</x:v>
      </x:c>
      <x:c r="I57" t="str">
        <x:v>surface clutter in shallow window</x:v>
      </x:c>
      <x:c r="J57" s="118" t="n">
        <x:v>-12912.867453261924</x:v>
      </x:c>
      <x:c r="K57" t="n">
        <x:v>0</x:v>
      </x:c>
      <x:c r="L57" s="123" t="n">
        <x:v>0.7355392108950178</x:v>
      </x:c>
    </x:row>
    <x:row r="58">
      <x:c r="A58" s="118" t="n">
        <x:v>-51</x:v>
      </x:c>
      <x:c r="B58" t="str">
        <x:v>complex_with_clutter</x:v>
      </x:c>
      <x:c r="C58" t="str">
        <x:v>VHF_60MHz_shallow</x:v>
      </x:c>
      <x:c r="D58" s="118" t="n">
        <x:v>14625.906076815862</x:v>
      </x:c>
      <x:c r="E58" s="123"/>
      <x:c r="F58" s="123" t="n">
        <x:v>10.269225263479031</x:v>
      </x:c>
      <x:c r="G58" s="123" t="n">
        <x:v>7.97524500700534</x:v>
      </x:c>
      <x:c r="H58" s="118" t="n">
        <x:v>1713.038623553938</x:v>
      </x:c>
      <x:c r="I58" t="str">
        <x:v>surface clutter in shallow window</x:v>
      </x:c>
      <x:c r="J58" s="118" t="n">
        <x:v>-12912.867453261924</x:v>
      </x:c>
      <x:c r="K58" t="n">
        <x:v>9</x:v>
      </x:c>
      <x:c r="L58" s="123" t="n">
        <x:v>0.7355392108950178</x:v>
      </x:c>
    </x:row>
    <x:row r="59">
      <x:c r="A59" s="118" t="n">
        <x:v>-50.5</x:v>
      </x:c>
      <x:c r="B59" t="str">
        <x:v>stacked_dirty_layers</x:v>
      </x:c>
      <x:c r="C59" t="str">
        <x:v>HF_9MHz_full_depth</x:v>
      </x:c>
      <x:c r="D59" s="118" t="n">
        <x:v>14628.005233442185</x:v>
      </x:c>
      <x:c r="E59" s="123" t="n">
        <x:v>-1.275200776085321</x:v>
      </x:c>
      <x:c r="F59" s="123" t="n">
        <x:v>11.341519049246884</x:v>
      </x:c>
      <x:c r="G59" s="123" t="n">
        <x:v>-999</x:v>
      </x:c>
      <x:c r="H59" s="118"/>
      <x:c r="I59" t="str">
        <x:v>false layer stronger</x:v>
      </x:c>
      <x:c r="J59" s="118" t="n">
        <x:v>-4086.2506567020737</x:v>
      </x:c>
      <x:c r="K59" t="n">
        <x:v>6</x:v>
      </x:c>
      <x:c r="L59" s="123" t="n">
        <x:v>0</x:v>
      </x:c>
    </x:row>
    <x:row r="60">
      <x:c r="A60" s="118" t="n">
        <x:v>-50.5</x:v>
      </x:c>
      <x:c r="B60" t="str">
        <x:v>rough_surface_clutter</x:v>
      </x:c>
      <x:c r="C60" t="str">
        <x:v>VHF_60MHz_shallow</x:v>
      </x:c>
      <x:c r="D60" s="118" t="n">
        <x:v>14628.005233442185</x:v>
      </x:c>
      <x:c r="E60" s="123"/>
      <x:c r="F60" s="123" t="n">
        <x:v>-999</x:v>
      </x:c>
      <x:c r="G60" s="123" t="n">
        <x:v>7.642830573916893</x:v>
      </x:c>
      <x:c r="H60" s="118" t="n">
        <x:v>1733.1843942167518</x:v>
      </x:c>
      <x:c r="I60" t="str">
        <x:v>surface clutter in shallow window</x:v>
      </x:c>
      <x:c r="J60" s="118" t="n">
        <x:v>-12894.820839225433</x:v>
      </x:c>
      <x:c r="K60" t="n">
        <x:v>0</x:v>
      </x:c>
      <x:c r="L60" s="123" t="n">
        <x:v>0.8447573110784454</x:v>
      </x:c>
    </x:row>
    <x:row r="61">
      <x:c r="A61" s="118" t="n">
        <x:v>-50.5</x:v>
      </x:c>
      <x:c r="B61" t="str">
        <x:v>complex_with_clutter</x:v>
      </x:c>
      <x:c r="C61" t="str">
        <x:v>VHF_60MHz_shallow</x:v>
      </x:c>
      <x:c r="D61" s="118" t="n">
        <x:v>14628.005233442185</x:v>
      </x:c>
      <x:c r="E61" s="123"/>
      <x:c r="F61" s="123" t="n">
        <x:v>10.188895716024081</x:v>
      </x:c>
      <x:c r="G61" s="123" t="n">
        <x:v>10.050388910490462</x:v>
      </x:c>
      <x:c r="H61" s="118" t="n">
        <x:v>1733.1843942167518</x:v>
      </x:c>
      <x:c r="I61" t="str">
        <x:v>surface clutter in shallow window</x:v>
      </x:c>
      <x:c r="J61" s="118" t="n">
        <x:v>-12894.820839225433</x:v>
      </x:c>
      <x:c r="K61" t="n">
        <x:v>9</x:v>
      </x:c>
      <x:c r="L61" s="123" t="n">
        <x:v>0.8447573110784454</x:v>
      </x:c>
    </x:row>
    <x:row r="62">
      <x:c r="A62" s="118" t="n">
        <x:v>-50</x:v>
      </x:c>
      <x:c r="B62" t="str">
        <x:v>stacked_dirty_layers</x:v>
      </x:c>
      <x:c r="C62" t="str">
        <x:v>HF_9MHz_full_depth</x:v>
      </x:c>
      <x:c r="D62" s="118" t="n">
        <x:v>14626.012286300014</x:v>
      </x:c>
      <x:c r="E62" s="123" t="n">
        <x:v>-1.2786908731809326</x:v>
      </x:c>
      <x:c r="F62" s="123" t="n">
        <x:v>11.397082698973357</x:v>
      </x:c>
      <x:c r="G62" s="123" t="n">
        <x:v>-999</x:v>
      </x:c>
      <x:c r="H62" s="118"/>
      <x:c r="I62" t="str">
        <x:v>false layer stronger</x:v>
      </x:c>
      <x:c r="J62" s="118" t="n">
        <x:v>-4105.7916247800895</x:v>
      </x:c>
      <x:c r="K62" t="n">
        <x:v>6</x:v>
      </x:c>
      <x:c r="L62" s="123" t="n">
        <x:v>0</x:v>
      </x:c>
    </x:row>
    <x:row r="63">
      <x:c r="A63" s="118" t="n">
        <x:v>-50</x:v>
      </x:c>
      <x:c r="B63" t="str">
        <x:v>rough_surface_clutter</x:v>
      </x:c>
      <x:c r="C63" t="str">
        <x:v>VHF_60MHz_shallow</x:v>
      </x:c>
      <x:c r="D63" s="118" t="n">
        <x:v>14626.012286300014</x:v>
      </x:c>
      <x:c r="E63" s="123"/>
      <x:c r="F63" s="123" t="n">
        <x:v>-999</x:v>
      </x:c>
      <x:c r="G63" s="123" t="n">
        <x:v>5.733947825837422</x:v>
      </x:c>
      <x:c r="H63" s="118" t="n">
        <x:v>1636.9787155995782</x:v>
      </x:c>
      <x:c r="I63" t="str">
        <x:v>surface clutter in shallow window</x:v>
      </x:c>
      <x:c r="J63" s="118" t="n">
        <x:v>-12989.033570700436</x:v>
      </x:c>
      <x:c r="K63" t="n">
        <x:v>0</x:v>
      </x:c>
      <x:c r="L63" s="123" t="n">
        <x:v>0.7265602368939581</x:v>
      </x:c>
    </x:row>
    <x:row r="64">
      <x:c r="A64" s="118" t="n">
        <x:v>-50</x:v>
      </x:c>
      <x:c r="B64" t="str">
        <x:v>complex_with_clutter</x:v>
      </x:c>
      <x:c r="C64" t="str">
        <x:v>VHF_60MHz_shallow</x:v>
      </x:c>
      <x:c r="D64" s="118" t="n">
        <x:v>14626.012286300014</x:v>
      </x:c>
      <x:c r="E64" s="123"/>
      <x:c r="F64" s="123" t="n">
        <x:v>10.290243088284269</x:v>
      </x:c>
      <x:c r="G64" s="123" t="n">
        <x:v>7.804644500985203</x:v>
      </x:c>
      <x:c r="H64" s="118" t="n">
        <x:v>1636.9787155995782</x:v>
      </x:c>
      <x:c r="I64" t="str">
        <x:v>surface clutter in shallow window</x:v>
      </x:c>
      <x:c r="J64" s="118" t="n">
        <x:v>-12989.033570700436</x:v>
      </x:c>
      <x:c r="K64" t="n">
        <x:v>9</x:v>
      </x:c>
      <x:c r="L64" s="123" t="n">
        <x:v>0.7265602368939581</x:v>
      </x:c>
    </x:row>
    <x:row r="65">
      <x:c r="A65" s="118" t="n">
        <x:v>-49.5</x:v>
      </x:c>
      <x:c r="B65" t="str">
        <x:v>stacked_dirty_layers</x:v>
      </x:c>
      <x:c r="C65" t="str">
        <x:v>HF_9MHz_full_depth</x:v>
      </x:c>
      <x:c r="D65" s="118" t="n">
        <x:v>14629.040649051138</x:v>
      </x:c>
      <x:c r="E65" s="123" t="n">
        <x:v>-1.3117131673233275</x:v>
      </x:c>
      <x:c r="F65" s="123" t="n">
        <x:v>11.425923058508262</x:v>
      </x:c>
      <x:c r="G65" s="123" t="n">
        <x:v>-999</x:v>
      </x:c>
      <x:c r="H65" s="118"/>
      <x:c r="I65" t="str">
        <x:v>false layer stronger</x:v>
      </x:c>
      <x:c r="J65" s="118" t="n">
        <x:v>-4126.58329234616</x:v>
      </x:c>
      <x:c r="K65" t="n">
        <x:v>6</x:v>
      </x:c>
      <x:c r="L65" s="123" t="n">
        <x:v>0</x:v>
      </x:c>
    </x:row>
    <x:row r="66">
      <x:c r="A66" s="118" t="n">
        <x:v>-49.5</x:v>
      </x:c>
      <x:c r="B66" t="str">
        <x:v>rough_surface_clutter</x:v>
      </x:c>
      <x:c r="C66" t="str">
        <x:v>VHF_60MHz_shallow</x:v>
      </x:c>
      <x:c r="D66" s="118" t="n">
        <x:v>14629.040649051138</x:v>
      </x:c>
      <x:c r="E66" s="123"/>
      <x:c r="F66" s="123" t="n">
        <x:v>-999</x:v>
      </x:c>
      <x:c r="G66" s="123" t="n">
        <x:v>5.158680305017233</x:v>
      </x:c>
      <x:c r="H66" s="118" t="n">
        <x:v>1583.4984221198579</x:v>
      </x:c>
      <x:c r="I66" t="str">
        <x:v>surface clutter in shallow window</x:v>
      </x:c>
      <x:c r="J66" s="118" t="n">
        <x:v>-13045.54222693128</x:v>
      </x:c>
      <x:c r="K66" t="n">
        <x:v>0</x:v>
      </x:c>
      <x:c r="L66" s="123" t="n">
        <x:v>0.6909399569670114</x:v>
      </x:c>
    </x:row>
    <x:row r="67">
      <x:c r="A67" s="118" t="n">
        <x:v>-49.5</x:v>
      </x:c>
      <x:c r="B67" t="str">
        <x:v>complex_with_clutter</x:v>
      </x:c>
      <x:c r="C67" t="str">
        <x:v>VHF_60MHz_shallow</x:v>
      </x:c>
      <x:c r="D67" s="118" t="n">
        <x:v>14629.040649051138</x:v>
      </x:c>
      <x:c r="E67" s="123"/>
      <x:c r="F67" s="123" t="n">
        <x:v>10.325250237176444</x:v>
      </x:c>
      <x:c r="G67" s="123" t="n">
        <x:v>7.127859182373216</x:v>
      </x:c>
      <x:c r="H67" s="118" t="n">
        <x:v>1583.4984221198579</x:v>
      </x:c>
      <x:c r="I67" t="str">
        <x:v>surface clutter in shallow window</x:v>
      </x:c>
      <x:c r="J67" s="118" t="n">
        <x:v>-13045.54222693128</x:v>
      </x:c>
      <x:c r="K67" t="n">
        <x:v>9</x:v>
      </x:c>
      <x:c r="L67" s="123" t="n">
        <x:v>0.6909399569670114</x:v>
      </x:c>
    </x:row>
    <x:row r="68">
      <x:c r="A68" s="118" t="n">
        <x:v>-49</x:v>
      </x:c>
      <x:c r="B68" t="str">
        <x:v>stacked_dirty_layers</x:v>
      </x:c>
      <x:c r="C68" t="str">
        <x:v>HF_9MHz_full_depth</x:v>
      </x:c>
      <x:c r="D68" s="118" t="n">
        <x:v>14628.219878746673</x:v>
      </x:c>
      <x:c r="E68" s="123" t="n">
        <x:v>-1.3565957231968966</x:v>
      </x:c>
      <x:c r="F68" s="123" t="n">
        <x:v>11.439428781237426</x:v>
      </x:c>
      <x:c r="G68" s="123" t="n">
        <x:v>-999</x:v>
      </x:c>
      <x:c r="H68" s="118"/>
      <x:c r="I68" t="str">
        <x:v>false layer stronger</x:v>
      </x:c>
      <x:c r="J68" s="118" t="n">
        <x:v>-4146.031682515202</x:v>
      </x:c>
      <x:c r="K68" t="n">
        <x:v>6</x:v>
      </x:c>
      <x:c r="L68" s="123" t="n">
        <x:v>0</x:v>
      </x:c>
    </x:row>
    <x:row r="69">
      <x:c r="A69" s="118" t="n">
        <x:v>-49</x:v>
      </x:c>
      <x:c r="B69" t="str">
        <x:v>rough_surface_clutter</x:v>
      </x:c>
      <x:c r="C69" t="str">
        <x:v>VHF_60MHz_shallow</x:v>
      </x:c>
      <x:c r="D69" s="118" t="n">
        <x:v>14628.219878746673</x:v>
      </x:c>
      <x:c r="E69" s="123"/>
      <x:c r="F69" s="123" t="n">
        <x:v>-999</x:v>
      </x:c>
      <x:c r="G69" s="123" t="n">
        <x:v>5.531541590024009</x:v>
      </x:c>
      <x:c r="H69" s="118" t="n">
        <x:v>1560.5490847962626</x:v>
      </x:c>
      <x:c r="I69" t="str">
        <x:v>surface clutter in shallow window</x:v>
      </x:c>
      <x:c r="J69" s="118" t="n">
        <x:v>-13067.67079395041</x:v>
      </x:c>
      <x:c r="K69" t="n">
        <x:v>0</x:v>
      </x:c>
      <x:c r="L69" s="123" t="n">
        <x:v>0.7140273430355424</x:v>
      </x:c>
    </x:row>
    <x:row r="70">
      <x:c r="A70" s="118" t="n">
        <x:v>-49</x:v>
      </x:c>
      <x:c r="B70" t="str">
        <x:v>complex_with_clutter</x:v>
      </x:c>
      <x:c r="C70" t="str">
        <x:v>VHF_60MHz_shallow</x:v>
      </x:c>
      <x:c r="D70" s="118" t="n">
        <x:v>14628.219878746673</x:v>
      </x:c>
      <x:c r="E70" s="123"/>
      <x:c r="F70" s="123" t="n">
        <x:v>10.312990059829206</x:v>
      </x:c>
      <x:c r="G70" s="123" t="n">
        <x:v>7.566519517675305</x:v>
      </x:c>
      <x:c r="H70" s="118" t="n">
        <x:v>1560.5490847962626</x:v>
      </x:c>
      <x:c r="I70" t="str">
        <x:v>surface clutter in shallow window</x:v>
      </x:c>
      <x:c r="J70" s="118" t="n">
        <x:v>-13067.67079395041</x:v>
      </x:c>
      <x:c r="K70" t="n">
        <x:v>9</x:v>
      </x:c>
      <x:c r="L70" s="123" t="n">
        <x:v>0.7140273430355424</x:v>
      </x:c>
    </x:row>
    <x:row r="71">
      <x:c r="A71" s="118" t="n">
        <x:v>-48.5</x:v>
      </x:c>
      <x:c r="B71" t="str">
        <x:v>stacked_dirty_layers</x:v>
      </x:c>
      <x:c r="C71" t="str">
        <x:v>HF_9MHz_full_depth</x:v>
      </x:c>
      <x:c r="D71" s="118" t="n">
        <x:v>14628.865542990865</x:v>
      </x:c>
      <x:c r="E71" s="123" t="n">
        <x:v>-1.4227037867755055</x:v>
      </x:c>
      <x:c r="F71" s="123" t="n">
        <x:v>11.4317281358202</x:v>
      </x:c>
      <x:c r="G71" s="123" t="n">
        <x:v>-999</x:v>
      </x:c>
      <x:c r="H71" s="118"/>
      <x:c r="I71" t="str">
        <x:v>false layer stronger</x:v>
      </x:c>
      <x:c r="J71" s="118" t="n">
        <x:v>-4165.643704507589</x:v>
      </x:c>
      <x:c r="K71" t="n">
        <x:v>6</x:v>
      </x:c>
      <x:c r="L71" s="123" t="n">
        <x:v>0</x:v>
      </x:c>
    </x:row>
    <x:row r="72">
      <x:c r="A72" s="118" t="n">
        <x:v>-48.5</x:v>
      </x:c>
      <x:c r="B72" t="str">
        <x:v>rough_surface_clutter</x:v>
      </x:c>
      <x:c r="C72" t="str">
        <x:v>VHF_60MHz_shallow</x:v>
      </x:c>
      <x:c r="D72" s="118" t="n">
        <x:v>14628.865542990865</x:v>
      </x:c>
      <x:c r="E72" s="123"/>
      <x:c r="F72" s="123" t="n">
        <x:v>-999</x:v>
      </x:c>
      <x:c r="G72" s="123" t="n">
        <x:v>7.020101973341411</x:v>
      </x:c>
      <x:c r="H72" s="118" t="n">
        <x:v>1573.5033655598395</x:v>
      </x:c>
      <x:c r="I72" t="str">
        <x:v>surface clutter in shallow window</x:v>
      </x:c>
      <x:c r="J72" s="118" t="n">
        <x:v>-13055.362177431025</x:v>
      </x:c>
      <x:c r="K72" t="n">
        <x:v>0</x:v>
      </x:c>
      <x:c r="L72" s="123" t="n">
        <x:v>0.8061982646031834</x:v>
      </x:c>
    </x:row>
    <x:row r="73">
      <x:c r="A73" s="118" t="n">
        <x:v>-48.5</x:v>
      </x:c>
      <x:c r="B73" t="str">
        <x:v>complex_with_clutter</x:v>
      </x:c>
      <x:c r="C73" t="str">
        <x:v>VHF_60MHz_shallow</x:v>
      </x:c>
      <x:c r="D73" s="118" t="n">
        <x:v>14628.865542990865</x:v>
      </x:c>
      <x:c r="E73" s="123"/>
      <x:c r="F73" s="123" t="n">
        <x:v>10.245140715679863</x:v>
      </x:c>
      <x:c r="G73" s="123" t="n">
        <x:v>9.317767027460485</x:v>
      </x:c>
      <x:c r="H73" s="118" t="n">
        <x:v>1573.5033655598395</x:v>
      </x:c>
      <x:c r="I73" t="str">
        <x:v>surface clutter in shallow window</x:v>
      </x:c>
      <x:c r="J73" s="118" t="n">
        <x:v>-13055.362177431025</x:v>
      </x:c>
      <x:c r="K73" t="n">
        <x:v>9</x:v>
      </x:c>
      <x:c r="L73" s="123" t="n">
        <x:v>0.8061982646031834</x:v>
      </x:c>
    </x:row>
    <x:row r="74">
      <x:c r="A74" s="118" t="n">
        <x:v>-48</x:v>
      </x:c>
      <x:c r="B74" t="str">
        <x:v>stacked_dirty_layers</x:v>
      </x:c>
      <x:c r="C74" t="str">
        <x:v>HF_9MHz_full_depth</x:v>
      </x:c>
      <x:c r="D74" s="118" t="n">
        <x:v>14630.343646203191</x:v>
      </x:c>
      <x:c r="E74" s="123" t="n">
        <x:v>-1.429084199427073</x:v>
      </x:c>
      <x:c r="F74" s="123" t="n">
        <x:v>11.483332142690562</x:v>
      </x:c>
      <x:c r="G74" s="123" t="n">
        <x:v>-999</x:v>
      </x:c>
      <x:c r="H74" s="118"/>
      <x:c r="I74" t="str">
        <x:v>false layer stronger</x:v>
      </x:c>
      <x:c r="J74" s="118" t="n">
        <x:v>-4185.207437940049</x:v>
      </x:c>
      <x:c r="K74" t="n">
        <x:v>6</x:v>
      </x:c>
      <x:c r="L74" s="123" t="n">
        <x:v>0</x:v>
      </x:c>
    </x:row>
    <x:row r="75">
      <x:c r="A75" s="118" t="n">
        <x:v>-48</x:v>
      </x:c>
      <x:c r="B75" t="str">
        <x:v>rough_surface_clutter</x:v>
      </x:c>
      <x:c r="C75" t="str">
        <x:v>VHF_60MHz_shallow</x:v>
      </x:c>
      <x:c r="D75" s="118" t="n">
        <x:v>14630.343646203191</x:v>
      </x:c>
      <x:c r="E75" s="123"/>
      <x:c r="F75" s="123" t="n">
        <x:v>-999</x:v>
      </x:c>
      <x:c r="G75" s="123" t="n">
        <x:v>5.095766949654653</x:v>
      </x:c>
      <x:c r="H75" s="118" t="n">
        <x:v>1478.5609684265073</x:v>
      </x:c>
      <x:c r="I75" t="str">
        <x:v>surface clutter in shallow window</x:v>
      </x:c>
      <x:c r="J75" s="118" t="n">
        <x:v>-13151.782677776684</x:v>
      </x:c>
      <x:c r="K75" t="n">
        <x:v>0</x:v>
      </x:c>
      <x:c r="L75" s="123" t="n">
        <x:v>0.6870443931674708</x:v>
      </x:c>
    </x:row>
    <x:row r="76">
      <x:c r="A76" s="118" t="n">
        <x:v>-48</x:v>
      </x:c>
      <x:c r="B76" t="str">
        <x:v>complex_with_clutter</x:v>
      </x:c>
      <x:c r="C76" t="str">
        <x:v>VHF_60MHz_shallow</x:v>
      </x:c>
      <x:c r="D76" s="118" t="n">
        <x:v>14630.343646203191</x:v>
      </x:c>
      <x:c r="E76" s="123"/>
      <x:c r="F76" s="123" t="n">
        <x:v>10.346009074757983</x:v>
      </x:c>
      <x:c r="G76" s="123" t="n">
        <x:v>7.0538434701819455</x:v>
      </x:c>
      <x:c r="H76" s="118" t="n">
        <x:v>1478.5609684265073</x:v>
      </x:c>
      <x:c r="I76" t="str">
        <x:v>surface clutter in shallow window</x:v>
      </x:c>
      <x:c r="J76" s="118" t="n">
        <x:v>-13151.782677776684</x:v>
      </x:c>
      <x:c r="K76" t="n">
        <x:v>9</x:v>
      </x:c>
      <x:c r="L76" s="123" t="n">
        <x:v>0.6870443931674708</x:v>
      </x:c>
    </x:row>
    <x:row r="77">
      <x:c r="A77" s="118" t="n">
        <x:v>-47.5</x:v>
      </x:c>
      <x:c r="B77" t="str">
        <x:v>stacked_dirty_layers</x:v>
      </x:c>
      <x:c r="C77" t="str">
        <x:v>HF_9MHz_full_depth</x:v>
      </x:c>
      <x:c r="D77" s="118" t="n">
        <x:v>14628.54315116047</x:v>
      </x:c>
      <x:c r="E77" s="123" t="n">
        <x:v>-1.459456443199963</x:v>
      </x:c>
      <x:c r="F77" s="123" t="n">
        <x:v>11.507512232914591</x:v>
      </x:c>
      <x:c r="G77" s="123" t="n">
        <x:v>-999</x:v>
      </x:c>
      <x:c r="H77" s="118"/>
      <x:c r="I77" t="str">
        <x:v>false layer stronger</x:v>
      </x:c>
      <x:c r="J77" s="118" t="n">
        <x:v>-4203.482249482246</x:v>
      </x:c>
      <x:c r="K77" t="n">
        <x:v>6</x:v>
      </x:c>
      <x:c r="L77" s="123" t="n">
        <x:v>0</x:v>
      </x:c>
    </x:row>
    <x:row r="78">
      <x:c r="A78" s="118" t="n">
        <x:v>-47.5</x:v>
      </x:c>
      <x:c r="B78" t="str">
        <x:v>rough_surface_clutter</x:v>
      </x:c>
      <x:c r="C78" t="str">
        <x:v>VHF_60MHz_shallow</x:v>
      </x:c>
      <x:c r="D78" s="118" t="n">
        <x:v>14628.54315116047</x:v>
      </x:c>
      <x:c r="E78" s="123"/>
      <x:c r="F78" s="123" t="n">
        <x:v>-999</x:v>
      </x:c>
      <x:c r="G78" s="123" t="n">
        <x:v>4.777126908373305</x:v>
      </x:c>
      <x:c r="H78" s="118" t="n">
        <x:v>1435.1843828146293</x:v>
      </x:c>
      <x:c r="I78" t="str">
        <x:v>surface clutter in shallow window</x:v>
      </x:c>
      <x:c r="J78" s="118" t="n">
        <x:v>-13193.358768345839</x:v>
      </x:c>
      <x:c r="K78" t="n">
        <x:v>0</x:v>
      </x:c>
      <x:c r="L78" s="123" t="n">
        <x:v>0.6673143596515978</x:v>
      </x:c>
    </x:row>
    <x:row r="79">
      <x:c r="A79" s="118" t="n">
        <x:v>-47.5</x:v>
      </x:c>
      <x:c r="B79" t="str">
        <x:v>complex_with_clutter</x:v>
      </x:c>
      <x:c r="C79" t="str">
        <x:v>VHF_60MHz_shallow</x:v>
      </x:c>
      <x:c r="D79" s="118" t="n">
        <x:v>14628.54315116047</x:v>
      </x:c>
      <x:c r="E79" s="123"/>
      <x:c r="F79" s="123" t="n">
        <x:v>10.36697787677841</x:v>
      </x:c>
      <x:c r="G79" s="123" t="n">
        <x:v>6.678972833380358</x:v>
      </x:c>
      <x:c r="H79" s="118" t="n">
        <x:v>1435.1843828146293</x:v>
      </x:c>
      <x:c r="I79" t="str">
        <x:v>surface clutter in shallow window</x:v>
      </x:c>
      <x:c r="J79" s="118" t="n">
        <x:v>-13193.358768345839</x:v>
      </x:c>
      <x:c r="K79" t="n">
        <x:v>10</x:v>
      </x:c>
      <x:c r="L79" s="123" t="n">
        <x:v>0.6673143596515978</x:v>
      </x:c>
    </x:row>
    <x:row r="80">
      <x:c r="A80" s="118" t="n">
        <x:v>-47</x:v>
      </x:c>
      <x:c r="B80" t="str">
        <x:v>stacked_dirty_layers</x:v>
      </x:c>
      <x:c r="C80" t="str">
        <x:v>HF_9MHz_full_depth</x:v>
      </x:c>
      <x:c r="D80" s="118" t="n">
        <x:v>14628.93334131051</x:v>
      </x:c>
      <x:c r="E80" s="123" t="n">
        <x:v>-1.5238416360004359</x:v>
      </x:c>
      <x:c r="F80" s="123" t="n">
        <x:v>11.498077997507316</x:v>
      </x:c>
      <x:c r="G80" s="123" t="n">
        <x:v>-999</x:v>
      </x:c>
      <x:c r="H80" s="118"/>
      <x:c r="I80" t="str">
        <x:v>false layer stronger</x:v>
      </x:c>
      <x:c r="J80" s="118" t="n">
        <x:v>-4222.045486276616</x:v>
      </x:c>
      <x:c r="K80" t="n">
        <x:v>6</x:v>
      </x:c>
      <x:c r="L80" s="123" t="n">
        <x:v>0</x:v>
      </x:c>
    </x:row>
    <x:row r="81">
      <x:c r="A81" s="118" t="n">
        <x:v>-47</x:v>
      </x:c>
      <x:c r="B81" t="str">
        <x:v>rough_surface_clutter</x:v>
      </x:c>
      <x:c r="C81" t="str">
        <x:v>VHF_60MHz_shallow</x:v>
      </x:c>
      <x:c r="D81" s="118" t="n">
        <x:v>14628.93334131051</x:v>
      </x:c>
      <x:c r="E81" s="123"/>
      <x:c r="F81" s="123" t="n">
        <x:v>-999</x:v>
      </x:c>
      <x:c r="G81" s="123" t="n">
        <x:v>6.2584111757396155</x:v>
      </x:c>
      <x:c r="H81" s="118" t="n">
        <x:v>1449.5908837255156</x:v>
      </x:c>
      <x:c r="I81" t="str">
        <x:v>surface clutter in shallow window</x:v>
      </x:c>
      <x:c r="J81" s="118" t="n">
        <x:v>-13179.342457584995</x:v>
      </x:c>
      <x:c r="K81" t="n">
        <x:v>0</x:v>
      </x:c>
      <x:c r="L81" s="123" t="n">
        <x:v>0.7590347477238152</x:v>
      </x:c>
    </x:row>
    <x:row r="82">
      <x:c r="A82" s="118" t="n">
        <x:v>-47</x:v>
      </x:c>
      <x:c r="B82" t="str">
        <x:v>complex_with_clutter</x:v>
      </x:c>
      <x:c r="C82" t="str">
        <x:v>VHF_60MHz_shallow</x:v>
      </x:c>
      <x:c r="D82" s="118" t="n">
        <x:v>14628.93334131051</x:v>
      </x:c>
      <x:c r="E82" s="123"/>
      <x:c r="F82" s="123" t="n">
        <x:v>10.298409014457082</x:v>
      </x:c>
      <x:c r="G82" s="123" t="n">
        <x:v>8.421660206752488</x:v>
      </x:c>
      <x:c r="H82" s="118" t="n">
        <x:v>1449.5908837255156</x:v>
      </x:c>
      <x:c r="I82" t="str">
        <x:v>surface clutter in shallow window</x:v>
      </x:c>
      <x:c r="J82" s="118" t="n">
        <x:v>-13179.342457584995</x:v>
      </x:c>
      <x:c r="K82" t="n">
        <x:v>10</x:v>
      </x:c>
      <x:c r="L82" s="123" t="n">
        <x:v>0.7590347477238152</x:v>
      </x:c>
    </x:row>
    <x:row r="83">
      <x:c r="A83" s="118" t="n">
        <x:v>-46.5</x:v>
      </x:c>
      <x:c r="B83" t="str">
        <x:v>stacked_dirty_layers</x:v>
      </x:c>
      <x:c r="C83" t="str">
        <x:v>HF_9MHz_full_depth</x:v>
      </x:c>
      <x:c r="D83" s="118" t="n">
        <x:v>14627.807692098573</x:v>
      </x:c>
      <x:c r="E83" s="123" t="n">
        <x:v>-1.5821236650808022</x:v>
      </x:c>
      <x:c r="F83" s="123" t="n">
        <x:v>11.492418844440001</x:v>
      </x:c>
      <x:c r="G83" s="123" t="n">
        <x:v>-999</x:v>
      </x:c>
      <x:c r="H83" s="118"/>
      <x:c r="I83" t="str">
        <x:v>false layer stronger</x:v>
      </x:c>
      <x:c r="J83" s="118" t="n">
        <x:v>-4239.772788399327</x:v>
      </x:c>
      <x:c r="K83" t="n">
        <x:v>6</x:v>
      </x:c>
      <x:c r="L83" s="123" t="n">
        <x:v>0</x:v>
      </x:c>
    </x:row>
    <x:row r="84">
      <x:c r="A84" s="118" t="n">
        <x:v>-46.5</x:v>
      </x:c>
      <x:c r="B84" t="str">
        <x:v>rough_surface_clutter</x:v>
      </x:c>
      <x:c r="C84" t="str">
        <x:v>VHF_60MHz_shallow</x:v>
      </x:c>
      <x:c r="D84" s="118" t="n">
        <x:v>14627.807692098573</x:v>
      </x:c>
      <x:c r="E84" s="123"/>
      <x:c r="F84" s="123" t="n">
        <x:v>-999</x:v>
      </x:c>
      <x:c r="G84" s="123" t="n">
        <x:v>7.530647396194414</x:v>
      </x:c>
      <x:c r="H84" s="118" t="n">
        <x:v>1458.0128203229135</x:v>
      </x:c>
      <x:c r="I84" t="str">
        <x:v>surface clutter in shallow window</x:v>
      </x:c>
      <x:c r="J84" s="118" t="n">
        <x:v>-13169.794871775659</x:v>
      </x:c>
      <x:c r="K84" t="n">
        <x:v>0</x:v>
      </x:c>
      <x:c r="L84" s="123" t="n">
        <x:v>0.8378109842844839</x:v>
      </x:c>
    </x:row>
    <x:row r="85">
      <x:c r="A85" s="118" t="n">
        <x:v>-46.5</x:v>
      </x:c>
      <x:c r="B85" t="str">
        <x:v>complex_with_clutter</x:v>
      </x:c>
      <x:c r="C85" t="str">
        <x:v>VHF_60MHz_shallow</x:v>
      </x:c>
      <x:c r="D85" s="118" t="n">
        <x:v>14627.807692098573</x:v>
      </x:c>
      <x:c r="E85" s="123"/>
      <x:c r="F85" s="123" t="n">
        <x:v>10.23980289162394</x:v>
      </x:c>
      <x:c r="G85" s="123" t="n">
        <x:v>9.918408701405193</x:v>
      </x:c>
      <x:c r="H85" s="118" t="n">
        <x:v>1458.0128203229135</x:v>
      </x:c>
      <x:c r="I85" t="str">
        <x:v>surface clutter in shallow window</x:v>
      </x:c>
      <x:c r="J85" s="118" t="n">
        <x:v>-13169.794871775659</x:v>
      </x:c>
      <x:c r="K85" t="n">
        <x:v>10</x:v>
      </x:c>
      <x:c r="L85" s="123" t="n">
        <x:v>0.8378109842844839</x:v>
      </x:c>
    </x:row>
    <x:row r="86">
      <x:c r="A86" s="118" t="n">
        <x:v>-46</x:v>
      </x:c>
      <x:c r="B86" t="str">
        <x:v>stacked_dirty_layers</x:v>
      </x:c>
      <x:c r="C86" t="str">
        <x:v>HF_9MHz_full_depth</x:v>
      </x:c>
      <x:c r="D86" s="118" t="n">
        <x:v>14628.668588877104</x:v>
      </x:c>
      <x:c r="E86" s="123" t="n">
        <x:v>-1.6411376150893588</x:v>
      </x:c>
      <x:c r="F86" s="123" t="n">
        <x:v>11.486119056196541</x:v>
      </x:c>
      <x:c r="G86" s="123" t="n">
        <x:v>-999</x:v>
      </x:c>
      <x:c r="H86" s="118"/>
      <x:c r="I86" t="str">
        <x:v>false layer stronger</x:v>
      </x:c>
      <x:c r="J86" s="118" t="n">
        <x:v>-4257.67552537323</x:v>
      </x:c>
      <x:c r="K86" t="n">
        <x:v>6</x:v>
      </x:c>
      <x:c r="L86" s="123" t="n">
        <x:v>0</x:v>
      </x:c>
    </x:row>
    <x:row r="87">
      <x:c r="A87" s="118" t="n">
        <x:v>-46</x:v>
      </x:c>
      <x:c r="B87" t="str">
        <x:v>rough_surface_clutter</x:v>
      </x:c>
      <x:c r="C87" t="str">
        <x:v>VHF_60MHz_shallow</x:v>
      </x:c>
      <x:c r="D87" s="118" t="n">
        <x:v>14628.668588877104</x:v>
      </x:c>
      <x:c r="E87" s="123"/>
      <x:c r="F87" s="123" t="n">
        <x:v>-999</x:v>
      </x:c>
      <x:c r="G87" s="123" t="n">
        <x:v>8.743234805252275</x:v>
      </x:c>
      <x:c r="H87" s="118" t="n">
        <x:v>1465.241641139565</x:v>
      </x:c>
      <x:c r="I87" t="str">
        <x:v>surface clutter in shallow window</x:v>
      </x:c>
      <x:c r="J87" s="118" t="n">
        <x:v>-13163.42694773754</x:v>
      </x:c>
      <x:c r="K87" t="n">
        <x:v>0</x:v>
      </x:c>
      <x:c r="L87" s="123" t="n">
        <x:v>0.912893795990853</x:v>
      </x:c>
    </x:row>
    <x:row r="88">
      <x:c r="A88" s="118" t="n">
        <x:v>-46</x:v>
      </x:c>
      <x:c r="B88" t="str">
        <x:v>complex_with_clutter</x:v>
      </x:c>
      <x:c r="C88" t="str">
        <x:v>VHF_60MHz_shallow</x:v>
      </x:c>
      <x:c r="D88" s="118" t="n">
        <x:v>14628.668588877104</x:v>
      </x:c>
      <x:c r="E88" s="123"/>
      <x:c r="F88" s="123" t="n">
        <x:v>10.183745320675495</x:v>
      </x:c>
      <x:c r="G88" s="123" t="n">
        <x:v>11.344982123826206</x:v>
      </x:c>
      <x:c r="H88" s="118" t="n">
        <x:v>1465.241641139565</x:v>
      </x:c>
      <x:c r="I88" t="str">
        <x:v>surface clutter in shallow window</x:v>
      </x:c>
      <x:c r="J88" s="118" t="n">
        <x:v>-13163.42694773754</x:v>
      </x:c>
      <x:c r="K88" t="n">
        <x:v>10</x:v>
      </x:c>
      <x:c r="L88" s="123" t="n">
        <x:v>0.912893795990853</x:v>
      </x:c>
    </x:row>
    <x:row r="89">
      <x:c r="A89" s="118" t="n">
        <x:v>-45.5</x:v>
      </x:c>
      <x:c r="B89" t="str">
        <x:v>stacked_dirty_layers</x:v>
      </x:c>
      <x:c r="C89" t="str">
        <x:v>HF_9MHz_full_depth</x:v>
      </x:c>
      <x:c r="D89" s="118" t="n">
        <x:v>14628.019588067555</x:v>
      </x:c>
      <x:c r="E89" s="123" t="n">
        <x:v>-1.6907427081514774</x:v>
      </x:c>
      <x:c r="F89" s="123" t="n">
        <x:v>11.48673471011532</x:v>
      </x:c>
      <x:c r="G89" s="123" t="n">
        <x:v>-999</x:v>
      </x:c>
      <x:c r="H89" s="118"/>
      <x:c r="I89" t="str">
        <x:v>false layer stronger</x:v>
      </x:c>
      <x:c r="J89" s="118" t="n">
        <x:v>-4274.683663145504</x:v>
      </x:c>
      <x:c r="K89" t="n">
        <x:v>6</x:v>
      </x:c>
      <x:c r="L89" s="123" t="n">
        <x:v>0</x:v>
      </x:c>
    </x:row>
    <x:row r="90">
      <x:c r="A90" s="118" t="n">
        <x:v>-45.5</x:v>
      </x:c>
      <x:c r="B90" t="str">
        <x:v>rough_surface_clutter</x:v>
      </x:c>
      <x:c r="C90" t="str">
        <x:v>VHF_60MHz_shallow</x:v>
      </x:c>
      <x:c r="D90" s="118" t="n">
        <x:v>14628.019588067555</x:v>
      </x:c>
      <x:c r="E90" s="123"/>
      <x:c r="F90" s="123" t="n">
        <x:v>-999</x:v>
      </x:c>
      <x:c r="G90" s="123" t="n">
        <x:v>9.567119721224318</x:v>
      </x:c>
      <x:c r="H90" s="118" t="n">
        <x:v>1460.8698734634504</x:v>
      </x:c>
      <x:c r="I90" t="str">
        <x:v>surface clutter in shallow window</x:v>
      </x:c>
      <x:c r="J90" s="118" t="n">
        <x:v>-13167.149714604104</x:v>
      </x:c>
      <x:c r="K90" t="n">
        <x:v>0</x:v>
      </x:c>
      <x:c r="L90" s="123" t="n">
        <x:v>0.9639083418714748</x:v>
      </x:c>
    </x:row>
    <x:row r="91">
      <x:c r="A91" s="118" t="n">
        <x:v>-45.5</x:v>
      </x:c>
      <x:c r="B91" t="str">
        <x:v>complex_with_clutter</x:v>
      </x:c>
      <x:c r="C91" t="str">
        <x:v>VHF_60MHz_shallow</x:v>
      </x:c>
      <x:c r="D91" s="118" t="n">
        <x:v>14628.019588067555</x:v>
      </x:c>
      <x:c r="E91" s="123"/>
      <x:c r="F91" s="123" t="n">
        <x:v>5.021307566577419</x:v>
      </x:c>
      <x:c r="G91" s="123" t="n">
        <x:v>12.314258495558022</x:v>
      </x:c>
      <x:c r="H91" s="118" t="n">
        <x:v>1460.8698734634504</x:v>
      </x:c>
      <x:c r="I91" t="str">
        <x:v>surface clutter in shallow window</x:v>
      </x:c>
      <x:c r="J91" s="118" t="n">
        <x:v>-13167.149714604104</x:v>
      </x:c>
      <x:c r="K91" t="n">
        <x:v>10</x:v>
      </x:c>
      <x:c r="L91" s="123" t="n">
        <x:v>0.9639083418714748</x:v>
      </x:c>
    </x:row>
    <x:row r="92">
      <x:c r="A92" s="118" t="n">
        <x:v>-45</x:v>
      </x:c>
      <x:c r="B92" t="str">
        <x:v>stacked_dirty_layers</x:v>
      </x:c>
      <x:c r="C92" t="str">
        <x:v>HF_9MHz_full_depth</x:v>
      </x:c>
      <x:c r="D92" s="118" t="n">
        <x:v>14629.081269338794</x:v>
      </x:c>
      <x:c r="E92" s="123" t="n">
        <x:v>-1.7269237626993794</x:v>
      </x:c>
      <x:c r="F92" s="123" t="n">
        <x:v>11.500510599486246</x:v>
      </x:c>
      <x:c r="G92" s="123" t="n">
        <x:v>-999</x:v>
      </x:c>
      <x:c r="H92" s="118"/>
      <x:c r="I92" t="str">
        <x:v>false layer stronger</x:v>
      </x:c>
      <x:c r="J92" s="118" t="n">
        <x:v>-4291.733514606103</x:v>
      </x:c>
      <x:c r="K92" t="n">
        <x:v>6</x:v>
      </x:c>
      <x:c r="L92" s="123" t="n">
        <x:v>0</x:v>
      </x:c>
    </x:row>
    <x:row r="93">
      <x:c r="A93" s="118" t="n">
        <x:v>-45</x:v>
      </x:c>
      <x:c r="B93" t="str">
        <x:v>rough_surface_clutter</x:v>
      </x:c>
      <x:c r="C93" t="str">
        <x:v>VHF_60MHz_shallow</x:v>
      </x:c>
      <x:c r="D93" s="118" t="n">
        <x:v>14629.081269338794</x:v>
      </x:c>
      <x:c r="E93" s="123"/>
      <x:c r="F93" s="123" t="n">
        <x:v>-999</x:v>
      </x:c>
      <x:c r="G93" s="123" t="n">
        <x:v>9.557761694469084</x:v>
      </x:c>
      <x:c r="H93" s="118" t="n">
        <x:v>1430.8205721087613</x:v>
      </x:c>
      <x:c r="I93" t="str">
        <x:v>surface clutter in shallow window</x:v>
      </x:c>
      <x:c r="J93" s="118" t="n">
        <x:v>-13198.260697230033</x:v>
      </x:c>
      <x:c r="K93" t="n">
        <x:v>0</x:v>
      </x:c>
      <x:c r="L93" s="123" t="n">
        <x:v>0.9633288974903458</x:v>
      </x:c>
    </x:row>
    <x:row r="94">
      <x:c r="A94" s="118" t="n">
        <x:v>-45</x:v>
      </x:c>
      <x:c r="B94" t="str">
        <x:v>complex_with_clutter</x:v>
      </x:c>
      <x:c r="C94" t="str">
        <x:v>VHF_60MHz_shallow</x:v>
      </x:c>
      <x:c r="D94" s="118" t="n">
        <x:v>14629.081269338794</x:v>
      </x:c>
      <x:c r="E94" s="123"/>
      <x:c r="F94" s="123" t="n">
        <x:v>5.024933463350544</x:v>
      </x:c>
      <x:c r="G94" s="123" t="n">
        <x:v>12.30324905231657</x:v>
      </x:c>
      <x:c r="H94" s="118" t="n">
        <x:v>1430.8205721087613</x:v>
      </x:c>
      <x:c r="I94" t="str">
        <x:v>surface clutter in shallow window</x:v>
      </x:c>
      <x:c r="J94" s="118" t="n">
        <x:v>-13198.260697230033</x:v>
      </x:c>
      <x:c r="K94" t="n">
        <x:v>10</x:v>
      </x:c>
      <x:c r="L94" s="123" t="n">
        <x:v>0.9633288974903458</x:v>
      </x:c>
    </x:row>
    <x:row r="95">
      <x:c r="A95" s="118" t="n">
        <x:v>-44.5</x:v>
      </x:c>
      <x:c r="B95" t="str">
        <x:v>stacked_dirty_layers</x:v>
      </x:c>
      <x:c r="C95" t="str">
        <x:v>HF_9MHz_full_depth</x:v>
      </x:c>
      <x:c r="D95" s="118" t="n">
        <x:v>14627.9749848833</x:v>
      </x:c>
      <x:c r="E95" s="123" t="n">
        <x:v>-1.703730954530744</x:v>
      </x:c>
      <x:c r="F95" s="123" t="n">
        <x:v>11.57053222436344</x:v>
      </x:c>
      <x:c r="G95" s="123" t="n">
        <x:v>-999</x:v>
      </x:c>
      <x:c r="H95" s="118"/>
      <x:c r="I95" t="str">
        <x:v>false layer stronger</x:v>
      </x:c>
      <x:c r="J95" s="118" t="n">
        <x:v>-4307.631825440325</x:v>
      </x:c>
      <x:c r="K95" t="n">
        <x:v>6</x:v>
      </x:c>
      <x:c r="L95" s="123" t="n">
        <x:v>0</x:v>
      </x:c>
    </x:row>
    <x:row r="96">
      <x:c r="A96" s="118" t="n">
        <x:v>-44.5</x:v>
      </x:c>
      <x:c r="B96" t="str">
        <x:v>rough_surface_clutter</x:v>
      </x:c>
      <x:c r="C96" t="str">
        <x:v>VHF_60MHz_shallow</x:v>
      </x:c>
      <x:c r="D96" s="118" t="n">
        <x:v>14627.9749848833</x:v>
      </x:c>
      <x:c r="E96" s="123"/>
      <x:c r="F96" s="123" t="n">
        <x:v>-999</x:v>
      </x:c>
      <x:c r="G96" s="123" t="n">
        <x:v>6.388231504400874</x:v>
      </x:c>
      <x:c r="H96" s="118" t="n">
        <x:v>1301.2221342943974</x:v>
      </x:c>
      <x:c r="I96" t="str">
        <x:v>surface clutter in shallow window</x:v>
      </x:c>
      <x:c r="J96" s="118" t="n">
        <x:v>-13326.752850588902</x:v>
      </x:c>
      <x:c r="K96" t="n">
        <x:v>0</x:v>
      </x:c>
      <x:c r="L96" s="123" t="n">
        <x:v>0.7670731581672368</x:v>
      </x:c>
    </x:row>
    <x:row r="97">
      <x:c r="A97" s="118" t="n">
        <x:v>-44.5</x:v>
      </x:c>
      <x:c r="B97" t="str">
        <x:v>complex_with_clutter</x:v>
      </x:c>
      <x:c r="C97" t="str">
        <x:v>VHF_60MHz_shallow</x:v>
      </x:c>
      <x:c r="D97" s="118" t="n">
        <x:v>14627.9749848833</x:v>
      </x:c>
      <x:c r="E97" s="123"/>
      <x:c r="F97" s="123" t="n">
        <x:v>5.184663782368581</x:v>
      </x:c>
      <x:c r="G97" s="123" t="n">
        <x:v>8.574390005177499</x:v>
      </x:c>
      <x:c r="H97" s="118" t="n">
        <x:v>1301.2221342943974</x:v>
      </x:c>
      <x:c r="I97" t="str">
        <x:v>surface clutter in shallow window</x:v>
      </x:c>
      <x:c r="J97" s="118" t="n">
        <x:v>-13326.752850588902</x:v>
      </x:c>
      <x:c r="K97" t="n">
        <x:v>10</x:v>
      </x:c>
      <x:c r="L97" s="123" t="n">
        <x:v>0.7670731581672368</x:v>
      </x:c>
    </x:row>
    <x:row r="98">
      <x:c r="A98" s="118" t="n">
        <x:v>-44</x:v>
      </x:c>
      <x:c r="B98" t="str">
        <x:v>stacked_dirty_layers</x:v>
      </x:c>
      <x:c r="C98" t="str">
        <x:v>HF_9MHz_full_depth</x:v>
      </x:c>
      <x:c r="D98" s="118" t="n">
        <x:v>14625.911504274929</x:v>
      </x:c>
      <x:c r="E98" s="123" t="n">
        <x:v>-1.7359702193581446</x:v>
      </x:c>
      <x:c r="F98" s="123" t="n">
        <x:v>11.582784453061205</x:v>
      </x:c>
      <x:c r="G98" s="123" t="n">
        <x:v>-999</x:v>
      </x:c>
      <x:c r="H98" s="118"/>
      <x:c r="I98" t="str">
        <x:v>false layer stronger</x:v>
      </x:c>
      <x:c r="J98" s="118" t="n">
        <x:v>-4322.712287253809</x:v>
      </x:c>
      <x:c r="K98" t="n">
        <x:v>6</x:v>
      </x:c>
      <x:c r="L98" s="123" t="n">
        <x:v>0</x:v>
      </x:c>
    </x:row>
    <x:row r="99">
      <x:c r="A99" s="118" t="n">
        <x:v>-44</x:v>
      </x:c>
      <x:c r="B99" t="str">
        <x:v>rough_surface_clutter</x:v>
      </x:c>
      <x:c r="C99" t="str">
        <x:v>VHF_60MHz_shallow</x:v>
      </x:c>
      <x:c r="D99" s="118" t="n">
        <x:v>14625.911504274929</x:v>
      </x:c>
      <x:c r="E99" s="123"/>
      <x:c r="F99" s="123" t="n">
        <x:v>-999</x:v>
      </x:c>
      <x:c r="G99" s="123" t="n">
        <x:v>6.468448822061596</x:v>
      </x:c>
      <x:c r="H99" s="118" t="n">
        <x:v>1275.7251996383186</x:v>
      </x:c>
      <x:c r="I99" t="str">
        <x:v>surface clutter in shallow window</x:v>
      </x:c>
      <x:c r="J99" s="118" t="n">
        <x:v>-13350.18630463661</x:v>
      </x:c>
      <x:c r="K99" t="n">
        <x:v>0</x:v>
      </x:c>
      <x:c r="L99" s="123" t="n">
        <x:v>0.7720401747406561</x:v>
      </x:c>
    </x:row>
    <x:row r="100">
      <x:c r="A100" s="118" t="n">
        <x:v>-44</x:v>
      </x:c>
      <x:c r="B100" t="str">
        <x:v>complex_with_clutter</x:v>
      </x:c>
      <x:c r="C100" t="str">
        <x:v>VHF_60MHz_shallow</x:v>
      </x:c>
      <x:c r="D100" s="118" t="n">
        <x:v>14625.911504274929</x:v>
      </x:c>
      <x:c r="E100" s="123"/>
      <x:c r="F100" s="123" t="n">
        <x:v>5.18297273008368</x:v>
      </x:c>
      <x:c r="G100" s="123" t="n">
        <x:v>8.668763320072467</x:v>
      </x:c>
      <x:c r="H100" s="118" t="n">
        <x:v>1275.7251996383186</x:v>
      </x:c>
      <x:c r="I100" t="str">
        <x:v>surface clutter in shallow window</x:v>
      </x:c>
      <x:c r="J100" s="118" t="n">
        <x:v>-13350.18630463661</x:v>
      </x:c>
      <x:c r="K100" t="n">
        <x:v>10</x:v>
      </x:c>
      <x:c r="L100" s="123" t="n">
        <x:v>0.7720401747406561</x:v>
      </x:c>
    </x:row>
    <x:row r="101">
      <x:c r="A101" s="118" t="n">
        <x:v>-43.5</x:v>
      </x:c>
      <x:c r="B101" t="str">
        <x:v>stacked_dirty_layers</x:v>
      </x:c>
      <x:c r="C101" t="str">
        <x:v>HF_9MHz_full_depth</x:v>
      </x:c>
      <x:c r="D101" s="118" t="n">
        <x:v>14621.986694083294</x:v>
      </x:c>
      <x:c r="E101" s="123" t="n">
        <x:v>-1.7931299087753345</x:v>
      </x:c>
      <x:c r="F101" s="123" t="n">
        <x:v>11.567051005740675</x:v>
      </x:c>
      <x:c r="G101" s="123" t="n">
        <x:v>-999</x:v>
      </x:c>
      <x:c r="H101" s="118"/>
      <x:c r="I101" t="str">
        <x:v>false layer stronger</x:v>
      </x:c>
      <x:c r="J101" s="118" t="n">
        <x:v>-4336.671494132292</x:v>
      </x:c>
      <x:c r="K101" t="n">
        <x:v>6</x:v>
      </x:c>
      <x:c r="L101" s="123" t="n">
        <x:v>0</x:v>
      </x:c>
    </x:row>
    <x:row r="102">
      <x:c r="A102" s="118" t="n">
        <x:v>-43.5</x:v>
      </x:c>
      <x:c r="B102" t="str">
        <x:v>rough_surface_clutter</x:v>
      </x:c>
      <x:c r="C102" t="str">
        <x:v>VHF_60MHz_shallow</x:v>
      </x:c>
      <x:c r="D102" s="118" t="n">
        <x:v>14621.986694083294</x:v>
      </x:c>
      <x:c r="E102" s="123"/>
      <x:c r="F102" s="123" t="n">
        <x:v>-999</x:v>
      </x:c>
      <x:c r="G102" s="123" t="n">
        <x:v>8.139584169404776</x:v>
      </x:c>
      <x:c r="H102" s="118" t="n">
        <x:v>1301.6777118740338</x:v>
      </x:c>
      <x:c r="I102" t="str">
        <x:v>surface clutter in shallow window</x:v>
      </x:c>
      <x:c r="J102" s="118" t="n">
        <x:v>-13320.30898220926</x:v>
      </x:c>
      <x:c r="K102" t="n">
        <x:v>0</x:v>
      </x:c>
      <x:c r="L102" s="123" t="n">
        <x:v>0.8755160476411626</x:v>
      </x:c>
    </x:row>
    <x:row r="103">
      <x:c r="A103" s="118" t="n">
        <x:v>-43.5</x:v>
      </x:c>
      <x:c r="B103" t="str">
        <x:v>complex_with_clutter</x:v>
      </x:c>
      <x:c r="C103" t="str">
        <x:v>VHF_60MHz_shallow</x:v>
      </x:c>
      <x:c r="D103" s="118" t="n">
        <x:v>14621.986694083294</x:v>
      </x:c>
      <x:c r="E103" s="123"/>
      <x:c r="F103" s="123" t="n">
        <x:v>5.102026707996139</x:v>
      </x:c>
      <x:c r="G103" s="123" t="n">
        <x:v>10.63480490518209</x:v>
      </x:c>
      <x:c r="H103" s="118" t="n">
        <x:v>1301.6777118740338</x:v>
      </x:c>
      <x:c r="I103" t="str">
        <x:v>surface clutter in shallow window</x:v>
      </x:c>
      <x:c r="J103" s="118" t="n">
        <x:v>-13320.30898220926</x:v>
      </x:c>
      <x:c r="K103" t="n">
        <x:v>10</x:v>
      </x:c>
      <x:c r="L103" s="123" t="n">
        <x:v>0.8755160476411626</x:v>
      </x:c>
    </x:row>
    <x:row r="104">
      <x:c r="A104" s="118" t="n">
        <x:v>-43</x:v>
      </x:c>
      <x:c r="B104" t="str">
        <x:v>stacked_dirty_layers</x:v>
      </x:c>
      <x:c r="C104" t="str">
        <x:v>HF_9MHz_full_depth</x:v>
      </x:c>
      <x:c r="D104" s="118" t="n">
        <x:v>14623.693198890636</x:v>
      </x:c>
      <x:c r="E104" s="123" t="n">
        <x:v>-1.8535737031102333</x:v>
      </x:c>
      <x:c r="F104" s="123" t="n">
        <x:v>11.550309828197127</x:v>
      </x:c>
      <x:c r="G104" s="123" t="n">
        <x:v>-999</x:v>
      </x:c>
      <x:c r="H104" s="118"/>
      <x:c r="I104" t="str">
        <x:v>false layer stronger</x:v>
      </x:c>
      <x:c r="J104" s="118" t="n">
        <x:v>-4351.7666120379545</x:v>
      </x:c>
      <x:c r="K104" t="n">
        <x:v>6</x:v>
      </x:c>
      <x:c r="L104" s="123" t="n">
        <x:v>0</x:v>
      </x:c>
    </x:row>
    <x:row r="105">
      <x:c r="A105" s="118" t="n">
        <x:v>-43</x:v>
      </x:c>
      <x:c r="B105" t="str">
        <x:v>rough_surface_clutter</x:v>
      </x:c>
      <x:c r="C105" t="str">
        <x:v>VHF_60MHz_shallow</x:v>
      </x:c>
      <x:c r="D105" s="118" t="n">
        <x:v>14623.693198890636</x:v>
      </x:c>
      <x:c r="E105" s="123"/>
      <x:c r="F105" s="123" t="n">
        <x:v>-999</x:v>
      </x:c>
      <x:c r="G105" s="123" t="n">
        <x:v>9.667295781892152</x:v>
      </x:c>
      <x:c r="H105" s="118" t="n">
        <x:v>1324.0276792897953</x:v>
      </x:c>
      <x:c r="I105" t="str">
        <x:v>surface clutter in shallow window</x:v>
      </x:c>
      <x:c r="J105" s="118" t="n">
        <x:v>-13299.665519600841</x:v>
      </x:c>
      <x:c r="K105" t="n">
        <x:v>0</x:v>
      </x:c>
      <x:c r="L105" s="123" t="n">
        <x:v>0.9701111939252106</x:v>
      </x:c>
    </x:row>
    <x:row r="106">
      <x:c r="A106" s="118" t="n">
        <x:v>-43</x:v>
      </x:c>
      <x:c r="B106" t="str">
        <x:v>complex_with_clutter</x:v>
      </x:c>
      <x:c r="C106" t="str">
        <x:v>VHF_60MHz_shallow</x:v>
      </x:c>
      <x:c r="D106" s="118" t="n">
        <x:v>14623.693198890636</x:v>
      </x:c>
      <x:c r="E106" s="123"/>
      <x:c r="F106" s="123" t="n">
        <x:v>5.027734509642764</x:v>
      </x:c>
      <x:c r="G106" s="123" t="n">
        <x:v>12.432112684579003</x:v>
      </x:c>
      <x:c r="H106" s="118" t="n">
        <x:v>1324.0276792897953</x:v>
      </x:c>
      <x:c r="I106" t="str">
        <x:v>surface clutter in shallow window</x:v>
      </x:c>
      <x:c r="J106" s="118" t="n">
        <x:v>-13299.665519600841</x:v>
      </x:c>
      <x:c r="K106" t="n">
        <x:v>10</x:v>
      </x:c>
      <x:c r="L106" s="123" t="n">
        <x:v>0.9701111939252106</x:v>
      </x:c>
    </x:row>
    <x:row r="107">
      <x:c r="A107" s="118" t="n">
        <x:v>-42.5</x:v>
      </x:c>
      <x:c r="B107" t="str">
        <x:v>stacked_dirty_layers</x:v>
      </x:c>
      <x:c r="C107" t="str">
        <x:v>HF_9MHz_full_depth</x:v>
      </x:c>
      <x:c r="D107" s="118" t="n">
        <x:v>14620.914775457455</x:v>
      </x:c>
      <x:c r="E107" s="123" t="n">
        <x:v>-1.8249562368928136</x:v>
      </x:c>
      <x:c r="F107" s="123" t="n">
        <x:v>11.617533316801918</x:v>
      </x:c>
      <x:c r="G107" s="123" t="n">
        <x:v>-999</x:v>
      </x:c>
      <x:c r="H107" s="118"/>
      <x:c r="I107" t="str">
        <x:v>false layer stronger</x:v>
      </x:c>
      <x:c r="J107" s="118" t="n">
        <x:v>-4364.893052141413</x:v>
      </x:c>
      <x:c r="K107" t="n">
        <x:v>6</x:v>
      </x:c>
      <x:c r="L107" s="123" t="n">
        <x:v>0</x:v>
      </x:c>
    </x:row>
    <x:row r="108">
      <x:c r="A108" s="118" t="n">
        <x:v>-42.5</x:v>
      </x:c>
      <x:c r="B108" t="str">
        <x:v>rough_surface_clutter</x:v>
      </x:c>
      <x:c r="C108" t="str">
        <x:v>VHF_60MHz_shallow</x:v>
      </x:c>
      <x:c r="D108" s="118" t="n">
        <x:v>14620.914775457455</x:v>
      </x:c>
      <x:c r="E108" s="123"/>
      <x:c r="F108" s="123" t="n">
        <x:v>-999</x:v>
      </x:c>
      <x:c r="G108" s="123" t="n">
        <x:v>6.530662444649298</x:v>
      </x:c>
      <x:c r="H108" s="118" t="n">
        <x:v>1199.2068679689844</x:v>
      </x:c>
      <x:c r="I108" t="str">
        <x:v>surface clutter in shallow window</x:v>
      </x:c>
      <x:c r="J108" s="118" t="n">
        <x:v>-13421.707907488471</x:v>
      </x:c>
      <x:c r="K108" t="n">
        <x:v>0</x:v>
      </x:c>
      <x:c r="L108" s="123" t="n">
        <x:v>0.7758924114333932</x:v>
      </x:c>
    </x:row>
    <x:row r="109">
      <x:c r="A109" s="118" t="n">
        <x:v>-42.5</x:v>
      </x:c>
      <x:c r="B109" t="str">
        <x:v>complex_with_clutter</x:v>
      </x:c>
      <x:c r="C109" t="str">
        <x:v>VHF_60MHz_shallow</x:v>
      </x:c>
      <x:c r="D109" s="118" t="n">
        <x:v>14620.914775457455</x:v>
      </x:c>
      <x:c r="E109" s="123"/>
      <x:c r="F109" s="123" t="n">
        <x:v>5.1840416708130235</x:v>
      </x:c>
      <x:c r="G109" s="123" t="n">
        <x:v>8.74195581723447</x:v>
      </x:c>
      <x:c r="H109" s="118" t="n">
        <x:v>1199.2068679689844</x:v>
      </x:c>
      <x:c r="I109" t="str">
        <x:v>surface clutter in shallow window</x:v>
      </x:c>
      <x:c r="J109" s="118" t="n">
        <x:v>-13421.707907488471</x:v>
      </x:c>
      <x:c r="K109" t="n">
        <x:v>10</x:v>
      </x:c>
      <x:c r="L109" s="123" t="n">
        <x:v>0.7758924114333932</x:v>
      </x:c>
    </x:row>
    <x:row r="110">
      <x:c r="A110" s="118" t="n">
        <x:v>-42</x:v>
      </x:c>
      <x:c r="B110" t="str">
        <x:v>stacked_dirty_layers</x:v>
      </x:c>
      <x:c r="C110" t="str">
        <x:v>HF_9MHz_full_depth</x:v>
      </x:c>
      <x:c r="D110" s="118" t="n">
        <x:v>14619.806259259834</x:v>
      </x:c>
      <x:c r="E110" s="123" t="n">
        <x:v>-1.8531601459408766</x:v>
      </x:c>
      <x:c r="F110" s="123" t="n">
        <x:v>11.627301434070034</x:v>
      </x:c>
      <x:c r="G110" s="123" t="n">
        <x:v>-999</x:v>
      </x:c>
      <x:c r="H110" s="118"/>
      <x:c r="I110" t="str">
        <x:v>false layer stronger</x:v>
      </x:c>
      <x:c r="J110" s="118" t="n">
        <x:v>-4377.905859021113</x:v>
      </x:c>
      <x:c r="K110" t="n">
        <x:v>6</x:v>
      </x:c>
      <x:c r="L110" s="123" t="n">
        <x:v>0</x:v>
      </x:c>
    </x:row>
    <x:row r="111">
      <x:c r="A111" s="118" t="n">
        <x:v>-42</x:v>
      </x:c>
      <x:c r="B111" t="str">
        <x:v>rough_surface_clutter</x:v>
      </x:c>
      <x:c r="C111" t="str">
        <x:v>VHF_60MHz_shallow</x:v>
      </x:c>
      <x:c r="D111" s="118" t="n">
        <x:v>14619.806259259834</x:v>
      </x:c>
      <x:c r="E111" s="123"/>
      <x:c r="F111" s="123" t="n">
        <x:v>-999</x:v>
      </x:c>
      <x:c r="G111" s="123" t="n">
        <x:v>6.556162679708583</x:v>
      </x:c>
      <x:c r="H111" s="118" t="n">
        <x:v>1175.857145785877</x:v>
      </x:c>
      <x:c r="I111" t="str">
        <x:v>surface clutter in shallow window</x:v>
      </x:c>
      <x:c r="J111" s="118" t="n">
        <x:v>-13443.949113473958</x:v>
      </x:c>
      <x:c r="K111" t="n">
        <x:v>0</x:v>
      </x:c>
      <x:c r="L111" s="123" t="n">
        <x:v>0.7774713733565687</x:v>
      </x:c>
    </x:row>
    <x:row r="112">
      <x:c r="A112" s="118" t="n">
        <x:v>-42</x:v>
      </x:c>
      <x:c r="B112" t="str">
        <x:v>complex_with_clutter</x:v>
      </x:c>
      <x:c r="C112" t="str">
        <x:v>VHF_60MHz_shallow</x:v>
      </x:c>
      <x:c r="D112" s="118" t="n">
        <x:v>14619.806259259834</x:v>
      </x:c>
      <x:c r="E112" s="123"/>
      <x:c r="F112" s="123" t="n">
        <x:v>5.183259666386208</x:v>
      </x:c>
      <x:c r="G112" s="123" t="n">
        <x:v>8.771956093774804</x:v>
      </x:c>
      <x:c r="H112" s="118" t="n">
        <x:v>1175.857145785877</x:v>
      </x:c>
      <x:c r="I112" t="str">
        <x:v>surface clutter in shallow window</x:v>
      </x:c>
      <x:c r="J112" s="118" t="n">
        <x:v>-13443.949113473958</x:v>
      </x:c>
      <x:c r="K112" t="n">
        <x:v>10</x:v>
      </x:c>
      <x:c r="L112" s="123" t="n">
        <x:v>0.7774713733565687</x:v>
      </x:c>
    </x:row>
    <x:row r="113">
      <x:c r="A113" s="118" t="n">
        <x:v>-41.5</x:v>
      </x:c>
      <x:c r="B113" t="str">
        <x:v>stacked_dirty_layers</x:v>
      </x:c>
      <x:c r="C113" t="str">
        <x:v>HF_9MHz_full_depth</x:v>
      </x:c>
      <x:c r="D113" s="118" t="n">
        <x:v>14617.022284654113</x:v>
      </x:c>
      <x:c r="E113" s="123" t="n">
        <x:v>-1.8644066793096656</x:v>
      </x:c>
      <x:c r="F113" s="123" t="n">
        <x:v>11.650743072832435</x:v>
      </x:c>
      <x:c r="G113" s="123" t="n">
        <x:v>-999</x:v>
      </x:c>
      <x:c r="H113" s="118"/>
      <x:c r="I113" t="str">
        <x:v>false layer stronger</x:v>
      </x:c>
      <x:c r="J113" s="118" t="n">
        <x:v>-4389.757783782257</x:v>
      </x:c>
      <x:c r="K113" t="n">
        <x:v>6</x:v>
      </x:c>
      <x:c r="L113" s="123" t="n">
        <x:v>0</x:v>
      </x:c>
    </x:row>
    <x:row r="114">
      <x:c r="A114" s="118" t="n">
        <x:v>-41.5</x:v>
      </x:c>
      <x:c r="B114" t="str">
        <x:v>rough_surface_clutter</x:v>
      </x:c>
      <x:c r="C114" t="str">
        <x:v>VHF_60MHz_shallow</x:v>
      </x:c>
      <x:c r="D114" s="118" t="n">
        <x:v>14617.022284654113</x:v>
      </x:c>
      <x:c r="E114" s="123"/>
      <x:c r="F114" s="123" t="n">
        <x:v>-999</x:v>
      </x:c>
      <x:c r="G114" s="123" t="n">
        <x:v>5.80679387713799</x:v>
      </x:c>
      <x:c r="H114" s="118" t="n">
        <x:v>1128.955391357929</x:v>
      </x:c>
      <x:c r="I114" t="str">
        <x:v>surface clutter in shallow window</x:v>
      </x:c>
      <x:c r="J114" s="118" t="n">
        <x:v>-13488.066893296183</x:v>
      </x:c>
      <x:c r="K114" t="n">
        <x:v>0</x:v>
      </x:c>
      <x:c r="L114" s="123" t="n">
        <x:v>0.7310708283057579</x:v>
      </x:c>
    </x:row>
    <x:row r="115">
      <x:c r="A115" s="118" t="n">
        <x:v>-41.5</x:v>
      </x:c>
      <x:c r="B115" t="str">
        <x:v>complex_with_clutter</x:v>
      </x:c>
      <x:c r="C115" t="str">
        <x:v>VHF_60MHz_shallow</x:v>
      </x:c>
      <x:c r="D115" s="118" t="n">
        <x:v>14617.022284654113</x:v>
      </x:c>
      <x:c r="E115" s="123"/>
      <x:c r="F115" s="123" t="n">
        <x:v>5.22041293378321</x:v>
      </x:c>
      <x:c r="G115" s="123" t="n">
        <x:v>7.890345737809399</x:v>
      </x:c>
      <x:c r="H115" s="118" t="n">
        <x:v>1128.955391357929</x:v>
      </x:c>
      <x:c r="I115" t="str">
        <x:v>surface clutter in shallow window</x:v>
      </x:c>
      <x:c r="J115" s="118" t="n">
        <x:v>-13488.066893296183</x:v>
      </x:c>
      <x:c r="K115" t="n">
        <x:v>10</x:v>
      </x:c>
      <x:c r="L115" s="123" t="n">
        <x:v>0.7310708283057579</x:v>
      </x:c>
    </x:row>
    <x:row r="116">
      <x:c r="A116" s="118" t="n">
        <x:v>-41</x:v>
      </x:c>
      <x:c r="B116" t="str">
        <x:v>stacked_dirty_layers</x:v>
      </x:c>
      <x:c r="C116" t="str">
        <x:v>HF_9MHz_full_depth</x:v>
      </x:c>
      <x:c r="D116" s="118" t="n">
        <x:v>14613.623267805096</x:v>
      </x:c>
      <x:c r="E116" s="123" t="n">
        <x:v>-1.9253743775572505</x:v>
      </x:c>
      <x:c r="F116" s="123" t="n">
        <x:v>11.621976315286322</x:v>
      </x:c>
      <x:c r="G116" s="123" t="n">
        <x:v>-999</x:v>
      </x:c>
      <x:c r="H116" s="118"/>
      <x:c r="I116" t="str">
        <x:v>false layer stronger</x:v>
      </x:c>
      <x:c r="J116" s="118" t="n">
        <x:v>-4400.751680993239</x:v>
      </x:c>
      <x:c r="K116" t="n">
        <x:v>6</x:v>
      </x:c>
      <x:c r="L116" s="123" t="n">
        <x:v>0</x:v>
      </x:c>
    </x:row>
    <x:row r="117">
      <x:c r="A117" s="118" t="n">
        <x:v>-41</x:v>
      </x:c>
      <x:c r="B117" t="str">
        <x:v>rough_surface_clutter</x:v>
      </x:c>
      <x:c r="C117" t="str">
        <x:v>VHF_60MHz_shallow</x:v>
      </x:c>
      <x:c r="D117" s="118" t="n">
        <x:v>14613.623267805096</x:v>
      </x:c>
      <x:c r="E117" s="123"/>
      <x:c r="F117" s="123" t="n">
        <x:v>-999</x:v>
      </x:c>
      <x:c r="G117" s="123" t="n">
        <x:v>7.981986029632239</x:v>
      </x:c>
      <x:c r="H117" s="118" t="n">
        <x:v>1176.0459983916198</x:v>
      </x:c>
      <x:c r="I117" t="str">
        <x:v>surface clutter in shallow window</x:v>
      </x:c>
      <x:c r="J117" s="118" t="n">
        <x:v>-13437.577269413476</x:v>
      </x:c>
      <x:c r="K117" t="n">
        <x:v>0</x:v>
      </x:c>
      <x:c r="L117" s="123" t="n">
        <x:v>0.8657576488936372</x:v>
      </x:c>
    </x:row>
    <x:row r="118">
      <x:c r="A118" s="118" t="n">
        <x:v>-41</x:v>
      </x:c>
      <x:c r="B118" t="str">
        <x:v>complex_with_clutter</x:v>
      </x:c>
      <x:c r="C118" t="str">
        <x:v>VHF_60MHz_shallow</x:v>
      </x:c>
      <x:c r="D118" s="118" t="n">
        <x:v>14613.623267805096</x:v>
      </x:c>
      <x:c r="E118" s="123"/>
      <x:c r="F118" s="123" t="n">
        <x:v>5.112252408746742</x:v>
      </x:c>
      <x:c r="G118" s="123" t="n">
        <x:v>10.449395328979104</x:v>
      </x:c>
      <x:c r="H118" s="118" t="n">
        <x:v>1176.0459983916198</x:v>
      </x:c>
      <x:c r="I118" t="str">
        <x:v>surface clutter in shallow window</x:v>
      </x:c>
      <x:c r="J118" s="118" t="n">
        <x:v>-13437.577269413476</x:v>
      </x:c>
      <x:c r="K118" t="n">
        <x:v>10</x:v>
      </x:c>
      <x:c r="L118" s="123" t="n">
        <x:v>0.8657576488936372</x:v>
      </x:c>
    </x:row>
    <x:row r="119">
      <x:c r="A119" s="118" t="n">
        <x:v>-40.5</x:v>
      </x:c>
      <x:c r="B119" t="str">
        <x:v>stacked_dirty_layers</x:v>
      </x:c>
      <x:c r="C119" t="str">
        <x:v>HF_9MHz_full_depth</x:v>
      </x:c>
      <x:c r="D119" s="118" t="n">
        <x:v>14608.974517463</x:v>
      </x:c>
      <x:c r="E119" s="123" t="n">
        <x:v>-1.9469807477025003</x:v>
      </x:c>
      <x:c r="F119" s="123" t="n">
        <x:v>11.62956763415168</x:v>
      </x:c>
      <x:c r="G119" s="123" t="n">
        <x:v>-999</x:v>
      </x:c>
      <x:c r="H119" s="118"/>
      <x:c r="I119" t="str">
        <x:v>false layer stronger</x:v>
      </x:c>
      <x:c r="J119" s="118" t="n">
        <x:v>-4410.670479663899</x:v>
      </x:c>
      <x:c r="K119" t="n">
        <x:v>6</x:v>
      </x:c>
      <x:c r="L119" s="123" t="n">
        <x:v>0</x:v>
      </x:c>
    </x:row>
    <x:row r="120">
      <x:c r="A120" s="118" t="n">
        <x:v>-40.5</x:v>
      </x:c>
      <x:c r="B120" t="str">
        <x:v>rough_surface_clutter</x:v>
      </x:c>
      <x:c r="C120" t="str">
        <x:v>VHF_60MHz_shallow</x:v>
      </x:c>
      <x:c r="D120" s="118" t="n">
        <x:v>14608.974517463</x:v>
      </x:c>
      <x:c r="E120" s="123"/>
      <x:c r="F120" s="123" t="n">
        <x:v>-999</x:v>
      </x:c>
      <x:c r="G120" s="123" t="n">
        <x:v>8.0931701291515</x:v>
      </x:c>
      <x:c r="H120" s="118" t="n">
        <x:v>1158.700059706775</x:v>
      </x:c>
      <x:c r="I120" t="str">
        <x:v>surface clutter in shallow window</x:v>
      </x:c>
      <x:c r="J120" s="118" t="n">
        <x:v>-13450.274457756226</x:v>
      </x:c>
      <x:c r="K120" t="n">
        <x:v>0</x:v>
      </x:c>
      <x:c r="L120" s="123" t="n">
        <x:v>0.872642113260155</x:v>
      </x:c>
    </x:row>
    <x:row r="121">
      <x:c r="A121" s="118" t="n">
        <x:v>-40.5</x:v>
      </x:c>
      <x:c r="B121" t="str">
        <x:v>complex_with_clutter</x:v>
      </x:c>
      <x:c r="C121" t="str">
        <x:v>VHF_60MHz_shallow</x:v>
      </x:c>
      <x:c r="D121" s="118" t="n">
        <x:v>14608.974517463</x:v>
      </x:c>
      <x:c r="E121" s="123"/>
      <x:c r="F121" s="123" t="n">
        <x:v>5.105896066073025</x:v>
      </x:c>
      <x:c r="G121" s="123" t="n">
        <x:v>10.580200151942943</x:v>
      </x:c>
      <x:c r="H121" s="118" t="n">
        <x:v>1158.700059706775</x:v>
      </x:c>
      <x:c r="I121" t="str">
        <x:v>surface clutter in shallow window</x:v>
      </x:c>
      <x:c r="J121" s="118" t="n">
        <x:v>-13450.274457756226</x:v>
      </x:c>
      <x:c r="K121" t="n">
        <x:v>10</x:v>
      </x:c>
      <x:c r="L121" s="123" t="n">
        <x:v>0.872642113260155</x:v>
      </x:c>
    </x:row>
    <x:row r="122">
      <x:c r="A122" s="118" t="n">
        <x:v>-40</x:v>
      </x:c>
      <x:c r="B122" t="str">
        <x:v>stacked_dirty_layers</x:v>
      </x:c>
      <x:c r="C122" t="str">
        <x:v>HF_9MHz_full_depth</x:v>
      </x:c>
      <x:c r="D122" s="118" t="n">
        <x:v>14605.554950848293</x:v>
      </x:c>
      <x:c r="E122" s="123" t="n">
        <x:v>-1.9330015957326065</x:v>
      </x:c>
      <x:c r="F122" s="123" t="n">
        <x:v>11.671492533013348</x:v>
      </x:c>
      <x:c r="G122" s="123" t="n">
        <x:v>-999</x:v>
      </x:c>
      <x:c r="H122" s="118"/>
      <x:c r="I122" t="str">
        <x:v>false layer stronger</x:v>
      </x:c>
      <x:c r="J122" s="118" t="n">
        <x:v>-4420.262743070669</x:v>
      </x:c>
      <x:c r="K122" t="n">
        <x:v>6</x:v>
      </x:c>
      <x:c r="L122" s="123" t="n">
        <x:v>0</x:v>
      </x:c>
    </x:row>
    <x:row r="123">
      <x:c r="A123" s="118" t="n">
        <x:v>-40</x:v>
      </x:c>
      <x:c r="B123" t="str">
        <x:v>rough_surface_clutter</x:v>
      </x:c>
      <x:c r="C123" t="str">
        <x:v>VHF_60MHz_shallow</x:v>
      </x:c>
      <x:c r="D123" s="118" t="n">
        <x:v>14605.554950848293</x:v>
      </x:c>
      <x:c r="E123" s="123"/>
      <x:c r="F123" s="123" t="n">
        <x:v>-999</x:v>
      </x:c>
      <x:c r="G123" s="123" t="n">
        <x:v>6.186480276506254</x:v>
      </x:c>
      <x:c r="H123" s="118" t="n">
        <x:v>1078.412918506385</x:v>
      </x:c>
      <x:c r="I123" t="str">
        <x:v>surface clutter in shallow window</x:v>
      </x:c>
      <x:c r="J123" s="118" t="n">
        <x:v>-13527.142032341908</x:v>
      </x:c>
      <x:c r="K123" t="n">
        <x:v>0</x:v>
      </x:c>
      <x:c r="L123" s="123" t="n">
        <x:v>0.7545808220746907</x:v>
      </x:c>
    </x:row>
    <x:row r="124">
      <x:c r="A124" s="118" t="n">
        <x:v>-40</x:v>
      </x:c>
      <x:c r="B124" t="str">
        <x:v>complex_with_clutter</x:v>
      </x:c>
      <x:c r="C124" t="str">
        <x:v>VHF_60MHz_shallow</x:v>
      </x:c>
      <x:c r="D124" s="118" t="n">
        <x:v>14605.554950848293</x:v>
      </x:c>
      <x:c r="E124" s="123"/>
      <x:c r="F124" s="123" t="n">
        <x:v>5.1990665434857695</x:v>
      </x:c>
      <x:c r="G124" s="123" t="n">
        <x:v>8.337035619419122</x:v>
      </x:c>
      <x:c r="H124" s="118" t="n">
        <x:v>1078.412918506385</x:v>
      </x:c>
      <x:c r="I124" t="str">
        <x:v>surface clutter in shallow window</x:v>
      </x:c>
      <x:c r="J124" s="118" t="n">
        <x:v>-13527.142032341908</x:v>
      </x:c>
      <x:c r="K124" t="n">
        <x:v>10</x:v>
      </x:c>
      <x:c r="L124" s="123" t="n">
        <x:v>0.7545808220746907</x:v>
      </x:c>
    </x:row>
    <x:row r="125">
      <x:c r="A125" s="118" t="n">
        <x:v>-39.5</x:v>
      </x:c>
      <x:c r="B125" t="str">
        <x:v>stacked_dirty_layers</x:v>
      </x:c>
      <x:c r="C125" t="str">
        <x:v>HF_9MHz_full_depth</x:v>
      </x:c>
      <x:c r="D125" s="118" t="n">
        <x:v>14602.691093675494</x:v>
      </x:c>
      <x:c r="E125" s="123" t="n">
        <x:v>-1.9600528482925903</x:v>
      </x:c>
      <x:c r="F125" s="123" t="n">
        <x:v>11.670600720998046</x:v>
      </x:c>
      <x:c r="G125" s="123" t="n">
        <x:v>-999</x:v>
      </x:c>
      <x:c r="H125" s="118"/>
      <x:c r="I125" t="str">
        <x:v>false layer stronger</x:v>
      </x:c>
      <x:c r="J125" s="118" t="n">
        <x:v>-4429.3049349167995</x:v>
      </x:c>
      <x:c r="K125" t="n">
        <x:v>6</x:v>
      </x:c>
      <x:c r="L125" s="123" t="n">
        <x:v>0</x:v>
      </x:c>
    </x:row>
    <x:row r="126">
      <x:c r="A126" s="118" t="n">
        <x:v>-39.5</x:v>
      </x:c>
      <x:c r="B126" t="str">
        <x:v>rough_surface_clutter</x:v>
      </x:c>
      <x:c r="C126" t="str">
        <x:v>VHF_60MHz_shallow</x:v>
      </x:c>
      <x:c r="D126" s="118" t="n">
        <x:v>14602.691093675494</x:v>
      </x:c>
      <x:c r="E126" s="123"/>
      <x:c r="F126" s="123" t="n">
        <x:v>-999</x:v>
      </x:c>
      <x:c r="G126" s="123" t="n">
        <x:v>6.641865119323342</x:v>
      </x:c>
      <x:c r="H126" s="118" t="n">
        <x:v>1074.3406065057166</x:v>
      </x:c>
      <x:c r="I126" t="str">
        <x:v>surface clutter in shallow window</x:v>
      </x:c>
      <x:c r="J126" s="118" t="n">
        <x:v>-13528.350487169777</x:v>
      </x:c>
      <x:c r="K126" t="n">
        <x:v>0</x:v>
      </x:c>
      <x:c r="L126" s="123" t="n">
        <x:v>0.7827780259642936</x:v>
      </x:c>
    </x:row>
    <x:row r="127">
      <x:c r="A127" s="118" t="n">
        <x:v>-39.5</x:v>
      </x:c>
      <x:c r="B127" t="str">
        <x:v>complex_with_clutter</x:v>
      </x:c>
      <x:c r="C127" t="str">
        <x:v>VHF_60MHz_shallow</x:v>
      </x:c>
      <x:c r="D127" s="118" t="n">
        <x:v>14602.691093675494</x:v>
      </x:c>
      <x:c r="E127" s="123"/>
      <x:c r="F127" s="123" t="n">
        <x:v>5.174810028955828</x:v>
      </x:c>
      <x:c r="G127" s="123" t="n">
        <x:v>8.872782493321578</x:v>
      </x:c>
      <x:c r="H127" s="118" t="n">
        <x:v>1074.3406065057166</x:v>
      </x:c>
      <x:c r="I127" t="str">
        <x:v>surface clutter in shallow window</x:v>
      </x:c>
      <x:c r="J127" s="118" t="n">
        <x:v>-13528.350487169777</x:v>
      </x:c>
      <x:c r="K127" t="n">
        <x:v>10</x:v>
      </x:c>
      <x:c r="L127" s="123" t="n">
        <x:v>0.7827780259642936</x:v>
      </x:c>
    </x:row>
    <x:row r="128">
      <x:c r="A128" s="118" t="n">
        <x:v>-39</x:v>
      </x:c>
      <x:c r="B128" t="str">
        <x:v>stacked_dirty_layers</x:v>
      </x:c>
      <x:c r="C128" t="str">
        <x:v>HF_9MHz_full_depth</x:v>
      </x:c>
      <x:c r="D128" s="118" t="n">
        <x:v>14602.748972256197</x:v>
      </x:c>
      <x:c r="E128" s="123" t="n">
        <x:v>-1.9722364481026713</x:v>
      </x:c>
      <x:c r="F128" s="123" t="n">
        <x:v>11.684474326898686</x:v>
      </x:c>
      <x:c r="G128" s="123" t="n">
        <x:v>-999</x:v>
      </x:c>
      <x:c r="H128" s="118"/>
      <x:c r="I128" t="str">
        <x:v>false layer stronger</x:v>
      </x:c>
      <x:c r="J128" s="118" t="n">
        <x:v>-4438.519808923926</x:v>
      </x:c>
      <x:c r="K128" t="n">
        <x:v>6</x:v>
      </x:c>
      <x:c r="L128" s="123" t="n">
        <x:v>0</x:v>
      </x:c>
    </x:row>
    <x:row r="129">
      <x:c r="A129" s="118" t="n">
        <x:v>-39</x:v>
      </x:c>
      <x:c r="B129" t="str">
        <x:v>rough_surface_clutter</x:v>
      </x:c>
      <x:c r="C129" t="str">
        <x:v>VHF_60MHz_shallow</x:v>
      </x:c>
      <x:c r="D129" s="118" t="n">
        <x:v>14602.748972256197</x:v>
      </x:c>
      <x:c r="E129" s="123"/>
      <x:c r="F129" s="123" t="n">
        <x:v>-999</x:v>
      </x:c>
      <x:c r="G129" s="123" t="n">
        <x:v>6.139885072485619</x:v>
      </x:c>
      <x:c r="H129" s="118" t="n">
        <x:v>1041.068656347375</x:v>
      </x:c>
      <x:c r="I129" t="str">
        <x:v>surface clutter in shallow window</x:v>
      </x:c>
      <x:c r="J129" s="118" t="n">
        <x:v>-13561.680315908821</x:v>
      </x:c>
      <x:c r="K129" t="n">
        <x:v>0</x:v>
      </x:c>
      <x:c r="L129" s="123" t="n">
        <x:v>0.7516956701229486</x:v>
      </x:c>
    </x:row>
    <x:row r="130">
      <x:c r="A130" s="118" t="n">
        <x:v>-39</x:v>
      </x:c>
      <x:c r="B130" t="str">
        <x:v>complex_with_clutter</x:v>
      </x:c>
      <x:c r="C130" t="str">
        <x:v>VHF_60MHz_shallow</x:v>
      </x:c>
      <x:c r="D130" s="118" t="n">
        <x:v>14602.748972256197</x:v>
      </x:c>
      <x:c r="E130" s="123"/>
      <x:c r="F130" s="123" t="n">
        <x:v>5.197568166370003</x:v>
      </x:c>
      <x:c r="G130" s="123" t="n">
        <x:v>8.282217732336022</x:v>
      </x:c>
      <x:c r="H130" s="118" t="n">
        <x:v>1041.068656347375</x:v>
      </x:c>
      <x:c r="I130" t="str">
        <x:v>surface clutter in shallow window</x:v>
      </x:c>
      <x:c r="J130" s="118" t="n">
        <x:v>-13561.680315908821</x:v>
      </x:c>
      <x:c r="K130" t="n">
        <x:v>10</x:v>
      </x:c>
      <x:c r="L130" s="123" t="n">
        <x:v>0.7516956701229486</x:v>
      </x:c>
    </x:row>
    <x:row r="131">
      <x:c r="A131" s="118" t="n">
        <x:v>-38.5</x:v>
      </x:c>
      <x:c r="B131" t="str">
        <x:v>stacked_dirty_layers</x:v>
      </x:c>
      <x:c r="C131" t="str">
        <x:v>HF_9MHz_full_depth</x:v>
      </x:c>
      <x:c r="D131" s="118" t="n">
        <x:v>14596.90416266791</x:v>
      </x:c>
      <x:c r="E131" s="123" t="n">
        <x:v>-2.0047939400172474</x:v>
      </x:c>
      <x:c r="F131" s="123" t="n">
        <x:v>11.671406594288698</x:v>
      </x:c>
      <x:c r="G131" s="123" t="n">
        <x:v>-999</x:v>
      </x:c>
      <x:c r="H131" s="118"/>
      <x:c r="I131" t="str">
        <x:v>false layer stronger</x:v>
      </x:c>
      <x:c r="J131" s="118" t="n">
        <x:v>-4445.142977521949</x:v>
      </x:c>
      <x:c r="K131" t="n">
        <x:v>6</x:v>
      </x:c>
      <x:c r="L131" s="123" t="n">
        <x:v>0</x:v>
      </x:c>
    </x:row>
    <x:row r="132">
      <x:c r="A132" s="118" t="n">
        <x:v>-38.5</x:v>
      </x:c>
      <x:c r="B132" t="str">
        <x:v>rough_surface_clutter</x:v>
      </x:c>
      <x:c r="C132" t="str">
        <x:v>VHF_60MHz_shallow</x:v>
      </x:c>
      <x:c r="D132" s="118" t="n">
        <x:v>14596.90416266791</x:v>
      </x:c>
      <x:c r="E132" s="123"/>
      <x:c r="F132" s="123" t="n">
        <x:v>-999</x:v>
      </x:c>
      <x:c r="G132" s="123" t="n">
        <x:v>7.281679719687547</x:v>
      </x:c>
      <x:c r="H132" s="118" t="n">
        <x:v>1061.2463221995176</x:v>
      </x:c>
      <x:c r="I132" t="str">
        <x:v>surface clutter in shallow window</x:v>
      </x:c>
      <x:c r="J132" s="118" t="n">
        <x:v>-13535.657840468393</x:v>
      </x:c>
      <x:c r="K132" t="n">
        <x:v>0</x:v>
      </x:c>
      <x:c r="L132" s="123" t="n">
        <x:v>0.8223950290828203</x:v>
      </x:c>
    </x:row>
    <x:row r="133">
      <x:c r="A133" s="118" t="n">
        <x:v>-38.5</x:v>
      </x:c>
      <x:c r="B133" t="str">
        <x:v>complex_with_clutter</x:v>
      </x:c>
      <x:c r="C133" t="str">
        <x:v>VHF_60MHz_shallow</x:v>
      </x:c>
      <x:c r="D133" s="118" t="n">
        <x:v>14596.90416266791</x:v>
      </x:c>
      <x:c r="E133" s="123"/>
      <x:c r="F133" s="123" t="n">
        <x:v>5.138504681514055</x:v>
      </x:c>
      <x:c r="G133" s="123" t="n">
        <x:v>9.625505552573586</x:v>
      </x:c>
      <x:c r="H133" s="118" t="n">
        <x:v>1061.2463221995176</x:v>
      </x:c>
      <x:c r="I133" t="str">
        <x:v>surface clutter in shallow window</x:v>
      </x:c>
      <x:c r="J133" s="118" t="n">
        <x:v>-13535.657840468393</x:v>
      </x:c>
      <x:c r="K133" t="n">
        <x:v>10</x:v>
      </x:c>
      <x:c r="L133" s="123" t="n">
        <x:v>0.8223950290828203</x:v>
      </x:c>
    </x:row>
    <x:row r="134">
      <x:c r="A134" s="118" t="n">
        <x:v>-38</x:v>
      </x:c>
      <x:c r="B134" t="str">
        <x:v>stacked_dirty_layers</x:v>
      </x:c>
      <x:c r="C134" t="str">
        <x:v>HF_9MHz_full_depth</x:v>
      </x:c>
      <x:c r="D134" s="118" t="n">
        <x:v>14596.295801636577</x:v>
      </x:c>
      <x:c r="E134" s="123" t="n">
        <x:v>-2.046052453518664</x:v>
      </x:c>
      <x:c r="F134" s="123" t="n">
        <x:v>11.651153646490934</x:v>
      </x:c>
      <x:c r="G134" s="123" t="n">
        <x:v>-999</x:v>
      </x:c>
      <x:c r="H134" s="118"/>
      <x:c r="I134" t="str">
        <x:v>false layer stronger</x:v>
      </x:c>
      <x:c r="J134" s="118" t="n">
        <x:v>-4452.634902473232</x:v>
      </x:c>
      <x:c r="K134" t="n">
        <x:v>6</x:v>
      </x:c>
      <x:c r="L134" s="123" t="n">
        <x:v>0</x:v>
      </x:c>
    </x:row>
    <x:row r="135">
      <x:c r="A135" s="118" t="n">
        <x:v>-38</x:v>
      </x:c>
      <x:c r="B135" t="str">
        <x:v>rough_surface_clutter</x:v>
      </x:c>
      <x:c r="C135" t="str">
        <x:v>VHF_60MHz_shallow</x:v>
      </x:c>
      <x:c r="D135" s="118" t="n">
        <x:v>14596.295801636577</x:v>
      </x:c>
      <x:c r="E135" s="123"/>
      <x:c r="F135" s="123" t="n">
        <x:v>-999</x:v>
      </x:c>
      <x:c r="G135" s="123" t="n">
        <x:v>8.64439181090045</x:v>
      </x:c>
      <x:c r="H135" s="118" t="n">
        <x:v>1089.7000123557432</x:v>
      </x:c>
      <x:c r="I135" t="str">
        <x:v>surface clutter in shallow window</x:v>
      </x:c>
      <x:c r="J135" s="118" t="n">
        <x:v>-13506.595789280835</x:v>
      </x:c>
      <x:c r="K135" t="n">
        <x:v>0</x:v>
      </x:c>
      <x:c r="L135" s="123" t="n">
        <x:v>0.9067734867430619</x:v>
      </x:c>
    </x:row>
    <x:row r="136">
      <x:c r="A136" s="118" t="n">
        <x:v>-38</x:v>
      </x:c>
      <x:c r="B136" t="str">
        <x:v>complex_with_clutter</x:v>
      </x:c>
      <x:c r="C136" t="str">
        <x:v>VHF_60MHz_shallow</x:v>
      </x:c>
      <x:c r="D136" s="118" t="n">
        <x:v>14596.295801636577</x:v>
      </x:c>
      <x:c r="E136" s="123"/>
      <x:c r="F136" s="123" t="n">
        <x:v>5.06811588468318</x:v>
      </x:c>
      <x:c r="G136" s="123" t="n">
        <x:v>11.228696248118176</x:v>
      </x:c>
      <x:c r="H136" s="118" t="n">
        <x:v>1089.7000123557432</x:v>
      </x:c>
      <x:c r="I136" t="str">
        <x:v>surface clutter in shallow window</x:v>
      </x:c>
      <x:c r="J136" s="118" t="n">
        <x:v>-13506.595789280835</x:v>
      </x:c>
      <x:c r="K136" t="n">
        <x:v>10</x:v>
      </x:c>
      <x:c r="L136" s="123" t="n">
        <x:v>0.9067734867430619</x:v>
      </x:c>
    </x:row>
    <x:row r="137">
      <x:c r="A137" s="118" t="n">
        <x:v>-37.5</x:v>
      </x:c>
      <x:c r="B137" t="str">
        <x:v>stacked_dirty_layers</x:v>
      </x:c>
      <x:c r="C137" t="str">
        <x:v>HF_9MHz_full_depth</x:v>
      </x:c>
      <x:c r="D137" s="118" t="n">
        <x:v>14589.655674119576</x:v>
      </x:c>
      <x:c r="E137" s="123" t="n">
        <x:v>-2.0683014567998024</x:v>
      </x:c>
      <x:c r="F137" s="123" t="n">
        <x:v>11.643171043281205</x:v>
      </x:c>
      <x:c r="G137" s="123" t="n">
        <x:v>-999</x:v>
      </x:c>
      <x:c r="H137" s="118"/>
      <x:c r="I137" t="str">
        <x:v>false layer stronger</x:v>
      </x:c>
      <x:c r="J137" s="118" t="n">
        <x:v>-4457.4622916362005</x:v>
      </x:c>
      <x:c r="K137" t="n">
        <x:v>6</x:v>
      </x:c>
      <x:c r="L137" s="123" t="n">
        <x:v>0</x:v>
      </x:c>
    </x:row>
    <x:row r="138">
      <x:c r="A138" s="118" t="n">
        <x:v>-37.5</x:v>
      </x:c>
      <x:c r="B138" t="str">
        <x:v>rough_surface_clutter</x:v>
      </x:c>
      <x:c r="C138" t="str">
        <x:v>VHF_60MHz_shallow</x:v>
      </x:c>
      <x:c r="D138" s="118" t="n">
        <x:v>14589.655674119576</x:v>
      </x:c>
      <x:c r="E138" s="123"/>
      <x:c r="F138" s="123" t="n">
        <x:v>-999</x:v>
      </x:c>
      <x:c r="G138" s="123" t="n">
        <x:v>9.4384025487256</x:v>
      </x:c>
      <x:c r="H138" s="118" t="n">
        <x:v>1101.3689653116062</x:v>
      </x:c>
      <x:c r="I138" t="str">
        <x:v>surface clutter in shallow window</x:v>
      </x:c>
      <x:c r="J138" s="118" t="n">
        <x:v>-13488.28670880797</x:v>
      </x:c>
      <x:c r="K138" t="n">
        <x:v>0</x:v>
      </x:c>
      <x:c r="L138" s="123" t="n">
        <x:v>0.9559382383111827</x:v>
      </x:c>
    </x:row>
    <x:row r="139">
      <x:c r="A139" s="118" t="n">
        <x:v>-37.5</x:v>
      </x:c>
      <x:c r="B139" t="str">
        <x:v>complex_with_clutter</x:v>
      </x:c>
      <x:c r="C139" t="str">
        <x:v>VHF_60MHz_shallow</x:v>
      </x:c>
      <x:c r="D139" s="118" t="n">
        <x:v>14589.655674119576</x:v>
      </x:c>
      <x:c r="E139" s="123"/>
      <x:c r="F139" s="123" t="n">
        <x:v>5.02553162902313</x:v>
      </x:c>
      <x:c r="G139" s="123" t="n">
        <x:v>12.162826527912472</x:v>
      </x:c>
      <x:c r="H139" s="118" t="n">
        <x:v>1101.3689653116062</x:v>
      </x:c>
      <x:c r="I139" t="str">
        <x:v>surface clutter in shallow window</x:v>
      </x:c>
      <x:c r="J139" s="118" t="n">
        <x:v>-13488.28670880797</x:v>
      </x:c>
      <x:c r="K139" t="n">
        <x:v>10</x:v>
      </x:c>
      <x:c r="L139" s="123" t="n">
        <x:v>0.9559382383111827</x:v>
      </x:c>
    </x:row>
    <x:row r="140">
      <x:c r="A140" s="118" t="n">
        <x:v>-37</x:v>
      </x:c>
      <x:c r="B140" t="str">
        <x:v>stacked_dirty_layers</x:v>
      </x:c>
      <x:c r="C140" t="str">
        <x:v>HF_9MHz_full_depth</x:v>
      </x:c>
      <x:c r="D140" s="118" t="n">
        <x:v>14588.806016104165</x:v>
      </x:c>
      <x:c r="E140" s="123" t="n">
        <x:v>-2.0577768326310864</x:v>
      </x:c>
      <x:c r="F140" s="123" t="n">
        <x:v>11.669822951056007</x:v>
      </x:c>
      <x:c r="G140" s="123" t="n">
        <x:v>-999</x:v>
      </x:c>
      <x:c r="H140" s="118"/>
      <x:c r="I140" t="str">
        <x:v>false layer stronger</x:v>
      </x:c>
      <x:c r="J140" s="118" t="n">
        <x:v>-4463.314118703234</x:v>
      </x:c>
      <x:c r="K140" t="n">
        <x:v>6</x:v>
      </x:c>
      <x:c r="L140" s="123" t="n">
        <x:v>0</x:v>
      </x:c>
    </x:row>
    <x:row r="141">
      <x:c r="A141" s="118" t="n">
        <x:v>-37</x:v>
      </x:c>
      <x:c r="B141" t="str">
        <x:v>rough_surface_clutter</x:v>
      </x:c>
      <x:c r="C141" t="str">
        <x:v>VHF_60MHz_shallow</x:v>
      </x:c>
      <x:c r="D141" s="118" t="n">
        <x:v>14588.806016104165</x:v>
      </x:c>
      <x:c r="E141" s="123"/>
      <x:c r="F141" s="123" t="n">
        <x:v>-999</x:v>
      </x:c>
      <x:c r="G141" s="123" t="n">
        <x:v>8.075366945992277</x:v>
      </x:c>
      <x:c r="H141" s="118" t="n">
        <x:v>1045.8192836281596</x:v>
      </x:c>
      <x:c r="I141" t="str">
        <x:v>surface clutter in shallow window</x:v>
      </x:c>
      <x:c r="J141" s="118" t="n">
        <x:v>-13542.986732476005</x:v>
      </x:c>
      <x:c r="K141" t="n">
        <x:v>0</x:v>
      </x:c>
      <x:c r="L141" s="123" t="n">
        <x:v>0.87153974897785</x:v>
      </x:c>
    </x:row>
    <x:row r="142">
      <x:c r="A142" s="118" t="n">
        <x:v>-37</x:v>
      </x:c>
      <x:c r="B142" t="str">
        <x:v>complex_with_clutter</x:v>
      </x:c>
      <x:c r="C142" t="str">
        <x:v>VHF_60MHz_shallow</x:v>
      </x:c>
      <x:c r="D142" s="118" t="n">
        <x:v>14588.806016104165</x:v>
      </x:c>
      <x:c r="E142" s="123"/>
      <x:c r="F142" s="123" t="n">
        <x:v>5.089448457206963</x:v>
      </x:c>
      <x:c r="G142" s="123" t="n">
        <x:v>10.55925523057915</x:v>
      </x:c>
      <x:c r="H142" s="118" t="n">
        <x:v>1045.8192836281596</x:v>
      </x:c>
      <x:c r="I142" t="str">
        <x:v>surface clutter in shallow window</x:v>
      </x:c>
      <x:c r="J142" s="118" t="n">
        <x:v>-13542.986732476005</x:v>
      </x:c>
      <x:c r="K142" t="n">
        <x:v>10</x:v>
      </x:c>
      <x:c r="L142" s="123" t="n">
        <x:v>0.87153974897785</x:v>
      </x:c>
    </x:row>
    <x:row r="143">
      <x:c r="A143" s="118" t="n">
        <x:v>-36.5</x:v>
      </x:c>
      <x:c r="B143" t="str">
        <x:v>stacked_dirty_layers</x:v>
      </x:c>
      <x:c r="C143" t="str">
        <x:v>HF_9MHz_full_depth</x:v>
      </x:c>
      <x:c r="D143" s="118" t="n">
        <x:v>14583.853391519191</x:v>
      </x:c>
      <x:c r="E143" s="123" t="n">
        <x:v>-2.094761833324521</x:v>
      </x:c>
      <x:c r="F143" s="123" t="n">
        <x:v>11.64357493852619</x:v>
      </x:c>
      <x:c r="G143" s="123" t="n">
        <x:v>-999</x:v>
      </x:c>
      <x:c r="H143" s="118"/>
      <x:c r="I143" t="str">
        <x:v>false layer stronger</x:v>
      </x:c>
      <x:c r="J143" s="118" t="n">
        <x:v>-4467.08150872166</x:v>
      </x:c>
      <x:c r="K143" t="n">
        <x:v>6</x:v>
      </x:c>
      <x:c r="L143" s="123" t="n">
        <x:v>0</x:v>
      </x:c>
    </x:row>
    <x:row r="144">
      <x:c r="A144" s="118" t="n">
        <x:v>-36.5</x:v>
      </x:c>
      <x:c r="B144" t="str">
        <x:v>rough_surface_clutter</x:v>
      </x:c>
      <x:c r="C144" t="str">
        <x:v>VHF_60MHz_shallow</x:v>
      </x:c>
      <x:c r="D144" s="118" t="n">
        <x:v>14583.853391519191</x:v>
      </x:c>
      <x:c r="E144" s="123"/>
      <x:c r="F144" s="123" t="n">
        <x:v>-999</x:v>
      </x:c>
      <x:c r="G144" s="123" t="n">
        <x:v>9.775161524039667</x:v>
      </x:c>
      <x:c r="H144" s="118" t="n">
        <x:v>1088.8763624200694</x:v>
      </x:c>
      <x:c r="I144" t="str">
        <x:v>surface clutter in shallow window</x:v>
      </x:c>
      <x:c r="J144" s="118" t="n">
        <x:v>-13494.977029099122</x:v>
      </x:c>
      <x:c r="K144" t="n">
        <x:v>0</x:v>
      </x:c>
      <x:c r="L144" s="123" t="n">
        <x:v>0.9767901872470384</x:v>
      </x:c>
    </x:row>
    <x:row r="145">
      <x:c r="A145" s="118" t="n">
        <x:v>-36.5</x:v>
      </x:c>
      <x:c r="B145" t="str">
        <x:v>complex_with_clutter</x:v>
      </x:c>
      <x:c r="C145" t="str">
        <x:v>VHF_60MHz_shallow</x:v>
      </x:c>
      <x:c r="D145" s="118" t="n">
        <x:v>14583.853391519191</x:v>
      </x:c>
      <x:c r="E145" s="123"/>
      <x:c r="F145" s="123" t="n">
        <x:v>5.00131476260303</x:v>
      </x:c>
      <x:c r="G145" s="123" t="n">
        <x:v>12.559013557693728</x:v>
      </x:c>
      <x:c r="H145" s="118" t="n">
        <x:v>1088.8763624200694</x:v>
      </x:c>
      <x:c r="I145" t="str">
        <x:v>surface clutter in shallow window</x:v>
      </x:c>
      <x:c r="J145" s="118" t="n">
        <x:v>-13494.977029099122</x:v>
      </x:c>
      <x:c r="K145" t="n">
        <x:v>10</x:v>
      </x:c>
      <x:c r="L145" s="123" t="n">
        <x:v>0.9767901872470384</x:v>
      </x:c>
    </x:row>
    <x:row r="146">
      <x:c r="A146" s="118" t="n">
        <x:v>-36</x:v>
      </x:c>
      <x:c r="B146" t="str">
        <x:v>stacked_dirty_layers</x:v>
      </x:c>
      <x:c r="C146" t="str">
        <x:v>HF_9MHz_full_depth</x:v>
      </x:c>
      <x:c r="D146" s="118" t="n">
        <x:v>14582.102622173152</x:v>
      </x:c>
      <x:c r="E146" s="123" t="n">
        <x:v>-2.0526608703251985</x:v>
      </x:c>
      <x:c r="F146" s="123" t="n">
        <x:v>11.696338000545428</x:v>
      </x:c>
      <x:c r="G146" s="123" t="n">
        <x:v>-999</x:v>
      </x:c>
      <x:c r="H146" s="118"/>
      <x:c r="I146" t="str">
        <x:v>false layer stronger</x:v>
      </x:c>
      <x:c r="J146" s="118" t="n">
        <x:v>-4471.048008479902</x:v>
      </x:c>
      <x:c r="K146" t="n">
        <x:v>6</x:v>
      </x:c>
      <x:c r="L146" s="123" t="n">
        <x:v>0</x:v>
      </x:c>
    </x:row>
    <x:row r="147">
      <x:c r="A147" s="118" t="n">
        <x:v>-36</x:v>
      </x:c>
      <x:c r="B147" t="str">
        <x:v>rough_surface_clutter</x:v>
      </x:c>
      <x:c r="C147" t="str">
        <x:v>VHF_60MHz_shallow</x:v>
      </x:c>
      <x:c r="D147" s="118" t="n">
        <x:v>14582.102622173152</x:v>
      </x:c>
      <x:c r="E147" s="123"/>
      <x:c r="F147" s="123" t="n">
        <x:v>-999</x:v>
      </x:c>
      <x:c r="G147" s="123" t="n">
        <x:v>6.881723502254392</x:v>
      </x:c>
      <x:c r="H147" s="118" t="n">
        <x:v>987.3632855263032</x:v>
      </x:c>
      <x:c r="I147" t="str">
        <x:v>surface clutter in shallow window</x:v>
      </x:c>
      <x:c r="J147" s="118" t="n">
        <x:v>-13594.739336646848</x:v>
      </x:c>
      <x:c r="K147" t="n">
        <x:v>0</x:v>
      </x:c>
      <x:c r="L147" s="123" t="n">
        <x:v>0.7976299382200862</x:v>
      </x:c>
    </x:row>
    <x:row r="148">
      <x:c r="A148" s="118" t="n">
        <x:v>-36</x:v>
      </x:c>
      <x:c r="B148" t="str">
        <x:v>complex_with_clutter</x:v>
      </x:c>
      <x:c r="C148" t="str">
        <x:v>VHF_60MHz_shallow</x:v>
      </x:c>
      <x:c r="D148" s="118" t="n">
        <x:v>14582.102622173152</x:v>
      </x:c>
      <x:c r="E148" s="123"/>
      <x:c r="F148" s="123" t="n">
        <x:v>5.140397481216859</x:v>
      </x:c>
      <x:c r="G148" s="123" t="n">
        <x:v>9.154968826181637</x:v>
      </x:c>
      <x:c r="H148" s="118" t="n">
        <x:v>987.3632855263032</x:v>
      </x:c>
      <x:c r="I148" t="str">
        <x:v>surface clutter in shallow window</x:v>
      </x:c>
      <x:c r="J148" s="118" t="n">
        <x:v>-13594.739336646848</x:v>
      </x:c>
      <x:c r="K148" t="n">
        <x:v>10</x:v>
      </x:c>
      <x:c r="L148" s="123" t="n">
        <x:v>0.7976299382200862</x:v>
      </x:c>
    </x:row>
    <x:row r="149">
      <x:c r="A149" s="118" t="n">
        <x:v>-35.5</x:v>
      </x:c>
      <x:c r="B149" t="str">
        <x:v>stacked_dirty_layers</x:v>
      </x:c>
      <x:c r="C149" t="str">
        <x:v>HF_9MHz_full_depth</x:v>
      </x:c>
      <x:c r="D149" s="118" t="n">
        <x:v>14580.284946826363</x:v>
      </x:c>
      <x:c r="E149" s="123" t="n">
        <x:v>-2.020985536995306</x:v>
      </x:c>
      <x:c r="F149" s="123" t="n">
        <x:v>11.736194017565984</x:v>
      </x:c>
      <x:c r="G149" s="123" t="n">
        <x:v>-999</x:v>
      </x:c>
      <x:c r="H149" s="118"/>
      <x:c r="I149" t="str">
        <x:v>false layer stronger</x:v>
      </x:c>
      <x:c r="J149" s="118" t="n">
        <x:v>-4474.181378124902</x:v>
      </x:c>
      <x:c r="K149" t="n">
        <x:v>6</x:v>
      </x:c>
      <x:c r="L149" s="123" t="n">
        <x:v>0</x:v>
      </x:c>
    </x:row>
    <x:row r="150">
      <x:c r="A150" s="118" t="n">
        <x:v>-35.5</x:v>
      </x:c>
      <x:c r="B150" t="str">
        <x:v>rough_surface_clutter</x:v>
      </x:c>
      <x:c r="C150" t="str">
        <x:v>VHF_60MHz_shallow</x:v>
      </x:c>
      <x:c r="D150" s="118" t="n">
        <x:v>14580.284946826363</x:v>
      </x:c>
      <x:c r="E150" s="123"/>
      <x:c r="F150" s="123" t="n">
        <x:v>-999</x:v>
      </x:c>
      <x:c r="G150" s="123" t="n">
        <x:v>4.6808971453185855</x:v>
      </x:c>
      <x:c r="H150" s="118" t="n">
        <x:v>909.1970988044478</x:v>
      </x:c>
      <x:c r="I150" t="str">
        <x:v>surface clutter in shallow window</x:v>
      </x:c>
      <x:c r="J150" s="118" t="n">
        <x:v>-13671.087848021914</x:v>
      </x:c>
      <x:c r="K150" t="n">
        <x:v>0</x:v>
      </x:c>
      <x:c r="L150" s="123" t="n">
        <x:v>0.6613558603912437</x:v>
      </x:c>
    </x:row>
    <x:row r="151">
      <x:c r="A151" s="118" t="n">
        <x:v>-35.5</x:v>
      </x:c>
      <x:c r="B151" t="str">
        <x:v>complex_with_clutter</x:v>
      </x:c>
      <x:c r="C151" t="str">
        <x:v>VHF_60MHz_shallow</x:v>
      </x:c>
      <x:c r="D151" s="118" t="n">
        <x:v>14580.284946826363</x:v>
      </x:c>
      <x:c r="E151" s="123"/>
      <x:c r="F151" s="123" t="n">
        <x:v>5.244879384107197</x:v>
      </x:c>
      <x:c r="G151" s="123" t="n">
        <x:v>6.5657613474336305</x:v>
      </x:c>
      <x:c r="H151" s="118" t="n">
        <x:v>909.1970988044478</x:v>
      </x:c>
      <x:c r="I151" t="str">
        <x:v>surface clutter in shallow window</x:v>
      </x:c>
      <x:c r="J151" s="118" t="n">
        <x:v>-13671.087848021914</x:v>
      </x:c>
      <x:c r="K151" t="n">
        <x:v>10</x:v>
      </x:c>
      <x:c r="L151" s="123" t="n">
        <x:v>0.6613558603912437</x:v>
      </x:c>
    </x:row>
    <x:row r="152">
      <x:c r="A152" s="118" t="n">
        <x:v>-35</x:v>
      </x:c>
      <x:c r="B152" t="str">
        <x:v>stacked_dirty_layers</x:v>
      </x:c>
      <x:c r="C152" t="str">
        <x:v>HF_9MHz_full_depth</x:v>
      </x:c>
      <x:c r="D152" s="118" t="n">
        <x:v>14581.129325609454</x:v>
      </x:c>
      <x:c r="E152" s="123" t="n">
        <x:v>-2.095282204012319</x:v>
      </x:c>
      <x:c r="F152" s="123" t="n">
        <x:v>11.669578780126306</x:v>
      </x:c>
      <x:c r="G152" s="123" t="n">
        <x:v>-999</x:v>
      </x:c>
      <x:c r="H152" s="118"/>
      <x:c r="I152" t="str">
        <x:v>false layer stronger</x:v>
      </x:c>
      <x:c r="J152" s="118" t="n">
        <x:v>-4477.334787827283</x:v>
      </x:c>
      <x:c r="K152" t="n">
        <x:v>6</x:v>
      </x:c>
      <x:c r="L152" s="123" t="n">
        <x:v>0</x:v>
      </x:c>
    </x:row>
    <x:row r="153">
      <x:c r="A153" s="118" t="n">
        <x:v>-35</x:v>
      </x:c>
      <x:c r="B153" t="str">
        <x:v>rough_surface_clutter</x:v>
      </x:c>
      <x:c r="C153" t="str">
        <x:v>VHF_60MHz_shallow</x:v>
      </x:c>
      <x:c r="D153" s="118" t="n">
        <x:v>14581.129325609454</x:v>
      </x:c>
      <x:c r="E153" s="123"/>
      <x:c r="F153" s="123" t="n">
        <x:v>-999</x:v>
      </x:c>
      <x:c r="G153" s="123" t="n">
        <x:v>8.387258953985361</x:v>
      </x:c>
      <x:c r="H153" s="118" t="n">
        <x:v>1020.0291200126323</x:v>
      </x:c>
      <x:c r="I153" t="str">
        <x:v>surface clutter in shallow window</x:v>
      </x:c>
      <x:c r="J153" s="118" t="n">
        <x:v>-13561.100205596822</x:v>
      </x:c>
      <x:c r="K153" t="n">
        <x:v>0</x:v>
      </x:c>
      <x:c r="L153" s="123" t="n">
        <x:v>0.8908519476151927</x:v>
      </x:c>
    </x:row>
    <x:row r="154">
      <x:c r="A154" s="118" t="n">
        <x:v>-35</x:v>
      </x:c>
      <x:c r="B154" t="str">
        <x:v>complex_with_clutter</x:v>
      </x:c>
      <x:c r="C154" t="str">
        <x:v>VHF_60MHz_shallow</x:v>
      </x:c>
      <x:c r="D154" s="118" t="n">
        <x:v>14581.129325609454</x:v>
      </x:c>
      <x:c r="E154" s="123"/>
      <x:c r="F154" s="123" t="n">
        <x:v>5.056474441515602</x:v>
      </x:c>
      <x:c r="G154" s="123" t="n">
        <x:v>10.92618700468866</x:v>
      </x:c>
      <x:c r="H154" s="118" t="n">
        <x:v>1020.0291200126323</x:v>
      </x:c>
      <x:c r="I154" t="str">
        <x:v>surface clutter in shallow window</x:v>
      </x:c>
      <x:c r="J154" s="118" t="n">
        <x:v>-13561.100205596822</x:v>
      </x:c>
      <x:c r="K154" t="n">
        <x:v>10</x:v>
      </x:c>
      <x:c r="L154" s="123" t="n">
        <x:v>0.8908519476151927</x:v>
      </x:c>
    </x:row>
    <x:row r="155">
      <x:c r="A155" s="118" t="n">
        <x:v>-34.5</x:v>
      </x:c>
      <x:c r="B155" t="str">
        <x:v>stacked_dirty_layers</x:v>
      </x:c>
      <x:c r="C155" t="str">
        <x:v>HF_9MHz_full_depth</x:v>
      </x:c>
      <x:c r="D155" s="118" t="n">
        <x:v>14576.85763200879</x:v>
      </x:c>
      <x:c r="E155" s="123" t="n">
        <x:v>-2.1140543979083173</x:v>
      </x:c>
      <x:c r="F155" s="123" t="n">
        <x:v>11.652288009740017</x:v>
      </x:c>
      <x:c r="G155" s="123" t="n">
        <x:v>-999</x:v>
      </x:c>
      <x:c r="H155" s="118"/>
      <x:c r="I155" t="str">
        <x:v>false layer stronger</x:v>
      </x:c>
      <x:c r="J155" s="118" t="n">
        <x:v>-4478.055765064246</x:v>
      </x:c>
      <x:c r="K155" t="n">
        <x:v>6</x:v>
      </x:c>
      <x:c r="L155" s="123" t="n">
        <x:v>0</x:v>
      </x:c>
    </x:row>
    <x:row r="156">
      <x:c r="A156" s="118" t="n">
        <x:v>-34.5</x:v>
      </x:c>
      <x:c r="B156" t="str">
        <x:v>rough_surface_clutter</x:v>
      </x:c>
      <x:c r="C156" t="str">
        <x:v>VHF_60MHz_shallow</x:v>
      </x:c>
      <x:c r="D156" s="118" t="n">
        <x:v>14576.85763200879</x:v>
      </x:c>
      <x:c r="E156" s="123"/>
      <x:c r="F156" s="123" t="n">
        <x:v>-999</x:v>
      </x:c>
      <x:c r="G156" s="123" t="n">
        <x:v>9.407894534613844</x:v>
      </x:c>
      <x:c r="H156" s="118" t="n">
        <x:v>1046.9178341911347</x:v>
      </x:c>
      <x:c r="I156" t="str">
        <x:v>surface clutter in shallow window</x:v>
      </x:c>
      <x:c r="J156" s="118" t="n">
        <x:v>-13529.939797817657</x:v>
      </x:c>
      <x:c r="K156" t="n">
        <x:v>0</x:v>
      </x:c>
      <x:c r="L156" s="123" t="n">
        <x:v>0.9540491971897117</x:v>
      </x:c>
    </x:row>
    <x:row r="157">
      <x:c r="A157" s="118" t="n">
        <x:v>-34.5</x:v>
      </x:c>
      <x:c r="B157" t="str">
        <x:v>complex_with_clutter</x:v>
      </x:c>
      <x:c r="C157" t="str">
        <x:v>VHF_60MHz_shallow</x:v>
      </x:c>
      <x:c r="D157" s="118" t="n">
        <x:v>14576.85763200879</x:v>
      </x:c>
      <x:c r="E157" s="123"/>
      <x:c r="F157" s="123" t="n">
        <x:v>5.000859818540652</x:v>
      </x:c>
      <x:c r="G157" s="123" t="n">
        <x:v>12.126934746604523</x:v>
      </x:c>
      <x:c r="H157" s="118" t="n">
        <x:v>1046.9178341911347</x:v>
      </x:c>
      <x:c r="I157" t="str">
        <x:v>surface clutter in shallow window</x:v>
      </x:c>
      <x:c r="J157" s="118" t="n">
        <x:v>-13529.939797817657</x:v>
      </x:c>
      <x:c r="K157" t="n">
        <x:v>11</x:v>
      </x:c>
      <x:c r="L157" s="123" t="n">
        <x:v>0.9540491971897117</x:v>
      </x:c>
    </x:row>
    <x:row r="158">
      <x:c r="A158" s="118" t="n">
        <x:v>-34</x:v>
      </x:c>
      <x:c r="B158" t="str">
        <x:v>stacked_dirty_layers</x:v>
      </x:c>
      <x:c r="C158" t="str">
        <x:v>HF_9MHz_full_depth</x:v>
      </x:c>
      <x:c r="D158" s="118" t="n">
        <x:v>14577.628747923229</x:v>
      </x:c>
      <x:c r="E158" s="123" t="n">
        <x:v>-2.0400027175617454</x:v>
      </x:c>
      <x:c r="F158" s="123" t="n">
        <x:v>11.729047629793898</x:v>
      </x:c>
      <x:c r="G158" s="123" t="n">
        <x:v>-999</x:v>
      </x:c>
      <x:c r="H158" s="118"/>
      <x:c r="I158" t="str">
        <x:v>false layer stronger</x:v>
      </x:c>
      <x:c r="J158" s="118" t="n">
        <x:v>-4479.539268670911</x:v>
      </x:c>
      <x:c r="K158" t="n">
        <x:v>6</x:v>
      </x:c>
      <x:c r="L158" s="123" t="n">
        <x:v>0</x:v>
      </x:c>
    </x:row>
    <x:row r="159">
      <x:c r="A159" s="118" t="n">
        <x:v>-34</x:v>
      </x:c>
      <x:c r="B159" t="str">
        <x:v>rough_surface_clutter</x:v>
      </x:c>
      <x:c r="C159" t="str">
        <x:v>VHF_60MHz_shallow</x:v>
      </x:c>
      <x:c r="D159" s="118" t="n">
        <x:v>14577.628747923229</x:v>
      </x:c>
      <x:c r="E159" s="123"/>
      <x:c r="F159" s="123" t="n">
        <x:v>-999</x:v>
      </x:c>
      <x:c r="G159" s="123" t="n">
        <x:v>4.937251201141349</x:v>
      </x:c>
      <x:c r="H159" s="118" t="n">
        <x:v>900.7536092141725</x:v>
      </x:c>
      <x:c r="I159" t="str">
        <x:v>surface clutter in shallow window</x:v>
      </x:c>
      <x:c r="J159" s="118" t="n">
        <x:v>-13676.875138709056</x:v>
      </x:c>
      <x:c r="K159" t="n">
        <x:v>0</x:v>
      </x:c>
      <x:c r="L159" s="123" t="n">
        <x:v>0.67722917654126</x:v>
      </x:c>
    </x:row>
    <x:row r="160">
      <x:c r="A160" s="118" t="n">
        <x:v>-34</x:v>
      </x:c>
      <x:c r="B160" t="str">
        <x:v>complex_with_clutter</x:v>
      </x:c>
      <x:c r="C160" t="str">
        <x:v>VHF_60MHz_shallow</x:v>
      </x:c>
      <x:c r="D160" s="118" t="n">
        <x:v>14577.628747923229</x:v>
      </x:c>
      <x:c r="E160" s="123"/>
      <x:c r="F160" s="123" t="n">
        <x:v>5.217032908966275</x:v>
      </x:c>
      <x:c r="G160" s="123" t="n">
        <x:v>6.86735435428394</x:v>
      </x:c>
      <x:c r="H160" s="118" t="n">
        <x:v>900.7536092141725</x:v>
      </x:c>
      <x:c r="I160" t="str">
        <x:v>surface clutter in shallow window</x:v>
      </x:c>
      <x:c r="J160" s="118" t="n">
        <x:v>-13676.875138709056</x:v>
      </x:c>
      <x:c r="K160" t="n">
        <x:v>11</x:v>
      </x:c>
      <x:c r="L160" s="123" t="n">
        <x:v>0.67722917654126</x:v>
      </x:c>
    </x:row>
    <x:row r="161">
      <x:c r="A161" s="118" t="n">
        <x:v>-33.5</x:v>
      </x:c>
      <x:c r="B161" t="str">
        <x:v>stacked_dirty_layers</x:v>
      </x:c>
      <x:c r="C161" t="str">
        <x:v>HF_9MHz_full_depth</x:v>
      </x:c>
      <x:c r="D161" s="118" t="n">
        <x:v>14578.092560023488</x:v>
      </x:c>
      <x:c r="E161" s="123" t="n">
        <x:v>-2.0698642595280914</x:v>
      </x:c>
      <x:c r="F161" s="123" t="n">
        <x:v>11.699203731356848</x:v>
      </x:c>
      <x:c r="G161" s="123" t="n">
        <x:v>-999</x:v>
      </x:c>
      <x:c r="H161" s="118"/>
      <x:c r="I161" t="str">
        <x:v>false layer stronger</x:v>
      </x:c>
      <x:c r="J161" s="118" t="n">
        <x:v>-4480.099156407399</x:v>
      </x:c>
      <x:c r="K161" t="n">
        <x:v>6</x:v>
      </x:c>
      <x:c r="L161" s="123" t="n">
        <x:v>0</x:v>
      </x:c>
    </x:row>
    <x:row r="162">
      <x:c r="A162" s="118" t="n">
        <x:v>-33.5</x:v>
      </x:c>
      <x:c r="B162" t="str">
        <x:v>rough_surface_clutter</x:v>
      </x:c>
      <x:c r="C162" t="str">
        <x:v>VHF_60MHz_shallow</x:v>
      </x:c>
      <x:c r="D162" s="118" t="n">
        <x:v>14578.092560023488</x:v>
      </x:c>
      <x:c r="E162" s="123"/>
      <x:c r="F162" s="123" t="n">
        <x:v>-999</x:v>
      </x:c>
      <x:c r="G162" s="123" t="n">
        <x:v>6.464276246248131</x:v>
      </x:c>
      <x:c r="H162" s="118" t="n">
        <x:v>946.4854295232163</x:v>
      </x:c>
      <x:c r="I162" t="str">
        <x:v>surface clutter in shallow window</x:v>
      </x:c>
      <x:c r="J162" s="118" t="n">
        <x:v>-13631.607130500272</x:v>
      </x:c>
      <x:c r="K162" t="n">
        <x:v>0</x:v>
      </x:c>
      <x:c r="L162" s="123" t="n">
        <x:v>0.771781810913197</x:v>
      </x:c>
    </x:row>
    <x:row r="163">
      <x:c r="A163" s="118" t="n">
        <x:v>-33.5</x:v>
      </x:c>
      <x:c r="B163" t="str">
        <x:v>complex_with_clutter</x:v>
      </x:c>
      <x:c r="C163" t="str">
        <x:v>VHF_60MHz_shallow</x:v>
      </x:c>
      <x:c r="D163" s="118" t="n">
        <x:v>14578.092560023488</x:v>
      </x:c>
      <x:c r="E163" s="123"/>
      <x:c r="F163" s="123" t="n">
        <x:v>5.135904989934639</x:v>
      </x:c>
      <x:c r="G163" s="123" t="n">
        <x:v>8.663854407350742</x:v>
      </x:c>
      <x:c r="H163" s="118" t="n">
        <x:v>946.4854295232163</x:v>
      </x:c>
      <x:c r="I163" t="str">
        <x:v>surface clutter in shallow window</x:v>
      </x:c>
      <x:c r="J163" s="118" t="n">
        <x:v>-13631.607130500272</x:v>
      </x:c>
      <x:c r="K163" t="n">
        <x:v>11</x:v>
      </x:c>
      <x:c r="L163" s="123" t="n">
        <x:v>0.771781810913197</x:v>
      </x:c>
    </x:row>
    <x:row r="164">
      <x:c r="A164" s="118" t="n">
        <x:v>-33</x:v>
      </x:c>
      <x:c r="B164" t="str">
        <x:v>stacked_dirty_layers</x:v>
      </x:c>
      <x:c r="C164" t="str">
        <x:v>HF_9MHz_full_depth</x:v>
      </x:c>
      <x:c r="D164" s="118" t="n">
        <x:v>14578.466646582594</x:v>
      </x:c>
      <x:c r="E164" s="123" t="n">
        <x:v>-2.06714412607761</x:v>
      </x:c>
      <x:c r="F164" s="123" t="n">
        <x:v>11.69941192175125</x:v>
      </x:c>
      <x:c r="G164" s="123" t="n">
        <x:v>-999</x:v>
      </x:c>
      <x:c r="H164" s="118"/>
      <x:c r="I164" t="str">
        <x:v>false layer stronger</x:v>
      </x:c>
      <x:c r="J164" s="118" t="n">
        <x:v>-4479.8031829648025</x:v>
      </x:c>
      <x:c r="K164" t="n">
        <x:v>6</x:v>
      </x:c>
      <x:c r="L164" s="123" t="n">
        <x:v>0</x:v>
      </x:c>
    </x:row>
    <x:row r="165">
      <x:c r="A165" s="118" t="n">
        <x:v>-33</x:v>
      </x:c>
      <x:c r="B165" t="str">
        <x:v>rough_surface_clutter</x:v>
      </x:c>
      <x:c r="C165" t="str">
        <x:v>VHF_60MHz_shallow</x:v>
      </x:c>
      <x:c r="D165" s="118" t="n">
        <x:v>14578.466646582594</x:v>
      </x:c>
      <x:c r="E165" s="123"/>
      <x:c r="F165" s="123" t="n">
        <x:v>-999</x:v>
      </x:c>
      <x:c r="G165" s="123" t="n">
        <x:v>6.259135508290756</x:v>
      </x:c>
      <x:c r="H165" s="118" t="n">
        <x:v>938.5813597257893</x:v>
      </x:c>
      <x:c r="I165" t="str">
        <x:v>surface clutter in shallow window</x:v>
      </x:c>
      <x:c r="J165" s="118" t="n">
        <x:v>-13639.885286856805</x:v>
      </x:c>
      <x:c r="K165" t="n">
        <x:v>0</x:v>
      </x:c>
      <x:c r="L165" s="123" t="n">
        <x:v>0.7590795980365793</x:v>
      </x:c>
    </x:row>
    <x:row r="166">
      <x:c r="A166" s="118" t="n">
        <x:v>-33</x:v>
      </x:c>
      <x:c r="B166" t="str">
        <x:v>complex_with_clutter</x:v>
      </x:c>
      <x:c r="C166" t="str">
        <x:v>VHF_60MHz_shallow</x:v>
      </x:c>
      <x:c r="D166" s="118" t="n">
        <x:v>14578.466646582594</x:v>
      </x:c>
      <x:c r="E166" s="123"/>
      <x:c r="F166" s="123" t="n">
        <x:v>5.140401733296573</x:v>
      </x:c>
      <x:c r="G166" s="123" t="n">
        <x:v>8.422512362695008</x:v>
      </x:c>
      <x:c r="H166" s="118" t="n">
        <x:v>938.5813597257893</x:v>
      </x:c>
      <x:c r="I166" t="str">
        <x:v>surface clutter in shallow window</x:v>
      </x:c>
      <x:c r="J166" s="118" t="n">
        <x:v>-13639.885286856805</x:v>
      </x:c>
      <x:c r="K166" t="n">
        <x:v>11</x:v>
      </x:c>
      <x:c r="L166" s="123" t="n">
        <x:v>0.7590795980365793</x:v>
      </x:c>
    </x:row>
    <x:row r="167">
      <x:c r="A167" s="118" t="n">
        <x:v>-32.5</x:v>
      </x:c>
      <x:c r="B167" t="str">
        <x:v>stacked_dirty_layers</x:v>
      </x:c>
      <x:c r="C167" t="str">
        <x:v>HF_9MHz_full_depth</x:v>
      </x:c>
      <x:c r="D167" s="118" t="n">
        <x:v>14580.08569704939</x:v>
      </x:c>
      <x:c r="E167" s="123" t="n">
        <x:v>-2.003435787072883</x:v>
      </x:c>
      <x:c r="F167" s="123" t="n">
        <x:v>11.759060921953713</x:v>
      </x:c>
      <x:c r="G167" s="123" t="n">
        <x:v>-999</x:v>
      </x:c>
      <x:c r="H167" s="118"/>
      <x:c r="I167" t="str">
        <x:v>false layer stronger</x:v>
      </x:c>
      <x:c r="J167" s="118" t="n">
        <x:v>-4479.072239185325</x:v>
      </x:c>
      <x:c r="K167" t="n">
        <x:v>6</x:v>
      </x:c>
      <x:c r="L167" s="123" t="n">
        <x:v>0</x:v>
      </x:c>
    </x:row>
    <x:row r="168">
      <x:c r="A168" s="118" t="n">
        <x:v>-32.5</x:v>
      </x:c>
      <x:c r="B168" t="str">
        <x:v>rough_surface_clutter</x:v>
      </x:c>
      <x:c r="C168" t="str">
        <x:v>VHF_60MHz_shallow</x:v>
      </x:c>
      <x:c r="D168" s="118" t="n">
        <x:v>14580.08569704939</x:v>
      </x:c>
      <x:c r="E168" s="123"/>
      <x:c r="F168" s="123" t="n">
        <x:v>-999</x:v>
      </x:c>
      <x:c r="G168" s="123" t="n">
        <x:v>2.6246968418172685</x:v>
      </x:c>
      <x:c r="H168" s="118" t="n">
        <x:v>823.1344844378078</x:v>
      </x:c>
      <x:c r="I168" t="str">
        <x:v>surface clutter in shallow window</x:v>
      </x:c>
      <x:c r="J168" s="118" t="n">
        <x:v>-13756.951212611582</x:v>
      </x:c>
      <x:c r="K168" t="n">
        <x:v>0</x:v>
      </x:c>
      <x:c r="L168" s="123" t="n">
        <x:v>0.5340369561496761</x:v>
      </x:c>
    </x:row>
    <x:row r="169">
      <x:c r="A169" s="118" t="n">
        <x:v>-32.5</x:v>
      </x:c>
      <x:c r="B169" t="str">
        <x:v>complex_with_clutter</x:v>
      </x:c>
      <x:c r="C169" t="str">
        <x:v>VHF_60MHz_shallow</x:v>
      </x:c>
      <x:c r="D169" s="118" t="n">
        <x:v>14580.08569704939</x:v>
      </x:c>
      <x:c r="E169" s="123"/>
      <x:c r="F169" s="123" t="n">
        <x:v>5.314615609166572</x:v>
      </x:c>
      <x:c r="G169" s="123" t="n">
        <x:v>4.146702166843845</x:v>
      </x:c>
      <x:c r="H169" s="118" t="n">
        <x:v>823.1344844378078</x:v>
      </x:c>
      <x:c r="I169" t="str">
        <x:v>surface clutter in shallow window</x:v>
      </x:c>
      <x:c r="J169" s="118" t="n">
        <x:v>-13756.951212611582</x:v>
      </x:c>
      <x:c r="K169" t="n">
        <x:v>11</x:v>
      </x:c>
      <x:c r="L169" s="123" t="n">
        <x:v>0.5340369561496761</x:v>
      </x:c>
    </x:row>
    <x:row r="170">
      <x:c r="A170" s="118" t="n">
        <x:v>-32</x:v>
      </x:c>
      <x:c r="B170" t="str">
        <x:v>stacked_dirty_layers</x:v>
      </x:c>
      <x:c r="C170" t="str">
        <x:v>HF_9MHz_full_depth</x:v>
      </x:c>
      <x:c r="D170" s="118" t="n">
        <x:v>14584.952070760557</x:v>
      </x:c>
      <x:c r="E170" s="123" t="n">
        <x:v>-2.0117728320219994</x:v>
      </x:c>
      <x:c r="F170" s="123" t="n">
        <x:v>11.746591165402487</x:v>
      </x:c>
      <x:c r="G170" s="123" t="n">
        <x:v>-999</x:v>
      </x:c>
      <x:c r="H170" s="118"/>
      <x:c r="I170" t="str">
        <x:v>false layer stronger</x:v>
      </x:c>
      <x:c r="J170" s="118" t="n">
        <x:v>-4478.537977025815</x:v>
      </x:c>
      <x:c r="K170" t="n">
        <x:v>6</x:v>
      </x:c>
      <x:c r="L170" s="123" t="n">
        <x:v>0</x:v>
      </x:c>
    </x:row>
    <x:row r="171">
      <x:c r="A171" s="118" t="n">
        <x:v>-32</x:v>
      </x:c>
      <x:c r="B171" t="str">
        <x:v>rough_surface_clutter</x:v>
      </x:c>
      <x:c r="C171" t="str">
        <x:v>VHF_60MHz_shallow</x:v>
      </x:c>
      <x:c r="D171" s="118" t="n">
        <x:v>14584.952070760557</x:v>
      </x:c>
      <x:c r="E171" s="123"/>
      <x:c r="F171" s="123" t="n">
        <x:v>-999</x:v>
      </x:c>
      <x:c r="G171" s="123" t="n">
        <x:v>2.943122106778466</x:v>
      </x:c>
      <x:c r="H171" s="118" t="n">
        <x:v>834.6370039165328</x:v>
      </x:c>
      <x:c r="I171" t="str">
        <x:v>surface clutter in shallow window</x:v>
      </x:c>
      <x:c r="J171" s="118" t="n">
        <x:v>-13750.315066844025</x:v>
      </x:c>
      <x:c r="K171" t="n">
        <x:v>0</x:v>
      </x:c>
      <x:c r="L171" s="123" t="n">
        <x:v>0.553753690822196</x:v>
      </x:c>
    </x:row>
    <x:row r="172">
      <x:c r="A172" s="118" t="n">
        <x:v>-32</x:v>
      </x:c>
      <x:c r="B172" t="str">
        <x:v>complex_with_clutter</x:v>
      </x:c>
      <x:c r="C172" t="str">
        <x:v>VHF_60MHz_shallow</x:v>
      </x:c>
      <x:c r="D172" s="118" t="n">
        <x:v>14584.952070760557</x:v>
      </x:c>
      <x:c r="E172" s="123"/>
      <x:c r="F172" s="123" t="n">
        <x:v>5.292890993936926</x:v>
      </x:c>
      <x:c r="G172" s="123" t="n">
        <x:v>4.521320125621726</x:v>
      </x:c>
      <x:c r="H172" s="118" t="n">
        <x:v>834.6370039165328</x:v>
      </x:c>
      <x:c r="I172" t="str">
        <x:v>surface clutter in shallow window</x:v>
      </x:c>
      <x:c r="J172" s="118" t="n">
        <x:v>-13750.315066844025</x:v>
      </x:c>
      <x:c r="K172" t="n">
        <x:v>11</x:v>
      </x:c>
      <x:c r="L172" s="123" t="n">
        <x:v>0.553753690822196</x:v>
      </x:c>
    </x:row>
    <x:row r="173">
      <x:c r="A173" s="118" t="n">
        <x:v>-31.5</x:v>
      </x:c>
      <x:c r="B173" t="str">
        <x:v>stacked_dirty_layers</x:v>
      </x:c>
      <x:c r="C173" t="str">
        <x:v>HF_9MHz_full_depth</x:v>
      </x:c>
      <x:c r="D173" s="118" t="n">
        <x:v>14587.057234351585</x:v>
      </x:c>
      <x:c r="E173" s="123" t="n">
        <x:v>-2.0292680667914818</x:v>
      </x:c>
      <x:c r="F173" s="123" t="n">
        <x:v>11.72050670290813</x:v>
      </x:c>
      <x:c r="G173" s="123" t="n">
        <x:v>-999</x:v>
      </x:c>
      <x:c r="H173" s="118"/>
      <x:c r="I173" t="str">
        <x:v>false layer stronger</x:v>
      </x:c>
      <x:c r="J173" s="118" t="n">
        <x:v>-4476.31157921828</x:v>
      </x:c>
      <x:c r="K173" t="n">
        <x:v>6</x:v>
      </x:c>
      <x:c r="L173" s="123" t="n">
        <x:v>0</x:v>
      </x:c>
    </x:row>
    <x:row r="174">
      <x:c r="A174" s="118" t="n">
        <x:v>-31.5</x:v>
      </x:c>
      <x:c r="B174" t="str">
        <x:v>rough_surface_clutter</x:v>
      </x:c>
      <x:c r="C174" t="str">
        <x:v>VHF_60MHz_shallow</x:v>
      </x:c>
      <x:c r="D174" s="118" t="n">
        <x:v>14587.057234351585</x:v>
      </x:c>
      <x:c r="E174" s="123"/>
      <x:c r="F174" s="123" t="n">
        <x:v>-999</x:v>
      </x:c>
      <x:c r="G174" s="123" t="n">
        <x:v>4.072447417093002</x:v>
      </x:c>
      <x:c r="H174" s="118" t="n">
        <x:v>873.283371367931</x:v>
      </x:c>
      <x:c r="I174" t="str">
        <x:v>surface clutter in shallow window</x:v>
      </x:c>
      <x:c r="J174" s="118" t="n">
        <x:v>-13713.773862983655</x:v>
      </x:c>
      <x:c r="K174" t="n">
        <x:v>0</x:v>
      </x:c>
      <x:c r="L174" s="123" t="n">
        <x:v>0.6236809546187618</x:v>
      </x:c>
    </x:row>
    <x:row r="175">
      <x:c r="A175" s="118" t="n">
        <x:v>-31.5</x:v>
      </x:c>
      <x:c r="B175" t="str">
        <x:v>complex_with_clutter</x:v>
      </x:c>
      <x:c r="C175" t="str">
        <x:v>VHF_60MHz_shallow</x:v>
      </x:c>
      <x:c r="D175" s="118" t="n">
        <x:v>14587.057234351585</x:v>
      </x:c>
      <x:c r="E175" s="123"/>
      <x:c r="F175" s="123" t="n">
        <x:v>5.230891284138477</x:v>
      </x:c>
      <x:c r="G175" s="123" t="n">
        <x:v>5.8499381377564745</x:v>
      </x:c>
      <x:c r="H175" s="118" t="n">
        <x:v>873.283371367931</x:v>
      </x:c>
      <x:c r="I175" t="str">
        <x:v>surface clutter in shallow window</x:v>
      </x:c>
      <x:c r="J175" s="118" t="n">
        <x:v>-13713.773862983655</x:v>
      </x:c>
      <x:c r="K175" t="n">
        <x:v>11</x:v>
      </x:c>
      <x:c r="L175" s="123" t="n">
        <x:v>0.6236809546187618</x:v>
      </x:c>
    </x:row>
    <x:row r="176">
      <x:c r="A176" s="118" t="n">
        <x:v>-31</x:v>
      </x:c>
      <x:c r="B176" t="str">
        <x:v>stacked_dirty_layers</x:v>
      </x:c>
      <x:c r="C176" t="str">
        <x:v>HF_9MHz_full_depth</x:v>
      </x:c>
      <x:c r="D176" s="118" t="n">
        <x:v>14592.076103026691</x:v>
      </x:c>
      <x:c r="E176" s="123" t="n">
        <x:v>-2.037124759976963</x:v>
      </x:c>
      <x:c r="F176" s="123" t="n">
        <x:v>11.703772466174932</x:v>
      </x:c>
      <x:c r="G176" s="123" t="n">
        <x:v>-999</x:v>
      </x:c>
      <x:c r="H176" s="118"/>
      <x:c r="I176" t="str">
        <x:v>false layer stronger</x:v>
      </x:c>
      <x:c r="J176" s="118" t="n">
        <x:v>-4474.182600434697</x:v>
      </x:c>
      <x:c r="K176" t="n">
        <x:v>6</x:v>
      </x:c>
      <x:c r="L176" s="123" t="n">
        <x:v>0</x:v>
      </x:c>
    </x:row>
    <x:row r="177">
      <x:c r="A177" s="118" t="n">
        <x:v>-31</x:v>
      </x:c>
      <x:c r="B177" t="str">
        <x:v>rough_surface_clutter</x:v>
      </x:c>
      <x:c r="C177" t="str">
        <x:v>VHF_60MHz_shallow</x:v>
      </x:c>
      <x:c r="D177" s="118" t="n">
        <x:v>14592.076103026691</x:v>
      </x:c>
      <x:c r="E177" s="123"/>
      <x:c r="F177" s="123" t="n">
        <x:v>-999</x:v>
      </x:c>
      <x:c r="G177" s="123" t="n">
        <x:v>4.5597902657889104</x:v>
      </x:c>
      <x:c r="H177" s="118" t="n">
        <x:v>892.9192280049309</x:v>
      </x:c>
      <x:c r="I177" t="str">
        <x:v>surface clutter in shallow window</x:v>
      </x:c>
      <x:c r="J177" s="118" t="n">
        <x:v>-13699.156875021761</x:v>
      </x:c>
      <x:c r="K177" t="n">
        <x:v>0</x:v>
      </x:c>
      <x:c r="L177" s="123" t="n">
        <x:v>0.6538569824017901</x:v>
      </x:c>
    </x:row>
    <x:row r="178">
      <x:c r="A178" s="118" t="n">
        <x:v>-31</x:v>
      </x:c>
      <x:c r="B178" t="str">
        <x:v>complex_with_clutter</x:v>
      </x:c>
      <x:c r="C178" t="str">
        <x:v>VHF_60MHz_shallow</x:v>
      </x:c>
      <x:c r="D178" s="118" t="n">
        <x:v>14592.076103026691</x:v>
      </x:c>
      <x:c r="E178" s="123"/>
      <x:c r="F178" s="123" t="n">
        <x:v>5.2006101905152615</x:v>
      </x:c>
      <x:c r="G178" s="123" t="n">
        <x:v>6.423282665634012</x:v>
      </x:c>
      <x:c r="H178" s="118" t="n">
        <x:v>892.9192280049309</x:v>
      </x:c>
      <x:c r="I178" t="str">
        <x:v>surface clutter in shallow window</x:v>
      </x:c>
      <x:c r="J178" s="118" t="n">
        <x:v>-13699.156875021761</x:v>
      </x:c>
      <x:c r="K178" t="n">
        <x:v>11</x:v>
      </x:c>
      <x:c r="L178" s="123" t="n">
        <x:v>0.6538569824017901</x:v>
      </x:c>
    </x:row>
    <x:row r="179">
      <x:c r="A179" s="118" t="n">
        <x:v>-30.5</x:v>
      </x:c>
      <x:c r="B179" t="str">
        <x:v>stacked_dirty_layers</x:v>
      </x:c>
      <x:c r="C179" t="str">
        <x:v>HF_9MHz_full_depth</x:v>
      </x:c>
      <x:c r="D179" s="118" t="n">
        <x:v>14599.553282966977</x:v>
      </x:c>
      <x:c r="E179" s="123" t="n">
        <x:v>-2.0336634485785554</x:v>
      </x:c>
      <x:c r="F179" s="123" t="n">
        <x:v>11.697753806189276</x:v>
      </x:c>
      <x:c r="G179" s="123" t="n">
        <x:v>-999</x:v>
      </x:c>
      <x:c r="H179" s="118"/>
      <x:c r="I179" t="str">
        <x:v>false layer stronger</x:v>
      </x:c>
      <x:c r="J179" s="118" t="n">
        <x:v>-4472.01100716679</x:v>
      </x:c>
      <x:c r="K179" t="n">
        <x:v>6</x:v>
      </x:c>
      <x:c r="L179" s="123" t="n">
        <x:v>0</x:v>
      </x:c>
    </x:row>
    <x:row r="180">
      <x:c r="A180" s="118" t="n">
        <x:v>-30.5</x:v>
      </x:c>
      <x:c r="B180" t="str">
        <x:v>rough_surface_clutter</x:v>
      </x:c>
      <x:c r="C180" t="str">
        <x:v>VHF_60MHz_shallow</x:v>
      </x:c>
      <x:c r="D180" s="118" t="n">
        <x:v>14599.553282966977</x:v>
      </x:c>
      <x:c r="E180" s="123"/>
      <x:c r="F180" s="123" t="n">
        <x:v>-999</x:v>
      </x:c>
      <x:c r="G180" s="123" t="n">
        <x:v>4.340881639130691</x:v>
      </x:c>
      <x:c r="H180" s="118" t="n">
        <x:v>891.4971347172487</x:v>
      </x:c>
      <x:c r="I180" t="str">
        <x:v>surface clutter in shallow window</x:v>
      </x:c>
      <x:c r="J180" s="118" t="n">
        <x:v>-13708.056148249729</x:v>
      </x:c>
      <x:c r="K180" t="n">
        <x:v>0</x:v>
      </x:c>
      <x:c r="L180" s="123" t="n">
        <x:v>0.6403022686768229</x:v>
      </x:c>
    </x:row>
    <x:row r="181">
      <x:c r="A181" s="118" t="n">
        <x:v>-30.5</x:v>
      </x:c>
      <x:c r="B181" t="str">
        <x:v>complex_with_clutter</x:v>
      </x:c>
      <x:c r="C181" t="str">
        <x:v>VHF_60MHz_shallow</x:v>
      </x:c>
      <x:c r="D181" s="118" t="n">
        <x:v>14599.553282966977</x:v>
      </x:c>
      <x:c r="E181" s="123"/>
      <x:c r="F181" s="123" t="n">
        <x:v>5.205255479786921</x:v>
      </x:c>
      <x:c r="G181" s="123" t="n">
        <x:v>6.1657431048596365</x:v>
      </x:c>
      <x:c r="H181" s="118" t="n">
        <x:v>891.4971347172487</x:v>
      </x:c>
      <x:c r="I181" t="str">
        <x:v>surface clutter in shallow window</x:v>
      </x:c>
      <x:c r="J181" s="118" t="n">
        <x:v>-13708.056148249729</x:v>
      </x:c>
      <x:c r="K181" t="n">
        <x:v>11</x:v>
      </x:c>
      <x:c r="L181" s="123" t="n">
        <x:v>0.6403022686768229</x:v>
      </x:c>
    </x:row>
    <x:row r="182">
      <x:c r="A182" s="118" t="n">
        <x:v>-30</x:v>
      </x:c>
      <x:c r="B182" t="str">
        <x:v>stacked_dirty_layers</x:v>
      </x:c>
      <x:c r="C182" t="str">
        <x:v>HF_9MHz_full_depth</x:v>
      </x:c>
      <x:c r="D182" s="118" t="n">
        <x:v>14605.92076461545</x:v>
      </x:c>
      <x:c r="E182" s="123" t="n">
        <x:v>-2.0165684802675607</x:v>
      </x:c>
      <x:c r="F182" s="123" t="n">
        <x:v>11.702181827952566</x:v>
      </x:c>
      <x:c r="G182" s="123" t="n">
        <x:v>-999</x:v>
      </x:c>
      <x:c r="H182" s="118"/>
      <x:c r="I182" t="str">
        <x:v>false layer stronger</x:v>
      </x:c>
      <x:c r="J182" s="118" t="n">
        <x:v>-4468.681614193632</x:v>
      </x:c>
      <x:c r="K182" t="n">
        <x:v>6</x:v>
      </x:c>
      <x:c r="L182" s="123" t="n">
        <x:v>0</x:v>
      </x:c>
    </x:row>
    <x:row r="183">
      <x:c r="A183" s="118" t="n">
        <x:v>-30</x:v>
      </x:c>
      <x:c r="B183" t="str">
        <x:v>rough_surface_clutter</x:v>
      </x:c>
      <x:c r="C183" t="str">
        <x:v>VHF_60MHz_shallow</x:v>
      </x:c>
      <x:c r="D183" s="118" t="n">
        <x:v>14605.92076461545</x:v>
      </x:c>
      <x:c r="E183" s="123"/>
      <x:c r="F183" s="123" t="n">
        <x:v>-999</x:v>
      </x:c>
      <x:c r="G183" s="123" t="n">
        <x:v>3.529176331906079</x:v>
      </x:c>
      <x:c r="H183" s="118" t="n">
        <x:v>872.6130259078153</x:v>
      </x:c>
      <x:c r="I183" t="str">
        <x:v>surface clutter in shallow window</x:v>
      </x:c>
      <x:c r="J183" s="118" t="n">
        <x:v>-13733.307738707636</x:v>
      </x:c>
      <x:c r="K183" t="n">
        <x:v>0</x:v>
      </x:c>
      <x:c r="L183" s="123" t="n">
        <x:v>0.5900418781365994</x:v>
      </x:c>
    </x:row>
    <x:row r="184">
      <x:c r="A184" s="118" t="n">
        <x:v>-30</x:v>
      </x:c>
      <x:c r="B184" t="str">
        <x:v>complex_with_clutter</x:v>
      </x:c>
      <x:c r="C184" t="str">
        <x:v>VHF_60MHz_shallow</x:v>
      </x:c>
      <x:c r="D184" s="118" t="n">
        <x:v>14605.92076461545</x:v>
      </x:c>
      <x:c r="E184" s="123"/>
      <x:c r="F184" s="123" t="n">
        <x:v>5.239231011755769</x:v>
      </x:c>
      <x:c r="G184" s="123" t="n">
        <x:v>5.2107956845953876</x:v>
      </x:c>
      <x:c r="H184" s="118" t="n">
        <x:v>872.6130259078153</x:v>
      </x:c>
      <x:c r="I184" t="str">
        <x:v>surface clutter in shallow window</x:v>
      </x:c>
      <x:c r="J184" s="118" t="n">
        <x:v>-13733.307738707636</x:v>
      </x:c>
      <x:c r="K184" t="n">
        <x:v>11</x:v>
      </x:c>
      <x:c r="L184" s="123" t="n">
        <x:v>0.5900418781365994</x:v>
      </x:c>
    </x:row>
    <x:row r="185">
      <x:c r="A185" s="118" t="n">
        <x:v>-29.5</x:v>
      </x:c>
      <x:c r="B185" t="str">
        <x:v>stacked_dirty_layers</x:v>
      </x:c>
      <x:c r="C185" t="str">
        <x:v>HF_9MHz_full_depth</x:v>
      </x:c>
      <x:c r="D185" s="118" t="n">
        <x:v>14614.27394913712</x:v>
      </x:c>
      <x:c r="E185" s="123" t="n">
        <x:v>-1.9902838331813582</x:v>
      </x:c>
      <x:c r="F185" s="123" t="n">
        <x:v>11.714902179854056</x:v>
      </x:c>
      <x:c r="G185" s="123" t="n">
        <x:v>-999</x:v>
      </x:c>
      <x:c r="H185" s="118"/>
      <x:c r="I185" t="str">
        <x:v>false layer stronger</x:v>
      </x:c>
      <x:c r="J185" s="118" t="n">
        <x:v>-4465.172705225832</x:v>
      </x:c>
      <x:c r="K185" t="n">
        <x:v>6</x:v>
      </x:c>
      <x:c r="L185" s="123" t="n">
        <x:v>0</x:v>
      </x:c>
    </x:row>
    <x:row r="186">
      <x:c r="A186" s="118" t="n">
        <x:v>-29.5</x:v>
      </x:c>
      <x:c r="B186" t="str">
        <x:v>rough_surface_clutter</x:v>
      </x:c>
      <x:c r="C186" t="str">
        <x:v>VHF_60MHz_shallow</x:v>
      </x:c>
      <x:c r="D186" s="118" t="n">
        <x:v>14614.27394913712</x:v>
      </x:c>
      <x:c r="E186" s="123"/>
      <x:c r="F186" s="123" t="n">
        <x:v>-999</x:v>
      </x:c>
      <x:c r="G186" s="123" t="n">
        <x:v>2.162072005420228</x:v>
      </x:c>
      <x:c r="H186" s="118" t="n">
        <x:v>837.4449438621593</x:v>
      </x:c>
      <x:c r="I186" t="str">
        <x:v>surface clutter in shallow window</x:v>
      </x:c>
      <x:c r="J186" s="118" t="n">
        <x:v>-13776.82900527496</x:v>
      </x:c>
      <x:c r="K186" t="n">
        <x:v>0</x:v>
      </x:c>
      <x:c r="L186" s="123" t="n">
        <x:v>0.505391455443977</x:v>
      </x:c>
    </x:row>
    <x:row r="187">
      <x:c r="A187" s="118" t="n">
        <x:v>-29.5</x:v>
      </x:c>
      <x:c r="B187" t="str">
        <x:v>complex_with_clutter</x:v>
      </x:c>
      <x:c r="C187" t="str">
        <x:v>VHF_60MHz_shallow</x:v>
      </x:c>
      <x:c r="D187" s="118" t="n">
        <x:v>14614.27394913712</x:v>
      </x:c>
      <x:c r="E187" s="123"/>
      <x:c r="F187" s="123" t="n">
        <x:v>5.30070781949096</x:v>
      </x:c>
      <x:c r="G187" s="123" t="n">
        <x:v>3.6024376534355635</x:v>
      </x:c>
      <x:c r="H187" s="118" t="n">
        <x:v>837.4449438621593</x:v>
      </x:c>
      <x:c r="I187" t="str">
        <x:v>surface clutter in shallow window</x:v>
      </x:c>
      <x:c r="J187" s="118" t="n">
        <x:v>-13776.82900527496</x:v>
      </x:c>
      <x:c r="K187" t="n">
        <x:v>11</x:v>
      </x:c>
      <x:c r="L187" s="123" t="n">
        <x:v>0.505391455443977</x:v>
      </x:c>
    </x:row>
    <x:row r="188">
      <x:c r="A188" s="118" t="n">
        <x:v>-29</x:v>
      </x:c>
      <x:c r="B188" t="str">
        <x:v>stacked_dirty_layers</x:v>
      </x:c>
      <x:c r="C188" t="str">
        <x:v>HF_9MHz_full_depth</x:v>
      </x:c>
      <x:c r="D188" s="118" t="n">
        <x:v>14621.073466646072</x:v>
      </x:c>
      <x:c r="E188" s="123" t="n">
        <x:v>-2.012564483627705</x:v>
      </x:c>
      <x:c r="F188" s="123" t="n">
        <x:v>11.675606400448421</x:v>
      </x:c>
      <x:c r="G188" s="123" t="n">
        <x:v>-999</x:v>
      </x:c>
      <x:c r="H188" s="118"/>
      <x:c r="I188" t="str">
        <x:v>false layer stronger</x:v>
      </x:c>
      <x:c r="J188" s="118" t="n">
        <x:v>-4460.383511849279</x:v>
      </x:c>
      <x:c r="K188" t="n">
        <x:v>6</x:v>
      </x:c>
      <x:c r="L188" s="123" t="n">
        <x:v>0</x:v>
      </x:c>
    </x:row>
    <x:row r="189">
      <x:c r="A189" s="118" t="n">
        <x:v>-29</x:v>
      </x:c>
      <x:c r="B189" t="str">
        <x:v>rough_surface_clutter</x:v>
      </x:c>
      <x:c r="C189" t="str">
        <x:v>VHF_60MHz_shallow</x:v>
      </x:c>
      <x:c r="D189" s="118" t="n">
        <x:v>14621.073466646072</x:v>
      </x:c>
      <x:c r="E189" s="123"/>
      <x:c r="F189" s="123" t="n">
        <x:v>-999</x:v>
      </x:c>
      <x:c r="G189" s="123" t="n">
        <x:v>3.7461130665196354</x:v>
      </x:c>
      <x:c r="H189" s="118" t="n">
        <x:v>897.3654114164917</x:v>
      </x:c>
      <x:c r="I189" t="str">
        <x:v>surface clutter in shallow window</x:v>
      </x:c>
      <x:c r="J189" s="118" t="n">
        <x:v>-13723.708055229581</x:v>
      </x:c>
      <x:c r="K189" t="n">
        <x:v>0</x:v>
      </x:c>
      <x:c r="L189" s="123" t="n">
        <x:v>0.6034744932829496</x:v>
      </x:c>
    </x:row>
    <x:row r="190">
      <x:c r="A190" s="118" t="n">
        <x:v>-29</x:v>
      </x:c>
      <x:c r="B190" t="str">
        <x:v>complex_with_clutter</x:v>
      </x:c>
      <x:c r="C190" t="str">
        <x:v>VHF_60MHz_shallow</x:v>
      </x:c>
      <x:c r="D190" s="118" t="n">
        <x:v>14621.073466646072</x:v>
      </x:c>
      <x:c r="E190" s="123"/>
      <x:c r="F190" s="123" t="n">
        <x:v>5.216010185910447</x:v>
      </x:c>
      <x:c r="G190" s="123" t="n">
        <x:v>5.466015372376042</x:v>
      </x:c>
      <x:c r="H190" s="118" t="n">
        <x:v>897.3654114164917</x:v>
      </x:c>
      <x:c r="I190" t="str">
        <x:v>surface clutter in shallow window</x:v>
      </x:c>
      <x:c r="J190" s="118" t="n">
        <x:v>-13723.708055229581</x:v>
      </x:c>
      <x:c r="K190" t="n">
        <x:v>11</x:v>
      </x:c>
      <x:c r="L190" s="123" t="n">
        <x:v>0.6034744932829496</x:v>
      </x:c>
    </x:row>
    <x:row r="191">
      <x:c r="A191" s="118" t="n">
        <x:v>-28.5</x:v>
      </x:c>
      <x:c r="B191" t="str">
        <x:v>stacked_dirty_layers</x:v>
      </x:c>
      <x:c r="C191" t="str">
        <x:v>HF_9MHz_full_depth</x:v>
      </x:c>
      <x:c r="D191" s="118" t="n">
        <x:v>14632.4426235159</x:v>
      </x:c>
      <x:c r="E191" s="123" t="n">
        <x:v>-2.0148876005888816</x:v>
      </x:c>
      <x:c r="F191" s="123" t="n">
        <x:v>11.657320702829338</x:v>
      </x:c>
      <x:c r="G191" s="123" t="n">
        <x:v>-999</x:v>
      </x:c>
      <x:c r="H191" s="118"/>
      <x:c r="I191" t="str">
        <x:v>false layer stronger</x:v>
      </x:c>
      <x:c r="J191" s="118" t="n">
        <x:v>-4456.2380594297665</x:v>
      </x:c>
      <x:c r="K191" t="n">
        <x:v>6</x:v>
      </x:c>
      <x:c r="L191" s="123" t="n">
        <x:v>0</x:v>
      </x:c>
    </x:row>
    <x:row r="192">
      <x:c r="A192" s="118" t="n">
        <x:v>-28.5</x:v>
      </x:c>
      <x:c r="B192" t="str">
        <x:v>rough_surface_clutter</x:v>
      </x:c>
      <x:c r="C192" t="str">
        <x:v>VHF_60MHz_shallow</x:v>
      </x:c>
      <x:c r="D192" s="118" t="n">
        <x:v>14632.4426235159</x:v>
      </x:c>
      <x:c r="E192" s="123"/>
      <x:c r="F192" s="123" t="n">
        <x:v>-999</x:v>
      </x:c>
      <x:c r="G192" s="123" t="n">
        <x:v>3.9857276335855882</x:v>
      </x:c>
      <x:c r="H192" s="118" t="n">
        <x:v>915.9130937046529</x:v>
      </x:c>
      <x:c r="I192" t="str">
        <x:v>surface clutter in shallow window</x:v>
      </x:c>
      <x:c r="J192" s="118" t="n">
        <x:v>-13716.529529811249</x:v>
      </x:c>
      <x:c r="K192" t="n">
        <x:v>0</x:v>
      </x:c>
      <x:c r="L192" s="123" t="n">
        <x:v>0.618311308581151</x:v>
      </x:c>
    </x:row>
    <x:row r="193">
      <x:c r="A193" s="118" t="n">
        <x:v>-28.5</x:v>
      </x:c>
      <x:c r="B193" t="str">
        <x:v>complex_with_clutter</x:v>
      </x:c>
      <x:c r="C193" t="str">
        <x:v>VHF_60MHz_shallow</x:v>
      </x:c>
      <x:c r="D193" s="118" t="n">
        <x:v>14632.4426235159</x:v>
      </x:c>
      <x:c r="E193" s="123"/>
      <x:c r="F193" s="123" t="n">
        <x:v>5.197944357359111</x:v>
      </x:c>
      <x:c r="G193" s="123" t="n">
        <x:v>5.747914863041869</x:v>
      </x:c>
      <x:c r="H193" s="118" t="n">
        <x:v>915.9130937046529</x:v>
      </x:c>
      <x:c r="I193" t="str">
        <x:v>surface clutter in shallow window</x:v>
      </x:c>
      <x:c r="J193" s="118" t="n">
        <x:v>-13716.529529811249</x:v>
      </x:c>
      <x:c r="K193" t="n">
        <x:v>11</x:v>
      </x:c>
      <x:c r="L193" s="123" t="n">
        <x:v>0.618311308581151</x:v>
      </x:c>
    </x:row>
    <x:row r="194">
      <x:c r="A194" s="118" t="n">
        <x:v>-28</x:v>
      </x:c>
      <x:c r="B194" t="str">
        <x:v>stacked_dirty_layers</x:v>
      </x:c>
      <x:c r="C194" t="str">
        <x:v>HF_9MHz_full_depth</x:v>
      </x:c>
      <x:c r="D194" s="118" t="n">
        <x:v>14641.123866777607</x:v>
      </x:c>
      <x:c r="E194" s="123" t="n">
        <x:v>-1.989996951116595</x:v>
      </x:c>
      <x:c r="F194" s="123" t="n">
        <x:v>11.662044313003967</x:v>
      </x:c>
      <x:c r="G194" s="123" t="n">
        <x:v>-999</x:v>
      </x:c>
      <x:c r="H194" s="118"/>
      <x:c r="I194" t="str">
        <x:v>false layer stronger</x:v>
      </x:c>
      <x:c r="J194" s="118" t="n">
        <x:v>-4450.4782229195935</x:v>
      </x:c>
      <x:c r="K194" t="n">
        <x:v>6</x:v>
      </x:c>
      <x:c r="L194" s="123" t="n">
        <x:v>0</x:v>
      </x:c>
    </x:row>
    <x:row r="195">
      <x:c r="A195" s="118" t="n">
        <x:v>-28</x:v>
      </x:c>
      <x:c r="B195" t="str">
        <x:v>rough_surface_clutter</x:v>
      </x:c>
      <x:c r="C195" t="str">
        <x:v>VHF_60MHz_shallow</x:v>
      </x:c>
      <x:c r="D195" s="118" t="n">
        <x:v>14641.123866777607</x:v>
      </x:c>
      <x:c r="E195" s="123"/>
      <x:c r="F195" s="123" t="n">
        <x:v>-999</x:v>
      </x:c>
      <x:c r="G195" s="123" t="n">
        <x:v>2.967809148711151</x:v>
      </x:c>
      <x:c r="H195" s="118" t="n">
        <x:v>895.8324690758533</x:v>
      </x:c>
      <x:c r="I195" t="str">
        <x:v>surface clutter in shallow window</x:v>
      </x:c>
      <x:c r="J195" s="118" t="n">
        <x:v>-13745.291397701754</x:v>
      </x:c>
      <x:c r="K195" t="n">
        <x:v>0</x:v>
      </x:c>
      <x:c r="L195" s="123" t="n">
        <x:v>0.5552823002297926</x:v>
      </x:c>
    </x:row>
    <x:row r="196">
      <x:c r="A196" s="118" t="n">
        <x:v>-28</x:v>
      </x:c>
      <x:c r="B196" t="str">
        <x:v>complex_with_clutter</x:v>
      </x:c>
      <x:c r="C196" t="str">
        <x:v>VHF_60MHz_shallow</x:v>
      </x:c>
      <x:c r="D196" s="118" t="n">
        <x:v>14641.123866777607</x:v>
      </x:c>
      <x:c r="E196" s="123"/>
      <x:c r="F196" s="123" t="n">
        <x:v>5.2422278360176975</x:v>
      </x:c>
      <x:c r="G196" s="123" t="n">
        <x:v>4.55036370436606</x:v>
      </x:c>
      <x:c r="H196" s="118" t="n">
        <x:v>895.8324690758533</x:v>
      </x:c>
      <x:c r="I196" t="str">
        <x:v>surface clutter in shallow window</x:v>
      </x:c>
      <x:c r="J196" s="118" t="n">
        <x:v>-13745.291397701754</x:v>
      </x:c>
      <x:c r="K196" t="n">
        <x:v>11</x:v>
      </x:c>
      <x:c r="L196" s="123" t="n">
        <x:v>0.5552823002297926</x:v>
      </x:c>
    </x:row>
    <x:row r="197">
      <x:c r="A197" s="118" t="n">
        <x:v>-27.5</x:v>
      </x:c>
      <x:c r="B197" t="str">
        <x:v>stacked_dirty_layers</x:v>
      </x:c>
      <x:c r="C197" t="str">
        <x:v>HF_9MHz_full_depth</x:v>
      </x:c>
      <x:c r="D197" s="118" t="n">
        <x:v>14653.311244711229</x:v>
      </x:c>
      <x:c r="E197" s="123" t="n">
        <x:v>-2.0128328543577183</x:v>
      </x:c>
      <x:c r="F197" s="123" t="n">
        <x:v>11.619393716441804</x:v>
      </x:c>
      <x:c r="G197" s="123" t="n">
        <x:v>-999</x:v>
      </x:c>
      <x:c r="H197" s="118"/>
      <x:c r="I197" t="str">
        <x:v>false layer stronger</x:v>
      </x:c>
      <x:c r="J197" s="118" t="n">
        <x:v>-4445.047344328197</x:v>
      </x:c>
      <x:c r="K197" t="n">
        <x:v>6</x:v>
      </x:c>
      <x:c r="L197" s="123" t="n">
        <x:v>0</x:v>
      </x:c>
    </x:row>
    <x:row r="198">
      <x:c r="A198" s="118" t="n">
        <x:v>-27.5</x:v>
      </x:c>
      <x:c r="B198" t="str">
        <x:v>rough_surface_clutter</x:v>
      </x:c>
      <x:c r="C198" t="str">
        <x:v>VHF_60MHz_shallow</x:v>
      </x:c>
      <x:c r="D198" s="118" t="n">
        <x:v>14653.311244711229</x:v>
      </x:c>
      <x:c r="E198" s="123"/>
      <x:c r="F198" s="123" t="n">
        <x:v>-999</x:v>
      </x:c>
      <x:c r="G198" s="123" t="n">
        <x:v>4.500763436510608</x:v>
      </x:c>
      <x:c r="H198" s="118" t="n">
        <x:v>958.0788757574776</x:v>
      </x:c>
      <x:c r="I198" t="str">
        <x:v>surface clutter in shallow window</x:v>
      </x:c>
      <x:c r="J198" s="118" t="n">
        <x:v>-13695.232368953752</x:v>
      </x:c>
      <x:c r="K198" t="n">
        <x:v>0</x:v>
      </x:c>
      <x:c r="L198" s="123" t="n">
        <x:v>0.6502020703721738</x:v>
      </x:c>
    </x:row>
    <x:row r="199">
      <x:c r="A199" s="118" t="n">
        <x:v>-27.5</x:v>
      </x:c>
      <x:c r="B199" t="str">
        <x:v>complex_with_clutter</x:v>
      </x:c>
      <x:c r="C199" t="str">
        <x:v>VHF_60MHz_shallow</x:v>
      </x:c>
      <x:c r="D199" s="118" t="n">
        <x:v>14653.311244711229</x:v>
      </x:c>
      <x:c r="E199" s="123"/>
      <x:c r="F199" s="123" t="n">
        <x:v>5.160229985953161</x:v>
      </x:c>
      <x:c r="G199" s="123" t="n">
        <x:v>6.353839337071303</x:v>
      </x:c>
      <x:c r="H199" s="118" t="n">
        <x:v>958.0788757574776</x:v>
      </x:c>
      <x:c r="I199" t="str">
        <x:v>surface clutter in shallow window</x:v>
      </x:c>
      <x:c r="J199" s="118" t="n">
        <x:v>-13695.232368953752</x:v>
      </x:c>
      <x:c r="K199" t="n">
        <x:v>11</x:v>
      </x:c>
      <x:c r="L199" s="123" t="n">
        <x:v>0.6502020703721738</x:v>
      </x:c>
    </x:row>
    <x:row r="200">
      <x:c r="A200" s="118" t="n">
        <x:v>-27</x:v>
      </x:c>
      <x:c r="B200" t="str">
        <x:v>stacked_dirty_layers</x:v>
      </x:c>
      <x:c r="C200" t="str">
        <x:v>HF_9MHz_full_depth</x:v>
      </x:c>
      <x:c r="D200" s="118" t="n">
        <x:v>14665.036556690677</x:v>
      </x:c>
      <x:c r="E200" s="123" t="n">
        <x:v>-1.9527857603470835</x:v>
      </x:c>
      <x:c r="F200" s="123" t="n">
        <x:v>11.657123643963448</x:v>
      </x:c>
      <x:c r="G200" s="123" t="n">
        <x:v>-999</x:v>
      </x:c>
      <x:c r="H200" s="118"/>
      <x:c r="I200" t="str">
        <x:v>false layer stronger</x:v>
      </x:c>
      <x:c r="J200" s="118" t="n">
        <x:v>-4438.720533066646</x:v>
      </x:c>
      <x:c r="K200" t="n">
        <x:v>6</x:v>
      </x:c>
      <x:c r="L200" s="123" t="n">
        <x:v>0</x:v>
      </x:c>
    </x:row>
    <x:row r="201">
      <x:c r="A201" s="118" t="n">
        <x:v>-27</x:v>
      </x:c>
      <x:c r="B201" t="str">
        <x:v>rough_surface_clutter</x:v>
      </x:c>
      <x:c r="C201" t="str">
        <x:v>VHF_60MHz_shallow</x:v>
      </x:c>
      <x:c r="D201" s="118" t="n">
        <x:v>14665.036556690677</x:v>
      </x:c>
      <x:c r="E201" s="123"/>
      <x:c r="F201" s="123" t="n">
        <x:v>-999</x:v>
      </x:c>
      <x:c r="G201" s="123" t="n">
        <x:v>1.472484627913082</x:v>
      </x:c>
      <x:c r="H201" s="118" t="n">
        <x:v>876.7189486960933</x:v>
      </x:c>
      <x:c r="I201" t="str">
        <x:v>surface clutter in shallow window</x:v>
      </x:c>
      <x:c r="J201" s="118" t="n">
        <x:v>-13788.317607994584</x:v>
      </x:c>
      <x:c r="K201" t="n">
        <x:v>0</x:v>
      </x:c>
      <x:c r="L201" s="123" t="n">
        <x:v>0.46269254662000514</x:v>
      </x:c>
    </x:row>
    <x:row r="202">
      <x:c r="A202" s="118" t="n">
        <x:v>-27</x:v>
      </x:c>
      <x:c r="B202" t="str">
        <x:v>complex_with_clutter</x:v>
      </x:c>
      <x:c r="C202" t="str">
        <x:v>VHF_60MHz_shallow</x:v>
      </x:c>
      <x:c r="D202" s="118" t="n">
        <x:v>14665.036556690677</x:v>
      </x:c>
      <x:c r="E202" s="123"/>
      <x:c r="F202" s="123" t="n">
        <x:v>5.304273443360515</x:v>
      </x:c>
      <x:c r="G202" s="123" t="n">
        <x:v>2.791158385780097</x:v>
      </x:c>
      <x:c r="H202" s="118" t="n">
        <x:v>876.7189486960933</x:v>
      </x:c>
      <x:c r="I202" t="str">
        <x:v>surface clutter in shallow window</x:v>
      </x:c>
      <x:c r="J202" s="118" t="n">
        <x:v>-13788.317607994584</x:v>
      </x:c>
      <x:c r="K202" t="n">
        <x:v>11</x:v>
      </x:c>
      <x:c r="L202" s="123" t="n">
        <x:v>0.46269254662000514</x:v>
      </x:c>
    </x:row>
    <x:row r="203">
      <x:c r="A203" s="118" t="n">
        <x:v>-26.5</x:v>
      </x:c>
      <x:c r="B203" t="str">
        <x:v>stacked_dirty_layers</x:v>
      </x:c>
      <x:c r="C203" t="str">
        <x:v>HF_9MHz_full_depth</x:v>
      </x:c>
      <x:c r="D203" s="118" t="n">
        <x:v>14676.338809952047</x:v>
      </x:c>
      <x:c r="E203" s="123" t="n">
        <x:v>-1.9736932336464426</x:v>
      </x:c>
      <x:c r="F203" s="123" t="n">
        <x:v>11.611470721548711</x:v>
      </x:c>
      <x:c r="G203" s="123" t="n">
        <x:v>-999</x:v>
      </x:c>
      <x:c r="H203" s="118"/>
      <x:c r="I203" t="str">
        <x:v>false layer stronger</x:v>
      </x:c>
      <x:c r="J203" s="118" t="n">
        <x:v>-4431.52522868543</x:v>
      </x:c>
      <x:c r="K203" t="n">
        <x:v>6</x:v>
      </x:c>
      <x:c r="L203" s="123" t="n">
        <x:v>0</x:v>
      </x:c>
    </x:row>
    <x:row r="204">
      <x:c r="A204" s="118" t="n">
        <x:v>-26.5</x:v>
      </x:c>
      <x:c r="B204" t="str">
        <x:v>rough_surface_clutter</x:v>
      </x:c>
      <x:c r="C204" t="str">
        <x:v>VHF_60MHz_shallow</x:v>
      </x:c>
      <x:c r="D204" s="118" t="n">
        <x:v>14676.338809952047</x:v>
      </x:c>
      <x:c r="E204" s="123"/>
      <x:c r="F204" s="123" t="n">
        <x:v>-999</x:v>
      </x:c>
      <x:c r="G204" s="123" t="n">
        <x:v>3.138909451545418</x:v>
      </x:c>
      <x:c r="H204" s="118" t="n">
        <x:v>945.7435483880981</x:v>
      </x:c>
      <x:c r="I204" t="str">
        <x:v>surface clutter in shallow window</x:v>
      </x:c>
      <x:c r="J204" s="118" t="n">
        <x:v>-13730.595261563949</x:v>
      </x:c>
      <x:c r="K204" t="n">
        <x:v>0</x:v>
      </x:c>
      <x:c r="L204" s="123" t="n">
        <x:v>0.5658767462257225</x:v>
      </x:c>
    </x:row>
    <x:row r="205">
      <x:c r="A205" s="118" t="n">
        <x:v>-26.5</x:v>
      </x:c>
      <x:c r="B205" t="str">
        <x:v>complex_with_clutter</x:v>
      </x:c>
      <x:c r="C205" t="str">
        <x:v>VHF_60MHz_shallow</x:v>
      </x:c>
      <x:c r="D205" s="118" t="n">
        <x:v>14676.338809952047</x:v>
      </x:c>
      <x:c r="E205" s="123"/>
      <x:c r="F205" s="123" t="n">
        <x:v>5.215879018579294</x:v>
      </x:c>
      <x:c r="G205" s="123" t="n">
        <x:v>4.751658178288727</x:v>
      </x:c>
      <x:c r="H205" s="118" t="n">
        <x:v>945.7435483880981</x:v>
      </x:c>
      <x:c r="I205" t="str">
        <x:v>surface clutter in shallow window</x:v>
      </x:c>
      <x:c r="J205" s="118" t="n">
        <x:v>-13730.595261563949</x:v>
      </x:c>
      <x:c r="K205" t="n">
        <x:v>11</x:v>
      </x:c>
      <x:c r="L205" s="123" t="n">
        <x:v>0.5658767462257225</x:v>
      </x:c>
    </x:row>
    <x:row r="206">
      <x:c r="A206" s="118" t="n">
        <x:v>-26</x:v>
      </x:c>
      <x:c r="B206" t="str">
        <x:v>stacked_dirty_layers</x:v>
      </x:c>
      <x:c r="C206" t="str">
        <x:v>HF_9MHz_full_depth</x:v>
      </x:c>
      <x:c r="D206" s="118" t="n">
        <x:v>14691.249740602572</x:v>
      </x:c>
      <x:c r="E206" s="123" t="n">
        <x:v>-1.9686662824291306</x:v>
      </x:c>
      <x:c r="F206" s="123" t="n">
        <x:v>11.592247856040498</x:v>
      </x:c>
      <x:c r="G206" s="123" t="n">
        <x:v>-999</x:v>
      </x:c>
      <x:c r="H206" s="118"/>
      <x:c r="I206" t="str">
        <x:v>false layer stronger</x:v>
      </x:c>
      <x:c r="J206" s="118" t="n">
        <x:v>-4424.72308009028</x:v>
      </x:c>
      <x:c r="K206" t="n">
        <x:v>6</x:v>
      </x:c>
      <x:c r="L206" s="123" t="n">
        <x:v>0</x:v>
      </x:c>
    </x:row>
    <x:row r="207">
      <x:c r="A207" s="118" t="n">
        <x:v>-26</x:v>
      </x:c>
      <x:c r="B207" t="str">
        <x:v>rough_surface_clutter</x:v>
      </x:c>
      <x:c r="C207" t="str">
        <x:v>VHF_60MHz_shallow</x:v>
      </x:c>
      <x:c r="D207" s="118" t="n">
        <x:v>14691.249740602572</x:v>
      </x:c>
      <x:c r="E207" s="123"/>
      <x:c r="F207" s="123" t="n">
        <x:v>-999</x:v>
      </x:c>
      <x:c r="G207" s="123" t="n">
        <x:v>3.1785667673838223</x:v>
      </x:c>
      <x:c r="H207" s="118" t="n">
        <x:v>964.3299529735203</x:v>
      </x:c>
      <x:c r="I207" t="str">
        <x:v>surface clutter in shallow window</x:v>
      </x:c>
      <x:c r="J207" s="118" t="n">
        <x:v>-13726.919787629053</x:v>
      </x:c>
      <x:c r="K207" t="n">
        <x:v>0</x:v>
      </x:c>
      <x:c r="L207" s="123" t="n">
        <x:v>0.5683323075779456</x:v>
      </x:c>
    </x:row>
    <x:row r="208">
      <x:c r="A208" s="118" t="n">
        <x:v>-26</x:v>
      </x:c>
      <x:c r="B208" t="str">
        <x:v>complex_with_clutter</x:v>
      </x:c>
      <x:c r="C208" t="str">
        <x:v>VHF_60MHz_shallow</x:v>
      </x:c>
      <x:c r="D208" s="118" t="n">
        <x:v>14691.249740602572</x:v>
      </x:c>
      <x:c r="E208" s="123"/>
      <x:c r="F208" s="123" t="n">
        <x:v>5.208202789963048</x:v>
      </x:c>
      <x:c r="G208" s="123" t="n">
        <x:v>4.798313843980967</x:v>
      </x:c>
      <x:c r="H208" s="118" t="n">
        <x:v>964.3299529735203</x:v>
      </x:c>
      <x:c r="I208" t="str">
        <x:v>surface clutter in shallow window</x:v>
      </x:c>
      <x:c r="J208" s="118" t="n">
        <x:v>-13726.919787629053</x:v>
      </x:c>
      <x:c r="K208" t="n">
        <x:v>11</x:v>
      </x:c>
      <x:c r="L208" s="123" t="n">
        <x:v>0.5683323075779456</x:v>
      </x:c>
    </x:row>
    <x:row r="209">
      <x:c r="A209" s="118" t="n">
        <x:v>-25.5</x:v>
      </x:c>
      <x:c r="B209" t="str">
        <x:v>stacked_dirty_layers</x:v>
      </x:c>
      <x:c r="C209" t="str">
        <x:v>HF_9MHz_full_depth</x:v>
      </x:c>
      <x:c r="D209" s="118" t="n">
        <x:v>14704.337559090225</x:v>
      </x:c>
      <x:c r="E209" s="123" t="n">
        <x:v>-1.9353786023533546</x:v>
      </x:c>
      <x:c r="F209" s="123" t="n">
        <x:v>11.597983510749856</x:v>
      </x:c>
      <x:c r="G209" s="123" t="n">
        <x:v>-999</x:v>
      </x:c>
      <x:c r="H209" s="118"/>
      <x:c r="I209" t="str">
        <x:v>false layer stronger</x:v>
      </x:c>
      <x:c r="J209" s="118" t="n">
        <x:v>-4416.649185374259</x:v>
      </x:c>
      <x:c r="K209" t="n">
        <x:v>6</x:v>
      </x:c>
      <x:c r="L209" s="123" t="n">
        <x:v>0</x:v>
      </x:c>
    </x:row>
    <x:row r="210">
      <x:c r="A210" s="118" t="n">
        <x:v>-25.5</x:v>
      </x:c>
      <x:c r="B210" t="str">
        <x:v>rough_surface_clutter</x:v>
      </x:c>
      <x:c r="C210" t="str">
        <x:v>VHF_60MHz_shallow</x:v>
      </x:c>
      <x:c r="D210" s="118" t="n">
        <x:v>14704.337559090225</x:v>
      </x:c>
      <x:c r="E210" s="123"/>
      <x:c r="F210" s="123" t="n">
        <x:v>-999</x:v>
      </x:c>
      <x:c r="G210" s="123" t="n">
        <x:v>1.830608324134042</x:v>
      </x:c>
      <x:c r="H210" s="118" t="n">
        <x:v>940.0499270780913</x:v>
      </x:c>
      <x:c r="I210" t="str">
        <x:v>surface clutter in shallow window</x:v>
      </x:c>
      <x:c r="J210" s="118" t="n">
        <x:v>-13764.287632012134</x:v>
      </x:c>
      <x:c r="K210" t="n">
        <x:v>0</x:v>
      </x:c>
      <x:c r="L210" s="123" t="n">
        <x:v>0.4848673884912719</x:v>
      </x:c>
    </x:row>
    <x:row r="211">
      <x:c r="A211" s="118" t="n">
        <x:v>-25.5</x:v>
      </x:c>
      <x:c r="B211" t="str">
        <x:v>complex_with_clutter</x:v>
      </x:c>
      <x:c r="C211" t="str">
        <x:v>VHF_60MHz_shallow</x:v>
      </x:c>
      <x:c r="D211" s="118" t="n">
        <x:v>14704.337559090225</x:v>
      </x:c>
      <x:c r="E211" s="123"/>
      <x:c r="F211" s="123" t="n">
        <x:v>5.269415310362254</x:v>
      </x:c>
      <x:c r="G211" s="123" t="n">
        <x:v>3.212480381334167</x:v>
      </x:c>
      <x:c r="H211" s="118" t="n">
        <x:v>940.0499270780913</x:v>
      </x:c>
      <x:c r="I211" t="str">
        <x:v>surface clutter in shallow window</x:v>
      </x:c>
      <x:c r="J211" s="118" t="n">
        <x:v>-13764.287632012134</x:v>
      </x:c>
      <x:c r="K211" t="n">
        <x:v>11</x:v>
      </x:c>
      <x:c r="L211" s="123" t="n">
        <x:v>0.4848673884912719</x:v>
      </x:c>
    </x:row>
    <x:row r="212">
      <x:c r="A212" s="118" t="n">
        <x:v>-25</x:v>
      </x:c>
      <x:c r="B212" t="str">
        <x:v>stacked_dirty_layers</x:v>
      </x:c>
      <x:c r="C212" t="str">
        <x:v>HF_9MHz_full_depth</x:v>
      </x:c>
      <x:c r="D212" s="118" t="n">
        <x:v>14719.836152269878</x:v>
      </x:c>
      <x:c r="E212" s="123" t="n">
        <x:v>-1.9055727112102638</x:v>
      </x:c>
      <x:c r="F212" s="123" t="n">
        <x:v>11.600021853328313</x:v>
      </x:c>
      <x:c r="G212" s="123" t="n">
        <x:v>-999</x:v>
      </x:c>
      <x:c r="H212" s="118"/>
      <x:c r="I212" t="str">
        <x:v>false layer stronger</x:v>
      </x:c>
      <x:c r="J212" s="118" t="n">
        <x:v>-4408.626156864908</x:v>
      </x:c>
      <x:c r="K212" t="n">
        <x:v>6</x:v>
      </x:c>
      <x:c r="L212" s="123" t="n">
        <x:v>0</x:v>
      </x:c>
    </x:row>
    <x:row r="213">
      <x:c r="A213" s="118" t="n">
        <x:v>-25</x:v>
      </x:c>
      <x:c r="B213" t="str">
        <x:v>rough_surface_clutter</x:v>
      </x:c>
      <x:c r="C213" t="str">
        <x:v>VHF_60MHz_shallow</x:v>
      </x:c>
      <x:c r="D213" s="118" t="n">
        <x:v>14719.836152269878</x:v>
      </x:c>
      <x:c r="E213" s="123"/>
      <x:c r="F213" s="123" t="n">
        <x:v>-999</x:v>
      </x:c>
      <x:c r="G213" s="123" t="n">
        <x:v>0.5954721075233627</x:v>
      </x:c>
      <x:c r="H213" s="118" t="n">
        <x:v>920.5378872550577</x:v>
      </x:c>
      <x:c r="I213" t="str">
        <x:v>surface clutter in shallow window</x:v>
      </x:c>
      <x:c r="J213" s="118" t="n">
        <x:v>-13799.29826501482</x:v>
      </x:c>
      <x:c r="K213" t="n">
        <x:v>0</x:v>
      </x:c>
      <x:c r="L213" s="123" t="n">
        <x:v>0.4083883657909203</x:v>
      </x:c>
    </x:row>
    <x:row r="214">
      <x:c r="A214" s="118" t="n">
        <x:v>-25</x:v>
      </x:c>
      <x:c r="B214" t="str">
        <x:v>complex_with_clutter</x:v>
      </x:c>
      <x:c r="C214" t="str">
        <x:v>VHF_60MHz_shallow</x:v>
      </x:c>
      <x:c r="D214" s="118" t="n">
        <x:v>14719.836152269878</x:v>
      </x:c>
      <x:c r="E214" s="123"/>
      <x:c r="F214" s="123" t="n">
        <x:v>5.32520737892156</x:v>
      </x:c>
      <x:c r="G214" s="123" t="n">
        <x:v>1.759378950027486</x:v>
      </x:c>
      <x:c r="H214" s="118" t="n">
        <x:v>920.5378872550577</x:v>
      </x:c>
      <x:c r="I214" t="str">
        <x:v>surface clutter in shallow window</x:v>
      </x:c>
      <x:c r="J214" s="118" t="n">
        <x:v>-13799.29826501482</x:v>
      </x:c>
      <x:c r="K214" t="n">
        <x:v>11</x:v>
      </x:c>
      <x:c r="L214" s="123" t="n">
        <x:v>0.4083883657909203</x:v>
      </x:c>
    </x:row>
    <x:row r="215">
      <x:c r="A215" s="118" t="n">
        <x:v>-24.5</x:v>
      </x:c>
      <x:c r="B215" t="str">
        <x:v>stacked_dirty_layers</x:v>
      </x:c>
      <x:c r="C215" t="str">
        <x:v>HF_9MHz_full_depth</x:v>
      </x:c>
      <x:c r="D215" s="118" t="n">
        <x:v>14732.271053468106</x:v>
      </x:c>
      <x:c r="E215" s="123" t="n">
        <x:v>-1.9000828814988342</x:v>
      </x:c>
      <x:c r="F215" s="123" t="n">
        <x:v>11.57361966364896</x:v>
      </x:c>
      <x:c r="G215" s="123" t="n">
        <x:v>-999</x:v>
      </x:c>
      <x:c r="H215" s="118"/>
      <x:c r="I215" t="str">
        <x:v>false layer stronger</x:v>
      </x:c>
      <x:c r="J215" s="118" t="n">
        <x:v>-4398.9901079682495</x:v>
      </x:c>
      <x:c r="K215" t="n">
        <x:v>6</x:v>
      </x:c>
      <x:c r="L215" s="123" t="n">
        <x:v>0</x:v>
      </x:c>
    </x:row>
    <x:row r="216">
      <x:c r="A216" s="118" t="n">
        <x:v>-24.5</x:v>
      </x:c>
      <x:c r="B216" t="str">
        <x:v>rough_surface_clutter</x:v>
      </x:c>
      <x:c r="C216" t="str">
        <x:v>VHF_60MHz_shallow</x:v>
      </x:c>
      <x:c r="D216" s="118" t="n">
        <x:v>14732.271053468106</x:v>
      </x:c>
      <x:c r="E216" s="123"/>
      <x:c r="F216" s="123" t="n">
        <x:v>-999</x:v>
      </x:c>
      <x:c r="G216" s="123" t="n">
        <x:v>1.0240805104430883</x:v>
      </x:c>
      <x:c r="H216" s="118" t="n">
        <x:v>955.0301760173762</x:v>
      </x:c>
      <x:c r="I216" t="str">
        <x:v>surface clutter in shallow window</x:v>
      </x:c>
      <x:c r="J216" s="118" t="n">
        <x:v>-13777.24087745073</x:v>
      </x:c>
      <x:c r="K216" t="n">
        <x:v>0</x:v>
      </x:c>
      <x:c r="L216" s="123" t="n">
        <x:v>0.43492758578594976</x:v>
      </x:c>
    </x:row>
    <x:row r="217">
      <x:c r="A217" s="118" t="n">
        <x:v>-24.5</x:v>
      </x:c>
      <x:c r="B217" t="str">
        <x:v>complex_with_clutter</x:v>
      </x:c>
      <x:c r="C217" t="str">
        <x:v>VHF_60MHz_shallow</x:v>
      </x:c>
      <x:c r="D217" s="118" t="n">
        <x:v>14732.271053468106</x:v>
      </x:c>
      <x:c r="E217" s="123"/>
      <x:c r="F217" s="123" t="n">
        <x:v>5.298767778780859</x:v>
      </x:c>
      <x:c r="G217" s="123" t="n">
        <x:v>2.2636241299330457</x:v>
      </x:c>
      <x:c r="H217" s="118" t="n">
        <x:v>955.0301760173762</x:v>
      </x:c>
      <x:c r="I217" t="str">
        <x:v>surface clutter in shallow window</x:v>
      </x:c>
      <x:c r="J217" s="118" t="n">
        <x:v>-13777.24087745073</x:v>
      </x:c>
      <x:c r="K217" t="n">
        <x:v>11</x:v>
      </x:c>
      <x:c r="L217" s="123" t="n">
        <x:v>0.43492758578594976</x:v>
      </x:c>
    </x:row>
    <x:row r="218">
      <x:c r="A218" s="118" t="n">
        <x:v>-24</x:v>
      </x:c>
      <x:c r="B218" t="str">
        <x:v>stacked_dirty_layers</x:v>
      </x:c>
      <x:c r="C218" t="str">
        <x:v>HF_9MHz_full_depth</x:v>
      </x:c>
      <x:c r="D218" s="118" t="n">
        <x:v>14748.893722340972</x:v>
      </x:c>
      <x:c r="E218" s="123" t="n">
        <x:v>-1.8718585942406512</x:v>
      </x:c>
      <x:c r="F218" s="123" t="n">
        <x:v>11.571139329581616</x:v>
      </x:c>
      <x:c r="G218" s="123" t="n">
        <x:v>-999</x:v>
      </x:c>
      <x:c r="H218" s="118"/>
      <x:c r="I218" t="str">
        <x:v>false layer stronger</x:v>
      </x:c>
      <x:c r="J218" s="118" t="n">
        <x:v>-4389.983080941287</x:v>
      </x:c>
      <x:c r="K218" t="n">
        <x:v>6</x:v>
      </x:c>
      <x:c r="L218" s="123" t="n">
        <x:v>0</x:v>
      </x:c>
    </x:row>
    <x:row r="219">
      <x:c r="A219" s="118" t="n">
        <x:v>-24</x:v>
      </x:c>
      <x:c r="B219" t="str">
        <x:v>rough_surface_clutter</x:v>
      </x:c>
      <x:c r="C219" t="str">
        <x:v>VHF_60MHz_shallow</x:v>
      </x:c>
      <x:c r="D219" s="118" t="n">
        <x:v>14748.893722340972</x:v>
      </x:c>
      <x:c r="E219" s="123"/>
      <x:c r="F219" s="123" t="n">
        <x:v>-999</x:v>
      </x:c>
      <x:c r="G219" s="123" t="n">
        <x:v>-0.0446089826896241</x:v>
      </x:c>
      <x:c r="H219" s="118" t="n">
        <x:v>943.0873005163461</x:v>
      </x:c>
      <x:c r="I219" t="str">
        <x:v>outside band depth window</x:v>
      </x:c>
      <x:c r="J219" s="118"/>
      <x:c r="K219" t="n">
        <x:v>0</x:v>
      </x:c>
      <x:c r="L219" s="123" t="n">
        <x:v>0.36875486175296446</x:v>
      </x:c>
    </x:row>
    <x:row r="220">
      <x:c r="A220" s="118" t="n">
        <x:v>-24</x:v>
      </x:c>
      <x:c r="B220" t="str">
        <x:v>complex_with_clutter</x:v>
      </x:c>
      <x:c r="C220" t="str">
        <x:v>VHF_60MHz_shallow</x:v>
      </x:c>
      <x:c r="D220" s="118" t="n">
        <x:v>14748.893722340972</x:v>
      </x:c>
      <x:c r="E220" s="123"/>
      <x:c r="F220" s="123" t="n">
        <x:v>5.34669402400962</x:v>
      </x:c>
      <x:c r="G220" s="123" t="n">
        <x:v>1.0063423733063246</x:v>
      </x:c>
      <x:c r="H220" s="118" t="n">
        <x:v>943.0873005163461</x:v>
      </x:c>
      <x:c r="I220" t="str">
        <x:v>surface clutter in shallow window</x:v>
      </x:c>
      <x:c r="J220" s="118" t="n">
        <x:v>-13805.806421824625</x:v>
      </x:c>
      <x:c r="K220" t="n">
        <x:v>11</x:v>
      </x:c>
      <x:c r="L220" s="123" t="n">
        <x:v>0.36875486175296446</x:v>
      </x:c>
    </x:row>
    <x:row r="221">
      <x:c r="A221" s="118" t="n">
        <x:v>-23.5</x:v>
      </x:c>
      <x:c r="B221" t="str">
        <x:v>stacked_dirty_layers</x:v>
      </x:c>
      <x:c r="C221" t="str">
        <x:v>HF_9MHz_full_depth</x:v>
      </x:c>
      <x:c r="D221" s="118" t="n">
        <x:v>14764.46311292151</x:v>
      </x:c>
      <x:c r="E221" s="123" t="n">
        <x:v>-1.8816792832998057</x:v>
      </x:c>
      <x:c r="F221" s="123" t="n">
        <x:v>11.527977167452368</x:v>
      </x:c>
      <x:c r="G221" s="123" t="n">
        <x:v>-999</x:v>
      </x:c>
      <x:c r="H221" s="118"/>
      <x:c r="I221" t="str">
        <x:v>false layer stronger</x:v>
      </x:c>
      <x:c r="J221" s="118" t="n">
        <x:v>-4380.0192823865455</x:v>
      </x:c>
      <x:c r="K221" t="n">
        <x:v>6</x:v>
      </x:c>
      <x:c r="L221" s="123" t="n">
        <x:v>0</x:v>
      </x:c>
    </x:row>
    <x:row r="222">
      <x:c r="A222" s="118" t="n">
        <x:v>-23.5</x:v>
      </x:c>
      <x:c r="B222" t="str">
        <x:v>rough_surface_clutter</x:v>
      </x:c>
      <x:c r="C222" t="str">
        <x:v>VHF_60MHz_shallow</x:v>
      </x:c>
      <x:c r="D222" s="118" t="n">
        <x:v>14764.46311292151</x:v>
      </x:c>
      <x:c r="E222" s="123"/>
      <x:c r="F222" s="123" t="n">
        <x:v>-999</x:v>
      </x:c>
      <x:c r="G222" s="123" t="n">
        <x:v>1.1872167969840124</x:v>
      </x:c>
      <x:c r="H222" s="118" t="n">
        <x:v>1005.3141589228617</x:v>
      </x:c>
      <x:c r="I222" t="str">
        <x:v>surface clutter in shallow window</x:v>
      </x:c>
      <x:c r="J222" s="118" t="n">
        <x:v>-13759.148953998649</x:v>
      </x:c>
      <x:c r="K222" t="n">
        <x:v>0</x:v>
      </x:c>
      <x:c r="L222" s="123" t="n">
        <x:v>0.4450289038380193</x:v>
      </x:c>
    </x:row>
    <x:row r="223">
      <x:c r="A223" s="118" t="n">
        <x:v>-23.5</x:v>
      </x:c>
      <x:c r="B223" t="str">
        <x:v>complex_with_clutter</x:v>
      </x:c>
      <x:c r="C223" t="str">
        <x:v>VHF_60MHz_shallow</x:v>
      </x:c>
      <x:c r="D223" s="118" t="n">
        <x:v>14764.46311292151</x:v>
      </x:c>
      <x:c r="E223" s="123"/>
      <x:c r="F223" s="123" t="n">
        <x:v>5.280871167637299</x:v>
      </x:c>
      <x:c r="G223" s="123" t="n">
        <x:v>2.4555491729223675</x:v>
      </x:c>
      <x:c r="H223" s="118" t="n">
        <x:v>1005.3141589228617</x:v>
      </x:c>
      <x:c r="I223" t="str">
        <x:v>surface clutter in shallow window</x:v>
      </x:c>
      <x:c r="J223" s="118" t="n">
        <x:v>-13759.148953998649</x:v>
      </x:c>
      <x:c r="K223" t="n">
        <x:v>11</x:v>
      </x:c>
      <x:c r="L223" s="123" t="n">
        <x:v>0.4450289038380193</x:v>
      </x:c>
    </x:row>
    <x:row r="224">
      <x:c r="A224" s="118" t="n">
        <x:v>-23</x:v>
      </x:c>
      <x:c r="B224" t="str">
        <x:v>stacked_dirty_layers</x:v>
      </x:c>
      <x:c r="C224" t="str">
        <x:v>HF_9MHz_full_depth</x:v>
      </x:c>
      <x:c r="D224" s="118" t="n">
        <x:v>14780.793521743944</x:v>
      </x:c>
      <x:c r="E224" s="123" t="n">
        <x:v>-1.8724300371816873</x:v>
      </x:c>
      <x:c r="F224" s="123" t="n">
        <x:v>11.502814384174101</x:v>
      </x:c>
      <x:c r="G224" s="123" t="n">
        <x:v>-999</x:v>
      </x:c>
      <x:c r="H224" s="118"/>
      <x:c r="I224" t="str">
        <x:v>false layer stronger</x:v>
      </x:c>
      <x:c r="J224" s="118" t="n">
        <x:v>-4369.6739542749565</x:v>
      </x:c>
      <x:c r="K224" t="n">
        <x:v>6</x:v>
      </x:c>
      <x:c r="L224" s="123" t="n">
        <x:v>0</x:v>
      </x:c>
    </x:row>
    <x:row r="225">
      <x:c r="A225" s="118" t="n">
        <x:v>-23</x:v>
      </x:c>
      <x:c r="B225" t="str">
        <x:v>rough_surface_clutter</x:v>
      </x:c>
      <x:c r="C225" t="str">
        <x:v>VHF_60MHz_shallow</x:v>
      </x:c>
      <x:c r="D225" s="118" t="n">
        <x:v>14780.793521743944</x:v>
      </x:c>
      <x:c r="E225" s="123"/>
      <x:c r="F225" s="123" t="n">
        <x:v>-999</x:v>
      </x:c>
      <x:c r="G225" s="123" t="n">
        <x:v>1.3524208281435932</x:v>
      </x:c>
      <x:c r="H225" s="118" t="n">
        <x:v>1034.7215460329207</x:v>
      </x:c>
      <x:c r="I225" t="str">
        <x:v>surface clutter in shallow window</x:v>
      </x:c>
      <x:c r="J225" s="118" t="n">
        <x:v>-13746.071975711024</x:v>
      </x:c>
      <x:c r="K225" t="n">
        <x:v>0</x:v>
      </x:c>
      <x:c r="L225" s="123" t="n">
        <x:v>0.45525825561260636</x:v>
      </x:c>
    </x:row>
    <x:row r="226">
      <x:c r="A226" s="118" t="n">
        <x:v>-23</x:v>
      </x:c>
      <x:c r="B226" t="str">
        <x:v>complex_with_clutter</x:v>
      </x:c>
      <x:c r="C226" t="str">
        <x:v>VHF_60MHz_shallow</x:v>
      </x:c>
      <x:c r="D226" s="118" t="n">
        <x:v>14780.793521743944</x:v>
      </x:c>
      <x:c r="E226" s="123"/>
      <x:c r="F226" s="123" t="n">
        <x:v>5.268103011541998</x:v>
      </x:c>
      <x:c r="G226" s="123" t="n">
        <x:v>2.6499068566395216</x:v>
      </x:c>
      <x:c r="H226" s="118" t="n">
        <x:v>1034.7215460329207</x:v>
      </x:c>
      <x:c r="I226" t="str">
        <x:v>surface clutter in shallow window</x:v>
      </x:c>
      <x:c r="J226" s="118" t="n">
        <x:v>-13746.071975711024</x:v>
      </x:c>
      <x:c r="K226" t="n">
        <x:v>11</x:v>
      </x:c>
      <x:c r="L226" s="123" t="n">
        <x:v>0.45525825561260636</x:v>
      </x:c>
    </x:row>
    <x:row r="227">
      <x:c r="A227" s="118" t="n">
        <x:v>-22.5</x:v>
      </x:c>
      <x:c r="B227" t="str">
        <x:v>stacked_dirty_layers</x:v>
      </x:c>
      <x:c r="C227" t="str">
        <x:v>HF_9MHz_full_depth</x:v>
      </x:c>
      <x:c r="D227" s="118" t="n">
        <x:v>14797.700652613988</x:v>
      </x:c>
      <x:c r="E227" s="123" t="n">
        <x:v>-1.9272618755645625</x:v>
      </x:c>
      <x:c r="F227" s="123" t="n">
        <x:v>11.412341005710724</x:v>
      </x:c>
      <x:c r="G227" s="123" t="n">
        <x:v>-999</x:v>
      </x:c>
      <x:c r="H227" s="118"/>
      <x:c r="I227" t="str">
        <x:v>false layer stronger</x:v>
      </x:c>
      <x:c r="J227" s="118" t="n">
        <x:v>-4358.911989883582</x:v>
      </x:c>
      <x:c r="K227" t="n">
        <x:v>6</x:v>
      </x:c>
      <x:c r="L227" s="123" t="n">
        <x:v>0</x:v>
      </x:c>
    </x:row>
    <x:row r="228">
      <x:c r="A228" s="118" t="n">
        <x:v>-22.5</x:v>
      </x:c>
      <x:c r="B228" t="str">
        <x:v>rough_surface_clutter</x:v>
      </x:c>
      <x:c r="C228" t="str">
        <x:v>VHF_60MHz_shallow</x:v>
      </x:c>
      <x:c r="D228" s="118" t="n">
        <x:v>14797.700652613988</x:v>
      </x:c>
      <x:c r="E228" s="123"/>
      <x:c r="F228" s="123" t="n">
        <x:v>-999</x:v>
      </x:c>
      <x:c r="G228" s="123" t="n">
        <x:v>5.165576382225595</x:v>
      </x:c>
      <x:c r="H228" s="118" t="n">
        <x:v>1181.0318865945046</x:v>
      </x:c>
      <x:c r="I228" t="str">
        <x:v>surface clutter in shallow window</x:v>
      </x:c>
      <x:c r="J228" s="118" t="n">
        <x:v>-13616.668766019484</x:v>
      </x:c>
      <x:c r="K228" t="n">
        <x:v>0</x:v>
      </x:c>
      <x:c r="L228" s="123" t="n">
        <x:v>0.6913669586517397</x:v>
      </x:c>
    </x:row>
    <x:row r="229">
      <x:c r="A229" s="118" t="n">
        <x:v>-22.5</x:v>
      </x:c>
      <x:c r="B229" t="str">
        <x:v>complex_with_clutter</x:v>
      </x:c>
      <x:c r="C229" t="str">
        <x:v>VHF_60MHz_shallow</x:v>
      </x:c>
      <x:c r="D229" s="118" t="n">
        <x:v>14797.700652613988</x:v>
      </x:c>
      <x:c r="E229" s="123"/>
      <x:c r="F229" s="123" t="n">
        <x:v>5.074859541215716</x:v>
      </x:c>
      <x:c r="G229" s="123" t="n">
        <x:v>7.135972214383054</x:v>
      </x:c>
      <x:c r="H229" s="118" t="n">
        <x:v>1181.0318865945046</x:v>
      </x:c>
      <x:c r="I229" t="str">
        <x:v>surface clutter in shallow window</x:v>
      </x:c>
      <x:c r="J229" s="118" t="n">
        <x:v>-13616.668766019484</x:v>
      </x:c>
      <x:c r="K229" t="n">
        <x:v>11</x:v>
      </x:c>
      <x:c r="L229" s="123" t="n">
        <x:v>0.6913669586517397</x:v>
      </x:c>
    </x:row>
    <x:row r="230">
      <x:c r="A230" s="118" t="n">
        <x:v>-22</x:v>
      </x:c>
      <x:c r="B230" t="str">
        <x:v>stacked_dirty_layers</x:v>
      </x:c>
      <x:c r="C230" t="str">
        <x:v>HF_9MHz_full_depth</x:v>
      </x:c>
      <x:c r="D230" s="118" t="n">
        <x:v>14812.199905041163</x:v>
      </x:c>
      <x:c r="E230" s="123" t="n">
        <x:v>-1.9335453963308071</x:v>
      </x:c>
      <x:c r="F230" s="123" t="n">
        <x:v>11.36711186834663</x:v>
      </x:c>
      <x:c r="G230" s="123" t="n">
        <x:v>-999</x:v>
      </x:c>
      <x:c r="H230" s="118"/>
      <x:c r="I230" t="str">
        <x:v>false layer stronger</x:v>
      </x:c>
      <x:c r="J230" s="118" t="n">
        <x:v>-4346.856981237026</x:v>
      </x:c>
      <x:c r="K230" t="n">
        <x:v>6</x:v>
      </x:c>
      <x:c r="L230" s="123" t="n">
        <x:v>0</x:v>
      </x:c>
    </x:row>
    <x:row r="231">
      <x:c r="A231" s="118" t="n">
        <x:v>-22</x:v>
      </x:c>
      <x:c r="B231" t="str">
        <x:v>rough_surface_clutter</x:v>
      </x:c>
      <x:c r="C231" t="str">
        <x:v>VHF_60MHz_shallow</x:v>
      </x:c>
      <x:c r="D231" s="118" t="n">
        <x:v>14812.199905041163</x:v>
      </x:c>
      <x:c r="E231" s="123"/>
      <x:c r="F231" s="123" t="n">
        <x:v>-999</x:v>
      </x:c>
      <x:c r="G231" s="123" t="n">
        <x:v>5.841569910015274</x:v>
      </x:c>
      <x:c r="H231" s="118" t="n">
        <x:v>1228.6819648110734</x:v>
      </x:c>
      <x:c r="I231" t="str">
        <x:v>surface clutter in shallow window</x:v>
      </x:c>
      <x:c r="J231" s="118" t="n">
        <x:v>-13583.51794023009</x:v>
      </x:c>
      <x:c r="K231" t="n">
        <x:v>0</x:v>
      </x:c>
      <x:c r="L231" s="123" t="n">
        <x:v>0.7332241430350015</x:v>
      </x:c>
    </x:row>
    <x:row r="232">
      <x:c r="A232" s="118" t="n">
        <x:v>-22</x:v>
      </x:c>
      <x:c r="B232" t="str">
        <x:v>complex_with_clutter</x:v>
      </x:c>
      <x:c r="C232" t="str">
        <x:v>VHF_60MHz_shallow</x:v>
      </x:c>
      <x:c r="D232" s="118" t="n">
        <x:v>14812.199905041163</x:v>
      </x:c>
      <x:c r="E232" s="123"/>
      <x:c r="F232" s="123" t="n">
        <x:v>5.0065285666341115</x:v>
      </x:c>
      <x:c r="G232" s="123" t="n">
        <x:v>7.9312587176650275</x:v>
      </x:c>
      <x:c r="H232" s="118" t="n">
        <x:v>1228.6819648110734</x:v>
      </x:c>
      <x:c r="I232" t="str">
        <x:v>surface clutter in shallow window</x:v>
      </x:c>
      <x:c r="J232" s="118" t="n">
        <x:v>-13583.51794023009</x:v>
      </x:c>
      <x:c r="K232" t="n">
        <x:v>11</x:v>
      </x:c>
      <x:c r="L232" s="123" t="n">
        <x:v>0.7332241430350015</x:v>
      </x:c>
    </x:row>
    <x:row r="233">
      <x:c r="A233" s="118" t="n">
        <x:v>-21.5</x:v>
      </x:c>
      <x:c r="B233" t="str">
        <x:v>stacked_dirty_layers</x:v>
      </x:c>
      <x:c r="C233" t="str">
        <x:v>HF_9MHz_full_depth</x:v>
      </x:c>
      <x:c r="D233" s="118" t="n">
        <x:v>14829.43520052092</x:v>
      </x:c>
      <x:c r="E233" s="123" t="n">
        <x:v>-1.7901669060101968</x:v>
      </x:c>
      <x:c r="F233" s="123" t="n">
        <x:v>11.472014795256799</x:v>
      </x:c>
      <x:c r="G233" s="123" t="n">
        <x:v>-999</x:v>
      </x:c>
      <x:c r="H233" s="118"/>
      <x:c r="I233" t="str">
        <x:v>false layer stronger</x:v>
      </x:c>
      <x:c r="J233" s="118" t="n">
        <x:v>-4335.084633443108</x:v>
      </x:c>
      <x:c r="K233" t="n">
        <x:v>6</x:v>
      </x:c>
      <x:c r="L233" s="123" t="n">
        <x:v>0</x:v>
      </x:c>
    </x:row>
    <x:row r="234">
      <x:c r="A234" s="118" t="n">
        <x:v>-21.5</x:v>
      </x:c>
      <x:c r="B234" t="str">
        <x:v>rough_surface_clutter</x:v>
      </x:c>
      <x:c r="C234" t="str">
        <x:v>VHF_60MHz_shallow</x:v>
      </x:c>
      <x:c r="D234" s="118" t="n">
        <x:v>14829.43520052092</x:v>
      </x:c>
      <x:c r="E234" s="123"/>
      <x:c r="F234" s="123" t="n">
        <x:v>-999</x:v>
      </x:c>
      <x:c r="G234" s="123" t="n">
        <x:v>-0.831553419080433</x:v>
      </x:c>
      <x:c r="H234" s="118" t="n">
        <x:v>1043.8427755079247</x:v>
      </x:c>
      <x:c r="I234" t="str">
        <x:v>outside band depth window</x:v>
      </x:c>
      <x:c r="J234" s="118"/>
      <x:c r="K234" t="n">
        <x:v>0</x:v>
      </x:c>
      <x:c r="L234" s="123" t="n">
        <x:v>0.32002765206932304</x:v>
      </x:c>
    </x:row>
    <x:row r="235">
      <x:c r="A235" s="118" t="n">
        <x:v>-21.5</x:v>
      </x:c>
      <x:c r="B235" t="str">
        <x:v>complex_with_clutter</x:v>
      </x:c>
      <x:c r="C235" t="str">
        <x:v>VHF_60MHz_shallow</x:v>
      </x:c>
      <x:c r="D235" s="118" t="n">
        <x:v>14829.43520052092</x:v>
      </x:c>
      <x:c r="E235" s="123"/>
      <x:c r="F235" s="123" t="n">
        <x:v>5.363932106312991</x:v>
      </x:c>
      <x:c r="G235" s="123" t="n">
        <x:v>0.08052538931713826</x:v>
      </x:c>
      <x:c r="H235" s="118" t="n">
        <x:v>1043.8427755079247</x:v>
      </x:c>
      <x:c r="I235" t="str">
        <x:v>surface clutter in shallow window</x:v>
      </x:c>
      <x:c r="J235" s="118" t="n">
        <x:v>-13785.592425012996</x:v>
      </x:c>
      <x:c r="K235" t="n">
        <x:v>11</x:v>
      </x:c>
      <x:c r="L235" s="123" t="n">
        <x:v>0.32002765206932304</x:v>
      </x:c>
    </x:row>
    <x:row r="236">
      <x:c r="A236" s="118" t="n">
        <x:v>-21</x:v>
      </x:c>
      <x:c r="B236" t="str">
        <x:v>stacked_dirty_layers</x:v>
      </x:c>
      <x:c r="C236" t="str">
        <x:v>HF_9MHz_full_depth</x:v>
      </x:c>
      <x:c r="D236" s="118" t="n">
        <x:v>14851.674432510064</x:v>
      </x:c>
      <x:c r="E236" s="123" t="n">
        <x:v>-1.8068288442116298</x:v>
      </x:c>
      <x:c r="F236" s="123" t="n">
        <x:v>11.418994128712512</x:v>
      </x:c>
      <x:c r="G236" s="123" t="n">
        <x:v>-999</x:v>
      </x:c>
      <x:c r="H236" s="118"/>
      <x:c r="I236" t="str">
        <x:v>false layer stronger</x:v>
      </x:c>
      <x:c r="J236" s="118" t="n">
        <x:v>-4324.28877667616</x:v>
      </x:c>
      <x:c r="K236" t="n">
        <x:v>6</x:v>
      </x:c>
      <x:c r="L236" s="123" t="n">
        <x:v>0</x:v>
      </x:c>
    </x:row>
    <x:row r="237">
      <x:c r="A237" s="118" t="n">
        <x:v>-21</x:v>
      </x:c>
      <x:c r="B237" t="str">
        <x:v>rough_surface_clutter</x:v>
      </x:c>
      <x:c r="C237" t="str">
        <x:v>VHF_60MHz_shallow</x:v>
      </x:c>
      <x:c r="D237" s="118" t="n">
        <x:v>14851.674432510064</x:v>
      </x:c>
      <x:c r="E237" s="123"/>
      <x:c r="F237" s="123" t="n">
        <x:v>-999</x:v>
      </x:c>
      <x:c r="G237" s="123" t="n">
        <x:v>0.631688901597788</x:v>
      </x:c>
      <x:c r="H237" s="118" t="n">
        <x:v>1118.3672516171232</x:v>
      </x:c>
      <x:c r="I237" t="str">
        <x:v>surface clutter in shallow window</x:v>
      </x:c>
      <x:c r="J237" s="118" t="n">
        <x:v>-13733.307180892942</x:v>
      </x:c>
      <x:c r="K237" t="n">
        <x:v>0</x:v>
      </x:c>
      <x:c r="L237" s="123" t="n">
        <x:v>0.4106308917398011</x:v>
      </x:c>
    </x:row>
    <x:row r="238">
      <x:c r="A238" s="118" t="n">
        <x:v>-21</x:v>
      </x:c>
      <x:c r="B238" t="str">
        <x:v>complex_with_clutter</x:v>
      </x:c>
      <x:c r="C238" t="str">
        <x:v>VHF_60MHz_shallow</x:v>
      </x:c>
      <x:c r="D238" s="118" t="n">
        <x:v>14851.674432510064</x:v>
      </x:c>
      <x:c r="E238" s="123"/>
      <x:c r="F238" s="123" t="n">
        <x:v>5.287818291095637</x:v>
      </x:c>
      <x:c r="G238" s="123" t="n">
        <x:v>1.801986943056221</x:v>
      </x:c>
      <x:c r="H238" s="118" t="n">
        <x:v>1118.3672516171232</x:v>
      </x:c>
      <x:c r="I238" t="str">
        <x:v>surface clutter in shallow window</x:v>
      </x:c>
      <x:c r="J238" s="118" t="n">
        <x:v>-13733.307180892942</x:v>
      </x:c>
      <x:c r="K238" t="n">
        <x:v>11</x:v>
      </x:c>
      <x:c r="L238" s="123" t="n">
        <x:v>0.4106308917398011</x:v>
      </x:c>
    </x:row>
    <x:row r="239">
      <x:c r="A239" s="118" t="n">
        <x:v>-20.5</x:v>
      </x:c>
      <x:c r="B239" t="str">
        <x:v>stacked_dirty_layers</x:v>
      </x:c>
      <x:c r="C239" t="str">
        <x:v>HF_9MHz_full_depth</x:v>
      </x:c>
      <x:c r="D239" s="118" t="n">
        <x:v>14869.049486702861</x:v>
      </x:c>
      <x:c r="E239" s="123" t="n">
        <x:v>-1.8159269273266316</x:v>
      </x:c>
      <x:c r="F239" s="123" t="n">
        <x:v>11.368769041205912</x:v>
      </x:c>
      <x:c r="G239" s="123" t="n">
        <x:v>-999</x:v>
      </x:c>
      <x:c r="H239" s="118"/>
      <x:c r="I239" t="str">
        <x:v>false layer stronger</x:v>
      </x:c>
      <x:c r="J239" s="118" t="n">
        <x:v>-4311.5422222941015</x:v>
      </x:c>
      <x:c r="K239" t="n">
        <x:v>6</x:v>
      </x:c>
      <x:c r="L239" s="123" t="n">
        <x:v>0</x:v>
      </x:c>
    </x:row>
    <x:row r="240">
      <x:c r="A240" s="118" t="n">
        <x:v>-20.5</x:v>
      </x:c>
      <x:c r="B240" t="str">
        <x:v>rough_surface_clutter</x:v>
      </x:c>
      <x:c r="C240" t="str">
        <x:v>VHF_60MHz_shallow</x:v>
      </x:c>
      <x:c r="D240" s="118" t="n">
        <x:v>14869.049486702861</x:v>
      </x:c>
      <x:c r="E240" s="123"/>
      <x:c r="F240" s="123" t="n">
        <x:v>-999</x:v>
      </x:c>
      <x:c r="G240" s="123" t="n">
        <x:v>2.1649458411625364</x:v>
      </x:c>
      <x:c r="H240" s="118" t="n">
        <x:v>1195.9899508860826</x:v>
      </x:c>
      <x:c r="I240" t="str">
        <x:v>surface clutter in shallow window</x:v>
      </x:c>
      <x:c r="J240" s="118" t="n">
        <x:v>-13673.059535816777</x:v>
      </x:c>
      <x:c r="K240" t="n">
        <x:v>0</x:v>
      </x:c>
      <x:c r="L240" s="123" t="n">
        <x:v>0.5055694019295689</x:v>
      </x:c>
    </x:row>
    <x:row r="241">
      <x:c r="A241" s="118" t="n">
        <x:v>-20.5</x:v>
      </x:c>
      <x:c r="B241" t="str">
        <x:v>complex_with_clutter</x:v>
      </x:c>
      <x:c r="C241" t="str">
        <x:v>VHF_60MHz_shallow</x:v>
      </x:c>
      <x:c r="D241" s="118" t="n">
        <x:v>14869.049486702861</x:v>
      </x:c>
      <x:c r="E241" s="123"/>
      <x:c r="F241" s="123" t="n">
        <x:v>5.214075740891598</x:v>
      </x:c>
      <x:c r="G241" s="123" t="n">
        <x:v>3.605818636661809</x:v>
      </x:c>
      <x:c r="H241" s="118" t="n">
        <x:v>1195.9899508860826</x:v>
      </x:c>
      <x:c r="I241" t="str">
        <x:v>surface clutter in shallow window</x:v>
      </x:c>
      <x:c r="J241" s="118" t="n">
        <x:v>-13673.059535816777</x:v>
      </x:c>
      <x:c r="K241" t="n">
        <x:v>11</x:v>
      </x:c>
      <x:c r="L241" s="123" t="n">
        <x:v>0.5055694019295689</x:v>
      </x:c>
    </x:row>
    <x:row r="242">
      <x:c r="A242" s="118" t="n">
        <x:v>-20</x:v>
      </x:c>
      <x:c r="B242" t="str">
        <x:v>stacked_dirty_layers</x:v>
      </x:c>
      <x:c r="C242" t="str">
        <x:v>HF_9MHz_full_depth</x:v>
      </x:c>
      <x:c r="D242" s="118" t="n">
        <x:v>14891.436062206292</x:v>
      </x:c>
      <x:c r="E242" s="123" t="n">
        <x:v>-1.804329346545338</x:v>
      </x:c>
      <x:c r="F242" s="123" t="n">
        <x:v>11.341557768380405</x:v>
      </x:c>
      <x:c r="G242" s="123" t="n">
        <x:v>-999</x:v>
      </x:c>
      <x:c r="H242" s="118"/>
      <x:c r="I242" t="str">
        <x:v>false layer stronger</x:v>
      </x:c>
      <x:c r="J242" s="118" t="n">
        <x:v>-4299.815936526804</x:v>
      </x:c>
      <x:c r="K242" t="n">
        <x:v>6</x:v>
      </x:c>
      <x:c r="L242" s="123" t="n">
        <x:v>0</x:v>
      </x:c>
    </x:row>
    <x:row r="243">
      <x:c r="A243" s="118" t="n">
        <x:v>-20</x:v>
      </x:c>
      <x:c r="B243" t="str">
        <x:v>rough_surface_clutter</x:v>
      </x:c>
      <x:c r="C243" t="str">
        <x:v>VHF_60MHz_shallow</x:v>
      </x:c>
      <x:c r="D243" s="118" t="n">
        <x:v>14891.436062206292</x:v>
      </x:c>
      <x:c r="E243" s="123"/>
      <x:c r="F243" s="123" t="n">
        <x:v>-999</x:v>
      </x:c>
      <x:c r="G243" s="123" t="n">
        <x:v>2.2643280172503477</x:v>
      </x:c>
      <x:c r="H243" s="118" t="n">
        <x:v>1228.8988428666303</x:v>
      </x:c>
      <x:c r="I243" t="str">
        <x:v>surface clutter in shallow window</x:v>
      </x:c>
      <x:c r="J243" s="118" t="n">
        <x:v>-13662.537219339662</x:v>
      </x:c>
      <x:c r="K243" t="n">
        <x:v>0</x:v>
      </x:c>
      <x:c r="L243" s="123" t="n">
        <x:v>0.5117230970433652</x:v>
      </x:c>
    </x:row>
    <x:row r="244">
      <x:c r="A244" s="118" t="n">
        <x:v>-20</x:v>
      </x:c>
      <x:c r="B244" t="str">
        <x:v>complex_with_clutter</x:v>
      </x:c>
      <x:c r="C244" t="str">
        <x:v>VHF_60MHz_shallow</x:v>
      </x:c>
      <x:c r="D244" s="118" t="n">
        <x:v>14891.436062206292</x:v>
      </x:c>
      <x:c r="E244" s="123"/>
      <x:c r="F244" s="123" t="n">
        <x:v>5.2132948067160285</x:v>
      </x:c>
      <x:c r="G244" s="123" t="n">
        <x:v>3.7227388438239384</x:v>
      </x:c>
      <x:c r="H244" s="118" t="n">
        <x:v>1228.8988428666303</x:v>
      </x:c>
      <x:c r="I244" t="str">
        <x:v>surface clutter in shallow window</x:v>
      </x:c>
      <x:c r="J244" s="118" t="n">
        <x:v>-13662.537219339662</x:v>
      </x:c>
      <x:c r="K244" t="n">
        <x:v>11</x:v>
      </x:c>
      <x:c r="L244" s="123" t="n">
        <x:v>0.5117230970433652</x:v>
      </x:c>
    </x:row>
    <x:row r="245">
      <x:c r="A245" s="118" t="n">
        <x:v>-19.5</x:v>
      </x:c>
      <x:c r="B245" t="str">
        <x:v>stacked_dirty_layers</x:v>
      </x:c>
      <x:c r="C245" t="str">
        <x:v>HF_9MHz_full_depth</x:v>
      </x:c>
      <x:c r="D245" s="118" t="n">
        <x:v>14910.194563445193</x:v>
      </x:c>
      <x:c r="E245" s="123" t="n">
        <x:v>-1.8232027049812907</x:v>
      </x:c>
      <x:c r="F245" s="123" t="n">
        <x:v>11.280077866361825</x:v>
      </x:c>
      <x:c r="G245" s="123" t="n">
        <x:v>-999</x:v>
      </x:c>
      <x:c r="H245" s="118"/>
      <x:c r="I245" t="str">
        <x:v>false layer stronger</x:v>
      </x:c>
      <x:c r="J245" s="118" t="n">
        <x:v>-4286.570610209397</x:v>
      </x:c>
      <x:c r="K245" t="n">
        <x:v>6</x:v>
      </x:c>
      <x:c r="L245" s="123" t="n">
        <x:v>0</x:v>
      </x:c>
    </x:row>
    <x:row r="246">
      <x:c r="A246" s="118" t="n">
        <x:v>-19.5</x:v>
      </x:c>
      <x:c r="B246" t="str">
        <x:v>rough_surface_clutter</x:v>
      </x:c>
      <x:c r="C246" t="str">
        <x:v>VHF_60MHz_shallow</x:v>
      </x:c>
      <x:c r="D246" s="118" t="n">
        <x:v>14910.194563445193</x:v>
      </x:c>
      <x:c r="E246" s="123"/>
      <x:c r="F246" s="123" t="n">
        <x:v>-999</x:v>
      </x:c>
      <x:c r="G246" s="123" t="n">
        <x:v>4.3765247666407525</x:v>
      </x:c>
      <x:c r="H246" s="118" t="n">
        <x:v>1326.534381089552</x:v>
      </x:c>
      <x:c r="I246" t="str">
        <x:v>surface clutter in shallow window</x:v>
      </x:c>
      <x:c r="J246" s="118" t="n">
        <x:v>-13583.660182355641</x:v>
      </x:c>
      <x:c r="K246" t="n">
        <x:v>0</x:v>
      </x:c>
      <x:c r="L246" s="123" t="n">
        <x:v>0.6425092734762077</x:v>
      </x:c>
    </x:row>
    <x:row r="247">
      <x:c r="A247" s="118" t="n">
        <x:v>-19.5</x:v>
      </x:c>
      <x:c r="B247" t="str">
        <x:v>complex_with_clutter</x:v>
      </x:c>
      <x:c r="C247" t="str">
        <x:v>VHF_60MHz_shallow</x:v>
      </x:c>
      <x:c r="D247" s="118" t="n">
        <x:v>14910.194563445193</x:v>
      </x:c>
      <x:c r="E247" s="123"/>
      <x:c r="F247" s="123" t="n">
        <x:v>5.112990324197019</x:v>
      </x:c>
      <x:c r="G247" s="123" t="n">
        <x:v>6.207676196047945</x:v>
      </x:c>
      <x:c r="H247" s="118" t="n">
        <x:v>1326.534381089552</x:v>
      </x:c>
      <x:c r="I247" t="str">
        <x:v>surface clutter in shallow window</x:v>
      </x:c>
      <x:c r="J247" s="118" t="n">
        <x:v>-13583.660182355641</x:v>
      </x:c>
      <x:c r="K247" t="n">
        <x:v>11</x:v>
      </x:c>
      <x:c r="L247" s="123" t="n">
        <x:v>0.6425092734762077</x:v>
      </x:c>
    </x:row>
    <x:row r="248">
      <x:c r="A248" s="118" t="n">
        <x:v>-19</x:v>
      </x:c>
      <x:c r="B248" t="str">
        <x:v>stacked_dirty_layers</x:v>
      </x:c>
      <x:c r="C248" t="str">
        <x:v>HF_9MHz_full_depth</x:v>
      </x:c>
      <x:c r="D248" s="118" t="n">
        <x:v>14932.184635308318</x:v>
      </x:c>
      <x:c r="E248" s="123" t="n">
        <x:v>-1.7201981283439758</x:v>
      </x:c>
      <x:c r="F248" s="123" t="n">
        <x:v>11.341645683747695</x:v>
      </x:c>
      <x:c r="G248" s="123" t="n">
        <x:v>-999</x:v>
      </x:c>
      <x:c r="H248" s="118"/>
      <x:c r="I248" t="str">
        <x:v>false layer stronger</x:v>
      </x:c>
      <x:c r="J248" s="118" t="n">
        <x:v>-4273.863820512057</x:v>
      </x:c>
      <x:c r="K248" t="n">
        <x:v>6</x:v>
      </x:c>
      <x:c r="L248" s="123" t="n">
        <x:v>0</x:v>
      </x:c>
    </x:row>
    <x:row r="249">
      <x:c r="A249" s="118" t="n">
        <x:v>-19</x:v>
      </x:c>
      <x:c r="B249" t="str">
        <x:v>rough_surface_clutter</x:v>
      </x:c>
      <x:c r="C249" t="str">
        <x:v>VHF_60MHz_shallow</x:v>
      </x:c>
      <x:c r="D249" s="118" t="n">
        <x:v>14932.184635308318</x:v>
      </x:c>
      <x:c r="E249" s="123"/>
      <x:c r="F249" s="123" t="n">
        <x:v>-999</x:v>
      </x:c>
      <x:c r="G249" s="123" t="n">
        <x:v>-0.5856094316932774</x:v>
      </x:c>
      <x:c r="H249" s="118" t="n">
        <x:v>1200.2023093194218</x:v>
      </x:c>
      <x:c r="I249" t="str">
        <x:v>outside band depth window</x:v>
      </x:c>
      <x:c r="J249" s="118"/>
      <x:c r="K249" t="n">
        <x:v>0</x:v>
      </x:c>
      <x:c r="L249" s="123" t="n">
        <x:v>0.3352563819384968</x:v>
      </x:c>
    </x:row>
    <x:row r="250">
      <x:c r="A250" s="118" t="n">
        <x:v>-19</x:v>
      </x:c>
      <x:c r="B250" t="str">
        <x:v>complex_with_clutter</x:v>
      </x:c>
      <x:c r="C250" t="str">
        <x:v>VHF_60MHz_shallow</x:v>
      </x:c>
      <x:c r="D250" s="118" t="n">
        <x:v>14932.184635308318</x:v>
      </x:c>
      <x:c r="E250" s="123"/>
      <x:c r="F250" s="123" t="n">
        <x:v>5.363293267047763</x:v>
      </x:c>
      <x:c r="G250" s="123" t="n">
        <x:v>0.3698712568314386</x:v>
      </x:c>
      <x:c r="H250" s="118" t="n">
        <x:v>1200.2023093194218</x:v>
      </x:c>
      <x:c r="I250" t="str">
        <x:v>surface clutter in shallow window</x:v>
      </x:c>
      <x:c r="J250" s="118" t="n">
        <x:v>-13731.982325988896</x:v>
      </x:c>
      <x:c r="K250" t="n">
        <x:v>11</x:v>
      </x:c>
      <x:c r="L250" s="123" t="n">
        <x:v>0.3352563819384968</x:v>
      </x:c>
    </x:row>
    <x:row r="251">
      <x:c r="A251" s="118" t="n">
        <x:v>-18.5</x:v>
      </x:c>
      <x:c r="B251" t="str">
        <x:v>stacked_dirty_layers</x:v>
      </x:c>
      <x:c r="C251" t="str">
        <x:v>HF_9MHz_full_depth</x:v>
      </x:c>
      <x:c r="D251" s="118" t="n">
        <x:v>14956.623219107312</x:v>
      </x:c>
      <x:c r="E251" s="123" t="n">
        <x:v>-1.7632303391214283</x:v>
      </x:c>
      <x:c r="F251" s="123" t="n">
        <x:v>11.257861794059114</x:v>
      </x:c>
      <x:c r="G251" s="123" t="n">
        <x:v>-999</x:v>
      </x:c>
      <x:c r="H251" s="118"/>
      <x:c r="I251" t="str">
        <x:v>false layer stronger</x:v>
      </x:c>
      <x:c r="J251" s="118" t="n">
        <x:v>-4261.4837104002745</x:v>
      </x:c>
      <x:c r="K251" t="n">
        <x:v>6</x:v>
      </x:c>
      <x:c r="L251" s="123" t="n">
        <x:v>0</x:v>
      </x:c>
    </x:row>
    <x:row r="252">
      <x:c r="A252" s="118" t="n">
        <x:v>-18.5</x:v>
      </x:c>
      <x:c r="B252" t="str">
        <x:v>rough_surface_clutter</x:v>
      </x:c>
      <x:c r="C252" t="str">
        <x:v>VHF_60MHz_shallow</x:v>
      </x:c>
      <x:c r="D252" s="118" t="n">
        <x:v>14956.623219107312</x:v>
      </x:c>
      <x:c r="E252" s="123"/>
      <x:c r="F252" s="123" t="n">
        <x:v>-999</x:v>
      </x:c>
      <x:c r="G252" s="123" t="n">
        <x:v>2.5714808051923175</x:v>
      </x:c>
      <x:c r="H252" s="118" t="n">
        <x:v>1332.4766248963665</x:v>
      </x:c>
      <x:c r="I252" t="str">
        <x:v>surface clutter in shallow window</x:v>
      </x:c>
      <x:c r="J252" s="118" t="n">
        <x:v>-13624.146594210946</x:v>
      </x:c>
      <x:c r="K252" t="n">
        <x:v>0</x:v>
      </x:c>
      <x:c r="L252" s="123" t="n">
        <x:v>0.5307418455227442</x:v>
      </x:c>
    </x:row>
    <x:row r="253">
      <x:c r="A253" s="118" t="n">
        <x:v>-18.5</x:v>
      </x:c>
      <x:c r="B253" t="str">
        <x:v>complex_with_clutter</x:v>
      </x:c>
      <x:c r="C253" t="str">
        <x:v>VHF_60MHz_shallow</x:v>
      </x:c>
      <x:c r="D253" s="118" t="n">
        <x:v>14956.623219107312</x:v>
      </x:c>
      <x:c r="E253" s="123"/>
      <x:c r="F253" s="123" t="n">
        <x:v>5.211574320969857</x:v>
      </x:c>
      <x:c r="G253" s="123" t="n">
        <x:v>4.084095064932139</x:v>
      </x:c>
      <x:c r="H253" s="118" t="n">
        <x:v>1332.4766248963665</x:v>
      </x:c>
      <x:c r="I253" t="str">
        <x:v>surface clutter in shallow window</x:v>
      </x:c>
      <x:c r="J253" s="118" t="n">
        <x:v>-13624.146594210946</x:v>
      </x:c>
      <x:c r="K253" t="n">
        <x:v>11</x:v>
      </x:c>
      <x:c r="L253" s="123" t="n">
        <x:v>0.5307418455227442</x:v>
      </x:c>
    </x:row>
    <x:row r="254">
      <x:c r="A254" s="118" t="n">
        <x:v>-18</x:v>
      </x:c>
      <x:c r="B254" t="str">
        <x:v>stacked_dirty_layers</x:v>
      </x:c>
      <x:c r="C254" t="str">
        <x:v>HF_9MHz_full_depth</x:v>
      </x:c>
      <x:c r="D254" s="118" t="n">
        <x:v>14977.225154246555</x:v>
      </x:c>
      <x:c r="E254" s="123" t="n">
        <x:v>-1.7770792946616536</x:v>
      </x:c>
      <x:c r="F254" s="123" t="n">
        <x:v>11.199568409680426</x:v>
      </x:c>
      <x:c r="G254" s="123" t="n">
        <x:v>-999</x:v>
      </x:c>
      <x:c r="H254" s="118"/>
      <x:c r="I254" t="str">
        <x:v>false layer stronger</x:v>
      </x:c>
      <x:c r="J254" s="118" t="n">
        <x:v>-4247.621317669824</x:v>
      </x:c>
      <x:c r="K254" t="n">
        <x:v>6</x:v>
      </x:c>
      <x:c r="L254" s="123" t="n">
        <x:v>0</x:v>
      </x:c>
    </x:row>
    <x:row r="255">
      <x:c r="A255" s="118" t="n">
        <x:v>-18</x:v>
      </x:c>
      <x:c r="B255" t="str">
        <x:v>rough_surface_clutter</x:v>
      </x:c>
      <x:c r="C255" t="str">
        <x:v>VHF_60MHz_shallow</x:v>
      </x:c>
      <x:c r="D255" s="118" t="n">
        <x:v>14977.225154246555</x:v>
      </x:c>
      <x:c r="E255" s="123"/>
      <x:c r="F255" s="123" t="n">
        <x:v>-999</x:v>
      </x:c>
      <x:c r="G255" s="123" t="n">
        <x:v>4.371357745817276</x:v>
      </x:c>
      <x:c r="H255" s="118" t="n">
        <x:v>1422.2952447099083</x:v>
      </x:c>
      <x:c r="I255" t="str">
        <x:v>surface clutter in shallow window</x:v>
      </x:c>
      <x:c r="J255" s="118" t="n">
        <x:v>-13554.929909536646</x:v>
      </x:c>
      <x:c r="K255" t="n">
        <x:v>0</x:v>
      </x:c>
      <x:c r="L255" s="123" t="n">
        <x:v>0.6421893341063329</x:v>
      </x:c>
    </x:row>
    <x:row r="256">
      <x:c r="A256" s="118" t="n">
        <x:v>-18</x:v>
      </x:c>
      <x:c r="B256" t="str">
        <x:v>complex_with_clutter</x:v>
      </x:c>
      <x:c r="C256" t="str">
        <x:v>VHF_60MHz_shallow</x:v>
      </x:c>
      <x:c r="D256" s="118" t="n">
        <x:v>14977.225154246555</x:v>
      </x:c>
      <x:c r="E256" s="123"/>
      <x:c r="F256" s="123" t="n">
        <x:v>5.1272460849870125</x:v>
      </x:c>
      <x:c r="G256" s="123" t="n">
        <x:v>6.201597348020325</x:v>
      </x:c>
      <x:c r="H256" s="118" t="n">
        <x:v>1422.2952447099083</x:v>
      </x:c>
      <x:c r="I256" t="str">
        <x:v>surface clutter in shallow window</x:v>
      </x:c>
      <x:c r="J256" s="118" t="n">
        <x:v>-13554.929909536646</x:v>
      </x:c>
      <x:c r="K256" t="n">
        <x:v>11</x:v>
      </x:c>
      <x:c r="L256" s="123" t="n">
        <x:v>0.6421893341063329</x:v>
      </x:c>
    </x:row>
    <x:row r="257">
      <x:c r="A257" s="118" t="n">
        <x:v>-17.5</x:v>
      </x:c>
      <x:c r="B257" t="str">
        <x:v>stacked_dirty_layers</x:v>
      </x:c>
      <x:c r="C257" t="str">
        <x:v>HF_9MHz_full_depth</x:v>
      </x:c>
      <x:c r="D257" s="118" t="n">
        <x:v>15001.397890806353</x:v>
      </x:c>
      <x:c r="E257" s="123" t="n">
        <x:v>-1.7054823098874898</x:v>
      </x:c>
      <x:c r="F257" s="123" t="n">
        <x:v>11.228367999175473</x:v>
      </x:c>
      <x:c r="G257" s="123" t="n">
        <x:v>-999</x:v>
      </x:c>
      <x:c r="H257" s="118"/>
      <x:c r="I257" t="str">
        <x:v>false layer stronger</x:v>
      </x:c>
      <x:c r="J257" s="118" t="n">
        <x:v>-4234.469190099142</x:v>
      </x:c>
      <x:c r="K257" t="n">
        <x:v>6</x:v>
      </x:c>
      <x:c r="L257" s="123" t="n">
        <x:v>0</x:v>
      </x:c>
    </x:row>
    <x:row r="258">
      <x:c r="A258" s="118" t="n">
        <x:v>-17.5</x:v>
      </x:c>
      <x:c r="B258" t="str">
        <x:v>rough_surface_clutter</x:v>
      </x:c>
      <x:c r="C258" t="str">
        <x:v>VHF_60MHz_shallow</x:v>
      </x:c>
      <x:c r="D258" s="118" t="n">
        <x:v>15001.397890806353</x:v>
      </x:c>
      <x:c r="E258" s="123"/>
      <x:c r="F258" s="123" t="n">
        <x:v>-999</x:v>
      </x:c>
      <x:c r="G258" s="123" t="n">
        <x:v>1.114627042031608</x:v>
      </x:c>
      <x:c r="H258" s="118" t="n">
        <x:v>1352.1012301843639</x:v>
      </x:c>
      <x:c r="I258" t="str">
        <x:v>surface clutter in shallow window</x:v>
      </x:c>
      <x:c r="J258" s="118" t="n">
        <x:v>-13649.296660621989</x:v>
      </x:c>
      <x:c r="K258" t="n">
        <x:v>0</x:v>
      </x:c>
      <x:c r="L258" s="123" t="n">
        <x:v>0.44053418216913987</x:v>
      </x:c>
    </x:row>
    <x:row r="259">
      <x:c r="A259" s="118" t="n">
        <x:v>-17.5</x:v>
      </x:c>
      <x:c r="B259" t="str">
        <x:v>complex_with_clutter</x:v>
      </x:c>
      <x:c r="C259" t="str">
        <x:v>VHF_60MHz_shallow</x:v>
      </x:c>
      <x:c r="D259" s="118" t="n">
        <x:v>15001.397890806353</x:v>
      </x:c>
      <x:c r="E259" s="123"/>
      <x:c r="F259" s="123" t="n">
        <x:v>5.293550763455345</x:v>
      </x:c>
      <x:c r="G259" s="123" t="n">
        <x:v>2.370149461213657</x:v>
      </x:c>
      <x:c r="H259" s="118" t="n">
        <x:v>1352.1012301843639</x:v>
      </x:c>
      <x:c r="I259" t="str">
        <x:v>surface clutter in shallow window</x:v>
      </x:c>
      <x:c r="J259" s="118" t="n">
        <x:v>-13649.296660621989</x:v>
      </x:c>
      <x:c r="K259" t="n">
        <x:v>11</x:v>
      </x:c>
      <x:c r="L259" s="123" t="n">
        <x:v>0.44053418216913987</x:v>
      </x:c>
    </x:row>
    <x:row r="260">
      <x:c r="A260" s="118" t="n">
        <x:v>-17</x:v>
      </x:c>
      <x:c r="B260" t="str">
        <x:v>stacked_dirty_layers</x:v>
      </x:c>
      <x:c r="C260" t="str">
        <x:v>HF_9MHz_full_depth</x:v>
      </x:c>
      <x:c r="D260" s="118" t="n">
        <x:v>15029.035468184995</x:v>
      </x:c>
      <x:c r="E260" s="123" t="n">
        <x:v>-1.6950403517684085</x:v>
      </x:c>
      <x:c r="F260" s="123" t="n">
        <x:v>11.19765813236045</x:v>
      </x:c>
      <x:c r="G260" s="123" t="n">
        <x:v>-999</x:v>
      </x:c>
      <x:c r="H260" s="118"/>
      <x:c r="I260" t="str">
        <x:v>false layer stronger</x:v>
      </x:c>
      <x:c r="J260" s="118" t="n">
        <x:v>-4222.013857325246</x:v>
      </x:c>
      <x:c r="K260" t="n">
        <x:v>6</x:v>
      </x:c>
      <x:c r="L260" s="123" t="n">
        <x:v>0</x:v>
      </x:c>
    </x:row>
    <x:row r="261">
      <x:c r="A261" s="118" t="n">
        <x:v>-17</x:v>
      </x:c>
      <x:c r="B261" t="str">
        <x:v>rough_surface_clutter</x:v>
      </x:c>
      <x:c r="C261" t="str">
        <x:v>VHF_60MHz_shallow</x:v>
      </x:c>
      <x:c r="D261" s="118" t="n">
        <x:v>15029.035468184995</x:v>
      </x:c>
      <x:c r="E261" s="123"/>
      <x:c r="F261" s="123" t="n">
        <x:v>-999</x:v>
      </x:c>
      <x:c r="G261" s="123" t="n">
        <x:v>1.1026916920775287</x:v>
      </x:c>
      <x:c r="H261" s="118" t="n">
        <x:v>1385.5385683902812</x:v>
      </x:c>
      <x:c r="I261" t="str">
        <x:v>surface clutter in shallow window</x:v>
      </x:c>
      <x:c r="J261" s="118" t="n">
        <x:v>-13643.496899794714</x:v>
      </x:c>
      <x:c r="K261" t="n">
        <x:v>0</x:v>
      </x:c>
      <x:c r="L261" s="123" t="n">
        <x:v>0.4397951512122309</x:v>
      </x:c>
    </x:row>
    <x:row r="262">
      <x:c r="A262" s="118" t="n">
        <x:v>-17</x:v>
      </x:c>
      <x:c r="B262" t="str">
        <x:v>complex_with_clutter</x:v>
      </x:c>
      <x:c r="C262" t="str">
        <x:v>VHF_60MHz_shallow</x:v>
      </x:c>
      <x:c r="D262" s="118" t="n">
        <x:v>15029.035468184995</x:v>
      </x:c>
      <x:c r="E262" s="123"/>
      <x:c r="F262" s="123" t="n">
        <x:v>5.299262787702791</x:v>
      </x:c>
      <x:c r="G262" s="123" t="n">
        <x:v>2.3561078730323874</x:v>
      </x:c>
      <x:c r="H262" s="118" t="n">
        <x:v>1385.5385683902812</x:v>
      </x:c>
      <x:c r="I262" t="str">
        <x:v>surface clutter in shallow window</x:v>
      </x:c>
      <x:c r="J262" s="118" t="n">
        <x:v>-13643.496899794714</x:v>
      </x:c>
      <x:c r="K262" t="n">
        <x:v>11</x:v>
      </x:c>
      <x:c r="L262" s="123" t="n">
        <x:v>0.4397951512122309</x:v>
      </x:c>
    </x:row>
    <x:row r="263">
      <x:c r="A263" s="118" t="n">
        <x:v>-16.5</x:v>
      </x:c>
      <x:c r="B263" t="str">
        <x:v>stacked_dirty_layers</x:v>
      </x:c>
      <x:c r="C263" t="str">
        <x:v>HF_9MHz_full_depth</x:v>
      </x:c>
      <x:c r="D263" s="118" t="n">
        <x:v>15054.19542273615</x:v>
      </x:c>
      <x:c r="E263" s="123" t="n">
        <x:v>-1.7464402666331482</x:v>
      </x:c>
      <x:c r="F263" s="123" t="n">
        <x:v>11.102648369817373</x:v>
      </x:c>
      <x:c r="G263" s="123" t="n">
        <x:v>-999</x:v>
      </x:c>
      <x:c r="H263" s="118"/>
      <x:c r="I263" t="str">
        <x:v>false layer stronger</x:v>
      </x:c>
      <x:c r="J263" s="118" t="n">
        <x:v>-4208.567624294676</x:v>
      </x:c>
      <x:c r="K263" t="n">
        <x:v>6</x:v>
      </x:c>
      <x:c r="L263" s="123" t="n">
        <x:v>0</x:v>
      </x:c>
    </x:row>
    <x:row r="264">
      <x:c r="A264" s="118" t="n">
        <x:v>-16.5</x:v>
      </x:c>
      <x:c r="B264" t="str">
        <x:v>rough_surface_clutter</x:v>
      </x:c>
      <x:c r="C264" t="str">
        <x:v>VHF_60MHz_shallow</x:v>
      </x:c>
      <x:c r="D264" s="118" t="n">
        <x:v>15054.19542273615</x:v>
      </x:c>
      <x:c r="E264" s="123"/>
      <x:c r="F264" s="123" t="n">
        <x:v>-999</x:v>
      </x:c>
      <x:c r="G264" s="123" t="n">
        <x:v>4.772932453493981</x:v>
      </x:c>
      <x:c r="H264" s="118" t="n">
        <x:v>1536.4520886947205</x:v>
      </x:c>
      <x:c r="I264" t="str">
        <x:v>surface clutter in shallow window</x:v>
      </x:c>
      <x:c r="J264" s="118" t="n">
        <x:v>-13517.743334041428</x:v>
      </x:c>
      <x:c r="K264" t="n">
        <x:v>0</x:v>
      </x:c>
      <x:c r="L264" s="123" t="n">
        <x:v>0.6670546410832187</x:v>
      </x:c>
    </x:row>
    <x:row r="265">
      <x:c r="A265" s="118" t="n">
        <x:v>-16.5</x:v>
      </x:c>
      <x:c r="B265" t="str">
        <x:v>complex_with_clutter</x:v>
      </x:c>
      <x:c r="C265" t="str">
        <x:v>VHF_60MHz_shallow</x:v>
      </x:c>
      <x:c r="D265" s="118" t="n">
        <x:v>15054.19542273615</x:v>
      </x:c>
      <x:c r="E265" s="123"/>
      <x:c r="F265" s="123" t="n">
        <x:v>5.122704683729881</x:v>
      </x:c>
      <x:c r="G265" s="123" t="n">
        <x:v>6.674038180581155</x:v>
      </x:c>
      <x:c r="H265" s="118" t="n">
        <x:v>1536.4520886947205</x:v>
      </x:c>
      <x:c r="I265" t="str">
        <x:v>surface clutter in shallow window</x:v>
      </x:c>
      <x:c r="J265" s="118" t="n">
        <x:v>-13517.743334041428</x:v>
      </x:c>
      <x:c r="K265" t="n">
        <x:v>11</x:v>
      </x:c>
      <x:c r="L265" s="123" t="n">
        <x:v>0.6670546410832187</x:v>
      </x:c>
    </x:row>
    <x:row r="266">
      <x:c r="A266" s="118" t="n">
        <x:v>-16</x:v>
      </x:c>
      <x:c r="B266" t="str">
        <x:v>stacked_dirty_layers</x:v>
      </x:c>
      <x:c r="C266" t="str">
        <x:v>HF_9MHz_full_depth</x:v>
      </x:c>
      <x:c r="D266" s="118" t="n">
        <x:v>15076.99559977411</x:v>
      </x:c>
      <x:c r="E266" s="123" t="n">
        <x:v>-1.6921115795951047</x:v>
      </x:c>
      <x:c r="F266" s="123" t="n">
        <x:v>11.111094052807408</x:v>
      </x:c>
      <x:c r="G266" s="123" t="n">
        <x:v>-999</x:v>
      </x:c>
      <x:c r="H266" s="118"/>
      <x:c r="I266" t="str">
        <x:v>false layer stronger</x:v>
      </x:c>
      <x:c r="J266" s="118" t="n">
        <x:v>-4194.206974084382</x:v>
      </x:c>
      <x:c r="K266" t="n">
        <x:v>6</x:v>
      </x:c>
      <x:c r="L266" s="123" t="n">
        <x:v>0</x:v>
      </x:c>
    </x:row>
    <x:row r="267">
      <x:c r="A267" s="118" t="n">
        <x:v>-16</x:v>
      </x:c>
      <x:c r="B267" t="str">
        <x:v>rough_surface_clutter</x:v>
      </x:c>
      <x:c r="C267" t="str">
        <x:v>VHF_60MHz_shallow</x:v>
      </x:c>
      <x:c r="D267" s="118" t="n">
        <x:v>15076.99559977411</x:v>
      </x:c>
      <x:c r="E267" s="123"/>
      <x:c r="F267" s="123" t="n">
        <x:v>-999</x:v>
      </x:c>
      <x:c r="G267" s="123" t="n">
        <x:v>2.6412581325400986</x:v>
      </x:c>
      <x:c r="H267" s="118" t="n">
        <x:v>1503.5332472294078</x:v>
      </x:c>
      <x:c r="I267" t="str">
        <x:v>surface clutter in shallow window</x:v>
      </x:c>
      <x:c r="J267" s="118" t="n">
        <x:v>-13573.462352544702</x:v>
      </x:c>
      <x:c r="K267" t="n">
        <x:v>0</x:v>
      </x:c>
      <x:c r="L267" s="123" t="n">
        <x:v>0.5350624230674983</x:v>
      </x:c>
    </x:row>
    <x:row r="268">
      <x:c r="A268" s="118" t="n">
        <x:v>-16</x:v>
      </x:c>
      <x:c r="B268" t="str">
        <x:v>complex_with_clutter</x:v>
      </x:c>
      <x:c r="C268" t="str">
        <x:v>VHF_60MHz_shallow</x:v>
      </x:c>
      <x:c r="D268" s="118" t="n">
        <x:v>15076.99559977411</x:v>
      </x:c>
      <x:c r="E268" s="123"/>
      <x:c r="F268" s="123" t="n">
        <x:v>5.233664127536927</x:v>
      </x:c>
      <x:c r="G268" s="123" t="n">
        <x:v>4.1661860382824685</x:v>
      </x:c>
      <x:c r="H268" s="118" t="n">
        <x:v>1503.5332472294078</x:v>
      </x:c>
      <x:c r="I268" t="str">
        <x:v>surface clutter in shallow window</x:v>
      </x:c>
      <x:c r="J268" s="118" t="n">
        <x:v>-13573.462352544702</x:v>
      </x:c>
      <x:c r="K268" t="n">
        <x:v>11</x:v>
      </x:c>
      <x:c r="L268" s="123" t="n">
        <x:v>0.5350624230674983</x:v>
      </x:c>
    </x:row>
    <x:row r="269">
      <x:c r="A269" s="118" t="n">
        <x:v>-15.5</x:v>
      </x:c>
      <x:c r="B269" t="str">
        <x:v>stacked_dirty_layers</x:v>
      </x:c>
      <x:c r="C269" t="str">
        <x:v>HF_9MHz_full_depth</x:v>
      </x:c>
      <x:c r="D269" s="118" t="n">
        <x:v>15105.051448537502</x:v>
      </x:c>
      <x:c r="E269" s="123" t="n">
        <x:v>-1.6417618530369964</x:v>
      </x:c>
      <x:c r="F269" s="123" t="n">
        <x:v>11.118729234133474</x:v>
      </x:c>
      <x:c r="G269" s="123" t="n">
        <x:v>-999</x:v>
      </x:c>
      <x:c r="H269" s="118"/>
      <x:c r="I269" t="str">
        <x:v>false layer stronger</x:v>
      </x:c>
      <x:c r="J269" s="118" t="n">
        <x:v>-4181.139352074742</x:v>
      </x:c>
      <x:c r="K269" t="n">
        <x:v>6</x:v>
      </x:c>
      <x:c r="L269" s="123" t="n">
        <x:v>0</x:v>
      </x:c>
    </x:row>
    <x:row r="270">
      <x:c r="A270" s="118" t="n">
        <x:v>-15.5</x:v>
      </x:c>
      <x:c r="B270" t="str">
        <x:v>rough_surface_clutter</x:v>
      </x:c>
      <x:c r="C270" t="str">
        <x:v>VHF_60MHz_shallow</x:v>
      </x:c>
      <x:c r="D270" s="118" t="n">
        <x:v>15105.051448537502</x:v>
      </x:c>
      <x:c r="E270" s="123"/>
      <x:c r="F270" s="123" t="n">
        <x:v>-999</x:v>
      </x:c>
      <x:c r="G270" s="123" t="n">
        <x:v>0.38136442090928924</x:v>
      </x:c>
      <x:c r="H270" s="118" t="n">
        <x:v>1466.9554780312733</x:v>
      </x:c>
      <x:c r="I270" t="str">
        <x:v>surface clutter in shallow window</x:v>
      </x:c>
      <x:c r="J270" s="118" t="n">
        <x:v>-13638.095970506229</x:v>
      </x:c>
      <x:c r="K270" t="n">
        <x:v>0</x:v>
      </x:c>
      <x:c r="L270" s="123" t="n">
        <x:v>0.39513092389531207</x:v>
      </x:c>
    </x:row>
    <x:row r="271">
      <x:c r="A271" s="118" t="n">
        <x:v>-15.5</x:v>
      </x:c>
      <x:c r="B271" t="str">
        <x:v>complex_with_clutter</x:v>
      </x:c>
      <x:c r="C271" t="str">
        <x:v>VHF_60MHz_shallow</x:v>
      </x:c>
      <x:c r="D271" s="118" t="n">
        <x:v>15105.051448537502</x:v>
      </x:c>
      <x:c r="E271" s="123"/>
      <x:c r="F271" s="123" t="n">
        <x:v>5.351077764586373</x:v>
      </x:c>
      <x:c r="G271" s="123" t="n">
        <x:v>1.507487554010929</x:v>
      </x:c>
      <x:c r="H271" s="118" t="n">
        <x:v>1466.9554780312733</x:v>
      </x:c>
      <x:c r="I271" t="str">
        <x:v>surface clutter in shallow window</x:v>
      </x:c>
      <x:c r="J271" s="118" t="n">
        <x:v>-13638.095970506229</x:v>
      </x:c>
      <x:c r="K271" t="n">
        <x:v>11</x:v>
      </x:c>
      <x:c r="L271" s="123" t="n">
        <x:v>0.39513092389531207</x:v>
      </x:c>
    </x:row>
    <x:row r="272">
      <x:c r="A272" s="118" t="n">
        <x:v>-15</x:v>
      </x:c>
      <x:c r="B272" t="str">
        <x:v>stacked_dirty_layers</x:v>
      </x:c>
      <x:c r="C272" t="str">
        <x:v>HF_9MHz_full_depth</x:v>
      </x:c>
      <x:c r="D272" s="118" t="n">
        <x:v>15130.78865834882</x:v>
      </x:c>
      <x:c r="E272" s="123" t="n">
        <x:v>-1.6788318209297246</x:v>
      </x:c>
      <x:c r="F272" s="123" t="n">
        <x:v>11.036883135545384</x:v>
      </x:c>
      <x:c r="G272" s="123" t="n">
        <x:v>-999</x:v>
      </x:c>
      <x:c r="H272" s="118"/>
      <x:c r="I272" t="str">
        <x:v>false layer stronger</x:v>
      </x:c>
      <x:c r="J272" s="118" t="n">
        <x:v>-4167.234116923704</x:v>
      </x:c>
      <x:c r="K272" t="n">
        <x:v>6</x:v>
      </x:c>
      <x:c r="L272" s="123" t="n">
        <x:v>0</x:v>
      </x:c>
    </x:row>
    <x:row r="273">
      <x:c r="A273" s="118" t="n">
        <x:v>-15</x:v>
      </x:c>
      <x:c r="B273" t="str">
        <x:v>rough_surface_clutter</x:v>
      </x:c>
      <x:c r="C273" t="str">
        <x:v>VHF_60MHz_shallow</x:v>
      </x:c>
      <x:c r="D273" s="118" t="n">
        <x:v>15130.78865834882</x:v>
      </x:c>
      <x:c r="E273" s="123"/>
      <x:c r="F273" s="123" t="n">
        <x:v>-999</x:v>
      </x:c>
      <x:c r="G273" s="123" t="n">
        <x:v>3.2264323723236803</x:v>
      </x:c>
      <x:c r="H273" s="118" t="n">
        <x:v>1592.8988042837912</x:v>
      </x:c>
      <x:c r="I273" t="str">
        <x:v>surface clutter in shallow window</x:v>
      </x:c>
      <x:c r="J273" s="118" t="n">
        <x:v>-13537.889854065028</x:v>
      </x:c>
      <x:c r="K273" t="n">
        <x:v>0</x:v>
      </x:c>
      <x:c r="L273" s="123" t="n">
        <x:v>0.5712961221253053</x:v>
      </x:c>
    </x:row>
    <x:row r="274">
      <x:c r="A274" s="118" t="n">
        <x:v>-15</x:v>
      </x:c>
      <x:c r="B274" t="str">
        <x:v>complex_with_clutter</x:v>
      </x:c>
      <x:c r="C274" t="str">
        <x:v>VHF_60MHz_shallow</x:v>
      </x:c>
      <x:c r="D274" s="118" t="n">
        <x:v>15130.78865834882</x:v>
      </x:c>
      <x:c r="E274" s="123"/>
      <x:c r="F274" s="123" t="n">
        <x:v>5.215702544037614</x:v>
      </x:c>
      <x:c r="G274" s="123" t="n">
        <x:v>4.854626320380801</x:v>
      </x:c>
      <x:c r="H274" s="118" t="n">
        <x:v>1592.8988042837912</x:v>
      </x:c>
      <x:c r="I274" t="str">
        <x:v>surface clutter in shallow window</x:v>
      </x:c>
      <x:c r="J274" s="118" t="n">
        <x:v>-13537.889854065028</x:v>
      </x:c>
      <x:c r="K274" t="n">
        <x:v>11</x:v>
      </x:c>
      <x:c r="L274" s="123" t="n">
        <x:v>0.5712961221253053</x:v>
      </x:c>
    </x:row>
    <x:row r="275">
      <x:c r="A275" s="118" t="n">
        <x:v>-14.5</x:v>
      </x:c>
      <x:c r="B275" t="str">
        <x:v>stacked_dirty_layers</x:v>
      </x:c>
      <x:c r="C275" t="str">
        <x:v>HF_9MHz_full_depth</x:v>
      </x:c>
      <x:c r="D275" s="118" t="n">
        <x:v>15157.295315059795</x:v>
      </x:c>
      <x:c r="E275" s="123" t="n">
        <x:v>-1.623512689492147</x:v>
      </x:c>
      <x:c r="F275" s="123" t="n">
        <x:v>11.047630130127104</x:v>
      </x:c>
      <x:c r="G275" s="123" t="n">
        <x:v>-999</x:v>
      </x:c>
      <x:c r="H275" s="118"/>
      <x:c r="I275" t="str">
        <x:v>false layer stronger</x:v>
      </x:c>
      <x:c r="J275" s="118" t="n">
        <x:v>-4153.403984304936</x:v>
      </x:c>
      <x:c r="K275" t="n">
        <x:v>6</x:v>
      </x:c>
      <x:c r="L275" s="123" t="n">
        <x:v>0</x:v>
      </x:c>
    </x:row>
    <x:row r="276">
      <x:c r="A276" s="118" t="n">
        <x:v>-14.5</x:v>
      </x:c>
      <x:c r="B276" t="str">
        <x:v>rough_surface_clutter</x:v>
      </x:c>
      <x:c r="C276" t="str">
        <x:v>VHF_60MHz_shallow</x:v>
      </x:c>
      <x:c r="D276" s="118" t="n">
        <x:v>15157.295315059795</x:v>
      </x:c>
      <x:c r="E276" s="123"/>
      <x:c r="F276" s="123" t="n">
        <x:v>-999</x:v>
      </x:c>
      <x:c r="G276" s="123" t="n">
        <x:v>0.7965808754027579</x:v>
      </x:c>
      <x:c r="H276" s="118" t="n">
        <x:v>1551.5984008775874</x:v>
      </x:c>
      <x:c r="I276" t="str">
        <x:v>surface clutter in shallow window</x:v>
      </x:c>
      <x:c r="J276" s="118" t="n">
        <x:v>-13605.696914182208</x:v>
      </x:c>
      <x:c r="K276" t="n">
        <x:v>0</x:v>
      </x:c>
      <x:c r="L276" s="123" t="n">
        <x:v>0.42084092107757015</x:v>
      </x:c>
    </x:row>
    <x:row r="277">
      <x:c r="A277" s="118" t="n">
        <x:v>-14.5</x:v>
      </x:c>
      <x:c r="B277" t="str">
        <x:v>complex_with_clutter</x:v>
      </x:c>
      <x:c r="C277" t="str">
        <x:v>VHF_60MHz_shallow</x:v>
      </x:c>
      <x:c r="D277" s="118" t="n">
        <x:v>15157.295315059795</x:v>
      </x:c>
      <x:c r="E277" s="123"/>
      <x:c r="F277" s="123" t="n">
        <x:v>5.341697076199458</x:v>
      </x:c>
      <x:c r="G277" s="123" t="n">
        <x:v>1.995977500473833</x:v>
      </x:c>
      <x:c r="H277" s="118" t="n">
        <x:v>1551.5984008775874</x:v>
      </x:c>
      <x:c r="I277" t="str">
        <x:v>surface clutter in shallow window</x:v>
      </x:c>
      <x:c r="J277" s="118" t="n">
        <x:v>-13605.696914182208</x:v>
      </x:c>
      <x:c r="K277" t="n">
        <x:v>11</x:v>
      </x:c>
      <x:c r="L277" s="123" t="n">
        <x:v>0.42084092107757015</x:v>
      </x:c>
    </x:row>
    <x:row r="278">
      <x:c r="A278" s="118" t="n">
        <x:v>-14</x:v>
      </x:c>
      <x:c r="B278" t="str">
        <x:v>stacked_dirty_layers</x:v>
      </x:c>
      <x:c r="C278" t="str">
        <x:v>HF_9MHz_full_depth</x:v>
      </x:c>
      <x:c r="D278" s="118" t="n">
        <x:v>15185.969392963387</x:v>
      </x:c>
      <x:c r="E278" s="123" t="n">
        <x:v>-1.6225877541933915</x:v>
      </x:c>
      <x:c r="F278" s="123" t="n">
        <x:v>11.005220484054346</x:v>
      </x:c>
      <x:c r="G278" s="123" t="n">
        <x:v>-999</x:v>
      </x:c>
      <x:c r="H278" s="118"/>
      <x:c r="I278" t="str">
        <x:v>false layer stronger</x:v>
      </x:c>
      <x:c r="J278" s="118" t="n">
        <x:v>-4140.0714300297495</x:v>
      </x:c>
      <x:c r="K278" t="n">
        <x:v>6</x:v>
      </x:c>
      <x:c r="L278" s="123" t="n">
        <x:v>0</x:v>
      </x:c>
    </x:row>
    <x:row r="279">
      <x:c r="A279" s="118" t="n">
        <x:v>-14</x:v>
      </x:c>
      <x:c r="B279" t="str">
        <x:v>rough_surface_clutter</x:v>
      </x:c>
      <x:c r="C279" t="str">
        <x:v>VHF_60MHz_shallow</x:v>
      </x:c>
      <x:c r="D279" s="118" t="n">
        <x:v>15185.969392963387</x:v>
      </x:c>
      <x:c r="E279" s="123"/>
      <x:c r="F279" s="123" t="n">
        <x:v>-999</x:v>
      </x:c>
      <x:c r="G279" s="123" t="n">
        <x:v>1.2887977906315955</x:v>
      </x:c>
      <x:c r="H279" s="118" t="n">
        <x:v>1603.377774105985</x:v>
      </x:c>
      <x:c r="I279" t="str">
        <x:v>surface clutter in shallow window</x:v>
      </x:c>
      <x:c r="J279" s="118" t="n">
        <x:v>-13582.591618857401</x:v>
      </x:c>
      <x:c r="K279" t="n">
        <x:v>0</x:v>
      </x:c>
      <x:c r="L279" s="123" t="n">
        <x:v>0.45131874864591925</x:v>
      </x:c>
    </x:row>
    <x:row r="280">
      <x:c r="A280" s="118" t="n">
        <x:v>-14</x:v>
      </x:c>
      <x:c r="B280" t="str">
        <x:v>complex_with_clutter</x:v>
      </x:c>
      <x:c r="C280" t="str">
        <x:v>VHF_60MHz_shallow</x:v>
      </x:c>
      <x:c r="D280" s="118" t="n">
        <x:v>15185.969392963387</x:v>
      </x:c>
      <x:c r="E280" s="123"/>
      <x:c r="F280" s="123" t="n">
        <x:v>5.323002812698922</x:v>
      </x:c>
      <x:c r="G280" s="123" t="n">
        <x:v>2.5750562242724655</x:v>
      </x:c>
      <x:c r="H280" s="118" t="n">
        <x:v>1603.377774105985</x:v>
      </x:c>
      <x:c r="I280" t="str">
        <x:v>surface clutter in shallow window</x:v>
      </x:c>
      <x:c r="J280" s="118" t="n">
        <x:v>-13582.591618857401</x:v>
      </x:c>
      <x:c r="K280" t="n">
        <x:v>11</x:v>
      </x:c>
      <x:c r="L280" s="123" t="n">
        <x:v>0.45131874864591925</x:v>
      </x:c>
    </x:row>
    <x:row r="281">
      <x:c r="A281" s="118" t="n">
        <x:v>-13.5</x:v>
      </x:c>
      <x:c r="B281" t="str">
        <x:v>stacked_dirty_layers</x:v>
      </x:c>
      <x:c r="C281" t="str">
        <x:v>HF_9MHz_full_depth</x:v>
      </x:c>
      <x:c r="D281" s="118" t="n">
        <x:v>15214.640299238325</x:v>
      </x:c>
      <x:c r="E281" s="123" t="n">
        <x:v>-1.630922733401193</x:v>
      </x:c>
      <x:c r="F281" s="123" t="n">
        <x:v>10.953353709625738</x:v>
      </x:c>
      <x:c r="G281" s="123" t="n">
        <x:v>-999</x:v>
      </x:c>
      <x:c r="H281" s="118"/>
      <x:c r="I281" t="str">
        <x:v>false layer stronger</x:v>
      </x:c>
      <x:c r="J281" s="118" t="n">
        <x:v>-4126.657170959092</x:v>
      </x:c>
      <x:c r="K281" t="n">
        <x:v>6</x:v>
      </x:c>
      <x:c r="L281" s="123" t="n">
        <x:v>0</x:v>
      </x:c>
    </x:row>
    <x:row r="282">
      <x:c r="A282" s="118" t="n">
        <x:v>-13.5</x:v>
      </x:c>
      <x:c r="B282" t="str">
        <x:v>rough_surface_clutter</x:v>
      </x:c>
      <x:c r="C282" t="str">
        <x:v>VHF_60MHz_shallow</x:v>
      </x:c>
      <x:c r="D282" s="118" t="n">
        <x:v>15214.640299238325</x:v>
      </x:c>
      <x:c r="E282" s="123"/>
      <x:c r="F282" s="123" t="n">
        <x:v>-999</x:v>
      </x:c>
      <x:c r="G282" s="123" t="n">
        <x:v>2.2973265086123185</x:v>
      </x:c>
      <x:c r="H282" s="118" t="n">
        <x:v>1671.7669965602902</x:v>
      </x:c>
      <x:c r="I282" t="str">
        <x:v>surface clutter in shallow window</x:v>
      </x:c>
      <x:c r="J282" s="118" t="n">
        <x:v>-13542.873302678034</x:v>
      </x:c>
      <x:c r="K282" t="n">
        <x:v>0</x:v>
      </x:c>
      <x:c r="L282" s="123" t="n">
        <x:v>0.5137663472824965</x:v>
      </x:c>
    </x:row>
    <x:row r="283">
      <x:c r="A283" s="118" t="n">
        <x:v>-13.5</x:v>
      </x:c>
      <x:c r="B283" t="str">
        <x:v>complex_with_clutter</x:v>
      </x:c>
      <x:c r="C283" t="str">
        <x:v>VHF_60MHz_shallow</x:v>
      </x:c>
      <x:c r="D283" s="118" t="n">
        <x:v>15214.640299238325</x:v>
      </x:c>
      <x:c r="E283" s="123"/>
      <x:c r="F283" s="123" t="n">
        <x:v>5.278773878474065</x:v>
      </x:c>
      <x:c r="G283" s="123" t="n">
        <x:v>3.761560598367433</x:v>
      </x:c>
      <x:c r="H283" s="118" t="n">
        <x:v>1671.7669965602902</x:v>
      </x:c>
      <x:c r="I283" t="str">
        <x:v>surface clutter in shallow window</x:v>
      </x:c>
      <x:c r="J283" s="118" t="n">
        <x:v>-13542.873302678034</x:v>
      </x:c>
      <x:c r="K283" t="n">
        <x:v>11</x:v>
      </x:c>
      <x:c r="L283" s="123" t="n">
        <x:v>0.5137663472824965</x:v>
      </x:c>
    </x:row>
    <x:row r="284">
      <x:c r="A284" s="118" t="n">
        <x:v>-13</x:v>
      </x:c>
      <x:c r="B284" t="str">
        <x:v>stacked_dirty_layers</x:v>
      </x:c>
      <x:c r="C284" t="str">
        <x:v>HF_9MHz_full_depth</x:v>
      </x:c>
      <x:c r="D284" s="118" t="n">
        <x:v>15241.286697126148</x:v>
      </x:c>
      <x:c r="E284" s="123" t="n">
        <x:v>-1.6736590810887217</x:v>
      </x:c>
      <x:c r="F284" s="123" t="n">
        <x:v>10.86558169775073</x:v>
      </x:c>
      <x:c r="G284" s="123" t="n">
        <x:v>-999</x:v>
      </x:c>
      <x:c r="H284" s="118"/>
      <x:c r="I284" t="str">
        <x:v>false layer stronger</x:v>
      </x:c>
      <x:c r="J284" s="118" t="n">
        <x:v>-4112.6357836782245</x:v>
      </x:c>
      <x:c r="K284" t="n">
        <x:v>6</x:v>
      </x:c>
      <x:c r="L284" s="123" t="n">
        <x:v>0</x:v>
      </x:c>
    </x:row>
    <x:row r="285">
      <x:c r="A285" s="118" t="n">
        <x:v>-13</x:v>
      </x:c>
      <x:c r="B285" t="str">
        <x:v>rough_surface_clutter</x:v>
      </x:c>
      <x:c r="C285" t="str">
        <x:v>VHF_60MHz_shallow</x:v>
      </x:c>
      <x:c r="D285" s="118" t="n">
        <x:v>15241.286697126148</x:v>
      </x:c>
      <x:c r="E285" s="123"/>
      <x:c r="F285" s="123" t="n">
        <x:v>-999</x:v>
      </x:c>
      <x:c r="G285" s="123" t="n">
        <x:v>5.378580019568856</x:v>
      </x:c>
      <x:c r="H285" s="118" t="n">
        <x:v>1806.152992918384</x:v>
      </x:c>
      <x:c r="I285" t="str">
        <x:v>surface clutter in shallow window</x:v>
      </x:c>
      <x:c r="J285" s="118" t="n">
        <x:v>-13435.133704207765</x:v>
      </x:c>
      <x:c r="K285" t="n">
        <x:v>0</x:v>
      </x:c>
      <x:c r="L285" s="123" t="n">
        <x:v>0.7045560383633966</x:v>
      </x:c>
    </x:row>
    <x:row r="286">
      <x:c r="A286" s="118" t="n">
        <x:v>-13</x:v>
      </x:c>
      <x:c r="B286" t="str">
        <x:v>complex_with_clutter</x:v>
      </x:c>
      <x:c r="C286" t="str">
        <x:v>VHF_60MHz_shallow</x:v>
      </x:c>
      <x:c r="D286" s="118" t="n">
        <x:v>15241.286697126148</x:v>
      </x:c>
      <x:c r="E286" s="123"/>
      <x:c r="F286" s="123" t="n">
        <x:v>5.1318953279471184</x:v>
      </x:c>
      <x:c r="G286" s="123" t="n">
        <x:v>7.386564728904537</x:v>
      </x:c>
      <x:c r="H286" s="118" t="n">
        <x:v>1806.152992918384</x:v>
      </x:c>
      <x:c r="I286" t="str">
        <x:v>surface clutter in shallow window</x:v>
      </x:c>
      <x:c r="J286" s="118" t="n">
        <x:v>-13435.133704207765</x:v>
      </x:c>
      <x:c r="K286" t="n">
        <x:v>11</x:v>
      </x:c>
      <x:c r="L286" s="123" t="n">
        <x:v>0.7045560383633966</x:v>
      </x:c>
    </x:row>
    <x:row r="287">
      <x:c r="A287" s="118" t="n">
        <x:v>-12.5</x:v>
      </x:c>
      <x:c r="B287" t="str">
        <x:v>stacked_dirty_layers</x:v>
      </x:c>
      <x:c r="C287" t="str">
        <x:v>HF_9MHz_full_depth</x:v>
      </x:c>
      <x:c r="D287" s="118" t="n">
        <x:v>15267.885369240817</x:v>
      </x:c>
      <x:c r="E287" s="123" t="n">
        <x:v>-1.5929633900181863</x:v>
      </x:c>
      <x:c r="F287" s="123" t="n">
        <x:v>10.901128673869012</x:v>
      </x:c>
      <x:c r="G287" s="123" t="n">
        <x:v>-999</x:v>
      </x:c>
      <x:c r="H287" s="118"/>
      <x:c r="I287" t="str">
        <x:v>false layer stronger</x:v>
      </x:c>
      <x:c r="J287" s="118" t="n">
        <x:v>-4098.595995794982</x:v>
      </x:c>
      <x:c r="K287" t="n">
        <x:v>6</x:v>
      </x:c>
      <x:c r="L287" s="123" t="n">
        <x:v>0</x:v>
      </x:c>
    </x:row>
    <x:row r="288">
      <x:c r="A288" s="118" t="n">
        <x:v>-12.5</x:v>
      </x:c>
      <x:c r="B288" t="str">
        <x:v>rough_surface_clutter</x:v>
      </x:c>
      <x:c r="C288" t="str">
        <x:v>VHF_60MHz_shallow</x:v>
      </x:c>
      <x:c r="D288" s="118" t="n">
        <x:v>15267.885369240817</x:v>
      </x:c>
      <x:c r="E288" s="123"/>
      <x:c r="F288" s="123" t="n">
        <x:v>-999</x:v>
      </x:c>
      <x:c r="G288" s="123" t="n">
        <x:v>1.4760965052344721</x:v>
      </x:c>
      <x:c r="H288" s="118" t="n">
        <x:v>1718.807615697437</x:v>
      </x:c>
      <x:c r="I288" t="str">
        <x:v>surface clutter in shallow window</x:v>
      </x:c>
      <x:c r="J288" s="118" t="n">
        <x:v>-13549.07775354338</x:v>
      </x:c>
      <x:c r="K288" t="n">
        <x:v>0</x:v>
      </x:c>
      <x:c r="L288" s="123" t="n">
        <x:v>0.46291619227458036</x:v>
      </x:c>
    </x:row>
    <x:row r="289">
      <x:c r="A289" s="118" t="n">
        <x:v>-12.5</x:v>
      </x:c>
      <x:c r="B289" t="str">
        <x:v>complex_with_clutter</x:v>
      </x:c>
      <x:c r="C289" t="str">
        <x:v>VHF_60MHz_shallow</x:v>
      </x:c>
      <x:c r="D289" s="118" t="n">
        <x:v>15267.885369240817</x:v>
      </x:c>
      <x:c r="E289" s="123"/>
      <x:c r="F289" s="123" t="n">
        <x:v>5.330966840011743</x:v>
      </x:c>
      <x:c r="G289" s="123" t="n">
        <x:v>2.7954076532170262</x:v>
      </x:c>
      <x:c r="H289" s="118" t="n">
        <x:v>1718.807615697437</x:v>
      </x:c>
      <x:c r="I289" t="str">
        <x:v>surface clutter in shallow window</x:v>
      </x:c>
      <x:c r="J289" s="118" t="n">
        <x:v>-13549.07775354338</x:v>
      </x:c>
      <x:c r="K289" t="n">
        <x:v>11</x:v>
      </x:c>
      <x:c r="L289" s="123" t="n">
        <x:v>0.46291619227458036</x:v>
      </x:c>
    </x:row>
    <x:row r="290">
      <x:c r="A290" s="118" t="n">
        <x:v>-12</x:v>
      </x:c>
      <x:c r="B290" t="str">
        <x:v>stacked_dirty_layers</x:v>
      </x:c>
      <x:c r="C290" t="str">
        <x:v>HF_9MHz_full_depth</x:v>
      </x:c>
      <x:c r="D290" s="118" t="n">
        <x:v>15298.41367837706</x:v>
      </x:c>
      <x:c r="E290" s="123" t="n">
        <x:v>-1.6031920750701993</x:v>
      </x:c>
      <x:c r="F290" s="123" t="n">
        <x:v>10.848635758548966</x:v>
      </x:c>
      <x:c r="G290" s="123" t="n">
        <x:v>-999</x:v>
      </x:c>
      <x:c r="H290" s="118"/>
      <x:c r="I290" t="str">
        <x:v>false layer stronger</x:v>
      </x:c>
      <x:c r="J290" s="118" t="n">
        <x:v>-4085.6644952821644</x:v>
      </x:c>
      <x:c r="K290" t="n">
        <x:v>6</x:v>
      </x:c>
      <x:c r="L290" s="123" t="n">
        <x:v>0</x:v>
      </x:c>
    </x:row>
    <x:row r="291">
      <x:c r="A291" s="118" t="n">
        <x:v>-12</x:v>
      </x:c>
      <x:c r="B291" t="str">
        <x:v>rough_surface_clutter</x:v>
      </x:c>
      <x:c r="C291" t="str">
        <x:v>VHF_60MHz_shallow</x:v>
      </x:c>
      <x:c r="D291" s="118" t="n">
        <x:v>15298.41367837706</x:v>
      </x:c>
      <x:c r="E291" s="123"/>
      <x:c r="F291" s="123" t="n">
        <x:v>-999</x:v>
      </x:c>
      <x:c r="G291" s="123" t="n">
        <x:v>2.4204448109632004</x:v>
      </x:c>
      <x:c r="H291" s="118" t="n">
        <x:v>1785.472952818831</x:v>
      </x:c>
      <x:c r="I291" t="str">
        <x:v>surface clutter in shallow window</x:v>
      </x:c>
      <x:c r="J291" s="118" t="n">
        <x:v>-13512.940725558228</x:v>
      </x:c>
      <x:c r="K291" t="n">
        <x:v>0</x:v>
      </x:c>
      <x:c r="L291" s="123" t="n">
        <x:v>0.5213897715766688</x:v>
      </x:c>
    </x:row>
    <x:row r="292">
      <x:c r="A292" s="118" t="n">
        <x:v>-12</x:v>
      </x:c>
      <x:c r="B292" t="str">
        <x:v>complex_with_clutter</x:v>
      </x:c>
      <x:c r="C292" t="str">
        <x:v>VHF_60MHz_shallow</x:v>
      </x:c>
      <x:c r="D292" s="118" t="n">
        <x:v>15298.41367837706</x:v>
      </x:c>
      <x:c r="E292" s="123"/>
      <x:c r="F292" s="123" t="n">
        <x:v>5.289935957636273</x:v>
      </x:c>
      <x:c r="G292" s="123" t="n">
        <x:v>3.9064056599567074</x:v>
      </x:c>
      <x:c r="H292" s="118" t="n">
        <x:v>1785.472952818831</x:v>
      </x:c>
      <x:c r="I292" t="str">
        <x:v>surface clutter in shallow window</x:v>
      </x:c>
      <x:c r="J292" s="118" t="n">
        <x:v>-13512.940725558228</x:v>
      </x:c>
      <x:c r="K292" t="n">
        <x:v>11</x:v>
      </x:c>
      <x:c r="L292" s="123" t="n">
        <x:v>0.5213897715766688</x:v>
      </x:c>
    </x:row>
    <x:row r="293">
      <x:c r="A293" s="118" t="n">
        <x:v>-11.5</x:v>
      </x:c>
      <x:c r="B293" t="str">
        <x:v>stacked_dirty_layers</x:v>
      </x:c>
      <x:c r="C293" t="str">
        <x:v>HF_9MHz_full_depth</x:v>
      </x:c>
      <x:c r="D293" s="118" t="n">
        <x:v>15324.614103451211</x:v>
      </x:c>
      <x:c r="E293" s="123" t="n">
        <x:v>-1.635977775936415</x:v>
      </x:c>
      <x:c r="F293" s="123" t="n">
        <x:v>10.770678426035186</x:v>
      </x:c>
      <x:c r="G293" s="123" t="n">
        <x:v>-999</x:v>
      </x:c>
      <x:c r="H293" s="118"/>
      <x:c r="I293" t="str">
        <x:v>false layer stronger</x:v>
      </x:c>
      <x:c r="J293" s="118" t="n">
        <x:v>-4071.6058690900863</x:v>
      </x:c>
      <x:c r="K293" t="n">
        <x:v>6</x:v>
      </x:c>
      <x:c r="L293" s="123" t="n">
        <x:v>0</x:v>
      </x:c>
    </x:row>
    <x:row r="294">
      <x:c r="A294" s="118" t="n">
        <x:v>-11.5</x:v>
      </x:c>
      <x:c r="B294" t="str">
        <x:v>rough_surface_clutter</x:v>
      </x:c>
      <x:c r="C294" t="str">
        <x:v>VHF_60MHz_shallow</x:v>
      </x:c>
      <x:c r="D294" s="118" t="n">
        <x:v>15324.614103451211</x:v>
      </x:c>
      <x:c r="E294" s="123"/>
      <x:c r="F294" s="123" t="n">
        <x:v>-999</x:v>
      </x:c>
      <x:c r="G294" s="123" t="n">
        <x:v>4.915989532084328</x:v>
      </x:c>
      <x:c r="H294" s="118" t="n">
        <x:v>1901.4115878409248</x:v>
      </x:c>
      <x:c r="I294" t="str">
        <x:v>surface clutter in shallow window</x:v>
      </x:c>
      <x:c r="J294" s="118" t="n">
        <x:v>-13423.202515610286</x:v>
      </x:c>
      <x:c r="K294" t="n">
        <x:v>0</x:v>
      </x:c>
      <x:c r="L294" s="123" t="n">
        <x:v>0.6759126645253455</x:v>
      </x:c>
    </x:row>
    <x:row r="295">
      <x:c r="A295" s="118" t="n">
        <x:v>-11.5</x:v>
      </x:c>
      <x:c r="B295" t="str">
        <x:v>complex_with_clutter</x:v>
      </x:c>
      <x:c r="C295" t="str">
        <x:v>VHF_60MHz_shallow</x:v>
      </x:c>
      <x:c r="D295" s="118" t="n">
        <x:v>15324.614103451211</x:v>
      </x:c>
      <x:c r="E295" s="123"/>
      <x:c r="F295" s="123" t="n">
        <x:v>5.172035497935072</x:v>
      </x:c>
      <x:c r="G295" s="123" t="n">
        <x:v>6.842340625981564</x:v>
      </x:c>
      <x:c r="H295" s="118" t="n">
        <x:v>1901.4115878409248</x:v>
      </x:c>
      <x:c r="I295" t="str">
        <x:v>surface clutter in shallow window</x:v>
      </x:c>
      <x:c r="J295" s="118" t="n">
        <x:v>-13423.202515610286</x:v>
      </x:c>
      <x:c r="K295" t="n">
        <x:v>11</x:v>
      </x:c>
      <x:c r="L295" s="123" t="n">
        <x:v>0.6759126645253455</x:v>
      </x:c>
    </x:row>
    <x:row r="296">
      <x:c r="A296" s="118" t="n">
        <x:v>-11</x:v>
      </x:c>
      <x:c r="B296" t="str">
        <x:v>stacked_dirty_layers</x:v>
      </x:c>
      <x:c r="C296" t="str">
        <x:v>HF_9MHz_full_depth</x:v>
      </x:c>
      <x:c r="D296" s="118" t="n">
        <x:v>15353.311864414836</x:v>
      </x:c>
      <x:c r="E296" s="123" t="n">
        <x:v>-1.592459535133651</x:v>
      </x:c>
      <x:c r="F296" s="123" t="n">
        <x:v>10.77113802042324</x:v>
      </x:c>
      <x:c r="G296" s="123" t="n">
        <x:v>-999</x:v>
      </x:c>
      <x:c r="H296" s="118"/>
      <x:c r="I296" t="str">
        <x:v>false layer stronger</x:v>
      </x:c>
      <x:c r="J296" s="118" t="n">
        <x:v>-4058.3272410615264</x:v>
      </x:c>
      <x:c r="K296" t="n">
        <x:v>6</x:v>
      </x:c>
      <x:c r="L296" s="123" t="n">
        <x:v>0</x:v>
      </x:c>
    </x:row>
    <x:row r="297">
      <x:c r="A297" s="118" t="n">
        <x:v>-11</x:v>
      </x:c>
      <x:c r="B297" t="str">
        <x:v>rough_surface_clutter</x:v>
      </x:c>
      <x:c r="C297" t="str">
        <x:v>VHF_60MHz_shallow</x:v>
      </x:c>
      <x:c r="D297" s="118" t="n">
        <x:v>15353.311864414836</x:v>
      </x:c>
      <x:c r="E297" s="123"/>
      <x:c r="F297" s="123" t="n">
        <x:v>-999</x:v>
      </x:c>
      <x:c r="G297" s="123" t="n">
        <x:v>2.902188524950448</x:v>
      </x:c>
      <x:c r="H297" s="118" t="n">
        <x:v>1874.059654966347</x:v>
      </x:c>
      <x:c r="I297" t="str">
        <x:v>surface clutter in shallow window</x:v>
      </x:c>
      <x:c r="J297" s="118" t="n">
        <x:v>-13479.252209448488</x:v>
      </x:c>
      <x:c r="K297" t="n">
        <x:v>0</x:v>
      </x:c>
      <x:c r="L297" s="123" t="n">
        <x:v>0.551219103712102</x:v>
      </x:c>
    </x:row>
    <x:row r="298">
      <x:c r="A298" s="118" t="n">
        <x:v>-11</x:v>
      </x:c>
      <x:c r="B298" t="str">
        <x:v>complex_with_clutter</x:v>
      </x:c>
      <x:c r="C298" t="str">
        <x:v>VHF_60MHz_shallow</x:v>
      </x:c>
      <x:c r="D298" s="118" t="n">
        <x:v>15353.311864414836</x:v>
      </x:c>
      <x:c r="E298" s="123"/>
      <x:c r="F298" s="123" t="n">
        <x:v>5.277459296555909</x:v>
      </x:c>
      <x:c r="G298" s="123" t="n">
        <x:v>4.473162970529939</x:v>
      </x:c>
      <x:c r="H298" s="118" t="n">
        <x:v>1874.059654966347</x:v>
      </x:c>
      <x:c r="I298" t="str">
        <x:v>surface clutter in shallow window</x:v>
      </x:c>
      <x:c r="J298" s="118" t="n">
        <x:v>-13479.252209448488</x:v>
      </x:c>
      <x:c r="K298" t="n">
        <x:v>11</x:v>
      </x:c>
      <x:c r="L298" s="123" t="n">
        <x:v>0.551219103712102</x:v>
      </x:c>
    </x:row>
    <x:row r="299">
      <x:c r="A299" s="118" t="n">
        <x:v>-10.5</x:v>
      </x:c>
      <x:c r="B299" t="str">
        <x:v>stacked_dirty_layers</x:v>
      </x:c>
      <x:c r="C299" t="str">
        <x:v>HF_9MHz_full_depth</x:v>
      </x:c>
      <x:c r="D299" s="118" t="n">
        <x:v>15381.489084576646</x:v>
      </x:c>
      <x:c r="E299" s="123" t="n">
        <x:v>-1.5807212878031571</x:v>
      </x:c>
      <x:c r="F299" s="123" t="n">
        <x:v>10.739835878652833</x:v>
      </x:c>
      <x:c r="G299" s="123" t="n">
        <x:v>-999</x:v>
      </x:c>
      <x:c r="H299" s="118"/>
      <x:c r="I299" t="str">
        <x:v>false layer stronger</x:v>
      </x:c>
      <x:c r="J299" s="118" t="n">
        <x:v>-4045.037982728527</x:v>
      </x:c>
      <x:c r="K299" t="n">
        <x:v>6</x:v>
      </x:c>
      <x:c r="L299" s="123" t="n">
        <x:v>0</x:v>
      </x:c>
    </x:row>
    <x:row r="300">
      <x:c r="A300" s="118" t="n">
        <x:v>-10.5</x:v>
      </x:c>
      <x:c r="B300" t="str">
        <x:v>rough_surface_clutter</x:v>
      </x:c>
      <x:c r="C300" t="str">
        <x:v>VHF_60MHz_shallow</x:v>
      </x:c>
      <x:c r="D300" s="118" t="n">
        <x:v>15381.489084576646</x:v>
      </x:c>
      <x:c r="E300" s="123"/>
      <x:c r="F300" s="123" t="n">
        <x:v>-999</x:v>
      </x:c>
      <x:c r="G300" s="123" t="n">
        <x:v>2.6928433029296404</x:v>
      </x:c>
      <x:c r="H300" s="118" t="n">
        <x:v>1903.9207503945722</x:v>
      </x:c>
      <x:c r="I300" t="str">
        <x:v>surface clutter in shallow window</x:v>
      </x:c>
      <x:c r="J300" s="118" t="n">
        <x:v>-13477.568334182073</x:v>
      </x:c>
      <x:c r="K300" t="n">
        <x:v>0</x:v>
      </x:c>
      <x:c r="L300" s="123" t="n">
        <x:v>0.5382565512649933</x:v>
      </x:c>
    </x:row>
    <x:row r="301">
      <x:c r="A301" s="118" t="n">
        <x:v>-10.5</x:v>
      </x:c>
      <x:c r="B301" t="str">
        <x:v>complex_with_clutter</x:v>
      </x:c>
      <x:c r="C301" t="str">
        <x:v>VHF_60MHz_shallow</x:v>
      </x:c>
      <x:c r="D301" s="118" t="n">
        <x:v>15381.489084576646</x:v>
      </x:c>
      <x:c r="E301" s="123"/>
      <x:c r="F301" s="123" t="n">
        <x:v>5.293430380879112</x:v>
      </x:c>
      <x:c r="G301" s="123" t="n">
        <x:v>4.226874474034872</x:v>
      </x:c>
      <x:c r="H301" s="118" t="n">
        <x:v>1903.9207503945722</x:v>
      </x:c>
      <x:c r="I301" t="str">
        <x:v>surface clutter in shallow window</x:v>
      </x:c>
      <x:c r="J301" s="118" t="n">
        <x:v>-13477.568334182073</x:v>
      </x:c>
      <x:c r="K301" t="n">
        <x:v>11</x:v>
      </x:c>
      <x:c r="L301" s="123" t="n">
        <x:v>0.5382565512649933</x:v>
      </x:c>
    </x:row>
    <x:row r="302">
      <x:c r="A302" s="118" t="n">
        <x:v>-10</x:v>
      </x:c>
      <x:c r="B302" t="str">
        <x:v>stacked_dirty_layers</x:v>
      </x:c>
      <x:c r="C302" t="str">
        <x:v>HF_9MHz_full_depth</x:v>
      </x:c>
      <x:c r="D302" s="118" t="n">
        <x:v>15410.508745213148</x:v>
      </x:c>
      <x:c r="E302" s="123" t="n">
        <x:v>-1.5525816651272262</x:v>
      </x:c>
      <x:c r="F302" s="123" t="n">
        <x:v>10.72597932285611</x:v>
      </x:c>
      <x:c r="G302" s="123" t="n">
        <x:v>-999</x:v>
      </x:c>
      <x:c r="H302" s="118"/>
      <x:c r="I302" t="str">
        <x:v>false layer stronger</x:v>
      </x:c>
      <x:c r="J302" s="118" t="n">
        <x:v>-4032.141927586448</x:v>
      </x:c>
      <x:c r="K302" t="n">
        <x:v>6</x:v>
      </x:c>
      <x:c r="L302" s="123" t="n">
        <x:v>0</x:v>
      </x:c>
    </x:row>
    <x:row r="303">
      <x:c r="A303" s="118" t="n">
        <x:v>-10</x:v>
      </x:c>
      <x:c r="B303" t="str">
        <x:v>rough_surface_clutter</x:v>
      </x:c>
      <x:c r="C303" t="str">
        <x:v>VHF_60MHz_shallow</x:v>
      </x:c>
      <x:c r="D303" s="118" t="n">
        <x:v>15410.508745213148</x:v>
      </x:c>
      <x:c r="E303" s="123"/>
      <x:c r="F303" s="123" t="n">
        <x:v>-999</x:v>
      </x:c>
      <x:c r="G303" s="123" t="n">
        <x:v>1.467826171014603</x:v>
      </x:c>
      <x:c r="H303" s="118" t="n">
        <x:v>1901.362045852188</x:v>
      </x:c>
      <x:c r="I303" t="str">
        <x:v>surface clutter in shallow window</x:v>
      </x:c>
      <x:c r="J303" s="118" t="n">
        <x:v>-13509.146699360961</x:v>
      </x:c>
      <x:c r="K303" t="n">
        <x:v>0</x:v>
      </x:c>
      <x:c r="L303" s="123" t="n">
        <x:v>0.46240409727644605</x:v>
      </x:c>
    </x:row>
    <x:row r="304">
      <x:c r="A304" s="118" t="n">
        <x:v>-10</x:v>
      </x:c>
      <x:c r="B304" t="str">
        <x:v>complex_with_clutter</x:v>
      </x:c>
      <x:c r="C304" t="str">
        <x:v>VHF_60MHz_shallow</x:v>
      </x:c>
      <x:c r="D304" s="118" t="n">
        <x:v>15410.508745213148</x:v>
      </x:c>
      <x:c r="E304" s="123"/>
      <x:c r="F304" s="123" t="n">
        <x:v>5.359626334331603</x:v>
      </x:c>
      <x:c r="G304" s="123" t="n">
        <x:v>2.785677848252474</x:v>
      </x:c>
      <x:c r="H304" s="118" t="n">
        <x:v>1901.362045852188</x:v>
      </x:c>
      <x:c r="I304" t="str">
        <x:v>surface clutter in shallow window</x:v>
      </x:c>
      <x:c r="J304" s="118" t="n">
        <x:v>-13509.146699360961</x:v>
      </x:c>
      <x:c r="K304" t="n">
        <x:v>11</x:v>
      </x:c>
      <x:c r="L304" s="123" t="n">
        <x:v>0.46240409727644605</x:v>
      </x:c>
    </x:row>
    <x:row r="305">
      <x:c r="A305" s="118" t="n">
        <x:v>-9.5</x:v>
      </x:c>
      <x:c r="B305" t="str">
        <x:v>stacked_dirty_layers</x:v>
      </x:c>
      <x:c r="C305" t="str">
        <x:v>HF_9MHz_full_depth</x:v>
      </x:c>
      <x:c r="D305" s="118" t="n">
        <x:v>15439.79021897657</x:v>
      </x:c>
      <x:c r="E305" s="123" t="n">
        <x:v>-1.5743909711807351</x:v>
      </x:c>
      <x:c r="F305" s="123" t="n">
        <x:v>10.662909965732895</x:v>
      </x:c>
      <x:c r="G305" s="123" t="n">
        <x:v>-999</x:v>
      </x:c>
      <x:c r="H305" s="118"/>
      <x:c r="I305" t="str">
        <x:v>false layer stronger</x:v>
      </x:c>
      <x:c r="J305" s="118" t="n">
        <x:v>-4019.5153839838185</x:v>
      </x:c>
      <x:c r="K305" t="n">
        <x:v>6</x:v>
      </x:c>
      <x:c r="L305" s="123" t="n">
        <x:v>0</x:v>
      </x:c>
    </x:row>
    <x:row r="306">
      <x:c r="A306" s="118" t="n">
        <x:v>-9.5</x:v>
      </x:c>
      <x:c r="B306" t="str">
        <x:v>rough_surface_clutter</x:v>
      </x:c>
      <x:c r="C306" t="str">
        <x:v>VHF_60MHz_shallow</x:v>
      </x:c>
      <x:c r="D306" s="118" t="n">
        <x:v>15439.79021897657</x:v>
      </x:c>
      <x:c r="E306" s="123"/>
      <x:c r="F306" s="123" t="n">
        <x:v>-999</x:v>
      </x:c>
      <x:c r="G306" s="123" t="n">
        <x:v>3.014659369554595</x:v>
      </x:c>
      <x:c r="H306" s="118" t="n">
        <x:v>1986.640995138705</x:v>
      </x:c>
      <x:c r="I306" t="str">
        <x:v>surface clutter in shallow window</x:v>
      </x:c>
      <x:c r="J306" s="118" t="n">
        <x:v>-13453.149223837865</x:v>
      </x:c>
      <x:c r="K306" t="n">
        <x:v>0</x:v>
      </x:c>
      <x:c r="L306" s="123" t="n">
        <x:v>0.5581832426968789</x:v>
      </x:c>
    </x:row>
    <x:row r="307">
      <x:c r="A307" s="118" t="n">
        <x:v>-9.5</x:v>
      </x:c>
      <x:c r="B307" t="str">
        <x:v>complex_with_clutter</x:v>
      </x:c>
      <x:c r="C307" t="str">
        <x:v>VHF_60MHz_shallow</x:v>
      </x:c>
      <x:c r="D307" s="118" t="n">
        <x:v>15439.79021897657</x:v>
      </x:c>
      <x:c r="E307" s="123"/>
      <x:c r="F307" s="123" t="n">
        <x:v>5.2884107544524905</x:v>
      </x:c>
      <x:c r="G307" s="123" t="n">
        <x:v>4.6054816112407</x:v>
      </x:c>
      <x:c r="H307" s="118" t="n">
        <x:v>1986.640995138705</x:v>
      </x:c>
      <x:c r="I307" t="str">
        <x:v>surface clutter in shallow window</x:v>
      </x:c>
      <x:c r="J307" s="118" t="n">
        <x:v>-13453.149223837865</x:v>
      </x:c>
      <x:c r="K307" t="n">
        <x:v>11</x:v>
      </x:c>
      <x:c r="L307" s="123" t="n">
        <x:v>0.5581832426968789</x:v>
      </x:c>
    </x:row>
    <x:row r="308">
      <x:c r="A308" s="118" t="n">
        <x:v>-9</x:v>
      </x:c>
      <x:c r="B308" t="str">
        <x:v>stacked_dirty_layers</x:v>
      </x:c>
      <x:c r="C308" t="str">
        <x:v>HF_9MHz_full_depth</x:v>
      </x:c>
      <x:c r="D308" s="118" t="n">
        <x:v>15467.420577548042</x:v>
      </x:c>
      <x:c r="E308" s="123" t="n">
        <x:v>-1.5725771949184764</x:v>
      </x:c>
      <x:c r="F308" s="123" t="n">
        <x:v>10.622988913404676</x:v>
      </x:c>
      <x:c r="G308" s="123" t="n">
        <x:v>-999</x:v>
      </x:c>
      <x:c r="H308" s="118"/>
      <x:c r="I308" t="str">
        <x:v>false layer stronger</x:v>
      </x:c>
      <x:c r="J308" s="118" t="n">
        <x:v>-4006.682827466302</x:v>
      </x:c>
      <x:c r="K308" t="n">
        <x:v>6</x:v>
      </x:c>
      <x:c r="L308" s="123" t="n">
        <x:v>0</x:v>
      </x:c>
    </x:row>
    <x:row r="309">
      <x:c r="A309" s="118" t="n">
        <x:v>-9</x:v>
      </x:c>
      <x:c r="B309" t="str">
        <x:v>rough_surface_clutter</x:v>
      </x:c>
      <x:c r="C309" t="str">
        <x:v>VHF_60MHz_shallow</x:v>
      </x:c>
      <x:c r="D309" s="118" t="n">
        <x:v>15467.420577548042</x:v>
      </x:c>
      <x:c r="E309" s="123"/>
      <x:c r="F309" s="123" t="n">
        <x:v>-999</x:v>
      </x:c>
      <x:c r="G309" s="123" t="n">
        <x:v>3.3034842297135327</x:v>
      </x:c>
      <x:c r="H309" s="118" t="n">
        <x:v>2031.6985466044498</x:v>
      </x:c>
      <x:c r="I309" t="str">
        <x:v>surface clutter in shallow window</x:v>
      </x:c>
      <x:c r="J309" s="118" t="n">
        <x:v>-13435.722030943592</x:v>
      </x:c>
      <x:c r="K309" t="n">
        <x:v>0</x:v>
      </x:c>
      <x:c r="L309" s="123" t="n">
        <x:v>0.5760671349667823</x:v>
      </x:c>
    </x:row>
    <x:row r="310">
      <x:c r="A310" s="118" t="n">
        <x:v>-9</x:v>
      </x:c>
      <x:c r="B310" t="str">
        <x:v>complex_with_clutter</x:v>
      </x:c>
      <x:c r="C310" t="str">
        <x:v>VHF_60MHz_shallow</x:v>
      </x:c>
      <x:c r="D310" s="118" t="n">
        <x:v>15467.420577548042</x:v>
      </x:c>
      <x:c r="E310" s="123"/>
      <x:c r="F310" s="123" t="n">
        <x:v>5.279385949712352</x:v>
      </x:c>
      <x:c r="G310" s="123" t="n">
        <x:v>4.945275564368863</x:v>
      </x:c>
      <x:c r="H310" s="118" t="n">
        <x:v>2031.6985466044498</x:v>
      </x:c>
      <x:c r="I310" t="str">
        <x:v>surface clutter in shallow window</x:v>
      </x:c>
      <x:c r="J310" s="118" t="n">
        <x:v>-13435.722030943592</x:v>
      </x:c>
      <x:c r="K310" t="n">
        <x:v>11</x:v>
      </x:c>
      <x:c r="L310" s="123" t="n">
        <x:v>0.5760671349667823</x:v>
      </x:c>
    </x:row>
    <x:row r="311">
      <x:c r="A311" s="118" t="n">
        <x:v>-8.5</x:v>
      </x:c>
      <x:c r="B311" t="str">
        <x:v>stacked_dirty_layers</x:v>
      </x:c>
      <x:c r="C311" t="str">
        <x:v>HF_9MHz_full_depth</x:v>
      </x:c>
      <x:c r="D311" s="118" t="n">
        <x:v>15499.091325220408</x:v>
      </x:c>
      <x:c r="E311" s="123" t="n">
        <x:v>-1.5595457300257825</x:v>
      </x:c>
      <x:c r="F311" s="123" t="n">
        <x:v>10.597698353011989</x:v>
      </x:c>
      <x:c r="G311" s="123" t="n">
        <x:v>-999</x:v>
      </x:c>
      <x:c r="H311" s="118"/>
      <x:c r="I311" t="str">
        <x:v>false layer stronger</x:v>
      </x:c>
      <x:c r="J311" s="118" t="n">
        <x:v>-3995.193490474714</x:v>
      </x:c>
      <x:c r="K311" t="n">
        <x:v>6</x:v>
      </x:c>
      <x:c r="L311" s="123" t="n">
        <x:v>0</x:v>
      </x:c>
    </x:row>
    <x:row r="312">
      <x:c r="A312" s="118" t="n">
        <x:v>-8.5</x:v>
      </x:c>
      <x:c r="B312" t="str">
        <x:v>rough_surface_clutter</x:v>
      </x:c>
      <x:c r="C312" t="str">
        <x:v>VHF_60MHz_shallow</x:v>
      </x:c>
      <x:c r="D312" s="118" t="n">
        <x:v>15499.091325220408</x:v>
      </x:c>
      <x:c r="E312" s="123"/>
      <x:c r="F312" s="123" t="n">
        <x:v>-999</x:v>
      </x:c>
      <x:c r="G312" s="123" t="n">
        <x:v>2.641682429601243</x:v>
      </x:c>
      <x:c r="H312" s="118" t="n">
        <x:v>2046.2471866320025</x:v>
      </x:c>
      <x:c r="I312" t="str">
        <x:v>surface clutter in shallow window</x:v>
      </x:c>
      <x:c r="J312" s="118" t="n">
        <x:v>-13452.844138588405</x:v>
      </x:c>
      <x:c r="K312" t="n">
        <x:v>0</x:v>
      </x:c>
      <x:c r="L312" s="123" t="n">
        <x:v>0.5350886953313463</x:v>
      </x:c>
    </x:row>
    <x:row r="313">
      <x:c r="A313" s="118" t="n">
        <x:v>-8.5</x:v>
      </x:c>
      <x:c r="B313" t="str">
        <x:v>complex_with_clutter</x:v>
      </x:c>
      <x:c r="C313" t="str">
        <x:v>VHF_60MHz_shallow</x:v>
      </x:c>
      <x:c r="D313" s="118" t="n">
        <x:v>15499.091325220408</x:v>
      </x:c>
      <x:c r="E313" s="123"/>
      <x:c r="F313" s="123" t="n">
        <x:v>5.317306523545469</x:v>
      </x:c>
      <x:c r="G313" s="123" t="n">
        <x:v>4.1666852112955794</x:v>
      </x:c>
      <x:c r="H313" s="118" t="n">
        <x:v>2046.2471866320025</x:v>
      </x:c>
      <x:c r="I313" t="str">
        <x:v>surface clutter in shallow window</x:v>
      </x:c>
      <x:c r="J313" s="118" t="n">
        <x:v>-13452.844138588405</x:v>
      </x:c>
      <x:c r="K313" t="n">
        <x:v>11</x:v>
      </x:c>
      <x:c r="L313" s="123" t="n">
        <x:v>0.5350886953313463</x:v>
      </x:c>
    </x:row>
    <x:row r="314">
      <x:c r="A314" s="118" t="n">
        <x:v>-8</x:v>
      </x:c>
      <x:c r="B314" t="str">
        <x:v>stacked_dirty_layers</x:v>
      </x:c>
      <x:c r="C314" t="str">
        <x:v>HF_9MHz_full_depth</x:v>
      </x:c>
      <x:c r="D314" s="118" t="n">
        <x:v>15525.64240190194</x:v>
      </x:c>
      <x:c r="E314" s="123" t="n">
        <x:v>-1.5687943301778295</x:v>
      </x:c>
      <x:c r="F314" s="123" t="n">
        <x:v>10.547490477622736</x:v>
      </x:c>
      <x:c r="G314" s="123" t="n">
        <x:v>-999</x:v>
      </x:c>
      <x:c r="H314" s="118"/>
      <x:c r="I314" t="str">
        <x:v>false layer stronger</x:v>
      </x:c>
      <x:c r="J314" s="118" t="n">
        <x:v>-3982.6504700565256</x:v>
      </x:c>
      <x:c r="K314" t="n">
        <x:v>6</x:v>
      </x:c>
      <x:c r="L314" s="123" t="n">
        <x:v>0</x:v>
      </x:c>
    </x:row>
    <x:row r="315">
      <x:c r="A315" s="118" t="n">
        <x:v>-8</x:v>
      </x:c>
      <x:c r="B315" t="str">
        <x:v>rough_surface_clutter</x:v>
      </x:c>
      <x:c r="C315" t="str">
        <x:v>VHF_60MHz_shallow</x:v>
      </x:c>
      <x:c r="D315" s="118" t="n">
        <x:v>15525.64240190194</x:v>
      </x:c>
      <x:c r="E315" s="123"/>
      <x:c r="F315" s="123" t="n">
        <x:v>-999</x:v>
      </x:c>
      <x:c r="G315" s="123" t="n">
        <x:v>3.549186421771413</x:v>
      </x:c>
      <x:c r="H315" s="118" t="n">
        <x:v>2110.2808739075463</x:v>
      </x:c>
      <x:c r="I315" t="str">
        <x:v>surface clutter in shallow window</x:v>
      </x:c>
      <x:c r="J315" s="118" t="n">
        <x:v>-13415.361527994393</x:v>
      </x:c>
      <x:c r="K315" t="n">
        <x:v>0</x:v>
      </x:c>
      <x:c r="L315" s="123" t="n">
        <x:v>0.591280892988942</x:v>
      </x:c>
    </x:row>
    <x:row r="316">
      <x:c r="A316" s="118" t="n">
        <x:v>-8</x:v>
      </x:c>
      <x:c r="B316" t="str">
        <x:v>complex_with_clutter</x:v>
      </x:c>
      <x:c r="C316" t="str">
        <x:v>VHF_60MHz_shallow</x:v>
      </x:c>
      <x:c r="D316" s="118" t="n">
        <x:v>15525.64240190194</x:v>
      </x:c>
      <x:c r="E316" s="123"/>
      <x:c r="F316" s="123" t="n">
        <x:v>5.277327241084525</x:v>
      </x:c>
      <x:c r="G316" s="123" t="n">
        <x:v>5.234336966789899</x:v>
      </x:c>
      <x:c r="H316" s="118" t="n">
        <x:v>2110.2808739075463</x:v>
      </x:c>
      <x:c r="I316" t="str">
        <x:v>surface clutter in shallow window</x:v>
      </x:c>
      <x:c r="J316" s="118" t="n">
        <x:v>-13415.361527994393</x:v>
      </x:c>
      <x:c r="K316" t="n">
        <x:v>11</x:v>
      </x:c>
      <x:c r="L316" s="123" t="n">
        <x:v>0.591280892988942</x:v>
      </x:c>
    </x:row>
    <x:row r="317">
      <x:c r="A317" s="118" t="n">
        <x:v>-7.5</x:v>
      </x:c>
      <x:c r="B317" t="str">
        <x:v>stacked_dirty_layers</x:v>
      </x:c>
      <x:c r="C317" t="str">
        <x:v>HF_9MHz_full_depth</x:v>
      </x:c>
      <x:c r="D317" s="118" t="n">
        <x:v>15554.79313941637</x:v>
      </x:c>
      <x:c r="E317" s="123" t="n">
        <x:v>-1.6345345634540906</x:v>
      </x:c>
      <x:c r="F317" s="123" t="n">
        <x:v>10.44342712375364</x:v>
      </x:c>
      <x:c r="G317" s="123" t="n">
        <x:v>-999</x:v>
      </x:c>
      <x:c r="H317" s="118"/>
      <x:c r="I317" t="str">
        <x:v>false layer stronger</x:v>
      </x:c>
      <x:c r="J317" s="118" t="n">
        <x:v>-3971.1331990967974</x:v>
      </x:c>
      <x:c r="K317" t="n">
        <x:v>6</x:v>
      </x:c>
      <x:c r="L317" s="123" t="n">
        <x:v>0</x:v>
      </x:c>
    </x:row>
    <x:row r="318">
      <x:c r="A318" s="118" t="n">
        <x:v>-7.5</x:v>
      </x:c>
      <x:c r="B318" t="str">
        <x:v>rough_surface_clutter</x:v>
      </x:c>
      <x:c r="C318" t="str">
        <x:v>VHF_60MHz_shallow</x:v>
      </x:c>
      <x:c r="D318" s="118" t="n">
        <x:v>15554.79313941637</x:v>
      </x:c>
      <x:c r="E318" s="123"/>
      <x:c r="F318" s="123" t="n">
        <x:v>-999</x:v>
      </x:c>
      <x:c r="G318" s="123" t="n">
        <x:v>7.428500062808128</x:v>
      </x:c>
      <x:c r="H318" s="118" t="n">
        <x:v>2268.299297117229</x:v>
      </x:c>
      <x:c r="I318" t="str">
        <x:v>surface clutter in shallow window</x:v>
      </x:c>
      <x:c r="J318" s="118" t="n">
        <x:v>-13286.49384229914</x:v>
      </x:c>
      <x:c r="K318" t="n">
        <x:v>0</x:v>
      </x:c>
      <x:c r="L318" s="123" t="n">
        <x:v>0.8314860720005033</x:v>
      </x:c>
    </x:row>
    <x:row r="319">
      <x:c r="A319" s="118" t="n">
        <x:v>-7.5</x:v>
      </x:c>
      <x:c r="B319" t="str">
        <x:v>complex_with_clutter</x:v>
      </x:c>
      <x:c r="C319" t="str">
        <x:v>VHF_60MHz_shallow</x:v>
      </x:c>
      <x:c r="D319" s="118" t="n">
        <x:v>15554.79313941637</x:v>
      </x:c>
      <x:c r="E319" s="123"/>
      <x:c r="F319" s="123" t="n">
        <x:v>5.089955653464433</x:v>
      </x:c>
      <x:c r="G319" s="123" t="n">
        <x:v>9.798235368009562</x:v>
      </x:c>
      <x:c r="H319" s="118" t="n">
        <x:v>2268.299297117229</x:v>
      </x:c>
      <x:c r="I319" t="str">
        <x:v>surface clutter in shallow window</x:v>
      </x:c>
      <x:c r="J319" s="118" t="n">
        <x:v>-13286.49384229914</x:v>
      </x:c>
      <x:c r="K319" t="n">
        <x:v>11</x:v>
      </x:c>
      <x:c r="L319" s="123" t="n">
        <x:v>0.8314860720005033</x:v>
      </x:c>
    </x:row>
    <x:row r="320">
      <x:c r="A320" s="118" t="n">
        <x:v>-7</x:v>
      </x:c>
      <x:c r="B320" t="str">
        <x:v>stacked_dirty_layers</x:v>
      </x:c>
      <x:c r="C320" t="str">
        <x:v>HF_9MHz_full_depth</x:v>
      </x:c>
      <x:c r="D320" s="118" t="n">
        <x:v>15586.69843418237</x:v>
      </x:c>
      <x:c r="E320" s="123" t="n">
        <x:v>-1.5860817681166757</x:v>
      </x:c>
      <x:c r="F320" s="123" t="n">
        <x:v>10.456385423910891</x:v>
      </x:c>
      <x:c r="G320" s="123" t="n">
        <x:v>-999</x:v>
      </x:c>
      <x:c r="H320" s="118"/>
      <x:c r="I320" t="str">
        <x:v>false layer stronger</x:v>
      </x:c>
      <x:c r="J320" s="118" t="n">
        <x:v>-3960.706043638009</x:v>
      </x:c>
      <x:c r="K320" t="n">
        <x:v>6</x:v>
      </x:c>
      <x:c r="L320" s="123" t="n">
        <x:v>0</x:v>
      </x:c>
    </x:row>
    <x:row r="321">
      <x:c r="A321" s="118" t="n">
        <x:v>-7</x:v>
      </x:c>
      <x:c r="B321" t="str">
        <x:v>rough_surface_clutter</x:v>
      </x:c>
      <x:c r="C321" t="str">
        <x:v>VHF_60MHz_shallow</x:v>
      </x:c>
      <x:c r="D321" s="118" t="n">
        <x:v>15586.69843418237</x:v>
      </x:c>
      <x:c r="E321" s="123"/>
      <x:c r="F321" s="123" t="n">
        <x:v>-999</x:v>
      </x:c>
      <x:c r="G321" s="123" t="n">
        <x:v>4.618074831940769</x:v>
      </x:c>
      <x:c r="H321" s="118" t="n">
        <x:v>2213.3563682550057</x:v>
      </x:c>
      <x:c r="I321" t="str">
        <x:v>surface clutter in shallow window</x:v>
      </x:c>
      <x:c r="J321" s="118" t="n">
        <x:v>-13373.342065927365</x:v>
      </x:c>
      <x:c r="K321" t="n">
        <x:v>0</x:v>
      </x:c>
      <x:c r="L321" s="123" t="n">
        <x:v>0.6574659338663015</x:v>
      </x:c>
    </x:row>
    <x:row r="322">
      <x:c r="A322" s="118" t="n">
        <x:v>-7</x:v>
      </x:c>
      <x:c r="B322" t="str">
        <x:v>complex_with_clutter</x:v>
      </x:c>
      <x:c r="C322" t="str">
        <x:v>VHF_60MHz_shallow</x:v>
      </x:c>
      <x:c r="D322" s="118" t="n">
        <x:v>15586.69843418237</x:v>
      </x:c>
      <x:c r="E322" s="123"/>
      <x:c r="F322" s="123" t="n">
        <x:v>5.2337641969779405</x:v>
      </x:c>
      <x:c r="G322" s="123" t="n">
        <x:v>6.491852743459727</x:v>
      </x:c>
      <x:c r="H322" s="118" t="n">
        <x:v>2213.3563682550057</x:v>
      </x:c>
      <x:c r="I322" t="str">
        <x:v>surface clutter in shallow window</x:v>
      </x:c>
      <x:c r="J322" s="118" t="n">
        <x:v>-13373.342065927365</x:v>
      </x:c>
      <x:c r="K322" t="n">
        <x:v>11</x:v>
      </x:c>
      <x:c r="L322" s="123" t="n">
        <x:v>0.6574659338663015</x:v>
      </x:c>
    </x:row>
    <x:row r="323">
      <x:c r="A323" s="118" t="n">
        <x:v>-6.5</x:v>
      </x:c>
      <x:c r="B323" t="str">
        <x:v>stacked_dirty_layers</x:v>
      </x:c>
      <x:c r="C323" t="str">
        <x:v>HF_9MHz_full_depth</x:v>
      </x:c>
      <x:c r="D323" s="118" t="n">
        <x:v>15612.620101689698</x:v>
      </x:c>
      <x:c r="E323" s="123" t="n">
        <x:v>-1.5557469802946713</x:v>
      </x:c>
      <x:c r="F323" s="123" t="n">
        <x:v>10.448258126572103</x:v>
      </x:c>
      <x:c r="G323" s="123" t="n">
        <x:v>-999</x:v>
      </x:c>
      <x:c r="H323" s="118"/>
      <x:c r="I323" t="str">
        <x:v>false layer stronger</x:v>
      </x:c>
      <x:c r="J323" s="118" t="n">
        <x:v>-3949.119360537452</x:v>
      </x:c>
      <x:c r="K323" t="n">
        <x:v>6</x:v>
      </x:c>
      <x:c r="L323" s="123" t="n">
        <x:v>0</x:v>
      </x:c>
    </x:row>
    <x:row r="324">
      <x:c r="A324" s="118" t="n">
        <x:v>-6.5</x:v>
      </x:c>
      <x:c r="B324" t="str">
        <x:v>rough_surface_clutter</x:v>
      </x:c>
      <x:c r="C324" t="str">
        <x:v>VHF_60MHz_shallow</x:v>
      </x:c>
      <x:c r="D324" s="118" t="n">
        <x:v>15612.620101689698</x:v>
      </x:c>
      <x:c r="E324" s="123"/>
      <x:c r="F324" s="123" t="n">
        <x:v>-999</x:v>
      </x:c>
      <x:c r="G324" s="123" t="n">
        <x:v>3.195528948974898</x:v>
      </x:c>
      <x:c r="H324" s="118" t="n">
        <x:v>2201.9860777652543</x:v>
      </x:c>
      <x:c r="I324" t="str">
        <x:v>surface clutter in shallow window</x:v>
      </x:c>
      <x:c r="J324" s="118" t="n">
        <x:v>-13410.634023924444</x:v>
      </x:c>
      <x:c r="K324" t="n">
        <x:v>0</x:v>
      </x:c>
      <x:c r="L324" s="123" t="n">
        <x:v>0.5693825974597461</x:v>
      </x:c>
    </x:row>
    <x:row r="325">
      <x:c r="A325" s="118" t="n">
        <x:v>-6.5</x:v>
      </x:c>
      <x:c r="B325" t="str">
        <x:v>complex_with_clutter</x:v>
      </x:c>
      <x:c r="C325" t="str">
        <x:v>VHF_60MHz_shallow</x:v>
      </x:c>
      <x:c r="D325" s="118" t="n">
        <x:v>15612.620101689698</x:v>
      </x:c>
      <x:c r="E325" s="123"/>
      <x:c r="F325" s="123" t="n">
        <x:v>5.308605429340498</x:v>
      </x:c>
      <x:c r="G325" s="123" t="n">
        <x:v>4.818269351735175</x:v>
      </x:c>
      <x:c r="H325" s="118" t="n">
        <x:v>2201.9860777652543</x:v>
      </x:c>
      <x:c r="I325" t="str">
        <x:v>surface clutter in shallow window</x:v>
      </x:c>
      <x:c r="J325" s="118" t="n">
        <x:v>-13410.634023924444</x:v>
      </x:c>
      <x:c r="K325" t="n">
        <x:v>11</x:v>
      </x:c>
      <x:c r="L325" s="123" t="n">
        <x:v>0.5693825974597461</x:v>
      </x:c>
    </x:row>
    <x:row r="326">
      <x:c r="A326" s="118" t="n">
        <x:v>-6</x:v>
      </x:c>
      <x:c r="B326" t="str">
        <x:v>stacked_dirty_layers</x:v>
      </x:c>
      <x:c r="C326" t="str">
        <x:v>HF_9MHz_full_depth</x:v>
      </x:c>
      <x:c r="D326" s="118" t="n">
        <x:v>15641.05910048063</x:v>
      </x:c>
      <x:c r="E326" s="123" t="n">
        <x:v>-1.596432247349663</x:v>
      </x:c>
      <x:c r="F326" s="123" t="n">
        <x:v>10.371948759373147</x:v>
      </x:c>
      <x:c r="G326" s="123" t="n">
        <x:v>-999</x:v>
      </x:c>
      <x:c r="H326" s="118"/>
      <x:c r="I326" t="str">
        <x:v>false layer stronger</x:v>
      </x:c>
      <x:c r="J326" s="118" t="n">
        <x:v>-3938.6279640659795</x:v>
      </x:c>
      <x:c r="K326" t="n">
        <x:v>6</x:v>
      </x:c>
      <x:c r="L326" s="123" t="n">
        <x:v>0</x:v>
      </x:c>
    </x:row>
    <x:row r="327">
      <x:c r="A327" s="118" t="n">
        <x:v>-6</x:v>
      </x:c>
      <x:c r="B327" t="str">
        <x:v>rough_surface_clutter</x:v>
      </x:c>
      <x:c r="C327" t="str">
        <x:v>VHF_60MHz_shallow</x:v>
      </x:c>
      <x:c r="D327" s="118" t="n">
        <x:v>15641.05910048063</x:v>
      </x:c>
      <x:c r="E327" s="123"/>
      <x:c r="F327" s="123" t="n">
        <x:v>-999</x:v>
      </x:c>
      <x:c r="G327" s="123" t="n">
        <x:v>5.5649144718754116</x:v>
      </x:c>
      <x:c r="H327" s="118" t="n">
        <x:v>2310.5039904403297</x:v>
      </x:c>
      <x:c r="I327" t="str">
        <x:v>surface clutter in shallow window</x:v>
      </x:c>
      <x:c r="J327" s="118" t="n">
        <x:v>-13330.5551100403</x:v>
      </x:c>
      <x:c r="K327" t="n">
        <x:v>0</x:v>
      </x:c>
      <x:c r="L327" s="123" t="n">
        <x:v>0.7160937753483227</x:v>
      </x:c>
    </x:row>
    <x:row r="328">
      <x:c r="A328" s="118" t="n">
        <x:v>-6</x:v>
      </x:c>
      <x:c r="B328" t="str">
        <x:v>complex_with_clutter</x:v>
      </x:c>
      <x:c r="C328" t="str">
        <x:v>VHF_60MHz_shallow</x:v>
      </x:c>
      <x:c r="D328" s="118" t="n">
        <x:v>15641.05910048063</x:v>
      </x:c>
      <x:c r="E328" s="123"/>
      <x:c r="F328" s="123" t="n">
        <x:v>5.195375971452511</x:v>
      </x:c>
      <x:c r="G328" s="123" t="n">
        <x:v>7.605781731618132</x:v>
      </x:c>
      <x:c r="H328" s="118" t="n">
        <x:v>2310.5039904403297</x:v>
      </x:c>
      <x:c r="I328" t="str">
        <x:v>surface clutter in shallow window</x:v>
      </x:c>
      <x:c r="J328" s="118" t="n">
        <x:v>-13330.5551100403</x:v>
      </x:c>
      <x:c r="K328" t="n">
        <x:v>11</x:v>
      </x:c>
      <x:c r="L328" s="123" t="n">
        <x:v>0.7160937753483227</x:v>
      </x:c>
    </x:row>
    <x:row r="329">
      <x:c r="A329" s="118" t="n">
        <x:v>-5.5</x:v>
      </x:c>
      <x:c r="B329" t="str">
        <x:v>stacked_dirty_layers</x:v>
      </x:c>
      <x:c r="C329" t="str">
        <x:v>HF_9MHz_full_depth</x:v>
      </x:c>
      <x:c r="D329" s="118" t="n">
        <x:v>15669.38478023053</x:v>
      </x:c>
      <x:c r="E329" s="123" t="n">
        <x:v>-1.6379833798144072</x:v>
      </x:c>
      <x:c r="F329" s="123" t="n">
        <x:v>10.324296949969217</x:v>
      </x:c>
      <x:c r="G329" s="123" t="n">
        <x:v>-999</x:v>
      </x:c>
      <x:c r="H329" s="118"/>
      <x:c r="I329" t="str">
        <x:v>false layer stronger</x:v>
      </x:c>
      <x:c r="J329" s="118" t="n">
        <x:v>-3928.5766904706998</x:v>
      </x:c>
      <x:c r="K329" t="n">
        <x:v>6</x:v>
      </x:c>
      <x:c r="L329" s="123" t="n">
        <x:v>0</x:v>
      </x:c>
    </x:row>
    <x:row r="330">
      <x:c r="A330" s="118" t="n">
        <x:v>-5.5</x:v>
      </x:c>
      <x:c r="B330" t="str">
        <x:v>rough_surface_clutter</x:v>
      </x:c>
      <x:c r="C330" t="str">
        <x:v>VHF_60MHz_shallow</x:v>
      </x:c>
      <x:c r="D330" s="118" t="n">
        <x:v>15669.38478023053</x:v>
      </x:c>
      <x:c r="E330" s="123"/>
      <x:c r="F330" s="123" t="n">
        <x:v>-999</x:v>
      </x:c>
      <x:c r="G330" s="123" t="n">
        <x:v>6.133205482927822</x:v>
      </x:c>
      <x:c r="H330" s="118" t="n">
        <x:v>2361.201645432155</x:v>
      </x:c>
      <x:c r="I330" t="str">
        <x:v>surface clutter in shallow window</x:v>
      </x:c>
      <x:c r="J330" s="118" t="n">
        <x:v>-13308.183134798375</x:v>
      </x:c>
      <x:c r="K330" t="n">
        <x:v>0</x:v>
      </x:c>
      <x:c r="L330" s="123" t="n">
        <x:v>0.7512820732463048</x:v>
      </x:c>
    </x:row>
    <x:row r="331">
      <x:c r="A331" s="118" t="n">
        <x:v>-5.5</x:v>
      </x:c>
      <x:c r="B331" t="str">
        <x:v>complex_with_clutter</x:v>
      </x:c>
      <x:c r="C331" t="str">
        <x:v>VHF_60MHz_shallow</x:v>
      </x:c>
      <x:c r="D331" s="118" t="n">
        <x:v>15669.38478023053</x:v>
      </x:c>
      <x:c r="E331" s="123"/>
      <x:c r="F331" s="123" t="n">
        <x:v>5.171113148880386</x:v>
      </x:c>
      <x:c r="G331" s="123" t="n">
        <x:v>8.274359391679791</x:v>
      </x:c>
      <x:c r="H331" s="118" t="n">
        <x:v>2361.201645432155</x:v>
      </x:c>
      <x:c r="I331" t="str">
        <x:v>surface clutter in shallow window</x:v>
      </x:c>
      <x:c r="J331" s="118" t="n">
        <x:v>-13308.183134798375</x:v>
      </x:c>
      <x:c r="K331" t="n">
        <x:v>11</x:v>
      </x:c>
      <x:c r="L331" s="123" t="n">
        <x:v>0.7512820732463048</x:v>
      </x:c>
    </x:row>
    <x:row r="332">
      <x:c r="A332" s="118" t="n">
        <x:v>-5</x:v>
      </x:c>
      <x:c r="B332" t="str">
        <x:v>stacked_dirty_layers</x:v>
      </x:c>
      <x:c r="C332" t="str">
        <x:v>HF_9MHz_full_depth</x:v>
      </x:c>
      <x:c r="D332" s="118" t="n">
        <x:v>15697.23436626741</x:v>
      </x:c>
      <x:c r="E332" s="123" t="n">
        <x:v>-1.6754222387549558</x:v>
      </x:c>
      <x:c r="F332" s="123" t="n">
        <x:v>10.303223795671345</x:v>
      </x:c>
      <x:c r="G332" s="123" t="n">
        <x:v>-999</x:v>
      </x:c>
      <x:c r="H332" s="118"/>
      <x:c r="I332" t="str">
        <x:v>false layer stronger</x:v>
      </x:c>
      <x:c r="J332" s="118" t="n">
        <x:v>-3918.9039102552942</x:v>
      </x:c>
      <x:c r="K332" t="n">
        <x:v>6</x:v>
      </x:c>
      <x:c r="L332" s="123" t="n">
        <x:v>0</x:v>
      </x:c>
    </x:row>
    <x:row r="333">
      <x:c r="A333" s="118" t="n">
        <x:v>-5</x:v>
      </x:c>
      <x:c r="B333" t="str">
        <x:v>rough_surface_clutter</x:v>
      </x:c>
      <x:c r="C333" t="str">
        <x:v>VHF_60MHz_shallow</x:v>
      </x:c>
      <x:c r="D333" s="118" t="n">
        <x:v>15697.23436626741</x:v>
      </x:c>
      <x:c r="E333" s="123"/>
      <x:c r="F333" s="123" t="n">
        <x:v>-999</x:v>
      </x:c>
      <x:c r="G333" s="123" t="n">
        <x:v>5.07669121124953</x:v>
      </x:c>
      <x:c r="H333" s="118" t="n">
        <x:v>2359.632053090012</x:v>
      </x:c>
      <x:c r="I333" t="str">
        <x:v>surface clutter in shallow window</x:v>
      </x:c>
      <x:c r="J333" s="118" t="n">
        <x:v>-13337.602313177398</x:v>
      </x:c>
      <x:c r="K333" t="n">
        <x:v>0</x:v>
      </x:c>
      <x:c r="L333" s="123" t="n">
        <x:v>0.6858632328947077</x:v>
      </x:c>
    </x:row>
    <x:row r="334">
      <x:c r="A334" s="118" t="n">
        <x:v>-5</x:v>
      </x:c>
      <x:c r="B334" t="str">
        <x:v>complex_with_clutter</x:v>
      </x:c>
      <x:c r="C334" t="str">
        <x:v>VHF_60MHz_shallow</x:v>
      </x:c>
      <x:c r="D334" s="118" t="n">
        <x:v>15697.23436626741</x:v>
      </x:c>
      <x:c r="E334" s="123"/>
      <x:c r="F334" s="123" t="n">
        <x:v>5.2270684764437165</x:v>
      </x:c>
      <x:c r="G334" s="123" t="n">
        <x:v>7.031401424999448</x:v>
      </x:c>
      <x:c r="H334" s="118" t="n">
        <x:v>2359.632053090012</x:v>
      </x:c>
      <x:c r="I334" t="str">
        <x:v>surface clutter in shallow window</x:v>
      </x:c>
      <x:c r="J334" s="118" t="n">
        <x:v>-13337.602313177398</x:v>
      </x:c>
      <x:c r="K334" t="n">
        <x:v>11</x:v>
      </x:c>
      <x:c r="L334" s="123" t="n">
        <x:v>0.6858632328947077</x:v>
      </x:c>
    </x:row>
    <x:row r="335">
      <x:c r="A335" s="118" t="n">
        <x:v>-4.5</x:v>
      </x:c>
      <x:c r="B335" t="str">
        <x:v>stacked_dirty_layers</x:v>
      </x:c>
      <x:c r="C335" t="str">
        <x:v>HF_9MHz_full_depth</x:v>
      </x:c>
      <x:c r="D335" s="118" t="n">
        <x:v>15723.473778049667</x:v>
      </x:c>
      <x:c r="E335" s="123" t="n">
        <x:v>-1.6941488528573416</x:v>
      </x:c>
      <x:c r="F335" s="123" t="n">
        <x:v>10.30116130176532</x:v>
      </x:c>
      <x:c r="G335" s="123" t="n">
        <x:v>-999</x:v>
      </x:c>
      <x:c r="H335" s="118"/>
      <x:c r="I335" t="str">
        <x:v>false layer stronger</x:v>
      </x:c>
      <x:c r="J335" s="118" t="n">
        <x:v>-3909.3514955800456</x:v>
      </x:c>
      <x:c r="K335" t="n">
        <x:v>6</x:v>
      </x:c>
      <x:c r="L335" s="123" t="n">
        <x:v>0</x:v>
      </x:c>
    </x:row>
    <x:row r="336">
      <x:c r="A336" s="118" t="n">
        <x:v>-4.5</x:v>
      </x:c>
      <x:c r="B336" t="str">
        <x:v>rough_surface_clutter</x:v>
      </x:c>
      <x:c r="C336" t="str">
        <x:v>VHF_60MHz_shallow</x:v>
      </x:c>
      <x:c r="D336" s="118" t="n">
        <x:v>15723.473778049667</x:v>
      </x:c>
      <x:c r="E336" s="123"/>
      <x:c r="F336" s="123" t="n">
        <x:v>-999</x:v>
      </x:c>
      <x:c r="G336" s="123" t="n">
        <x:v>3.0254413072450728</x:v>
      </x:c>
      <x:c r="H336" s="118" t="n">
        <x:v>2325.763364786821</x:v>
      </x:c>
      <x:c r="I336" t="str">
        <x:v>surface clutter in shallow window</x:v>
      </x:c>
      <x:c r="J336" s="118" t="n">
        <x:v>-13397.710413262846</x:v>
      </x:c>
      <x:c r="K336" t="n">
        <x:v>0</x:v>
      </x:c>
      <x:c r="L336" s="123" t="n">
        <x:v>0.5588508549377754</x:v>
      </x:c>
    </x:row>
    <x:row r="337">
      <x:c r="A337" s="118" t="n">
        <x:v>-4.5</x:v>
      </x:c>
      <x:c r="B337" t="str">
        <x:v>complex_with_clutter</x:v>
      </x:c>
      <x:c r="C337" t="str">
        <x:v>VHF_60MHz_shallow</x:v>
      </x:c>
      <x:c r="D337" s="118" t="n">
        <x:v>15723.473778049667</x:v>
      </x:c>
      <x:c r="E337" s="123"/>
      <x:c r="F337" s="123" t="n">
        <x:v>5.33201595628516</x:v>
      </x:c>
      <x:c r="G337" s="123" t="n">
        <x:v>4.618166243817733</x:v>
      </x:c>
      <x:c r="H337" s="118" t="n">
        <x:v>2325.763364786821</x:v>
      </x:c>
      <x:c r="I337" t="str">
        <x:v>surface clutter in shallow window</x:v>
      </x:c>
      <x:c r="J337" s="118" t="n">
        <x:v>-13397.710413262846</x:v>
      </x:c>
      <x:c r="K337" t="n">
        <x:v>11</x:v>
      </x:c>
      <x:c r="L337" s="123" t="n">
        <x:v>0.5588508549377754</x:v>
      </x:c>
    </x:row>
    <x:row r="338">
      <x:c r="A338" s="118" t="n">
        <x:v>-4</x:v>
      </x:c>
      <x:c r="B338" t="str">
        <x:v>stacked_dirty_layers</x:v>
      </x:c>
      <x:c r="C338" t="str">
        <x:v>HF_9MHz_full_depth</x:v>
      </x:c>
      <x:c r="D338" s="118" t="n">
        <x:v>15748.287353885475</x:v>
      </x:c>
      <x:c r="E338" s="123" t="n">
        <x:v>-1.8015770053015923</x:v>
      </x:c>
      <x:c r="F338" s="123" t="n">
        <x:v>10.210789933972356</x:v>
      </x:c>
      <x:c r="G338" s="123" t="n">
        <x:v>-999</x:v>
      </x:c>
      <x:c r="H338" s="118"/>
      <x:c r="I338" t="str">
        <x:v>false layer stronger</x:v>
      </x:c>
      <x:c r="J338" s="118" t="n">
        <x:v>-3900.000840749579</x:v>
      </x:c>
      <x:c r="K338" t="n">
        <x:v>6</x:v>
      </x:c>
      <x:c r="L338" s="123" t="n">
        <x:v>0</x:v>
      </x:c>
    </x:row>
    <x:row r="339">
      <x:c r="A339" s="118" t="n">
        <x:v>-4</x:v>
      </x:c>
      <x:c r="B339" t="str">
        <x:v>rough_surface_clutter</x:v>
      </x:c>
      <x:c r="C339" t="str">
        <x:v>VHF_60MHz_shallow</x:v>
      </x:c>
      <x:c r="D339" s="118" t="n">
        <x:v>15748.287353885475</x:v>
      </x:c>
      <x:c r="E339" s="123"/>
      <x:c r="F339" s="123" t="n">
        <x:v>-999</x:v>
      </x:c>
      <x:c r="G339" s="123" t="n">
        <x:v>6.038347015189201</x:v>
      </x:c>
      <x:c r="H339" s="118" t="n">
        <x:v>2452.009658163802</x:v>
      </x:c>
      <x:c r="I339" t="str">
        <x:v>surface clutter in shallow window</x:v>
      </x:c>
      <x:c r="J339" s="118" t="n">
        <x:v>-13296.277695721672</x:v>
      </x:c>
      <x:c r="K339" t="n">
        <x:v>0</x:v>
      </x:c>
      <x:c r="L339" s="123" t="n">
        <x:v>0.745408483912644</x:v>
      </x:c>
    </x:row>
    <x:row r="340">
      <x:c r="A340" s="118" t="n">
        <x:v>-4</x:v>
      </x:c>
      <x:c r="B340" t="str">
        <x:v>complex_with_clutter</x:v>
      </x:c>
      <x:c r="C340" t="str">
        <x:v>VHF_60MHz_shallow</x:v>
      </x:c>
      <x:c r="D340" s="118" t="n">
        <x:v>15748.287353885475</x:v>
      </x:c>
      <x:c r="E340" s="123"/>
      <x:c r="F340" s="123" t="n">
        <x:v>5.185810483371779</x:v>
      </x:c>
      <x:c r="G340" s="123" t="n">
        <x:v>8.162761194340236</x:v>
      </x:c>
      <x:c r="H340" s="118" t="n">
        <x:v>2452.009658163802</x:v>
      </x:c>
      <x:c r="I340" t="str">
        <x:v>surface clutter in shallow window</x:v>
      </x:c>
      <x:c r="J340" s="118" t="n">
        <x:v>-13296.277695721672</x:v>
      </x:c>
      <x:c r="K340" t="n">
        <x:v>11</x:v>
      </x:c>
      <x:c r="L340" s="123" t="n">
        <x:v>0.745408483912644</x:v>
      </x:c>
    </x:row>
    <x:row r="341">
      <x:c r="A341" s="118" t="n">
        <x:v>-3.5</x:v>
      </x:c>
      <x:c r="B341" t="str">
        <x:v>stacked_dirty_layers</x:v>
      </x:c>
      <x:c r="C341" t="str">
        <x:v>HF_9MHz_full_depth</x:v>
      </x:c>
      <x:c r="D341" s="118" t="n">
        <x:v>15775.781421619797</x:v>
      </x:c>
      <x:c r="E341" s="123" t="n">
        <x:v>-1.8261960126163304</x:v>
      </x:c>
      <x:c r="F341" s="123" t="n">
        <x:v>10.206467256791894</x:v>
      </x:c>
      <x:c r="G341" s="123" t="n">
        <x:v>-999</x:v>
      </x:c>
      <x:c r="H341" s="118"/>
      <x:c r="I341" t="str">
        <x:v>false layer stronger</x:v>
      </x:c>
      <x:c r="J341" s="118" t="n">
        <x:v>-3891.92682963273</x:v>
      </x:c>
      <x:c r="K341" t="n">
        <x:v>6</x:v>
      </x:c>
      <x:c r="L341" s="123" t="n">
        <x:v>0</x:v>
      </x:c>
    </x:row>
    <x:row r="342">
      <x:c r="A342" s="118" t="n">
        <x:v>-3.5</x:v>
      </x:c>
      <x:c r="B342" t="str">
        <x:v>rough_surface_clutter</x:v>
      </x:c>
      <x:c r="C342" t="str">
        <x:v>VHF_60MHz_shallow</x:v>
      </x:c>
      <x:c r="D342" s="118" t="n">
        <x:v>15775.781421619797</x:v>
      </x:c>
      <x:c r="E342" s="123"/>
      <x:c r="F342" s="123" t="n">
        <x:v>-999</x:v>
      </x:c>
      <x:c r="G342" s="123" t="n">
        <x:v>4.1346741674914504</x:v>
      </x:c>
      <x:c r="H342" s="118" t="n">
        <x:v>2421.292096447632</x:v>
      </x:c>
      <x:c r="I342" t="str">
        <x:v>surface clutter in shallow window</x:v>
      </x:c>
      <x:c r="J342" s="118" t="n">
        <x:v>-13354.489325172164</x:v>
      </x:c>
      <x:c r="K342" t="n">
        <x:v>0</x:v>
      </x:c>
      <x:c r="L342" s="123" t="n">
        <x:v>0.6275340041790373</x:v>
      </x:c>
    </x:row>
    <x:row r="343">
      <x:c r="A343" s="118" t="n">
        <x:v>-3.5</x:v>
      </x:c>
      <x:c r="B343" t="str">
        <x:v>complex_with_clutter</x:v>
      </x:c>
      <x:c r="C343" t="str">
        <x:v>VHF_60MHz_shallow</x:v>
      </x:c>
      <x:c r="D343" s="118" t="n">
        <x:v>15775.781421619797</x:v>
      </x:c>
      <x:c r="E343" s="123"/>
      <x:c r="F343" s="123" t="n">
        <x:v>5.282840399020052</x:v>
      </x:c>
      <x:c r="G343" s="123" t="n">
        <x:v>5.9231460794017075</x:v>
      </x:c>
      <x:c r="H343" s="118" t="n">
        <x:v>2421.292096447632</x:v>
      </x:c>
      <x:c r="I343" t="str">
        <x:v>surface clutter in shallow window</x:v>
      </x:c>
      <x:c r="J343" s="118" t="n">
        <x:v>-13354.489325172164</x:v>
      </x:c>
      <x:c r="K343" t="n">
        <x:v>11</x:v>
      </x:c>
      <x:c r="L343" s="123" t="n">
        <x:v>0.6275340041790373</x:v>
      </x:c>
    </x:row>
    <x:row r="344">
      <x:c r="A344" s="118" t="n">
        <x:v>-3</x:v>
      </x:c>
      <x:c r="B344" t="str">
        <x:v>stacked_dirty_layers</x:v>
      </x:c>
      <x:c r="C344" t="str">
        <x:v>HF_9MHz_full_depth</x:v>
      </x:c>
      <x:c r="D344" s="118" t="n">
        <x:v>15797.512523197016</x:v>
      </x:c>
      <x:c r="E344" s="123" t="n">
        <x:v>-1.9092578677962613</x:v>
      </x:c>
      <x:c r="F344" s="123" t="n">
        <x:v>10.1412463764587</x:v>
      </x:c>
      <x:c r="G344" s="123" t="n">
        <x:v>-999</x:v>
      </x:c>
      <x:c r="H344" s="118"/>
      <x:c r="I344" t="str">
        <x:v>false layer stronger</x:v>
      </x:c>
      <x:c r="J344" s="118" t="n">
        <x:v>-3883.014401020064</x:v>
      </x:c>
      <x:c r="K344" t="n">
        <x:v>6</x:v>
      </x:c>
      <x:c r="L344" s="123" t="n">
        <x:v>0</x:v>
      </x:c>
    </x:row>
    <x:row r="345">
      <x:c r="A345" s="118" t="n">
        <x:v>-3</x:v>
      </x:c>
      <x:c r="B345" t="str">
        <x:v>rough_surface_clutter</x:v>
      </x:c>
      <x:c r="C345" t="str">
        <x:v>VHF_60MHz_shallow</x:v>
      </x:c>
      <x:c r="D345" s="118" t="n">
        <x:v>15797.512523197016</x:v>
      </x:c>
      <x:c r="E345" s="123"/>
      <x:c r="F345" s="123" t="n">
        <x:v>-999</x:v>
      </x:c>
      <x:c r="G345" s="123" t="n">
        <x:v>5.88729480830704</x:v>
      </x:c>
      <x:c r="H345" s="118" t="n">
        <x:v>2505.882819168089</x:v>
      </x:c>
      <x:c r="I345" t="str">
        <x:v>surface clutter in shallow window</x:v>
      </x:c>
      <x:c r="J345" s="118" t="n">
        <x:v>-13291.629704028926</x:v>
      </x:c>
      <x:c r="K345" t="n">
        <x:v>0</x:v>
      </x:c>
      <x:c r="L345" s="123" t="n">
        <x:v>0.7360554060871232</x:v>
      </x:c>
    </x:row>
    <x:row r="346">
      <x:c r="A346" s="118" t="n">
        <x:v>-3</x:v>
      </x:c>
      <x:c r="B346" t="str">
        <x:v>complex_with_clutter</x:v>
      </x:c>
      <x:c r="C346" t="str">
        <x:v>VHF_60MHz_shallow</x:v>
      </x:c>
      <x:c r="D346" s="118" t="n">
        <x:v>15797.512523197016</x:v>
      </x:c>
      <x:c r="E346" s="123"/>
      <x:c r="F346" s="123" t="n">
        <x:v>5.198430944673038</x:v>
      </x:c>
      <x:c r="G346" s="123" t="n">
        <x:v>7.985052715655341</x:v>
      </x:c>
      <x:c r="H346" s="118" t="n">
        <x:v>2505.882819168089</x:v>
      </x:c>
      <x:c r="I346" t="str">
        <x:v>surface clutter in shallow window</x:v>
      </x:c>
      <x:c r="J346" s="118" t="n">
        <x:v>-13291.629704028926</x:v>
      </x:c>
      <x:c r="K346" t="n">
        <x:v>11</x:v>
      </x:c>
      <x:c r="L346" s="123" t="n">
        <x:v>0.7360554060871232</x:v>
      </x:c>
    </x:row>
    <x:row r="347">
      <x:c r="A347" s="118" t="n">
        <x:v>-2.5</x:v>
      </x:c>
      <x:c r="B347" t="str">
        <x:v>stacked_dirty_layers</x:v>
      </x:c>
      <x:c r="C347" t="str">
        <x:v>HF_9MHz_full_depth</x:v>
      </x:c>
      <x:c r="D347" s="118" t="n">
        <x:v>15820.518953735607</x:v>
      </x:c>
      <x:c r="E347" s="123" t="n">
        <x:v>-1.9650350812093826</x:v>
      </x:c>
      <x:c r="F347" s="123" t="n">
        <x:v>10.105628623033072</x:v>
      </x:c>
      <x:c r="G347" s="123" t="n">
        <x:v>-999</x:v>
      </x:c>
      <x:c r="H347" s="118"/>
      <x:c r="I347" t="str">
        <x:v>false layer stronger</x:v>
      </x:c>
      <x:c r="J347" s="118" t="n">
        <x:v>-3875.079328366155</x:v>
      </x:c>
      <x:c r="K347" t="n">
        <x:v>6</x:v>
      </x:c>
      <x:c r="L347" s="123" t="n">
        <x:v>0</x:v>
      </x:c>
    </x:row>
    <x:row r="348">
      <x:c r="A348" s="118" t="n">
        <x:v>-2.5</x:v>
      </x:c>
      <x:c r="B348" t="str">
        <x:v>rough_surface_clutter</x:v>
      </x:c>
      <x:c r="C348" t="str">
        <x:v>VHF_60MHz_shallow</x:v>
      </x:c>
      <x:c r="D348" s="118" t="n">
        <x:v>15820.518953735607</x:v>
      </x:c>
      <x:c r="E348" s="123"/>
      <x:c r="F348" s="123" t="n">
        <x:v>-999</x:v>
      </x:c>
      <x:c r="G348" s="123" t="n">
        <x:v>5.963104600354594</x:v>
      </x:c>
      <x:c r="H348" s="118" t="n">
        <x:v>2536.335909073725</x:v>
      </x:c>
      <x:c r="I348" t="str">
        <x:v>surface clutter in shallow window</x:v>
      </x:c>
      <x:c r="J348" s="118" t="n">
        <x:v>-13284.183044661882</x:v>
      </x:c>
      <x:c r="K348" t="n">
        <x:v>0</x:v>
      </x:c>
      <x:c r="L348" s="123" t="n">
        <x:v>0.7407495108578697</x:v>
      </x:c>
    </x:row>
    <x:row r="349">
      <x:c r="A349" s="118" t="n">
        <x:v>-2.5</x:v>
      </x:c>
      <x:c r="B349" t="str">
        <x:v>complex_with_clutter</x:v>
      </x:c>
      <x:c r="C349" t="str">
        <x:v>VHF_60MHz_shallow</x:v>
      </x:c>
      <x:c r="D349" s="118" t="n">
        <x:v>15820.518953735607</x:v>
      </x:c>
      <x:c r="E349" s="123"/>
      <x:c r="F349" s="123" t="n">
        <x:v>5.196749344832003</x:v>
      </x:c>
      <x:c r="G349" s="123" t="n">
        <x:v>8.074240706299523</x:v>
      </x:c>
      <x:c r="H349" s="118" t="n">
        <x:v>2536.335909073725</x:v>
      </x:c>
      <x:c r="I349" t="str">
        <x:v>surface clutter in shallow window</x:v>
      </x:c>
      <x:c r="J349" s="118" t="n">
        <x:v>-13284.183044661882</x:v>
      </x:c>
      <x:c r="K349" t="n">
        <x:v>11</x:v>
      </x:c>
      <x:c r="L349" s="123" t="n">
        <x:v>0.7407495108578697</x:v>
      </x:c>
    </x:row>
    <x:row r="350">
      <x:c r="A350" s="118" t="n">
        <x:v>-2</x:v>
      </x:c>
      <x:c r="B350" t="str">
        <x:v>stacked_dirty_layers</x:v>
      </x:c>
      <x:c r="C350" t="str">
        <x:v>HF_9MHz_full_depth</x:v>
      </x:c>
      <x:c r="D350" s="118" t="n">
        <x:v>15840.763766829245</x:v>
      </x:c>
      <x:c r="E350" s="123" t="n">
        <x:v>-2.002320293281964</x:v>
      </x:c>
      <x:c r="F350" s="123" t="n">
        <x:v>10.08819678572516</x:v>
      </x:c>
      <x:c r="G350" s="123" t="n">
        <x:v>-999</x:v>
      </x:c>
      <x:c r="H350" s="118"/>
      <x:c r="I350" t="str">
        <x:v>false layer stronger</x:v>
      </x:c>
      <x:c r="J350" s="118" t="n">
        <x:v>-3867.129599588525</x:v>
      </x:c>
      <x:c r="K350" t="n">
        <x:v>6</x:v>
      </x:c>
      <x:c r="L350" s="123" t="n">
        <x:v>0</x:v>
      </x:c>
    </x:row>
    <x:row r="351">
      <x:c r="A351" s="118" t="n">
        <x:v>-2</x:v>
      </x:c>
      <x:c r="B351" t="str">
        <x:v>rough_surface_clutter</x:v>
      </x:c>
      <x:c r="C351" t="str">
        <x:v>VHF_60MHz_shallow</x:v>
      </x:c>
      <x:c r="D351" s="118" t="n">
        <x:v>15840.763766829245</x:v>
      </x:c>
      <x:c r="E351" s="123"/>
      <x:c r="F351" s="123" t="n">
        <x:v>-999</x:v>
      </x:c>
      <x:c r="G351" s="123" t="n">
        <x:v>5.137206127659317</x:v>
      </x:c>
      <x:c r="H351" s="118" t="n">
        <x:v>2537.2320975621196</x:v>
      </x:c>
      <x:c r="I351" t="str">
        <x:v>surface clutter in shallow window</x:v>
      </x:c>
      <x:c r="J351" s="118" t="n">
        <x:v>-13303.531669267126</x:v>
      </x:c>
      <x:c r="K351" t="n">
        <x:v>0</x:v>
      </x:c>
      <x:c r="L351" s="123" t="n">
        <x:v>0.6896102865423726</x:v>
      </x:c>
    </x:row>
    <x:row r="352">
      <x:c r="A352" s="118" t="n">
        <x:v>-2</x:v>
      </x:c>
      <x:c r="B352" t="str">
        <x:v>complex_with_clutter</x:v>
      </x:c>
      <x:c r="C352" t="str">
        <x:v>VHF_60MHz_shallow</x:v>
      </x:c>
      <x:c r="D352" s="118" t="n">
        <x:v>15840.763766829245</x:v>
      </x:c>
      <x:c r="E352" s="123"/>
      <x:c r="F352" s="123" t="n">
        <x:v>5.2393902129474395</x:v>
      </x:c>
      <x:c r="G352" s="123" t="n">
        <x:v>7.102595444305079</x:v>
      </x:c>
      <x:c r="H352" s="118" t="n">
        <x:v>2537.2320975621196</x:v>
      </x:c>
      <x:c r="I352" t="str">
        <x:v>surface clutter in shallow window</x:v>
      </x:c>
      <x:c r="J352" s="118" t="n">
        <x:v>-13303.531669267126</x:v>
      </x:c>
      <x:c r="K352" t="n">
        <x:v>11</x:v>
      </x:c>
      <x:c r="L352" s="123" t="n">
        <x:v>0.6896102865423726</x:v>
      </x:c>
    </x:row>
    <x:row r="353">
      <x:c r="A353" s="118" t="n">
        <x:v>-1.5</x:v>
      </x:c>
      <x:c r="B353" t="str">
        <x:v>stacked_dirty_layers</x:v>
      </x:c>
      <x:c r="C353" t="str">
        <x:v>HF_9MHz_full_depth</x:v>
      </x:c>
      <x:c r="D353" s="118" t="n">
        <x:v>15862.974345451357</x:v>
      </x:c>
      <x:c r="E353" s="123" t="n">
        <x:v>-2.0443675283363008</x:v>
      </x:c>
      <x:c r="F353" s="123" t="n">
        <x:v>10.068772144386614</x:v>
      </x:c>
      <x:c r="G353" s="123" t="n">
        <x:v>-999</x:v>
      </x:c>
      <x:c r="H353" s="118"/>
      <x:c r="I353" t="str">
        <x:v>false layer stronger</x:v>
      </x:c>
      <x:c r="J353" s="118" t="n">
        <x:v>-3860.3798141859934</x:v>
      </x:c>
      <x:c r="K353" t="n">
        <x:v>6</x:v>
      </x:c>
      <x:c r="L353" s="123" t="n">
        <x:v>0</x:v>
      </x:c>
    </x:row>
    <x:row r="354">
      <x:c r="A354" s="118" t="n">
        <x:v>-1.5</x:v>
      </x:c>
      <x:c r="B354" t="str">
        <x:v>rough_surface_clutter</x:v>
      </x:c>
      <x:c r="C354" t="str">
        <x:v>VHF_60MHz_shallow</x:v>
      </x:c>
      <x:c r="D354" s="118" t="n">
        <x:v>15862.974345451357</x:v>
      </x:c>
      <x:c r="E354" s="123"/>
      <x:c r="F354" s="123" t="n">
        <x:v>-999</x:v>
      </x:c>
      <x:c r="G354" s="123" t="n">
        <x:v>4.399776806447601</x:v>
      </x:c>
      <x:c r="H354" s="118" t="n">
        <x:v>2539.9852146927615</x:v>
      </x:c>
      <x:c r="I354" t="str">
        <x:v>surface clutter in shallow window</x:v>
      </x:c>
      <x:c r="J354" s="118" t="n">
        <x:v>-13322.989130758597</x:v>
      </x:c>
      <x:c r="K354" t="n">
        <x:v>0</x:v>
      </x:c>
      <x:c r="L354" s="123" t="n">
        <x:v>0.6439490282630094</x:v>
      </x:c>
    </x:row>
    <x:row r="355">
      <x:c r="A355" s="118" t="n">
        <x:v>-1.5</x:v>
      </x:c>
      <x:c r="B355" t="str">
        <x:v>complex_with_clutter</x:v>
      </x:c>
      <x:c r="C355" t="str">
        <x:v>VHF_60MHz_shallow</x:v>
      </x:c>
      <x:c r="D355" s="118" t="n">
        <x:v>15862.974345451357</x:v>
      </x:c>
      <x:c r="E355" s="123"/>
      <x:c r="F355" s="123" t="n">
        <x:v>5.277295461422994</x:v>
      </x:c>
      <x:c r="G355" s="123" t="n">
        <x:v>6.2350315369971785</x:v>
      </x:c>
      <x:c r="H355" s="118" t="n">
        <x:v>2539.9852146927615</x:v>
      </x:c>
      <x:c r="I355" t="str">
        <x:v>surface clutter in shallow window</x:v>
      </x:c>
      <x:c r="J355" s="118" t="n">
        <x:v>-13322.989130758597</x:v>
      </x:c>
      <x:c r="K355" t="n">
        <x:v>11</x:v>
      </x:c>
      <x:c r="L355" s="123" t="n">
        <x:v>0.6439490282630094</x:v>
      </x:c>
    </x:row>
    <x:row r="356">
      <x:c r="A356" s="118" t="n">
        <x:v>-1</x:v>
      </x:c>
      <x:c r="B356" t="str">
        <x:v>stacked_dirty_layers</x:v>
      </x:c>
      <x:c r="C356" t="str">
        <x:v>HF_9MHz_full_depth</x:v>
      </x:c>
      <x:c r="D356" s="118" t="n">
        <x:v>15882.259787427232</x:v>
      </x:c>
      <x:c r="E356" s="123" t="n">
        <x:v>-2.207303906245704</x:v>
      </x:c>
      <x:c r="F356" s="123" t="n">
        <x:v>9.928195132907462</x:v>
      </x:c>
      <x:c r="G356" s="123" t="n">
        <x:v>-999</x:v>
      </x:c>
      <x:c r="H356" s="118"/>
      <x:c r="I356" t="str">
        <x:v>false layer stronger</x:v>
      </x:c>
      <x:c r="J356" s="118" t="n">
        <x:v>-3853.627324890065</x:v>
      </x:c>
      <x:c r="K356" t="n">
        <x:v>6</x:v>
      </x:c>
      <x:c r="L356" s="123" t="n">
        <x:v>0</x:v>
      </x:c>
    </x:row>
    <x:row r="357">
      <x:c r="A357" s="118" t="n">
        <x:v>-1</x:v>
      </x:c>
      <x:c r="B357" t="str">
        <x:v>rough_surface_clutter</x:v>
      </x:c>
      <x:c r="C357" t="str">
        <x:v>VHF_60MHz_shallow</x:v>
      </x:c>
      <x:c r="D357" s="118" t="n">
        <x:v>15882.259787427232</x:v>
      </x:c>
      <x:c r="E357" s="123"/>
      <x:c r="F357" s="123" t="n">
        <x:v>-999</x:v>
      </x:c>
      <x:c r="G357" s="123" t="n">
        <x:v>10.149999999999999</x:v>
      </x:c>
      <x:c r="H357" s="118" t="n">
        <x:v>2747.8259390963462</x:v>
      </x:c>
      <x:c r="I357" t="str">
        <x:v>surface clutter in shallow window</x:v>
      </x:c>
      <x:c r="J357" s="118" t="n">
        <x:v>-13134.433848330886</x:v>
      </x:c>
      <x:c r="K357" t="n">
        <x:v>0</x:v>
      </x:c>
      <x:c r="L357" s="123" t="n">
        <x:v>1</x:v>
      </x:c>
    </x:row>
    <x:row r="358">
      <x:c r="A358" s="118" t="n">
        <x:v>-1</x:v>
      </x:c>
      <x:c r="B358" t="str">
        <x:v>complex_with_clutter</x:v>
      </x:c>
      <x:c r="C358" t="str">
        <x:v>VHF_60MHz_shallow</x:v>
      </x:c>
      <x:c r="D358" s="118" t="n">
        <x:v>15882.259787427232</x:v>
      </x:c>
      <x:c r="E358" s="123"/>
      <x:c r="F358" s="123" t="n">
        <x:v>4.968602335300912</x:v>
      </x:c>
      <x:c r="G358" s="123" t="n">
        <x:v>13</x:v>
      </x:c>
      <x:c r="H358" s="118" t="n">
        <x:v>2747.8259390963462</x:v>
      </x:c>
      <x:c r="I358" t="str">
        <x:v>surface clutter in shallow window</x:v>
      </x:c>
      <x:c r="J358" s="118" t="n">
        <x:v>-13134.433848330886</x:v>
      </x:c>
      <x:c r="K358" t="n">
        <x:v>11</x:v>
      </x:c>
      <x:c r="L358" s="123" t="n">
        <x:v>1</x:v>
      </x:c>
    </x:row>
    <x:row r="359">
      <x:c r="A359" s="118" t="n">
        <x:v>-0.5</x:v>
      </x:c>
      <x:c r="B359" t="str">
        <x:v>stacked_dirty_layers</x:v>
      </x:c>
      <x:c r="C359" t="str">
        <x:v>HF_9MHz_full_depth</x:v>
      </x:c>
      <x:c r="D359" s="118" t="n">
        <x:v>15897.379848026414</x:v>
      </x:c>
      <x:c r="E359" s="123" t="n">
        <x:v>-2.2461975705506605</x:v>
      </x:c>
      <x:c r="F359" s="123" t="n">
        <x:v>9.910552085340612</x:v>
      </x:c>
      <x:c r="G359" s="123" t="n">
        <x:v>-999</x:v>
      </x:c>
      <x:c r="H359" s="118"/>
      <x:c r="I359" t="str">
        <x:v>false layer stronger</x:v>
      </x:c>
      <x:c r="J359" s="118" t="n">
        <x:v>-3846.591280198745</x:v>
      </x:c>
      <x:c r="K359" t="n">
        <x:v>6</x:v>
      </x:c>
      <x:c r="L359" s="123" t="n">
        <x:v>0</x:v>
      </x:c>
    </x:row>
    <x:row r="360">
      <x:c r="A360" s="118" t="n">
        <x:v>-0.5</x:v>
      </x:c>
      <x:c r="B360" t="str">
        <x:v>rough_surface_clutter</x:v>
      </x:c>
      <x:c r="C360" t="str">
        <x:v>VHF_60MHz_shallow</x:v>
      </x:c>
      <x:c r="D360" s="118" t="n">
        <x:v>15897.379848026414</x:v>
      </x:c>
      <x:c r="E360" s="123"/>
      <x:c r="F360" s="123" t="n">
        <x:v>-999</x:v>
      </x:c>
      <x:c r="G360" s="123" t="n">
        <x:v>10.135441290799491</x:v>
      </x:c>
      <x:c r="H360" s="118" t="n">
        <x:v>2771.523215630261</x:v>
      </x:c>
      <x:c r="I360" t="str">
        <x:v>surface clutter in shallow window</x:v>
      </x:c>
      <x:c r="J360" s="118" t="n">
        <x:v>-13125.856632396153</x:v>
      </x:c>
      <x:c r="K360" t="n">
        <x:v>0</x:v>
      </x:c>
      <x:c r="L360" s="123" t="n">
        <x:v>0.999098531938049</x:v>
      </x:c>
    </x:row>
    <x:row r="361">
      <x:c r="A361" s="118" t="n">
        <x:v>-0.5</x:v>
      </x:c>
      <x:c r="B361" t="str">
        <x:v>complex_with_clutter</x:v>
      </x:c>
      <x:c r="C361" t="str">
        <x:v>VHF_60MHz_shallow</x:v>
      </x:c>
      <x:c r="D361" s="118" t="n">
        <x:v>15897.379848026414</x:v>
      </x:c>
      <x:c r="E361" s="123"/>
      <x:c r="F361" s="123" t="n">
        <x:v>4.994838490659889</x:v>
      </x:c>
      <x:c r="G361" s="123" t="n">
        <x:v>12.982872106822931</x:v>
      </x:c>
      <x:c r="H361" s="118" t="n">
        <x:v>2771.523215630261</x:v>
      </x:c>
      <x:c r="I361" t="str">
        <x:v>surface clutter in shallow window</x:v>
      </x:c>
      <x:c r="J361" s="118" t="n">
        <x:v>-13125.856632396153</x:v>
      </x:c>
      <x:c r="K361" t="n">
        <x:v>11</x:v>
      </x:c>
      <x:c r="L361" s="123" t="n">
        <x:v>0.999098531938049</x:v>
      </x:c>
    </x:row>
    <x:row r="362">
      <x:c r="A362" s="118" t="n">
        <x:v>0</x:v>
      </x:c>
      <x:c r="B362" t="str">
        <x:v>stacked_dirty_layers</x:v>
      </x:c>
      <x:c r="C362" t="str">
        <x:v>HF_9MHz_full_depth</x:v>
      </x:c>
      <x:c r="D362" s="118" t="n">
        <x:v>15915.349780721906</x:v>
      </x:c>
      <x:c r="E362" s="123" t="n">
        <x:v>-2.211100580942924</x:v>
      </x:c>
      <x:c r="F362" s="123" t="n">
        <x:v>9.970422078602391</x:v>
      </x:c>
      <x:c r="G362" s="123" t="n">
        <x:v>-999</x:v>
      </x:c>
      <x:c r="H362" s="118"/>
      <x:c r="I362" t="str">
        <x:v>false layer stronger</x:v>
      </x:c>
      <x:c r="J362" s="118" t="n">
        <x:v>-3841.0423999292034</x:v>
      </x:c>
      <x:c r="K362" t="n">
        <x:v>6</x:v>
      </x:c>
      <x:c r="L362" s="123" t="n">
        <x:v>0</x:v>
      </x:c>
    </x:row>
    <x:row r="363">
      <x:c r="A363" s="118" t="n">
        <x:v>0</x:v>
      </x:c>
      <x:c r="B363" t="str">
        <x:v>rough_surface_clutter</x:v>
      </x:c>
      <x:c r="C363" t="str">
        <x:v>VHF_60MHz_shallow</x:v>
      </x:c>
      <x:c r="D363" s="118" t="n">
        <x:v>15915.349780721906</x:v>
      </x:c>
      <x:c r="E363" s="123"/>
      <x:c r="F363" s="123" t="n">
        <x:v>-999</x:v>
      </x:c>
      <x:c r="G363" s="123" t="n">
        <x:v>5.198190718755562</x:v>
      </x:c>
      <x:c r="H363" s="118" t="n">
        <x:v>2637.7911781586895</x:v>
      </x:c>
      <x:c r="I363" t="str">
        <x:v>surface clutter in shallow window</x:v>
      </x:c>
      <x:c r="J363" s="118" t="n">
        <x:v>-13277.558602563216</x:v>
      </x:c>
      <x:c r="K363" t="n">
        <x:v>0</x:v>
      </x:c>
      <x:c r="L363" s="123" t="n">
        <x:v>0.6933864222139667</x:v>
      </x:c>
    </x:row>
    <x:row r="364">
      <x:c r="A364" s="118" t="n">
        <x:v>0</x:v>
      </x:c>
      <x:c r="B364" t="str">
        <x:v>complex_with_clutter</x:v>
      </x:c>
      <x:c r="C364" t="str">
        <x:v>VHF_60MHz_shallow</x:v>
      </x:c>
      <x:c r="D364" s="118" t="n">
        <x:v>15915.349780721906</x:v>
      </x:c>
      <x:c r="E364" s="123"/>
      <x:c r="F364" s="123" t="n">
        <x:v>5.2396826889668775</x:v>
      </x:c>
      <x:c r="G364" s="123" t="n">
        <x:v>7.1743420220653675</x:v>
      </x:c>
      <x:c r="H364" s="118" t="n">
        <x:v>2637.7911781586895</x:v>
      </x:c>
      <x:c r="I364" t="str">
        <x:v>surface clutter in shallow window</x:v>
      </x:c>
      <x:c r="J364" s="118" t="n">
        <x:v>-13277.558602563216</x:v>
      </x:c>
      <x:c r="K364" t="n">
        <x:v>10</x:v>
      </x:c>
      <x:c r="L364" s="123" t="n">
        <x:v>0.6933864222139667</x:v>
      </x:c>
    </x:row>
    <x:row r="365">
      <x:c r="A365" s="118" t="n">
        <x:v>0.5</x:v>
      </x:c>
      <x:c r="B365" t="str">
        <x:v>stacked_dirty_layers</x:v>
      </x:c>
      <x:c r="C365" t="str">
        <x:v>HF_9MHz_full_depth</x:v>
      </x:c>
      <x:c r="D365" s="118" t="n">
        <x:v>15932.899548678191</x:v>
      </x:c>
      <x:c r="E365" s="123" t="n">
        <x:v>-2.289360687400827</x:v>
      </x:c>
      <x:c r="F365" s="123" t="n">
        <x:v>9.918328771156256</x:v>
      </x:c>
      <x:c r="G365" s="123" t="n">
        <x:v>-999</x:v>
      </x:c>
      <x:c r="H365" s="118"/>
      <x:c r="I365" t="str">
        <x:v>false layer stronger</x:v>
      </x:c>
      <x:c r="J365" s="118" t="n">
        <x:v>-3836.1839714366233</x:v>
      </x:c>
      <x:c r="K365" t="n">
        <x:v>6</x:v>
      </x:c>
      <x:c r="L365" s="123" t="n">
        <x:v>0</x:v>
      </x:c>
    </x:row>
    <x:row r="366">
      <x:c r="A366" s="118" t="n">
        <x:v>0.5</x:v>
      </x:c>
      <x:c r="B366" t="str">
        <x:v>rough_surface_clutter</x:v>
      </x:c>
      <x:c r="C366" t="str">
        <x:v>VHF_60MHz_shallow</x:v>
      </x:c>
      <x:c r="D366" s="118" t="n">
        <x:v>15932.899548678191</x:v>
      </x:c>
      <x:c r="E366" s="123"/>
      <x:c r="F366" s="123" t="n">
        <x:v>-999</x:v>
      </x:c>
      <x:c r="G366" s="123" t="n">
        <x:v>6.656249212020223</x:v>
      </x:c>
      <x:c r="H366" s="118" t="n">
        <x:v>2706.1097092843997</x:v>
      </x:c>
      <x:c r="I366" t="str">
        <x:v>surface clutter in shallow window</x:v>
      </x:c>
      <x:c r="J366" s="118" t="n">
        <x:v>-13226.789839393792</x:v>
      </x:c>
      <x:c r="K366" t="n">
        <x:v>0</x:v>
      </x:c>
      <x:c r="L366" s="123" t="n">
        <x:v>0.7836686818588374</x:v>
      </x:c>
    </x:row>
    <x:row r="367">
      <x:c r="A367" s="118" t="n">
        <x:v>0.5</x:v>
      </x:c>
      <x:c r="B367" t="str">
        <x:v>complex_with_clutter</x:v>
      </x:c>
      <x:c r="C367" t="str">
        <x:v>VHF_60MHz_shallow</x:v>
      </x:c>
      <x:c r="D367" s="118" t="n">
        <x:v>15932.899548678191</x:v>
      </x:c>
      <x:c r="E367" s="123"/>
      <x:c r="F367" s="123" t="n">
        <x:v>5.1673544585843425</x:v>
      </x:c>
      <x:c r="G367" s="123" t="n">
        <x:v>8.88970495531791</x:v>
      </x:c>
      <x:c r="H367" s="118" t="n">
        <x:v>2706.1097092843997</x:v>
      </x:c>
      <x:c r="I367" t="str">
        <x:v>surface clutter in shallow window</x:v>
      </x:c>
      <x:c r="J367" s="118" t="n">
        <x:v>-13226.789839393792</x:v>
      </x:c>
      <x:c r="K367" t="n">
        <x:v>10</x:v>
      </x:c>
      <x:c r="L367" s="123" t="n">
        <x:v>0.7836686818588374</x:v>
      </x:c>
    </x:row>
    <x:row r="368">
      <x:c r="A368" s="118" t="n">
        <x:v>1</x:v>
      </x:c>
      <x:c r="B368" t="str">
        <x:v>stacked_dirty_layers</x:v>
      </x:c>
      <x:c r="C368" t="str">
        <x:v>HF_9MHz_full_depth</x:v>
      </x:c>
      <x:c r="D368" s="118" t="n">
        <x:v>15947.69149082374</x:v>
      </x:c>
      <x:c r="E368" s="123" t="n">
        <x:v>-2.3887613948214637</x:v>
      </x:c>
      <x:c r="F368" s="123" t="n">
        <x:v>9.844975869047175</x:v>
      </x:c>
      <x:c r="G368" s="123" t="n">
        <x:v>-999</x:v>
      </x:c>
      <x:c r="H368" s="118"/>
      <x:c r="I368" t="str">
        <x:v>false layer stronger</x:v>
      </x:c>
      <x:c r="J368" s="118" t="n">
        <x:v>-3831.456347226682</x:v>
      </x:c>
      <x:c r="K368" t="n">
        <x:v>6</x:v>
      </x:c>
      <x:c r="L368" s="123" t="n">
        <x:v>0</x:v>
      </x:c>
    </x:row>
    <x:row r="369">
      <x:c r="A369" s="118" t="n">
        <x:v>1</x:v>
      </x:c>
      <x:c r="B369" t="str">
        <x:v>rough_surface_clutter</x:v>
      </x:c>
      <x:c r="C369" t="str">
        <x:v>VHF_60MHz_shallow</x:v>
      </x:c>
      <x:c r="D369" s="118" t="n">
        <x:v>15947.69149082374</x:v>
      </x:c>
      <x:c r="E369" s="123"/>
      <x:c r="F369" s="123" t="n">
        <x:v>-999</x:v>
      </x:c>
      <x:c r="G369" s="123" t="n">
        <x:v>9.459297181903807</x:v>
      </x:c>
      <x:c r="H369" s="118" t="n">
        <x:v>2816.025372526746</x:v>
      </x:c>
      <x:c r="I369" t="str">
        <x:v>surface clutter in shallow window</x:v>
      </x:c>
      <x:c r="J369" s="118" t="n">
        <x:v>-13131.666118296993</x:v>
      </x:c>
      <x:c r="K369" t="n">
        <x:v>0</x:v>
      </x:c>
      <x:c r="L369" s="123" t="n">
        <x:v>0.9572320236472946</x:v>
      </x:c>
    </x:row>
    <x:row r="370">
      <x:c r="A370" s="118" t="n">
        <x:v>1</x:v>
      </x:c>
      <x:c r="B370" t="str">
        <x:v>complex_with_clutter</x:v>
      </x:c>
      <x:c r="C370" t="str">
        <x:v>VHF_60MHz_shallow</x:v>
      </x:c>
      <x:c r="D370" s="118" t="n">
        <x:v>15947.69149082374</x:v>
      </x:c>
      <x:c r="E370" s="123"/>
      <x:c r="F370" s="123" t="n">
        <x:v>5.028021820248417</x:v>
      </x:c>
      <x:c r="G370" s="123" t="n">
        <x:v>12.187408449298598</x:v>
      </x:c>
      <x:c r="H370" s="118" t="n">
        <x:v>2816.025372526746</x:v>
      </x:c>
      <x:c r="I370" t="str">
        <x:v>surface clutter in shallow window</x:v>
      </x:c>
      <x:c r="J370" s="118" t="n">
        <x:v>-13131.666118296993</x:v>
      </x:c>
      <x:c r="K370" t="n">
        <x:v>10</x:v>
      </x:c>
      <x:c r="L370" s="123" t="n">
        <x:v>0.9572320236472946</x:v>
      </x:c>
    </x:row>
    <x:row r="371">
      <x:c r="A371" s="118" t="n">
        <x:v>1.5</x:v>
      </x:c>
      <x:c r="B371" t="str">
        <x:v>stacked_dirty_layers</x:v>
      </x:c>
      <x:c r="C371" t="str">
        <x:v>HF_9MHz_full_depth</x:v>
      </x:c>
      <x:c r="D371" s="118" t="n">
        <x:v>15960.826835798127</x:v>
      </x:c>
      <x:c r="E371" s="123" t="n">
        <x:v>-2.44607915739153</x:v>
      </x:c>
      <x:c r="F371" s="123" t="n">
        <x:v>9.814320527959234</x:v>
      </x:c>
      <x:c r="G371" s="123" t="n">
        <x:v>-999</x:v>
      </x:c>
      <x:c r="H371" s="118"/>
      <x:c r="I371" t="str">
        <x:v>false layer stronger</x:v>
      </x:c>
      <x:c r="J371" s="118" t="n">
        <x:v>-3827.1516076157895</x:v>
      </x:c>
      <x:c r="K371" t="n">
        <x:v>6</x:v>
      </x:c>
      <x:c r="L371" s="123" t="n">
        <x:v>0</x:v>
      </x:c>
    </x:row>
    <x:row r="372">
      <x:c r="A372" s="118" t="n">
        <x:v>1.5</x:v>
      </x:c>
      <x:c r="B372" t="str">
        <x:v>rough_surface_clutter</x:v>
      </x:c>
      <x:c r="C372" t="str">
        <x:v>VHF_60MHz_shallow</x:v>
      </x:c>
      <x:c r="D372" s="118" t="n">
        <x:v>15960.826835798127</x:v>
      </x:c>
      <x:c r="E372" s="123"/>
      <x:c r="F372" s="123" t="n">
        <x:v>-999</x:v>
      </x:c>
      <x:c r="G372" s="123" t="n">
        <x:v>9.959594103585882</x:v>
      </x:c>
      <x:c r="H372" s="118" t="n">
        <x:v>2851.6388559200705</x:v>
      </x:c>
      <x:c r="I372" t="str">
        <x:v>surface clutter in shallow window</x:v>
      </x:c>
      <x:c r="J372" s="118" t="n">
        <x:v>-13109.187979878057</x:v>
      </x:c>
      <x:c r="K372" t="n">
        <x:v>0</x:v>
      </x:c>
      <x:c r="L372" s="123" t="n">
        <x:v>0.9882101612127481</x:v>
      </x:c>
    </x:row>
    <x:row r="373">
      <x:c r="A373" s="118" t="n">
        <x:v>1.5</x:v>
      </x:c>
      <x:c r="B373" t="str">
        <x:v>complex_with_clutter</x:v>
      </x:c>
      <x:c r="C373" t="str">
        <x:v>VHF_60MHz_shallow</x:v>
      </x:c>
      <x:c r="D373" s="118" t="n">
        <x:v>15960.826835798127</x:v>
      </x:c>
      <x:c r="E373" s="123"/>
      <x:c r="F373" s="123" t="n">
        <x:v>5.002376572740198</x:v>
      </x:c>
      <x:c r="G373" s="123" t="n">
        <x:v>12.775993063042215</x:v>
      </x:c>
      <x:c r="H373" s="118" t="n">
        <x:v>2851.6388559200705</x:v>
      </x:c>
      <x:c r="I373" t="str">
        <x:v>surface clutter in shallow window</x:v>
      </x:c>
      <x:c r="J373" s="118" t="n">
        <x:v>-13109.187979878057</x:v>
      </x:c>
      <x:c r="K373" t="n">
        <x:v>10</x:v>
      </x:c>
      <x:c r="L373" s="123" t="n">
        <x:v>0.9882101612127481</x:v>
      </x:c>
    </x:row>
    <x:row r="374">
      <x:c r="A374" s="118" t="n">
        <x:v>2</x:v>
      </x:c>
      <x:c r="B374" t="str">
        <x:v>stacked_dirty_layers</x:v>
      </x:c>
      <x:c r="C374" t="str">
        <x:v>HF_9MHz_full_depth</x:v>
      </x:c>
      <x:c r="D374" s="118" t="n">
        <x:v>15973.127659706997</x:v>
      </x:c>
      <x:c r="E374" s="123" t="n">
        <x:v>-2.483237509272644</x:v>
      </x:c>
      <x:c r="F374" s="123" t="n">
        <x:v>9.804981691325244</x:v>
      </x:c>
      <x:c r="G374" s="123" t="n">
        <x:v>-999</x:v>
      </x:c>
      <x:c r="H374" s="118"/>
      <x:c r="I374" t="str">
        <x:v>false layer stronger</x:v>
      </x:c>
      <x:c r="J374" s="118" t="n">
        <x:v>-3823.4890001387594</x:v>
      </x:c>
      <x:c r="K374" t="n">
        <x:v>6</x:v>
      </x:c>
      <x:c r="L374" s="123" t="n">
        <x:v>0</x:v>
      </x:c>
    </x:row>
    <x:row r="375">
      <x:c r="A375" s="118" t="n">
        <x:v>2</x:v>
      </x:c>
      <x:c r="B375" t="str">
        <x:v>rough_surface_clutter</x:v>
      </x:c>
      <x:c r="C375" t="str">
        <x:v>VHF_60MHz_shallow</x:v>
      </x:c>
      <x:c r="D375" s="118" t="n">
        <x:v>15973.127659706997</x:v>
      </x:c>
      <x:c r="E375" s="123"/>
      <x:c r="F375" s="123" t="n">
        <x:v>-999</x:v>
      </x:c>
      <x:c r="G375" s="123" t="n">
        <x:v>9.341685899289367</x:v>
      </x:c>
      <x:c r="H375" s="118" t="n">
        <x:v>2850.548661144334</x:v>
      </x:c>
      <x:c r="I375" t="str">
        <x:v>surface clutter in shallow window</x:v>
      </x:c>
      <x:c r="J375" s="118" t="n">
        <x:v>-13122.578998562663</x:v>
      </x:c>
      <x:c r="K375" t="n">
        <x:v>0</x:v>
      </x:c>
      <x:c r="L375" s="123" t="n">
        <x:v>0.9499495912872672</x:v>
      </x:c>
    </x:row>
    <x:row r="376">
      <x:c r="A376" s="118" t="n">
        <x:v>2</x:v>
      </x:c>
      <x:c r="B376" t="str">
        <x:v>complex_with_clutter</x:v>
      </x:c>
      <x:c r="C376" t="str">
        <x:v>VHF_60MHz_shallow</x:v>
      </x:c>
      <x:c r="D376" s="118" t="n">
        <x:v>15973.127659706997</x:v>
      </x:c>
      <x:c r="E376" s="123"/>
      <x:c r="F376" s="123" t="n">
        <x:v>5.031741683847988</x:v>
      </x:c>
      <x:c r="G376" s="123" t="n">
        <x:v>12.049042234458078</x:v>
      </x:c>
      <x:c r="H376" s="118" t="n">
        <x:v>2850.548661144334</x:v>
      </x:c>
      <x:c r="I376" t="str">
        <x:v>surface clutter in shallow window</x:v>
      </x:c>
      <x:c r="J376" s="118" t="n">
        <x:v>-13122.578998562663</x:v>
      </x:c>
      <x:c r="K376" t="n">
        <x:v>10</x:v>
      </x:c>
      <x:c r="L376" s="123" t="n">
        <x:v>0.9499495912872672</x:v>
      </x:c>
    </x:row>
    <x:row r="377">
      <x:c r="A377" s="118" t="n">
        <x:v>2.5</x:v>
      </x:c>
      <x:c r="B377" t="str">
        <x:v>stacked_dirty_layers</x:v>
      </x:c>
      <x:c r="C377" t="str">
        <x:v>HF_9MHz_full_depth</x:v>
      </x:c>
      <x:c r="D377" s="118" t="n">
        <x:v>15984.674832252715</x:v>
      </x:c>
      <x:c r="E377" s="123" t="n">
        <x:v>-2.444120821710109</x:v>
      </x:c>
      <x:c r="F377" s="123" t="n">
        <x:v>9.873126688069554</x:v>
      </x:c>
      <x:c r="G377" s="123" t="n">
        <x:v>-999</x:v>
      </x:c>
      <x:c r="H377" s="118"/>
      <x:c r="I377" t="str">
        <x:v>false layer stronger</x:v>
      </x:c>
      <x:c r="J377" s="118" t="n">
        <x:v>-3820.5023298900433</x:v>
      </x:c>
      <x:c r="K377" t="n">
        <x:v>6</x:v>
      </x:c>
      <x:c r="L377" s="123" t="n">
        <x:v>0</x:v>
      </x:c>
    </x:row>
    <x:row r="378">
      <x:c r="A378" s="118" t="n">
        <x:v>2.5</x:v>
      </x:c>
      <x:c r="B378" t="str">
        <x:v>rough_surface_clutter</x:v>
      </x:c>
      <x:c r="C378" t="str">
        <x:v>VHF_60MHz_shallow</x:v>
      </x:c>
      <x:c r="D378" s="118" t="n">
        <x:v>15984.674832252715</x:v>
      </x:c>
      <x:c r="E378" s="123"/>
      <x:c r="F378" s="123" t="n">
        <x:v>-999</x:v>
      </x:c>
      <x:c r="G378" s="123" t="n">
        <x:v>4.4300640563529115</x:v>
      </x:c>
      <x:c r="H378" s="118" t="n">
        <x:v>2711.859139509849</x:v>
      </x:c>
      <x:c r="I378" t="str">
        <x:v>surface clutter in shallow window</x:v>
      </x:c>
      <x:c r="J378" s="118" t="n">
        <x:v>-13272.815692742866</x:v>
      </x:c>
      <x:c r="K378" t="n">
        <x:v>0</x:v>
      </x:c>
      <x:c r="L378" s="123" t="n">
        <x:v>0.6458243997741742</x:v>
      </x:c>
    </x:row>
    <x:row r="379">
      <x:c r="A379" s="118" t="n">
        <x:v>2.5</x:v>
      </x:c>
      <x:c r="B379" t="str">
        <x:v>complex_with_clutter</x:v>
      </x:c>
      <x:c r="C379" t="str">
        <x:v>VHF_60MHz_shallow</x:v>
      </x:c>
      <x:c r="D379" s="118" t="n">
        <x:v>15984.674832252715</x:v>
      </x:c>
      <x:c r="E379" s="123"/>
      <x:c r="F379" s="123" t="n">
        <x:v>5.273419456307337</x:v>
      </x:c>
      <x:c r="G379" s="123" t="n">
        <x:v>6.270663595709308</x:v>
      </x:c>
      <x:c r="H379" s="118" t="n">
        <x:v>2711.859139509849</x:v>
      </x:c>
      <x:c r="I379" t="str">
        <x:v>surface clutter in shallow window</x:v>
      </x:c>
      <x:c r="J379" s="118" t="n">
        <x:v>-13272.815692742866</x:v>
      </x:c>
      <x:c r="K379" t="n">
        <x:v>10</x:v>
      </x:c>
      <x:c r="L379" s="123" t="n">
        <x:v>0.6458243997741742</x:v>
      </x:c>
    </x:row>
    <x:row r="380">
      <x:c r="A380" s="118" t="n">
        <x:v>3</x:v>
      </x:c>
      <x:c r="B380" t="str">
        <x:v>stacked_dirty_layers</x:v>
      </x:c>
      <x:c r="C380" t="str">
        <x:v>HF_9MHz_full_depth</x:v>
      </x:c>
      <x:c r="D380" s="118" t="n">
        <x:v>15999.039471084727</x:v>
      </x:c>
      <x:c r="E380" s="123" t="n">
        <x:v>-2.527363666223174</x:v>
      </x:c>
      <x:c r="F380" s="123" t="n">
        <x:v>9.822439764904326</x:v>
      </x:c>
      <x:c r="G380" s="123" t="n">
        <x:v>-999</x:v>
      </x:c>
      <x:c r="H380" s="118"/>
      <x:c r="I380" t="str">
        <x:v>false layer stronger</x:v>
      </x:c>
      <x:c r="J380" s="118" t="n">
        <x:v>-3819.0812258638816</x:v>
      </x:c>
      <x:c r="K380" t="n">
        <x:v>6</x:v>
      </x:c>
      <x:c r="L380" s="123" t="n">
        <x:v>0</x:v>
      </x:c>
    </x:row>
    <x:row r="381">
      <x:c r="A381" s="118" t="n">
        <x:v>3</x:v>
      </x:c>
      <x:c r="B381" t="str">
        <x:v>rough_surface_clutter</x:v>
      </x:c>
      <x:c r="C381" t="str">
        <x:v>VHF_60MHz_shallow</x:v>
      </x:c>
      <x:c r="D381" s="118" t="n">
        <x:v>15999.039471084727</x:v>
      </x:c>
      <x:c r="E381" s="123"/>
      <x:c r="F381" s="123" t="n">
        <x:v>-999</x:v>
      </x:c>
      <x:c r="G381" s="123" t="n">
        <x:v>6.209194540636597</x:v>
      </x:c>
      <x:c r="H381" s="118" t="n">
        <x:v>2784.46380136372</x:v>
      </x:c>
      <x:c r="I381" t="str">
        <x:v>surface clutter in shallow window</x:v>
      </x:c>
      <x:c r="J381" s="118" t="n">
        <x:v>-13214.575669721007</x:v>
      </x:c>
      <x:c r="K381" t="n">
        <x:v>0</x:v>
      </x:c>
      <x:c r="L381" s="123" t="n">
        <x:v>0.7559872780579936</x:v>
      </x:c>
    </x:row>
    <x:row r="382">
      <x:c r="A382" s="118" t="n">
        <x:v>3</x:v>
      </x:c>
      <x:c r="B382" t="str">
        <x:v>complex_with_clutter</x:v>
      </x:c>
      <x:c r="C382" t="str">
        <x:v>VHF_60MHz_shallow</x:v>
      </x:c>
      <x:c r="D382" s="118" t="n">
        <x:v>15999.039471084727</x:v>
      </x:c>
      <x:c r="E382" s="123"/>
      <x:c r="F382" s="123" t="n">
        <x:v>5.183290719519442</x:v>
      </x:c>
      <x:c r="G382" s="123" t="n">
        <x:v>8.363758283101879</x:v>
      </x:c>
      <x:c r="H382" s="118" t="n">
        <x:v>2784.46380136372</x:v>
      </x:c>
      <x:c r="I382" t="str">
        <x:v>surface clutter in shallow window</x:v>
      </x:c>
      <x:c r="J382" s="118" t="n">
        <x:v>-13214.575669721007</x:v>
      </x:c>
      <x:c r="K382" t="n">
        <x:v>10</x:v>
      </x:c>
      <x:c r="L382" s="123" t="n">
        <x:v>0.7559872780579936</x:v>
      </x:c>
    </x:row>
    <x:row r="383">
      <x:c r="A383" s="118" t="n">
        <x:v>3.5</x:v>
      </x:c>
      <x:c r="B383" t="str">
        <x:v>stacked_dirty_layers</x:v>
      </x:c>
      <x:c r="C383" t="str">
        <x:v>HF_9MHz_full_depth</x:v>
      </x:c>
      <x:c r="D383" s="118" t="n">
        <x:v>16006.80700146983</x:v>
      </x:c>
      <x:c r="E383" s="123" t="n">
        <x:v>-2.6050993732432794</x:v>
      </x:c>
      <x:c r="F383" s="123" t="n">
        <x:v>9.774537470259482</x:v>
      </x:c>
      <x:c r="G383" s="123" t="n">
        <x:v>-999</x:v>
      </x:c>
      <x:c r="H383" s="118"/>
      <x:c r="I383" t="str">
        <x:v>false layer stronger</x:v>
      </x:c>
      <x:c r="J383" s="118" t="n">
        <x:v>-3816.9226534937206</x:v>
      </x:c>
      <x:c r="K383" t="n">
        <x:v>6</x:v>
      </x:c>
      <x:c r="L383" s="123" t="n">
        <x:v>0</x:v>
      </x:c>
    </x:row>
    <x:row r="384">
      <x:c r="A384" s="118" t="n">
        <x:v>3.5</x:v>
      </x:c>
      <x:c r="B384" t="str">
        <x:v>rough_surface_clutter</x:v>
      </x:c>
      <x:c r="C384" t="str">
        <x:v>VHF_60MHz_shallow</x:v>
      </x:c>
      <x:c r="D384" s="118" t="n">
        <x:v>16006.80700146983</x:v>
      </x:c>
      <x:c r="E384" s="123"/>
      <x:c r="F384" s="123" t="n">
        <x:v>-999</x:v>
      </x:c>
      <x:c r="G384" s="123" t="n">
        <x:v>8.106895849923756</x:v>
      </x:c>
      <x:c r="H384" s="118" t="n">
        <x:v>2859.576183929261</x:v>
      </x:c>
      <x:c r="I384" t="str">
        <x:v>surface clutter in shallow window</x:v>
      </x:c>
      <x:c r="J384" s="118" t="n">
        <x:v>-13147.230817540569</x:v>
      </x:c>
      <x:c r="K384" t="n">
        <x:v>0</x:v>
      </x:c>
      <x:c r="L384" s="123" t="n">
        <x:v>0.8734920030912543</x:v>
      </x:c>
    </x:row>
    <x:row r="385">
      <x:c r="A385" s="118" t="n">
        <x:v>3.5</x:v>
      </x:c>
      <x:c r="B385" t="str">
        <x:v>complex_with_clutter</x:v>
      </x:c>
      <x:c r="C385" t="str">
        <x:v>VHF_60MHz_shallow</x:v>
      </x:c>
      <x:c r="D385" s="118" t="n">
        <x:v>16006.80700146983</x:v>
      </x:c>
      <x:c r="E385" s="123"/>
      <x:c r="F385" s="123" t="n">
        <x:v>5.086916844167329</x:v>
      </x:c>
      <x:c r="G385" s="123" t="n">
        <x:v>10.596348058733831</x:v>
      </x:c>
      <x:c r="H385" s="118" t="n">
        <x:v>2859.576183929261</x:v>
      </x:c>
      <x:c r="I385" t="str">
        <x:v>surface clutter in shallow window</x:v>
      </x:c>
      <x:c r="J385" s="118" t="n">
        <x:v>-13147.230817540569</x:v>
      </x:c>
      <x:c r="K385" t="n">
        <x:v>10</x:v>
      </x:c>
      <x:c r="L385" s="123" t="n">
        <x:v>0.8734920030912543</x:v>
      </x:c>
    </x:row>
    <x:row r="386">
      <x:c r="A386" s="118" t="n">
        <x:v>4</x:v>
      </x:c>
      <x:c r="B386" t="str">
        <x:v>stacked_dirty_layers</x:v>
      </x:c>
      <x:c r="C386" t="str">
        <x:v>HF_9MHz_full_depth</x:v>
      </x:c>
      <x:c r="D386" s="118" t="n">
        <x:v>16017.235991847305</x:v>
      </x:c>
      <x:c r="E386" s="123" t="n">
        <x:v>-2.5984746209922145</x:v>
      </x:c>
      <x:c r="F386" s="123" t="n">
        <x:v>9.814496265959585</x:v>
      </x:c>
      <x:c r="G386" s="123" t="n">
        <x:v>-999</x:v>
      </x:c>
      <x:c r="H386" s="118"/>
      <x:c r="I386" t="str">
        <x:v>false layer stronger</x:v>
      </x:c>
      <x:c r="J386" s="118" t="n">
        <x:v>-3816.31024695021</x:v>
      </x:c>
      <x:c r="K386" t="n">
        <x:v>6</x:v>
      </x:c>
      <x:c r="L386" s="123" t="n">
        <x:v>0</x:v>
      </x:c>
    </x:row>
    <x:row r="387">
      <x:c r="A387" s="118" t="n">
        <x:v>4</x:v>
      </x:c>
      <x:c r="B387" t="str">
        <x:v>rough_surface_clutter</x:v>
      </x:c>
      <x:c r="C387" t="str">
        <x:v>VHF_60MHz_shallow</x:v>
      </x:c>
      <x:c r="D387" s="118" t="n">
        <x:v>16017.235991847305</x:v>
      </x:c>
      <x:c r="E387" s="123"/>
      <x:c r="F387" s="123" t="n">
        <x:v>-999</x:v>
      </x:c>
      <x:c r="G387" s="123" t="n">
        <x:v>5.019958845087011</x:v>
      </x:c>
      <x:c r="H387" s="118" t="n">
        <x:v>2775.073102491853</x:v>
      </x:c>
      <x:c r="I387" t="str">
        <x:v>surface clutter in shallow window</x:v>
      </x:c>
      <x:c r="J387" s="118" t="n">
        <x:v>-13242.162889355452</x:v>
      </x:c>
      <x:c r="K387" t="n">
        <x:v>0</x:v>
      </x:c>
      <x:c r="L387" s="123" t="n">
        <x:v>0.6823503928846447</x:v>
      </x:c>
    </x:row>
    <x:row r="388">
      <x:c r="A388" s="118" t="n">
        <x:v>4</x:v>
      </x:c>
      <x:c r="B388" t="str">
        <x:v>complex_with_clutter</x:v>
      </x:c>
      <x:c r="C388" t="str">
        <x:v>VHF_60MHz_shallow</x:v>
      </x:c>
      <x:c r="D388" s="118" t="n">
        <x:v>16017.235991847305</x:v>
      </x:c>
      <x:c r="E388" s="123"/>
      <x:c r="F388" s="123" t="n">
        <x:v>5.237094170406654</x:v>
      </x:c>
      <x:c r="G388" s="123" t="n">
        <x:v>6.9646574648082495</x:v>
      </x:c>
      <x:c r="H388" s="118" t="n">
        <x:v>2775.073102491853</x:v>
      </x:c>
      <x:c r="I388" t="str">
        <x:v>surface clutter in shallow window</x:v>
      </x:c>
      <x:c r="J388" s="118" t="n">
        <x:v>-13242.162889355452</x:v>
      </x:c>
      <x:c r="K388" t="n">
        <x:v>10</x:v>
      </x:c>
      <x:c r="L388" s="123" t="n">
        <x:v>0.6823503928846447</x:v>
      </x:c>
    </x:row>
    <x:row r="389">
      <x:c r="A389" s="118" t="n">
        <x:v>4.5</x:v>
      </x:c>
      <x:c r="B389" t="str">
        <x:v>stacked_dirty_layers</x:v>
      </x:c>
      <x:c r="C389" t="str">
        <x:v>HF_9MHz_full_depth</x:v>
      </x:c>
      <x:c r="D389" s="118" t="n">
        <x:v>16025.329990466256</x:v>
      </x:c>
      <x:c r="E389" s="123" t="n">
        <x:v>-2.664434209678696</x:v>
      </x:c>
      <x:c r="F389" s="123" t="n">
        <x:v>9.781989179852234</x:v>
      </x:c>
      <x:c r="G389" s="123" t="n">
        <x:v>-999</x:v>
      </x:c>
      <x:c r="H389" s="118"/>
      <x:c r="I389" t="str">
        <x:v>false layer stronger</x:v>
      </x:c>
      <x:c r="J389" s="118" t="n">
        <x:v>-3816.0246299164683</x:v>
      </x:c>
      <x:c r="K389" t="n">
        <x:v>6</x:v>
      </x:c>
      <x:c r="L389" s="123" t="n">
        <x:v>0</x:v>
      </x:c>
    </x:row>
    <x:row r="390">
      <x:c r="A390" s="118" t="n">
        <x:v>4.5</x:v>
      </x:c>
      <x:c r="B390" t="str">
        <x:v>rough_surface_clutter</x:v>
      </x:c>
      <x:c r="C390" t="str">
        <x:v>VHF_60MHz_shallow</x:v>
      </x:c>
      <x:c r="D390" s="118" t="n">
        <x:v>16025.329990466256</x:v>
      </x:c>
      <x:c r="E390" s="123"/>
      <x:c r="F390" s="123" t="n">
        <x:v>-999</x:v>
      </x:c>
      <x:c r="G390" s="123" t="n">
        <x:v>6.171733673572753</x:v>
      </x:c>
      <x:c r="H390" s="118" t="n">
        <x:v>2823.912147816847</x:v>
      </x:c>
      <x:c r="I390" t="str">
        <x:v>surface clutter in shallow window</x:v>
      </x:c>
      <x:c r="J390" s="118" t="n">
        <x:v>-13201.417842649409</x:v>
      </x:c>
      <x:c r="K390" t="n">
        <x:v>0</x:v>
      </x:c>
      <x:c r="L390" s="123" t="n">
        <x:v>0.753667719725867</x:v>
      </x:c>
    </x:row>
    <x:row r="391">
      <x:c r="A391" s="118" t="n">
        <x:v>4.5</x:v>
      </x:c>
      <x:c r="B391" t="str">
        <x:v>complex_with_clutter</x:v>
      </x:c>
      <x:c r="C391" t="str">
        <x:v>VHF_60MHz_shallow</x:v>
      </x:c>
      <x:c r="D391" s="118" t="n">
        <x:v>16025.329990466256</x:v>
      </x:c>
      <x:c r="E391" s="123"/>
      <x:c r="F391" s="123" t="n">
        <x:v>5.176945663776065</x:v>
      </x:c>
      <x:c r="G391" s="123" t="n">
        <x:v>8.319686674791473</x:v>
      </x:c>
      <x:c r="H391" s="118" t="n">
        <x:v>2823.912147816847</x:v>
      </x:c>
      <x:c r="I391" t="str">
        <x:v>surface clutter in shallow window</x:v>
      </x:c>
      <x:c r="J391" s="118" t="n">
        <x:v>-13201.417842649409</x:v>
      </x:c>
      <x:c r="K391" t="n">
        <x:v>10</x:v>
      </x:c>
      <x:c r="L391" s="123" t="n">
        <x:v>0.753667719725867</x:v>
      </x:c>
    </x:row>
    <x:row r="392">
      <x:c r="A392" s="118" t="n">
        <x:v>5</x:v>
      </x:c>
      <x:c r="B392" t="str">
        <x:v>stacked_dirty_layers</x:v>
      </x:c>
      <x:c r="C392" t="str">
        <x:v>HF_9MHz_full_depth</x:v>
      </x:c>
      <x:c r="D392" s="118" t="n">
        <x:v>16035.975154282105</x:v>
      </x:c>
      <x:c r="E392" s="123" t="n">
        <x:v>-2.7598944050412557</x:v>
      </x:c>
      <x:c r="F392" s="123" t="n">
        <x:v>9.723248083209453</x:v>
      </x:c>
      <x:c r="G392" s="123" t="n">
        <x:v>-999</x:v>
      </x:c>
      <x:c r="H392" s="118"/>
      <x:c r="I392" t="str">
        <x:v>false layer stronger</x:v>
      </x:c>
      <x:c r="J392" s="118" t="n">
        <x:v>-3817.2690949800945</x:v>
      </x:c>
      <x:c r="K392" t="n">
        <x:v>6</x:v>
      </x:c>
      <x:c r="L392" s="123" t="n">
        <x:v>0</x:v>
      </x:c>
    </x:row>
    <x:row r="393">
      <x:c r="A393" s="118" t="n">
        <x:v>5</x:v>
      </x:c>
      <x:c r="B393" t="str">
        <x:v>rough_surface_clutter</x:v>
      </x:c>
      <x:c r="C393" t="str">
        <x:v>VHF_60MHz_shallow</x:v>
      </x:c>
      <x:c r="D393" s="118" t="n">
        <x:v>16035.975154282105</x:v>
      </x:c>
      <x:c r="E393" s="123"/>
      <x:c r="F393" s="123" t="n">
        <x:v>-999</x:v>
      </x:c>
      <x:c r="G393" s="123" t="n">
        <x:v>8.793737305783123</x:v>
      </x:c>
      <x:c r="H393" s="118" t="n">
        <x:v>2918.1357180566547</x:v>
      </x:c>
      <x:c r="I393" t="str">
        <x:v>surface clutter in shallow window</x:v>
      </x:c>
      <x:c r="J393" s="118" t="n">
        <x:v>-13117.839436225451</x:v>
      </x:c>
      <x:c r="K393" t="n">
        <x:v>0</x:v>
      </x:c>
      <x:c r="L393" s="123" t="n">
        <x:v>0.9160208858070046</x:v>
      </x:c>
    </x:row>
    <x:row r="394">
      <x:c r="A394" s="118" t="n">
        <x:v>5</x:v>
      </x:c>
      <x:c r="B394" t="str">
        <x:v>complex_with_clutter</x:v>
      </x:c>
      <x:c r="C394" t="str">
        <x:v>VHF_60MHz_shallow</x:v>
      </x:c>
      <x:c r="D394" s="118" t="n">
        <x:v>16035.975154282105</x:v>
      </x:c>
      <x:c r="E394" s="123"/>
      <x:c r="F394" s="123" t="n">
        <x:v>5.043618355115775</x:v>
      </x:c>
      <x:c r="G394" s="123" t="n">
        <x:v>11.404396830333088</x:v>
      </x:c>
      <x:c r="H394" s="118" t="n">
        <x:v>2918.1357180566547</x:v>
      </x:c>
      <x:c r="I394" t="str">
        <x:v>surface clutter in shallow window</x:v>
      </x:c>
      <x:c r="J394" s="118" t="n">
        <x:v>-13117.839436225451</x:v>
      </x:c>
      <x:c r="K394" t="n">
        <x:v>10</x:v>
      </x:c>
      <x:c r="L394" s="123" t="n">
        <x:v>0.9160208858070046</x:v>
      </x:c>
    </x:row>
    <x:row r="395">
      <x:c r="A395" s="118" t="n">
        <x:v>5.5</x:v>
      </x:c>
      <x:c r="B395" t="str">
        <x:v>stacked_dirty_layers</x:v>
      </x:c>
      <x:c r="C395" t="str">
        <x:v>HF_9MHz_full_depth</x:v>
      </x:c>
      <x:c r="D395" s="118" t="n">
        <x:v>16043.928899152814</x:v>
      </x:c>
      <x:c r="E395" s="123" t="n">
        <x:v>-2.765608395749232</x:v>
      </x:c>
      <x:c r="F395" s="123" t="n">
        <x:v>9.754075197902557</x:v>
      </x:c>
      <x:c r="G395" s="123" t="n">
        <x:v>-999</x:v>
      </x:c>
      <x:c r="H395" s="118"/>
      <x:c r="I395" t="str">
        <x:v>false layer stronger</x:v>
      </x:c>
      <x:c r="J395" s="118" t="n">
        <x:v>-3818.7625802924395</x:v>
      </x:c>
      <x:c r="K395" t="n">
        <x:v>6</x:v>
      </x:c>
      <x:c r="L395" s="123" t="n">
        <x:v>0</x:v>
      </x:c>
    </x:row>
    <x:row r="396">
      <x:c r="A396" s="118" t="n">
        <x:v>5.5</x:v>
      </x:c>
      <x:c r="B396" t="str">
        <x:v>rough_surface_clutter</x:v>
      </x:c>
      <x:c r="C396" t="str">
        <x:v>VHF_60MHz_shallow</x:v>
      </x:c>
      <x:c r="D396" s="118" t="n">
        <x:v>16043.928899152814</x:v>
      </x:c>
      <x:c r="E396" s="123"/>
      <x:c r="F396" s="123" t="n">
        <x:v>-999</x:v>
      </x:c>
      <x:c r="G396" s="123" t="n">
        <x:v>6.5087820624865085</x:v>
      </x:c>
      <x:c r="H396" s="118" t="n">
        <x:v>2855.158655941937</x:v>
      </x:c>
      <x:c r="I396" t="str">
        <x:v>surface clutter in shallow window</x:v>
      </x:c>
      <x:c r="J396" s="118" t="n">
        <x:v>-13188.770243210876</x:v>
      </x:c>
      <x:c r="K396" t="n">
        <x:v>0</x:v>
      </x:c>
      <x:c r="L396" s="123" t="n">
        <x:v>0.7745375890084526</x:v>
      </x:c>
    </x:row>
    <x:row r="397">
      <x:c r="A397" s="118" t="n">
        <x:v>5.5</x:v>
      </x:c>
      <x:c r="B397" t="str">
        <x:v>complex_with_clutter</x:v>
      </x:c>
      <x:c r="C397" t="str">
        <x:v>VHF_60MHz_shallow</x:v>
      </x:c>
      <x:c r="D397" s="118" t="n">
        <x:v>16043.928899152814</x:v>
      </x:c>
      <x:c r="E397" s="123"/>
      <x:c r="F397" s="123" t="n">
        <x:v>5.1530199823555565</x:v>
      </x:c>
      <x:c r="G397" s="123" t="n">
        <x:v>8.7162141911606</x:v>
      </x:c>
      <x:c r="H397" s="118" t="n">
        <x:v>2855.158655941937</x:v>
      </x:c>
      <x:c r="I397" t="str">
        <x:v>surface clutter in shallow window</x:v>
      </x:c>
      <x:c r="J397" s="118" t="n">
        <x:v>-13188.770243210876</x:v>
      </x:c>
      <x:c r="K397" t="n">
        <x:v>10</x:v>
      </x:c>
      <x:c r="L397" s="123" t="n">
        <x:v>0.7745375890084526</x:v>
      </x:c>
    </x:row>
    <x:row r="398">
      <x:c r="A398" s="118" t="n">
        <x:v>6</x:v>
      </x:c>
      <x:c r="B398" t="str">
        <x:v>stacked_dirty_layers</x:v>
      </x:c>
      <x:c r="C398" t="str">
        <x:v>HF_9MHz_full_depth</x:v>
      </x:c>
      <x:c r="D398" s="118" t="n">
        <x:v>16050.16829622489</x:v>
      </x:c>
      <x:c r="E398" s="123" t="n">
        <x:v>-2.809387144282472</x:v>
      </x:c>
      <x:c r="F398" s="123" t="n">
        <x:v>9.747254171903462</x:v>
      </x:c>
      <x:c r="G398" s="123" t="n">
        <x:v>-999</x:v>
      </x:c>
      <x:c r="H398" s="118"/>
      <x:c r="I398" t="str">
        <x:v>false layer stronger</x:v>
      </x:c>
      <x:c r="J398" s="118" t="n">
        <x:v>-3820.7468176293187</x:v>
      </x:c>
      <x:c r="K398" t="n">
        <x:v>6</x:v>
      </x:c>
      <x:c r="L398" s="123" t="n">
        <x:v>0</x:v>
      </x:c>
    </x:row>
    <x:row r="399">
      <x:c r="A399" s="118" t="n">
        <x:v>6</x:v>
      </x:c>
      <x:c r="B399" t="str">
        <x:v>rough_surface_clutter</x:v>
      </x:c>
      <x:c r="C399" t="str">
        <x:v>VHF_60MHz_shallow</x:v>
      </x:c>
      <x:c r="D399" s="118" t="n">
        <x:v>16050.16829622489</x:v>
      </x:c>
      <x:c r="E399" s="123"/>
      <x:c r="F399" s="123" t="n">
        <x:v>-999</x:v>
      </x:c>
      <x:c r="G399" s="123" t="n">
        <x:v>6.47718745098647</x:v>
      </x:c>
      <x:c r="H399" s="118" t="n">
        <x:v>2862.4126471958302</x:v>
      </x:c>
      <x:c r="I399" t="str">
        <x:v>surface clutter in shallow window</x:v>
      </x:c>
      <x:c r="J399" s="118" t="n">
        <x:v>-13187.75564902906</x:v>
      </x:c>
      <x:c r="K399" t="n">
        <x:v>0</x:v>
      </x:c>
      <x:c r="L399" s="123" t="n">
        <x:v>0.7725812663149517</x:v>
      </x:c>
    </x:row>
    <x:row r="400">
      <x:c r="A400" s="118" t="n">
        <x:v>6</x:v>
      </x:c>
      <x:c r="B400" t="str">
        <x:v>complex_with_clutter</x:v>
      </x:c>
      <x:c r="C400" t="str">
        <x:v>VHF_60MHz_shallow</x:v>
      </x:c>
      <x:c r="D400" s="118" t="n">
        <x:v>16050.16829622489</x:v>
      </x:c>
      <x:c r="E400" s="123"/>
      <x:c r="F400" s="123" t="n">
        <x:v>5.150471004278357</x:v>
      </x:c>
      <x:c r="G400" s="123" t="n">
        <x:v>8.679044059984083</x:v>
      </x:c>
      <x:c r="H400" s="118" t="n">
        <x:v>2862.4126471958302</x:v>
      </x:c>
      <x:c r="I400" t="str">
        <x:v>surface clutter in shallow window</x:v>
      </x:c>
      <x:c r="J400" s="118" t="n">
        <x:v>-13187.75564902906</x:v>
      </x:c>
      <x:c r="K400" t="n">
        <x:v>10</x:v>
      </x:c>
      <x:c r="L400" s="123" t="n">
        <x:v>0.7725812663149517</x:v>
      </x:c>
    </x:row>
    <x:row r="401">
      <x:c r="A401" s="118" t="n">
        <x:v>6.5</x:v>
      </x:c>
      <x:c r="B401" t="str">
        <x:v>stacked_dirty_layers</x:v>
      </x:c>
      <x:c r="C401" t="str">
        <x:v>HF_9MHz_full_depth</x:v>
      </x:c>
      <x:c r="D401" s="118" t="n">
        <x:v>16055.648842831959</x:v>
      </x:c>
      <x:c r="E401" s="123" t="n">
        <x:v>-2.811223424745794</x:v>
      </x:c>
      <x:c r="F401" s="123" t="n">
        <x:v>9.783366717614049</x:v>
      </x:c>
      <x:c r="G401" s="123" t="n">
        <x:v>-999</x:v>
      </x:c>
      <x:c r="H401" s="118"/>
      <x:c r="I401" t="str">
        <x:v>false layer stronger</x:v>
      </x:c>
      <x:c r="J401" s="118" t="n">
        <x:v>-3823.4561897604235</x:v>
      </x:c>
      <x:c r="K401" t="n">
        <x:v>6</x:v>
      </x:c>
      <x:c r="L401" s="123" t="n">
        <x:v>0</x:v>
      </x:c>
    </x:row>
    <x:row r="402">
      <x:c r="A402" s="118" t="n">
        <x:v>6.5</x:v>
      </x:c>
      <x:c r="B402" t="str">
        <x:v>rough_surface_clutter</x:v>
      </x:c>
      <x:c r="C402" t="str">
        <x:v>VHF_60MHz_shallow</x:v>
      </x:c>
      <x:c r="D402" s="118" t="n">
        <x:v>16055.648842831959</x:v>
      </x:c>
      <x:c r="E402" s="123"/>
      <x:c r="F402" s="123" t="n">
        <x:v>-999</x:v>
      </x:c>
      <x:c r="G402" s="123" t="n">
        <x:v>4.113952703108083</x:v>
      </x:c>
      <x:c r="H402" s="118" t="n">
        <x:v>2794.2446620362184</x:v>
      </x:c>
      <x:c r="I402" t="str">
        <x:v>surface clutter in shallow window</x:v>
      </x:c>
      <x:c r="J402" s="118" t="n">
        <x:v>-13261.40418079574</x:v>
      </x:c>
      <x:c r="K402" t="n">
        <x:v>0</x:v>
      </x:c>
      <x:c r="L402" s="123" t="n">
        <x:v>0.6262509413689216</x:v>
      </x:c>
    </x:row>
    <x:row r="403">
      <x:c r="A403" s="118" t="n">
        <x:v>6.5</x:v>
      </x:c>
      <x:c r="B403" t="str">
        <x:v>complex_with_clutter</x:v>
      </x:c>
      <x:c r="C403" t="str">
        <x:v>VHF_60MHz_shallow</x:v>
      </x:c>
      <x:c r="D403" s="118" t="n">
        <x:v>16055.648842831959</x:v>
      </x:c>
      <x:c r="E403" s="123"/>
      <x:c r="F403" s="123" t="n">
        <x:v>5.263104685168679</x:v>
      </x:c>
      <x:c r="G403" s="123" t="n">
        <x:v>5.8987678860095105</x:v>
      </x:c>
      <x:c r="H403" s="118" t="n">
        <x:v>2794.2446620362184</x:v>
      </x:c>
      <x:c r="I403" t="str">
        <x:v>surface clutter in shallow window</x:v>
      </x:c>
      <x:c r="J403" s="118" t="n">
        <x:v>-13261.40418079574</x:v>
      </x:c>
      <x:c r="K403" t="n">
        <x:v>10</x:v>
      </x:c>
      <x:c r="L403" s="123" t="n">
        <x:v>0.6262509413689216</x:v>
      </x:c>
    </x:row>
    <x:row r="404">
      <x:c r="A404" s="118" t="n">
        <x:v>7</x:v>
      </x:c>
      <x:c r="B404" t="str">
        <x:v>stacked_dirty_layers</x:v>
      </x:c>
      <x:c r="C404" t="str">
        <x:v>HF_9MHz_full_depth</x:v>
      </x:c>
      <x:c r="D404" s="118" t="n">
        <x:v>16057.186598182136</x:v>
      </x:c>
      <x:c r="E404" s="123" t="n">
        <x:v>-2.907428546452113</x:v>
      </x:c>
      <x:c r="F404" s="123" t="n">
        <x:v>9.72397799516779</x:v>
      </x:c>
      <x:c r="G404" s="123" t="n">
        <x:v>-999</x:v>
      </x:c>
      <x:c r="H404" s="118"/>
      <x:c r="I404" t="str">
        <x:v>false layer stronger</x:v>
      </x:c>
      <x:c r="J404" s="118" t="n">
        <x:v>-3826.1083404737674</x:v>
      </x:c>
      <x:c r="K404" t="n">
        <x:v>6</x:v>
      </x:c>
      <x:c r="L404" s="123" t="n">
        <x:v>0</x:v>
      </x:c>
    </x:row>
    <x:row r="405">
      <x:c r="A405" s="118" t="n">
        <x:v>7</x:v>
      </x:c>
      <x:c r="B405" t="str">
        <x:v>rough_surface_clutter</x:v>
      </x:c>
      <x:c r="C405" t="str">
        <x:v>VHF_60MHz_shallow</x:v>
      </x:c>
      <x:c r="D405" s="118" t="n">
        <x:v>16057.186598182136</x:v>
      </x:c>
      <x:c r="E405" s="123"/>
      <x:c r="F405" s="123" t="n">
        <x:v>-999</x:v>
      </x:c>
      <x:c r="G405" s="123" t="n">
        <x:v>7.346149551927251</x:v>
      </x:c>
      <x:c r="H405" s="118" t="n">
        <x:v>2902.445919146053</x:v>
      </x:c>
      <x:c r="I405" t="str">
        <x:v>surface clutter in shallow window</x:v>
      </x:c>
      <x:c r="J405" s="118" t="n">
        <x:v>-13154.740679036084</x:v>
      </x:c>
      <x:c r="K405" t="n">
        <x:v>0</x:v>
      </x:c>
      <x:c r="L405" s="123" t="n">
        <x:v>0.8263869691595821</x:v>
      </x:c>
    </x:row>
    <x:row r="406">
      <x:c r="A406" s="118" t="n">
        <x:v>7</x:v>
      </x:c>
      <x:c r="B406" t="str">
        <x:v>complex_with_clutter</x:v>
      </x:c>
      <x:c r="C406" t="str">
        <x:v>VHF_60MHz_shallow</x:v>
      </x:c>
      <x:c r="D406" s="118" t="n">
        <x:v>16057.186598182136</x:v>
      </x:c>
      <x:c r="E406" s="123"/>
      <x:c r="F406" s="123" t="n">
        <x:v>5.098262456086444</x:v>
      </x:c>
      <x:c r="G406" s="123" t="n">
        <x:v>9.70135241403206</x:v>
      </x:c>
      <x:c r="H406" s="118" t="n">
        <x:v>2902.445919146053</x:v>
      </x:c>
      <x:c r="I406" t="str">
        <x:v>surface clutter in shallow window</x:v>
      </x:c>
      <x:c r="J406" s="118" t="n">
        <x:v>-13154.740679036084</x:v>
      </x:c>
      <x:c r="K406" t="n">
        <x:v>10</x:v>
      </x:c>
      <x:c r="L406" s="123" t="n">
        <x:v>0.8263869691595821</x:v>
      </x:c>
    </x:row>
    <x:row r="407">
      <x:c r="A407" s="118" t="n">
        <x:v>7.5</x:v>
      </x:c>
      <x:c r="B407" t="str">
        <x:v>stacked_dirty_layers</x:v>
      </x:c>
      <x:c r="C407" t="str">
        <x:v>HF_9MHz_full_depth</x:v>
      </x:c>
      <x:c r="D407" s="118" t="n">
        <x:v>16063.197058525908</x:v>
      </x:c>
      <x:c r="E407" s="123" t="n">
        <x:v>-2.9975988579170636</x:v>
      </x:c>
      <x:c r="F407" s="123" t="n">
        <x:v>9.674908215644571</x:v>
      </x:c>
      <x:c r="G407" s="123" t="n">
        <x:v>-999</x:v>
      </x:c>
      <x:c r="H407" s="118"/>
      <x:c r="I407" t="str">
        <x:v>false layer stronger</x:v>
      </x:c>
      <x:c r="J407" s="118" t="n">
        <x:v>-3830.763775747466</x:v>
      </x:c>
      <x:c r="K407" t="n">
        <x:v>6</x:v>
      </x:c>
      <x:c r="L407" s="123" t="n">
        <x:v>0</x:v>
      </x:c>
    </x:row>
    <x:row r="408">
      <x:c r="A408" s="118" t="n">
        <x:v>7.5</x:v>
      </x:c>
      <x:c r="B408" t="str">
        <x:v>rough_surface_clutter</x:v>
      </x:c>
      <x:c r="C408" t="str">
        <x:v>VHF_60MHz_shallow</x:v>
      </x:c>
      <x:c r="D408" s="118" t="n">
        <x:v>16063.197058525908</x:v>
      </x:c>
      <x:c r="E408" s="123"/>
      <x:c r="F408" s="123" t="n">
        <x:v>-999</x:v>
      </x:c>
      <x:c r="G408" s="123" t="n">
        <x:v>9.923267817704676</x:v>
      </x:c>
      <x:c r="H408" s="118" t="n">
        <x:v>2943</x:v>
      </x:c>
      <x:c r="I408" t="str">
        <x:v>surface clutter in shallow window</x:v>
      </x:c>
      <x:c r="J408" s="118" t="n">
        <x:v>-13120.197058525908</x:v>
      </x:c>
      <x:c r="K408" t="n">
        <x:v>0</x:v>
      </x:c>
      <x:c r="L408" s="123" t="n">
        <x:v>0.9859608555854289</x:v>
      </x:c>
    </x:row>
    <x:row r="409">
      <x:c r="A409" s="118" t="n">
        <x:v>7.5</x:v>
      </x:c>
      <x:c r="B409" t="str">
        <x:v>complex_with_clutter</x:v>
      </x:c>
      <x:c r="C409" t="str">
        <x:v>VHF_60MHz_shallow</x:v>
      </x:c>
      <x:c r="D409" s="118" t="n">
        <x:v>16063.197058525908</x:v>
      </x:c>
      <x:c r="E409" s="123"/>
      <x:c r="F409" s="123" t="n">
        <x:v>4.965582010741443</x:v>
      </x:c>
      <x:c r="G409" s="123" t="n">
        <x:v>12.733256256123148</x:v>
      </x:c>
      <x:c r="H409" s="118" t="n">
        <x:v>2943</x:v>
      </x:c>
      <x:c r="I409" t="str">
        <x:v>surface clutter in shallow window</x:v>
      </x:c>
      <x:c r="J409" s="118" t="n">
        <x:v>-13120.197058525908</x:v>
      </x:c>
      <x:c r="K409" t="n">
        <x:v>10</x:v>
      </x:c>
      <x:c r="L409" s="123" t="n">
        <x:v>0.9859608555854289</x:v>
      </x:c>
    </x:row>
    <x:row r="410">
      <x:c r="A410" s="118" t="n">
        <x:v>8</x:v>
      </x:c>
      <x:c r="B410" t="str">
        <x:v>stacked_dirty_layers</x:v>
      </x:c>
      <x:c r="C410" t="str">
        <x:v>HF_9MHz_full_depth</x:v>
      </x:c>
      <x:c r="D410" s="118" t="n">
        <x:v>16064.496639991332</x:v>
      </x:c>
      <x:c r="E410" s="123" t="n">
        <x:v>-2.9974210461778914</x:v>
      </x:c>
      <x:c r="F410" s="123" t="n">
        <x:v>9.714432597483587</x:v>
      </x:c>
      <x:c r="G410" s="123" t="n">
        <x:v>-999</x:v>
      </x:c>
      <x:c r="H410" s="118"/>
      <x:c r="I410" t="str">
        <x:v>false layer stronger</x:v>
      </x:c>
      <x:c r="J410" s="118" t="n">
        <x:v>-3835.1645318805968</x:v>
      </x:c>
      <x:c r="K410" t="n">
        <x:v>6</x:v>
      </x:c>
      <x:c r="L410" s="123" t="n">
        <x:v>0</x:v>
      </x:c>
    </x:row>
    <x:row r="411">
      <x:c r="A411" s="118" t="n">
        <x:v>8</x:v>
      </x:c>
      <x:c r="B411" t="str">
        <x:v>rough_surface_clutter</x:v>
      </x:c>
      <x:c r="C411" t="str">
        <x:v>VHF_60MHz_shallow</x:v>
      </x:c>
      <x:c r="D411" s="118" t="n">
        <x:v>16064.496639991332</x:v>
      </x:c>
      <x:c r="E411" s="123"/>
      <x:c r="F411" s="123" t="n">
        <x:v>-999</x:v>
      </x:c>
      <x:c r="G411" s="123" t="n">
        <x:v>7.714202107106193</x:v>
      </x:c>
      <x:c r="H411" s="118" t="n">
        <x:v>2921.066235818627</x:v>
      </x:c>
      <x:c r="I411" t="str">
        <x:v>surface clutter in shallow window</x:v>
      </x:c>
      <x:c r="J411" s="118" t="n">
        <x:v>-13143.430404172705</x:v>
      </x:c>
      <x:c r="K411" t="n">
        <x:v>0</x:v>
      </x:c>
      <x:c r="L411" s="123" t="n">
        <x:v>0.849176601059207</x:v>
      </x:c>
    </x:row>
    <x:row r="412">
      <x:c r="A412" s="118" t="n">
        <x:v>8</x:v>
      </x:c>
      <x:c r="B412" t="str">
        <x:v>complex_with_clutter</x:v>
      </x:c>
      <x:c r="C412" t="str">
        <x:v>VHF_60MHz_shallow</x:v>
      </x:c>
      <x:c r="D412" s="118" t="n">
        <x:v>16064.496639991332</x:v>
      </x:c>
      <x:c r="E412" s="123"/>
      <x:c r="F412" s="123" t="n">
        <x:v>5.069716176823217</x:v>
      </x:c>
      <x:c r="G412" s="123" t="n">
        <x:v>10.134355420124933</x:v>
      </x:c>
      <x:c r="H412" s="118" t="n">
        <x:v>2921.066235818627</x:v>
      </x:c>
      <x:c r="I412" t="str">
        <x:v>surface clutter in shallow window</x:v>
      </x:c>
      <x:c r="J412" s="118" t="n">
        <x:v>-13143.430404172705</x:v>
      </x:c>
      <x:c r="K412" t="n">
        <x:v>10</x:v>
      </x:c>
      <x:c r="L412" s="123" t="n">
        <x:v>0.849176601059207</x:v>
      </x:c>
    </x:row>
    <x:row r="413">
      <x:c r="A413" s="118" t="n">
        <x:v>8.5</x:v>
      </x:c>
      <x:c r="B413" t="str">
        <x:v>stacked_dirty_layers</x:v>
      </x:c>
      <x:c r="C413" t="str">
        <x:v>HF_9MHz_full_depth</x:v>
      </x:c>
      <x:c r="D413" s="118" t="n">
        <x:v>16066.128989193123</x:v>
      </x:c>
      <x:c r="E413" s="123" t="n">
        <x:v>-3.013011592892461</x:v>
      </x:c>
      <x:c r="F413" s="123" t="n">
        <x:v>9.739648544192358</x:v>
      </x:c>
      <x:c r="G413" s="123" t="n">
        <x:v>-999</x:v>
      </x:c>
      <x:c r="H413" s="118"/>
      <x:c r="I413" t="str">
        <x:v>false layer stronger</x:v>
      </x:c>
      <x:c r="J413" s="118" t="n">
        <x:v>-3840.5414401821763</x:v>
      </x:c>
      <x:c r="K413" t="n">
        <x:v>6</x:v>
      </x:c>
      <x:c r="L413" s="123" t="n">
        <x:v>0</x:v>
      </x:c>
    </x:row>
    <x:row r="414">
      <x:c r="A414" s="118" t="n">
        <x:v>8.5</x:v>
      </x:c>
      <x:c r="B414" t="str">
        <x:v>rough_surface_clutter</x:v>
      </x:c>
      <x:c r="C414" t="str">
        <x:v>VHF_60MHz_shallow</x:v>
      </x:c>
      <x:c r="D414" s="118" t="n">
        <x:v>16066.128989193123</x:v>
      </x:c>
      <x:c r="E414" s="123"/>
      <x:c r="F414" s="123" t="n">
        <x:v>-999</x:v>
      </x:c>
      <x:c r="G414" s="123" t="n">
        <x:v>6.373965865583724</x:v>
      </x:c>
      <x:c r="H414" s="118" t="n">
        <x:v>2879.8818603855175</x:v>
      </x:c>
      <x:c r="I414" t="str">
        <x:v>surface clutter in shallow window</x:v>
      </x:c>
      <x:c r="J414" s="118" t="n">
        <x:v>-13186.247128807605</x:v>
      </x:c>
      <x:c r="K414" t="n">
        <x:v>0</x:v>
      </x:c>
      <x:c r="L414" s="123" t="n">
        <x:v>0.7661898368782492</x:v>
      </x:c>
    </x:row>
    <x:row r="415">
      <x:c r="A415" s="118" t="n">
        <x:v>8.5</x:v>
      </x:c>
      <x:c r="B415" t="str">
        <x:v>complex_with_clutter</x:v>
      </x:c>
      <x:c r="C415" t="str">
        <x:v>VHF_60MHz_shallow</x:v>
      </x:c>
      <x:c r="D415" s="118" t="n">
        <x:v>16066.128989193123</x:v>
      </x:c>
      <x:c r="E415" s="123"/>
      <x:c r="F415" s="123" t="n">
        <x:v>5.130557548022393</x:v>
      </x:c>
      <x:c r="G415" s="123" t="n">
        <x:v>8.557606900686734</x:v>
      </x:c>
      <x:c r="H415" s="118" t="n">
        <x:v>2879.8818603855175</x:v>
      </x:c>
      <x:c r="I415" t="str">
        <x:v>surface clutter in shallow window</x:v>
      </x:c>
      <x:c r="J415" s="118" t="n">
        <x:v>-13186.247128807605</x:v>
      </x:c>
      <x:c r="K415" t="n">
        <x:v>10</x:v>
      </x:c>
      <x:c r="L415" s="123" t="n">
        <x:v>0.7661898368782492</x:v>
      </x:c>
    </x:row>
    <x:row r="416">
      <x:c r="A416" s="118" t="n">
        <x:v>9</x:v>
      </x:c>
      <x:c r="B416" t="str">
        <x:v>stacked_dirty_layers</x:v>
      </x:c>
      <x:c r="C416" t="str">
        <x:v>HF_9MHz_full_depth</x:v>
      </x:c>
      <x:c r="D416" s="118" t="n">
        <x:v>16063.809243256452</x:v>
      </x:c>
      <x:c r="E416" s="123" t="n">
        <x:v>-3.0041295038667597</x:v>
      </x:c>
      <x:c r="F416" s="123" t="n">
        <x:v>9.787931080536119</x:v>
      </x:c>
      <x:c r="G416" s="123" t="n">
        <x:v>-999</x:v>
      </x:c>
      <x:c r="H416" s="118"/>
      <x:c r="I416" t="str">
        <x:v>false layer stronger</x:v>
      </x:c>
      <x:c r="J416" s="118" t="n">
        <x:v>-3845.831297913932</x:v>
      </x:c>
      <x:c r="K416" t="n">
        <x:v>6</x:v>
      </x:c>
      <x:c r="L416" s="123" t="n">
        <x:v>0</x:v>
      </x:c>
    </x:row>
    <x:row r="417">
      <x:c r="A417" s="118" t="n">
        <x:v>9</x:v>
      </x:c>
      <x:c r="B417" t="str">
        <x:v>rough_surface_clutter</x:v>
      </x:c>
      <x:c r="C417" t="str">
        <x:v>VHF_60MHz_shallow</x:v>
      </x:c>
      <x:c r="D417" s="118" t="n">
        <x:v>16063.809243256452</x:v>
      </x:c>
      <x:c r="E417" s="123"/>
      <x:c r="F417" s="123" t="n">
        <x:v>-999</x:v>
      </x:c>
      <x:c r="G417" s="123" t="n">
        <x:v>3.926055819267969</x:v>
      </x:c>
      <x:c r="H417" s="118" t="n">
        <x:v>2802.124717737841</x:v>
      </x:c>
      <x:c r="I417" t="str">
        <x:v>surface clutter in shallow window</x:v>
      </x:c>
      <x:c r="J417" s="118" t="n">
        <x:v>-13261.68452551861</x:v>
      </x:c>
      <x:c r="K417" t="n">
        <x:v>0</x:v>
      </x:c>
      <x:c r="L417" s="123" t="n">
        <x:v>0.6146164593973975</x:v>
      </x:c>
    </x:row>
    <x:row r="418">
      <x:c r="A418" s="118" t="n">
        <x:v>9</x:v>
      </x:c>
      <x:c r="B418" t="str">
        <x:v>complex_with_clutter</x:v>
      </x:c>
      <x:c r="C418" t="str">
        <x:v>VHF_60MHz_shallow</x:v>
      </x:c>
      <x:c r="D418" s="118" t="n">
        <x:v>16063.809243256452</x:v>
      </x:c>
      <x:c r="E418" s="123"/>
      <x:c r="F418" s="123" t="n">
        <x:v>5.246031512951316</x:v>
      </x:c>
      <x:c r="G418" s="123" t="n">
        <x:v>5.677712728550553</x:v>
      </x:c>
      <x:c r="H418" s="118" t="n">
        <x:v>2802.124717737841</x:v>
      </x:c>
      <x:c r="I418" t="str">
        <x:v>surface clutter in shallow window</x:v>
      </x:c>
      <x:c r="J418" s="118" t="n">
        <x:v>-13261.68452551861</x:v>
      </x:c>
      <x:c r="K418" t="n">
        <x:v>10</x:v>
      </x:c>
      <x:c r="L418" s="123" t="n">
        <x:v>0.6146164593973975</x:v>
      </x:c>
    </x:row>
    <x:row r="419">
      <x:c r="A419" s="118" t="n">
        <x:v>9.5</x:v>
      </x:c>
      <x:c r="B419" t="str">
        <x:v>stacked_dirty_layers</x:v>
      </x:c>
      <x:c r="C419" t="str">
        <x:v>HF_9MHz_full_depth</x:v>
      </x:c>
      <x:c r="D419" s="118" t="n">
        <x:v>16060.87573901286</x:v>
      </x:c>
      <x:c r="E419" s="123" t="n">
        <x:v>-3.109906546900212</x:v>
      </x:c>
      <x:c r="F419" s="123" t="n">
        <x:v>9.722244230752992</x:v>
      </x:c>
      <x:c r="G419" s="123" t="n">
        <x:v>-999</x:v>
      </x:c>
      <x:c r="H419" s="118"/>
      <x:c r="I419" t="str">
        <x:v>false layer stronger</x:v>
      </x:c>
      <x:c r="J419" s="118" t="n">
        <x:v>-3851.8437994422547</x:v>
      </x:c>
      <x:c r="K419" t="n">
        <x:v>6</x:v>
      </x:c>
      <x:c r="L419" s="123" t="n">
        <x:v>0</x:v>
      </x:c>
    </x:row>
    <x:row r="420">
      <x:c r="A420" s="118" t="n">
        <x:v>9.5</x:v>
      </x:c>
      <x:c r="B420" t="str">
        <x:v>rough_surface_clutter</x:v>
      </x:c>
      <x:c r="C420" t="str">
        <x:v>VHF_60MHz_shallow</x:v>
      </x:c>
      <x:c r="D420" s="118" t="n">
        <x:v>16060.87573901286</x:v>
      </x:c>
      <x:c r="E420" s="123"/>
      <x:c r="F420" s="123" t="n">
        <x:v>-999</x:v>
      </x:c>
      <x:c r="G420" s="123" t="n">
        <x:v>8.009049045127652</x:v>
      </x:c>
      <x:c r="H420" s="118" t="n">
        <x:v>2930.4319620851907</x:v>
      </x:c>
      <x:c r="I420" t="str">
        <x:v>surface clutter in shallow window</x:v>
      </x:c>
      <x:c r="J420" s="118" t="n">
        <x:v>-13130.443776927668</x:v>
      </x:c>
      <x:c r="K420" t="n">
        <x:v>0</x:v>
      </x:c>
      <x:c r="L420" s="123" t="n">
        <x:v>0.8674333774072849</x:v>
      </x:c>
    </x:row>
    <x:row r="421">
      <x:c r="A421" s="118" t="n">
        <x:v>9.5</x:v>
      </x:c>
      <x:c r="B421" t="str">
        <x:v>complex_with_clutter</x:v>
      </x:c>
      <x:c r="C421" t="str">
        <x:v>VHF_60MHz_shallow</x:v>
      </x:c>
      <x:c r="D421" s="118" t="n">
        <x:v>16060.87573901286</x:v>
      </x:c>
      <x:c r="E421" s="123"/>
      <x:c r="F421" s="123" t="n">
        <x:v>5.037775588901633</x:v>
      </x:c>
      <x:c r="G421" s="123" t="n">
        <x:v>10.481234170738414</x:v>
      </x:c>
      <x:c r="H421" s="118" t="n">
        <x:v>2930.4319620851907</x:v>
      </x:c>
      <x:c r="I421" t="str">
        <x:v>surface clutter in shallow window</x:v>
      </x:c>
      <x:c r="J421" s="118" t="n">
        <x:v>-13130.443776927668</x:v>
      </x:c>
      <x:c r="K421" t="n">
        <x:v>10</x:v>
      </x:c>
      <x:c r="L421" s="123" t="n">
        <x:v>0.8674333774072849</x:v>
      </x:c>
    </x:row>
    <x:row r="422">
      <x:c r="A422" s="118" t="n">
        <x:v>10</x:v>
      </x:c>
      <x:c r="B422" t="str">
        <x:v>stacked_dirty_layers</x:v>
      </x:c>
      <x:c r="C422" t="str">
        <x:v>HF_9MHz_full_depth</x:v>
      </x:c>
      <x:c r="D422" s="118" t="n">
        <x:v>16059.65300237692</x:v>
      </x:c>
      <x:c r="E422" s="123" t="n">
        <x:v>-3.1819540378721825</x:v>
      </x:c>
      <x:c r="F422" s="123" t="n">
        <x:v>9.692413308516796</x:v>
      </x:c>
      <x:c r="G422" s="123" t="n">
        <x:v>-999</x:v>
      </x:c>
      <x:c r="H422" s="118"/>
      <x:c r="I422" t="str">
        <x:v>false layer stronger</x:v>
      </x:c>
      <x:c r="J422" s="118" t="n">
        <x:v>-3859.141566346547</x:v>
      </x:c>
      <x:c r="K422" t="n">
        <x:v>6</x:v>
      </x:c>
      <x:c r="L422" s="123" t="n">
        <x:v>0</x:v>
      </x:c>
    </x:row>
    <x:row r="423">
      <x:c r="A423" s="118" t="n">
        <x:v>10</x:v>
      </x:c>
      <x:c r="B423" t="str">
        <x:v>rough_surface_clutter</x:v>
      </x:c>
      <x:c r="C423" t="str">
        <x:v>VHF_60MHz_shallow</x:v>
      </x:c>
      <x:c r="D423" s="118" t="n">
        <x:v>16059.65300237692</x:v>
      </x:c>
      <x:c r="E423" s="123"/>
      <x:c r="F423" s="123" t="n">
        <x:v>-999</x:v>
      </x:c>
      <x:c r="G423" s="123" t="n">
        <x:v>10.079180217021719</x:v>
      </x:c>
      <x:c r="H423" s="118" t="n">
        <x:v>2943</x:v>
      </x:c>
      <x:c r="I423" t="str">
        <x:v>surface clutter in shallow window</x:v>
      </x:c>
      <x:c r="J423" s="118" t="n">
        <x:v>-13116.65300237692</x:v>
      </x:c>
      <x:c r="K423" t="n">
        <x:v>0</x:v>
      </x:c>
      <x:c r="L423" s="123" t="n">
        <x:v>0.995614874118992</x:v>
      </x:c>
    </x:row>
    <x:row r="424">
      <x:c r="A424" s="118" t="n">
        <x:v>10</x:v>
      </x:c>
      <x:c r="B424" t="str">
        <x:v>complex_with_clutter</x:v>
      </x:c>
      <x:c r="C424" t="str">
        <x:v>VHF_60MHz_shallow</x:v>
      </x:c>
      <x:c r="D424" s="118" t="n">
        <x:v>16059.65300237692</x:v>
      </x:c>
      <x:c r="E424" s="123"/>
      <x:c r="F424" s="123" t="n">
        <x:v>10.054246964028302</x:v>
      </x:c>
      <x:c r="G424" s="123" t="n">
        <x:v>12.916682608260846</x:v>
      </x:c>
      <x:c r="H424" s="118" t="n">
        <x:v>2943</x:v>
      </x:c>
      <x:c r="I424" t="str">
        <x:v>surface clutter in shallow window</x:v>
      </x:c>
      <x:c r="J424" s="118" t="n">
        <x:v>-13116.65300237692</x:v>
      </x:c>
      <x:c r="K424" t="n">
        <x:v>10</x:v>
      </x:c>
      <x:c r="L424" s="123" t="n">
        <x:v>0.995614874118992</x:v>
      </x:c>
    </x:row>
    <x:row r="425">
      <x:c r="A425" s="118" t="n">
        <x:v>10.5</x:v>
      </x:c>
      <x:c r="B425" t="str">
        <x:v>stacked_dirty_layers</x:v>
      </x:c>
      <x:c r="C425" t="str">
        <x:v>HF_9MHz_full_depth</x:v>
      </x:c>
      <x:c r="D425" s="118" t="n">
        <x:v>16056.097371463005</x:v>
      </x:c>
      <x:c r="E425" s="123" t="n">
        <x:v>-3.1237176553131447</x:v>
      </x:c>
      <x:c r="F425" s="123" t="n">
        <x:v>9.792265973845838</x:v>
      </x:c>
      <x:c r="G425" s="123" t="n">
        <x:v>-999</x:v>
      </x:c>
      <x:c r="H425" s="118"/>
      <x:c r="I425" t="str">
        <x:v>false layer stronger</x:v>
      </x:c>
      <x:c r="J425" s="118" t="n">
        <x:v>-3866.712480560076</x:v>
      </x:c>
      <x:c r="K425" t="n">
        <x:v>6</x:v>
      </x:c>
      <x:c r="L425" s="123" t="n">
        <x:v>0</x:v>
      </x:c>
    </x:row>
    <x:row r="426">
      <x:c r="A426" s="118" t="n">
        <x:v>10.5</x:v>
      </x:c>
      <x:c r="B426" t="str">
        <x:v>rough_surface_clutter</x:v>
      </x:c>
      <x:c r="C426" t="str">
        <x:v>VHF_60MHz_shallow</x:v>
      </x:c>
      <x:c r="D426" s="118" t="n">
        <x:v>16056.097371463005</x:v>
      </x:c>
      <x:c r="E426" s="123"/>
      <x:c r="F426" s="123" t="n">
        <x:v>-999</x:v>
      </x:c>
      <x:c r="G426" s="123" t="n">
        <x:v>4.960429557400625</x:v>
      </x:c>
      <x:c r="H426" s="118" t="n">
        <x:v>2826.6642252022657</x:v>
      </x:c>
      <x:c r="I426" t="str">
        <x:v>surface clutter in shallow window</x:v>
      </x:c>
      <x:c r="J426" s="118" t="n">
        <x:v>-13229.43314626074</x:v>
      </x:c>
      <x:c r="K426" t="n">
        <x:v>0</x:v>
      </x:c>
      <x:c r="L426" s="123" t="n">
        <x:v>0.6786643688792957</x:v>
      </x:c>
    </x:row>
    <x:row r="427">
      <x:c r="A427" s="118" t="n">
        <x:v>10.5</x:v>
      </x:c>
      <x:c r="B427" t="str">
        <x:v>complex_with_clutter</x:v>
      </x:c>
      <x:c r="C427" t="str">
        <x:v>VHF_60MHz_shallow</x:v>
      </x:c>
      <x:c r="D427" s="118" t="n">
        <x:v>16056.097371463005</x:v>
      </x:c>
      <x:c r="E427" s="123"/>
      <x:c r="F427" s="123" t="n">
        <x:v>10.30143019358613</x:v>
      </x:c>
      <x:c r="G427" s="123" t="n">
        <x:v>6.894623008706619</x:v>
      </x:c>
      <x:c r="H427" s="118" t="n">
        <x:v>2826.6642252022657</x:v>
      </x:c>
      <x:c r="I427" t="str">
        <x:v>surface clutter in shallow window</x:v>
      </x:c>
      <x:c r="J427" s="118" t="n">
        <x:v>-13229.43314626074</x:v>
      </x:c>
      <x:c r="K427" t="n">
        <x:v>10</x:v>
      </x:c>
      <x:c r="L427" s="123" t="n">
        <x:v>0.6786643688792957</x:v>
      </x:c>
    </x:row>
    <x:row r="428">
      <x:c r="A428" s="118" t="n">
        <x:v>11</x:v>
      </x:c>
      <x:c r="B428" t="str">
        <x:v>stacked_dirty_layers</x:v>
      </x:c>
      <x:c r="C428" t="str">
        <x:v>HF_9MHz_full_depth</x:v>
      </x:c>
      <x:c r="D428" s="118" t="n">
        <x:v>16048.05644574271</x:v>
      </x:c>
      <x:c r="E428" s="123" t="n">
        <x:v>-3.132036092844075</x:v>
      </x:c>
      <x:c r="F428" s="123" t="n">
        <x:v>9.823459525735341</x:v>
      </x:c>
      <x:c r="G428" s="123" t="n">
        <x:v>-999</x:v>
      </x:c>
      <x:c r="H428" s="118"/>
      <x:c r="I428" t="str">
        <x:v>false layer stronger</x:v>
      </x:c>
      <x:c r="J428" s="118" t="n">
        <x:v>-3874.0039798384223</x:v>
      </x:c>
      <x:c r="K428" t="n">
        <x:v>6</x:v>
      </x:c>
      <x:c r="L428" s="123" t="n">
        <x:v>0</x:v>
      </x:c>
    </x:row>
    <x:row r="429">
      <x:c r="A429" s="118" t="n">
        <x:v>11</x:v>
      </x:c>
      <x:c r="B429" t="str">
        <x:v>rough_surface_clutter</x:v>
      </x:c>
      <x:c r="C429" t="str">
        <x:v>VHF_60MHz_shallow</x:v>
      </x:c>
      <x:c r="D429" s="118" t="n">
        <x:v>16048.05644574271</x:v>
      </x:c>
      <x:c r="E429" s="123"/>
      <x:c r="F429" s="123" t="n">
        <x:v>-999</x:v>
      </x:c>
      <x:c r="G429" s="123" t="n">
        <x:v>3.930845358125147</x:v>
      </x:c>
      <x:c r="H429" s="118" t="n">
        <x:v>2788.428311077937</x:v>
      </x:c>
      <x:c r="I429" t="str">
        <x:v>surface clutter in shallow window</x:v>
      </x:c>
      <x:c r="J429" s="118" t="n">
        <x:v>-13259.628134664774</x:v>
      </x:c>
      <x:c r="K429" t="n">
        <x:v>0</x:v>
      </x:c>
      <x:c r="L429" s="123" t="n">
        <x:v>0.614913025270907</x:v>
      </x:c>
    </x:row>
    <x:row r="430">
      <x:c r="A430" s="118" t="n">
        <x:v>11</x:v>
      </x:c>
      <x:c r="B430" t="str">
        <x:v>complex_with_clutter</x:v>
      </x:c>
      <x:c r="C430" t="str">
        <x:v>VHF_60MHz_shallow</x:v>
      </x:c>
      <x:c r="D430" s="118" t="n">
        <x:v>16048.05644574271</x:v>
      </x:c>
      <x:c r="E430" s="123"/>
      <x:c r="F430" s="123" t="n">
        <x:v>10.345898459653707</x:v>
      </x:c>
      <x:c r="G430" s="123" t="n">
        <x:v>5.683347480147232</x:v>
      </x:c>
      <x:c r="H430" s="118" t="n">
        <x:v>2788.428311077937</x:v>
      </x:c>
      <x:c r="I430" t="str">
        <x:v>surface clutter in shallow window</x:v>
      </x:c>
      <x:c r="J430" s="118" t="n">
        <x:v>-13259.628134664774</x:v>
      </x:c>
      <x:c r="K430" t="n">
        <x:v>10</x:v>
      </x:c>
      <x:c r="L430" s="123" t="n">
        <x:v>0.614913025270907</x:v>
      </x:c>
    </x:row>
    <x:row r="431">
      <x:c r="A431" s="118" t="n">
        <x:v>11.5</x:v>
      </x:c>
      <x:c r="B431" t="str">
        <x:v>stacked_dirty_layers</x:v>
      </x:c>
      <x:c r="C431" t="str">
        <x:v>HF_9MHz_full_depth</x:v>
      </x:c>
      <x:c r="D431" s="118" t="n">
        <x:v>16041.249630235392</x:v>
      </x:c>
      <x:c r="E431" s="123" t="n">
        <x:v>-3.2111874489221575</x:v>
      </x:c>
      <x:c r="F431" s="123" t="n">
        <x:v>9.78536364812693</x:v>
      </x:c>
      <x:c r="G431" s="123" t="n">
        <x:v>-999</x:v>
      </x:c>
      <x:c r="H431" s="118"/>
      <x:c r="I431" t="str">
        <x:v>false layer stronger</x:v>
      </x:c>
      <x:c r="J431" s="118" t="n">
        <x:v>-3882.416156422438</x:v>
      </x:c>
      <x:c r="K431" t="n">
        <x:v>6</x:v>
      </x:c>
      <x:c r="L431" s="123" t="n">
        <x:v>0</x:v>
      </x:c>
    </x:row>
    <x:row r="432">
      <x:c r="A432" s="118" t="n">
        <x:v>11.5</x:v>
      </x:c>
      <x:c r="B432" t="str">
        <x:v>rough_surface_clutter</x:v>
      </x:c>
      <x:c r="C432" t="str">
        <x:v>VHF_60MHz_shallow</x:v>
      </x:c>
      <x:c r="D432" s="118" t="n">
        <x:v>16041.249630235392</x:v>
      </x:c>
      <x:c r="E432" s="123"/>
      <x:c r="F432" s="123" t="n">
        <x:v>-999</x:v>
      </x:c>
      <x:c r="G432" s="123" t="n">
        <x:v>6.842896315392315</x:v>
      </x:c>
      <x:c r="H432" s="118" t="n">
        <x:v>2874.0292817122513</x:v>
      </x:c>
      <x:c r="I432" t="str">
        <x:v>surface clutter in shallow window</x:v>
      </x:c>
      <x:c r="J432" s="118" t="n">
        <x:v>-13167.22034852314</x:v>
      </x:c>
      <x:c r="K432" t="n">
        <x:v>0</x:v>
      </x:c>
      <x:c r="L432" s="123" t="n">
        <x:v>0.7952257780428678</x:v>
      </x:c>
    </x:row>
    <x:row r="433">
      <x:c r="A433" s="118" t="n">
        <x:v>11.5</x:v>
      </x:c>
      <x:c r="B433" t="str">
        <x:v>complex_with_clutter</x:v>
      </x:c>
      <x:c r="C433" t="str">
        <x:v>VHF_60MHz_shallow</x:v>
      </x:c>
      <x:c r="D433" s="118" t="n">
        <x:v>16041.249630235392</x:v>
      </x:c>
      <x:c r="E433" s="123"/>
      <x:c r="F433" s="123" t="n">
        <x:v>10.194981848140424</x:v>
      </x:c>
      <x:c r="G433" s="123" t="n">
        <x:v>9.109289782814487</x:v>
      </x:c>
      <x:c r="H433" s="118" t="n">
        <x:v>2874.0292817122513</x:v>
      </x:c>
      <x:c r="I433" t="str">
        <x:v>surface clutter in shallow window</x:v>
      </x:c>
      <x:c r="J433" s="118" t="n">
        <x:v>-13167.22034852314</x:v>
      </x:c>
      <x:c r="K433" t="n">
        <x:v>10</x:v>
      </x:c>
      <x:c r="L433" s="123" t="n">
        <x:v>0.7952257780428678</x:v>
      </x:c>
    </x:row>
    <x:row r="434">
      <x:c r="A434" s="118" t="n">
        <x:v>12</x:v>
      </x:c>
      <x:c r="B434" t="str">
        <x:v>stacked_dirty_layers</x:v>
      </x:c>
      <x:c r="C434" t="str">
        <x:v>HF_9MHz_full_depth</x:v>
      </x:c>
      <x:c r="D434" s="118" t="n">
        <x:v>16033.398823391757</x:v>
      </x:c>
      <x:c r="E434" s="123" t="n">
        <x:v>-3.172840961901878</x:v>
      </x:c>
      <x:c r="F434" s="123" t="n">
        <x:v>9.864720385921979</x:v>
      </x:c>
      <x:c r="G434" s="123" t="n">
        <x:v>-999</x:v>
      </x:c>
      <x:c r="H434" s="118"/>
      <x:c r="I434" t="str">
        <x:v>false layer stronger</x:v>
      </x:c>
      <x:c r="J434" s="118" t="n">
        <x:v>-3891.365096397425</x:v>
      </x:c>
      <x:c r="K434" t="n">
        <x:v>6</x:v>
      </x:c>
      <x:c r="L434" s="123" t="n">
        <x:v>0</x:v>
      </x:c>
    </x:row>
    <x:row r="435">
      <x:c r="A435" s="118" t="n">
        <x:v>12</x:v>
      </x:c>
      <x:c r="B435" t="str">
        <x:v>rough_surface_clutter</x:v>
      </x:c>
      <x:c r="C435" t="str">
        <x:v>VHF_60MHz_shallow</x:v>
      </x:c>
      <x:c r="D435" s="118" t="n">
        <x:v>16033.398823391757</x:v>
      </x:c>
      <x:c r="E435" s="123"/>
      <x:c r="F435" s="123" t="n">
        <x:v>-999</x:v>
      </x:c>
      <x:c r="G435" s="123" t="n">
        <x:v>3.2116111460794308</x:v>
      </x:c>
      <x:c r="H435" s="118" t="n">
        <x:v>2750.4249915384185</x:v>
      </x:c>
      <x:c r="I435" t="str">
        <x:v>surface clutter in shallow window</x:v>
      </x:c>
      <x:c r="J435" s="118" t="n">
        <x:v>-13282.973831853338</x:v>
      </x:c>
      <x:c r="K435" t="n">
        <x:v>0</x:v>
      </x:c>
      <x:c r="L435" s="123" t="n">
        <x:v>0.5703783991380453</x:v>
      </x:c>
    </x:row>
    <x:row r="436">
      <x:c r="A436" s="118" t="n">
        <x:v>12</x:v>
      </x:c>
      <x:c r="B436" t="str">
        <x:v>complex_with_clutter</x:v>
      </x:c>
      <x:c r="C436" t="str">
        <x:v>VHF_60MHz_shallow</x:v>
      </x:c>
      <x:c r="D436" s="118" t="n">
        <x:v>16033.398823391757</x:v>
      </x:c>
      <x:c r="E436" s="123"/>
      <x:c r="F436" s="123" t="n">
        <x:v>10.368082313654483</x:v>
      </x:c>
      <x:c r="G436" s="123" t="n">
        <x:v>4.837189583622861</x:v>
      </x:c>
      <x:c r="H436" s="118" t="n">
        <x:v>2750.4249915384185</x:v>
      </x:c>
      <x:c r="I436" t="str">
        <x:v>surface clutter in shallow window</x:v>
      </x:c>
      <x:c r="J436" s="118" t="n">
        <x:v>-13282.973831853338</x:v>
      </x:c>
      <x:c r="K436" t="n">
        <x:v>10</x:v>
      </x:c>
      <x:c r="L436" s="123" t="n">
        <x:v>0.5703783991380453</x:v>
      </x:c>
    </x:row>
    <x:row r="437">
      <x:c r="A437" s="118" t="n">
        <x:v>12.5</x:v>
      </x:c>
      <x:c r="B437" t="str">
        <x:v>stacked_dirty_layers</x:v>
      </x:c>
      <x:c r="C437" t="str">
        <x:v>HF_9MHz_full_depth</x:v>
      </x:c>
      <x:c r="D437" s="118" t="n">
        <x:v>16021.161227495551</x:v>
      </x:c>
      <x:c r="E437" s="123" t="n">
        <x:v>-3.207190937057449</x:v>
      </x:c>
      <x:c r="F437" s="123" t="n">
        <x:v>9.869034588134168</x:v>
      </x:c>
      <x:c r="G437" s="123" t="n">
        <x:v>-999</x:v>
      </x:c>
      <x:c r="H437" s="118"/>
      <x:c r="I437" t="str">
        <x:v>false layer stronger</x:v>
      </x:c>
      <x:c r="J437" s="118" t="n">
        <x:v>-3899.9927117055286</x:v>
      </x:c>
      <x:c r="K437" t="n">
        <x:v>6</x:v>
      </x:c>
      <x:c r="L437" s="123" t="n">
        <x:v>0</x:v>
      </x:c>
    </x:row>
    <x:row r="438">
      <x:c r="A438" s="118" t="n">
        <x:v>12.5</x:v>
      </x:c>
      <x:c r="B438" t="str">
        <x:v>rough_surface_clutter</x:v>
      </x:c>
      <x:c r="C438" t="str">
        <x:v>VHF_60MHz_shallow</x:v>
      </x:c>
      <x:c r="D438" s="118" t="n">
        <x:v>16021.161227495551</x:v>
      </x:c>
      <x:c r="E438" s="123"/>
      <x:c r="F438" s="123" t="n">
        <x:v>-999</x:v>
      </x:c>
      <x:c r="G438" s="123" t="n">
        <x:v>4.02133969901832</x:v>
      </x:c>
      <x:c r="H438" s="118" t="n">
        <x:v>2766.5419117241254</x:v>
      </x:c>
      <x:c r="I438" t="str">
        <x:v>surface clutter in shallow window</x:v>
      </x:c>
      <x:c r="J438" s="118" t="n">
        <x:v>-13254.619315771426</x:v>
      </x:c>
      <x:c r="K438" t="n">
        <x:v>0</x:v>
      </x:c>
      <x:c r="L438" s="123" t="n">
        <x:v>0.6205163900320941</x:v>
      </x:c>
    </x:row>
    <x:row r="439">
      <x:c r="A439" s="118" t="n">
        <x:v>12.5</x:v>
      </x:c>
      <x:c r="B439" t="str">
        <x:v>complex_with_clutter</x:v>
      </x:c>
      <x:c r="C439" t="str">
        <x:v>VHF_60MHz_shallow</x:v>
      </x:c>
      <x:c r="D439" s="118" t="n">
        <x:v>16021.161227495551</x:v>
      </x:c>
      <x:c r="E439" s="123"/>
      <x:c r="F439" s="123" t="n">
        <x:v>10.321106476251698</x:v>
      </x:c>
      <x:c r="G439" s="123" t="n">
        <x:v>5.789811410609788</x:v>
      </x:c>
      <x:c r="H439" s="118" t="n">
        <x:v>2766.5419117241254</x:v>
      </x:c>
      <x:c r="I439" t="str">
        <x:v>surface clutter in shallow window</x:v>
      </x:c>
      <x:c r="J439" s="118" t="n">
        <x:v>-13254.619315771426</x:v>
      </x:c>
      <x:c r="K439" t="n">
        <x:v>11</x:v>
      </x:c>
      <x:c r="L439" s="123" t="n">
        <x:v>0.6205163900320941</x:v>
      </x:c>
    </x:row>
    <x:row r="440">
      <x:c r="A440" s="118" t="n">
        <x:v>13</x:v>
      </x:c>
      <x:c r="B440" t="str">
        <x:v>stacked_dirty_layers</x:v>
      </x:c>
      <x:c r="C440" t="str">
        <x:v>HF_9MHz_full_depth</x:v>
      </x:c>
      <x:c r="D440" s="118" t="n">
        <x:v>16010.081996804991</x:v>
      </x:c>
      <x:c r="E440" s="123" t="n">
        <x:v>-3.2812389511583318</x:v>
      </x:c>
      <x:c r="F440" s="123" t="n">
        <x:v>9.834844582582972</x:v>
      </x:c>
      <x:c r="G440" s="123" t="n">
        <x:v>-999</x:v>
      </x:c>
      <x:c r="H440" s="118"/>
      <x:c r="I440" t="str">
        <x:v>false layer stronger</x:v>
      </x:c>
      <x:c r="J440" s="118" t="n">
        <x:v>-3909.661587980223</x:v>
      </x:c>
      <x:c r="K440" t="n">
        <x:v>6</x:v>
      </x:c>
      <x:c r="L440" s="123" t="n">
        <x:v>0</x:v>
      </x:c>
    </x:row>
    <x:row r="441">
      <x:c r="A441" s="118" t="n">
        <x:v>13</x:v>
      </x:c>
      <x:c r="B441" t="str">
        <x:v>rough_surface_clutter</x:v>
      </x:c>
      <x:c r="C441" t="str">
        <x:v>VHF_60MHz_shallow</x:v>
      </x:c>
      <x:c r="D441" s="118" t="n">
        <x:v>16010.081996804991</x:v>
      </x:c>
      <x:c r="E441" s="123"/>
      <x:c r="F441" s="123" t="n">
        <x:v>-999</x:v>
      </x:c>
      <x:c r="G441" s="123" t="n">
        <x:v>7.029487134338828</x:v>
      </x:c>
      <x:c r="H441" s="118" t="n">
        <x:v>2851.158434217652</x:v>
      </x:c>
      <x:c r="I441" t="str">
        <x:v>surface clutter in shallow window</x:v>
      </x:c>
      <x:c r="J441" s="118" t="n">
        <x:v>-13158.923562587339</x:v>
      </x:c>
      <x:c r="K441" t="n">
        <x:v>0</x:v>
      </x:c>
      <x:c r="L441" s="123" t="n">
        <x:v>0.8067793891231473</x:v>
      </x:c>
    </x:row>
    <x:row r="442">
      <x:c r="A442" s="118" t="n">
        <x:v>13</x:v>
      </x:c>
      <x:c r="B442" t="str">
        <x:v>complex_with_clutter</x:v>
      </x:c>
      <x:c r="C442" t="str">
        <x:v>VHF_60MHz_shallow</x:v>
      </x:c>
      <x:c r="D442" s="118" t="n">
        <x:v>16010.081996804991</x:v>
      </x:c>
      <x:c r="E442" s="123"/>
      <x:c r="F442" s="123" t="n">
        <x:v>10.165166003882497</x:v>
      </x:c>
      <x:c r="G442" s="123" t="n">
        <x:v>9.328808393339798</x:v>
      </x:c>
      <x:c r="H442" s="118" t="n">
        <x:v>2851.158434217652</x:v>
      </x:c>
      <x:c r="I442" t="str">
        <x:v>surface clutter in shallow window</x:v>
      </x:c>
      <x:c r="J442" s="118" t="n">
        <x:v>-13158.923562587339</x:v>
      </x:c>
      <x:c r="K442" t="n">
        <x:v>11</x:v>
      </x:c>
      <x:c r="L442" s="123" t="n">
        <x:v>0.8067793891231473</x:v>
      </x:c>
    </x:row>
    <x:row r="443">
      <x:c r="A443" s="118" t="n">
        <x:v>13.5</x:v>
      </x:c>
      <x:c r="B443" t="str">
        <x:v>stacked_dirty_layers</x:v>
      </x:c>
      <x:c r="C443" t="str">
        <x:v>HF_9MHz_full_depth</x:v>
      </x:c>
      <x:c r="D443" s="118" t="n">
        <x:v>15999.920769914777</x:v>
      </x:c>
      <x:c r="E443" s="123" t="n">
        <x:v>-3.2748004477407298</x:v>
      </x:c>
      <x:c r="F443" s="123" t="n">
        <x:v>9.882183205691241</x:v>
      </x:c>
      <x:c r="G443" s="123" t="n">
        <x:v>-999</x:v>
      </x:c>
      <x:c r="H443" s="118"/>
      <x:c r="I443" t="str">
        <x:v>false layer stronger</x:v>
      </x:c>
      <x:c r="J443" s="118" t="n">
        <x:v>-3920.2920849673174</x:v>
      </x:c>
      <x:c r="K443" t="n">
        <x:v>6</x:v>
      </x:c>
      <x:c r="L443" s="123" t="n">
        <x:v>0</x:v>
      </x:c>
    </x:row>
    <x:row r="444">
      <x:c r="A444" s="118" t="n">
        <x:v>13.5</x:v>
      </x:c>
      <x:c r="B444" t="str">
        <x:v>rough_surface_clutter</x:v>
      </x:c>
      <x:c r="C444" t="str">
        <x:v>VHF_60MHz_shallow</x:v>
      </x:c>
      <x:c r="D444" s="118" t="n">
        <x:v>15999.920769914777</x:v>
      </x:c>
      <x:c r="E444" s="123"/>
      <x:c r="F444" s="123" t="n">
        <x:v>-999</x:v>
      </x:c>
      <x:c r="G444" s="123" t="n">
        <x:v>5.456952502404773</x:v>
      </x:c>
      <x:c r="H444" s="118" t="n">
        <x:v>2788.9540774890056</x:v>
      </x:c>
      <x:c r="I444" t="str">
        <x:v>surface clutter in shallow window</x:v>
      </x:c>
      <x:c r="J444" s="118" t="n">
        <x:v>-13210.966692425773</x:v>
      </x:c>
      <x:c r="K444" t="n">
        <x:v>0</x:v>
      </x:c>
      <x:c r="L444" s="123" t="n">
        <x:v>0.7094088236783141</x:v>
      </x:c>
    </x:row>
    <x:row r="445">
      <x:c r="A445" s="118" t="n">
        <x:v>13.5</x:v>
      </x:c>
      <x:c r="B445" t="str">
        <x:v>complex_with_clutter</x:v>
      </x:c>
      <x:c r="C445" t="str">
        <x:v>VHF_60MHz_shallow</x:v>
      </x:c>
      <x:c r="D445" s="118" t="n">
        <x:v>15999.920769914777</x:v>
      </x:c>
      <x:c r="E445" s="123"/>
      <x:c r="F445" s="123" t="n">
        <x:v>10.236091397322637</x:v>
      </x:c>
      <x:c r="G445" s="123" t="n">
        <x:v>7.478767649887969</x:v>
      </x:c>
      <x:c r="H445" s="118" t="n">
        <x:v>2788.9540774890056</x:v>
      </x:c>
      <x:c r="I445" t="str">
        <x:v>surface clutter in shallow window</x:v>
      </x:c>
      <x:c r="J445" s="118" t="n">
        <x:v>-13210.966692425773</x:v>
      </x:c>
      <x:c r="K445" t="n">
        <x:v>11</x:v>
      </x:c>
      <x:c r="L445" s="123" t="n">
        <x:v>0.7094088236783141</x:v>
      </x:c>
    </x:row>
    <x:row r="446">
      <x:c r="A446" s="118" t="n">
        <x:v>14</x:v>
      </x:c>
      <x:c r="B446" t="str">
        <x:v>stacked_dirty_layers</x:v>
      </x:c>
      <x:c r="C446" t="str">
        <x:v>HF_9MHz_full_depth</x:v>
      </x:c>
      <x:c r="D446" s="118" t="n">
        <x:v>15985.326614254289</x:v>
      </x:c>
      <x:c r="E446" s="123" t="n">
        <x:v>-3.2604357839870746</x:v>
      </x:c>
      <x:c r="F446" s="123" t="n">
        <x:v>9.934637251302634</x:v>
      </x:c>
      <x:c r="G446" s="123" t="n">
        <x:v>-999</x:v>
      </x:c>
      <x:c r="H446" s="118"/>
      <x:c r="I446" t="str">
        <x:v>false layer stronger</x:v>
      </x:c>
      <x:c r="J446" s="118" t="n">
        <x:v>-3930.5104860769043</x:v>
      </x:c>
      <x:c r="K446" t="n">
        <x:v>6</x:v>
      </x:c>
      <x:c r="L446" s="123" t="n">
        <x:v>0</x:v>
      </x:c>
    </x:row>
    <x:row r="447">
      <x:c r="A447" s="118" t="n">
        <x:v>14</x:v>
      </x:c>
      <x:c r="B447" t="str">
        <x:v>rough_surface_clutter</x:v>
      </x:c>
      <x:c r="C447" t="str">
        <x:v>VHF_60MHz_shallow</x:v>
      </x:c>
      <x:c r="D447" s="118" t="n">
        <x:v>15985.326614254289</x:v>
      </x:c>
      <x:c r="E447" s="123"/>
      <x:c r="F447" s="123" t="n">
        <x:v>-999</x:v>
      </x:c>
      <x:c r="G447" s="123" t="n">
        <x:v>3.7888042213615005</x:v>
      </x:c>
      <x:c r="H447" s="118" t="n">
        <x:v>2722.41327337493</x:v>
      </x:c>
      <x:c r="I447" t="str">
        <x:v>surface clutter in shallow window</x:v>
      </x:c>
      <x:c r="J447" s="118" t="n">
        <x:v>-13262.913340879359</x:v>
      </x:c>
      <x:c r="K447" t="n">
        <x:v>0</x:v>
      </x:c>
      <x:c r="L447" s="123" t="n">
        <x:v>0.6061179084434366</x:v>
      </x:c>
    </x:row>
    <x:row r="448">
      <x:c r="A448" s="118" t="n">
        <x:v>14</x:v>
      </x:c>
      <x:c r="B448" t="str">
        <x:v>complex_with_clutter</x:v>
      </x:c>
      <x:c r="C448" t="str">
        <x:v>VHF_60MHz_shallow</x:v>
      </x:c>
      <x:c r="D448" s="118" t="n">
        <x:v>15985.326614254289</x:v>
      </x:c>
      <x:c r="E448" s="123"/>
      <x:c r="F448" s="123" t="n">
        <x:v>10.31173589630217</x:v>
      </x:c>
      <x:c r="G448" s="123" t="n">
        <x:v>5.516240260425295</x:v>
      </x:c>
      <x:c r="H448" s="118" t="n">
        <x:v>2722.41327337493</x:v>
      </x:c>
      <x:c r="I448" t="str">
        <x:v>surface clutter in shallow window</x:v>
      </x:c>
      <x:c r="J448" s="118" t="n">
        <x:v>-13262.913340879359</x:v>
      </x:c>
      <x:c r="K448" t="n">
        <x:v>11</x:v>
      </x:c>
      <x:c r="L448" s="123" t="n">
        <x:v>0.6061179084434366</x:v>
      </x:c>
    </x:row>
    <x:row r="449">
      <x:c r="A449" s="118" t="n">
        <x:v>14.5</x:v>
      </x:c>
      <x:c r="B449" t="str">
        <x:v>stacked_dirty_layers</x:v>
      </x:c>
      <x:c r="C449" t="str">
        <x:v>HF_9MHz_full_depth</x:v>
      </x:c>
      <x:c r="D449" s="118" t="n">
        <x:v>15969.73928107725</x:v>
      </x:c>
      <x:c r="E449" s="123" t="n">
        <x:v>-3.2899780063699886</x:v>
      </x:c>
      <x:c r="F449" s="123" t="n">
        <x:v>9.942637231370036</x:v>
      </x:c>
      <x:c r="G449" s="123" t="n">
        <x:v>-999</x:v>
      </x:c>
      <x:c r="H449" s="118"/>
      <x:c r="I449" t="str">
        <x:v>false layer stronger</x:v>
      </x:c>
      <x:c r="J449" s="118" t="n">
        <x:v>-3941.153746293452</x:v>
      </x:c>
      <x:c r="K449" t="n">
        <x:v>6</x:v>
      </x:c>
      <x:c r="L449" s="123" t="n">
        <x:v>0</x:v>
      </x:c>
    </x:row>
    <x:row r="450">
      <x:c r="A450" s="118" t="n">
        <x:v>14.5</x:v>
      </x:c>
      <x:c r="B450" t="str">
        <x:v>rough_surface_clutter</x:v>
      </x:c>
      <x:c r="C450" t="str">
        <x:v>VHF_60MHz_shallow</x:v>
      </x:c>
      <x:c r="D450" s="118" t="n">
        <x:v>15969.73928107725</x:v>
      </x:c>
      <x:c r="E450" s="123"/>
      <x:c r="F450" s="123" t="n">
        <x:v>-999</x:v>
      </x:c>
      <x:c r="G450" s="123" t="n">
        <x:v>4.716182113060539</x:v>
      </x:c>
      <x:c r="H450" s="118" t="n">
        <x:v>2737.038700723069</x:v>
      </x:c>
      <x:c r="I450" t="str">
        <x:v>surface clutter in shallow window</x:v>
      </x:c>
      <x:c r="J450" s="118" t="n">
        <x:v>-13232.700580354182</x:v>
      </x:c>
      <x:c r="K450" t="n">
        <x:v>0</x:v>
      </x:c>
      <x:c r="L450" s="123" t="n">
        <x:v>0.6635406881152036</x:v>
      </x:c>
    </x:row>
    <x:row r="451">
      <x:c r="A451" s="118" t="n">
        <x:v>14.5</x:v>
      </x:c>
      <x:c r="B451" t="str">
        <x:v>complex_with_clutter</x:v>
      </x:c>
      <x:c r="C451" t="str">
        <x:v>VHF_60MHz_shallow</x:v>
      </x:c>
      <x:c r="D451" s="118" t="n">
        <x:v>15969.73928107725</x:v>
      </x:c>
      <x:c r="E451" s="123"/>
      <x:c r="F451" s="123" t="n">
        <x:v>10.258816149480468</x:v>
      </x:c>
      <x:c r="G451" s="123" t="n">
        <x:v>6.607273074188869</x:v>
      </x:c>
      <x:c r="H451" s="118" t="n">
        <x:v>2737.038700723069</x:v>
      </x:c>
      <x:c r="I451" t="str">
        <x:v>surface clutter in shallow window</x:v>
      </x:c>
      <x:c r="J451" s="118" t="n">
        <x:v>-13232.700580354182</x:v>
      </x:c>
      <x:c r="K451" t="n">
        <x:v>11</x:v>
      </x:c>
      <x:c r="L451" s="123" t="n">
        <x:v>0.6635406881152036</x:v>
      </x:c>
    </x:row>
    <x:row r="452">
      <x:c r="A452" s="118" t="n">
        <x:v>15</x:v>
      </x:c>
      <x:c r="B452" t="str">
        <x:v>stacked_dirty_layers</x:v>
      </x:c>
      <x:c r="C452" t="str">
        <x:v>HF_9MHz_full_depth</x:v>
      </x:c>
      <x:c r="D452" s="118" t="n">
        <x:v>15955.784004300433</x:v>
      </x:c>
      <x:c r="E452" s="123" t="n">
        <x:v>-3.321346348162084</x:v>
      </x:c>
      <x:c r="F452" s="123" t="n">
        <x:v>9.949896519266476</x:v>
      </x:c>
      <x:c r="G452" s="123" t="n">
        <x:v>-999</x:v>
      </x:c>
      <x:c r="H452" s="118"/>
      <x:c r="I452" t="str">
        <x:v>false layer stronger</x:v>
      </x:c>
      <x:c r="J452" s="118" t="n">
        <x:v>-3952.862254642445</x:v>
      </x:c>
      <x:c r="K452" t="n">
        <x:v>6</x:v>
      </x:c>
      <x:c r="L452" s="123" t="n">
        <x:v>0</x:v>
      </x:c>
    </x:row>
    <x:row r="453">
      <x:c r="A453" s="118" t="n">
        <x:v>15</x:v>
      </x:c>
      <x:c r="B453" t="str">
        <x:v>rough_surface_clutter</x:v>
      </x:c>
      <x:c r="C453" t="str">
        <x:v>VHF_60MHz_shallow</x:v>
      </x:c>
      <x:c r="D453" s="118" t="n">
        <x:v>15955.784004300433</x:v>
      </x:c>
      <x:c r="E453" s="123"/>
      <x:c r="F453" s="123" t="n">
        <x:v>-999</x:v>
      </x:c>
      <x:c r="G453" s="123" t="n">
        <x:v>5.68368329193126</x:v>
      </x:c>
      <x:c r="H453" s="118" t="n">
        <x:v>2751.679985816455</x:v>
      </x:c>
      <x:c r="I453" t="str">
        <x:v>surface clutter in shallow window</x:v>
      </x:c>
      <x:c r="J453" s="118" t="n">
        <x:v>-13204.104018483977</x:v>
      </x:c>
      <x:c r="K453" t="n">
        <x:v>0</x:v>
      </x:c>
      <x:c r="L453" s="123" t="n">
        <x:v>0.7234478818533288</x:v>
      </x:c>
    </x:row>
    <x:row r="454">
      <x:c r="A454" s="118" t="n">
        <x:v>15</x:v>
      </x:c>
      <x:c r="B454" t="str">
        <x:v>complex_with_clutter</x:v>
      </x:c>
      <x:c r="C454" t="str">
        <x:v>VHF_60MHz_shallow</x:v>
      </x:c>
      <x:c r="D454" s="118" t="n">
        <x:v>15955.784004300433</x:v>
      </x:c>
      <x:c r="E454" s="123"/>
      <x:c r="F454" s="123" t="n">
        <x:v>5.078722737708688</x:v>
      </x:c>
      <x:c r="G454" s="123" t="n">
        <x:v>7.745509755213247</x:v>
      </x:c>
      <x:c r="H454" s="118" t="n">
        <x:v>2751.679985816455</x:v>
      </x:c>
      <x:c r="I454" t="str">
        <x:v>surface clutter in shallow window</x:v>
      </x:c>
      <x:c r="J454" s="118" t="n">
        <x:v>-13204.104018483977</x:v>
      </x:c>
      <x:c r="K454" t="n">
        <x:v>11</x:v>
      </x:c>
      <x:c r="L454" s="123" t="n">
        <x:v>0.7234478818533288</x:v>
      </x:c>
    </x:row>
    <x:row r="455">
      <x:c r="A455" s="118" t="n">
        <x:v>15.5</x:v>
      </x:c>
      <x:c r="B455" t="str">
        <x:v>stacked_dirty_layers</x:v>
      </x:c>
      <x:c r="C455" t="str">
        <x:v>HF_9MHz_full_depth</x:v>
      </x:c>
      <x:c r="D455" s="118" t="n">
        <x:v>15939.048750669783</x:v>
      </x:c>
      <x:c r="E455" s="123" t="n">
        <x:v>-3.2746608901508485</x:v>
      </x:c>
      <x:c r="F455" s="123" t="n">
        <x:v>10.033250001133554</x:v>
      </x:c>
      <x:c r="G455" s="123" t="n">
        <x:v>-999</x:v>
      </x:c>
      <x:c r="H455" s="118"/>
      <x:c r="I455" t="str">
        <x:v>false layer stronger</x:v>
      </x:c>
      <x:c r="J455" s="118" t="n">
        <x:v>-3964.48579673974</x:v>
      </x:c>
      <x:c r="K455" t="n">
        <x:v>6</x:v>
      </x:c>
      <x:c r="L455" s="123" t="n">
        <x:v>0</x:v>
      </x:c>
    </x:row>
    <x:row r="456">
      <x:c r="A456" s="118" t="n">
        <x:v>15.5</x:v>
      </x:c>
      <x:c r="B456" t="str">
        <x:v>rough_surface_clutter</x:v>
      </x:c>
      <x:c r="C456" t="str">
        <x:v>VHF_60MHz_shallow</x:v>
      </x:c>
      <x:c r="D456" s="118" t="n">
        <x:v>15939.048750669783</x:v>
      </x:c>
      <x:c r="E456" s="123"/>
      <x:c r="F456" s="123" t="n">
        <x:v>-999</x:v>
      </x:c>
      <x:c r="G456" s="123" t="n">
        <x:v>2.4829910741890107</x:v>
      </x:c>
      <x:c r="H456" s="118" t="n">
        <x:v>2632.6842372882047</x:v>
      </x:c>
      <x:c r="I456" t="str">
        <x:v>surface clutter in shallow window</x:v>
      </x:c>
      <x:c r="J456" s="118" t="n">
        <x:v>-13306.364513381577</x:v>
      </x:c>
      <x:c r="K456" t="n">
        <x:v>0</x:v>
      </x:c>
      <x:c r="L456" s="123" t="n">
        <x:v>0.5252626052129419</x:v>
      </x:c>
    </x:row>
    <x:row r="457">
      <x:c r="A457" s="118" t="n">
        <x:v>15.5</x:v>
      </x:c>
      <x:c r="B457" t="str">
        <x:v>complex_with_clutter</x:v>
      </x:c>
      <x:c r="C457" t="str">
        <x:v>VHF_60MHz_shallow</x:v>
      </x:c>
      <x:c r="D457" s="118" t="n">
        <x:v>15939.048750669783</x:v>
      </x:c>
      <x:c r="E457" s="123"/>
      <x:c r="F457" s="123" t="n">
        <x:v>5.23037431726758</x:v>
      </x:c>
      <x:c r="G457" s="123" t="n">
        <x:v>3.979989499045896</x:v>
      </x:c>
      <x:c r="H457" s="118" t="n">
        <x:v>2632.6842372882047</x:v>
      </x:c>
      <x:c r="I457" t="str">
        <x:v>surface clutter in shallow window</x:v>
      </x:c>
      <x:c r="J457" s="118" t="n">
        <x:v>-13306.364513381577</x:v>
      </x:c>
      <x:c r="K457" t="n">
        <x:v>11</x:v>
      </x:c>
      <x:c r="L457" s="123" t="n">
        <x:v>0.5252626052129419</x:v>
      </x:c>
    </x:row>
    <x:row r="458">
      <x:c r="A458" s="118" t="n">
        <x:v>16</x:v>
      </x:c>
      <x:c r="B458" t="str">
        <x:v>stacked_dirty_layers</x:v>
      </x:c>
      <x:c r="C458" t="str">
        <x:v>HF_9MHz_full_depth</x:v>
      </x:c>
      <x:c r="D458" s="118" t="n">
        <x:v>15920.135353699008</x:v>
      </x:c>
      <x:c r="E458" s="123" t="n">
        <x:v>-3.306264024376399</x:v>
      </x:c>
      <x:c r="F458" s="123" t="n">
        <x:v>10.03666906937579</x:v>
      </x:c>
      <x:c r="G458" s="123" t="n">
        <x:v>-999</x:v>
      </x:c>
      <x:c r="H458" s="118"/>
      <x:c r="I458" t="str">
        <x:v>false layer stronger</x:v>
      </x:c>
      <x:c r="J458" s="118" t="n">
        <x:v>-3976.142812400287</x:v>
      </x:c>
      <x:c r="K458" t="n">
        <x:v>6</x:v>
      </x:c>
      <x:c r="L458" s="123" t="n">
        <x:v>0</x:v>
      </x:c>
    </x:row>
    <x:row r="459">
      <x:c r="A459" s="118" t="n">
        <x:v>16</x:v>
      </x:c>
      <x:c r="B459" t="str">
        <x:v>rough_surface_clutter</x:v>
      </x:c>
      <x:c r="C459" t="str">
        <x:v>VHF_60MHz_shallow</x:v>
      </x:c>
      <x:c r="D459" s="118" t="n">
        <x:v>15920.135353699008</x:v>
      </x:c>
      <x:c r="E459" s="123"/>
      <x:c r="F459" s="123" t="n">
        <x:v>-999</x:v>
      </x:c>
      <x:c r="G459" s="123" t="n">
        <x:v>3.913517462223375</x:v>
      </x:c>
      <x:c r="H459" s="118" t="n">
        <x:v>2659.5870096650265</x:v>
      </x:c>
      <x:c r="I459" t="str">
        <x:v>surface clutter in shallow window</x:v>
      </x:c>
      <x:c r="J459" s="118" t="n">
        <x:v>-13260.548344033981</x:v>
      </x:c>
      <x:c r="K459" t="n">
        <x:v>0</x:v>
      </x:c>
      <x:c r="L459" s="123" t="n">
        <x:v>0.6138400905401471</x:v>
      </x:c>
    </x:row>
    <x:row r="460">
      <x:c r="A460" s="118" t="n">
        <x:v>16</x:v>
      </x:c>
      <x:c r="B460" t="str">
        <x:v>complex_with_clutter</x:v>
      </x:c>
      <x:c r="C460" t="str">
        <x:v>VHF_60MHz_shallow</x:v>
      </x:c>
      <x:c r="D460" s="118" t="n">
        <x:v>15920.135353699008</x:v>
      </x:c>
      <x:c r="E460" s="123"/>
      <x:c r="F460" s="123" t="n">
        <x:v>5.152693520226125</x:v>
      </x:c>
      <x:c r="G460" s="123" t="n">
        <x:v>5.662961720262794</x:v>
      </x:c>
      <x:c r="H460" s="118" t="n">
        <x:v>2659.5870096650265</x:v>
      </x:c>
      <x:c r="I460" t="str">
        <x:v>surface clutter in shallow window</x:v>
      </x:c>
      <x:c r="J460" s="118" t="n">
        <x:v>-13260.548344033981</x:v>
      </x:c>
      <x:c r="K460" t="n">
        <x:v>11</x:v>
      </x:c>
      <x:c r="L460" s="123" t="n">
        <x:v>0.6138400905401471</x:v>
      </x:c>
    </x:row>
    <x:row r="461">
      <x:c r="A461" s="118" t="n">
        <x:v>16.5</x:v>
      </x:c>
      <x:c r="B461" t="str">
        <x:v>stacked_dirty_layers</x:v>
      </x:c>
      <x:c r="C461" t="str">
        <x:v>HF_9MHz_full_depth</x:v>
      </x:c>
      <x:c r="D461" s="118" t="n">
        <x:v>15900.088700233617</x:v>
      </x:c>
      <x:c r="E461" s="123" t="n">
        <x:v>-3.284945197608305</x:v>
      </x:c>
      <x:c r="F461" s="123" t="n">
        <x:v>10.091940729746376</x:v>
      </x:c>
      <x:c r="G461" s="123" t="n">
        <x:v>-999</x:v>
      </x:c>
      <x:c r="H461" s="118"/>
      <x:c r="I461" t="str">
        <x:v>false layer stronger</x:v>
      </x:c>
      <x:c r="J461" s="118" t="n">
        <x:v>-3988.0670211147462</x:v>
      </x:c>
      <x:c r="K461" t="n">
        <x:v>6</x:v>
      </x:c>
      <x:c r="L461" s="123" t="n">
        <x:v>0</x:v>
      </x:c>
    </x:row>
    <x:row r="462">
      <x:c r="A462" s="118" t="n">
        <x:v>16.5</x:v>
      </x:c>
      <x:c r="B462" t="str">
        <x:v>rough_surface_clutter</x:v>
      </x:c>
      <x:c r="C462" t="str">
        <x:v>VHF_60MHz_shallow</x:v>
      </x:c>
      <x:c r="D462" s="118" t="n">
        <x:v>15900.088700233617</x:v>
      </x:c>
      <x:c r="E462" s="123"/>
      <x:c r="F462" s="123" t="n">
        <x:v>-999</x:v>
      </x:c>
      <x:c r="G462" s="123" t="n">
        <x:v>2.4901990512518637</x:v>
      </x:c>
      <x:c r="H462" s="118" t="n">
        <x:v>2594.654020141332</x:v>
      </x:c>
      <x:c r="I462" t="str">
        <x:v>surface clutter in shallow window</x:v>
      </x:c>
      <x:c r="J462" s="118" t="n">
        <x:v>-13305.434680092285</x:v>
      </x:c>
      <x:c r="K462" t="n">
        <x:v>0</x:v>
      </x:c>
      <x:c r="L462" s="123" t="n">
        <x:v>0.5257089195821587</x:v>
      </x:c>
    </x:row>
    <x:row r="463">
      <x:c r="A463" s="118" t="n">
        <x:v>16.5</x:v>
      </x:c>
      <x:c r="B463" t="str">
        <x:v>complex_with_clutter</x:v>
      </x:c>
      <x:c r="C463" t="str">
        <x:v>VHF_60MHz_shallow</x:v>
      </x:c>
      <x:c r="D463" s="118" t="n">
        <x:v>15900.088700233617</x:v>
      </x:c>
      <x:c r="E463" s="123"/>
      <x:c r="F463" s="123" t="n">
        <x:v>5.216480689923471</x:v>
      </x:c>
      <x:c r="G463" s="123" t="n">
        <x:v>3.9884694720610163</x:v>
      </x:c>
      <x:c r="H463" s="118" t="n">
        <x:v>2594.654020141332</x:v>
      </x:c>
      <x:c r="I463" t="str">
        <x:v>surface clutter in shallow window</x:v>
      </x:c>
      <x:c r="J463" s="118" t="n">
        <x:v>-13305.434680092285</x:v>
      </x:c>
      <x:c r="K463" t="n">
        <x:v>11</x:v>
      </x:c>
      <x:c r="L463" s="123" t="n">
        <x:v>0.5257089195821587</x:v>
      </x:c>
    </x:row>
    <x:row r="464">
      <x:c r="A464" s="118" t="n">
        <x:v>17</x:v>
      </x:c>
      <x:c r="B464" t="str">
        <x:v>stacked_dirty_layers</x:v>
      </x:c>
      <x:c r="C464" t="str">
        <x:v>HF_9MHz_full_depth</x:v>
      </x:c>
      <x:c r="D464" s="118" t="n">
        <x:v>15880.399991454993</x:v>
      </x:c>
      <x:c r="E464" s="123" t="n">
        <x:v>-3.296753535947378</x:v>
      </x:c>
      <x:c r="F464" s="123" t="n">
        <x:v>10.11390478483708</x:v>
      </x:c>
      <x:c r="G464" s="123" t="n">
        <x:v>-999</x:v>
      </x:c>
      <x:c r="H464" s="118"/>
      <x:c r="I464" t="str">
        <x:v>false layer stronger</x:v>
      </x:c>
      <x:c r="J464" s="118" t="n">
        <x:v>-4000.6110369318976</x:v>
      </x:c>
      <x:c r="K464" t="n">
        <x:v>6</x:v>
      </x:c>
      <x:c r="L464" s="123" t="n">
        <x:v>0</x:v>
      </x:c>
    </x:row>
    <x:row r="465">
      <x:c r="A465" s="118" t="n">
        <x:v>17</x:v>
      </x:c>
      <x:c r="B465" t="str">
        <x:v>rough_surface_clutter</x:v>
      </x:c>
      <x:c r="C465" t="str">
        <x:v>VHF_60MHz_shallow</x:v>
      </x:c>
      <x:c r="D465" s="118" t="n">
        <x:v>15880.399991454993</x:v>
      </x:c>
      <x:c r="E465" s="123"/>
      <x:c r="F465" s="123" t="n">
        <x:v>-999</x:v>
      </x:c>
      <x:c r="G465" s="123" t="n">
        <x:v>2.977795320009669</x:v>
      </x:c>
      <x:c r="H465" s="118" t="n">
        <x:v>2589.264703302888</x:v>
      </x:c>
      <x:c r="I465" t="str">
        <x:v>surface clutter in shallow window</x:v>
      </x:c>
      <x:c r="J465" s="118" t="n">
        <x:v>-13291.135288152105</x:v>
      </x:c>
      <x:c r="K465" t="n">
        <x:v>0</x:v>
      </x:c>
      <x:c r="L465" s="123" t="n">
        <x:v>0.5559006390098866</x:v>
      </x:c>
    </x:row>
    <x:row r="466">
      <x:c r="A466" s="118" t="n">
        <x:v>17</x:v>
      </x:c>
      <x:c r="B466" t="str">
        <x:v>complex_with_clutter</x:v>
      </x:c>
      <x:c r="C466" t="str">
        <x:v>VHF_60MHz_shallow</x:v>
      </x:c>
      <x:c r="D466" s="118" t="n">
        <x:v>15880.399991454993</x:v>
      </x:c>
      <x:c r="E466" s="123"/>
      <x:c r="F466" s="123" t="n">
        <x:v>5.185733388994018</x:v>
      </x:c>
      <x:c r="G466" s="123" t="n">
        <x:v>4.562112141187846</x:v>
      </x:c>
      <x:c r="H466" s="118" t="n">
        <x:v>2589.264703302888</x:v>
      </x:c>
      <x:c r="I466" t="str">
        <x:v>surface clutter in shallow window</x:v>
      </x:c>
      <x:c r="J466" s="118" t="n">
        <x:v>-13291.135288152105</x:v>
      </x:c>
      <x:c r="K466" t="n">
        <x:v>11</x:v>
      </x:c>
      <x:c r="L466" s="123" t="n">
        <x:v>0.5559006390098866</x:v>
      </x:c>
    </x:row>
    <x:row r="467">
      <x:c r="A467" s="118" t="n">
        <x:v>17.5</x:v>
      </x:c>
      <x:c r="B467" t="str">
        <x:v>stacked_dirty_layers</x:v>
      </x:c>
      <x:c r="C467" t="str">
        <x:v>HF_9MHz_full_depth</x:v>
      </x:c>
      <x:c r="D467" s="118" t="n">
        <x:v>15857.998232165117</x:v>
      </x:c>
      <x:c r="E467" s="123" t="n">
        <x:v>-3.3163172731444712</x:v>
      </x:c>
      <x:c r="F467" s="123" t="n">
        <x:v>10.125768948591654</x:v>
      </x:c>
      <x:c r="G467" s="123" t="n">
        <x:v>-999</x:v>
      </x:c>
      <x:c r="H467" s="118"/>
      <x:c r="I467" t="str">
        <x:v>false layer stronger</x:v>
      </x:c>
      <x:c r="J467" s="118" t="n">
        <x:v>-4012.9465637766025</x:v>
      </x:c>
      <x:c r="K467" t="n">
        <x:v>6</x:v>
      </x:c>
      <x:c r="L467" s="123" t="n">
        <x:v>0</x:v>
      </x:c>
    </x:row>
    <x:row r="468">
      <x:c r="A468" s="118" t="n">
        <x:v>17.5</x:v>
      </x:c>
      <x:c r="B468" t="str">
        <x:v>rough_surface_clutter</x:v>
      </x:c>
      <x:c r="C468" t="str">
        <x:v>VHF_60MHz_shallow</x:v>
      </x:c>
      <x:c r="D468" s="118" t="n">
        <x:v>15857.998232165117</x:v>
      </x:c>
      <x:c r="E468" s="123"/>
      <x:c r="F468" s="123" t="n">
        <x:v>-999</x:v>
      </x:c>
      <x:c r="G468" s="123" t="n">
        <x:v>4.1564965113788315</x:v>
      </x:c>
      <x:c r="H468" s="118" t="n">
        <x:v>2604.7020680420164</x:v>
      </x:c>
      <x:c r="I468" t="str">
        <x:v>surface clutter in shallow window</x:v>
      </x:c>
      <x:c r="J468" s="118" t="n">
        <x:v>-13253.296164123101</x:v>
      </x:c>
      <x:c r="K468" t="n">
        <x:v>0</x:v>
      </x:c>
      <x:c r="L468" s="123" t="n">
        <x:v>0.628885232902714</x:v>
      </x:c>
    </x:row>
    <x:row r="469">
      <x:c r="A469" s="118" t="n">
        <x:v>17.5</x:v>
      </x:c>
      <x:c r="B469" t="str">
        <x:v>complex_with_clutter</x:v>
      </x:c>
      <x:c r="C469" t="str">
        <x:v>VHF_60MHz_shallow</x:v>
      </x:c>
      <x:c r="D469" s="118" t="n">
        <x:v>15857.998232165117</x:v>
      </x:c>
      <x:c r="E469" s="123"/>
      <x:c r="F469" s="123" t="n">
        <x:v>5.120897927684598</x:v>
      </x:c>
      <x:c r="G469" s="123" t="n">
        <x:v>5.948819425151566</x:v>
      </x:c>
      <x:c r="H469" s="118" t="n">
        <x:v>2604.7020680420164</x:v>
      </x:c>
      <x:c r="I469" t="str">
        <x:v>surface clutter in shallow window</x:v>
      </x:c>
      <x:c r="J469" s="118" t="n">
        <x:v>-13253.296164123101</x:v>
      </x:c>
      <x:c r="K469" t="n">
        <x:v>11</x:v>
      </x:c>
      <x:c r="L469" s="123" t="n">
        <x:v>0.628885232902714</x:v>
      </x:c>
    </x:row>
    <x:row r="470">
      <x:c r="A470" s="118" t="n">
        <x:v>18</x:v>
      </x:c>
      <x:c r="B470" t="str">
        <x:v>stacked_dirty_layers</x:v>
      </x:c>
      <x:c r="C470" t="str">
        <x:v>HF_9MHz_full_depth</x:v>
      </x:c>
      <x:c r="D470" s="118" t="n">
        <x:v>15835.432705922185</x:v>
      </x:c>
      <x:c r="E470" s="123" t="n">
        <x:v>-3.2739923549998227</x:v>
      </x:c>
      <x:c r="F470" s="123" t="n">
        <x:v>10.198777730968407</x:v>
      </x:c>
      <x:c r="G470" s="123" t="n">
        <x:v>-999</x:v>
      </x:c>
      <x:c r="H470" s="118"/>
      <x:c r="I470" t="str">
        <x:v>false layer stronger</x:v>
      </x:c>
      <x:c r="J470" s="118" t="n">
        <x:v>-4025.6987408440455</x:v>
      </x:c>
      <x:c r="K470" t="n">
        <x:v>6</x:v>
      </x:c>
      <x:c r="L470" s="123" t="n">
        <x:v>0</x:v>
      </x:c>
    </x:row>
    <x:row r="471">
      <x:c r="A471" s="118" t="n">
        <x:v>18</x:v>
      </x:c>
      <x:c r="B471" t="str">
        <x:v>rough_surface_clutter</x:v>
      </x:c>
      <x:c r="C471" t="str">
        <x:v>VHF_60MHz_shallow</x:v>
      </x:c>
      <x:c r="D471" s="118" t="n">
        <x:v>15835.432705922185</x:v>
      </x:c>
      <x:c r="E471" s="123"/>
      <x:c r="F471" s="123" t="n">
        <x:v>-999</x:v>
      </x:c>
      <x:c r="G471" s="123" t="n">
        <x:v>1.9175371722942405</x:v>
      </x:c>
      <x:c r="H471" s="118" t="n">
        <x:v>2510.4839083365655</x:v>
      </x:c>
      <x:c r="I471" t="str">
        <x:v>surface clutter in shallow window</x:v>
      </x:c>
      <x:c r="J471" s="118" t="n">
        <x:v>-13324.94879758562</x:v>
      </x:c>
      <x:c r="K471" t="n">
        <x:v>0</x:v>
      </x:c>
      <x:c r="L471" s="123" t="n">
        <x:v>0.4902499797086217</x:v>
      </x:c>
    </x:row>
    <x:row r="472">
      <x:c r="A472" s="118" t="n">
        <x:v>18</x:v>
      </x:c>
      <x:c r="B472" t="str">
        <x:v>complex_with_clutter</x:v>
      </x:c>
      <x:c r="C472" t="str">
        <x:v>VHF_60MHz_shallow</x:v>
      </x:c>
      <x:c r="D472" s="118" t="n">
        <x:v>15835.432705922185</x:v>
      </x:c>
      <x:c r="E472" s="123"/>
      <x:c r="F472" s="123" t="n">
        <x:v>5.225526186431739</x:v>
      </x:c>
      <x:c r="G472" s="123" t="n">
        <x:v>3.314749614463812</x:v>
      </x:c>
      <x:c r="H472" s="118" t="n">
        <x:v>2510.4839083365655</x:v>
      </x:c>
      <x:c r="I472" t="str">
        <x:v>surface clutter in shallow window</x:v>
      </x:c>
      <x:c r="J472" s="118" t="n">
        <x:v>-13324.94879758562</x:v>
      </x:c>
      <x:c r="K472" t="n">
        <x:v>11</x:v>
      </x:c>
      <x:c r="L472" s="123" t="n">
        <x:v>0.4902499797086217</x:v>
      </x:c>
    </x:row>
    <x:row r="473">
      <x:c r="A473" s="118" t="n">
        <x:v>18.5</x:v>
      </x:c>
      <x:c r="B473" t="str">
        <x:v>stacked_dirty_layers</x:v>
      </x:c>
      <x:c r="C473" t="str">
        <x:v>HF_9MHz_full_depth</x:v>
      </x:c>
      <x:c r="D473" s="118" t="n">
        <x:v>15813.188429767826</x:v>
      </x:c>
      <x:c r="E473" s="123" t="n">
        <x:v>-3.2983247700421736</x:v>
      </x:c>
      <x:c r="F473" s="123" t="n">
        <x:v>10.204610762652546</x:v>
      </x:c>
      <x:c r="G473" s="123" t="n">
        <x:v>-999</x:v>
      </x:c>
      <x:c r="H473" s="118"/>
      <x:c r="I473" t="str">
        <x:v>false layer stronger</x:v>
      </x:c>
      <x:c r="J473" s="118" t="n">
        <x:v>-4038.9619628140554</x:v>
      </x:c>
      <x:c r="K473" t="n">
        <x:v>6</x:v>
      </x:c>
      <x:c r="L473" s="123" t="n">
        <x:v>0</x:v>
      </x:c>
    </x:row>
    <x:row r="474">
      <x:c r="A474" s="118" t="n">
        <x:v>18.5</x:v>
      </x:c>
      <x:c r="B474" t="str">
        <x:v>rough_surface_clutter</x:v>
      </x:c>
      <x:c r="C474" t="str">
        <x:v>VHF_60MHz_shallow</x:v>
      </x:c>
      <x:c r="D474" s="118" t="n">
        <x:v>15813.188429767826</x:v>
      </x:c>
      <x:c r="E474" s="123"/>
      <x:c r="F474" s="123" t="n">
        <x:v>-999</x:v>
      </x:c>
      <x:c r="G474" s="123" t="n">
        <x:v>3.4966104890901146</x:v>
      </x:c>
      <x:c r="H474" s="118" t="n">
        <x:v>2536.4829781615617</x:v>
      </x:c>
      <x:c r="I474" t="str">
        <x:v>surface clutter in shallow window</x:v>
      </x:c>
      <x:c r="J474" s="118" t="n">
        <x:v>-13276.705451606264</x:v>
      </x:c>
      <x:c r="K474" t="n">
        <x:v>0</x:v>
      </x:c>
      <x:c r="L474" s="123" t="n">
        <x:v>0.5880254172811217</x:v>
      </x:c>
    </x:row>
    <x:row r="475">
      <x:c r="A475" s="118" t="n">
        <x:v>18.5</x:v>
      </x:c>
      <x:c r="B475" t="str">
        <x:v>complex_with_clutter</x:v>
      </x:c>
      <x:c r="C475" t="str">
        <x:v>VHF_60MHz_shallow</x:v>
      </x:c>
      <x:c r="D475" s="118" t="n">
        <x:v>15813.188429767826</x:v>
      </x:c>
      <x:c r="E475" s="123"/>
      <x:c r="F475" s="123" t="n">
        <x:v>5.141214754218345</x:v>
      </x:c>
      <x:c r="G475" s="123" t="n">
        <x:v>5.172482928341312</x:v>
      </x:c>
      <x:c r="H475" s="118" t="n">
        <x:v>2536.4829781615617</x:v>
      </x:c>
      <x:c r="I475" t="str">
        <x:v>surface clutter in shallow window</x:v>
      </x:c>
      <x:c r="J475" s="118" t="n">
        <x:v>-13276.705451606264</x:v>
      </x:c>
      <x:c r="K475" t="n">
        <x:v>11</x:v>
      </x:c>
      <x:c r="L475" s="123" t="n">
        <x:v>0.5880254172811217</x:v>
      </x:c>
    </x:row>
    <x:row r="476">
      <x:c r="A476" s="118" t="n">
        <x:v>19</x:v>
      </x:c>
      <x:c r="B476" t="str">
        <x:v>stacked_dirty_layers</x:v>
      </x:c>
      <x:c r="C476" t="str">
        <x:v>HF_9MHz_full_depth</x:v>
      </x:c>
      <x:c r="D476" s="118" t="n">
        <x:v>15787.561669406818</x:v>
      </x:c>
      <x:c r="E476" s="123" t="n">
        <x:v>-3.3175835191118486</x:v>
      </x:c>
      <x:c r="F476" s="123" t="n">
        <x:v>10.212501271952267</x:v>
      </x:c>
      <x:c r="G476" s="123" t="n">
        <x:v>-999</x:v>
      </x:c>
      <x:c r="H476" s="118"/>
      <x:c r="I476" t="str">
        <x:v>false layer stronger</x:v>
      </x:c>
      <x:c r="J476" s="118" t="n">
        <x:v>-4051.727666609393</x:v>
      </x:c>
      <x:c r="K476" t="n">
        <x:v>6</x:v>
      </x:c>
      <x:c r="L476" s="123" t="n">
        <x:v>0</x:v>
      </x:c>
    </x:row>
    <x:row r="477">
      <x:c r="A477" s="118" t="n">
        <x:v>19</x:v>
      </x:c>
      <x:c r="B477" t="str">
        <x:v>rough_surface_clutter</x:v>
      </x:c>
      <x:c r="C477" t="str">
        <x:v>VHF_60MHz_shallow</x:v>
      </x:c>
      <x:c r="D477" s="118" t="n">
        <x:v>15787.561669406818</x:v>
      </x:c>
      <x:c r="E477" s="123"/>
      <x:c r="F477" s="123" t="n">
        <x:v>-999</x:v>
      </x:c>
      <x:c r="G477" s="123" t="n">
        <x:v>5.096545589993161</x:v>
      </x:c>
      <x:c r="H477" s="118" t="n">
        <x:v>2562.117870170091</x:v>
      </x:c>
      <x:c r="I477" t="str">
        <x:v>surface clutter in shallow window</x:v>
      </x:c>
      <x:c r="J477" s="118" t="n">
        <x:v>-13225.443799236728</x:v>
      </x:c>
      <x:c r="K477" t="n">
        <x:v>0</x:v>
      </x:c>
      <x:c r="L477" s="123" t="n">
        <x:v>0.687092606191527</x:v>
      </x:c>
    </x:row>
    <x:row r="478">
      <x:c r="A478" s="118" t="n">
        <x:v>19</x:v>
      </x:c>
      <x:c r="B478" t="str">
        <x:v>complex_with_clutter</x:v>
      </x:c>
      <x:c r="C478" t="str">
        <x:v>VHF_60MHz_shallow</x:v>
      </x:c>
      <x:c r="D478" s="118" t="n">
        <x:v>15787.561669406818</x:v>
      </x:c>
      <x:c r="E478" s="123"/>
      <x:c r="F478" s="123" t="n">
        <x:v>5.0560790309423425</x:v>
      </x:c>
      <x:c r="G478" s="123" t="n">
        <x:v>7.054759517639013</x:v>
      </x:c>
      <x:c r="H478" s="118" t="n">
        <x:v>2562.117870170091</x:v>
      </x:c>
      <x:c r="I478" t="str">
        <x:v>surface clutter in shallow window</x:v>
      </x:c>
      <x:c r="J478" s="118" t="n">
        <x:v>-13225.443799236728</x:v>
      </x:c>
      <x:c r="K478" t="n">
        <x:v>10</x:v>
      </x:c>
      <x:c r="L478" s="123" t="n">
        <x:v>0.687092606191527</x:v>
      </x:c>
    </x:row>
    <x:row r="479">
      <x:c r="A479" s="118" t="n">
        <x:v>19.5</x:v>
      </x:c>
      <x:c r="B479" t="str">
        <x:v>stacked_dirty_layers</x:v>
      </x:c>
      <x:c r="C479" t="str">
        <x:v>HF_9MHz_full_depth</x:v>
      </x:c>
      <x:c r="D479" s="118" t="n">
        <x:v>15762.323121828636</x:v>
      </x:c>
      <x:c r="E479" s="123" t="n">
        <x:v>-3.2683141740401025</x:v>
      </x:c>
      <x:c r="F479" s="123" t="n">
        <x:v>10.288128245283268</x:v>
      </x:c>
      <x:c r="G479" s="123" t="n">
        <x:v>-999</x:v>
      </x:c>
      <x:c r="H479" s="118"/>
      <x:c r="I479" t="str">
        <x:v>false layer stronger</x:v>
      </x:c>
      <x:c r="J479" s="118" t="n">
        <x:v>-4064.948800565442</x:v>
      </x:c>
      <x:c r="K479" t="n">
        <x:v>6</x:v>
      </x:c>
      <x:c r="L479" s="123" t="n">
        <x:v>0</x:v>
      </x:c>
    </x:row>
    <x:row r="480">
      <x:c r="A480" s="118" t="n">
        <x:v>19.5</x:v>
      </x:c>
      <x:c r="B480" t="str">
        <x:v>rough_surface_clutter</x:v>
      </x:c>
      <x:c r="C480" t="str">
        <x:v>VHF_60MHz_shallow</x:v>
      </x:c>
      <x:c r="D480" s="118" t="n">
        <x:v>15762.323121828636</x:v>
      </x:c>
      <x:c r="E480" s="123"/>
      <x:c r="F480" s="123" t="n">
        <x:v>-999</x:v>
      </x:c>
      <x:c r="G480" s="123" t="n">
        <x:v>2.8740573702043832</x:v>
      </x:c>
      <x:c r="H480" s="118" t="n">
        <x:v>2465.3438429135513</x:v>
      </x:c>
      <x:c r="I480" t="str">
        <x:v>surface clutter in shallow window</x:v>
      </x:c>
      <x:c r="J480" s="118" t="n">
        <x:v>-13296.979278915085</x:v>
      </x:c>
      <x:c r="K480" t="n">
        <x:v>0</x:v>
      </x:c>
      <x:c r="L480" s="123" t="n">
        <x:v>0.5494772365451631</x:v>
      </x:c>
    </x:row>
    <x:row r="481">
      <x:c r="A481" s="118" t="n">
        <x:v>19.5</x:v>
      </x:c>
      <x:c r="B481" t="str">
        <x:v>complex_with_clutter</x:v>
      </x:c>
      <x:c r="C481" t="str">
        <x:v>VHF_60MHz_shallow</x:v>
      </x:c>
      <x:c r="D481" s="118" t="n">
        <x:v>15762.323121828636</x:v>
      </x:c>
      <x:c r="E481" s="123"/>
      <x:c r="F481" s="123" t="n">
        <x:v>5.160517857994951</x:v>
      </x:c>
      <x:c r="G481" s="123" t="n">
        <x:v>4.440067494358098</x:v>
      </x:c>
      <x:c r="H481" s="118" t="n">
        <x:v>2465.3438429135513</x:v>
      </x:c>
      <x:c r="I481" t="str">
        <x:v>surface clutter in shallow window</x:v>
      </x:c>
      <x:c r="J481" s="118" t="n">
        <x:v>-13296.979278915085</x:v>
      </x:c>
      <x:c r="K481" t="n">
        <x:v>10</x:v>
      </x:c>
      <x:c r="L481" s="123" t="n">
        <x:v>0.5494772365451631</x:v>
      </x:c>
    </x:row>
    <x:row r="482">
      <x:c r="A482" s="118" t="n">
        <x:v>20</x:v>
      </x:c>
      <x:c r="B482" t="str">
        <x:v>stacked_dirty_layers</x:v>
      </x:c>
      <x:c r="C482" t="str">
        <x:v>HF_9MHz_full_depth</x:v>
      </x:c>
      <x:c r="D482" s="118" t="n">
        <x:v>15737.095893870204</x:v>
      </x:c>
      <x:c r="E482" s="123" t="n">
        <x:v>-3.241628791856683</x:v>
      </x:c>
      <x:c r="F482" s="123" t="n">
        <x:v>10.340072188376123</x:v>
      </x:c>
      <x:c r="G482" s="123" t="n">
        <x:v>-999</x:v>
      </x:c>
      <x:c r="H482" s="118"/>
      <x:c r="I482" t="str">
        <x:v>false layer stronger</x:v>
      </x:c>
      <x:c r="J482" s="118" t="n">
        <x:v>-4078.492285853945</x:v>
      </x:c>
      <x:c r="K482" t="n">
        <x:v>6</x:v>
      </x:c>
      <x:c r="L482" s="123" t="n">
        <x:v>0</x:v>
      </x:c>
    </x:row>
    <x:row r="483">
      <x:c r="A483" s="118" t="n">
        <x:v>20</x:v>
      </x:c>
      <x:c r="B483" t="str">
        <x:v>rough_surface_clutter</x:v>
      </x:c>
      <x:c r="C483" t="str">
        <x:v>VHF_60MHz_shallow</x:v>
      </x:c>
      <x:c r="D483" s="118" t="n">
        <x:v>15737.095893870204</x:v>
      </x:c>
      <x:c r="E483" s="123"/>
      <x:c r="F483" s="123" t="n">
        <x:v>-999</x:v>
      </x:c>
      <x:c r="G483" s="123" t="n">
        <x:v>2.011606148516597</x:v>
      </x:c>
      <x:c r="H483" s="118" t="n">
        <x:v>2410.817722956518</x:v>
      </x:c>
      <x:c r="I483" t="str">
        <x:v>surface clutter in shallow window</x:v>
      </x:c>
      <x:c r="J483" s="118" t="n">
        <x:v>-13326.278170913687</x:v>
      </x:c>
      <x:c r="K483" t="n">
        <x:v>0</x:v>
      </x:c>
      <x:c r="L483" s="123" t="n">
        <x:v>0.4960746841186747</x:v>
      </x:c>
    </x:row>
    <x:row r="484">
      <x:c r="A484" s="118" t="n">
        <x:v>20</x:v>
      </x:c>
      <x:c r="B484" t="str">
        <x:v>complex_with_clutter</x:v>
      </x:c>
      <x:c r="C484" t="str">
        <x:v>VHF_60MHz_shallow</x:v>
      </x:c>
      <x:c r="D484" s="118" t="n">
        <x:v>15737.095893870204</x:v>
      </x:c>
      <x:c r="E484" s="123"/>
      <x:c r="F484" s="123" t="n">
        <x:v>5.1978333927628775</x:v>
      </x:c>
      <x:c r="G484" s="123" t="n">
        <x:v>3.4254189982548198</x:v>
      </x:c>
      <x:c r="H484" s="118" t="n">
        <x:v>2410.817722956518</x:v>
      </x:c>
      <x:c r="I484" t="str">
        <x:v>surface clutter in shallow window</x:v>
      </x:c>
      <x:c r="J484" s="118" t="n">
        <x:v>-13326.278170913687</x:v>
      </x:c>
      <x:c r="K484" t="n">
        <x:v>10</x:v>
      </x:c>
      <x:c r="L484" s="123" t="n">
        <x:v>0.4960746841186747</x:v>
      </x:c>
    </x:row>
    <x:row r="485">
      <x:c r="A485" s="118" t="n">
        <x:v>20.5</x:v>
      </x:c>
      <x:c r="B485" t="str">
        <x:v>stacked_dirty_layers</x:v>
      </x:c>
      <x:c r="C485" t="str">
        <x:v>HF_9MHz_full_depth</x:v>
      </x:c>
      <x:c r="D485" s="118" t="n">
        <x:v>15711.171253853849</x:v>
      </x:c>
      <x:c r="E485" s="123" t="n">
        <x:v>-3.217660967188116</x:v>
      </x:c>
      <x:c r="F485" s="123" t="n">
        <x:v>10.387765587520535</x:v>
      </x:c>
      <x:c r="G485" s="123" t="n">
        <x:v>-999</x:v>
      </x:c>
      <x:c r="H485" s="118"/>
      <x:c r="I485" t="str">
        <x:v>false layer stronger</x:v>
      </x:c>
      <x:c r="J485" s="118" t="n">
        <x:v>-4092.133917306821</x:v>
      </x:c>
      <x:c r="K485" t="n">
        <x:v>6</x:v>
      </x:c>
      <x:c r="L485" s="123" t="n">
        <x:v>0</x:v>
      </x:c>
    </x:row>
    <x:row r="486">
      <x:c r="A486" s="118" t="n">
        <x:v>20.5</x:v>
      </x:c>
      <x:c r="B486" t="str">
        <x:v>rough_surface_clutter</x:v>
      </x:c>
      <x:c r="C486" t="str">
        <x:v>VHF_60MHz_shallow</x:v>
      </x:c>
      <x:c r="D486" s="118" t="n">
        <x:v>15711.171253853849</x:v>
      </x:c>
      <x:c r="E486" s="123"/>
      <x:c r="F486" s="123" t="n">
        <x:v>-999</x:v>
      </x:c>
      <x:c r="G486" s="123" t="n">
        <x:v>1.4294394041132108</x:v>
      </x:c>
      <x:c r="H486" s="118" t="n">
        <x:v>2364.2803533878146</x:v>
      </x:c>
      <x:c r="I486" t="str">
        <x:v>surface clutter in shallow window</x:v>
      </x:c>
      <x:c r="J486" s="118" t="n">
        <x:v>-13346.890900466035</x:v>
      </x:c>
      <x:c r="K486" t="n">
        <x:v>0</x:v>
      </x:c>
      <x:c r="L486" s="123" t="n">
        <x:v>0.4600272076850286</x:v>
      </x:c>
    </x:row>
    <x:row r="487">
      <x:c r="A487" s="118" t="n">
        <x:v>20.5</x:v>
      </x:c>
      <x:c r="B487" t="str">
        <x:v>complex_with_clutter</x:v>
      </x:c>
      <x:c r="C487" t="str">
        <x:v>VHF_60MHz_shallow</x:v>
      </x:c>
      <x:c r="D487" s="118" t="n">
        <x:v>15711.171253853849</x:v>
      </x:c>
      <x:c r="E487" s="123"/>
      <x:c r="F487" s="123" t="n">
        <x:v>5.221529273914933</x:v>
      </x:c>
      <x:c r="G487" s="123" t="n">
        <x:v>2.7405169460155427</x:v>
      </x:c>
      <x:c r="H487" s="118" t="n">
        <x:v>2364.2803533878146</x:v>
      </x:c>
      <x:c r="I487" t="str">
        <x:v>surface clutter in shallow window</x:v>
      </x:c>
      <x:c r="J487" s="118" t="n">
        <x:v>-13346.890900466035</x:v>
      </x:c>
      <x:c r="K487" t="n">
        <x:v>10</x:v>
      </x:c>
      <x:c r="L487" s="123" t="n">
        <x:v>0.4600272076850286</x:v>
      </x:c>
    </x:row>
    <x:row r="488">
      <x:c r="A488" s="118" t="n">
        <x:v>21</x:v>
      </x:c>
      <x:c r="B488" t="str">
        <x:v>stacked_dirty_layers</x:v>
      </x:c>
      <x:c r="C488" t="str">
        <x:v>HF_9MHz_full_depth</x:v>
      </x:c>
      <x:c r="D488" s="118" t="n">
        <x:v>15685.108568743879</x:v>
      </x:c>
      <x:c r="E488" s="123" t="n">
        <x:v>-3.200642060120225</x:v>
      </x:c>
      <x:c r="F488" s="123" t="n">
        <x:v>10.427198959353952</x:v>
      </x:c>
      <x:c r="G488" s="123" t="n">
        <x:v>-999</x:v>
      </x:c>
      <x:c r="H488" s="118"/>
      <x:c r="I488" t="str">
        <x:v>false layer stronger</x:v>
      </x:c>
      <x:c r="J488" s="118" t="n">
        <x:v>-4105.986384042502</x:v>
      </x:c>
      <x:c r="K488" t="n">
        <x:v>6</x:v>
      </x:c>
      <x:c r="L488" s="123" t="n">
        <x:v>0</x:v>
      </x:c>
    </x:row>
    <x:row r="489">
      <x:c r="A489" s="118" t="n">
        <x:v>21</x:v>
      </x:c>
      <x:c r="B489" t="str">
        <x:v>rough_surface_clutter</x:v>
      </x:c>
      <x:c r="C489" t="str">
        <x:v>VHF_60MHz_shallow</x:v>
      </x:c>
      <x:c r="D489" s="118" t="n">
        <x:v>15685.108568743879</x:v>
      </x:c>
      <x:c r="E489" s="123"/>
      <x:c r="F489" s="123" t="n">
        <x:v>-999</x:v>
      </x:c>
      <x:c r="G489" s="123" t="n">
        <x:v>1.3343852242778773</x:v>
      </x:c>
      <x:c r="H489" s="118" t="n">
        <x:v>2332.3417417808478</x:v>
      </x:c>
      <x:c r="I489" t="str">
        <x:v>surface clutter in shallow window</x:v>
      </x:c>
      <x:c r="J489" s="118" t="n">
        <x:v>-13352.76682696303</x:v>
      </x:c>
      <x:c r="K489" t="n">
        <x:v>0</x:v>
      </x:c>
      <x:c r="L489" s="123" t="n">
        <x:v>0.4541414999552865</x:v>
      </x:c>
    </x:row>
    <x:row r="490">
      <x:c r="A490" s="118" t="n">
        <x:v>21</x:v>
      </x:c>
      <x:c r="B490" t="str">
        <x:v>complex_with_clutter</x:v>
      </x:c>
      <x:c r="C490" t="str">
        <x:v>VHF_60MHz_shallow</x:v>
      </x:c>
      <x:c r="D490" s="118" t="n">
        <x:v>15685.108568743879</x:v>
      </x:c>
      <x:c r="E490" s="123"/>
      <x:c r="F490" s="123" t="n">
        <x:v>5.221376507867843</x:v>
      </x:c>
      <x:c r="G490" s="123" t="n">
        <x:v>2.628688499150444</x:v>
      </x:c>
      <x:c r="H490" s="118" t="n">
        <x:v>2332.3417417808478</x:v>
      </x:c>
      <x:c r="I490" t="str">
        <x:v>surface clutter in shallow window</x:v>
      </x:c>
      <x:c r="J490" s="118" t="n">
        <x:v>-13352.76682696303</x:v>
      </x:c>
      <x:c r="K490" t="n">
        <x:v>10</x:v>
      </x:c>
      <x:c r="L490" s="123" t="n">
        <x:v>0.4541414999552865</x:v>
      </x:c>
    </x:row>
    <x:row r="491">
      <x:c r="A491" s="118" t="n">
        <x:v>21.5</x:v>
      </x:c>
      <x:c r="B491" t="str">
        <x:v>stacked_dirty_layers</x:v>
      </x:c>
      <x:c r="C491" t="str">
        <x:v>HF_9MHz_full_depth</x:v>
      </x:c>
      <x:c r="D491" s="118" t="n">
        <x:v>15658.02240777977</x:v>
      </x:c>
      <x:c r="E491" s="123" t="n">
        <x:v>-3.192406655705146</x:v>
      </x:c>
      <x:c r="F491" s="123" t="n">
        <x:v>10.455854586723918</x:v>
      </x:c>
      <x:c r="G491" s="123" t="n">
        <x:v>-999</x:v>
      </x:c>
      <x:c r="H491" s="118"/>
      <x:c r="I491" t="str">
        <x:v>false layer stronger</x:v>
      </x:c>
      <x:c r="J491" s="118" t="n">
        <x:v>-4119.774539229955</x:v>
      </x:c>
      <x:c r="K491" t="n">
        <x:v>6</x:v>
      </x:c>
      <x:c r="L491" s="123" t="n">
        <x:v>0</x:v>
      </x:c>
    </x:row>
    <x:row r="492">
      <x:c r="A492" s="118" t="n">
        <x:v>21.5</x:v>
      </x:c>
      <x:c r="B492" t="str">
        <x:v>rough_surface_clutter</x:v>
      </x:c>
      <x:c r="C492" t="str">
        <x:v>VHF_60MHz_shallow</x:v>
      </x:c>
      <x:c r="D492" s="118" t="n">
        <x:v>15658.02240777977</x:v>
      </x:c>
      <x:c r="E492" s="123"/>
      <x:c r="F492" s="123" t="n">
        <x:v>-999</x:v>
      </x:c>
      <x:c r="G492" s="123" t="n">
        <x:v>1.8929867141012107</x:v>
      </x:c>
      <x:c r="H492" s="118" t="n">
        <x:v>2320.3335074233605</x:v>
      </x:c>
      <x:c r="I492" t="str">
        <x:v>surface clutter in shallow window</x:v>
      </x:c>
      <x:c r="J492" s="118" t="n">
        <x:v>-13337.68890035641</x:v>
      </x:c>
      <x:c r="K492" t="n">
        <x:v>0</x:v>
      </x:c>
      <x:c r="L492" s="123" t="n">
        <x:v>0.488729827498527</x:v>
      </x:c>
    </x:row>
    <x:row r="493">
      <x:c r="A493" s="118" t="n">
        <x:v>21.5</x:v>
      </x:c>
      <x:c r="B493" t="str">
        <x:v>complex_with_clutter</x:v>
      </x:c>
      <x:c r="C493" t="str">
        <x:v>VHF_60MHz_shallow</x:v>
      </x:c>
      <x:c r="D493" s="118" t="n">
        <x:v>15658.02240777977</x:v>
      </x:c>
      <x:c r="E493" s="123"/>
      <x:c r="F493" s="123" t="n">
        <x:v>5.189140488462855</x:v>
      </x:c>
      <x:c r="G493" s="123" t="n">
        <x:v>3.2858667224720133</x:v>
      </x:c>
      <x:c r="H493" s="118" t="n">
        <x:v>2320.3335074233605</x:v>
      </x:c>
      <x:c r="I493" t="str">
        <x:v>surface clutter in shallow window</x:v>
      </x:c>
      <x:c r="J493" s="118" t="n">
        <x:v>-13337.68890035641</x:v>
      </x:c>
      <x:c r="K493" t="n">
        <x:v>10</x:v>
      </x:c>
      <x:c r="L493" s="123" t="n">
        <x:v>0.488729827498527</x:v>
      </x:c>
    </x:row>
    <x:row r="494">
      <x:c r="A494" s="118" t="n">
        <x:v>22</x:v>
      </x:c>
      <x:c r="B494" t="str">
        <x:v>stacked_dirty_layers</x:v>
      </x:c>
      <x:c r="C494" t="str">
        <x:v>HF_9MHz_full_depth</x:v>
      </x:c>
      <x:c r="D494" s="118" t="n">
        <x:v>15630.330005252259</x:v>
      </x:c>
      <x:c r="E494" s="123" t="n">
        <x:v>-3.156016138509923</x:v>
      </x:c>
      <x:c r="F494" s="123" t="n">
        <x:v>10.510952384207549</x:v>
      </x:c>
      <x:c r="G494" s="123" t="n">
        <x:v>-999</x:v>
      </x:c>
      <x:c r="H494" s="118"/>
      <x:c r="I494" t="str">
        <x:v>false layer stronger</x:v>
      </x:c>
      <x:c r="J494" s="118" t="n">
        <x:v>-4133.5720031822075</x:v>
      </x:c>
      <x:c r="K494" t="n">
        <x:v>6</x:v>
      </x:c>
      <x:c r="L494" s="123" t="n">
        <x:v>0</x:v>
      </x:c>
    </x:row>
    <x:row r="495">
      <x:c r="A495" s="118" t="n">
        <x:v>22</x:v>
      </x:c>
      <x:c r="B495" t="str">
        <x:v>rough_surface_clutter</x:v>
      </x:c>
      <x:c r="C495" t="str">
        <x:v>VHF_60MHz_shallow</x:v>
      </x:c>
      <x:c r="D495" s="118" t="n">
        <x:v>15630.330005252259</x:v>
      </x:c>
      <x:c r="E495" s="123"/>
      <x:c r="F495" s="123" t="n">
        <x:v>-999</x:v>
      </x:c>
      <x:c r="G495" s="123" t="n">
        <x:v>0.990395028587777</x:v>
      </x:c>
      <x:c r="H495" s="118" t="n">
        <x:v>2261.1207182882954</x:v>
      </x:c>
      <x:c r="I495" t="str">
        <x:v>surface clutter in shallow window</x:v>
      </x:c>
      <x:c r="J495" s="118" t="n">
        <x:v>-13369.209286963964</x:v>
      </x:c>
      <x:c r="K495" t="n">
        <x:v>0</x:v>
      </x:c>
      <x:c r="L495" s="123" t="n">
        <x:v>0.43284179743577567</x:v>
      </x:c>
    </x:row>
    <x:row r="496">
      <x:c r="A496" s="118" t="n">
        <x:v>22</x:v>
      </x:c>
      <x:c r="B496" t="str">
        <x:v>complex_with_clutter</x:v>
      </x:c>
      <x:c r="C496" t="str">
        <x:v>VHF_60MHz_shallow</x:v>
      </x:c>
      <x:c r="D496" s="118" t="n">
        <x:v>15630.330005252259</x:v>
      </x:c>
      <x:c r="E496" s="123"/>
      <x:c r="F496" s="123" t="n">
        <x:v>5.229595519918428</x:v>
      </x:c>
      <x:c r="G496" s="123" t="n">
        <x:v>2.2239941512797383</x:v>
      </x:c>
      <x:c r="H496" s="118" t="n">
        <x:v>2261.1207182882954</x:v>
      </x:c>
      <x:c r="I496" t="str">
        <x:v>surface clutter in shallow window</x:v>
      </x:c>
      <x:c r="J496" s="118" t="n">
        <x:v>-13369.209286963964</x:v>
      </x:c>
      <x:c r="K496" t="n">
        <x:v>10</x:v>
      </x:c>
      <x:c r="L496" s="123" t="n">
        <x:v>0.43284179743577567</x:v>
      </x:c>
    </x:row>
    <x:row r="497">
      <x:c r="A497" s="118" t="n">
        <x:v>22.5</x:v>
      </x:c>
      <x:c r="B497" t="str">
        <x:v>stacked_dirty_layers</x:v>
      </x:c>
      <x:c r="C497" t="str">
        <x:v>HF_9MHz_full_depth</x:v>
      </x:c>
      <x:c r="D497" s="118" t="n">
        <x:v>15603.432448110258</x:v>
      </x:c>
      <x:c r="E497" s="123" t="n">
        <x:v>-3.156065207115269</x:v>
      </x:c>
      <x:c r="F497" s="123" t="n">
        <x:v>10.528700660689763</x:v>
      </x:c>
      <x:c r="G497" s="123" t="n">
        <x:v>-999</x:v>
      </x:c>
      <x:c r="H497" s="118"/>
      <x:c r="I497" t="str">
        <x:v>false layer stronger</x:v>
      </x:c>
      <x:c r="J497" s="118" t="n">
        <x:v>-4147.723026445639</x:v>
      </x:c>
      <x:c r="K497" t="n">
        <x:v>6</x:v>
      </x:c>
      <x:c r="L497" s="123" t="n">
        <x:v>0</x:v>
      </x:c>
    </x:row>
    <x:row r="498">
      <x:c r="A498" s="118" t="n">
        <x:v>22.5</x:v>
      </x:c>
      <x:c r="B498" t="str">
        <x:v>rough_surface_clutter</x:v>
      </x:c>
      <x:c r="C498" t="str">
        <x:v>VHF_60MHz_shallow</x:v>
      </x:c>
      <x:c r="D498" s="118" t="n">
        <x:v>15603.432448110258</x:v>
      </x:c>
      <x:c r="E498" s="123"/>
      <x:c r="F498" s="123" t="n">
        <x:v>-999</x:v>
      </x:c>
      <x:c r="G498" s="123" t="n">
        <x:v>2.1831053575380626</x:v>
      </x:c>
      <x:c r="H498" s="118" t="n">
        <x:v>2267.7181495015298</x:v>
      </x:c>
      <x:c r="I498" t="str">
        <x:v>surface clutter in shallow window</x:v>
      </x:c>
      <x:c r="J498" s="118" t="n">
        <x:v>-13335.714298608727</x:v>
      </x:c>
      <x:c r="K498" t="n">
        <x:v>0</x:v>
      </x:c>
      <x:c r="L498" s="123" t="n">
        <x:v>0.5066938301881153</x:v>
      </x:c>
    </x:row>
    <x:row r="499">
      <x:c r="A499" s="118" t="n">
        <x:v>22.5</x:v>
      </x:c>
      <x:c r="B499" t="str">
        <x:v>complex_with_clutter</x:v>
      </x:c>
      <x:c r="C499" t="str">
        <x:v>VHF_60MHz_shallow</x:v>
      </x:c>
      <x:c r="D499" s="118" t="n">
        <x:v>15603.432448110258</x:v>
      </x:c>
      <x:c r="E499" s="123"/>
      <x:c r="F499" s="123" t="n">
        <x:v>5.166581179916731</x:v>
      </x:c>
      <x:c r="G499" s="123" t="n">
        <x:v>3.627182773574191</x:v>
      </x:c>
      <x:c r="H499" s="118" t="n">
        <x:v>2267.7181495015298</x:v>
      </x:c>
      <x:c r="I499" t="str">
        <x:v>surface clutter in shallow window</x:v>
      </x:c>
      <x:c r="J499" s="118" t="n">
        <x:v>-13335.714298608727</x:v>
      </x:c>
      <x:c r="K499" t="n">
        <x:v>11</x:v>
      </x:c>
      <x:c r="L499" s="123" t="n">
        <x:v>0.5066938301881153</x:v>
      </x:c>
    </x:row>
    <x:row r="500">
      <x:c r="A500" s="118" t="n">
        <x:v>23</x:v>
      </x:c>
      <x:c r="B500" t="str">
        <x:v>stacked_dirty_layers</x:v>
      </x:c>
      <x:c r="C500" t="str">
        <x:v>HF_9MHz_full_depth</x:v>
      </x:c>
      <x:c r="D500" s="118" t="n">
        <x:v>15576.006285577792</x:v>
      </x:c>
      <x:c r="E500" s="123" t="n">
        <x:v>-3.1356628712954024</x:v>
      </x:c>
      <x:c r="F500" s="123" t="n">
        <x:v>10.565039650983264</x:v>
      </x:c>
      <x:c r="G500" s="123" t="n">
        <x:v>-999</x:v>
      </x:c>
      <x:c r="H500" s="118"/>
      <x:c r="I500" t="str">
        <x:v>false layer stronger</x:v>
      </x:c>
      <x:c r="J500" s="118" t="n">
        <x:v>-4161.83191079965</x:v>
      </x:c>
      <x:c r="K500" t="n">
        <x:v>6</x:v>
      </x:c>
      <x:c r="L500" s="123" t="n">
        <x:v>0</x:v>
      </x:c>
    </x:row>
    <x:row r="501">
      <x:c r="A501" s="118" t="n">
        <x:v>23</x:v>
      </x:c>
      <x:c r="B501" t="str">
        <x:v>rough_surface_clutter</x:v>
      </x:c>
      <x:c r="C501" t="str">
        <x:v>VHF_60MHz_shallow</x:v>
      </x:c>
      <x:c r="D501" s="118" t="n">
        <x:v>15576.006285577792</x:v>
      </x:c>
      <x:c r="E501" s="123"/>
      <x:c r="F501" s="123" t="n">
        <x:v>-999</x:v>
      </x:c>
      <x:c r="G501" s="123" t="n">
        <x:v>2.3477114316639085</x:v>
      </x:c>
      <x:c r="H501" s="118" t="n">
        <x:v>2240.956540274361</x:v>
      </x:c>
      <x:c r="I501" t="str">
        <x:v>surface clutter in shallow window</x:v>
      </x:c>
      <x:c r="J501" s="118" t="n">
        <x:v>-13335.049745303431</x:v>
      </x:c>
      <x:c r="K501" t="n">
        <x:v>0</x:v>
      </x:c>
      <x:c r="L501" s="123" t="n">
        <x:v>0.5168861567593751</x:v>
      </x:c>
    </x:row>
    <x:row r="502">
      <x:c r="A502" s="118" t="n">
        <x:v>23</x:v>
      </x:c>
      <x:c r="B502" t="str">
        <x:v>complex_with_clutter</x:v>
      </x:c>
      <x:c r="C502" t="str">
        <x:v>VHF_60MHz_shallow</x:v>
      </x:c>
      <x:c r="D502" s="118" t="n">
        <x:v>15576.006285577792</x:v>
      </x:c>
      <x:c r="E502" s="123"/>
      <x:c r="F502" s="123" t="n">
        <x:v>5.154828668300131</x:v>
      </x:c>
      <x:c r="G502" s="123" t="n">
        <x:v>3.8208369784281278</x:v>
      </x:c>
      <x:c r="H502" s="118" t="n">
        <x:v>2240.956540274361</x:v>
      </x:c>
      <x:c r="I502" t="str">
        <x:v>surface clutter in shallow window</x:v>
      </x:c>
      <x:c r="J502" s="118" t="n">
        <x:v>-13335.049745303431</x:v>
      </x:c>
      <x:c r="K502" t="n">
        <x:v>11</x:v>
      </x:c>
      <x:c r="L502" s="123" t="n">
        <x:v>0.5168861567593751</x:v>
      </x:c>
    </x:row>
    <x:row r="503">
      <x:c r="A503" s="118" t="n">
        <x:v>23.5</x:v>
      </x:c>
      <x:c r="B503" t="str">
        <x:v>stacked_dirty_layers</x:v>
      </x:c>
      <x:c r="C503" t="str">
        <x:v>HF_9MHz_full_depth</x:v>
      </x:c>
      <x:c r="D503" s="118" t="n">
        <x:v>15548.580022641641</x:v>
      </x:c>
      <x:c r="E503" s="123" t="n">
        <x:v>-3.0856006359771055</x:v>
      </x:c>
      <x:c r="F503" s="123" t="n">
        <x:v>10.6294751696657</x:v>
      </x:c>
      <x:c r="G503" s="123" t="n">
        <x:v>-999</x:v>
      </x:c>
      <x:c r="H503" s="118"/>
      <x:c r="I503" t="str">
        <x:v>false layer stronger</x:v>
      </x:c>
      <x:c r="J503" s="118" t="n">
        <x:v>-4176.006308688189</x:v>
      </x:c>
      <x:c r="K503" t="n">
        <x:v>6</x:v>
      </x:c>
      <x:c r="L503" s="123" t="n">
        <x:v>0</x:v>
      </x:c>
    </x:row>
    <x:row r="504">
      <x:c r="A504" s="118" t="n">
        <x:v>23.5</x:v>
      </x:c>
      <x:c r="B504" t="str">
        <x:v>rough_surface_clutter</x:v>
      </x:c>
      <x:c r="C504" t="str">
        <x:v>VHF_60MHz_shallow</x:v>
      </x:c>
      <x:c r="D504" s="118" t="n">
        <x:v>15548.580022641641</x:v>
      </x:c>
      <x:c r="E504" s="123"/>
      <x:c r="F504" s="123" t="n">
        <x:v>-999</x:v>
      </x:c>
      <x:c r="G504" s="123" t="n">
        <x:v>0.9285506584251007</x:v>
      </x:c>
      <x:c r="H504" s="118" t="n">
        <x:v>2163.2312575424967</x:v>
      </x:c>
      <x:c r="I504" t="str">
        <x:v>surface clutter in shallow window</x:v>
      </x:c>
      <x:c r="J504" s="118" t="n">
        <x:v>-13385.348765099145</x:v>
      </x:c>
      <x:c r="K504" t="n">
        <x:v>0</x:v>
      </x:c>
      <x:c r="L504" s="123" t="n">
        <x:v>0.4290124246702849</x:v>
      </x:c>
    </x:row>
    <x:row r="505">
      <x:c r="A505" s="118" t="n">
        <x:v>23.5</x:v>
      </x:c>
      <x:c r="B505" t="str">
        <x:v>complex_with_clutter</x:v>
      </x:c>
      <x:c r="C505" t="str">
        <x:v>VHF_60MHz_shallow</x:v>
      </x:c>
      <x:c r="D505" s="118" t="n">
        <x:v>15548.580022641641</x:v>
      </x:c>
      <x:c r="E505" s="123"/>
      <x:c r="F505" s="123" t="n">
        <x:v>5.221873074322113</x:v>
      </x:c>
      <x:c r="G505" s="123" t="n">
        <x:v>2.151236068735413</x:v>
      </x:c>
      <x:c r="H505" s="118" t="n">
        <x:v>2163.2312575424967</x:v>
      </x:c>
      <x:c r="I505" t="str">
        <x:v>surface clutter in shallow window</x:v>
      </x:c>
      <x:c r="J505" s="118" t="n">
        <x:v>-13385.348765099145</x:v>
      </x:c>
      <x:c r="K505" t="n">
        <x:v>11</x:v>
      </x:c>
      <x:c r="L505" s="123" t="n">
        <x:v>0.4290124246702849</x:v>
      </x:c>
    </x:row>
    <x:row r="506">
      <x:c r="A506" s="118" t="n">
        <x:v>24</x:v>
      </x:c>
      <x:c r="B506" t="str">
        <x:v>stacked_dirty_layers</x:v>
      </x:c>
      <x:c r="C506" t="str">
        <x:v>HF_9MHz_full_depth</x:v>
      </x:c>
      <x:c r="D506" s="118" t="n">
        <x:v>15518.47278025502</x:v>
      </x:c>
      <x:c r="E506" s="123" t="n">
        <x:v>-3.090299725875446</x:v>
      </x:c>
      <x:c r="F506" s="123" t="n">
        <x:v>10.635667974336188</x:v>
      </x:c>
      <x:c r="G506" s="123" t="n">
        <x:v>-999</x:v>
      </x:c>
      <x:c r="H506" s="118"/>
      <x:c r="I506" t="str">
        <x:v>false layer stronger</x:v>
      </x:c>
      <x:c r="J506" s="118" t="n">
        <x:v>-4189.467239499121</x:v>
      </x:c>
      <x:c r="K506" t="n">
        <x:v>6</x:v>
      </x:c>
      <x:c r="L506" s="123" t="n">
        <x:v>0</x:v>
      </x:c>
    </x:row>
    <x:row r="507">
      <x:c r="A507" s="118" t="n">
        <x:v>24</x:v>
      </x:c>
      <x:c r="B507" t="str">
        <x:v>rough_surface_clutter</x:v>
      </x:c>
      <x:c r="C507" t="str">
        <x:v>VHF_60MHz_shallow</x:v>
      </x:c>
      <x:c r="D507" s="118" t="n">
        <x:v>15518.47278025502</x:v>
      </x:c>
      <x:c r="E507" s="123"/>
      <x:c r="F507" s="123" t="n">
        <x:v>-999</x:v>
      </x:c>
      <x:c r="G507" s="123" t="n">
        <x:v>2.8827728770533927</x:v>
      </x:c>
      <x:c r="H507" s="118" t="n">
        <x:v>2192.051473127748</x:v>
      </x:c>
      <x:c r="I507" t="str">
        <x:v>surface clutter in shallow window</x:v>
      </x:c>
      <x:c r="J507" s="118" t="n">
        <x:v>-13326.421307127272</x:v>
      </x:c>
      <x:c r="K507" t="n">
        <x:v>0</x:v>
      </x:c>
      <x:c r="L507" s="123" t="n">
        <x:v>0.5500168964119748</x:v>
      </x:c>
    </x:row>
    <x:row r="508">
      <x:c r="A508" s="118" t="n">
        <x:v>24</x:v>
      </x:c>
      <x:c r="B508" t="str">
        <x:v>complex_with_clutter</x:v>
      </x:c>
      <x:c r="C508" t="str">
        <x:v>VHF_60MHz_shallow</x:v>
      </x:c>
      <x:c r="D508" s="118" t="n">
        <x:v>15518.47278025502</x:v>
      </x:c>
      <x:c r="E508" s="123"/>
      <x:c r="F508" s="123" t="n">
        <x:v>5.122167575572671</x:v>
      </x:c>
      <x:c r="G508" s="123" t="n">
        <x:v>4.450321031827521</x:v>
      </x:c>
      <x:c r="H508" s="118" t="n">
        <x:v>2192.051473127748</x:v>
      </x:c>
      <x:c r="I508" t="str">
        <x:v>surface clutter in shallow window</x:v>
      </x:c>
      <x:c r="J508" s="118" t="n">
        <x:v>-13326.421307127272</x:v>
      </x:c>
      <x:c r="K508" t="n">
        <x:v>11</x:v>
      </x:c>
      <x:c r="L508" s="123" t="n">
        <x:v>0.5500168964119748</x:v>
      </x:c>
    </x:row>
    <x:row r="509">
      <x:c r="A509" s="118" t="n">
        <x:v>24.5</x:v>
      </x:c>
      <x:c r="B509" t="str">
        <x:v>stacked_dirty_layers</x:v>
      </x:c>
      <x:c r="C509" t="str">
        <x:v>HF_9MHz_full_depth</x:v>
      </x:c>
      <x:c r="D509" s="118" t="n">
        <x:v>15493.131581035035</x:v>
      </x:c>
      <x:c r="E509" s="123" t="n">
        <x:v>-3.082036333706759</x:v>
      </x:c>
      <x:c r="F509" s="123" t="n">
        <x:v>10.656430061415072</x:v>
      </x:c>
      <x:c r="G509" s="123" t="n">
        <x:v>-999</x:v>
      </x:c>
      <x:c r="H509" s="118"/>
      <x:c r="I509" t="str">
        <x:v>false layer stronger</x:v>
      </x:c>
      <x:c r="J509" s="118" t="n">
        <x:v>-4204.242249897587</x:v>
      </x:c>
      <x:c r="K509" t="n">
        <x:v>6</x:v>
      </x:c>
      <x:c r="L509" s="123" t="n">
        <x:v>0</x:v>
      </x:c>
    </x:row>
    <x:row r="510">
      <x:c r="A510" s="118" t="n">
        <x:v>24.5</x:v>
      </x:c>
      <x:c r="B510" t="str">
        <x:v>rough_surface_clutter</x:v>
      </x:c>
      <x:c r="C510" t="str">
        <x:v>VHF_60MHz_shallow</x:v>
      </x:c>
      <x:c r="D510" s="118" t="n">
        <x:v>15493.131581035035</x:v>
      </x:c>
      <x:c r="E510" s="123"/>
      <x:c r="F510" s="123" t="n">
        <x:v>-999</x:v>
      </x:c>
      <x:c r="G510" s="123" t="n">
        <x:v>3.8719708742595333</x:v>
      </x:c>
      <x:c r="H510" s="118" t="n">
        <x:v>2189.6565954816024</x:v>
      </x:c>
      <x:c r="I510" t="str">
        <x:v>surface clutter in shallow window</x:v>
      </x:c>
      <x:c r="J510" s="118" t="n">
        <x:v>-13303.474985553432</x:v>
      </x:c>
      <x:c r="K510" t="n">
        <x:v>0</x:v>
      </x:c>
      <x:c r="L510" s="123" t="n">
        <x:v>0.6112675463937791</x:v>
      </x:c>
    </x:row>
    <x:row r="511">
      <x:c r="A511" s="118" t="n">
        <x:v>24.5</x:v>
      </x:c>
      <x:c r="B511" t="str">
        <x:v>complex_with_clutter</x:v>
      </x:c>
      <x:c r="C511" t="str">
        <x:v>VHF_60MHz_shallow</x:v>
      </x:c>
      <x:c r="D511" s="118" t="n">
        <x:v>15493.131581035035</x:v>
      </x:c>
      <x:c r="E511" s="123"/>
      <x:c r="F511" s="123" t="n">
        <x:v>5.070624923987959</x:v>
      </x:c>
      <x:c r="G511" s="123" t="n">
        <x:v>5.614083381481803</x:v>
      </x:c>
      <x:c r="H511" s="118" t="n">
        <x:v>2189.6565954816024</x:v>
      </x:c>
      <x:c r="I511" t="str">
        <x:v>surface clutter in shallow window</x:v>
      </x:c>
      <x:c r="J511" s="118" t="n">
        <x:v>-13303.474985553432</x:v>
      </x:c>
      <x:c r="K511" t="n">
        <x:v>11</x:v>
      </x:c>
      <x:c r="L511" s="123" t="n">
        <x:v>0.6112675463937791</x:v>
      </x:c>
    </x:row>
    <x:row r="512">
      <x:c r="A512" s="118" t="n">
        <x:v>25</x:v>
      </x:c>
      <x:c r="B512" t="str">
        <x:v>stacked_dirty_layers</x:v>
      </x:c>
      <x:c r="C512" t="str">
        <x:v>HF_9MHz_full_depth</x:v>
      </x:c>
      <x:c r="D512" s="118" t="n">
        <x:v>15463.492493885004</x:v>
      </x:c>
      <x:c r="E512" s="123" t="n">
        <x:v>-3.056072484184945</x:v>
      </x:c>
      <x:c r="F512" s="123" t="n">
        <x:v>10.690256771112177</x:v>
      </x:c>
      <x:c r="G512" s="123" t="n">
        <x:v>-999</x:v>
      </x:c>
      <x:c r="H512" s="118"/>
      <x:c r="I512" t="str">
        <x:v>false layer stronger</x:v>
      </x:c>
      <x:c r="J512" s="118" t="n">
        <x:v>-4217.777898287801</x:v>
      </x:c>
      <x:c r="K512" t="n">
        <x:v>6</x:v>
      </x:c>
      <x:c r="L512" s="123" t="n">
        <x:v>0</x:v>
      </x:c>
    </x:row>
    <x:row r="513">
      <x:c r="A513" s="118" t="n">
        <x:v>25</x:v>
      </x:c>
      <x:c r="B513" t="str">
        <x:v>rough_surface_clutter</x:v>
      </x:c>
      <x:c r="C513" t="str">
        <x:v>VHF_60MHz_shallow</x:v>
      </x:c>
      <x:c r="D513" s="118" t="n">
        <x:v>15463.492493885004</x:v>
      </x:c>
      <x:c r="E513" s="123"/>
      <x:c r="F513" s="123" t="n">
        <x:v>-999</x:v>
      </x:c>
      <x:c r="G513" s="123" t="n">
        <x:v>4.392330698120405</x:v>
      </x:c>
      <x:c r="H513" s="118" t="n">
        <x:v>2171.8562702389127</x:v>
      </x:c>
      <x:c r="I513" t="str">
        <x:v>surface clutter in shallow window</x:v>
      </x:c>
      <x:c r="J513" s="118" t="n">
        <x:v>-13291.636223646092</x:v>
      </x:c>
      <x:c r="K513" t="n">
        <x:v>0</x:v>
      </x:c>
      <x:c r="L513" s="123" t="n">
        <x:v>0.6434879689238641</x:v>
      </x:c>
    </x:row>
    <x:row r="514">
      <x:c r="A514" s="118" t="n">
        <x:v>25</x:v>
      </x:c>
      <x:c r="B514" t="str">
        <x:v>complex_with_clutter</x:v>
      </x:c>
      <x:c r="C514" t="str">
        <x:v>VHF_60MHz_shallow</x:v>
      </x:c>
      <x:c r="D514" s="118" t="n">
        <x:v>15463.492493885004</x:v>
      </x:c>
      <x:c r="E514" s="123"/>
      <x:c r="F514" s="123" t="n">
        <x:v>5.049710158661458</x:v>
      </x:c>
      <x:c r="G514" s="123" t="n">
        <x:v>6.2262714095534175</x:v>
      </x:c>
      <x:c r="H514" s="118" t="n">
        <x:v>2171.8562702389127</x:v>
      </x:c>
      <x:c r="I514" t="str">
        <x:v>surface clutter in shallow window</x:v>
      </x:c>
      <x:c r="J514" s="118" t="n">
        <x:v>-13291.636223646092</x:v>
      </x:c>
      <x:c r="K514" t="n">
        <x:v>11</x:v>
      </x:c>
      <x:c r="L514" s="123" t="n">
        <x:v>0.6434879689238641</x:v>
      </x:c>
    </x:row>
    <x:row r="515">
      <x:c r="A515" s="118" t="n">
        <x:v>25.5</x:v>
      </x:c>
      <x:c r="B515" t="str">
        <x:v>stacked_dirty_layers</x:v>
      </x:c>
      <x:c r="C515" t="str">
        <x:v>HF_9MHz_full_depth</x:v>
      </x:c>
      <x:c r="D515" s="118" t="n">
        <x:v>15438.185629581796</x:v>
      </x:c>
      <x:c r="E515" s="123" t="n">
        <x:v>-3.043305512983891</x:v>
      </x:c>
      <x:c r="F515" s="123" t="n">
        <x:v>10.712034058571424</x:v>
      </x:c>
      <x:c r="G515" s="123" t="n">
        <x:v>-999</x:v>
      </x:c>
      <x:c r="H515" s="118"/>
      <x:c r="I515" t="str">
        <x:v>false layer stronger</x:v>
      </x:c>
      <x:c r="J515" s="118" t="n">
        <x:v>-4232.44913331146</x:v>
      </x:c>
      <x:c r="K515" t="n">
        <x:v>6</x:v>
      </x:c>
      <x:c r="L515" s="123" t="n">
        <x:v>0</x:v>
      </x:c>
    </x:row>
    <x:row r="516">
      <x:c r="A516" s="118" t="n">
        <x:v>25.5</x:v>
      </x:c>
      <x:c r="B516" t="str">
        <x:v>rough_surface_clutter</x:v>
      </x:c>
      <x:c r="C516" t="str">
        <x:v>VHF_60MHz_shallow</x:v>
      </x:c>
      <x:c r="D516" s="118" t="n">
        <x:v>15438.185629581796</x:v>
      </x:c>
      <x:c r="E516" s="123"/>
      <x:c r="F516" s="123" t="n">
        <x:v>-999</x:v>
      </x:c>
      <x:c r="G516" s="123" t="n">
        <x:v>5.4849833998477315</x:v>
      </x:c>
      <x:c r="H516" s="118" t="n">
        <x:v>2171.770895564088</x:v>
      </x:c>
      <x:c r="I516" t="str">
        <x:v>surface clutter in shallow window</x:v>
      </x:c>
      <x:c r="J516" s="118" t="n">
        <x:v>-13266.414734017708</x:v>
      </x:c>
      <x:c r="K516" t="n">
        <x:v>0</x:v>
      </x:c>
      <x:c r="L516" s="123" t="n">
        <x:v>0.7111444829627078</x:v>
      </x:c>
    </x:row>
    <x:row r="517">
      <x:c r="A517" s="118" t="n">
        <x:v>25.5</x:v>
      </x:c>
      <x:c r="B517" t="str">
        <x:v>complex_with_clutter</x:v>
      </x:c>
      <x:c r="C517" t="str">
        <x:v>VHF_60MHz_shallow</x:v>
      </x:c>
      <x:c r="D517" s="118" t="n">
        <x:v>15438.185629581796</x:v>
      </x:c>
      <x:c r="E517" s="123"/>
      <x:c r="F517" s="123" t="n">
        <x:v>5.002243470293983</x:v>
      </x:c>
      <x:c r="G517" s="123" t="n">
        <x:v>7.5117451762914484</x:v>
      </x:c>
      <x:c r="H517" s="118" t="n">
        <x:v>2171.770895564088</x:v>
      </x:c>
      <x:c r="I517" t="str">
        <x:v>surface clutter in shallow window</x:v>
      </x:c>
      <x:c r="J517" s="118" t="n">
        <x:v>-13266.414734017708</x:v>
      </x:c>
      <x:c r="K517" t="n">
        <x:v>11</x:v>
      </x:c>
      <x:c r="L517" s="123" t="n">
        <x:v>0.7111444829627078</x:v>
      </x:c>
    </x:row>
    <x:row r="518">
      <x:c r="A518" s="118" t="n">
        <x:v>26</x:v>
      </x:c>
      <x:c r="B518" t="str">
        <x:v>stacked_dirty_layers</x:v>
      </x:c>
      <x:c r="C518" t="str">
        <x:v>HF_9MHz_full_depth</x:v>
      </x:c>
      <x:c r="D518" s="118" t="n">
        <x:v>15409.145316242713</x:v>
      </x:c>
      <x:c r="E518" s="123" t="n">
        <x:v>-2.9357425038515133</x:v>
      </x:c>
      <x:c r="F518" s="123" t="n">
        <x:v>10.824180863073142</x:v>
      </x:c>
      <x:c r="G518" s="123" t="n">
        <x:v>-999</x:v>
      </x:c>
      <x:c r="H518" s="118"/>
      <x:c r="I518" t="str">
        <x:v>false layer stronger</x:v>
      </x:c>
      <x:c r="J518" s="118" t="n">
        <x:v>-4245.957925313902</x:v>
      </x:c>
      <x:c r="K518" t="n">
        <x:v>6</x:v>
      </x:c>
      <x:c r="L518" s="123" t="n">
        <x:v>0</x:v>
      </x:c>
    </x:row>
    <x:row r="519">
      <x:c r="A519" s="118" t="n">
        <x:v>26</x:v>
      </x:c>
      <x:c r="B519" t="str">
        <x:v>rough_surface_clutter</x:v>
      </x:c>
      <x:c r="C519" t="str">
        <x:v>VHF_60MHz_shallow</x:v>
      </x:c>
      <x:c r="D519" s="118" t="n">
        <x:v>15409.145316242713</x:v>
      </x:c>
      <x:c r="E519" s="123"/>
      <x:c r="F519" s="123" t="n">
        <x:v>-999</x:v>
      </x:c>
      <x:c r="G519" s="123" t="n">
        <x:v>1.570975197428532</x:v>
      </x:c>
      <x:c r="H519" s="118" t="n">
        <x:v>2012.2364863159282</x:v>
      </x:c>
      <x:c r="I519" t="str">
        <x:v>surface clutter in shallow window</x:v>
      </x:c>
      <x:c r="J519" s="118" t="n">
        <x:v>-13396.908829926786</x:v>
      </x:c>
      <x:c r="K519" t="n">
        <x:v>0</x:v>
      </x:c>
      <x:c r="L519" s="123" t="n">
        <x:v>0.4687910338965035</x:v>
      </x:c>
    </x:row>
    <x:row r="520">
      <x:c r="A520" s="118" t="n">
        <x:v>26</x:v>
      </x:c>
      <x:c r="B520" t="str">
        <x:v>complex_with_clutter</x:v>
      </x:c>
      <x:c r="C520" t="str">
        <x:v>VHF_60MHz_shallow</x:v>
      </x:c>
      <x:c r="D520" s="118" t="n">
        <x:v>15409.145316242713</x:v>
      </x:c>
      <x:c r="E520" s="123"/>
      <x:c r="F520" s="123" t="n">
        <x:v>5.2031404354485185</x:v>
      </x:c>
      <x:c r="G520" s="123" t="n">
        <x:v>2.9070296440335675</x:v>
      </x:c>
      <x:c r="H520" s="118" t="n">
        <x:v>2012.2364863159282</x:v>
      </x:c>
      <x:c r="I520" t="str">
        <x:v>surface clutter in shallow window</x:v>
      </x:c>
      <x:c r="J520" s="118" t="n">
        <x:v>-13396.908829926786</x:v>
      </x:c>
      <x:c r="K520" t="n">
        <x:v>11</x:v>
      </x:c>
      <x:c r="L520" s="123" t="n">
        <x:v>0.4687910338965035</x:v>
      </x:c>
    </x:row>
    <x:row r="521">
      <x:c r="A521" s="118" t="n">
        <x:v>26.5</x:v>
      </x:c>
      <x:c r="B521" t="str">
        <x:v>stacked_dirty_layers</x:v>
      </x:c>
      <x:c r="C521" t="str">
        <x:v>HF_9MHz_full_depth</x:v>
      </x:c>
      <x:c r="D521" s="118" t="n">
        <x:v>15380.200342679758</x:v>
      </x:c>
      <x:c r="E521" s="123" t="n">
        <x:v>-2.99638913850566</x:v>
      </x:c>
      <x:c r="F521" s="123" t="n">
        <x:v>10.766346834326338</x:v>
      </x:c>
      <x:c r="G521" s="123" t="n">
        <x:v>-999</x:v>
      </x:c>
      <x:c r="H521" s="118"/>
      <x:c r="I521" t="str">
        <x:v>false layer stronger</x:v>
      </x:c>
      <x:c r="J521" s="118" t="n">
        <x:v>-4259.3418361342265</x:v>
      </x:c>
      <x:c r="K521" t="n">
        <x:v>6</x:v>
      </x:c>
      <x:c r="L521" s="123" t="n">
        <x:v>0</x:v>
      </x:c>
    </x:row>
    <x:row r="522">
      <x:c r="A522" s="118" t="n">
        <x:v>26.5</x:v>
      </x:c>
      <x:c r="B522" t="str">
        <x:v>rough_surface_clutter</x:v>
      </x:c>
      <x:c r="C522" t="str">
        <x:v>VHF_60MHz_shallow</x:v>
      </x:c>
      <x:c r="D522" s="118" t="n">
        <x:v>15380.200342679758</x:v>
      </x:c>
      <x:c r="E522" s="123"/>
      <x:c r="F522" s="123" t="n">
        <x:v>-999</x:v>
      </x:c>
      <x:c r="G522" s="123" t="n">
        <x:v>7.2530564844806555</x:v>
      </x:c>
      <x:c r="H522" s="118" t="n">
        <x:v>2157.155547638229</x:v>
      </x:c>
      <x:c r="I522" t="str">
        <x:v>surface clutter in shallow window</x:v>
      </x:c>
      <x:c r="J522" s="118" t="n">
        <x:v>-13223.04479504153</x:v>
      </x:c>
      <x:c r="K522" t="n">
        <x:v>0</x:v>
      </x:c>
      <x:c r="L522" s="123" t="n">
        <x:v>0.8206226925375019</x:v>
      </x:c>
    </x:row>
    <x:row r="523">
      <x:c r="A523" s="118" t="n">
        <x:v>26.5</x:v>
      </x:c>
      <x:c r="B523" t="str">
        <x:v>complex_with_clutter</x:v>
      </x:c>
      <x:c r="C523" t="str">
        <x:v>VHF_60MHz_shallow</x:v>
      </x:c>
      <x:c r="D523" s="118" t="n">
        <x:v>15380.200342679758</x:v>
      </x:c>
      <x:c r="E523" s="123"/>
      <x:c r="F523" s="123" t="n">
        <x:v>4.929029246913451</x:v>
      </x:c>
      <x:c r="G523" s="123" t="n">
        <x:v>9.591831158212536</x:v>
      </x:c>
      <x:c r="H523" s="118" t="n">
        <x:v>2157.155547638229</x:v>
      </x:c>
      <x:c r="I523" t="str">
        <x:v>surface clutter in shallow window</x:v>
      </x:c>
      <x:c r="J523" s="118" t="n">
        <x:v>-13223.04479504153</x:v>
      </x:c>
      <x:c r="K523" t="n">
        <x:v>11</x:v>
      </x:c>
      <x:c r="L523" s="123" t="n">
        <x:v>0.8206226925375019</x:v>
      </x:c>
    </x:row>
    <x:row r="524">
      <x:c r="A524" s="118" t="n">
        <x:v>27</x:v>
      </x:c>
      <x:c r="B524" t="str">
        <x:v>stacked_dirty_layers</x:v>
      </x:c>
      <x:c r="C524" t="str">
        <x:v>HF_9MHz_full_depth</x:v>
      </x:c>
      <x:c r="D524" s="118" t="n">
        <x:v>15355.916304404951</x:v>
      </x:c>
      <x:c r="E524" s="123" t="n">
        <x:v>-2.9775913997948944</x:v>
      </x:c>
      <x:c r="F524" s="123" t="n">
        <x:v>10.789376784482702</x:v>
      </x:c>
      <x:c r="G524" s="123" t="n">
        <x:v>-999</x:v>
      </x:c>
      <x:c r="H524" s="118"/>
      <x:c r="I524" t="str">
        <x:v>false layer stronger</x:v>
      </x:c>
      <x:c r="J524" s="118" t="n">
        <x:v>-4273.870742343082</x:v>
      </x:c>
      <x:c r="K524" t="n">
        <x:v>6</x:v>
      </x:c>
      <x:c r="L524" s="123" t="n">
        <x:v>0</x:v>
      </x:c>
    </x:row>
    <x:row r="525">
      <x:c r="A525" s="118" t="n">
        <x:v>27</x:v>
      </x:c>
      <x:c r="B525" t="str">
        <x:v>rough_surface_clutter</x:v>
      </x:c>
      <x:c r="C525" t="str">
        <x:v>VHF_60MHz_shallow</x:v>
      </x:c>
      <x:c r="D525" s="118" t="n">
        <x:v>15355.916304404951</x:v>
      </x:c>
      <x:c r="E525" s="123"/>
      <x:c r="F525" s="123" t="n">
        <x:v>-999</x:v>
      </x:c>
      <x:c r="G525" s="123" t="n">
        <x:v>7.484408807348707</x:v>
      </x:c>
      <x:c r="H525" s="118" t="n">
        <x:v>2128.6212713980476</x:v>
      </x:c>
      <x:c r="I525" t="str">
        <x:v>surface clutter in shallow window</x:v>
      </x:c>
      <x:c r="J525" s="118" t="n">
        <x:v>-13227.295033006903</x:v>
      </x:c>
      <x:c r="K525" t="n">
        <x:v>0</x:v>
      </x:c>
      <x:c r="L525" s="123" t="n">
        <x:v>0.8349479137677218</x:v>
      </x:c>
    </x:row>
    <x:row r="526">
      <x:c r="A526" s="118" t="n">
        <x:v>27</x:v>
      </x:c>
      <x:c r="B526" t="str">
        <x:v>complex_with_clutter</x:v>
      </x:c>
      <x:c r="C526" t="str">
        <x:v>VHF_60MHz_shallow</x:v>
      </x:c>
      <x:c r="D526" s="118" t="n">
        <x:v>15355.916304404951</x:v>
      </x:c>
      <x:c r="E526" s="123"/>
      <x:c r="F526" s="123" t="n">
        <x:v>4.8889028691404945</x:v>
      </x:c>
      <x:c r="G526" s="123" t="n">
        <x:v>9.864010361586715</x:v>
      </x:c>
      <x:c r="H526" s="118" t="n">
        <x:v>2128.6212713980476</x:v>
      </x:c>
      <x:c r="I526" t="str">
        <x:v>surface clutter in shallow window</x:v>
      </x:c>
      <x:c r="J526" s="118" t="n">
        <x:v>-13227.295033006903</x:v>
      </x:c>
      <x:c r="K526" t="n">
        <x:v>11</x:v>
      </x:c>
      <x:c r="L526" s="123" t="n">
        <x:v>0.8349479137677218</x:v>
      </x:c>
    </x:row>
    <x:row r="527">
      <x:c r="A527" s="118" t="n">
        <x:v>27.5</x:v>
      </x:c>
      <x:c r="B527" t="str">
        <x:v>stacked_dirty_layers</x:v>
      </x:c>
      <x:c r="C527" t="str">
        <x:v>HF_9MHz_full_depth</x:v>
      </x:c>
      <x:c r="D527" s="118" t="n">
        <x:v>15327.740262481037</x:v>
      </x:c>
      <x:c r="E527" s="123" t="n">
        <x:v>-2.901834332602347</x:v>
      </x:c>
      <x:c r="F527" s="123" t="n">
        <x:v>10.86476015626114</x:v>
      </x:c>
      <x:c r="G527" s="123" t="n">
        <x:v>-999</x:v>
      </x:c>
      <x:c r="H527" s="118"/>
      <x:c r="I527" t="str">
        <x:v>false layer stronger</x:v>
      </x:c>
      <x:c r="J527" s="118" t="n">
        <x:v>-4287.075239295453</x:v>
      </x:c>
      <x:c r="K527" t="n">
        <x:v>6</x:v>
      </x:c>
      <x:c r="L527" s="123" t="n">
        <x:v>0</x:v>
      </x:c>
    </x:row>
    <x:row r="528">
      <x:c r="A528" s="118" t="n">
        <x:v>27.5</x:v>
      </x:c>
      <x:c r="B528" t="str">
        <x:v>rough_surface_clutter</x:v>
      </x:c>
      <x:c r="C528" t="str">
        <x:v>VHF_60MHz_shallow</x:v>
      </x:c>
      <x:c r="D528" s="118" t="n">
        <x:v>15327.740262481037</x:v>
      </x:c>
      <x:c r="E528" s="123"/>
      <x:c r="F528" s="123" t="n">
        <x:v>-999</x:v>
      </x:c>
      <x:c r="G528" s="123" t="n">
        <x:v>6.323985543823527</x:v>
      </x:c>
      <x:c r="H528" s="118" t="n">
        <x:v>2055.616520047295</x:v>
      </x:c>
      <x:c r="I528" t="str">
        <x:v>surface clutter in shallow window</x:v>
      </x:c>
      <x:c r="J528" s="118" t="n">
        <x:v>-13272.123742433741</x:v>
      </x:c>
      <x:c r="K528" t="n">
        <x:v>0</x:v>
      </x:c>
      <x:c r="L528" s="123" t="n">
        <x:v>0.7630950801129119</x:v>
      </x:c>
    </x:row>
    <x:row r="529">
      <x:c r="A529" s="118" t="n">
        <x:v>27.5</x:v>
      </x:c>
      <x:c r="B529" t="str">
        <x:v>complex_with_clutter</x:v>
      </x:c>
      <x:c r="C529" t="str">
        <x:v>VHF_60MHz_shallow</x:v>
      </x:c>
      <x:c r="D529" s="118" t="n">
        <x:v>15327.740262481037</x:v>
      </x:c>
      <x:c r="E529" s="123"/>
      <x:c r="F529" s="123" t="n">
        <x:v>4.990708019350993</x:v>
      </x:c>
      <x:c r="G529" s="123" t="n">
        <x:v>8.498806522145326</x:v>
      </x:c>
      <x:c r="H529" s="118" t="n">
        <x:v>2055.616520047295</x:v>
      </x:c>
      <x:c r="I529" t="str">
        <x:v>surface clutter in shallow window</x:v>
      </x:c>
      <x:c r="J529" s="118" t="n">
        <x:v>-13272.123742433741</x:v>
      </x:c>
      <x:c r="K529" t="n">
        <x:v>11</x:v>
      </x:c>
      <x:c r="L529" s="123" t="n">
        <x:v>0.7630950801129119</x:v>
      </x:c>
    </x:row>
    <x:row r="530">
      <x:c r="A530" s="118" t="n">
        <x:v>28</x:v>
      </x:c>
      <x:c r="B530" t="str">
        <x:v>stacked_dirty_layers</x:v>
      </x:c>
      <x:c r="C530" t="str">
        <x:v>HF_9MHz_full_depth</x:v>
      </x:c>
      <x:c r="D530" s="118" t="n">
        <x:v>15301.840793373181</x:v>
      </x:c>
      <x:c r="E530" s="123" t="n">
        <x:v>-2.84137777290085</x:v>
      </x:c>
      <x:c r="F530" s="123" t="n">
        <x:v>10.924550285507422</x:v>
      </x:c>
      <x:c r="G530" s="123" t="n">
        <x:v>-999</x:v>
      </x:c>
      <x:c r="H530" s="118"/>
      <x:c r="I530" t="str">
        <x:v>false layer stronger</x:v>
      </x:c>
      <x:c r="J530" s="118" t="n">
        <x:v>-4300.684378944592</x:v>
      </x:c>
      <x:c r="K530" t="n">
        <x:v>6</x:v>
      </x:c>
      <x:c r="L530" s="123" t="n">
        <x:v>0</x:v>
      </x:c>
    </x:row>
    <x:row r="531">
      <x:c r="A531" s="118" t="n">
        <x:v>28</x:v>
      </x:c>
      <x:c r="B531" t="str">
        <x:v>rough_surface_clutter</x:v>
      </x:c>
      <x:c r="C531" t="str">
        <x:v>VHF_60MHz_shallow</x:v>
      </x:c>
      <x:c r="D531" s="118" t="n">
        <x:v>15301.840793373181</x:v>
      </x:c>
      <x:c r="E531" s="123"/>
      <x:c r="F531" s="123" t="n">
        <x:v>-999</x:v>
      </x:c>
      <x:c r="G531" s="123" t="n">
        <x:v>5.230143263899411</x:v>
      </x:c>
      <x:c r="H531" s="118" t="n">
        <x:v>1984.5173373900825</x:v>
      </x:c>
      <x:c r="I531" t="str">
        <x:v>surface clutter in shallow window</x:v>
      </x:c>
      <x:c r="J531" s="118" t="n">
        <x:v>-13317.3234559831</x:v>
      </x:c>
      <x:c r="K531" t="n">
        <x:v>0</x:v>
      </x:c>
      <x:c r="L531" s="123" t="n">
        <x:v>0.6953649079813877</x:v>
      </x:c>
    </x:row>
    <x:row r="532">
      <x:c r="A532" s="118" t="n">
        <x:v>28</x:v>
      </x:c>
      <x:c r="B532" t="str">
        <x:v>complex_with_clutter</x:v>
      </x:c>
      <x:c r="C532" t="str">
        <x:v>VHF_60MHz_shallow</x:v>
      </x:c>
      <x:c r="D532" s="118" t="n">
        <x:v>15301.840793373181</x:v>
      </x:c>
      <x:c r="E532" s="123"/>
      <x:c r="F532" s="123" t="n">
        <x:v>5.053155003057675</x:v>
      </x:c>
      <x:c r="G532" s="123" t="n">
        <x:v>7.211933251646366</x:v>
      </x:c>
      <x:c r="H532" s="118" t="n">
        <x:v>1984.5173373900825</x:v>
      </x:c>
      <x:c r="I532" t="str">
        <x:v>surface clutter in shallow window</x:v>
      </x:c>
      <x:c r="J532" s="118" t="n">
        <x:v>-13317.3234559831</x:v>
      </x:c>
      <x:c r="K532" t="n">
        <x:v>11</x:v>
      </x:c>
      <x:c r="L532" s="123" t="n">
        <x:v>0.6953649079813877</x:v>
      </x:c>
    </x:row>
    <x:row r="533">
      <x:c r="A533" s="118" t="n">
        <x:v>28.5</x:v>
      </x:c>
      <x:c r="B533" t="str">
        <x:v>stacked_dirty_layers</x:v>
      </x:c>
      <x:c r="C533" t="str">
        <x:v>HF_9MHz_full_depth</x:v>
      </x:c>
      <x:c r="D533" s="118" t="n">
        <x:v>15272.833757183122</x:v>
      </x:c>
      <x:c r="E533" s="123" t="n">
        <x:v>-2.8016752304441783</x:v>
      </x:c>
      <x:c r="F533" s="123" t="n">
        <x:v>10.959579481223162</x:v>
      </x:c>
      <x:c r="G533" s="123" t="n">
        <x:v>-999</x:v>
      </x:c>
      <x:c r="H533" s="118"/>
      <x:c r="I533" t="str">
        <x:v>false layer stronger</x:v>
      </x:c>
      <x:c r="J533" s="118" t="n">
        <x:v>-4313.114369627212</x:v>
      </x:c>
      <x:c r="K533" t="n">
        <x:v>6</x:v>
      </x:c>
      <x:c r="L533" s="123" t="n">
        <x:v>0</x:v>
      </x:c>
    </x:row>
    <x:row r="534">
      <x:c r="A534" s="118" t="n">
        <x:v>28.5</x:v>
      </x:c>
      <x:c r="B534" t="str">
        <x:v>rough_surface_clutter</x:v>
      </x:c>
      <x:c r="C534" t="str">
        <x:v>VHF_60MHz_shallow</x:v>
      </x:c>
      <x:c r="D534" s="118" t="n">
        <x:v>15272.833757183122</x:v>
      </x:c>
      <x:c r="E534" s="123"/>
      <x:c r="F534" s="123" t="n">
        <x:v>-999</x:v>
      </x:c>
      <x:c r="G534" s="123" t="n">
        <x:v>5.613546371638183</x:v>
      </x:c>
      <x:c r="H534" s="118" t="n">
        <x:v>1960.1851395081928</x:v>
      </x:c>
      <x:c r="I534" t="str">
        <x:v>surface clutter in shallow window</x:v>
      </x:c>
      <x:c r="J534" s="118" t="n">
        <x:v>-13312.64861767493</x:v>
      </x:c>
      <x:c r="K534" t="n">
        <x:v>0</x:v>
      </x:c>
      <x:c r="L534" s="123" t="n">
        <x:v>0.7191050384915284</x:v>
      </x:c>
    </x:row>
    <x:row r="535">
      <x:c r="A535" s="118" t="n">
        <x:v>28.5</x:v>
      </x:c>
      <x:c r="B535" t="str">
        <x:v>complex_with_clutter</x:v>
      </x:c>
      <x:c r="C535" t="str">
        <x:v>VHF_60MHz_shallow</x:v>
      </x:c>
      <x:c r="D535" s="118" t="n">
        <x:v>15272.833757183122</x:v>
      </x:c>
      <x:c r="E535" s="123"/>
      <x:c r="F535" s="123" t="n">
        <x:v>5.042686428518979</x:v>
      </x:c>
      <x:c r="G535" s="123" t="n">
        <x:v>7.6629957313390396</x:v>
      </x:c>
      <x:c r="H535" s="118" t="n">
        <x:v>1960.1851395081928</x:v>
      </x:c>
      <x:c r="I535" t="str">
        <x:v>surface clutter in shallow window</x:v>
      </x:c>
      <x:c r="J535" s="118" t="n">
        <x:v>-13312.64861767493</x:v>
      </x:c>
      <x:c r="K535" t="n">
        <x:v>11</x:v>
      </x:c>
      <x:c r="L535" s="123" t="n">
        <x:v>0.7191050384915284</x:v>
      </x:c>
    </x:row>
    <x:row r="536">
      <x:c r="A536" s="118" t="n">
        <x:v>29</x:v>
      </x:c>
      <x:c r="B536" t="str">
        <x:v>stacked_dirty_layers</x:v>
      </x:c>
      <x:c r="C536" t="str">
        <x:v>HF_9MHz_full_depth</x:v>
      </x:c>
      <x:c r="D536" s="118" t="n">
        <x:v>15247.471049891155</x:v>
      </x:c>
      <x:c r="E536" s="123" t="n">
        <x:v>-2.8138990686835506</x:v>
      </x:c>
      <x:c r="F536" s="123" t="n">
        <x:v>10.943318865833813</x:v>
      </x:c>
      <x:c r="G536" s="123" t="n">
        <x:v>-999</x:v>
      </x:c>
      <x:c r="H536" s="118"/>
      <x:c r="I536" t="str">
        <x:v>false layer stronger</x:v>
      </x:c>
      <x:c r="J536" s="118" t="n">
        <x:v>-4326.285406346551</x:v>
      </x:c>
      <x:c r="K536" t="n">
        <x:v>6</x:v>
      </x:c>
      <x:c r="L536" s="123" t="n">
        <x:v>0</x:v>
      </x:c>
    </x:row>
    <x:row r="537">
      <x:c r="A537" s="118" t="n">
        <x:v>29</x:v>
      </x:c>
      <x:c r="B537" t="str">
        <x:v>rough_surface_clutter</x:v>
      </x:c>
      <x:c r="C537" t="str">
        <x:v>VHF_60MHz_shallow</x:v>
      </x:c>
      <x:c r="D537" s="118" t="n">
        <x:v>15247.471049891155</x:v>
      </x:c>
      <x:c r="E537" s="123"/>
      <x:c r="F537" s="123" t="n">
        <x:v>-999</x:v>
      </x:c>
      <x:c r="G537" s="123" t="n">
        <x:v>7.9533372759796315</x:v>
      </x:c>
      <x:c r="H537" s="118" t="n">
        <x:v>1997.8920455881878</x:v>
      </x:c>
      <x:c r="I537" t="str">
        <x:v>surface clutter in shallow window</x:v>
      </x:c>
      <x:c r="J537" s="118" t="n">
        <x:v>-13249.579004302968</x:v>
      </x:c>
      <x:c r="K537" t="n">
        <x:v>0</x:v>
      </x:c>
      <x:c r="L537" s="123" t="n">
        <x:v>0.8639837322588008</x:v>
      </x:c>
    </x:row>
    <x:row r="538">
      <x:c r="A538" s="118" t="n">
        <x:v>29</x:v>
      </x:c>
      <x:c r="B538" t="str">
        <x:v>complex_with_clutter</x:v>
      </x:c>
      <x:c r="C538" t="str">
        <x:v>VHF_60MHz_shallow</x:v>
      </x:c>
      <x:c r="D538" s="118" t="n">
        <x:v>15247.471049891155</x:v>
      </x:c>
      <x:c r="E538" s="123"/>
      <x:c r="F538" s="123" t="n">
        <x:v>4.8952847875921695</x:v>
      </x:c>
      <x:c r="G538" s="123" t="n">
        <x:v>10.415690912917213</x:v>
      </x:c>
      <x:c r="H538" s="118" t="n">
        <x:v>1997.8920455881878</x:v>
      </x:c>
      <x:c r="I538" t="str">
        <x:v>surface clutter in shallow window</x:v>
      </x:c>
      <x:c r="J538" s="118" t="n">
        <x:v>-13249.579004302968</x:v>
      </x:c>
      <x:c r="K538" t="n">
        <x:v>11</x:v>
      </x:c>
      <x:c r="L538" s="123" t="n">
        <x:v>0.8639837322588008</x:v>
      </x:c>
    </x:row>
    <x:row r="539">
      <x:c r="A539" s="118" t="n">
        <x:v>29.5</x:v>
      </x:c>
      <x:c r="B539" t="str">
        <x:v>stacked_dirty_layers</x:v>
      </x:c>
      <x:c r="C539" t="str">
        <x:v>HF_9MHz_full_depth</x:v>
      </x:c>
      <x:c r="D539" s="118" t="n">
        <x:v>15221.486466946375</x:v>
      </x:c>
      <x:c r="E539" s="123" t="n">
        <x:v>-2.7091318050261517</x:v>
      </x:c>
      <x:c r="F539" s="123" t="n">
        <x:v>11.041598964929156</x:v>
      </x:c>
      <x:c r="G539" s="123" t="n">
        <x:v>-999</x:v>
      </x:c>
      <x:c r="H539" s="118"/>
      <x:c r="I539" t="str">
        <x:v>false layer stronger</x:v>
      </x:c>
      <x:c r="J539" s="118" t="n">
        <x:v>-4338.93268286807</x:v>
      </x:c>
      <x:c r="K539" t="n">
        <x:v>6</x:v>
      </x:c>
      <x:c r="L539" s="123" t="n">
        <x:v>0</x:v>
      </x:c>
    </x:row>
    <x:row r="540">
      <x:c r="A540" s="118" t="n">
        <x:v>29.5</x:v>
      </x:c>
      <x:c r="B540" t="str">
        <x:v>rough_surface_clutter</x:v>
      </x:c>
      <x:c r="C540" t="str">
        <x:v>VHF_60MHz_shallow</x:v>
      </x:c>
      <x:c r="D540" s="118" t="n">
        <x:v>15221.486466946375</x:v>
      </x:c>
      <x:c r="E540" s="123"/>
      <x:c r="F540" s="123" t="n">
        <x:v>-999</x:v>
      </x:c>
      <x:c r="G540" s="123" t="n">
        <x:v>5.440202733300499</x:v>
      </x:c>
      <x:c r="H540" s="118" t="n">
        <x:v>1881.3946750577802</x:v>
      </x:c>
      <x:c r="I540" t="str">
        <x:v>surface clutter in shallow window</x:v>
      </x:c>
      <x:c r="J540" s="118" t="n">
        <x:v>-13340.091791888595</x:v>
      </x:c>
      <x:c r="K540" t="n">
        <x:v>0</x:v>
      </x:c>
      <x:c r="L540" s="123" t="n">
        <x:v>0.7083716862724767</x:v>
      </x:c>
    </x:row>
    <x:row r="541">
      <x:c r="A541" s="118" t="n">
        <x:v>29.5</x:v>
      </x:c>
      <x:c r="B541" t="str">
        <x:v>complex_with_clutter</x:v>
      </x:c>
      <x:c r="C541" t="str">
        <x:v>VHF_60MHz_shallow</x:v>
      </x:c>
      <x:c r="D541" s="118" t="n">
        <x:v>15221.486466946375</x:v>
      </x:c>
      <x:c r="E541" s="123"/>
      <x:c r="F541" s="123" t="n">
        <x:v>5.069006897114977</x:v>
      </x:c>
      <x:c r="G541" s="123" t="n">
        <x:v>7.4590620391770575</x:v>
      </x:c>
      <x:c r="H541" s="118" t="n">
        <x:v>1881.3946750577802</x:v>
      </x:c>
      <x:c r="I541" t="str">
        <x:v>surface clutter in shallow window</x:v>
      </x:c>
      <x:c r="J541" s="118" t="n">
        <x:v>-13340.091791888595</x:v>
      </x:c>
      <x:c r="K541" t="n">
        <x:v>11</x:v>
      </x:c>
      <x:c r="L541" s="123" t="n">
        <x:v>0.7083716862724767</x:v>
      </x:c>
    </x:row>
    <x:row r="542">
      <x:c r="A542" s="118" t="n">
        <x:v>30</x:v>
      </x:c>
      <x:c r="B542" t="str">
        <x:v>stacked_dirty_layers</x:v>
      </x:c>
      <x:c r="C542" t="str">
        <x:v>HF_9MHz_full_depth</x:v>
      </x:c>
      <x:c r="D542" s="118" t="n">
        <x:v>15193.623838416177</x:v>
      </x:c>
      <x:c r="E542" s="123" t="n">
        <x:v>-2.655763655489699</x:v>
      </x:c>
      <x:c r="F542" s="123" t="n">
        <x:v>11.085212237601997</x:v>
      </x:c>
      <x:c r="G542" s="123" t="n">
        <x:v>-999</x:v>
      </x:c>
      <x:c r="H542" s="118"/>
      <x:c r="I542" t="str">
        <x:v>false layer stronger</x:v>
      </x:c>
      <x:c r="J542" s="118" t="n">
        <x:v>-4350.653437716692</x:v>
      </x:c>
      <x:c r="K542" t="n">
        <x:v>6</x:v>
      </x:c>
      <x:c r="L542" s="123" t="n">
        <x:v>0</x:v>
      </x:c>
    </x:row>
    <x:row r="543">
      <x:c r="A543" s="118" t="n">
        <x:v>30</x:v>
      </x:c>
      <x:c r="B543" t="str">
        <x:v>rough_surface_clutter</x:v>
      </x:c>
      <x:c r="C543" t="str">
        <x:v>VHF_60MHz_shallow</x:v>
      </x:c>
      <x:c r="D543" s="118" t="n">
        <x:v>15193.623838416177</x:v>
      </x:c>
      <x:c r="E543" s="123"/>
      <x:c r="F543" s="123" t="n">
        <x:v>-999</x:v>
      </x:c>
      <x:c r="G543" s="123" t="n">
        <x:v>5.234066462243275</x:v>
      </x:c>
      <x:c r="H543" s="118" t="n">
        <x:v>1838.1784260965405</x:v>
      </x:c>
      <x:c r="I543" t="str">
        <x:v>surface clutter in shallow window</x:v>
      </x:c>
      <x:c r="J543" s="118" t="n">
        <x:v>-13355.445412319637</x:v>
      </x:c>
      <x:c r="K543" t="n">
        <x:v>0</x:v>
      </x:c>
      <x:c r="L543" s="123" t="n">
        <x:v>0.6956078304794598</x:v>
      </x:c>
    </x:row>
    <x:row r="544">
      <x:c r="A544" s="118" t="n">
        <x:v>30</x:v>
      </x:c>
      <x:c r="B544" t="str">
        <x:v>complex_with_clutter</x:v>
      </x:c>
      <x:c r="C544" t="str">
        <x:v>VHF_60MHz_shallow</x:v>
      </x:c>
      <x:c r="D544" s="118" t="n">
        <x:v>15193.623838416177</x:v>
      </x:c>
      <x:c r="E544" s="123"/>
      <x:c r="F544" s="123" t="n">
        <x:v>5.088377418837159</x:v>
      </x:c>
      <x:c r="G544" s="123" t="n">
        <x:v>7.216548779109736</x:v>
      </x:c>
      <x:c r="H544" s="118" t="n">
        <x:v>1838.1784260965405</x:v>
      </x:c>
      <x:c r="I544" t="str">
        <x:v>surface clutter in shallow window</x:v>
      </x:c>
      <x:c r="J544" s="118" t="n">
        <x:v>-13355.445412319637</x:v>
      </x:c>
      <x:c r="K544" t="n">
        <x:v>11</x:v>
      </x:c>
      <x:c r="L544" s="123" t="n">
        <x:v>0.6956078304794598</x:v>
      </x:c>
    </x:row>
    <x:row r="545">
      <x:c r="A545" s="118" t="n">
        <x:v>30.5</x:v>
      </x:c>
      <x:c r="B545" t="str">
        <x:v>stacked_dirty_layers</x:v>
      </x:c>
      <x:c r="C545" t="str">
        <x:v>HF_9MHz_full_depth</x:v>
      </x:c>
      <x:c r="D545" s="118" t="n">
        <x:v>15167.924996429248</x:v>
      </x:c>
      <x:c r="E545" s="123" t="n">
        <x:v>-2.595926085329195</x:v>
      </x:c>
      <x:c r="F545" s="123" t="n">
        <x:v>11.13490282507349</x:v>
      </x:c>
      <x:c r="G545" s="123" t="n">
        <x:v>-999</x:v>
      </x:c>
      <x:c r="H545" s="118"/>
      <x:c r="I545" t="str">
        <x:v>false layer stronger</x:v>
      </x:c>
      <x:c r="J545" s="118" t="n">
        <x:v>-4362.602180626294</x:v>
      </x:c>
      <x:c r="K545" t="n">
        <x:v>6</x:v>
      </x:c>
      <x:c r="L545" s="123" t="n">
        <x:v>0</x:v>
      </x:c>
    </x:row>
    <x:row r="546">
      <x:c r="A546" s="118" t="n">
        <x:v>30.5</x:v>
      </x:c>
      <x:c r="B546" t="str">
        <x:v>rough_surface_clutter</x:v>
      </x:c>
      <x:c r="C546" t="str">
        <x:v>VHF_60MHz_shallow</x:v>
      </x:c>
      <x:c r="D546" s="118" t="n">
        <x:v>15167.924996429248</x:v>
      </x:c>
      <x:c r="E546" s="123"/>
      <x:c r="F546" s="123" t="n">
        <x:v>-999</x:v>
      </x:c>
      <x:c r="G546" s="123" t="n">
        <x:v>4.5967294529349605</x:v>
      </x:c>
      <x:c r="H546" s="118" t="n">
        <x:v>1781.3177396253072</x:v>
      </x:c>
      <x:c r="I546" t="str">
        <x:v>surface clutter in shallow window</x:v>
      </x:c>
      <x:c r="J546" s="118" t="n">
        <x:v>-13386.607256803942</x:v>
      </x:c>
      <x:c r="K546" t="n">
        <x:v>0</x:v>
      </x:c>
      <x:c r="L546" s="123" t="n">
        <x:v>0.6561442385718242</x:v>
      </x:c>
    </x:row>
    <x:row r="547">
      <x:c r="A547" s="118" t="n">
        <x:v>30.5</x:v>
      </x:c>
      <x:c r="B547" t="str">
        <x:v>complex_with_clutter</x:v>
      </x:c>
      <x:c r="C547" t="str">
        <x:v>VHF_60MHz_shallow</x:v>
      </x:c>
      <x:c r="D547" s="118" t="n">
        <x:v>15167.924996429248</x:v>
      </x:c>
      <x:c r="E547" s="123"/>
      <x:c r="F547" s="123" t="n">
        <x:v>5.129266978885729</x:v>
      </x:c>
      <x:c r="G547" s="123" t="n">
        <x:v>6.4667405328646606</x:v>
      </x:c>
      <x:c r="H547" s="118" t="n">
        <x:v>1781.3177396253072</x:v>
      </x:c>
      <x:c r="I547" t="str">
        <x:v>surface clutter in shallow window</x:v>
      </x:c>
      <x:c r="J547" s="118" t="n">
        <x:v>-13386.607256803942</x:v>
      </x:c>
      <x:c r="K547" t="n">
        <x:v>11</x:v>
      </x:c>
      <x:c r="L547" s="123" t="n">
        <x:v>0.6561442385718242</x:v>
      </x:c>
    </x:row>
    <x:row r="548">
      <x:c r="A548" s="118" t="n">
        <x:v>31</x:v>
      </x:c>
      <x:c r="B548" t="str">
        <x:v>stacked_dirty_layers</x:v>
      </x:c>
      <x:c r="C548" t="str">
        <x:v>HF_9MHz_full_depth</x:v>
      </x:c>
      <x:c r="D548" s="118" t="n">
        <x:v>15140.057820585285</x:v>
      </x:c>
      <x:c r="E548" s="123" t="n">
        <x:v>-2.5588556258939397</x:v>
      </x:c>
      <x:c r="F548" s="123" t="n">
        <x:v>11.158358119864634</x:v>
      </x:c>
      <x:c r="G548" s="123" t="n">
        <x:v>-999</x:v>
      </x:c>
      <x:c r="H548" s="118"/>
      <x:c r="I548" t="str">
        <x:v>false layer stronger</x:v>
      </x:c>
      <x:c r="J548" s="118" t="n">
        <x:v>-4373.4739390996765</x:v>
      </x:c>
      <x:c r="K548" t="n">
        <x:v>6</x:v>
      </x:c>
      <x:c r="L548" s="123" t="n">
        <x:v>0</x:v>
      </x:c>
    </x:row>
    <x:row r="549">
      <x:c r="A549" s="118" t="n">
        <x:v>31</x:v>
      </x:c>
      <x:c r="B549" t="str">
        <x:v>rough_surface_clutter</x:v>
      </x:c>
      <x:c r="C549" t="str">
        <x:v>VHF_60MHz_shallow</x:v>
      </x:c>
      <x:c r="D549" s="118" t="n">
        <x:v>15140.057820585285</x:v>
      </x:c>
      <x:c r="E549" s="123"/>
      <x:c r="F549" s="123" t="n">
        <x:v>-999</x:v>
      </x:c>
      <x:c r="G549" s="123" t="n">
        <x:v>5.476244417760089</x:v>
      </x:c>
      <x:c r="H549" s="118" t="n">
        <x:v>1772.7443889685137</x:v>
      </x:c>
      <x:c r="I549" t="str">
        <x:v>surface clutter in shallow window</x:v>
      </x:c>
      <x:c r="J549" s="118" t="n">
        <x:v>-13367.31343161677</x:v>
      </x:c>
      <x:c r="K549" t="n">
        <x:v>0</x:v>
      </x:c>
      <x:c r="L549" s="123" t="n">
        <x:v>0.7106033695207487</x:v>
      </x:c>
    </x:row>
    <x:row r="550">
      <x:c r="A550" s="118" t="n">
        <x:v>31</x:v>
      </x:c>
      <x:c r="B550" t="str">
        <x:v>complex_with_clutter</x:v>
      </x:c>
      <x:c r="C550" t="str">
        <x:v>VHF_60MHz_shallow</x:v>
      </x:c>
      <x:c r="D550" s="118" t="n">
        <x:v>15140.057820585285</x:v>
      </x:c>
      <x:c r="E550" s="123"/>
      <x:c r="F550" s="123" t="n">
        <x:v>5.095149514771674</x:v>
      </x:c>
      <x:c r="G550" s="123" t="n">
        <x:v>7.501464020894224</x:v>
      </x:c>
      <x:c r="H550" s="118" t="n">
        <x:v>1772.7443889685137</x:v>
      </x:c>
      <x:c r="I550" t="str">
        <x:v>surface clutter in shallow window</x:v>
      </x:c>
      <x:c r="J550" s="118" t="n">
        <x:v>-13367.31343161677</x:v>
      </x:c>
      <x:c r="K550" t="n">
        <x:v>11</x:v>
      </x:c>
      <x:c r="L550" s="123" t="n">
        <x:v>0.7106033695207487</x:v>
      </x:c>
    </x:row>
    <x:row r="551">
      <x:c r="A551" s="118" t="n">
        <x:v>31.5</x:v>
      </x:c>
      <x:c r="B551" t="str">
        <x:v>stacked_dirty_layers</x:v>
      </x:c>
      <x:c r="C551" t="str">
        <x:v>HF_9MHz_full_depth</x:v>
      </x:c>
      <x:c r="D551" s="118" t="n">
        <x:v>15115.746926095402</x:v>
      </x:c>
      <x:c r="E551" s="123" t="n">
        <x:v>-2.4935105145533734</x:v>
      </x:c>
      <x:c r="F551" s="123" t="n">
        <x:v>11.210713674639926</x:v>
      </x:c>
      <x:c r="G551" s="123" t="n">
        <x:v>-999</x:v>
      </x:c>
      <x:c r="H551" s="118"/>
      <x:c r="I551" t="str">
        <x:v>false layer stronger</x:v>
      </x:c>
      <x:c r="J551" s="118" t="n">
        <x:v>-4384.934710513384</x:v>
      </x:c>
      <x:c r="K551" t="n">
        <x:v>6</x:v>
      </x:c>
      <x:c r="L551" s="123" t="n">
        <x:v>0</x:v>
      </x:c>
    </x:row>
    <x:row r="552">
      <x:c r="A552" s="118" t="n">
        <x:v>31.5</x:v>
      </x:c>
      <x:c r="B552" t="str">
        <x:v>rough_surface_clutter</x:v>
      </x:c>
      <x:c r="C552" t="str">
        <x:v>VHF_60MHz_shallow</x:v>
      </x:c>
      <x:c r="D552" s="118" t="n">
        <x:v>15115.746926095402</x:v>
      </x:c>
      <x:c r="E552" s="123"/>
      <x:c r="F552" s="123" t="n">
        <x:v>-999</x:v>
      </x:c>
      <x:c r="G552" s="123" t="n">
        <x:v>4.591564890673341</x:v>
      </x:c>
      <x:c r="H552" s="118" t="n">
        <x:v>1708.2891996367237</x:v>
      </x:c>
      <x:c r="I552" t="str">
        <x:v>surface clutter in shallow window</x:v>
      </x:c>
      <x:c r="J552" s="118" t="n">
        <x:v>-13407.457726458679</x:v>
      </x:c>
      <x:c r="K552" t="n">
        <x:v>0</x:v>
      </x:c>
      <x:c r="L552" s="123" t="n">
        <x:v>0.6558244514348818</x:v>
      </x:c>
    </x:row>
    <x:row r="553">
      <x:c r="A553" s="118" t="n">
        <x:v>31.5</x:v>
      </x:c>
      <x:c r="B553" t="str">
        <x:v>complex_with_clutter</x:v>
      </x:c>
      <x:c r="C553" t="str">
        <x:v>VHF_60MHz_shallow</x:v>
      </x:c>
      <x:c r="D553" s="118" t="n">
        <x:v>15115.746926095402</x:v>
      </x:c>
      <x:c r="E553" s="123"/>
      <x:c r="F553" s="123" t="n">
        <x:v>5.1485246789843995</x:v>
      </x:c>
      <x:c r="G553" s="123" t="n">
        <x:v>6.4606645772627544</x:v>
      </x:c>
      <x:c r="H553" s="118" t="n">
        <x:v>1708.2891996367237</x:v>
      </x:c>
      <x:c r="I553" t="str">
        <x:v>surface clutter in shallow window</x:v>
      </x:c>
      <x:c r="J553" s="118" t="n">
        <x:v>-13407.457726458679</x:v>
      </x:c>
      <x:c r="K553" t="n">
        <x:v>11</x:v>
      </x:c>
      <x:c r="L553" s="123" t="n">
        <x:v>0.6558244514348818</x:v>
      </x:c>
    </x:row>
    <x:row r="554">
      <x:c r="A554" s="118" t="n">
        <x:v>32</x:v>
      </x:c>
      <x:c r="B554" t="str">
        <x:v>stacked_dirty_layers</x:v>
      </x:c>
      <x:c r="C554" t="str">
        <x:v>HF_9MHz_full_depth</x:v>
      </x:c>
      <x:c r="D554" s="118" t="n">
        <x:v>15087.819991779359</x:v>
      </x:c>
      <x:c r="E554" s="123" t="n">
        <x:v>-2.4240062219533787</x:v>
      </x:c>
      <x:c r="F554" s="123" t="n">
        <x:v>11.262760409053424</x:v>
      </x:c>
      <x:c r="G554" s="123" t="n">
        <x:v>-999</x:v>
      </x:c>
      <x:c r="H554" s="118"/>
      <x:c r="I554" t="str">
        <x:v>false layer stronger</x:v>
      </x:c>
      <x:c r="J554" s="118" t="n">
        <x:v>-4394.826943871307</x:v>
      </x:c>
      <x:c r="K554" t="n">
        <x:v>6</x:v>
      </x:c>
      <x:c r="L554" s="123" t="n">
        <x:v>0</x:v>
      </x:c>
    </x:row>
    <x:row r="555">
      <x:c r="A555" s="118" t="n">
        <x:v>32</x:v>
      </x:c>
      <x:c r="B555" t="str">
        <x:v>rough_surface_clutter</x:v>
      </x:c>
      <x:c r="C555" t="str">
        <x:v>VHF_60MHz_shallow</x:v>
      </x:c>
      <x:c r="D555" s="118" t="n">
        <x:v>15087.819991779359</x:v>
      </x:c>
      <x:c r="E555" s="123"/>
      <x:c r="F555" s="123" t="n">
        <x:v>-999</x:v>
      </x:c>
      <x:c r="G555" s="123" t="n">
        <x:v>3.796151950561036</x:v>
      </x:c>
      <x:c r="H555" s="118" t="n">
        <x:v>1646.8788938532036</x:v>
      </x:c>
      <x:c r="I555" t="str">
        <x:v>surface clutter in shallow window</x:v>
      </x:c>
      <x:c r="J555" s="118" t="n">
        <x:v>-13440.941097926156</x:v>
      </x:c>
      <x:c r="K555" t="n">
        <x:v>0</x:v>
      </x:c>
      <x:c r="L555" s="123" t="n">
        <x:v>0.6065728761957297</x:v>
      </x:c>
    </x:row>
    <x:row r="556">
      <x:c r="A556" s="118" t="n">
        <x:v>32</x:v>
      </x:c>
      <x:c r="B556" t="str">
        <x:v>complex_with_clutter</x:v>
      </x:c>
      <x:c r="C556" t="str">
        <x:v>VHF_60MHz_shallow</x:v>
      </x:c>
      <x:c r="D556" s="118" t="n">
        <x:v>15087.819991779359</x:v>
      </x:c>
      <x:c r="E556" s="123"/>
      <x:c r="F556" s="123" t="n">
        <x:v>5.197550444140747</x:v>
      </x:c>
      <x:c r="G556" s="123" t="n">
        <x:v>5.524884647718865</x:v>
      </x:c>
      <x:c r="H556" s="118" t="n">
        <x:v>1646.8788938532036</x:v>
      </x:c>
      <x:c r="I556" t="str">
        <x:v>surface clutter in shallow window</x:v>
      </x:c>
      <x:c r="J556" s="118" t="n">
        <x:v>-13440.941097926156</x:v>
      </x:c>
      <x:c r="K556" t="n">
        <x:v>11</x:v>
      </x:c>
      <x:c r="L556" s="123" t="n">
        <x:v>0.6065728761957297</x:v>
      </x:c>
    </x:row>
    <x:row r="557">
      <x:c r="A557" s="118" t="n">
        <x:v>32.5</x:v>
      </x:c>
      <x:c r="B557" t="str">
        <x:v>stacked_dirty_layers</x:v>
      </x:c>
      <x:c r="C557" t="str">
        <x:v>HF_9MHz_full_depth</x:v>
      </x:c>
      <x:c r="D557" s="118" t="n">
        <x:v>15060.407592662797</x:v>
      </x:c>
      <x:c r="E557" s="123" t="n">
        <x:v>-2.348015413988013</x:v>
      </x:c>
      <x:c r="F557" s="123" t="n">
        <x:v>11.31981041676956</x:v>
      </x:c>
      <x:c r="G557" s="123" t="n">
        <x:v>-999</x:v>
      </x:c>
      <x:c r="H557" s="118"/>
      <x:c r="I557" t="str">
        <x:v>false layer stronger</x:v>
      </x:c>
      <x:c r="J557" s="118" t="n">
        <x:v>-4404.349157813373</x:v>
      </x:c>
      <x:c r="K557" t="n">
        <x:v>6</x:v>
      </x:c>
      <x:c r="L557" s="123" t="n">
        <x:v>0</x:v>
      </x:c>
    </x:row>
    <x:row r="558">
      <x:c r="A558" s="118" t="n">
        <x:v>32.5</x:v>
      </x:c>
      <x:c r="B558" t="str">
        <x:v>rough_surface_clutter</x:v>
      </x:c>
      <x:c r="C558" t="str">
        <x:v>VHF_60MHz_shallow</x:v>
      </x:c>
      <x:c r="D558" s="118" t="n">
        <x:v>15060.407592662797</x:v>
      </x:c>
      <x:c r="E558" s="123"/>
      <x:c r="F558" s="123" t="n">
        <x:v>-999</x:v>
      </x:c>
      <x:c r="G558" s="123" t="n">
        <x:v>2.6717979830826266</x:v>
      </x:c>
      <x:c r="H558" s="118" t="n">
        <x:v>1575.2810060373104</x:v>
      </x:c>
      <x:c r="I558" t="str">
        <x:v>surface clutter in shallow window</x:v>
      </x:c>
      <x:c r="J558" s="118" t="n">
        <x:v>-13485.126586625487</x:v>
      </x:c>
      <x:c r="K558" t="n">
        <x:v>0</x:v>
      </x:c>
      <x:c r="L558" s="123" t="n">
        <x:v>0.5369534354849923</x:v>
      </x:c>
    </x:row>
    <x:row r="559">
      <x:c r="A559" s="118" t="n">
        <x:v>32.5</x:v>
      </x:c>
      <x:c r="B559" t="str">
        <x:v>complex_with_clutter</x:v>
      </x:c>
      <x:c r="C559" t="str">
        <x:v>VHF_60MHz_shallow</x:v>
      </x:c>
      <x:c r="D559" s="118" t="n">
        <x:v>15060.407592662797</x:v>
      </x:c>
      <x:c r="E559" s="123"/>
      <x:c r="F559" s="123" t="n">
        <x:v>5.262912638772213</x:v>
      </x:c>
      <x:c r="G559" s="123" t="n">
        <x:v>4.202115274214854</x:v>
      </x:c>
      <x:c r="H559" s="118" t="n">
        <x:v>1575.2810060373104</x:v>
      </x:c>
      <x:c r="I559" t="str">
        <x:v>surface clutter in shallow window</x:v>
      </x:c>
      <x:c r="J559" s="118" t="n">
        <x:v>-13485.126586625487</x:v>
      </x:c>
      <x:c r="K559" t="n">
        <x:v>11</x:v>
      </x:c>
      <x:c r="L559" s="123" t="n">
        <x:v>0.5369534354849923</x:v>
      </x:c>
    </x:row>
    <x:row r="560">
      <x:c r="A560" s="118" t="n">
        <x:v>33</x:v>
      </x:c>
      <x:c r="B560" t="str">
        <x:v>stacked_dirty_layers</x:v>
      </x:c>
      <x:c r="C560" t="str">
        <x:v>HF_9MHz_full_depth</x:v>
      </x:c>
      <x:c r="D560" s="118" t="n">
        <x:v>15034.536710550718</x:v>
      </x:c>
      <x:c r="E560" s="123" t="n">
        <x:v>-2.28940677201602</x:v>
      </x:c>
      <x:c r="F560" s="123" t="n">
        <x:v>11.358756759835197</x:v>
      </x:c>
      <x:c r="G560" s="123" t="n">
        <x:v>-999</x:v>
      </x:c>
      <x:c r="H560" s="118"/>
      <x:c r="I560" t="str">
        <x:v>false layer stronger</x:v>
      </x:c>
      <x:c r="J560" s="118" t="n">
        <x:v>-4413.786135838485</x:v>
      </x:c>
      <x:c r="K560" t="n">
        <x:v>6</x:v>
      </x:c>
      <x:c r="L560" s="123" t="n">
        <x:v>0</x:v>
      </x:c>
    </x:row>
    <x:row r="561">
      <x:c r="A561" s="118" t="n">
        <x:v>33</x:v>
      </x:c>
      <x:c r="B561" t="str">
        <x:v>rough_surface_clutter</x:v>
      </x:c>
      <x:c r="C561" t="str">
        <x:v>VHF_60MHz_shallow</x:v>
      </x:c>
      <x:c r="D561" s="118" t="n">
        <x:v>15034.536710550718</x:v>
      </x:c>
      <x:c r="E561" s="123"/>
      <x:c r="F561" s="123" t="n">
        <x:v>-999</x:v>
      </x:c>
      <x:c r="G561" s="123" t="n">
        <x:v>2.4942007517213156</x:v>
      </x:c>
      <x:c r="H561" s="118" t="n">
        <x:v>1534.069102657067</x:v>
      </x:c>
      <x:c r="I561" t="str">
        <x:v>surface clutter in shallow window</x:v>
      </x:c>
      <x:c r="J561" s="118" t="n">
        <x:v>-13500.46760789365</x:v>
      </x:c>
      <x:c r="K561" t="n">
        <x:v>0</x:v>
      </x:c>
      <x:c r="L561" s="123" t="n">
        <x:v>0.5259567028929608</x:v>
      </x:c>
    </x:row>
    <x:row r="562">
      <x:c r="A562" s="118" t="n">
        <x:v>33</x:v>
      </x:c>
      <x:c r="B562" t="str">
        <x:v>complex_with_clutter</x:v>
      </x:c>
      <x:c r="C562" t="str">
        <x:v>VHF_60MHz_shallow</x:v>
      </x:c>
      <x:c r="D562" s="118" t="n">
        <x:v>15034.536710550718</x:v>
      </x:c>
      <x:c r="E562" s="123"/>
      <x:c r="F562" s="123" t="n">
        <x:v>5.281387969320357</x:v>
      </x:c>
      <x:c r="G562" s="123" t="n">
        <x:v>3.993177354966255</x:v>
      </x:c>
      <x:c r="H562" s="118" t="n">
        <x:v>1534.069102657067</x:v>
      </x:c>
      <x:c r="I562" t="str">
        <x:v>surface clutter in shallow window</x:v>
      </x:c>
      <x:c r="J562" s="118" t="n">
        <x:v>-13500.46760789365</x:v>
      </x:c>
      <x:c r="K562" t="n">
        <x:v>11</x:v>
      </x:c>
      <x:c r="L562" s="123" t="n">
        <x:v>0.5259567028929608</x:v>
      </x:c>
    </x:row>
    <x:row r="563">
      <x:c r="A563" s="118" t="n">
        <x:v>33.5</x:v>
      </x:c>
      <x:c r="B563" t="str">
        <x:v>stacked_dirty_layers</x:v>
      </x:c>
      <x:c r="C563" t="str">
        <x:v>HF_9MHz_full_depth</x:v>
      </x:c>
      <x:c r="D563" s="118" t="n">
        <x:v>15008.916500694751</x:v>
      </x:c>
      <x:c r="E563" s="123" t="n">
        <x:v>-2.2796493601959558</x:v>
      </x:c>
      <x:c r="F563" s="123" t="n">
        <x:v>11.347231789470847</x:v>
      </x:c>
      <x:c r="G563" s="123" t="n">
        <x:v>-999</x:v>
      </x:c>
      <x:c r="H563" s="118"/>
      <x:c r="I563" t="str">
        <x:v>false layer stronger</x:v>
      </x:c>
      <x:c r="J563" s="118" t="n">
        <x:v>-4422.727814369184</x:v>
      </x:c>
      <x:c r="K563" t="n">
        <x:v>6</x:v>
      </x:c>
      <x:c r="L563" s="123" t="n">
        <x:v>0</x:v>
      </x:c>
    </x:row>
    <x:row r="564">
      <x:c r="A564" s="118" t="n">
        <x:v>33.5</x:v>
      </x:c>
      <x:c r="B564" t="str">
        <x:v>rough_surface_clutter</x:v>
      </x:c>
      <x:c r="C564" t="str">
        <x:v>VHF_60MHz_shallow</x:v>
      </x:c>
      <x:c r="D564" s="118" t="n">
        <x:v>15008.916500694751</x:v>
      </x:c>
      <x:c r="E564" s="123"/>
      <x:c r="F564" s="123" t="n">
        <x:v>-999</x:v>
      </x:c>
      <x:c r="G564" s="123" t="n">
        <x:v>5.127843891887631</x:v>
      </x:c>
      <x:c r="H564" s="118" t="n">
        <x:v>1582.5189125263294</x:v>
      </x:c>
      <x:c r="I564" t="str">
        <x:v>surface clutter in shallow window</x:v>
      </x:c>
      <x:c r="J564" s="118" t="n">
        <x:v>-13426.397588168422</x:v>
      </x:c>
      <x:c r="K564" t="n">
        <x:v>0</x:v>
      </x:c>
      <x:c r="L564" s="123" t="n">
        <x:v>0.6890305815410298</x:v>
      </x:c>
    </x:row>
    <x:row r="565">
      <x:c r="A565" s="118" t="n">
        <x:v>33.5</x:v>
      </x:c>
      <x:c r="B565" t="str">
        <x:v>complex_with_clutter</x:v>
      </x:c>
      <x:c r="C565" t="str">
        <x:v>VHF_60MHz_shallow</x:v>
      </x:c>
      <x:c r="D565" s="118" t="n">
        <x:v>15008.916500694751</x:v>
      </x:c>
      <x:c r="E565" s="123"/>
      <x:c r="F565" s="123" t="n">
        <x:v>5.160586912099903</x:v>
      </x:c>
      <x:c r="G565" s="123" t="n">
        <x:v>7.091581049279567</x:v>
      </x:c>
      <x:c r="H565" s="118" t="n">
        <x:v>1582.5189125263294</x:v>
      </x:c>
      <x:c r="I565" t="str">
        <x:v>surface clutter in shallow window</x:v>
      </x:c>
      <x:c r="J565" s="118" t="n">
        <x:v>-13426.397588168422</x:v>
      </x:c>
      <x:c r="K565" t="n">
        <x:v>11</x:v>
      </x:c>
      <x:c r="L565" s="123" t="n">
        <x:v>0.6890305815410298</x:v>
      </x:c>
    </x:row>
    <x:row r="566">
      <x:c r="A566" s="118" t="n">
        <x:v>34</x:v>
      </x:c>
      <x:c r="B566" t="str">
        <x:v>stacked_dirty_layers</x:v>
      </x:c>
      <x:c r="C566" t="str">
        <x:v>HF_9MHz_full_depth</x:v>
      </x:c>
      <x:c r="D566" s="118" t="n">
        <x:v>14981.50285514281</x:v>
      </x:c>
      <x:c r="E566" s="123" t="n">
        <x:v>-2.2376923731855194</x:v>
      </x:c>
      <x:c r="F566" s="123" t="n">
        <x:v>11.364739293247265</x:v>
      </x:c>
      <x:c r="G566" s="123" t="n">
        <x:v>-999</x:v>
      </x:c>
      <x:c r="H566" s="118"/>
      <x:c r="I566" t="str">
        <x:v>false layer stronger</x:v>
      </x:c>
      <x:c r="J566" s="118" t="n">
        <x:v>-4430.53088936104</x:v>
      </x:c>
      <x:c r="K566" t="n">
        <x:v>6</x:v>
      </x:c>
      <x:c r="L566" s="123" t="n">
        <x:v>0</x:v>
      </x:c>
    </x:row>
    <x:row r="567">
      <x:c r="A567" s="118" t="n">
        <x:v>34</x:v>
      </x:c>
      <x:c r="B567" t="str">
        <x:v>rough_surface_clutter</x:v>
      </x:c>
      <x:c r="C567" t="str">
        <x:v>VHF_60MHz_shallow</x:v>
      </x:c>
      <x:c r="D567" s="118" t="n">
        <x:v>14981.50285514281</x:v>
      </x:c>
      <x:c r="E567" s="123"/>
      <x:c r="F567" s="123" t="n">
        <x:v>-999</x:v>
      </x:c>
      <x:c r="G567" s="123" t="n">
        <x:v>6.134495828414964</x:v>
      </x:c>
      <x:c r="H567" s="118" t="n">
        <x:v>1579.7017488392696</x:v>
      </x:c>
      <x:c r="I567" t="str">
        <x:v>surface clutter in shallow window</x:v>
      </x:c>
      <x:c r="J567" s="118" t="n">
        <x:v>-13401.80110630354</x:v>
      </x:c>
      <x:c r="K567" t="n">
        <x:v>0</x:v>
      </x:c>
      <x:c r="L567" s="123" t="n">
        <x:v>0.7513619707996883</x:v>
      </x:c>
    </x:row>
    <x:row r="568">
      <x:c r="A568" s="118" t="n">
        <x:v>34</x:v>
      </x:c>
      <x:c r="B568" t="str">
        <x:v>complex_with_clutter</x:v>
      </x:c>
      <x:c r="C568" t="str">
        <x:v>VHF_60MHz_shallow</x:v>
      </x:c>
      <x:c r="D568" s="118" t="n">
        <x:v>14981.50285514281</x:v>
      </x:c>
      <x:c r="E568" s="123"/>
      <x:c r="F568" s="123" t="n">
        <x:v>5.120328511659962</x:v>
      </x:c>
      <x:c r="G568" s="123" t="n">
        <x:v>8.275877445194077</x:v>
      </x:c>
      <x:c r="H568" s="118" t="n">
        <x:v>1579.7017488392696</x:v>
      </x:c>
      <x:c r="I568" t="str">
        <x:v>surface clutter in shallow window</x:v>
      </x:c>
      <x:c r="J568" s="118" t="n">
        <x:v>-13401.80110630354</x:v>
      </x:c>
      <x:c r="K568" t="n">
        <x:v>11</x:v>
      </x:c>
      <x:c r="L568" s="123" t="n">
        <x:v>0.7513619707996883</x:v>
      </x:c>
    </x:row>
    <x:row r="569">
      <x:c r="A569" s="118" t="n">
        <x:v>34.5</x:v>
      </x:c>
      <x:c r="B569" t="str">
        <x:v>stacked_dirty_layers</x:v>
      </x:c>
      <x:c r="C569" t="str">
        <x:v>HF_9MHz_full_depth</x:v>
      </x:c>
      <x:c r="D569" s="118" t="n">
        <x:v>14956.29351283138</x:v>
      </x:c>
      <x:c r="E569" s="123" t="n">
        <x:v>-2.120775376870815</x:v>
      </x:c>
      <x:c r="F569" s="123" t="n">
        <x:v>11.457157258203816</x:v>
      </x:c>
      <x:c r="G569" s="123" t="n">
        <x:v>-999</x:v>
      </x:c>
      <x:c r="H569" s="118"/>
      <x:c r="I569" t="str">
        <x:v>false layer stronger</x:v>
      </x:c>
      <x:c r="J569" s="118" t="n">
        <x:v>-4438.382790002945</x:v>
      </x:c>
      <x:c r="K569" t="n">
        <x:v>6</x:v>
      </x:c>
      <x:c r="L569" s="123" t="n">
        <x:v>0</x:v>
      </x:c>
    </x:row>
    <x:row r="570">
      <x:c r="A570" s="118" t="n">
        <x:v>34.5</x:v>
      </x:c>
      <x:c r="B570" t="str">
        <x:v>rough_surface_clutter</x:v>
      </x:c>
      <x:c r="C570" t="str">
        <x:v>VHF_60MHz_shallow</x:v>
      </x:c>
      <x:c r="D570" s="118" t="n">
        <x:v>14956.29351283138</x:v>
      </x:c>
      <x:c r="E570" s="123"/>
      <x:c r="F570" s="123" t="n">
        <x:v>-999</x:v>
      </x:c>
      <x:c r="G570" s="123" t="n">
        <x:v>2.807488484325935</x:v>
      </x:c>
      <x:c r="H570" s="118" t="n">
        <x:v>1439.6909370852306</x:v>
      </x:c>
      <x:c r="I570" t="str">
        <x:v>surface clutter in shallow window</x:v>
      </x:c>
      <x:c r="J570" s="118" t="n">
        <x:v>-13516.60257574615</x:v>
      </x:c>
      <x:c r="K570" t="n">
        <x:v>0</x:v>
      </x:c>
      <x:c r="L570" s="123" t="n">
        <x:v>0.545355324106869</x:v>
      </x:c>
    </x:row>
    <x:row r="571">
      <x:c r="A571" s="118" t="n">
        <x:v>34.5</x:v>
      </x:c>
      <x:c r="B571" t="str">
        <x:v>complex_with_clutter</x:v>
      </x:c>
      <x:c r="C571" t="str">
        <x:v>VHF_60MHz_shallow</x:v>
      </x:c>
      <x:c r="D571" s="118" t="n">
        <x:v>14956.29351283138</x:v>
      </x:c>
      <x:c r="E571" s="123"/>
      <x:c r="F571" s="123" t="n">
        <x:v>5.294657667229562</x:v>
      </x:c>
      <x:c r="G571" s="123" t="n">
        <x:v>4.361751158030511</x:v>
      </x:c>
      <x:c r="H571" s="118" t="n">
        <x:v>1439.6909370852306</x:v>
      </x:c>
      <x:c r="I571" t="str">
        <x:v>surface clutter in shallow window</x:v>
      </x:c>
      <x:c r="J571" s="118" t="n">
        <x:v>-13516.60257574615</x:v>
      </x:c>
      <x:c r="K571" t="n">
        <x:v>11</x:v>
      </x:c>
      <x:c r="L571" s="123" t="n">
        <x:v>0.545355324106869</x:v>
      </x:c>
    </x:row>
    <x:row r="572">
      <x:c r="A572" s="118" t="n">
        <x:v>35</x:v>
      </x:c>
      <x:c r="B572" t="str">
        <x:v>stacked_dirty_layers</x:v>
      </x:c>
      <x:c r="C572" t="str">
        <x:v>HF_9MHz_full_depth</x:v>
      </x:c>
      <x:c r="D572" s="118" t="n">
        <x:v>14933.449478009088</x:v>
      </x:c>
      <x:c r="E572" s="123" t="n">
        <x:v>-2.080957333328278</x:v>
      </x:c>
      <x:c r="F572" s="123" t="n">
        <x:v>11.472575436029663</x:v>
      </x:c>
      <x:c r="G572" s="123" t="n">
        <x:v>-999</x:v>
      </x:c>
      <x:c r="H572" s="118"/>
      <x:c r="I572" t="str">
        <x:v>false layer stronger</x:v>
      </x:c>
      <x:c r="J572" s="118" t="n">
        <x:v>-4446.317264721432</x:v>
      </x:c>
      <x:c r="K572" t="n">
        <x:v>6</x:v>
      </x:c>
      <x:c r="L572" s="123" t="n">
        <x:v>0</x:v>
      </x:c>
    </x:row>
    <x:row r="573">
      <x:c r="A573" s="118" t="n">
        <x:v>35</x:v>
      </x:c>
      <x:c r="B573" t="str">
        <x:v>rough_surface_clutter</x:v>
      </x:c>
      <x:c r="C573" t="str">
        <x:v>VHF_60MHz_shallow</x:v>
      </x:c>
      <x:c r="D573" s="118" t="n">
        <x:v>14933.449478009088</x:v>
      </x:c>
      <x:c r="E573" s="123"/>
      <x:c r="F573" s="123" t="n">
        <x:v>-999</x:v>
      </x:c>
      <x:c r="G573" s="123" t="n">
        <x:v>3.7333939802969205</x:v>
      </x:c>
      <x:c r="H573" s="118" t="n">
        <x:v>1435.2855917527913</x:v>
      </x:c>
      <x:c r="I573" t="str">
        <x:v>surface clutter in shallow window</x:v>
      </x:c>
      <x:c r="J573" s="118" t="n">
        <x:v>-13498.163886256298</x:v>
      </x:c>
      <x:c r="K573" t="n">
        <x:v>0</x:v>
      </x:c>
      <x:c r="L573" s="123" t="n">
        <x:v>0.6026869337645152</x:v>
      </x:c>
    </x:row>
    <x:row r="574">
      <x:c r="A574" s="118" t="n">
        <x:v>35</x:v>
      </x:c>
      <x:c r="B574" t="str">
        <x:v>complex_with_clutter</x:v>
      </x:c>
      <x:c r="C574" t="str">
        <x:v>VHF_60MHz_shallow</x:v>
      </x:c>
      <x:c r="D574" s="118" t="n">
        <x:v>14933.449478009088</x:v>
      </x:c>
      <x:c r="E574" s="123"/>
      <x:c r="F574" s="123" t="n">
        <x:v>5.258201837834922</x:v>
      </x:c>
      <x:c r="G574" s="123" t="n">
        <x:v>5.45105174152579</x:v>
      </x:c>
      <x:c r="H574" s="118" t="n">
        <x:v>1435.2855917527913</x:v>
      </x:c>
      <x:c r="I574" t="str">
        <x:v>surface clutter in shallow window</x:v>
      </x:c>
      <x:c r="J574" s="118" t="n">
        <x:v>-13498.163886256298</x:v>
      </x:c>
      <x:c r="K574" t="n">
        <x:v>11</x:v>
      </x:c>
      <x:c r="L574" s="123" t="n">
        <x:v>0.6026869337645152</x:v>
      </x:c>
    </x:row>
    <x:row r="575">
      <x:c r="A575" s="118" t="n">
        <x:v>35.5</x:v>
      </x:c>
      <x:c r="B575" t="str">
        <x:v>stacked_dirty_layers</x:v>
      </x:c>
      <x:c r="C575" t="str">
        <x:v>HF_9MHz_full_depth</x:v>
      </x:c>
      <x:c r="D575" s="118" t="n">
        <x:v>14910.216672625642</x:v>
      </x:c>
      <x:c r="E575" s="123" t="n">
        <x:v>-2.035915216450004</x:v>
      </x:c>
      <x:c r="F575" s="123" t="n">
        <x:v>11.491175900926251</x:v>
      </x:c>
      <x:c r="G575" s="123" t="n">
        <x:v>-999</x:v>
      </x:c>
      <x:c r="H575" s="118"/>
      <x:c r="I575" t="str">
        <x:v>false layer stronger</x:v>
      </x:c>
      <x:c r="J575" s="118" t="n">
        <x:v>-4453.47667863089</x:v>
      </x:c>
      <x:c r="K575" t="n">
        <x:v>6</x:v>
      </x:c>
      <x:c r="L575" s="123" t="n">
        <x:v>0</x:v>
      </x:c>
    </x:row>
    <x:row r="576">
      <x:c r="A576" s="118" t="n">
        <x:v>35.5</x:v>
      </x:c>
      <x:c r="B576" t="str">
        <x:v>rough_surface_clutter</x:v>
      </x:c>
      <x:c r="C576" t="str">
        <x:v>VHF_60MHz_shallow</x:v>
      </x:c>
      <x:c r="D576" s="118" t="n">
        <x:v>14910.216672625642</x:v>
      </x:c>
      <x:c r="E576" s="123"/>
      <x:c r="F576" s="123" t="n">
        <x:v>-999</x:v>
      </x:c>
      <x:c r="G576" s="123" t="n">
        <x:v>4.444773628734712</x:v>
      </x:c>
      <x:c r="H576" s="118" t="n">
        <x:v>1424.6272786378738</x:v>
      </x:c>
      <x:c r="I576" t="str">
        <x:v>surface clutter in shallow window</x:v>
      </x:c>
      <x:c r="J576" s="118" t="n">
        <x:v>-13485.589393987768</x:v>
      </x:c>
      <x:c r="K576" t="n">
        <x:v>0</x:v>
      </x:c>
      <x:c r="L576" s="123" t="n">
        <x:v>0.6467352092095797</x:v>
      </x:c>
    </x:row>
    <x:row r="577">
      <x:c r="A577" s="118" t="n">
        <x:v>35.5</x:v>
      </x:c>
      <x:c r="B577" t="str">
        <x:v>complex_with_clutter</x:v>
      </x:c>
      <x:c r="C577" t="str">
        <x:v>VHF_60MHz_shallow</x:v>
      </x:c>
      <x:c r="D577" s="118" t="n">
        <x:v>14910.216672625642</x:v>
      </x:c>
      <x:c r="E577" s="123"/>
      <x:c r="F577" s="123" t="n">
        <x:v>5.232226952185877</x:v>
      </x:c>
      <x:c r="G577" s="123" t="n">
        <x:v>6.2879689749820145</x:v>
      </x:c>
      <x:c r="H577" s="118" t="n">
        <x:v>1424.6272786378738</x:v>
      </x:c>
      <x:c r="I577" t="str">
        <x:v>surface clutter in shallow window</x:v>
      </x:c>
      <x:c r="J577" s="118" t="n">
        <x:v>-13485.589393987768</x:v>
      </x:c>
      <x:c r="K577" t="n">
        <x:v>11</x:v>
      </x:c>
      <x:c r="L577" s="123" t="n">
        <x:v>0.6467352092095797</x:v>
      </x:c>
    </x:row>
    <x:row r="578">
      <x:c r="A578" s="118" t="n">
        <x:v>36</x:v>
      </x:c>
      <x:c r="B578" t="str">
        <x:v>stacked_dirty_layers</x:v>
      </x:c>
      <x:c r="C578" t="str">
        <x:v>HF_9MHz_full_depth</x:v>
      </x:c>
      <x:c r="D578" s="118" t="n">
        <x:v>14886.46343791321</x:v>
      </x:c>
      <x:c r="E578" s="123" t="n">
        <x:v>-2.041396764440256</x:v>
      </x:c>
      <x:c r="F578" s="123" t="n">
        <x:v>11.457248085355737</x:v>
      </x:c>
      <x:c r="G578" s="123" t="n">
        <x:v>-999</x:v>
      </x:c>
      <x:c r="H578" s="118"/>
      <x:c r="I578" t="str">
        <x:v>false layer stronger</x:v>
      </x:c>
      <x:c r="J578" s="118" t="n">
        <x:v>-4459.799258123274</x:v>
      </x:c>
      <x:c r="K578" t="n">
        <x:v>6</x:v>
      </x:c>
      <x:c r="L578" s="123" t="n">
        <x:v>0</x:v>
      </x:c>
    </x:row>
    <x:row r="579">
      <x:c r="A579" s="118" t="n">
        <x:v>36</x:v>
      </x:c>
      <x:c r="B579" t="str">
        <x:v>rough_surface_clutter</x:v>
      </x:c>
      <x:c r="C579" t="str">
        <x:v>VHF_60MHz_shallow</x:v>
      </x:c>
      <x:c r="D579" s="118" t="n">
        <x:v>14886.46343791321</x:v>
      </x:c>
      <x:c r="E579" s="123"/>
      <x:c r="F579" s="123" t="n">
        <x:v>-999</x:v>
      </x:c>
      <x:c r="G579" s="123" t="n">
        <x:v>8.098345706148944</x:v>
      </x:c>
      <x:c r="H579" s="118" t="n">
        <x:v>1508.0358629267532</x:v>
      </x:c>
      <x:c r="I579" t="str">
        <x:v>surface clutter in shallow window</x:v>
      </x:c>
      <x:c r="J579" s="118" t="n">
        <x:v>-13378.427574986456</x:v>
      </x:c>
      <x:c r="K579" t="n">
        <x:v>0</x:v>
      </x:c>
      <x:c r="L579" s="123" t="n">
        <x:v>0.8729625824240832</x:v>
      </x:c>
    </x:row>
    <x:row r="580">
      <x:c r="A580" s="118" t="n">
        <x:v>36</x:v>
      </x:c>
      <x:c r="B580" t="str">
        <x:v>complex_with_clutter</x:v>
      </x:c>
      <x:c r="C580" t="str">
        <x:v>VHF_60MHz_shallow</x:v>
      </x:c>
      <x:c r="D580" s="118" t="n">
        <x:v>14886.46343791321</x:v>
      </x:c>
      <x:c r="E580" s="123"/>
      <x:c r="F580" s="123" t="n">
        <x:v>5.060332015703637</x:v>
      </x:c>
      <x:c r="G580" s="123" t="n">
        <x:v>10.586289066057581</x:v>
      </x:c>
      <x:c r="H580" s="118" t="n">
        <x:v>1508.0358629267532</x:v>
      </x:c>
      <x:c r="I580" t="str">
        <x:v>surface clutter in shallow window</x:v>
      </x:c>
      <x:c r="J580" s="118" t="n">
        <x:v>-13378.427574986456</x:v>
      </x:c>
      <x:c r="K580" t="n">
        <x:v>11</x:v>
      </x:c>
      <x:c r="L580" s="123" t="n">
        <x:v>0.8729625824240832</x:v>
      </x:c>
    </x:row>
    <x:row r="581">
      <x:c r="A581" s="118" t="n">
        <x:v>36.5</x:v>
      </x:c>
      <x:c r="B581" t="str">
        <x:v>stacked_dirty_layers</x:v>
      </x:c>
      <x:c r="C581" t="str">
        <x:v>HF_9MHz_full_depth</x:v>
      </x:c>
      <x:c r="D581" s="118" t="n">
        <x:v>14861.558563029474</x:v>
      </x:c>
      <x:c r="E581" s="123" t="n">
        <x:v>-1.9641497915286423</x:v>
      </x:c>
      <x:c r="F581" s="123" t="n">
        <x:v>11.503626394461524</x:v>
      </x:c>
      <x:c r="G581" s="123" t="n">
        <x:v>-999</x:v>
      </x:c>
      <x:c r="H581" s="118"/>
      <x:c r="I581" t="str">
        <x:v>false layer stronger</x:v>
      </x:c>
      <x:c r="J581" s="118" t="n">
        <x:v>-4465.070188262147</x:v>
      </x:c>
      <x:c r="K581" t="n">
        <x:v>6</x:v>
      </x:c>
      <x:c r="L581" s="123" t="n">
        <x:v>0</x:v>
      </x:c>
    </x:row>
    <x:row r="582">
      <x:c r="A582" s="118" t="n">
        <x:v>36.5</x:v>
      </x:c>
      <x:c r="B582" t="str">
        <x:v>rough_surface_clutter</x:v>
      </x:c>
      <x:c r="C582" t="str">
        <x:v>VHF_60MHz_shallow</x:v>
      </x:c>
      <x:c r="D582" s="118" t="n">
        <x:v>14861.558563029474</x:v>
      </x:c>
      <x:c r="E582" s="123"/>
      <x:c r="F582" s="123" t="n">
        <x:v>-999</x:v>
      </x:c>
      <x:c r="G582" s="123" t="n">
        <x:v>7.201886293985432</x:v>
      </x:c>
      <x:c r="H582" s="118" t="n">
        <x:v>1447.5698206056873</x:v>
      </x:c>
      <x:c r="I582" t="str">
        <x:v>surface clutter in shallow window</x:v>
      </x:c>
      <x:c r="J582" s="118" t="n">
        <x:v>-13413.988742423786</x:v>
      </x:c>
      <x:c r="K582" t="n">
        <x:v>0</x:v>
      </x:c>
      <x:c r="L582" s="123" t="n">
        <x:v>0.8174542596895005</x:v>
      </x:c>
    </x:row>
    <x:row r="583">
      <x:c r="A583" s="118" t="n">
        <x:v>36.5</x:v>
      </x:c>
      <x:c r="B583" t="str">
        <x:v>complex_with_clutter</x:v>
      </x:c>
      <x:c r="C583" t="str">
        <x:v>VHF_60MHz_shallow</x:v>
      </x:c>
      <x:c r="D583" s="118" t="n">
        <x:v>14861.558563029474</x:v>
      </x:c>
      <x:c r="E583" s="123"/>
      <x:c r="F583" s="123" t="n">
        <x:v>5.1136182386438715</x:v>
      </x:c>
      <x:c r="G583" s="123" t="n">
        <x:v>9.531630934100509</x:v>
      </x:c>
      <x:c r="H583" s="118" t="n">
        <x:v>1447.5698206056873</x:v>
      </x:c>
      <x:c r="I583" t="str">
        <x:v>surface clutter in shallow window</x:v>
      </x:c>
      <x:c r="J583" s="118" t="n">
        <x:v>-13413.988742423786</x:v>
      </x:c>
      <x:c r="K583" t="n">
        <x:v>11</x:v>
      </x:c>
      <x:c r="L583" s="123" t="n">
        <x:v>0.8174542596895005</x:v>
      </x:c>
    </x:row>
    <x:row r="584">
      <x:c r="A584" s="118" t="n">
        <x:v>37</x:v>
      </x:c>
      <x:c r="B584" t="str">
        <x:v>stacked_dirty_layers</x:v>
      </x:c>
      <x:c r="C584" t="str">
        <x:v>HF_9MHz_full_depth</x:v>
      </x:c>
      <x:c r="D584" s="118" t="n">
        <x:v>14840.110005912007</x:v>
      </x:c>
      <x:c r="E584" s="123" t="n">
        <x:v>-1.8535966844733145</x:v>
      </x:c>
      <x:c r="F584" s="123" t="n">
        <x:v>11.58427497875297</x:v>
      </x:c>
      <x:c r="G584" s="123" t="n">
        <x:v>-999</x:v>
      </x:c>
      <x:c r="H584" s="118"/>
      <x:c r="I584" t="str">
        <x:v>false layer stronger</x:v>
      </x:c>
      <x:c r="J584" s="118" t="n">
        <x:v>-4470.691790258703</x:v>
      </x:c>
      <x:c r="K584" t="n">
        <x:v>6</x:v>
      </x:c>
      <x:c r="L584" s="123" t="n">
        <x:v>0</x:v>
      </x:c>
    </x:row>
    <x:row r="585">
      <x:c r="A585" s="118" t="n">
        <x:v>37</x:v>
      </x:c>
      <x:c r="B585" t="str">
        <x:v>rough_surface_clutter</x:v>
      </x:c>
      <x:c r="C585" t="str">
        <x:v>VHF_60MHz_shallow</x:v>
      </x:c>
      <x:c r="D585" s="118" t="n">
        <x:v>14840.110005912007</x:v>
      </x:c>
      <x:c r="E585" s="123"/>
      <x:c r="F585" s="123" t="n">
        <x:v>-999</x:v>
      </x:c>
      <x:c r="G585" s="123" t="n">
        <x:v>4.2287608602173705</x:v>
      </x:c>
      <x:c r="H585" s="118" t="n">
        <x:v>1321.8407040619857</x:v>
      </x:c>
      <x:c r="I585" t="str">
        <x:v>surface clutter in shallow window</x:v>
      </x:c>
      <x:c r="J585" s="118" t="n">
        <x:v>-13518.269301850021</x:v>
      </x:c>
      <x:c r="K585" t="n">
        <x:v>0</x:v>
      </x:c>
      <x:c r="L585" s="123" t="n">
        <x:v>0.6333598055862149</x:v>
      </x:c>
    </x:row>
    <x:row r="586">
      <x:c r="A586" s="118" t="n">
        <x:v>37</x:v>
      </x:c>
      <x:c r="B586" t="str">
        <x:v>complex_with_clutter</x:v>
      </x:c>
      <x:c r="C586" t="str">
        <x:v>VHF_60MHz_shallow</x:v>
      </x:c>
      <x:c r="D586" s="118" t="n">
        <x:v>14840.110005912007</x:v>
      </x:c>
      <x:c r="E586" s="123"/>
      <x:c r="F586" s="123" t="n">
        <x:v>5.269535895931693</x:v>
      </x:c>
      <x:c r="G586" s="123" t="n">
        <x:v>6.033836306138083</x:v>
      </x:c>
      <x:c r="H586" s="118" t="n">
        <x:v>1321.8407040619857</x:v>
      </x:c>
      <x:c r="I586" t="str">
        <x:v>surface clutter in shallow window</x:v>
      </x:c>
      <x:c r="J586" s="118" t="n">
        <x:v>-13518.269301850021</x:v>
      </x:c>
      <x:c r="K586" t="n">
        <x:v>11</x:v>
      </x:c>
      <x:c r="L586" s="123" t="n">
        <x:v>0.6333598055862149</x:v>
      </x:c>
    </x:row>
    <x:row r="587">
      <x:c r="A587" s="118" t="n">
        <x:v>37.5</x:v>
      </x:c>
      <x:c r="B587" t="str">
        <x:v>stacked_dirty_layers</x:v>
      </x:c>
      <x:c r="C587" t="str">
        <x:v>HF_9MHz_full_depth</x:v>
      </x:c>
      <x:c r="D587" s="118" t="n">
        <x:v>14819.341583785392</x:v>
      </x:c>
      <x:c r="E587" s="123" t="n">
        <x:v>-1.7940030502778808</x:v>
      </x:c>
      <x:c r="F587" s="123" t="n">
        <x:v>11.612963002537498</x:v>
      </x:c>
      <x:c r="G587" s="123" t="n">
        <x:v>-999</x:v>
      </x:c>
      <x:c r="H587" s="118"/>
      <x:c r="I587" t="str">
        <x:v>false layer stronger</x:v>
      </x:c>
      <x:c r="J587" s="118" t="n">
        <x:v>-4475.79626379149</x:v>
      </x:c>
      <x:c r="K587" t="n">
        <x:v>6</x:v>
      </x:c>
      <x:c r="L587" s="123" t="n">
        <x:v>0</x:v>
      </x:c>
    </x:row>
    <x:row r="588">
      <x:c r="A588" s="118" t="n">
        <x:v>37.5</x:v>
      </x:c>
      <x:c r="B588" t="str">
        <x:v>rough_surface_clutter</x:v>
      </x:c>
      <x:c r="C588" t="str">
        <x:v>VHF_60MHz_shallow</x:v>
      </x:c>
      <x:c r="D588" s="118" t="n">
        <x:v>14819.341583785392</x:v>
      </x:c>
      <x:c r="E588" s="123"/>
      <x:c r="F588" s="123" t="n">
        <x:v>-999</x:v>
      </x:c>
      <x:c r="G588" s="123" t="n">
        <x:v>4.12928408532642</x:v>
      </x:c>
      <x:c r="H588" s="118" t="n">
        <x:v>1288.1386238525758</x:v>
      </x:c>
      <x:c r="I588" t="str">
        <x:v>surface clutter in shallow window</x:v>
      </x:c>
      <x:c r="J588" s="118" t="n">
        <x:v>-13531.202959932816</x:v>
      </x:c>
      <x:c r="K588" t="n">
        <x:v>0</x:v>
      </x:c>
      <x:c r="L588" s="123" t="n">
        <x:v>0.6272002529613883</x:v>
      </x:c>
    </x:row>
    <x:row r="589">
      <x:c r="A589" s="118" t="n">
        <x:v>37.5</x:v>
      </x:c>
      <x:c r="B589" t="str">
        <x:v>complex_with_clutter</x:v>
      </x:c>
      <x:c r="C589" t="str">
        <x:v>VHF_60MHz_shallow</x:v>
      </x:c>
      <x:c r="D589" s="118" t="n">
        <x:v>14819.341583785392</x:v>
      </x:c>
      <x:c r="E589" s="123"/>
      <x:c r="F589" s="123" t="n">
        <x:v>5.282838763090316</x:v>
      </x:c>
      <x:c r="G589" s="123" t="n">
        <x:v>5.916804806266377</x:v>
      </x:c>
      <x:c r="H589" s="118" t="n">
        <x:v>1288.1386238525758</x:v>
      </x:c>
      <x:c r="I589" t="str">
        <x:v>surface clutter in shallow window</x:v>
      </x:c>
      <x:c r="J589" s="118" t="n">
        <x:v>-13531.202959932816</x:v>
      </x:c>
      <x:c r="K589" t="n">
        <x:v>11</x:v>
      </x:c>
      <x:c r="L589" s="123" t="n">
        <x:v>0.6272002529613883</x:v>
      </x:c>
    </x:row>
    <x:row r="590">
      <x:c r="A590" s="118" t="n">
        <x:v>38</x:v>
      </x:c>
      <x:c r="B590" t="str">
        <x:v>stacked_dirty_layers</x:v>
      </x:c>
      <x:c r="C590" t="str">
        <x:v>HF_9MHz_full_depth</x:v>
      </x:c>
      <x:c r="D590" s="118" t="n">
        <x:v>14799.576086730554</x:v>
      </x:c>
      <x:c r="E590" s="123" t="n">
        <x:v>-1.8112551196518387</x:v>
      </x:c>
      <x:c r="F590" s="123" t="n">
        <x:v>11.564086447019147</x:v>
      </x:c>
      <x:c r="G590" s="123" t="n">
        <x:v>-999</x:v>
      </x:c>
      <x:c r="H590" s="118"/>
      <x:c r="I590" t="str">
        <x:v>false layer stronger</x:v>
      </x:c>
      <x:c r="J590" s="118" t="n">
        <x:v>-4480.469614256783</x:v>
      </x:c>
      <x:c r="K590" t="n">
        <x:v>6</x:v>
      </x:c>
      <x:c r="L590" s="123" t="n">
        <x:v>0</x:v>
      </x:c>
    </x:row>
    <x:row r="591">
      <x:c r="A591" s="118" t="n">
        <x:v>38</x:v>
      </x:c>
      <x:c r="B591" t="str">
        <x:v>rough_surface_clutter</x:v>
      </x:c>
      <x:c r="C591" t="str">
        <x:v>VHF_60MHz_shallow</x:v>
      </x:c>
      <x:c r="D591" s="118" t="n">
        <x:v>14799.576086730554</x:v>
      </x:c>
      <x:c r="E591" s="123"/>
      <x:c r="F591" s="123" t="n">
        <x:v>-999</x:v>
      </x:c>
      <x:c r="G591" s="123" t="n">
        <x:v>8.340889194614698</x:v>
      </x:c>
      <x:c r="H591" s="118" t="n">
        <x:v>1392.166975054563</x:v>
      </x:c>
      <x:c r="I591" t="str">
        <x:v>surface clutter in shallow window</x:v>
      </x:c>
      <x:c r="J591" s="118" t="n">
        <x:v>-13407.409111675992</x:v>
      </x:c>
      <x:c r="K591" t="n">
        <x:v>0</x:v>
      </x:c>
      <x:c r="L591" s="123" t="n">
        <x:v>0.8879807550845016</x:v>
      </x:c>
    </x:row>
    <x:row r="592">
      <x:c r="A592" s="118" t="n">
        <x:v>38</x:v>
      </x:c>
      <x:c r="B592" t="str">
        <x:v>complex_with_clutter</x:v>
      </x:c>
      <x:c r="C592" t="str">
        <x:v>VHF_60MHz_shallow</x:v>
      </x:c>
      <x:c r="D592" s="118" t="n">
        <x:v>14799.576086730554</x:v>
      </x:c>
      <x:c r="E592" s="123"/>
      <x:c r="F592" s="123" t="n">
        <x:v>5.08229411467588</x:v>
      </x:c>
      <x:c r="G592" s="123" t="n">
        <x:v>10.871634346605529</x:v>
      </x:c>
      <x:c r="H592" s="118" t="n">
        <x:v>1392.166975054563</x:v>
      </x:c>
      <x:c r="I592" t="str">
        <x:v>surface clutter in shallow window</x:v>
      </x:c>
      <x:c r="J592" s="118" t="n">
        <x:v>-13407.409111675992</x:v>
      </x:c>
      <x:c r="K592" t="n">
        <x:v>11</x:v>
      </x:c>
      <x:c r="L592" s="123" t="n">
        <x:v>0.8879807550845016</x:v>
      </x:c>
    </x:row>
    <x:row r="593">
      <x:c r="A593" s="118" t="n">
        <x:v>38.5</x:v>
      </x:c>
      <x:c r="B593" t="str">
        <x:v>stacked_dirty_layers</x:v>
      </x:c>
      <x:c r="C593" t="str">
        <x:v>HF_9MHz_full_depth</x:v>
      </x:c>
      <x:c r="D593" s="118" t="n">
        <x:v>14776.789430047362</x:v>
      </x:c>
      <x:c r="E593" s="123" t="n">
        <x:v>-1.7227242255167925</x:v>
      </x:c>
      <x:c r="F593" s="123" t="n">
        <x:v>11.617392830205109</x:v>
      </x:c>
      <x:c r="G593" s="123" t="n">
        <x:v>-999</x:v>
      </x:c>
      <x:c r="H593" s="118"/>
      <x:c r="I593" t="str">
        <x:v>false layer stronger</x:v>
      </x:c>
      <x:c r="J593" s="118" t="n">
        <x:v>-4483.447943835805</x:v>
      </x:c>
      <x:c r="K593" t="n">
        <x:v>6</x:v>
      </x:c>
      <x:c r="L593" s="123" t="n">
        <x:v>0</x:v>
      </x:c>
    </x:row>
    <x:row r="594">
      <x:c r="A594" s="118" t="n">
        <x:v>38.5</x:v>
      </x:c>
      <x:c r="B594" t="str">
        <x:v>rough_surface_clutter</x:v>
      </x:c>
      <x:c r="C594" t="str">
        <x:v>VHF_60MHz_shallow</x:v>
      </x:c>
      <x:c r="D594" s="118" t="n">
        <x:v>14776.789430047362</x:v>
      </x:c>
      <x:c r="E594" s="123"/>
      <x:c r="F594" s="123" t="n">
        <x:v>-999</x:v>
      </x:c>
      <x:c r="G594" s="123" t="n">
        <x:v>6.813426473542814</x:v>
      </x:c>
      <x:c r="H594" s="118" t="n">
        <x:v>1314.728327431848</x:v>
      </x:c>
      <x:c r="I594" t="str">
        <x:v>surface clutter in shallow window</x:v>
      </x:c>
      <x:c r="J594" s="118" t="n">
        <x:v>-13462.061102615513</x:v>
      </x:c>
      <x:c r="K594" t="n">
        <x:v>0</x:v>
      </x:c>
      <x:c r="L594" s="123" t="n">
        <x:v>0.7934010200336108</x:v>
      </x:c>
    </x:row>
    <x:row r="595">
      <x:c r="A595" s="118" t="n">
        <x:v>38.5</x:v>
      </x:c>
      <x:c r="B595" t="str">
        <x:v>complex_with_clutter</x:v>
      </x:c>
      <x:c r="C595" t="str">
        <x:v>VHF_60MHz_shallow</x:v>
      </x:c>
      <x:c r="D595" s="118" t="n">
        <x:v>14776.789430047362</x:v>
      </x:c>
      <x:c r="E595" s="123"/>
      <x:c r="F595" s="123" t="n">
        <x:v>5.165714492603216</x:v>
      </x:c>
      <x:c r="G595" s="123" t="n">
        <x:v>9.074619380638605</x:v>
      </x:c>
      <x:c r="H595" s="118" t="n">
        <x:v>1314.728327431848</x:v>
      </x:c>
      <x:c r="I595" t="str">
        <x:v>surface clutter in shallow window</x:v>
      </x:c>
      <x:c r="J595" s="118" t="n">
        <x:v>-13462.061102615513</x:v>
      </x:c>
      <x:c r="K595" t="n">
        <x:v>11</x:v>
      </x:c>
      <x:c r="L595" s="123" t="n">
        <x:v>0.7934010200336108</x:v>
      </x:c>
    </x:row>
    <x:row r="596">
      <x:c r="A596" s="118" t="n">
        <x:v>39</x:v>
      </x:c>
      <x:c r="B596" t="str">
        <x:v>stacked_dirty_layers</x:v>
      </x:c>
      <x:c r="C596" t="str">
        <x:v>HF_9MHz_full_depth</x:v>
      </x:c>
      <x:c r="D596" s="118" t="n">
        <x:v>14759.992307171664</x:v>
      </x:c>
      <x:c r="E596" s="123" t="n">
        <x:v>-1.6460143394234326</x:v>
      </x:c>
      <x:c r="F596" s="123" t="n">
        <x:v>11.661887035665274</x:v>
      </x:c>
      <x:c r="G596" s="123" t="n">
        <x:v>-999</x:v>
      </x:c>
      <x:c r="H596" s="118"/>
      <x:c r="I596" t="str">
        <x:v>false layer stronger</x:v>
      </x:c>
      <x:c r="J596" s="118" t="n">
        <x:v>-4487.520097274672</x:v>
      </x:c>
      <x:c r="K596" t="n">
        <x:v>6</x:v>
      </x:c>
      <x:c r="L596" s="123" t="n">
        <x:v>0</x:v>
      </x:c>
    </x:row>
    <x:row r="597">
      <x:c r="A597" s="118" t="n">
        <x:v>39</x:v>
      </x:c>
      <x:c r="B597" t="str">
        <x:v>rough_surface_clutter</x:v>
      </x:c>
      <x:c r="C597" t="str">
        <x:v>VHF_60MHz_shallow</x:v>
      </x:c>
      <x:c r="D597" s="118" t="n">
        <x:v>14759.992307171664</x:v>
      </x:c>
      <x:c r="E597" s="123"/>
      <x:c r="F597" s="123" t="n">
        <x:v>-999</x:v>
      </x:c>
      <x:c r="G597" s="123" t="n">
        <x:v>5.5716340478554365</x:v>
      </x:c>
      <x:c r="H597" s="118" t="n">
        <x:v>1247.2381421047112</x:v>
      </x:c>
      <x:c r="I597" t="str">
        <x:v>surface clutter in shallow window</x:v>
      </x:c>
      <x:c r="J597" s="118" t="n">
        <x:v>-13512.754165066952</x:v>
      </x:c>
      <x:c r="K597" t="n">
        <x:v>0</x:v>
      </x:c>
      <x:c r="L597" s="123" t="n">
        <x:v>0.7165098481644234</x:v>
      </x:c>
    </x:row>
    <x:row r="598">
      <x:c r="A598" s="118" t="n">
        <x:v>39</x:v>
      </x:c>
      <x:c r="B598" t="str">
        <x:v>complex_with_clutter</x:v>
      </x:c>
      <x:c r="C598" t="str">
        <x:v>VHF_60MHz_shallow</x:v>
      </x:c>
      <x:c r="D598" s="118" t="n">
        <x:v>14759.992307171664</x:v>
      </x:c>
      <x:c r="E598" s="123"/>
      <x:c r="F598" s="123" t="n">
        <x:v>5.2346341871348265</x:v>
      </x:c>
      <x:c r="G598" s="123" t="n">
        <x:v>7.613687115124044</x:v>
      </x:c>
      <x:c r="H598" s="118" t="n">
        <x:v>1247.2381421047112</x:v>
      </x:c>
      <x:c r="I598" t="str">
        <x:v>surface clutter in shallow window</x:v>
      </x:c>
      <x:c r="J598" s="118" t="n">
        <x:v>-13512.754165066952</x:v>
      </x:c>
      <x:c r="K598" t="n">
        <x:v>11</x:v>
      </x:c>
      <x:c r="L598" s="123" t="n">
        <x:v>0.7165098481644234</x:v>
      </x:c>
    </x:row>
    <x:row r="599">
      <x:c r="A599" s="118" t="n">
        <x:v>39.5</x:v>
      </x:c>
      <x:c r="B599" t="str">
        <x:v>stacked_dirty_layers</x:v>
      </x:c>
      <x:c r="C599" t="str">
        <x:v>HF_9MHz_full_depth</x:v>
      </x:c>
      <x:c r="D599" s="118" t="n">
        <x:v>14743.375119644172</x:v>
      </x:c>
      <x:c r="E599" s="123" t="n">
        <x:v>-1.563155839776854</x:v>
      </x:c>
      <x:c r="F599" s="123" t="n">
        <x:v>11.711454441812979</x:v>
      </x:c>
      <x:c r="G599" s="123" t="n">
        <x:v>-999</x:v>
      </x:c>
      <x:c r="H599" s="118"/>
      <x:c r="I599" t="str">
        <x:v>false layer stronger</x:v>
      </x:c>
      <x:c r="J599" s="118" t="n">
        <x:v>-4490.871104908194</x:v>
      </x:c>
      <x:c r="K599" t="n">
        <x:v>6</x:v>
      </x:c>
      <x:c r="L599" s="123" t="n">
        <x:v>0</x:v>
      </x:c>
    </x:row>
    <x:row r="600">
      <x:c r="A600" s="118" t="n">
        <x:v>39.5</x:v>
      </x:c>
      <x:c r="B600" t="str">
        <x:v>rough_surface_clutter</x:v>
      </x:c>
      <x:c r="C600" t="str">
        <x:v>VHF_60MHz_shallow</x:v>
      </x:c>
      <x:c r="D600" s="118" t="n">
        <x:v>14743.375119644172</x:v>
      </x:c>
      <x:c r="E600" s="123"/>
      <x:c r="F600" s="123" t="n">
        <x:v>-999</x:v>
      </x:c>
      <x:c r="G600" s="123" t="n">
        <x:v>3.9901415110642358</x:v>
      </x:c>
      <x:c r="H600" s="118" t="n">
        <x:v>1169.8718862561582</x:v>
      </x:c>
      <x:c r="I600" t="str">
        <x:v>surface clutter in shallow window</x:v>
      </x:c>
      <x:c r="J600" s="118" t="n">
        <x:v>-13573.503233388014</x:v>
      </x:c>
      <x:c r="K600" t="n">
        <x:v>0</x:v>
      </x:c>
      <x:c r="L600" s="123" t="n">
        <x:v>0.618584613688188</x:v>
      </x:c>
    </x:row>
    <x:row r="601">
      <x:c r="A601" s="118" t="n">
        <x:v>39.5</x:v>
      </x:c>
      <x:c r="B601" t="str">
        <x:v>complex_with_clutter</x:v>
      </x:c>
      <x:c r="C601" t="str">
        <x:v>VHF_60MHz_shallow</x:v>
      </x:c>
      <x:c r="D601" s="118" t="n">
        <x:v>14743.375119644172</x:v>
      </x:c>
      <x:c r="E601" s="123"/>
      <x:c r="F601" s="123" t="n">
        <x:v>5.320005757204211</x:v>
      </x:c>
      <x:c r="G601" s="123" t="n">
        <x:v>5.753107660075571</x:v>
      </x:c>
      <x:c r="H601" s="118" t="n">
        <x:v>1169.8718862561582</x:v>
      </x:c>
      <x:c r="I601" t="str">
        <x:v>surface clutter in shallow window</x:v>
      </x:c>
      <x:c r="J601" s="118" t="n">
        <x:v>-13573.503233388014</x:v>
      </x:c>
      <x:c r="K601" t="n">
        <x:v>11</x:v>
      </x:c>
      <x:c r="L601" s="123" t="n">
        <x:v>0.618584613688188</x:v>
      </x:c>
    </x:row>
    <x:row r="602">
      <x:c r="A602" s="118" t="n">
        <x:v>40</x:v>
      </x:c>
      <x:c r="B602" t="str">
        <x:v>stacked_dirty_layers</x:v>
      </x:c>
      <x:c r="C602" t="str">
        <x:v>HF_9MHz_full_depth</x:v>
      </x:c>
      <x:c r="D602" s="118" t="n">
        <x:v>14726.192868523865</x:v>
      </x:c>
      <x:c r="E602" s="123" t="n">
        <x:v>-1.5078382528549072</x:v>
      </x:c>
      <x:c r="F602" s="123" t="n">
        <x:v>11.73172173480633</x:v>
      </x:c>
      <x:c r="G602" s="123" t="n">
        <x:v>-999</x:v>
      </x:c>
      <x:c r="H602" s="118"/>
      <x:c r="I602" t="str">
        <x:v>false layer stronger</x:v>
      </x:c>
      <x:c r="J602" s="118" t="n">
        <x:v>-4493.257036561261</x:v>
      </x:c>
      <x:c r="K602" t="n">
        <x:v>6</x:v>
      </x:c>
      <x:c r="L602" s="123" t="n">
        <x:v>0</x:v>
      </x:c>
    </x:row>
    <x:row r="603">
      <x:c r="A603" s="118" t="n">
        <x:v>40</x:v>
      </x:c>
      <x:c r="B603" t="str">
        <x:v>rough_surface_clutter</x:v>
      </x:c>
      <x:c r="C603" t="str">
        <x:v>VHF_60MHz_shallow</x:v>
      </x:c>
      <x:c r="D603" s="118" t="n">
        <x:v>14726.192868523865</x:v>
      </x:c>
      <x:c r="E603" s="123"/>
      <x:c r="F603" s="123" t="n">
        <x:v>-999</x:v>
      </x:c>
      <x:c r="G603" s="123" t="n">
        <x:v>4.031523416910211</x:v>
      </x:c>
      <x:c r="H603" s="118" t="n">
        <x:v>1145.0090276962512</x:v>
      </x:c>
      <x:c r="I603" t="str">
        <x:v>surface clutter in shallow window</x:v>
      </x:c>
      <x:c r="J603" s="118" t="n">
        <x:v>-13581.183840827614</x:v>
      </x:c>
      <x:c r="K603" t="n">
        <x:v>0</x:v>
      </x:c>
      <x:c r="L603" s="123" t="n">
        <x:v>0.6211469607993939</x:v>
      </x:c>
    </x:row>
    <x:row r="604">
      <x:c r="A604" s="118" t="n">
        <x:v>40</x:v>
      </x:c>
      <x:c r="B604" t="str">
        <x:v>complex_with_clutter</x:v>
      </x:c>
      <x:c r="C604" t="str">
        <x:v>VHF_60MHz_shallow</x:v>
      </x:c>
      <x:c r="D604" s="118" t="n">
        <x:v>14726.192868523865</x:v>
      </x:c>
      <x:c r="E604" s="123"/>
      <x:c r="F604" s="123" t="n">
        <x:v>5.324587573253374</x:v>
      </x:c>
      <x:c r="G604" s="123" t="n">
        <x:v>5.801792255188484</x:v>
      </x:c>
      <x:c r="H604" s="118" t="n">
        <x:v>1145.0090276962512</x:v>
      </x:c>
      <x:c r="I604" t="str">
        <x:v>surface clutter in shallow window</x:v>
      </x:c>
      <x:c r="J604" s="118" t="n">
        <x:v>-13581.183840827614</x:v>
      </x:c>
      <x:c r="K604" t="n">
        <x:v>11</x:v>
      </x:c>
      <x:c r="L604" s="123" t="n">
        <x:v>0.6211469607993939</x:v>
      </x:c>
    </x:row>
    <x:row r="605">
      <x:c r="A605" s="118" t="n">
        <x:v>40.5</x:v>
      </x:c>
      <x:c r="B605" t="str">
        <x:v>stacked_dirty_layers</x:v>
      </x:c>
      <x:c r="C605" t="str">
        <x:v>HF_9MHz_full_depth</x:v>
      </x:c>
      <x:c r="D605" s="118" t="n">
        <x:v>14711.226828791258</x:v>
      </x:c>
      <x:c r="E605" s="123" t="n">
        <x:v>-1.5312433898987627</x:v>
      </x:c>
      <x:c r="F605" s="123" t="n">
        <x:v>11.673688190594204</x:v>
      </x:c>
      <x:c r="G605" s="123" t="n">
        <x:v>-999</x:v>
      </x:c>
      <x:c r="H605" s="118"/>
      <x:c r="I605" t="str">
        <x:v>false layer stronger</x:v>
      </x:c>
      <x:c r="J605" s="118" t="n">
        <x:v>-4495.53822841162</x:v>
      </x:c>
      <x:c r="K605" t="n">
        <x:v>6</x:v>
      </x:c>
      <x:c r="L605" s="123" t="n">
        <x:v>0</x:v>
      </x:c>
    </x:row>
    <x:row r="606">
      <x:c r="A606" s="118" t="n">
        <x:v>40.5</x:v>
      </x:c>
      <x:c r="B606" t="str">
        <x:v>rough_surface_clutter</x:v>
      </x:c>
      <x:c r="C606" t="str">
        <x:v>VHF_60MHz_shallow</x:v>
      </x:c>
      <x:c r="D606" s="118" t="n">
        <x:v>14711.226828791258</x:v>
      </x:c>
      <x:c r="E606" s="123"/>
      <x:c r="F606" s="123" t="n">
        <x:v>-999</x:v>
      </x:c>
      <x:c r="G606" s="123" t="n">
        <x:v>8.388884943190375</x:v>
      </x:c>
      <x:c r="H606" s="118" t="n">
        <x:v>1258.2327590991124</x:v>
      </x:c>
      <x:c r="I606" t="str">
        <x:v>surface clutter in shallow window</x:v>
      </x:c>
      <x:c r="J606" s="118" t="n">
        <x:v>-13452.994069692146</x:v>
      </x:c>
      <x:c r="K606" t="n">
        <x:v>0</x:v>
      </x:c>
      <x:c r="L606" s="123" t="n">
        <x:v>0.8909526280613236</x:v>
      </x:c>
    </x:row>
    <x:row r="607">
      <x:c r="A607" s="118" t="n">
        <x:v>40.5</x:v>
      </x:c>
      <x:c r="B607" t="str">
        <x:v>complex_with_clutter</x:v>
      </x:c>
      <x:c r="C607" t="str">
        <x:v>VHF_60MHz_shallow</x:v>
      </x:c>
      <x:c r="D607" s="118" t="n">
        <x:v>14711.226828791258</x:v>
      </x:c>
      <x:c r="E607" s="123"/>
      <x:c r="F607" s="123" t="n">
        <x:v>5.114952051193744</x:v>
      </x:c>
      <x:c r="G607" s="123" t="n">
        <x:v>10.928099933165146</x:v>
      </x:c>
      <x:c r="H607" s="118" t="n">
        <x:v>1258.2327590991124</x:v>
      </x:c>
      <x:c r="I607" t="str">
        <x:v>surface clutter in shallow window</x:v>
      </x:c>
      <x:c r="J607" s="118" t="n">
        <x:v>-13452.994069692146</x:v>
      </x:c>
      <x:c r="K607" t="n">
        <x:v>11</x:v>
      </x:c>
      <x:c r="L607" s="123" t="n">
        <x:v>0.8909526280613236</x:v>
      </x:c>
    </x:row>
    <x:row r="608">
      <x:c r="A608" s="118" t="n">
        <x:v>41</x:v>
      </x:c>
      <x:c r="B608" t="str">
        <x:v>stacked_dirty_layers</x:v>
      </x:c>
      <x:c r="C608" t="str">
        <x:v>HF_9MHz_full_depth</x:v>
      </x:c>
      <x:c r="D608" s="118" t="n">
        <x:v>14699.881320538967</x:v>
      </x:c>
      <x:c r="E608" s="123" t="n">
        <x:v>-1.491976400797609</x:v>
      </x:c>
      <x:c r="F608" s="123" t="n">
        <x:v>11.679821820306731</x:v>
      </x:c>
      <x:c r="G608" s="123" t="n">
        <x:v>-999</x:v>
      </x:c>
      <x:c r="H608" s="118"/>
      <x:c r="I608" t="str">
        <x:v>false layer stronger</x:v>
      </x:c>
      <x:c r="J608" s="118" t="n">
        <x:v>-4498.149348403238</x:v>
      </x:c>
      <x:c r="K608" t="n">
        <x:v>6</x:v>
      </x:c>
      <x:c r="L608" s="123" t="n">
        <x:v>0</x:v>
      </x:c>
    </x:row>
    <x:row r="609">
      <x:c r="A609" s="118" t="n">
        <x:v>41</x:v>
      </x:c>
      <x:c r="B609" t="str">
        <x:v>rough_surface_clutter</x:v>
      </x:c>
      <x:c r="C609" t="str">
        <x:v>VHF_60MHz_shallow</x:v>
      </x:c>
      <x:c r="D609" s="118" t="n">
        <x:v>14699.881320538967</x:v>
      </x:c>
      <x:c r="E609" s="123"/>
      <x:c r="F609" s="123" t="n">
        <x:v>-999</x:v>
      </x:c>
      <x:c r="G609" s="123" t="n">
        <x:v>8.969930511255965</x:v>
      </x:c>
      <x:c r="H609" s="118" t="n">
        <x:v>1252.5297710232649</x:v>
      </x:c>
      <x:c r="I609" t="str">
        <x:v>surface clutter in shallow window</x:v>
      </x:c>
      <x:c r="J609" s="118" t="n">
        <x:v>-13447.351549515703</x:v>
      </x:c>
      <x:c r="K609" t="n">
        <x:v>0</x:v>
      </x:c>
      <x:c r="L609" s="123" t="n">
        <x:v>0.926930681811515</x:v>
      </x:c>
    </x:row>
    <x:row r="610">
      <x:c r="A610" s="118" t="n">
        <x:v>41</x:v>
      </x:c>
      <x:c r="B610" t="str">
        <x:v>complex_with_clutter</x:v>
      </x:c>
      <x:c r="C610" t="str">
        <x:v>VHF_60MHz_shallow</x:v>
      </x:c>
      <x:c r="D610" s="118" t="n">
        <x:v>14699.881320538967</x:v>
      </x:c>
      <x:c r="E610" s="123"/>
      <x:c r="F610" s="123" t="n">
        <x:v>5.0919343525016085</x:v>
      </x:c>
      <x:c r="G610" s="123" t="n">
        <x:v>11.611682954418782</x:v>
      </x:c>
      <x:c r="H610" s="118" t="n">
        <x:v>1252.5297710232649</x:v>
      </x:c>
      <x:c r="I610" t="str">
        <x:v>surface clutter in shallow window</x:v>
      </x:c>
      <x:c r="J610" s="118" t="n">
        <x:v>-13447.351549515703</x:v>
      </x:c>
      <x:c r="K610" t="n">
        <x:v>11</x:v>
      </x:c>
      <x:c r="L610" s="123" t="n">
        <x:v>0.926930681811515</x:v>
      </x:c>
    </x:row>
    <x:row r="611">
      <x:c r="A611" s="118" t="n">
        <x:v>41.5</x:v>
      </x:c>
      <x:c r="B611" t="str">
        <x:v>stacked_dirty_layers</x:v>
      </x:c>
      <x:c r="C611" t="str">
        <x:v>HF_9MHz_full_depth</x:v>
      </x:c>
      <x:c r="D611" s="118" t="n">
        <x:v>14687.004164423177</x:v>
      </x:c>
      <x:c r="E611" s="123" t="n">
        <x:v>-1.3666900518068466</x:v>
      </x:c>
      <x:c r="F611" s="123" t="n">
        <x:v>11.769755065562475</x:v>
      </x:c>
      <x:c r="G611" s="123" t="n">
        <x:v>-999</x:v>
      </x:c>
      <x:c r="H611" s="118"/>
      <x:c r="I611" t="str">
        <x:v>false layer stronger</x:v>
      </x:c>
      <x:c r="J611" s="118" t="n">
        <x:v>-4499.469094096707</x:v>
      </x:c>
      <x:c r="K611" t="n">
        <x:v>6</x:v>
      </x:c>
      <x:c r="L611" s="123" t="n">
        <x:v>0</x:v>
      </x:c>
    </x:row>
    <x:row r="612">
      <x:c r="A612" s="118" t="n">
        <x:v>41.5</x:v>
      </x:c>
      <x:c r="B612" t="str">
        <x:v>rough_surface_clutter</x:v>
      </x:c>
      <x:c r="C612" t="str">
        <x:v>VHF_60MHz_shallow</x:v>
      </x:c>
      <x:c r="D612" s="118" t="n">
        <x:v>14687.004164423177</x:v>
      </x:c>
      <x:c r="E612" s="123"/>
      <x:c r="F612" s="123" t="n">
        <x:v>-999</x:v>
      </x:c>
      <x:c r="G612" s="123" t="n">
        <x:v>4.805635020860175</x:v>
      </x:c>
      <x:c r="H612" s="118" t="n">
        <x:v>1097.1538747467512</x:v>
      </x:c>
      <x:c r="I612" t="str">
        <x:v>surface clutter in shallow window</x:v>
      </x:c>
      <x:c r="J612" s="118" t="n">
        <x:v>-13589.850289676426</x:v>
      </x:c>
      <x:c r="K612" t="n">
        <x:v>0</x:v>
      </x:c>
      <x:c r="L612" s="123" t="n">
        <x:v>0.6690795678551191</x:v>
      </x:c>
    </x:row>
    <x:row r="613">
      <x:c r="A613" s="118" t="n">
        <x:v>41.5</x:v>
      </x:c>
      <x:c r="B613" t="str">
        <x:v>complex_with_clutter</x:v>
      </x:c>
      <x:c r="C613" t="str">
        <x:v>VHF_60MHz_shallow</x:v>
      </x:c>
      <x:c r="D613" s="118" t="n">
        <x:v>14687.004164423177</x:v>
      </x:c>
      <x:c r="E613" s="123"/>
      <x:c r="F613" s="123" t="n">
        <x:v>5.303515622700906</x:v>
      </x:c>
      <x:c r="G613" s="123" t="n">
        <x:v>6.712511789247264</x:v>
      </x:c>
      <x:c r="H613" s="118" t="n">
        <x:v>1097.1538747467512</x:v>
      </x:c>
      <x:c r="I613" t="str">
        <x:v>surface clutter in shallow window</x:v>
      </x:c>
      <x:c r="J613" s="118" t="n">
        <x:v>-13589.850289676426</x:v>
      </x:c>
      <x:c r="K613" t="n">
        <x:v>11</x:v>
      </x:c>
      <x:c r="L613" s="123" t="n">
        <x:v>0.6690795678551191</x:v>
      </x:c>
    </x:row>
    <x:row r="614">
      <x:c r="A614" s="118" t="n">
        <x:v>42</x:v>
      </x:c>
      <x:c r="B614" t="str">
        <x:v>stacked_dirty_layers</x:v>
      </x:c>
      <x:c r="C614" t="str">
        <x:v>HF_9MHz_full_depth</x:v>
      </x:c>
      <x:c r="D614" s="118" t="n">
        <x:v>14673.651759639273</x:v>
      </x:c>
      <x:c r="E614" s="123" t="n">
        <x:v>-1.3266160645747473</x:v>
      </x:c>
      <x:c r="F614" s="123" t="n">
        <x:v>11.77307383904326</x:v>
      </x:c>
      <x:c r="G614" s="123" t="n">
        <x:v>-999</x:v>
      </x:c>
      <x:c r="H614" s="118"/>
      <x:c r="I614" t="str">
        <x:v>false layer stronger</x:v>
      </x:c>
      <x:c r="J614" s="118" t="n">
        <x:v>-4499.82123158863</x:v>
      </x:c>
      <x:c r="K614" t="n">
        <x:v>6</x:v>
      </x:c>
      <x:c r="L614" s="123" t="n">
        <x:v>0</x:v>
      </x:c>
    </x:row>
    <x:row r="615">
      <x:c r="A615" s="118" t="n">
        <x:v>42</x:v>
      </x:c>
      <x:c r="B615" t="str">
        <x:v>rough_surface_clutter</x:v>
      </x:c>
      <x:c r="C615" t="str">
        <x:v>VHF_60MHz_shallow</x:v>
      </x:c>
      <x:c r="D615" s="118" t="n">
        <x:v>14673.651759639273</x:v>
      </x:c>
      <x:c r="E615" s="123"/>
      <x:c r="F615" s="123" t="n">
        <x:v>-999</x:v>
      </x:c>
      <x:c r="G615" s="123" t="n">
        <x:v>5.498963825378453</x:v>
      </x:c>
      <x:c r="H615" s="118" t="n">
        <x:v>1097.1735283741464</x:v>
      </x:c>
      <x:c r="I615" t="str">
        <x:v>surface clutter in shallow window</x:v>
      </x:c>
      <x:c r="J615" s="118" t="n">
        <x:v>-13576.478231265126</x:v>
      </x:c>
      <x:c r="K615" t="n">
        <x:v>0</x:v>
      </x:c>
      <x:c r="L615" s="123" t="n">
        <x:v>0.7120101439862819</x:v>
      </x:c>
    </x:row>
    <x:row r="616">
      <x:c r="A616" s="118" t="n">
        <x:v>42</x:v>
      </x:c>
      <x:c r="B616" t="str">
        <x:v>complex_with_clutter</x:v>
      </x:c>
      <x:c r="C616" t="str">
        <x:v>VHF_60MHz_shallow</x:v>
      </x:c>
      <x:c r="D616" s="118" t="n">
        <x:v>14673.651759639273</x:v>
      </x:c>
      <x:c r="E616" s="123"/>
      <x:c r="F616" s="123" t="n">
        <x:v>5.273988637916176</x:v>
      </x:c>
      <x:c r="G616" s="123" t="n">
        <x:v>7.528192735739356</x:v>
      </x:c>
      <x:c r="H616" s="118" t="n">
        <x:v>1097.1735283741464</x:v>
      </x:c>
      <x:c r="I616" t="str">
        <x:v>surface clutter in shallow window</x:v>
      </x:c>
      <x:c r="J616" s="118" t="n">
        <x:v>-13576.478231265126</x:v>
      </x:c>
      <x:c r="K616" t="n">
        <x:v>11</x:v>
      </x:c>
      <x:c r="L616" s="123" t="n">
        <x:v>0.7120101439862819</x:v>
      </x:c>
    </x:row>
    <x:row r="617">
      <x:c r="A617" s="118" t="n">
        <x:v>42.5</x:v>
      </x:c>
      <x:c r="B617" t="str">
        <x:v>stacked_dirty_layers</x:v>
      </x:c>
      <x:c r="C617" t="str">
        <x:v>HF_9MHz_full_depth</x:v>
      </x:c>
      <x:c r="D617" s="118" t="n">
        <x:v>14662.973588793413</x:v>
      </x:c>
      <x:c r="E617" s="123" t="n">
        <x:v>-1.3193847412933883</x:v>
      </x:c>
      <x:c r="F617" s="123" t="n">
        <x:v>11.744497481694662</x:v>
      </x:c>
      <x:c r="G617" s="123" t="n">
        <x:v>-999</x:v>
      </x:c>
      <x:c r="H617" s="118"/>
      <x:c r="I617" t="str">
        <x:v>false layer stronger</x:v>
      </x:c>
      <x:c r="J617" s="118" t="n">
        <x:v>-4500.190822477653</x:v>
      </x:c>
      <x:c r="K617" t="n">
        <x:v>6</x:v>
      </x:c>
      <x:c r="L617" s="123" t="n">
        <x:v>0</x:v>
      </x:c>
    </x:row>
    <x:row r="618">
      <x:c r="A618" s="118" t="n">
        <x:v>42.5</x:v>
      </x:c>
      <x:c r="B618" t="str">
        <x:v>rough_surface_clutter</x:v>
      </x:c>
      <x:c r="C618" t="str">
        <x:v>VHF_60MHz_shallow</x:v>
      </x:c>
      <x:c r="D618" s="118" t="n">
        <x:v>14662.973588793413</x:v>
      </x:c>
      <x:c r="E618" s="123"/>
      <x:c r="F618" s="123" t="n">
        <x:v>-999</x:v>
      </x:c>
      <x:c r="G618" s="123" t="n">
        <x:v>7.87005806504693</x:v>
      </x:c>
      <x:c r="H618" s="118" t="n">
        <x:v>1151.612970611689</x:v>
      </x:c>
      <x:c r="I618" t="str">
        <x:v>surface clutter in shallow window</x:v>
      </x:c>
      <x:c r="J618" s="118" t="n">
        <x:v>-13511.360618181723</x:v>
      </x:c>
      <x:c r="K618" t="n">
        <x:v>0</x:v>
      </x:c>
      <x:c r="L618" s="123" t="n">
        <x:v>0.8588271247707078</x:v>
      </x:c>
    </x:row>
    <x:row r="619">
      <x:c r="A619" s="118" t="n">
        <x:v>42.5</x:v>
      </x:c>
      <x:c r="B619" t="str">
        <x:v>complex_with_clutter</x:v>
      </x:c>
      <x:c r="C619" t="str">
        <x:v>VHF_60MHz_shallow</x:v>
      </x:c>
      <x:c r="D619" s="118" t="n">
        <x:v>14662.973588793413</x:v>
      </x:c>
      <x:c r="E619" s="123"/>
      <x:c r="F619" s="123" t="n">
        <x:v>5.160852714112302</x:v>
      </x:c>
      <x:c r="G619" s="123" t="n">
        <x:v>10.317715370643448</x:v>
      </x:c>
      <x:c r="H619" s="118" t="n">
        <x:v>1151.612970611689</x:v>
      </x:c>
      <x:c r="I619" t="str">
        <x:v>surface clutter in shallow window</x:v>
      </x:c>
      <x:c r="J619" s="118" t="n">
        <x:v>-13511.360618181723</x:v>
      </x:c>
      <x:c r="K619" t="n">
        <x:v>11</x:v>
      </x:c>
      <x:c r="L619" s="123" t="n">
        <x:v>0.8588271247707078</x:v>
      </x:c>
    </x:row>
    <x:row r="620">
      <x:c r="A620" s="118" t="n">
        <x:v>43</x:v>
      </x:c>
      <x:c r="B620" t="str">
        <x:v>stacked_dirty_layers</x:v>
      </x:c>
      <x:c r="C620" t="str">
        <x:v>HF_9MHz_full_depth</x:v>
      </x:c>
      <x:c r="D620" s="118" t="n">
        <x:v>14653.271975733256</x:v>
      </x:c>
      <x:c r="E620" s="123" t="n">
        <x:v>-1.3020640752325527</x:v>
      </x:c>
      <x:c r="F620" s="123" t="n">
        <x:v>11.725763581799134</x:v>
      </x:c>
      <x:c r="G620" s="123" t="n">
        <x:v>-999</x:v>
      </x:c>
      <x:c r="H620" s="118"/>
      <x:c r="I620" t="str">
        <x:v>false layer stronger</x:v>
      </x:c>
      <x:c r="J620" s="118" t="n">
        <x:v>-4500.041312576206</x:v>
      </x:c>
      <x:c r="K620" t="n">
        <x:v>6</x:v>
      </x:c>
      <x:c r="L620" s="123" t="n">
        <x:v>0</x:v>
      </x:c>
    </x:row>
    <x:row r="621">
      <x:c r="A621" s="118" t="n">
        <x:v>43</x:v>
      </x:c>
      <x:c r="B621" t="str">
        <x:v>rough_surface_clutter</x:v>
      </x:c>
      <x:c r="C621" t="str">
        <x:v>VHF_60MHz_shallow</x:v>
      </x:c>
      <x:c r="D621" s="118" t="n">
        <x:v>14653.271975733256</x:v>
      </x:c>
      <x:c r="E621" s="123"/>
      <x:c r="F621" s="123" t="n">
        <x:v>-999</x:v>
      </x:c>
      <x:c r="G621" s="123" t="n">
        <x:v>9.605712653159724</x:v>
      </x:c>
      <x:c r="H621" s="118" t="n">
        <x:v>1187.0238292942013</x:v>
      </x:c>
      <x:c r="I621" t="str">
        <x:v>surface clutter in shallow window</x:v>
      </x:c>
      <x:c r="J621" s="118" t="n">
        <x:v>-13466.248146439055</x:v>
      </x:c>
      <x:c r="K621" t="n">
        <x:v>0</x:v>
      </x:c>
      <x:c r="L621" s="123" t="n">
        <x:v>0.9662979970996735</x:v>
      </x:c>
    </x:row>
    <x:row r="622">
      <x:c r="A622" s="118" t="n">
        <x:v>43</x:v>
      </x:c>
      <x:c r="B622" t="str">
        <x:v>complex_with_clutter</x:v>
      </x:c>
      <x:c r="C622" t="str">
        <x:v>VHF_60MHz_shallow</x:v>
      </x:c>
      <x:c r="D622" s="118" t="n">
        <x:v>14653.271975733256</x:v>
      </x:c>
      <x:c r="E622" s="123"/>
      <x:c r="F622" s="123" t="n">
        <x:v>5.078678632024521</x:v>
      </x:c>
      <x:c r="G622" s="123" t="n">
        <x:v>12.359661944893794</x:v>
      </x:c>
      <x:c r="H622" s="118" t="n">
        <x:v>1187.0238292942013</x:v>
      </x:c>
      <x:c r="I622" t="str">
        <x:v>surface clutter in shallow window</x:v>
      </x:c>
      <x:c r="J622" s="118" t="n">
        <x:v>-13466.248146439055</x:v>
      </x:c>
      <x:c r="K622" t="n">
        <x:v>11</x:v>
      </x:c>
      <x:c r="L622" s="123" t="n">
        <x:v>0.9662979970996735</x:v>
      </x:c>
    </x:row>
    <x:row r="623">
      <x:c r="A623" s="118" t="n">
        <x:v>43.5</x:v>
      </x:c>
      <x:c r="B623" t="str">
        <x:v>stacked_dirty_layers</x:v>
      </x:c>
      <x:c r="C623" t="str">
        <x:v>HF_9MHz_full_depth</x:v>
      </x:c>
      <x:c r="D623" s="118" t="n">
        <x:v>14645.692657462254</x:v>
      </x:c>
      <x:c r="E623" s="123" t="n">
        <x:v>-1.268413388602997</x:v>
      </x:c>
      <x:c r="F623" s="123" t="n">
        <x:v>11.723996658956622</x:v>
      </x:c>
      <x:c r="G623" s="123" t="n">
        <x:v>-999</x:v>
      </x:c>
      <x:c r="H623" s="118"/>
      <x:c r="I623" t="str">
        <x:v>false layer stronger</x:v>
      </x:c>
      <x:c r="J623" s="118" t="n">
        <x:v>-4499.730985704888</x:v>
      </x:c>
      <x:c r="K623" t="n">
        <x:v>6</x:v>
      </x:c>
      <x:c r="L623" s="123" t="n">
        <x:v>0</x:v>
      </x:c>
    </x:row>
    <x:row r="624">
      <x:c r="A624" s="118" t="n">
        <x:v>43.5</x:v>
      </x:c>
      <x:c r="B624" t="str">
        <x:v>rough_surface_clutter</x:v>
      </x:c>
      <x:c r="C624" t="str">
        <x:v>VHF_60MHz_shallow</x:v>
      </x:c>
      <x:c r="D624" s="118" t="n">
        <x:v>14645.692657462254</x:v>
      </x:c>
      <x:c r="E624" s="123"/>
      <x:c r="F624" s="123" t="n">
        <x:v>-999</x:v>
      </x:c>
      <x:c r="G624" s="123" t="n">
        <x:v>10.149999999999999</x:v>
      </x:c>
      <x:c r="H624" s="118" t="n">
        <x:v>1185.7754791860339</x:v>
      </x:c>
      <x:c r="I624" t="str">
        <x:v>surface clutter in shallow window</x:v>
      </x:c>
      <x:c r="J624" s="118" t="n">
        <x:v>-13459.91717827622</x:v>
      </x:c>
      <x:c r="K624" t="n">
        <x:v>0</x:v>
      </x:c>
      <x:c r="L624" s="123" t="n">
        <x:v>1</x:v>
      </x:c>
    </x:row>
    <x:row r="625">
      <x:c r="A625" s="118" t="n">
        <x:v>43.5</x:v>
      </x:c>
      <x:c r="B625" t="str">
        <x:v>complex_with_clutter</x:v>
      </x:c>
      <x:c r="C625" t="str">
        <x:v>VHF_60MHz_shallow</x:v>
      </x:c>
      <x:c r="D625" s="118" t="n">
        <x:v>14645.692657462254</x:v>
      </x:c>
      <x:c r="E625" s="123"/>
      <x:c r="F625" s="123" t="n">
        <x:v>5.048977586641756</x:v>
      </x:c>
      <x:c r="G625" s="123" t="n">
        <x:v>13</x:v>
      </x:c>
      <x:c r="H625" s="118" t="n">
        <x:v>1185.7754791860339</x:v>
      </x:c>
      <x:c r="I625" t="str">
        <x:v>surface clutter in shallow window</x:v>
      </x:c>
      <x:c r="J625" s="118" t="n">
        <x:v>-13459.91717827622</x:v>
      </x:c>
      <x:c r="K625" t="n">
        <x:v>11</x:v>
      </x:c>
      <x:c r="L625" s="123" t="n">
        <x:v>1</x:v>
      </x:c>
    </x:row>
    <x:row r="626">
      <x:c r="A626" s="118" t="n">
        <x:v>44</x:v>
      </x:c>
      <x:c r="B626" t="str">
        <x:v>stacked_dirty_layers</x:v>
      </x:c>
      <x:c r="C626" t="str">
        <x:v>HF_9MHz_full_depth</x:v>
      </x:c>
      <x:c r="D626" s="118" t="n">
        <x:v>14638.157168949723</x:v>
      </x:c>
      <x:c r="E626" s="123" t="n">
        <x:v>-1.2460715537982854</x:v>
      </x:c>
      <x:c r="F626" s="123" t="n">
        <x:v>11.710081648015555</x:v>
      </x:c>
      <x:c r="G626" s="123" t="n">
        <x:v>-999</x:v>
      </x:c>
      <x:c r="H626" s="118"/>
      <x:c r="I626" t="str">
        <x:v>false layer stronger</x:v>
      </x:c>
      <x:c r="J626" s="118" t="n">
        <x:v>-4498.6040031911525</x:v>
      </x:c>
      <x:c r="K626" t="n">
        <x:v>6</x:v>
      </x:c>
      <x:c r="L626" s="123" t="n">
        <x:v>0</x:v>
      </x:c>
    </x:row>
    <x:row r="627">
      <x:c r="A627" s="118" t="n">
        <x:v>44</x:v>
      </x:c>
      <x:c r="B627" t="str">
        <x:v>rough_surface_clutter</x:v>
      </x:c>
      <x:c r="C627" t="str">
        <x:v>VHF_60MHz_shallow</x:v>
      </x:c>
      <x:c r="D627" s="118" t="n">
        <x:v>14638.157168949723</x:v>
      </x:c>
      <x:c r="E627" s="123"/>
      <x:c r="F627" s="123" t="n">
        <x:v>-999</x:v>
      </x:c>
      <x:c r="G627" s="123" t="n">
        <x:v>10.149999999999999</x:v>
      </x:c>
      <x:c r="H627" s="118" t="n">
        <x:v>1168.4487775743025</x:v>
      </x:c>
      <x:c r="I627" t="str">
        <x:v>surface clutter in shallow window</x:v>
      </x:c>
      <x:c r="J627" s="118" t="n">
        <x:v>-13469.708391375421</x:v>
      </x:c>
      <x:c r="K627" t="n">
        <x:v>0</x:v>
      </x:c>
      <x:c r="L627" s="123" t="n">
        <x:v>1</x:v>
      </x:c>
    </x:row>
    <x:row r="628">
      <x:c r="A628" s="118" t="n">
        <x:v>44</x:v>
      </x:c>
      <x:c r="B628" t="str">
        <x:v>complex_with_clutter</x:v>
      </x:c>
      <x:c r="C628" t="str">
        <x:v>VHF_60MHz_shallow</x:v>
      </x:c>
      <x:c r="D628" s="118" t="n">
        <x:v>14638.157168949723</x:v>
      </x:c>
      <x:c r="E628" s="123"/>
      <x:c r="F628" s="123" t="n">
        <x:v>4.987419123130584</x:v>
      </x:c>
      <x:c r="G628" s="123" t="n">
        <x:v>13</x:v>
      </x:c>
      <x:c r="H628" s="118" t="n">
        <x:v>1168.4487775743025</x:v>
      </x:c>
      <x:c r="I628" t="str">
        <x:v>surface clutter in shallow window</x:v>
      </x:c>
      <x:c r="J628" s="118" t="n">
        <x:v>-13469.708391375421</x:v>
      </x:c>
      <x:c r="K628" t="n">
        <x:v>11</x:v>
      </x:c>
      <x:c r="L628" s="123" t="n">
        <x:v>1</x:v>
      </x:c>
    </x:row>
    <x:row r="629">
      <x:c r="A629" s="118" t="n">
        <x:v>44.5</x:v>
      </x:c>
      <x:c r="B629" t="str">
        <x:v>stacked_dirty_layers</x:v>
      </x:c>
      <x:c r="C629" t="str">
        <x:v>HF_9MHz_full_depth</x:v>
      </x:c>
      <x:c r="D629" s="118" t="n">
        <x:v>14633.280812812143</x:v>
      </x:c>
      <x:c r="E629" s="123" t="n">
        <x:v>-1.196077582788124</x:v>
      </x:c>
      <x:c r="F629" s="123" t="n">
        <x:v>11.724936596146865</x:v>
      </x:c>
      <x:c r="G629" s="123" t="n">
        <x:v>-999</x:v>
      </x:c>
      <x:c r="H629" s="118"/>
      <x:c r="I629" t="str">
        <x:v>false layer stronger</x:v>
      </x:c>
      <x:c r="J629" s="118" t="n">
        <x:v>-4497.483456035827</x:v>
      </x:c>
      <x:c r="K629" t="n">
        <x:v>6</x:v>
      </x:c>
      <x:c r="L629" s="123" t="n">
        <x:v>0</x:v>
      </x:c>
    </x:row>
    <x:row r="630">
      <x:c r="A630" s="118" t="n">
        <x:v>44.5</x:v>
      </x:c>
      <x:c r="B630" t="str">
        <x:v>rough_surface_clutter</x:v>
      </x:c>
      <x:c r="C630" t="str">
        <x:v>VHF_60MHz_shallow</x:v>
      </x:c>
      <x:c r="D630" s="118" t="n">
        <x:v>14633.280812812143</x:v>
      </x:c>
      <x:c r="E630" s="123"/>
      <x:c r="F630" s="123" t="n">
        <x:v>-999</x:v>
      </x:c>
      <x:c r="G630" s="123" t="n">
        <x:v>10.149999999999999</x:v>
      </x:c>
      <x:c r="H630" s="118" t="n">
        <x:v>1152.357672280031</x:v>
      </x:c>
      <x:c r="I630" t="str">
        <x:v>surface clutter in shallow window</x:v>
      </x:c>
      <x:c r="J630" s="118" t="n">
        <x:v>-13480.923140532112</x:v>
      </x:c>
      <x:c r="K630" t="n">
        <x:v>0</x:v>
      </x:c>
      <x:c r="L630" s="123" t="n">
        <x:v>1</x:v>
      </x:c>
    </x:row>
    <x:row r="631">
      <x:c r="A631" s="118" t="n">
        <x:v>44.5</x:v>
      </x:c>
      <x:c r="B631" t="str">
        <x:v>complex_with_clutter</x:v>
      </x:c>
      <x:c r="C631" t="str">
        <x:v>VHF_60MHz_shallow</x:v>
      </x:c>
      <x:c r="D631" s="118" t="n">
        <x:v>14633.280812812143</x:v>
      </x:c>
      <x:c r="E631" s="123"/>
      <x:c r="F631" s="123" t="n">
        <x:v>5.012126706966656</x:v>
      </x:c>
      <x:c r="G631" s="123" t="n">
        <x:v>13</x:v>
      </x:c>
      <x:c r="H631" s="118" t="n">
        <x:v>1152.357672280031</x:v>
      </x:c>
      <x:c r="I631" t="str">
        <x:v>surface clutter in shallow window</x:v>
      </x:c>
      <x:c r="J631" s="118" t="n">
        <x:v>-13480.923140532112</x:v>
      </x:c>
      <x:c r="K631" t="n">
        <x:v>11</x:v>
      </x:c>
      <x:c r="L631" s="123" t="n">
        <x:v>1</x:v>
      </x:c>
    </x:row>
    <x:row r="632">
      <x:c r="A632" s="118" t="n">
        <x:v>45</x:v>
      </x:c>
      <x:c r="B632" t="str">
        <x:v>stacked_dirty_layers</x:v>
      </x:c>
      <x:c r="C632" t="str">
        <x:v>HF_9MHz_full_depth</x:v>
      </x:c>
      <x:c r="D632" s="118" t="n">
        <x:v>14626.915429680796</x:v>
      </x:c>
      <x:c r="E632" s="123" t="n">
        <x:v>-1.0567504934102194</x:v>
      </x:c>
      <x:c r="F632" s="123" t="n">
        <x:v>11.827249003754135</x:v>
      </x:c>
      <x:c r="G632" s="123" t="n">
        <x:v>-999</x:v>
      </x:c>
      <x:c r="H632" s="118"/>
      <x:c r="I632" t="str">
        <x:v>false layer stronger</x:v>
      </x:c>
      <x:c r="J632" s="118" t="n">
        <x:v>-4495.063174418929</x:v>
      </x:c>
      <x:c r="K632" t="n">
        <x:v>6</x:v>
      </x:c>
      <x:c r="L632" s="123" t="n">
        <x:v>0</x:v>
      </x:c>
    </x:row>
    <x:row r="633">
      <x:c r="A633" s="118" t="n">
        <x:v>45</x:v>
      </x:c>
      <x:c r="B633" t="str">
        <x:v>rough_surface_clutter</x:v>
      </x:c>
      <x:c r="C633" t="str">
        <x:v>VHF_60MHz_shallow</x:v>
      </x:c>
      <x:c r="D633" s="118" t="n">
        <x:v>14626.915429680796</x:v>
      </x:c>
      <x:c r="E633" s="123"/>
      <x:c r="F633" s="123" t="n">
        <x:v>-999</x:v>
      </x:c>
      <x:c r="G633" s="123" t="n">
        <x:v>5.703129035634628</x:v>
      </x:c>
      <x:c r="H633" s="118" t="n">
        <x:v>996.2716653767112</x:v>
      </x:c>
      <x:c r="I633" t="str">
        <x:v>surface clutter in shallow window</x:v>
      </x:c>
      <x:c r="J633" s="118" t="n">
        <x:v>-13630.643764304084</x:v>
      </x:c>
      <x:c r="K633" t="n">
        <x:v>0</x:v>
      </x:c>
      <x:c r="L633" s="123" t="n">
        <x:v>0.7246519526708749</x:v>
      </x:c>
    </x:row>
    <x:row r="634">
      <x:c r="A634" s="118" t="n">
        <x:v>45</x:v>
      </x:c>
      <x:c r="B634" t="str">
        <x:v>complex_with_clutter</x:v>
      </x:c>
      <x:c r="C634" t="str">
        <x:v>VHF_60MHz_shallow</x:v>
      </x:c>
      <x:c r="D634" s="118" t="n">
        <x:v>14626.915429680796</x:v>
      </x:c>
      <x:c r="E634" s="123"/>
      <x:c r="F634" s="123" t="n">
        <x:v>5.281812329294136</x:v>
      </x:c>
      <x:c r="G634" s="123" t="n">
        <x:v>7.768387100746622</x:v>
      </x:c>
      <x:c r="H634" s="118" t="n">
        <x:v>996.2716653767112</x:v>
      </x:c>
      <x:c r="I634" t="str">
        <x:v>surface clutter in shallow window</x:v>
      </x:c>
      <x:c r="J634" s="118" t="n">
        <x:v>-13630.643764304084</x:v>
      </x:c>
      <x:c r="K634" t="n">
        <x:v>11</x:v>
      </x:c>
      <x:c r="L634" s="123" t="n">
        <x:v>0.7246519526708749</x:v>
      </x:c>
    </x:row>
    <x:row r="635">
      <x:c r="A635" s="118" t="n">
        <x:v>45.5</x:v>
      </x:c>
      <x:c r="B635" t="str">
        <x:v>stacked_dirty_layers</x:v>
      </x:c>
      <x:c r="C635" t="str">
        <x:v>HF_9MHz_full_depth</x:v>
      </x:c>
      <x:c r="D635" s="118" t="n">
        <x:v>14618.90219150512</x:v>
      </x:c>
      <x:c r="E635" s="123" t="n">
        <x:v>-1.0409645180585738</x:v>
      </x:c>
      <x:c r="F635" s="123" t="n">
        <x:v>11.810629461817662</x:v>
      </x:c>
      <x:c r="G635" s="123" t="n">
        <x:v>-999</x:v>
      </x:c>
      <x:c r="H635" s="118"/>
      <x:c r="I635" t="str">
        <x:v>false layer stronger</x:v>
      </x:c>
      <x:c r="J635" s="118" t="n">
        <x:v>-4491.295029491303</x:v>
      </x:c>
      <x:c r="K635" t="n">
        <x:v>6</x:v>
      </x:c>
      <x:c r="L635" s="123" t="n">
        <x:v>0</x:v>
      </x:c>
    </x:row>
    <x:row r="636">
      <x:c r="A636" s="118" t="n">
        <x:v>45.5</x:v>
      </x:c>
      <x:c r="B636" t="str">
        <x:v>rough_surface_clutter</x:v>
      </x:c>
      <x:c r="C636" t="str">
        <x:v>VHF_60MHz_shallow</x:v>
      </x:c>
      <x:c r="D636" s="118" t="n">
        <x:v>14618.90219150512</x:v>
      </x:c>
      <x:c r="E636" s="123"/>
      <x:c r="F636" s="123" t="n">
        <x:v>-999</x:v>
      </x:c>
      <x:c r="G636" s="123" t="n">
        <x:v>6.958265895159357</x:v>
      </x:c>
      <x:c r="H636" s="118" t="n">
        <x:v>1022.5881539630313</x:v>
      </x:c>
      <x:c r="I636" t="str">
        <x:v>surface clutter in shallow window</x:v>
      </x:c>
      <x:c r="J636" s="118" t="n">
        <x:v>-13596.314037542088</x:v>
      </x:c>
      <x:c r="K636" t="n">
        <x:v>0</x:v>
      </x:c>
      <x:c r="L636" s="123" t="n">
        <x:v>0.8023694052730252</x:v>
      </x:c>
    </x:row>
    <x:row r="637">
      <x:c r="A637" s="118" t="n">
        <x:v>45.5</x:v>
      </x:c>
      <x:c r="B637" t="str">
        <x:v>complex_with_clutter</x:v>
      </x:c>
      <x:c r="C637" t="str">
        <x:v>VHF_60MHz_shallow</x:v>
      </x:c>
      <x:c r="D637" s="118" t="n">
        <x:v>14618.90219150512</x:v>
      </x:c>
      <x:c r="E637" s="123"/>
      <x:c r="F637" s="123" t="n">
        <x:v>5.220699226693857</x:v>
      </x:c>
      <x:c r="G637" s="123" t="n">
        <x:v>9.24501870018748</x:v>
      </x:c>
      <x:c r="H637" s="118" t="n">
        <x:v>1022.5881539630313</x:v>
      </x:c>
      <x:c r="I637" t="str">
        <x:v>surface clutter in shallow window</x:v>
      </x:c>
      <x:c r="J637" s="118" t="n">
        <x:v>-13596.314037542088</x:v>
      </x:c>
      <x:c r="K637" t="n">
        <x:v>11</x:v>
      </x:c>
      <x:c r="L637" s="123" t="n">
        <x:v>0.8023694052730252</x:v>
      </x:c>
    </x:row>
    <x:row r="638">
      <x:c r="A638" s="118" t="n">
        <x:v>46</x:v>
      </x:c>
      <x:c r="B638" t="str">
        <x:v>stacked_dirty_layers</x:v>
      </x:c>
      <x:c r="C638" t="str">
        <x:v>HF_9MHz_full_depth</x:v>
      </x:c>
      <x:c r="D638" s="118" t="n">
        <x:v>14615.145412726702</x:v>
      </x:c>
      <x:c r="E638" s="123" t="n">
        <x:v>-1.1205994992221968</x:v>
      </x:c>
      <x:c r="F638" s="123" t="n">
        <x:v>11.736291873976501</x:v>
      </x:c>
      <x:c r="G638" s="123" t="n">
        <x:v>-999</x:v>
      </x:c>
      <x:c r="H638" s="118"/>
      <x:c r="I638" t="str">
        <x:v>false layer stronger</x:v>
      </x:c>
      <x:c r="J638" s="118" t="n">
        <x:v>-4488.041174724132</x:v>
      </x:c>
      <x:c r="K638" t="n">
        <x:v>6</x:v>
      </x:c>
      <x:c r="L638" s="123" t="n">
        <x:v>0</x:v>
      </x:c>
    </x:row>
    <x:row r="639">
      <x:c r="A639" s="118" t="n">
        <x:v>46</x:v>
      </x:c>
      <x:c r="B639" t="str">
        <x:v>rough_surface_clutter</x:v>
      </x:c>
      <x:c r="C639" t="str">
        <x:v>VHF_60MHz_shallow</x:v>
      </x:c>
      <x:c r="D639" s="118" t="n">
        <x:v>14615.145412726702</x:v>
      </x:c>
      <x:c r="E639" s="123"/>
      <x:c r="F639" s="123" t="n">
        <x:v>-999</x:v>
      </x:c>
      <x:c r="G639" s="123" t="n">
        <x:v>10.149999999999999</x:v>
      </x:c>
      <x:c r="H639" s="118" t="n">
        <x:v>1111.7193924025225</x:v>
      </x:c>
      <x:c r="I639" t="str">
        <x:v>surface clutter in shallow window</x:v>
      </x:c>
      <x:c r="J639" s="118" t="n">
        <x:v>-13503.42602032418</x:v>
      </x:c>
      <x:c r="K639" t="n">
        <x:v>0</x:v>
      </x:c>
      <x:c r="L639" s="123" t="n">
        <x:v>1</x:v>
      </x:c>
    </x:row>
    <x:row r="640">
      <x:c r="A640" s="118" t="n">
        <x:v>46</x:v>
      </x:c>
      <x:c r="B640" t="str">
        <x:v>complex_with_clutter</x:v>
      </x:c>
      <x:c r="C640" t="str">
        <x:v>VHF_60MHz_shallow</x:v>
      </x:c>
      <x:c r="D640" s="118" t="n">
        <x:v>14615.145412726702</x:v>
      </x:c>
      <x:c r="E640" s="123"/>
      <x:c r="F640" s="123" t="n">
        <x:v>5.01836722785316</x:v>
      </x:c>
      <x:c r="G640" s="123" t="n">
        <x:v>13</x:v>
      </x:c>
      <x:c r="H640" s="118" t="n">
        <x:v>1111.7193924025225</x:v>
      </x:c>
      <x:c r="I640" t="str">
        <x:v>surface clutter in shallow window</x:v>
      </x:c>
      <x:c r="J640" s="118" t="n">
        <x:v>-13503.42602032418</x:v>
      </x:c>
      <x:c r="K640" t="n">
        <x:v>11</x:v>
      </x:c>
      <x:c r="L640" s="123" t="n">
        <x:v>1</x:v>
      </x:c>
    </x:row>
    <x:row r="641">
      <x:c r="A641" s="118" t="n">
        <x:v>46.5</x:v>
      </x:c>
      <x:c r="B641" t="str">
        <x:v>stacked_dirty_layers</x:v>
      </x:c>
      <x:c r="C641" t="str">
        <x:v>HF_9MHz_full_depth</x:v>
      </x:c>
      <x:c r="D641" s="118" t="n">
        <x:v>14612.173134210097</x:v>
      </x:c>
      <x:c r="E641" s="123" t="n">
        <x:v>-1.0824689505589917</x:v>
      </x:c>
      <x:c r="F641" s="123" t="n">
        <x:v>11.777872841764433</x:v>
      </x:c>
      <x:c r="G641" s="123" t="n">
        <x:v>-999</x:v>
      </x:c>
      <x:c r="H641" s="118"/>
      <x:c r="I641" t="str">
        <x:v>false layer stronger</x:v>
      </x:c>
      <x:c r="J641" s="118" t="n">
        <x:v>-4484.211704122972</x:v>
      </x:c>
      <x:c r="K641" t="n">
        <x:v>6</x:v>
      </x:c>
      <x:c r="L641" s="123" t="n">
        <x:v>0</x:v>
      </x:c>
    </x:row>
    <x:row r="642">
      <x:c r="A642" s="118" t="n">
        <x:v>46.5</x:v>
      </x:c>
      <x:c r="B642" t="str">
        <x:v>rough_surface_clutter</x:v>
      </x:c>
      <x:c r="C642" t="str">
        <x:v>VHF_60MHz_shallow</x:v>
      </x:c>
      <x:c r="D642" s="118" t="n">
        <x:v>14612.173134210097</x:v>
      </x:c>
      <x:c r="E642" s="123"/>
      <x:c r="F642" s="123" t="n">
        <x:v>-999</x:v>
      </x:c>
      <x:c r="G642" s="123" t="n">
        <x:v>8.531457152949052</x:v>
      </x:c>
      <x:c r="H642" s="118" t="n">
        <x:v>1049.3704588677792</x:v>
      </x:c>
      <x:c r="I642" t="str">
        <x:v>surface clutter in shallow window</x:v>
      </x:c>
      <x:c r="J642" s="118" t="n">
        <x:v>-13562.802675342318</x:v>
      </x:c>
      <x:c r="K642" t="n">
        <x:v>0</x:v>
      </x:c>
      <x:c r="L642" s="123" t="n">
        <x:v>0.899780628665576</x:v>
      </x:c>
    </x:row>
    <x:row r="643">
      <x:c r="A643" s="118" t="n">
        <x:v>46.5</x:v>
      </x:c>
      <x:c r="B643" t="str">
        <x:v>complex_with_clutter</x:v>
      </x:c>
      <x:c r="C643" t="str">
        <x:v>VHF_60MHz_shallow</x:v>
      </x:c>
      <x:c r="D643" s="118" t="n">
        <x:v>14612.173134210097</x:v>
      </x:c>
      <x:c r="E643" s="123"/>
      <x:c r="F643" s="123" t="n">
        <x:v>5.143182848083058</x:v>
      </x:c>
      <x:c r="G643" s="123" t="n">
        <x:v>11.095831944645944</x:v>
      </x:c>
      <x:c r="H643" s="118" t="n">
        <x:v>1049.3704588677792</x:v>
      </x:c>
      <x:c r="I643" t="str">
        <x:v>surface clutter in shallow window</x:v>
      </x:c>
      <x:c r="J643" s="118" t="n">
        <x:v>-13562.802675342318</x:v>
      </x:c>
      <x:c r="K643" t="n">
        <x:v>11</x:v>
      </x:c>
      <x:c r="L643" s="123" t="n">
        <x:v>0.899780628665576</x:v>
      </x:c>
    </x:row>
    <x:row r="644">
      <x:c r="A644" s="118" t="n">
        <x:v>47</x:v>
      </x:c>
      <x:c r="B644" t="str">
        <x:v>stacked_dirty_layers</x:v>
      </x:c>
      <x:c r="C644" t="str">
        <x:v>HF_9MHz_full_depth</x:v>
      </x:c>
      <x:c r="D644" s="118" t="n">
        <x:v>14607.701900076461</x:v>
      </x:c>
      <x:c r="E644" s="123" t="n">
        <x:v>-1.054148182582091</x:v>
      </x:c>
      <x:c r="F644" s="123" t="n">
        <x:v>11.806090536662271</x:v>
      </x:c>
      <x:c r="G644" s="123" t="n">
        <x:v>-999</x:v>
      </x:c>
      <x:c r="H644" s="118"/>
      <x:c r="I644" t="str">
        <x:v>false layer stronger</x:v>
      </x:c>
      <x:c r="J644" s="118" t="n">
        <x:v>-4479.093673954436</x:v>
      </x:c>
      <x:c r="K644" t="n">
        <x:v>6</x:v>
      </x:c>
      <x:c r="L644" s="123" t="n">
        <x:v>0</x:v>
      </x:c>
    </x:row>
    <x:row r="645">
      <x:c r="A645" s="118" t="n">
        <x:v>47</x:v>
      </x:c>
      <x:c r="B645" t="str">
        <x:v>rough_surface_clutter</x:v>
      </x:c>
      <x:c r="C645" t="str">
        <x:v>VHF_60MHz_shallow</x:v>
      </x:c>
      <x:c r="D645" s="118" t="n">
        <x:v>14607.701900076461</x:v>
      </x:c>
      <x:c r="E645" s="123"/>
      <x:c r="F645" s="123" t="n">
        <x:v>-999</x:v>
      </x:c>
      <x:c r="G645" s="123" t="n">
        <x:v>6.764934200979296</x:v>
      </x:c>
      <x:c r="H645" s="118" t="n">
        <x:v>983.6535077210943</x:v>
      </x:c>
      <x:c r="I645" t="str">
        <x:v>surface clutter in shallow window</x:v>
      </x:c>
      <x:c r="J645" s="118" t="n">
        <x:v>-13624.048392355367</x:v>
      </x:c>
      <x:c r="K645" t="n">
        <x:v>0</x:v>
      </x:c>
      <x:c r="L645" s="123" t="n">
        <x:v>0.7903984025374178</x:v>
      </x:c>
    </x:row>
    <x:row r="646">
      <x:c r="A646" s="118" t="n">
        <x:v>47</x:v>
      </x:c>
      <x:c r="B646" t="str">
        <x:v>complex_with_clutter</x:v>
      </x:c>
      <x:c r="C646" t="str">
        <x:v>VHF_60MHz_shallow</x:v>
      </x:c>
      <x:c r="D646" s="118" t="n">
        <x:v>14607.701900076461</x:v>
      </x:c>
      <x:c r="E646" s="123"/>
      <x:c r="F646" s="123" t="n">
        <x:v>5.230037209843939</x:v>
      </x:c>
      <x:c r="G646" s="123" t="n">
        <x:v>9.017569648210937</x:v>
      </x:c>
      <x:c r="H646" s="118" t="n">
        <x:v>983.6535077210943</x:v>
      </x:c>
      <x:c r="I646" t="str">
        <x:v>surface clutter in shallow window</x:v>
      </x:c>
      <x:c r="J646" s="118" t="n">
        <x:v>-13624.048392355367</x:v>
      </x:c>
      <x:c r="K646" t="n">
        <x:v>11</x:v>
      </x:c>
      <x:c r="L646" s="123" t="n">
        <x:v>0.7903984025374178</x:v>
      </x:c>
    </x:row>
    <x:row r="647">
      <x:c r="A647" s="118" t="n">
        <x:v>47.5</x:v>
      </x:c>
      <x:c r="B647" t="str">
        <x:v>stacked_dirty_layers</x:v>
      </x:c>
      <x:c r="C647" t="str">
        <x:v>HF_9MHz_full_depth</x:v>
      </x:c>
      <x:c r="D647" s="118" t="n">
        <x:v>14604.637100240314</x:v>
      </x:c>
      <x:c r="E647" s="123" t="n">
        <x:v>-1.0228823293183327</x:v>
      </x:c>
      <x:c r="F647" s="123" t="n">
        <x:v>11.835795283166103</x:v>
      </x:c>
      <x:c r="G647" s="123" t="n">
        <x:v>-999</x:v>
      </x:c>
      <x:c r="H647" s="118"/>
      <x:c r="I647" t="str">
        <x:v>false layer stronger</x:v>
      </x:c>
      <x:c r="J647" s="118" t="n">
        <x:v>-4473.607239180725</x:v>
      </x:c>
      <x:c r="K647" t="n">
        <x:v>6</x:v>
      </x:c>
      <x:c r="L647" s="123" t="n">
        <x:v>0</x:v>
      </x:c>
    </x:row>
    <x:row r="648">
      <x:c r="A648" s="118" t="n">
        <x:v>47.5</x:v>
      </x:c>
      <x:c r="B648" t="str">
        <x:v>rough_surface_clutter</x:v>
      </x:c>
      <x:c r="C648" t="str">
        <x:v>VHF_60MHz_shallow</x:v>
      </x:c>
      <x:c r="D648" s="118" t="n">
        <x:v>14604.637100240314</x:v>
      </x:c>
      <x:c r="E648" s="123"/>
      <x:c r="F648" s="123" t="n">
        <x:v>-999</x:v>
      </x:c>
      <x:c r="G648" s="123" t="n">
        <x:v>4.834690341765615</x:v>
      </x:c>
      <x:c r="H648" s="118" t="n">
        <x:v>914.0822944562948</x:v>
      </x:c>
      <x:c r="I648" t="str">
        <x:v>surface clutter in shallow window</x:v>
      </x:c>
      <x:c r="J648" s="118" t="n">
        <x:v>-13690.554805784019</x:v>
      </x:c>
      <x:c r="K648" t="n">
        <x:v>0</x:v>
      </x:c>
      <x:c r="L648" s="123" t="n">
        <x:v>0.6708786589328554</x:v>
      </x:c>
    </x:row>
    <x:row r="649">
      <x:c r="A649" s="118" t="n">
        <x:v>47.5</x:v>
      </x:c>
      <x:c r="B649" t="str">
        <x:v>complex_with_clutter</x:v>
      </x:c>
      <x:c r="C649" t="str">
        <x:v>VHF_60MHz_shallow</x:v>
      </x:c>
      <x:c r="D649" s="118" t="n">
        <x:v>14604.637100240314</x:v>
      </x:c>
      <x:c r="E649" s="123"/>
      <x:c r="F649" s="123" t="n">
        <x:v>5.3244307495452095</x:v>
      </x:c>
      <x:c r="G649" s="123" t="n">
        <x:v>6.746694519724253</x:v>
      </x:c>
      <x:c r="H649" s="118" t="n">
        <x:v>914.0822944562948</x:v>
      </x:c>
      <x:c r="I649" t="str">
        <x:v>surface clutter in shallow window</x:v>
      </x:c>
      <x:c r="J649" s="118" t="n">
        <x:v>-13690.554805784019</x:v>
      </x:c>
      <x:c r="K649" t="n">
        <x:v>11</x:v>
      </x:c>
      <x:c r="L649" s="123" t="n">
        <x:v>0.6708786589328554</x:v>
      </x:c>
    </x:row>
    <x:row r="650">
      <x:c r="A650" s="118" t="n">
        <x:v>48</x:v>
      </x:c>
      <x:c r="B650" t="str">
        <x:v>stacked_dirty_layers</x:v>
      </x:c>
      <x:c r="C650" t="str">
        <x:v>HF_9MHz_full_depth</x:v>
      </x:c>
      <x:c r="D650" s="118" t="n">
        <x:v>14598.23820003855</x:v>
      </x:c>
      <x:c r="E650" s="123" t="n">
        <x:v>-1.0205023278872378</x:v>
      </x:c>
      <x:c r="F650" s="123" t="n">
        <x:v>11.831669621040401</x:v>
      </x:c>
      <x:c r="G650" s="123" t="n">
        <x:v>-999</x:v>
      </x:c>
      <x:c r="H650" s="118"/>
      <x:c r="I650" t="str">
        <x:v>false layer stronger</x:v>
      </x:c>
      <x:c r="J650" s="118" t="n">
        <x:v>-4466.272222627404</x:v>
      </x:c>
      <x:c r="K650" t="n">
        <x:v>6</x:v>
      </x:c>
      <x:c r="L650" s="123" t="n">
        <x:v>0</x:v>
      </x:c>
    </x:row>
    <x:row r="651">
      <x:c r="A651" s="118" t="n">
        <x:v>48</x:v>
      </x:c>
      <x:c r="B651" t="str">
        <x:v>rough_surface_clutter</x:v>
      </x:c>
      <x:c r="C651" t="str">
        <x:v>VHF_60MHz_shallow</x:v>
      </x:c>
      <x:c r="D651" s="118" t="n">
        <x:v>14598.23820003855</x:v>
      </x:c>
      <x:c r="E651" s="123"/>
      <x:c r="F651" s="123" t="n">
        <x:v>-999</x:v>
      </x:c>
      <x:c r="G651" s="123" t="n">
        <x:v>4.867459499754691</x:v>
      </x:c>
      <x:c r="H651" s="118" t="n">
        <x:v>908.223725584129</x:v>
      </x:c>
      <x:c r="I651" t="str">
        <x:v>surface clutter in shallow window</x:v>
      </x:c>
      <x:c r="J651" s="118" t="n">
        <x:v>-13690.014474454421</x:v>
      </x:c>
      <x:c r="K651" t="n">
        <x:v>0</x:v>
      </x:c>
      <x:c r="L651" s="123" t="n">
        <x:v>0.6729077089631388</x:v>
      </x:c>
    </x:row>
    <x:row r="652">
      <x:c r="A652" s="118" t="n">
        <x:v>48</x:v>
      </x:c>
      <x:c r="B652" t="str">
        <x:v>complex_with_clutter</x:v>
      </x:c>
      <x:c r="C652" t="str">
        <x:v>VHF_60MHz_shallow</x:v>
      </x:c>
      <x:c r="D652" s="118" t="n">
        <x:v>14598.23820003855</x:v>
      </x:c>
      <x:c r="E652" s="123"/>
      <x:c r="F652" s="123" t="n">
        <x:v>5.321017437099496</x:v>
      </x:c>
      <x:c r="G652" s="123" t="n">
        <x:v>6.7852464702996365</x:v>
      </x:c>
      <x:c r="H652" s="118" t="n">
        <x:v>908.223725584129</x:v>
      </x:c>
      <x:c r="I652" t="str">
        <x:v>surface clutter in shallow window</x:v>
      </x:c>
      <x:c r="J652" s="118" t="n">
        <x:v>-13690.014474454421</x:v>
      </x:c>
      <x:c r="K652" t="n">
        <x:v>10</x:v>
      </x:c>
      <x:c r="L652" s="123" t="n">
        <x:v>0.6729077089631388</x:v>
      </x:c>
    </x:row>
    <x:row r="653">
      <x:c r="A653" s="118" t="n">
        <x:v>48.5</x:v>
      </x:c>
      <x:c r="B653" t="str">
        <x:v>stacked_dirty_layers</x:v>
      </x:c>
      <x:c r="C653" t="str">
        <x:v>HF_9MHz_full_depth</x:v>
      </x:c>
      <x:c r="D653" s="118" t="n">
        <x:v>14596.397177031604</x:v>
      </x:c>
      <x:c r="E653" s="123" t="n">
        <x:v>-1.045619130114483</x:v>
      </x:c>
      <x:c r="F653" s="123" t="n">
        <x:v>11.800854784820698</x:v>
      </x:c>
      <x:c r="G653" s="123" t="n">
        <x:v>-999</x:v>
      </x:c>
      <x:c r="H653" s="118"/>
      <x:c r="I653" t="str">
        <x:v>false layer stronger</x:v>
      </x:c>
      <x:c r="J653" s="118" t="n">
        <x:v>-4459.5737220930605</x:v>
      </x:c>
      <x:c r="K653" t="n">
        <x:v>6</x:v>
      </x:c>
      <x:c r="L653" s="123" t="n">
        <x:v>0</x:v>
      </x:c>
    </x:row>
    <x:row r="654">
      <x:c r="A654" s="118" t="n">
        <x:v>48.5</x:v>
      </x:c>
      <x:c r="B654" t="str">
        <x:v>rough_surface_clutter</x:v>
      </x:c>
      <x:c r="C654" t="str">
        <x:v>VHF_60MHz_shallow</x:v>
      </x:c>
      <x:c r="D654" s="118" t="n">
        <x:v>14596.397177031604</x:v>
      </x:c>
      <x:c r="E654" s="123"/>
      <x:c r="F654" s="123" t="n">
        <x:v>-999</x:v>
      </x:c>
      <x:c r="G654" s="123" t="n">
        <x:v>6.243658897155479</x:v>
      </x:c>
      <x:c r="H654" s="118" t="n">
        <x:v>946.4068198248101</x:v>
      </x:c>
      <x:c r="I654" t="str">
        <x:v>surface clutter in shallow window</x:v>
      </x:c>
      <x:c r="J654" s="118" t="n">
        <x:v>-13649.990357206794</x:v>
      </x:c>
      <x:c r="K654" t="n">
        <x:v>0</x:v>
      </x:c>
      <x:c r="L654" s="123" t="n">
        <x:v>0.7581212939415157</x:v>
      </x:c>
    </x:row>
    <x:row r="655">
      <x:c r="A655" s="118" t="n">
        <x:v>48.5</x:v>
      </x:c>
      <x:c r="B655" t="str">
        <x:v>complex_with_clutter</x:v>
      </x:c>
      <x:c r="C655" t="str">
        <x:v>VHF_60MHz_shallow</x:v>
      </x:c>
      <x:c r="D655" s="118" t="n">
        <x:v>14596.397177031604</x:v>
      </x:c>
      <x:c r="E655" s="123"/>
      <x:c r="F655" s="123" t="n">
        <x:v>5.250493496550625</x:v>
      </x:c>
      <x:c r="G655" s="123" t="n">
        <x:v>8.404304584888799</x:v>
      </x:c>
      <x:c r="H655" s="118" t="n">
        <x:v>946.4068198248101</x:v>
      </x:c>
      <x:c r="I655" t="str">
        <x:v>surface clutter in shallow window</x:v>
      </x:c>
      <x:c r="J655" s="118" t="n">
        <x:v>-13649.990357206794</x:v>
      </x:c>
      <x:c r="K655" t="n">
        <x:v>10</x:v>
      </x:c>
      <x:c r="L655" s="123" t="n">
        <x:v>0.7581212939415157</x:v>
      </x:c>
    </x:row>
    <x:row r="656">
      <x:c r="A656" s="118" t="n">
        <x:v>49</x:v>
      </x:c>
      <x:c r="B656" t="str">
        <x:v>stacked_dirty_layers</x:v>
      </x:c>
      <x:c r="C656" t="str">
        <x:v>HF_9MHz_full_depth</x:v>
      </x:c>
      <x:c r="D656" s="118" t="n">
        <x:v>14594.33019373929</x:v>
      </x:c>
      <x:c r="E656" s="123" t="n">
        <x:v>-1.0030577906569245</x:v>
      </x:c>
      <x:c r="F656" s="123" t="n">
        <x:v>11.835022585047057</x:v>
      </x:c>
      <x:c r="G656" s="123" t="n">
        <x:v>-999</x:v>
      </x:c>
      <x:c r="H656" s="118"/>
      <x:c r="I656" t="str">
        <x:v>false layer stronger</x:v>
      </x:c>
      <x:c r="J656" s="118" t="n">
        <x:v>-4452.020206626115</x:v>
      </x:c>
      <x:c r="K656" t="n">
        <x:v>6</x:v>
      </x:c>
      <x:c r="L656" s="123" t="n">
        <x:v>0</x:v>
      </x:c>
    </x:row>
    <x:row r="657">
      <x:c r="A657" s="118" t="n">
        <x:v>49</x:v>
      </x:c>
      <x:c r="B657" t="str">
        <x:v>rough_surface_clutter</x:v>
      </x:c>
      <x:c r="C657" t="str">
        <x:v>VHF_60MHz_shallow</x:v>
      </x:c>
      <x:c r="D657" s="118" t="n">
        <x:v>14594.33019373929</x:v>
      </x:c>
      <x:c r="E657" s="123"/>
      <x:c r="F657" s="123" t="n">
        <x:v>-999</x:v>
      </x:c>
      <x:c r="G657" s="123" t="n">
        <x:v>3.9131428137426596</x:v>
      </x:c>
      <x:c r="H657" s="118" t="n">
        <x:v>868.2231074968024</x:v>
      </x:c>
      <x:c r="I657" t="str">
        <x:v>surface clutter in shallow window</x:v>
      </x:c>
      <x:c r="J657" s="118" t="n">
        <x:v>-13726.107086242488</x:v>
      </x:c>
      <x:c r="K657" t="n">
        <x:v>0</x:v>
      </x:c>
      <x:c r="L657" s="123" t="n">
        <x:v>0.6138168924918056</x:v>
      </x:c>
    </x:row>
    <x:row r="658">
      <x:c r="A658" s="118" t="n">
        <x:v>49</x:v>
      </x:c>
      <x:c r="B658" t="str">
        <x:v>complex_with_clutter</x:v>
      </x:c>
      <x:c r="C658" t="str">
        <x:v>VHF_60MHz_shallow</x:v>
      </x:c>
      <x:c r="D658" s="118" t="n">
        <x:v>14594.33019373929</x:v>
      </x:c>
      <x:c r="E658" s="123"/>
      <x:c r="F658" s="123" t="n">
        <x:v>5.363027527069475</x:v>
      </x:c>
      <x:c r="G658" s="123" t="n">
        <x:v>5.662520957344306</x:v>
      </x:c>
      <x:c r="H658" s="118" t="n">
        <x:v>868.2231074968024</x:v>
      </x:c>
      <x:c r="I658" t="str">
        <x:v>surface clutter in shallow window</x:v>
      </x:c>
      <x:c r="J658" s="118" t="n">
        <x:v>-13726.107086242488</x:v>
      </x:c>
      <x:c r="K658" t="n">
        <x:v>10</x:v>
      </x:c>
      <x:c r="L658" s="123" t="n">
        <x:v>0.6138168924918056</x:v>
      </x:c>
    </x:row>
    <x:row r="659">
      <x:c r="A659" s="118" t="n">
        <x:v>49.5</x:v>
      </x:c>
      <x:c r="B659" t="str">
        <x:v>stacked_dirty_layers</x:v>
      </x:c>
      <x:c r="C659" t="str">
        <x:v>HF_9MHz_full_depth</x:v>
      </x:c>
      <x:c r="D659" s="118" t="n">
        <x:v>14591.31268234764</x:v>
      </x:c>
      <x:c r="E659" s="123" t="n">
        <x:v>-1.0090264858243283</x:v>
      </x:c>
      <x:c r="F659" s="123" t="n">
        <x:v>11.8174378048914</x:v>
      </x:c>
      <x:c r="G659" s="123" t="n">
        <x:v>-999</x:v>
      </x:c>
      <x:c r="H659" s="118"/>
      <x:c r="I659" t="str">
        <x:v>false layer stronger</x:v>
      </x:c>
      <x:c r="J659" s="118" t="n">
        <x:v>-4443.397321388875</x:v>
      </x:c>
      <x:c r="K659" t="n">
        <x:v>6</x:v>
      </x:c>
      <x:c r="L659" s="123" t="n">
        <x:v>0</x:v>
      </x:c>
    </x:row>
    <x:row r="660">
      <x:c r="A660" s="118" t="n">
        <x:v>49.5</x:v>
      </x:c>
      <x:c r="B660" t="str">
        <x:v>rough_surface_clutter</x:v>
      </x:c>
      <x:c r="C660" t="str">
        <x:v>VHF_60MHz_shallow</x:v>
      </x:c>
      <x:c r="D660" s="118" t="n">
        <x:v>14591.31268234764</x:v>
      </x:c>
      <x:c r="E660" s="123"/>
      <x:c r="F660" s="123" t="n">
        <x:v>-999</x:v>
      </x:c>
      <x:c r="G660" s="123" t="n">
        <x:v>4.494800679811625</x:v>
      </x:c>
      <x:c r="H660" s="118" t="n">
        <x:v>883.9256174128801</x:v>
      </x:c>
      <x:c r="I660" t="str">
        <x:v>surface clutter in shallow window</x:v>
      </x:c>
      <x:c r="J660" s="118" t="n">
        <x:v>-13707.38706493476</x:v>
      </x:c>
      <x:c r="K660" t="n">
        <x:v>0</x:v>
      </x:c>
      <x:c r="L660" s="123" t="n">
        <x:v>0.6498328594310605</x:v>
      </x:c>
    </x:row>
    <x:row r="661">
      <x:c r="A661" s="118" t="n">
        <x:v>49.5</x:v>
      </x:c>
      <x:c r="B661" t="str">
        <x:v>complex_with_clutter</x:v>
      </x:c>
      <x:c r="C661" t="str">
        <x:v>VHF_60MHz_shallow</x:v>
      </x:c>
      <x:c r="D661" s="118" t="n">
        <x:v>14591.31268234764</x:v>
      </x:c>
      <x:c r="E661" s="123"/>
      <x:c r="F661" s="123" t="n">
        <x:v>5.330757152242752</x:v>
      </x:c>
      <x:c r="G661" s="123" t="n">
        <x:v>6.346824329190149</x:v>
      </x:c>
      <x:c r="H661" s="118" t="n">
        <x:v>883.9256174128801</x:v>
      </x:c>
      <x:c r="I661" t="str">
        <x:v>surface clutter in shallow window</x:v>
      </x:c>
      <x:c r="J661" s="118" t="n">
        <x:v>-13707.38706493476</x:v>
      </x:c>
      <x:c r="K661" t="n">
        <x:v>10</x:v>
      </x:c>
      <x:c r="L661" s="123" t="n">
        <x:v>0.6498328594310605</x:v>
      </x:c>
    </x:row>
    <x:row r="662">
      <x:c r="A662" s="118" t="n">
        <x:v>50</x:v>
      </x:c>
      <x:c r="B662" t="str">
        <x:v>stacked_dirty_layers</x:v>
      </x:c>
      <x:c r="C662" t="str">
        <x:v>HF_9MHz_full_depth</x:v>
      </x:c>
      <x:c r="D662" s="118" t="n">
        <x:v>14589.816141882691</x:v>
      </x:c>
      <x:c r="E662" s="123" t="n">
        <x:v>-1.0473421359688002</x:v>
      </x:c>
      <x:c r="F662" s="123" t="n">
        <x:v>11.766095299477001</x:v>
      </x:c>
      <x:c r="G662" s="123" t="n">
        <x:v>-999</x:v>
      </x:c>
      <x:c r="H662" s="118"/>
      <x:c r="I662" t="str">
        <x:v>false layer stronger</x:v>
      </x:c>
      <x:c r="J662" s="118" t="n">
        <x:v>-4434.489670426587</x:v>
      </x:c>
      <x:c r="K662" t="n">
        <x:v>6</x:v>
      </x:c>
      <x:c r="L662" s="123" t="n">
        <x:v>0</x:v>
      </x:c>
    </x:row>
    <x:row r="663">
      <x:c r="A663" s="118" t="n">
        <x:v>50</x:v>
      </x:c>
      <x:c r="B663" t="str">
        <x:v>rough_surface_clutter</x:v>
      </x:c>
      <x:c r="C663" t="str">
        <x:v>VHF_60MHz_shallow</x:v>
      </x:c>
      <x:c r="D663" s="118" t="n">
        <x:v>14589.816141882691</x:v>
      </x:c>
      <x:c r="E663" s="123"/>
      <x:c r="F663" s="123" t="n">
        <x:v>-999</x:v>
      </x:c>
      <x:c r="G663" s="123" t="n">
        <x:v>6.904018083093604</x:v>
      </x:c>
      <x:c r="H663" s="118" t="n">
        <x:v>959.0658650430563</x:v>
      </x:c>
      <x:c r="I663" t="str">
        <x:v>surface clutter in shallow window</x:v>
      </x:c>
      <x:c r="J663" s="118" t="n">
        <x:v>-13630.750276839635</x:v>
      </x:c>
      <x:c r="K663" t="n">
        <x:v>0</x:v>
      </x:c>
      <x:c r="L663" s="123" t="n">
        <x:v>0.799010407621895</x:v>
      </x:c>
    </x:row>
    <x:row r="664">
      <x:c r="A664" s="118" t="n">
        <x:v>50</x:v>
      </x:c>
      <x:c r="B664" t="str">
        <x:v>complex_with_clutter</x:v>
      </x:c>
      <x:c r="C664" t="str">
        <x:v>VHF_60MHz_shallow</x:v>
      </x:c>
      <x:c r="D664" s="118" t="n">
        <x:v>14589.816141882691</x:v>
      </x:c>
      <x:c r="E664" s="123"/>
      <x:c r="F664" s="123" t="n">
        <x:v>5.207419389021616</x:v>
      </x:c>
      <x:c r="G664" s="123" t="n">
        <x:v>9.181197744816005</x:v>
      </x:c>
      <x:c r="H664" s="118" t="n">
        <x:v>959.0658650430563</x:v>
      </x:c>
      <x:c r="I664" t="str">
        <x:v>surface clutter in shallow window</x:v>
      </x:c>
      <x:c r="J664" s="118" t="n">
        <x:v>-13630.750276839635</x:v>
      </x:c>
      <x:c r="K664" t="n">
        <x:v>10</x:v>
      </x:c>
      <x:c r="L664" s="123" t="n">
        <x:v>0.799010407621895</x:v>
      </x:c>
    </x:row>
    <x:row r="665">
      <x:c r="A665" s="118" t="n">
        <x:v>50.5</x:v>
      </x:c>
      <x:c r="B665" t="str">
        <x:v>stacked_dirty_layers</x:v>
      </x:c>
      <x:c r="C665" t="str">
        <x:v>HF_9MHz_full_depth</x:v>
      </x:c>
      <x:c r="D665" s="118" t="n">
        <x:v>14585.724440359641</x:v>
      </x:c>
      <x:c r="E665" s="123" t="n">
        <x:v>-1.0381584633949128</x:v>
      </x:c>
      <x:c r="F665" s="123" t="n">
        <x:v>11.757857821647349</x:v>
      </x:c>
      <x:c r="G665" s="123" t="n">
        <x:v>-999</x:v>
      </x:c>
      <x:c r="H665" s="118"/>
      <x:c r="I665" t="str">
        <x:v>false layer stronger</x:v>
      </x:c>
      <x:c r="J665" s="118" t="n">
        <x:v>-4424.0284590988795</x:v>
      </x:c>
      <x:c r="K665" t="n">
        <x:v>6</x:v>
      </x:c>
      <x:c r="L665" s="123" t="n">
        <x:v>0</x:v>
      </x:c>
    </x:row>
    <x:row r="666">
      <x:c r="A666" s="118" t="n">
        <x:v>50.5</x:v>
      </x:c>
      <x:c r="B666" t="str">
        <x:v>rough_surface_clutter</x:v>
      </x:c>
      <x:c r="C666" t="str">
        <x:v>VHF_60MHz_shallow</x:v>
      </x:c>
      <x:c r="D666" s="118" t="n">
        <x:v>14585.724440359641</x:v>
      </x:c>
      <x:c r="E666" s="123"/>
      <x:c r="F666" s="123" t="n">
        <x:v>-999</x:v>
      </x:c>
      <x:c r="G666" s="123" t="n">
        <x:v>6.90991525341733</x:v>
      </x:c>
      <x:c r="H666" s="118" t="n">
        <x:v>959.2531869239274</x:v>
      </x:c>
      <x:c r="I666" t="str">
        <x:v>surface clutter in shallow window</x:v>
      </x:c>
      <x:c r="J666" s="118" t="n">
        <x:v>-13626.471253435713</x:v>
      </x:c>
      <x:c r="K666" t="n">
        <x:v>0</x:v>
      </x:c>
      <x:c r="L666" s="123" t="n">
        <x:v>0.7993755574871412</x:v>
      </x:c>
    </x:row>
    <x:row r="667">
      <x:c r="A667" s="118" t="n">
        <x:v>50.5</x:v>
      </x:c>
      <x:c r="B667" t="str">
        <x:v>complex_with_clutter</x:v>
      </x:c>
      <x:c r="C667" t="str">
        <x:v>VHF_60MHz_shallow</x:v>
      </x:c>
      <x:c r="D667" s="118" t="n">
        <x:v>14585.724440359641</x:v>
      </x:c>
      <x:c r="E667" s="123"/>
      <x:c r="F667" s="123" t="n">
        <x:v>5.202605036915527</x:v>
      </x:c>
      <x:c r="G667" s="123" t="n">
        <x:v>9.188135592255682</x:v>
      </x:c>
      <x:c r="H667" s="118" t="n">
        <x:v>959.2531869239274</x:v>
      </x:c>
      <x:c r="I667" t="str">
        <x:v>surface clutter in shallow window</x:v>
      </x:c>
      <x:c r="J667" s="118" t="n">
        <x:v>-13626.471253435713</x:v>
      </x:c>
      <x:c r="K667" t="n">
        <x:v>10</x:v>
      </x:c>
      <x:c r="L667" s="123" t="n">
        <x:v>0.7993755574871412</x:v>
      </x:c>
    </x:row>
    <x:row r="668">
      <x:c r="A668" s="118" t="n">
        <x:v>51</x:v>
      </x:c>
      <x:c r="B668" t="str">
        <x:v>stacked_dirty_layers</x:v>
      </x:c>
      <x:c r="C668" t="str">
        <x:v>HF_9MHz_full_depth</x:v>
      </x:c>
      <x:c r="D668" s="118" t="n">
        <x:v>14585.165789111039</x:v>
      </x:c>
      <x:c r="E668" s="123" t="n">
        <x:v>-1.0316254856064688</x:v>
      </x:c>
      <x:c r="F668" s="123" t="n">
        <x:v>11.747056557874863</x:v>
      </x:c>
      <x:c r="G668" s="123" t="n">
        <x:v>-999</x:v>
      </x:c>
      <x:c r="H668" s="118"/>
      <x:c r="I668" t="str">
        <x:v>false layer stronger</x:v>
      </x:c>
      <x:c r="J668" s="118" t="n">
        <x:v>-4413.935764163316</x:v>
      </x:c>
      <x:c r="K668" t="n">
        <x:v>6</x:v>
      </x:c>
      <x:c r="L668" s="123" t="n">
        <x:v>0</x:v>
      </x:c>
    </x:row>
    <x:row r="669">
      <x:c r="A669" s="118" t="n">
        <x:v>51</x:v>
      </x:c>
      <x:c r="B669" t="str">
        <x:v>rough_surface_clutter</x:v>
      </x:c>
      <x:c r="C669" t="str">
        <x:v>VHF_60MHz_shallow</x:v>
      </x:c>
      <x:c r="D669" s="118" t="n">
        <x:v>14585.165789111039</x:v>
      </x:c>
      <x:c r="E669" s="123"/>
      <x:c r="F669" s="123" t="n">
        <x:v>-999</x:v>
      </x:c>
      <x:c r="G669" s="123" t="n">
        <x:v>6.925165055201852</x:v>
      </x:c>
      <x:c r="H669" s="118" t="n">
        <x:v>961.125426984099</x:v>
      </x:c>
      <x:c r="I669" t="str">
        <x:v>surface clutter in shallow window</x:v>
      </x:c>
      <x:c r="J669" s="118" t="n">
        <x:v>-13624.04036212694</x:v>
      </x:c>
      <x:c r="K669" t="n">
        <x:v>0</x:v>
      </x:c>
      <x:c r="L669" s="123" t="n">
        <x:v>0.8003198176595574</x:v>
      </x:c>
    </x:row>
    <x:row r="670">
      <x:c r="A670" s="118" t="n">
        <x:v>51</x:v>
      </x:c>
      <x:c r="B670" t="str">
        <x:v>complex_with_clutter</x:v>
      </x:c>
      <x:c r="C670" t="str">
        <x:v>VHF_60MHz_shallow</x:v>
      </x:c>
      <x:c r="D670" s="118" t="n">
        <x:v>14585.165789111039</x:v>
      </x:c>
      <x:c r="E670" s="123"/>
      <x:c r="F670" s="123" t="n">
        <x:v>5.196814077005718</x:v>
      </x:c>
      <x:c r="G670" s="123" t="n">
        <x:v>9.20607653553159</x:v>
      </x:c>
      <x:c r="H670" s="118" t="n">
        <x:v>961.125426984099</x:v>
      </x:c>
      <x:c r="I670" t="str">
        <x:v>surface clutter in shallow window</x:v>
      </x:c>
      <x:c r="J670" s="118" t="n">
        <x:v>-13624.04036212694</x:v>
      </x:c>
      <x:c r="K670" t="n">
        <x:v>10</x:v>
      </x:c>
      <x:c r="L670" s="123" t="n">
        <x:v>0.8003198176595574</x:v>
      </x:c>
    </x:row>
    <x:row r="671">
      <x:c r="A671" s="118" t="n">
        <x:v>51.5</x:v>
      </x:c>
      <x:c r="B671" t="str">
        <x:v>stacked_dirty_layers</x:v>
      </x:c>
      <x:c r="C671" t="str">
        <x:v>HF_9MHz_full_depth</x:v>
      </x:c>
      <x:c r="D671" s="118" t="n">
        <x:v>14581.93601801468</x:v>
      </x:c>
      <x:c r="E671" s="123" t="n">
        <x:v>-1.038519735584281</x:v>
      </x:c>
      <x:c r="F671" s="123" t="n">
        <x:v>11.718427291168815</x:v>
      </x:c>
      <x:c r="G671" s="123" t="n">
        <x:v>-999</x:v>
      </x:c>
      <x:c r="H671" s="118"/>
      <x:c r="I671" t="str">
        <x:v>false layer stronger</x:v>
      </x:c>
      <x:c r="J671" s="118" t="n">
        <x:v>-4402.29985631021</x:v>
      </x:c>
      <x:c r="K671" t="n">
        <x:v>6</x:v>
      </x:c>
      <x:c r="L671" s="123" t="n">
        <x:v>0</x:v>
      </x:c>
    </x:row>
    <x:row r="672">
      <x:c r="A672" s="118" t="n">
        <x:v>51.5</x:v>
      </x:c>
      <x:c r="B672" t="str">
        <x:v>rough_surface_clutter</x:v>
      </x:c>
      <x:c r="C672" t="str">
        <x:v>VHF_60MHz_shallow</x:v>
      </x:c>
      <x:c r="D672" s="118" t="n">
        <x:v>14581.93601801468</x:v>
      </x:c>
      <x:c r="E672" s="123"/>
      <x:c r="F672" s="123" t="n">
        <x:v>-999</x:v>
      </x:c>
      <x:c r="G672" s="123" t="n">
        <x:v>7.983984655371948</x:v>
      </x:c>
      <x:c r="H672" s="118" t="n">
        <x:v>997.5322012897327</x:v>
      </x:c>
      <x:c r="I672" t="str">
        <x:v>surface clutter in shallow window</x:v>
      </x:c>
      <x:c r="J672" s="118" t="n">
        <x:v>-13584.403816724947</x:v>
      </x:c>
      <x:c r="K672" t="n">
        <x:v>0</x:v>
      </x:c>
      <x:c r="L672" s="123" t="n">
        <x:v>0.8658814028094085</x:v>
      </x:c>
    </x:row>
    <x:row r="673">
      <x:c r="A673" s="118" t="n">
        <x:v>51.5</x:v>
      </x:c>
      <x:c r="B673" t="str">
        <x:v>complex_with_clutter</x:v>
      </x:c>
      <x:c r="C673" t="str">
        <x:v>VHF_60MHz_shallow</x:v>
      </x:c>
      <x:c r="D673" s="118" t="n">
        <x:v>14581.93601801468</x:v>
      </x:c>
      <x:c r="E673" s="123"/>
      <x:c r="F673" s="123" t="n">
        <x:v>5.138830636306741</x:v>
      </x:c>
      <x:c r="G673" s="123" t="n">
        <x:v>10.451746653378763</x:v>
      </x:c>
      <x:c r="H673" s="118" t="n">
        <x:v>997.5322012897327</x:v>
      </x:c>
      <x:c r="I673" t="str">
        <x:v>surface clutter in shallow window</x:v>
      </x:c>
      <x:c r="J673" s="118" t="n">
        <x:v>-13584.403816724947</x:v>
      </x:c>
      <x:c r="K673" t="n">
        <x:v>10</x:v>
      </x:c>
      <x:c r="L673" s="123" t="n">
        <x:v>0.8658814028094085</x:v>
      </x:c>
    </x:row>
    <x:row r="674">
      <x:c r="A674" s="118" t="n">
        <x:v>52</x:v>
      </x:c>
      <x:c r="B674" t="str">
        <x:v>stacked_dirty_layers</x:v>
      </x:c>
      <x:c r="C674" t="str">
        <x:v>HF_9MHz_full_depth</x:v>
      </x:c>
      <x:c r="D674" s="118" t="n">
        <x:v>14581.267028886516</x:v>
      </x:c>
      <x:c r="E674" s="123" t="n">
        <x:v>-0.9529016198091059</x:v>
      </x:c>
      <x:c r="F674" s="123" t="n">
        <x:v>11.781753113571146</x:v>
      </x:c>
      <x:c r="G674" s="123" t="n">
        <x:v>-999</x:v>
      </x:c>
      <x:c r="H674" s="118"/>
      <x:c r="I674" t="str">
        <x:v>false layer stronger</x:v>
      </x:c>
      <x:c r="J674" s="118" t="n">
        <x:v>-4390.759930905351</x:v>
      </x:c>
      <x:c r="K674" t="n">
        <x:v>6</x:v>
      </x:c>
      <x:c r="L674" s="123" t="n">
        <x:v>0</x:v>
      </x:c>
    </x:row>
    <x:row r="675">
      <x:c r="A675" s="118" t="n">
        <x:v>52</x:v>
      </x:c>
      <x:c r="B675" t="str">
        <x:v>rough_surface_clutter</x:v>
      </x:c>
      <x:c r="C675" t="str">
        <x:v>VHF_60MHz_shallow</x:v>
      </x:c>
      <x:c r="D675" s="118" t="n">
        <x:v>14581.267028886516</x:v>
      </x:c>
      <x:c r="E675" s="123"/>
      <x:c r="F675" s="123" t="n">
        <x:v>-999</x:v>
      </x:c>
      <x:c r="G675" s="123" t="n">
        <x:v>3.736822800579578</x:v>
      </x:c>
      <x:c r="H675" s="118" t="n">
        <x:v>866.777908521811</x:v>
      </x:c>
      <x:c r="I675" t="str">
        <x:v>surface clutter in shallow window</x:v>
      </x:c>
      <x:c r="J675" s="118" t="n">
        <x:v>-13714.489120364704</x:v>
      </x:c>
      <x:c r="K675" t="n">
        <x:v>0</x:v>
      </x:c>
      <x:c r="L675" s="123" t="n">
        <x:v>0.6028992446179305</x:v>
      </x:c>
    </x:row>
    <x:row r="676">
      <x:c r="A676" s="118" t="n">
        <x:v>52</x:v>
      </x:c>
      <x:c r="B676" t="str">
        <x:v>complex_with_clutter</x:v>
      </x:c>
      <x:c r="C676" t="str">
        <x:v>VHF_60MHz_shallow</x:v>
      </x:c>
      <x:c r="D676" s="118" t="n">
        <x:v>14581.267028886516</x:v>
      </x:c>
      <x:c r="E676" s="123"/>
      <x:c r="F676" s="123" t="n">
        <x:v>5.343199713071703</x:v>
      </x:c>
      <x:c r="G676" s="123" t="n">
        <x:v>5.455085647740681</x:v>
      </x:c>
      <x:c r="H676" s="118" t="n">
        <x:v>866.777908521811</x:v>
      </x:c>
      <x:c r="I676" t="str">
        <x:v>surface clutter in shallow window</x:v>
      </x:c>
      <x:c r="J676" s="118" t="n">
        <x:v>-13714.489120364704</x:v>
      </x:c>
      <x:c r="K676" t="n">
        <x:v>10</x:v>
      </x:c>
      <x:c r="L676" s="123" t="n">
        <x:v>0.6028992446179305</x:v>
      </x:c>
    </x:row>
    <x:row r="677">
      <x:c r="A677" s="118" t="n">
        <x:v>52.5</x:v>
      </x:c>
      <x:c r="B677" t="str">
        <x:v>stacked_dirty_layers</x:v>
      </x:c>
      <x:c r="C677" t="str">
        <x:v>HF_9MHz_full_depth</x:v>
      </x:c>
      <x:c r="D677" s="118" t="n">
        <x:v>14582.445512559116</x:v>
      </x:c>
      <x:c r="E677" s="123" t="n">
        <x:v>-0.9752114900815428</x:v>
      </x:c>
      <x:c r="F677" s="123" t="n">
        <x:v>11.736116513778908</x:v>
      </x:c>
      <x:c r="G677" s="123" t="n">
        <x:v>-999</x:v>
      </x:c>
      <x:c r="H677" s="118"/>
      <x:c r="I677" t="str">
        <x:v>false layer stronger</x:v>
      </x:c>
      <x:c r="J677" s="118" t="n">
        <x:v>-4379.108812337496</x:v>
      </x:c>
      <x:c r="K677" t="n">
        <x:v>6</x:v>
      </x:c>
      <x:c r="L677" s="123" t="n">
        <x:v>0</x:v>
      </x:c>
    </x:row>
    <x:row r="678">
      <x:c r="A678" s="118" t="n">
        <x:v>52.5</x:v>
      </x:c>
      <x:c r="B678" t="str">
        <x:v>rough_surface_clutter</x:v>
      </x:c>
      <x:c r="C678" t="str">
        <x:v>VHF_60MHz_shallow</x:v>
      </x:c>
      <x:c r="D678" s="118" t="n">
        <x:v>14582.445512559116</x:v>
      </x:c>
      <x:c r="E678" s="123"/>
      <x:c r="F678" s="123" t="n">
        <x:v>-999</x:v>
      </x:c>
      <x:c r="G678" s="123" t="n">
        <x:v>5.5604416446555</x:v>
      </x:c>
      <x:c r="H678" s="118" t="n">
        <x:v>930.2360995986251</x:v>
      </x:c>
      <x:c r="I678" t="str">
        <x:v>surface clutter in shallow window</x:v>
      </x:c>
      <x:c r="J678" s="118" t="n">
        <x:v>-13652.20941296049</x:v>
      </x:c>
      <x:c r="K678" t="n">
        <x:v>0</x:v>
      </x:c>
      <x:c r="L678" s="123" t="n">
        <x:v>0.7158168201025078</x:v>
      </x:c>
    </x:row>
    <x:row r="679">
      <x:c r="A679" s="118" t="n">
        <x:v>52.5</x:v>
      </x:c>
      <x:c r="B679" t="str">
        <x:v>complex_with_clutter</x:v>
      </x:c>
      <x:c r="C679" t="str">
        <x:v>VHF_60MHz_shallow</x:v>
      </x:c>
      <x:c r="D679" s="118" t="n">
        <x:v>14582.445512559116</x:v>
      </x:c>
      <x:c r="E679" s="123"/>
      <x:c r="F679" s="123" t="n">
        <x:v>5.2463840440511</x:v>
      </x:c>
      <x:c r="G679" s="123" t="n">
        <x:v>7.600519581947648</x:v>
      </x:c>
      <x:c r="H679" s="118" t="n">
        <x:v>930.2360995986251</x:v>
      </x:c>
      <x:c r="I679" t="str">
        <x:v>surface clutter in shallow window</x:v>
      </x:c>
      <x:c r="J679" s="118" t="n">
        <x:v>-13652.20941296049</x:v>
      </x:c>
      <x:c r="K679" t="n">
        <x:v>10</x:v>
      </x:c>
      <x:c r="L679" s="123" t="n">
        <x:v>0.7158168201025078</x:v>
      </x:c>
    </x:row>
    <x:row r="680">
      <x:c r="A680" s="118" t="n">
        <x:v>53</x:v>
      </x:c>
      <x:c r="B680" t="str">
        <x:v>stacked_dirty_layers</x:v>
      </x:c>
      <x:c r="C680" t="str">
        <x:v>HF_9MHz_full_depth</x:v>
      </x:c>
      <x:c r="D680" s="118" t="n">
        <x:v>14580.862995264828</x:v>
      </x:c>
      <x:c r="E680" s="123" t="n">
        <x:v>-0.9590495478012582</x:v>
      </x:c>
      <x:c r="F680" s="123" t="n">
        <x:v>11.724626370393748</x:v>
      </x:c>
      <x:c r="G680" s="123" t="n">
        <x:v>-999</x:v>
      </x:c>
      <x:c r="H680" s="118"/>
      <x:c r="I680" t="str">
        <x:v>false layer stronger</x:v>
      </x:c>
      <x:c r="J680" s="118" t="n">
        <x:v>-4365.945947509301</x:v>
      </x:c>
      <x:c r="K680" t="n">
        <x:v>6</x:v>
      </x:c>
      <x:c r="L680" s="123" t="n">
        <x:v>0</x:v>
      </x:c>
    </x:row>
    <x:row r="681">
      <x:c r="A681" s="118" t="n">
        <x:v>53</x:v>
      </x:c>
      <x:c r="B681" t="str">
        <x:v>rough_surface_clutter</x:v>
      </x:c>
      <x:c r="C681" t="str">
        <x:v>VHF_60MHz_shallow</x:v>
      </x:c>
      <x:c r="D681" s="118" t="n">
        <x:v>14580.862995264828</x:v>
      </x:c>
      <x:c r="E681" s="123"/>
      <x:c r="F681" s="123" t="n">
        <x:v>-999</x:v>
      </x:c>
      <x:c r="G681" s="123" t="n">
        <x:v>5.493793023389211</x:v>
      </x:c>
      <x:c r="H681" s="118" t="n">
        <x:v>935.0184972843383</x:v>
      </x:c>
      <x:c r="I681" t="str">
        <x:v>surface clutter in shallow window</x:v>
      </x:c>
      <x:c r="J681" s="118" t="n">
        <x:v>-13645.84449798049</x:v>
      </x:c>
      <x:c r="K681" t="n">
        <x:v>0</x:v>
      </x:c>
      <x:c r="L681" s="123" t="n">
        <x:v>0.711689970488496</x:v>
      </x:c>
    </x:row>
    <x:row r="682">
      <x:c r="A682" s="118" t="n">
        <x:v>53</x:v>
      </x:c>
      <x:c r="B682" t="str">
        <x:v>complex_with_clutter</x:v>
      </x:c>
      <x:c r="C682" t="str">
        <x:v>VHF_60MHz_shallow</x:v>
      </x:c>
      <x:c r="D682" s="118" t="n">
        <x:v>14580.862995264828</x:v>
      </x:c>
      <x:c r="E682" s="123"/>
      <x:c r="F682" s="123" t="n">
        <x:v>5.242757775526006</x:v>
      </x:c>
      <x:c r="G682" s="123" t="n">
        <x:v>7.522109439281424</x:v>
      </x:c>
      <x:c r="H682" s="118" t="n">
        <x:v>935.0184972843383</x:v>
      </x:c>
      <x:c r="I682" t="str">
        <x:v>surface clutter in shallow window</x:v>
      </x:c>
      <x:c r="J682" s="118" t="n">
        <x:v>-13645.84449798049</x:v>
      </x:c>
      <x:c r="K682" t="n">
        <x:v>10</x:v>
      </x:c>
      <x:c r="L682" s="123" t="n">
        <x:v>0.711689970488496</x:v>
      </x:c>
    </x:row>
    <x:row r="683">
      <x:c r="A683" s="118" t="n">
        <x:v>53.5</x:v>
      </x:c>
      <x:c r="B683" t="str">
        <x:v>stacked_dirty_layers</x:v>
      </x:c>
      <x:c r="C683" t="str">
        <x:v>HF_9MHz_full_depth</x:v>
      </x:c>
      <x:c r="D683" s="118" t="n">
        <x:v>14582.689740911543</x:v>
      </x:c>
      <x:c r="E683" s="123" t="n">
        <x:v>-0.9010962882611764</x:v>
      </x:c>
      <x:c r="F683" s="123" t="n">
        <x:v>11.755135381545315</x:v>
      </x:c>
      <x:c r="G683" s="123" t="n">
        <x:v>-999</x:v>
      </x:c>
      <x:c r="H683" s="118"/>
      <x:c r="I683" t="str">
        <x:v>false layer stronger</x:v>
      </x:c>
      <x:c r="J683" s="118" t="n">
        <x:v>-4353.188627746318</x:v>
      </x:c>
      <x:c r="K683" t="n">
        <x:v>6</x:v>
      </x:c>
      <x:c r="L683" s="123" t="n">
        <x:v>0</x:v>
      </x:c>
    </x:row>
    <x:row r="684">
      <x:c r="A684" s="118" t="n">
        <x:v>53.5</x:v>
      </x:c>
      <x:c r="B684" t="str">
        <x:v>rough_surface_clutter</x:v>
      </x:c>
      <x:c r="C684" t="str">
        <x:v>VHF_60MHz_shallow</x:v>
      </x:c>
      <x:c r="D684" s="118" t="n">
        <x:v>14582.689740911543</x:v>
      </x:c>
      <x:c r="E684" s="123"/>
      <x:c r="F684" s="123" t="n">
        <x:v>-999</x:v>
      </x:c>
      <x:c r="G684" s="123" t="n">
        <x:v>2.922239660511373</x:v>
      </x:c>
      <x:c r="H684" s="118" t="n">
        <x:v>861.5914458474073</x:v>
      </x:c>
      <x:c r="I684" t="str">
        <x:v>surface clutter in shallow window</x:v>
      </x:c>
      <x:c r="J684" s="118" t="n">
        <x:v>-13721.098295064136</x:v>
      </x:c>
      <x:c r="K684" t="n">
        <x:v>0</x:v>
      </x:c>
      <x:c r="L684" s="123" t="n">
        <x:v>0.5524606600935835</x:v>
      </x:c>
    </x:row>
    <x:row r="685">
      <x:c r="A685" s="118" t="n">
        <x:v>53.5</x:v>
      </x:c>
      <x:c r="B685" t="str">
        <x:v>complex_with_clutter</x:v>
      </x:c>
      <x:c r="C685" t="str">
        <x:v>VHF_60MHz_shallow</x:v>
      </x:c>
      <x:c r="D685" s="118" t="n">
        <x:v>14582.689740911543</x:v>
      </x:c>
      <x:c r="E685" s="123"/>
      <x:c r="F685" s="123" t="n">
        <x:v>10.488004083348537</x:v>
      </x:c>
      <x:c r="G685" s="123" t="n">
        <x:v>4.496752541778086</x:v>
      </x:c>
      <x:c r="H685" s="118" t="n">
        <x:v>861.5914458474073</x:v>
      </x:c>
      <x:c r="I685" t="str">
        <x:v>surface clutter in shallow window</x:v>
      </x:c>
      <x:c r="J685" s="118" t="n">
        <x:v>-13721.098295064136</x:v>
      </x:c>
      <x:c r="K685" t="n">
        <x:v>10</x:v>
      </x:c>
      <x:c r="L685" s="123" t="n">
        <x:v>0.5524606600935835</x:v>
      </x:c>
    </x:row>
    <x:row r="686">
      <x:c r="A686" s="118" t="n">
        <x:v>54</x:v>
      </x:c>
      <x:c r="B686" t="str">
        <x:v>stacked_dirty_layers</x:v>
      </x:c>
      <x:c r="C686" t="str">
        <x:v>HF_9MHz_full_depth</x:v>
      </x:c>
      <x:c r="D686" s="118" t="n">
        <x:v>14584.402882438928</x:v>
      </x:c>
      <x:c r="E686" s="123" t="n">
        <x:v>-0.8911122140594265</x:v>
      </x:c>
      <x:c r="F686" s="123" t="n">
        <x:v>11.735394365879365</x:v>
      </x:c>
      <x:c r="G686" s="123" t="n">
        <x:v>-999</x:v>
      </x:c>
      <x:c r="H686" s="118"/>
      <x:c r="I686" t="str">
        <x:v>false layer stronger</x:v>
      </x:c>
      <x:c r="J686" s="118" t="n">
        <x:v>-4339.773553898111</x:v>
      </x:c>
      <x:c r="K686" t="n">
        <x:v>6</x:v>
      </x:c>
      <x:c r="L686" s="123" t="n">
        <x:v>0</x:v>
      </x:c>
    </x:row>
    <x:row r="687">
      <x:c r="A687" s="118" t="n">
        <x:v>54</x:v>
      </x:c>
      <x:c r="B687" t="str">
        <x:v>rough_surface_clutter</x:v>
      </x:c>
      <x:c r="C687" t="str">
        <x:v>VHF_60MHz_shallow</x:v>
      </x:c>
      <x:c r="D687" s="118" t="n">
        <x:v>14584.402882438928</x:v>
      </x:c>
      <x:c r="E687" s="123"/>
      <x:c r="F687" s="123" t="n">
        <x:v>-999</x:v>
      </x:c>
      <x:c r="G687" s="123" t="n">
        <x:v>3.1583531935310027</x:v>
      </x:c>
      <x:c r="H687" s="118" t="n">
        <x:v>878.6953919215588</x:v>
      </x:c>
      <x:c r="I687" t="str">
        <x:v>surface clutter in shallow window</x:v>
      </x:c>
      <x:c r="J687" s="118" t="n">
        <x:v>-13705.707490517369</x:v>
      </x:c>
      <x:c r="K687" t="n">
        <x:v>0</x:v>
      </x:c>
      <x:c r="L687" s="123" t="n">
        <x:v>0.5670806930978949</x:v>
      </x:c>
    </x:row>
    <x:row r="688">
      <x:c r="A688" s="118" t="n">
        <x:v>54</x:v>
      </x:c>
      <x:c r="B688" t="str">
        <x:v>complex_with_clutter</x:v>
      </x:c>
      <x:c r="C688" t="str">
        <x:v>VHF_60MHz_shallow</x:v>
      </x:c>
      <x:c r="D688" s="118" t="n">
        <x:v>14584.402882438928</x:v>
      </x:c>
      <x:c r="E688" s="123"/>
      <x:c r="F688" s="123" t="n">
        <x:v>10.468549301489514</x:v>
      </x:c>
      <x:c r="G688" s="123" t="n">
        <x:v>4.774533168860003</x:v>
      </x:c>
      <x:c r="H688" s="118" t="n">
        <x:v>878.6953919215588</x:v>
      </x:c>
      <x:c r="I688" t="str">
        <x:v>surface clutter in shallow window</x:v>
      </x:c>
      <x:c r="J688" s="118" t="n">
        <x:v>-13705.707490517369</x:v>
      </x:c>
      <x:c r="K688" t="n">
        <x:v>10</x:v>
      </x:c>
      <x:c r="L688" s="123" t="n">
        <x:v>0.5670806930978949</x:v>
      </x:c>
    </x:row>
    <x:row r="689">
      <x:c r="A689" s="118" t="n">
        <x:v>54.5</x:v>
      </x:c>
      <x:c r="B689" t="str">
        <x:v>stacked_dirty_layers</x:v>
      </x:c>
      <x:c r="C689" t="str">
        <x:v>HF_9MHz_full_depth</x:v>
      </x:c>
      <x:c r="D689" s="118" t="n">
        <x:v>14587.135802631929</x:v>
      </x:c>
      <x:c r="E689" s="123" t="n">
        <x:v>-0.8814147450475414</x:v>
      </x:c>
      <x:c r="F689" s="123" t="n">
        <x:v>11.7138782705579</x:v>
      </x:c>
      <x:c r="G689" s="123" t="n">
        <x:v>-999</x:v>
      </x:c>
      <x:c r="H689" s="118"/>
      <x:c r="I689" t="str">
        <x:v>false layer stronger</x:v>
      </x:c>
      <x:c r="J689" s="118" t="n">
        <x:v>-4326.068272382163</x:v>
      </x:c>
      <x:c r="K689" t="n">
        <x:v>6</x:v>
      </x:c>
      <x:c r="L689" s="123" t="n">
        <x:v>0</x:v>
      </x:c>
    </x:row>
    <x:row r="690">
      <x:c r="A690" s="118" t="n">
        <x:v>54.5</x:v>
      </x:c>
      <x:c r="B690" t="str">
        <x:v>rough_surface_clutter</x:v>
      </x:c>
      <x:c r="C690" t="str">
        <x:v>VHF_60MHz_shallow</x:v>
      </x:c>
      <x:c r="D690" s="118" t="n">
        <x:v>14587.135802631929</x:v>
      </x:c>
      <x:c r="E690" s="123"/>
      <x:c r="F690" s="123" t="n">
        <x:v>-999</x:v>
      </x:c>
      <x:c r="G690" s="123" t="n">
        <x:v>3.4253743770339113</x:v>
      </x:c>
      <x:c r="H690" s="118" t="n">
        <x:v>898.1136373200703</x:v>
      </x:c>
      <x:c r="I690" t="str">
        <x:v>surface clutter in shallow window</x:v>
      </x:c>
      <x:c r="J690" s="118" t="n">
        <x:v>-13689.022165311859</x:v>
      </x:c>
      <x:c r="K690" t="n">
        <x:v>0</x:v>
      </x:c>
      <x:c r="L690" s="123" t="n">
        <x:v>0.5836145125098398</x:v>
      </x:c>
    </x:row>
    <x:row r="691">
      <x:c r="A691" s="118" t="n">
        <x:v>54.5</x:v>
      </x:c>
      <x:c r="B691" t="str">
        <x:v>complex_with_clutter</x:v>
      </x:c>
      <x:c r="C691" t="str">
        <x:v>VHF_60MHz_shallow</x:v>
      </x:c>
      <x:c r="D691" s="118" t="n">
        <x:v>14587.135802631929</x:v>
      </x:c>
      <x:c r="E691" s="123"/>
      <x:c r="F691" s="123" t="n">
        <x:v>10.44718082645374</x:v>
      </x:c>
      <x:c r="G691" s="123" t="n">
        <x:v>5.088675737686955</x:v>
      </x:c>
      <x:c r="H691" s="118" t="n">
        <x:v>898.1136373200703</x:v>
      </x:c>
      <x:c r="I691" t="str">
        <x:v>surface clutter in shallow window</x:v>
      </x:c>
      <x:c r="J691" s="118" t="n">
        <x:v>-13689.022165311859</x:v>
      </x:c>
      <x:c r="K691" t="n">
        <x:v>10</x:v>
      </x:c>
      <x:c r="L691" s="123" t="n">
        <x:v>0.5836145125098398</x:v>
      </x:c>
    </x:row>
    <x:row r="692">
      <x:c r="A692" s="118" t="n">
        <x:v>55</x:v>
      </x:c>
      <x:c r="B692" t="str">
        <x:v>stacked_dirty_layers</x:v>
      </x:c>
      <x:c r="C692" t="str">
        <x:v>HF_9MHz_full_depth</x:v>
      </x:c>
      <x:c r="D692" s="118" t="n">
        <x:v>14587.76637498493</x:v>
      </x:c>
      <x:c r="E692" s="123" t="n">
        <x:v>-0.8570712498307246</x:v>
      </x:c>
      <x:c r="F692" s="123" t="n">
        <x:v>11.703541768586481</x:v>
      </x:c>
      <x:c r="G692" s="123" t="n">
        <x:v>-999</x:v>
      </x:c>
      <x:c r="H692" s="118"/>
      <x:c r="I692" t="str">
        <x:v>false layer stronger</x:v>
      </x:c>
      <x:c r="J692" s="118" t="n">
        <x:v>-4311.14632956893</x:v>
      </x:c>
      <x:c r="K692" t="n">
        <x:v>6</x:v>
      </x:c>
      <x:c r="L692" s="123" t="n">
        <x:v>0</x:v>
      </x:c>
    </x:row>
    <x:row r="693">
      <x:c r="A693" s="118" t="n">
        <x:v>55</x:v>
      </x:c>
      <x:c r="B693" t="str">
        <x:v>rough_surface_clutter</x:v>
      </x:c>
      <x:c r="C693" t="str">
        <x:v>VHF_60MHz_shallow</x:v>
      </x:c>
      <x:c r="D693" s="118" t="n">
        <x:v>14587.76637498493</x:v>
      </x:c>
      <x:c r="E693" s="123"/>
      <x:c r="F693" s="123" t="n">
        <x:v>-999</x:v>
      </x:c>
      <x:c r="G693" s="123" t="n">
        <x:v>3.089929245940917</x:v>
      </x:c>
      <x:c r="H693" s="118" t="n">
        <x:v>899.7115780466809</x:v>
      </x:c>
      <x:c r="I693" t="str">
        <x:v>surface clutter in shallow window</x:v>
      </x:c>
      <x:c r="J693" s="118" t="n">
        <x:v>-13688.05479693825</x:v>
      </x:c>
      <x:c r="K693" t="n">
        <x:v>0</x:v>
      </x:c>
      <x:c r="L693" s="123" t="n">
        <x:v>0.5628439161573324</x:v>
      </x:c>
    </x:row>
    <x:row r="694">
      <x:c r="A694" s="118" t="n">
        <x:v>55</x:v>
      </x:c>
      <x:c r="B694" t="str">
        <x:v>complex_with_clutter</x:v>
      </x:c>
      <x:c r="C694" t="str">
        <x:v>VHF_60MHz_shallow</x:v>
      </x:c>
      <x:c r="D694" s="118" t="n">
        <x:v>14587.76637498493</x:v>
      </x:c>
      <x:c r="E694" s="123"/>
      <x:c r="F694" s="123" t="n">
        <x:v>10.45529644147774</x:v>
      </x:c>
      <x:c r="G694" s="123" t="n">
        <x:v>4.694034406989315</x:v>
      </x:c>
      <x:c r="H694" s="118" t="n">
        <x:v>899.7115780466809</x:v>
      </x:c>
      <x:c r="I694" t="str">
        <x:v>surface clutter in shallow window</x:v>
      </x:c>
      <x:c r="J694" s="118" t="n">
        <x:v>-13688.05479693825</x:v>
      </x:c>
      <x:c r="K694" t="n">
        <x:v>10</x:v>
      </x:c>
      <x:c r="L694" s="123" t="n">
        <x:v>0.5628439161573324</x:v>
      </x:c>
    </x:row>
    <x:row r="695">
      <x:c r="A695" s="118" t="n">
        <x:v>55.5</x:v>
      </x:c>
      <x:c r="B695" t="str">
        <x:v>stacked_dirty_layers</x:v>
      </x:c>
      <x:c r="C695" t="str">
        <x:v>HF_9MHz_full_depth</x:v>
      </x:c>
      <x:c r="D695" s="118" t="n">
        <x:v>14591.085193045687</x:v>
      </x:c>
      <x:c r="E695" s="123" t="n">
        <x:v>-0.825462154386171</x:v>
      </x:c>
      <x:c r="F695" s="123" t="n">
        <x:v>11.700450858749301</x:v>
      </x:c>
      <x:c r="G695" s="123" t="n">
        <x:v>-999</x:v>
      </x:c>
      <x:c r="H695" s="118"/>
      <x:c r="I695" t="str">
        <x:v>false layer stronger</x:v>
      </x:c>
      <x:c r="J695" s="118" t="n">
        <x:v>-4296.486106486891</x:v>
      </x:c>
      <x:c r="K695" t="n">
        <x:v>6</x:v>
      </x:c>
      <x:c r="L695" s="123" t="n">
        <x:v>0</x:v>
      </x:c>
    </x:row>
    <x:row r="696">
      <x:c r="A696" s="118" t="n">
        <x:v>55.5</x:v>
      </x:c>
      <x:c r="B696" t="str">
        <x:v>rough_surface_clutter</x:v>
      </x:c>
      <x:c r="C696" t="str">
        <x:v>VHF_60MHz_shallow</x:v>
      </x:c>
      <x:c r="D696" s="118" t="n">
        <x:v>14591.085193045687</x:v>
      </x:c>
      <x:c r="E696" s="123"/>
      <x:c r="F696" s="123" t="n">
        <x:v>-999</x:v>
      </x:c>
      <x:c r="G696" s="123" t="n">
        <x:v>2.2357302749812025</x:v>
      </x:c>
      <x:c r="H696" s="118" t="n">
        <x:v>886.1307635677198</x:v>
      </x:c>
      <x:c r="I696" t="str">
        <x:v>surface clutter in shallow window</x:v>
      </x:c>
      <x:c r="J696" s="118" t="n">
        <x:v>-13704.954429477966</x:v>
      </x:c>
      <x:c r="K696" t="n">
        <x:v>0</x:v>
      </x:c>
      <x:c r="L696" s="123" t="n">
        <x:v>0.509952339008124</x:v>
      </x:c>
    </x:row>
    <x:row r="697">
      <x:c r="A697" s="118" t="n">
        <x:v>55.5</x:v>
      </x:c>
      <x:c r="B697" t="str">
        <x:v>complex_with_clutter</x:v>
      </x:c>
      <x:c r="C697" t="str">
        <x:v>VHF_60MHz_shallow</x:v>
      </x:c>
      <x:c r="D697" s="118" t="n">
        <x:v>14591.085193045687</x:v>
      </x:c>
      <x:c r="E697" s="123"/>
      <x:c r="F697" s="123" t="n">
        <x:v>10.488773507861804</x:v>
      </x:c>
      <x:c r="G697" s="123" t="n">
        <x:v>3.6890944411543565</x:v>
      </x:c>
      <x:c r="H697" s="118" t="n">
        <x:v>886.1307635677198</x:v>
      </x:c>
      <x:c r="I697" t="str">
        <x:v>surface clutter in shallow window</x:v>
      </x:c>
      <x:c r="J697" s="118" t="n">
        <x:v>-13704.954429477966</x:v>
      </x:c>
      <x:c r="K697" t="n">
        <x:v>10</x:v>
      </x:c>
      <x:c r="L697" s="123" t="n">
        <x:v>0.509952339008124</x:v>
      </x:c>
    </x:row>
    <x:row r="698">
      <x:c r="A698" s="118" t="n">
        <x:v>56</x:v>
      </x:c>
      <x:c r="B698" t="str">
        <x:v>stacked_dirty_layers</x:v>
      </x:c>
      <x:c r="C698" t="str">
        <x:v>HF_9MHz_full_depth</x:v>
      </x:c>
      <x:c r="D698" s="118" t="n">
        <x:v>14593.125138126077</x:v>
      </x:c>
      <x:c r="E698" s="123" t="n">
        <x:v>-0.820139994679428</x:v>
      </x:c>
      <x:c r="F698" s="123" t="n">
        <x:v>11.668283722870656</x:v>
      </x:c>
      <x:c r="G698" s="123" t="n">
        <x:v>-999</x:v>
      </x:c>
      <x:c r="H698" s="118"/>
      <x:c r="I698" t="str">
        <x:v>false layer stronger</x:v>
      </x:c>
      <x:c r="J698" s="118" t="n">
        <x:v>-4280.909784997813</x:v>
      </x:c>
      <x:c r="K698" t="n">
        <x:v>6</x:v>
      </x:c>
      <x:c r="L698" s="123" t="n">
        <x:v>0</x:v>
      </x:c>
    </x:row>
    <x:row r="699">
      <x:c r="A699" s="118" t="n">
        <x:v>56</x:v>
      </x:c>
      <x:c r="B699" t="str">
        <x:v>rough_surface_clutter</x:v>
      </x:c>
      <x:c r="C699" t="str">
        <x:v>VHF_60MHz_shallow</x:v>
      </x:c>
      <x:c r="D699" s="118" t="n">
        <x:v>14593.125138126077</x:v>
      </x:c>
      <x:c r="E699" s="123"/>
      <x:c r="F699" s="123" t="n">
        <x:v>-999</x:v>
      </x:c>
      <x:c r="G699" s="123" t="n">
        <x:v>3.0275836873312887</x:v>
      </x:c>
      <x:c r="H699" s="118" t="n">
        <x:v>926.1162129364363</x:v>
      </x:c>
      <x:c r="I699" t="str">
        <x:v>surface clutter in shallow window</x:v>
      </x:c>
      <x:c r="J699" s="118" t="n">
        <x:v>-13667.00892518964</x:v>
      </x:c>
      <x:c r="K699" t="n">
        <x:v>0</x:v>
      </x:c>
      <x:c r="L699" s="123" t="n">
        <x:v>0.558983510051473</x:v>
      </x:c>
    </x:row>
    <x:row r="700">
      <x:c r="A700" s="118" t="n">
        <x:v>56</x:v>
      </x:c>
      <x:c r="B700" t="str">
        <x:v>complex_with_clutter</x:v>
      </x:c>
      <x:c r="C700" t="str">
        <x:v>VHF_60MHz_shallow</x:v>
      </x:c>
      <x:c r="D700" s="118" t="n">
        <x:v>14593.125138126077</x:v>
      </x:c>
      <x:c r="E700" s="123"/>
      <x:c r="F700" s="123" t="n">
        <x:v>10.440401950622284</x:v>
      </x:c>
      <x:c r="G700" s="123" t="n">
        <x:v>4.620686690977987</x:v>
      </x:c>
      <x:c r="H700" s="118" t="n">
        <x:v>926.1162129364363</x:v>
      </x:c>
      <x:c r="I700" t="str">
        <x:v>surface clutter in shallow window</x:v>
      </x:c>
      <x:c r="J700" s="118" t="n">
        <x:v>-13667.00892518964</x:v>
      </x:c>
      <x:c r="K700" t="n">
        <x:v>10</x:v>
      </x:c>
      <x:c r="L700" s="123" t="n">
        <x:v>0.558983510051473</x:v>
      </x:c>
    </x:row>
    <x:row r="701">
      <x:c r="A701" s="118" t="n">
        <x:v>56.5</x:v>
      </x:c>
      <x:c r="B701" t="str">
        <x:v>stacked_dirty_layers</x:v>
      </x:c>
      <x:c r="C701" t="str">
        <x:v>HF_9MHz_full_depth</x:v>
      </x:c>
      <x:c r="D701" s="118" t="n">
        <x:v>14595.45983017993</x:v>
      </x:c>
      <x:c r="E701" s="123" t="n">
        <x:v>-0.8149164938337445</x:v>
      </x:c>
      <x:c r="F701" s="123" t="n">
        <x:v>11.634458108212266</x:v>
      </x:c>
      <x:c r="G701" s="123" t="n">
        <x:v>-999</x:v>
      </x:c>
      <x:c r="H701" s="118"/>
      <x:c r="I701" t="str">
        <x:v>false layer stronger</x:v>
      </x:c>
      <x:c r="J701" s="118" t="n">
        <x:v>-4264.9195691653385</x:v>
      </x:c>
      <x:c r="K701" t="n">
        <x:v>6</x:v>
      </x:c>
      <x:c r="L701" s="123" t="n">
        <x:v>0</x:v>
      </x:c>
    </x:row>
    <x:row r="702">
      <x:c r="A702" s="118" t="n">
        <x:v>56.5</x:v>
      </x:c>
      <x:c r="B702" t="str">
        <x:v>rough_surface_clutter</x:v>
      </x:c>
      <x:c r="C702" t="str">
        <x:v>VHF_60MHz_shallow</x:v>
      </x:c>
      <x:c r="D702" s="118" t="n">
        <x:v>14595.45983017993</x:v>
      </x:c>
      <x:c r="E702" s="123"/>
      <x:c r="F702" s="123" t="n">
        <x:v>-999</x:v>
      </x:c>
      <x:c r="G702" s="123" t="n">
        <x:v>3.8723792907193797</x:v>
      </x:c>
      <x:c r="H702" s="118" t="n">
        <x:v>969.0420021030358</x:v>
      </x:c>
      <x:c r="I702" t="str">
        <x:v>surface clutter in shallow window</x:v>
      </x:c>
      <x:c r="J702" s="118" t="n">
        <x:v>-13626.417828076896</x:v>
      </x:c>
      <x:c r="K702" t="n">
        <x:v>0</x:v>
      </x:c>
      <x:c r="L702" s="123" t="n">
        <x:v>0.6112928353386613</x:v>
      </x:c>
    </x:row>
    <x:row r="703">
      <x:c r="A703" s="118" t="n">
        <x:v>56.5</x:v>
      </x:c>
      <x:c r="B703" t="str">
        <x:v>complex_with_clutter</x:v>
      </x:c>
      <x:c r="C703" t="str">
        <x:v>VHF_60MHz_shallow</x:v>
      </x:c>
      <x:c r="D703" s="118" t="n">
        <x:v>14595.45983017993</x:v>
      </x:c>
      <x:c r="E703" s="123"/>
      <x:c r="F703" s="123" t="n">
        <x:v>10.389123061952775</x:v>
      </x:c>
      <x:c r="G703" s="123" t="n">
        <x:v>5.614563871434564</x:v>
      </x:c>
      <x:c r="H703" s="118" t="n">
        <x:v>969.0420021030358</x:v>
      </x:c>
      <x:c r="I703" t="str">
        <x:v>surface clutter in shallow window</x:v>
      </x:c>
      <x:c r="J703" s="118" t="n">
        <x:v>-13626.417828076896</x:v>
      </x:c>
      <x:c r="K703" t="n">
        <x:v>10</x:v>
      </x:c>
      <x:c r="L703" s="123" t="n">
        <x:v>0.6112928353386613</x:v>
      </x:c>
    </x:row>
    <x:row r="704">
      <x:c r="A704" s="118" t="n">
        <x:v>57</x:v>
      </x:c>
      <x:c r="B704" t="str">
        <x:v>stacked_dirty_layers</x:v>
      </x:c>
      <x:c r="C704" t="str">
        <x:v>HF_9MHz_full_depth</x:v>
      </x:c>
      <x:c r="D704" s="118" t="n">
        <x:v>14596.845934459488</x:v>
      </x:c>
      <x:c r="E704" s="123" t="n">
        <x:v>-0.7837526362910061</x:v>
      </x:c>
      <x:c r="F704" s="123" t="n">
        <x:v>11.624221515631389</x:v>
      </x:c>
      <x:c r="G704" s="123" t="n">
        <x:v>-999</x:v>
      </x:c>
      <x:c r="H704" s="118"/>
      <x:c r="I704" t="str">
        <x:v>false layer stronger</x:v>
      </x:c>
      <x:c r="J704" s="118" t="n">
        <x:v>-4248.169897891397</x:v>
      </x:c>
      <x:c r="K704" t="n">
        <x:v>6</x:v>
      </x:c>
      <x:c r="L704" s="123" t="n">
        <x:v>0</x:v>
      </x:c>
    </x:row>
    <x:row r="705">
      <x:c r="A705" s="118" t="n">
        <x:v>57</x:v>
      </x:c>
      <x:c r="B705" t="str">
        <x:v>rough_surface_clutter</x:v>
      </x:c>
      <x:c r="C705" t="str">
        <x:v>VHF_60MHz_shallow</x:v>
      </x:c>
      <x:c r="D705" s="118" t="n">
        <x:v>14596.845934459488</x:v>
      </x:c>
      <x:c r="E705" s="123"/>
      <x:c r="F705" s="123" t="n">
        <x:v>-999</x:v>
      </x:c>
      <x:c r="G705" s="123" t="n">
        <x:v>3.378886105118232</x:v>
      </x:c>
      <x:c r="H705" s="118" t="n">
        <x:v>970.6930378192015</x:v>
      </x:c>
      <x:c r="I705" t="str">
        <x:v>surface clutter in shallow window</x:v>
      </x:c>
      <x:c r="J705" s="118" t="n">
        <x:v>-13626.152896640288</x:v>
      </x:c>
      <x:c r="K705" t="n">
        <x:v>0</x:v>
      </x:c>
      <x:c r="L705" s="123" t="n">
        <x:v>0.580735981741067</x:v>
      </x:c>
    </x:row>
    <x:row r="706">
      <x:c r="A706" s="118" t="n">
        <x:v>57</x:v>
      </x:c>
      <x:c r="B706" t="str">
        <x:v>complex_with_clutter</x:v>
      </x:c>
      <x:c r="C706" t="str">
        <x:v>VHF_60MHz_shallow</x:v>
      </x:c>
      <x:c r="D706" s="118" t="n">
        <x:v>14596.845934459488</x:v>
      </x:c>
      <x:c r="E706" s="123"/>
      <x:c r="F706" s="123" t="n">
        <x:v>10.403878543173985</x:v>
      </x:c>
      <x:c r="G706" s="123" t="n">
        <x:v>5.0339836530802735</x:v>
      </x:c>
      <x:c r="H706" s="118" t="n">
        <x:v>970.6930378192015</x:v>
      </x:c>
      <x:c r="I706" t="str">
        <x:v>surface clutter in shallow window</x:v>
      </x:c>
      <x:c r="J706" s="118" t="n">
        <x:v>-13626.152896640288</x:v>
      </x:c>
      <x:c r="K706" t="n">
        <x:v>10</x:v>
      </x:c>
      <x:c r="L706" s="123" t="n">
        <x:v>0.580735981741067</x:v>
      </x:c>
    </x:row>
    <x:row r="707">
      <x:c r="A707" s="118" t="n">
        <x:v>57.5</x:v>
      </x:c>
      <x:c r="B707" t="str">
        <x:v>stacked_dirty_layers</x:v>
      </x:c>
      <x:c r="C707" t="str">
        <x:v>HF_9MHz_full_depth</x:v>
      </x:c>
      <x:c r="D707" s="118" t="n">
        <x:v>14602.914420845136</x:v>
      </x:c>
      <x:c r="E707" s="123" t="n">
        <x:v>-0.7467734567439228</x:v>
      </x:c>
      <x:c r="F707" s="123" t="n">
        <x:v>11.62158469300973</x:v>
      </x:c>
      <x:c r="G707" s="123" t="n">
        <x:v>-999</x:v>
      </x:c>
      <x:c r="H707" s="118"/>
      <x:c r="I707" t="str">
        <x:v>false layer stronger</x:v>
      </x:c>
      <x:c r="J707" s="118" t="n">
        <x:v>-4232.367040201429</x:v>
      </x:c>
      <x:c r="K707" t="n">
        <x:v>6</x:v>
      </x:c>
      <x:c r="L707" s="123" t="n">
        <x:v>0</x:v>
      </x:c>
    </x:row>
    <x:row r="708">
      <x:c r="A708" s="118" t="n">
        <x:v>57.5</x:v>
      </x:c>
      <x:c r="B708" t="str">
        <x:v>rough_surface_clutter</x:v>
      </x:c>
      <x:c r="C708" t="str">
        <x:v>VHF_60MHz_shallow</x:v>
      </x:c>
      <x:c r="D708" s="118" t="n">
        <x:v>14602.914420845136</x:v>
      </x:c>
      <x:c r="E708" s="123"/>
      <x:c r="F708" s="123" t="n">
        <x:v>-999</x:v>
      </x:c>
      <x:c r="G708" s="123" t="n">
        <x:v>2.2925939401629716</x:v>
      </x:c>
      <x:c r="H708" s="118" t="n">
        <x:v>954.7247642931277</x:v>
      </x:c>
      <x:c r="I708" t="str">
        <x:v>surface clutter in shallow window</x:v>
      </x:c>
      <x:c r="J708" s="118" t="n">
        <x:v>-13648.18965655201</x:v>
      </x:c>
      <x:c r="K708" t="n">
        <x:v>0</x:v>
      </x:c>
      <x:c r="L708" s="123" t="n">
        <x:v>0.5134733089884193</x:v>
      </x:c>
    </x:row>
    <x:row r="709">
      <x:c r="A709" s="118" t="n">
        <x:v>57.5</x:v>
      </x:c>
      <x:c r="B709" t="str">
        <x:v>complex_with_clutter</x:v>
      </x:c>
      <x:c r="C709" t="str">
        <x:v>VHF_60MHz_shallow</x:v>
      </x:c>
      <x:c r="D709" s="118" t="n">
        <x:v>14602.914420845136</x:v>
      </x:c>
      <x:c r="E709" s="123"/>
      <x:c r="F709" s="123" t="n">
        <x:v>10.447766867437645</x:v>
      </x:c>
      <x:c r="G709" s="123" t="n">
        <x:v>3.7559928707799664</x:v>
      </x:c>
      <x:c r="H709" s="118" t="n">
        <x:v>954.7247642931277</x:v>
      </x:c>
      <x:c r="I709" t="str">
        <x:v>surface clutter in shallow window</x:v>
      </x:c>
      <x:c r="J709" s="118" t="n">
        <x:v>-13648.18965655201</x:v>
      </x:c>
      <x:c r="K709" t="n">
        <x:v>10</x:v>
      </x:c>
      <x:c r="L709" s="123" t="n">
        <x:v>0.5134733089884193</x:v>
      </x:c>
    </x:row>
    <x:row r="710">
      <x:c r="A710" s="118" t="n">
        <x:v>58</x:v>
      </x:c>
      <x:c r="B710" t="str">
        <x:v>stacked_dirty_layers</x:v>
      </x:c>
      <x:c r="C710" t="str">
        <x:v>HF_9MHz_full_depth</x:v>
      </x:c>
      <x:c r="D710" s="118" t="n">
        <x:v>14603.596271830193</x:v>
      </x:c>
      <x:c r="E710" s="123" t="n">
        <x:v>-0.7295952873860071</x:v>
      </x:c>
      <x:c r="F710" s="123" t="n">
        <x:v>11.593831802629172</x:v>
      </x:c>
      <x:c r="G710" s="123" t="n">
        <x:v>-999</x:v>
      </x:c>
      <x:c r="H710" s="118"/>
      <x:c r="I710" t="str">
        <x:v>false layer stronger</x:v>
      </x:c>
      <x:c r="J710" s="118" t="n">
        <x:v>-4214.538991506657</x:v>
      </x:c>
      <x:c r="K710" t="n">
        <x:v>6</x:v>
      </x:c>
      <x:c r="L710" s="123" t="n">
        <x:v>0</x:v>
      </x:c>
    </x:row>
    <x:row r="711">
      <x:c r="A711" s="118" t="n">
        <x:v>58</x:v>
      </x:c>
      <x:c r="B711" t="str">
        <x:v>rough_surface_clutter</x:v>
      </x:c>
      <x:c r="C711" t="str">
        <x:v>VHF_60MHz_shallow</x:v>
      </x:c>
      <x:c r="D711" s="118" t="n">
        <x:v>14603.596271830193</x:v>
      </x:c>
      <x:c r="E711" s="123"/>
      <x:c r="F711" s="123" t="n">
        <x:v>-999</x:v>
      </x:c>
      <x:c r="G711" s="123" t="n">
        <x:v>2.748497655185872</x:v>
      </x:c>
      <x:c r="H711" s="118" t="n">
        <x:v>988.9281105337486</x:v>
      </x:c>
      <x:c r="I711" t="str">
        <x:v>surface clutter in shallow window</x:v>
      </x:c>
      <x:c r="J711" s="118" t="n">
        <x:v>-13614.668161296444</x:v>
      </x:c>
      <x:c r="K711" t="n">
        <x:v>0</x:v>
      </x:c>
      <x:c r="L711" s="123" t="n">
        <x:v>0.5417026411879797</x:v>
      </x:c>
    </x:row>
    <x:row r="712">
      <x:c r="A712" s="118" t="n">
        <x:v>58</x:v>
      </x:c>
      <x:c r="B712" t="str">
        <x:v>complex_with_clutter</x:v>
      </x:c>
      <x:c r="C712" t="str">
        <x:v>VHF_60MHz_shallow</x:v>
      </x:c>
      <x:c r="D712" s="118" t="n">
        <x:v>14603.596271830193</x:v>
      </x:c>
      <x:c r="E712" s="123"/>
      <x:c r="F712" s="123" t="n">
        <x:v>10.415056970527655</x:v>
      </x:c>
      <x:c r="G712" s="123" t="n">
        <x:v>4.2923501825716155</x:v>
      </x:c>
      <x:c r="H712" s="118" t="n">
        <x:v>988.9281105337486</x:v>
      </x:c>
      <x:c r="I712" t="str">
        <x:v>surface clutter in shallow window</x:v>
      </x:c>
      <x:c r="J712" s="118" t="n">
        <x:v>-13614.668161296444</x:v>
      </x:c>
      <x:c r="K712" t="n">
        <x:v>10</x:v>
      </x:c>
      <x:c r="L712" s="123" t="n">
        <x:v>0.5417026411879797</x:v>
      </x:c>
    </x:row>
    <x:row r="713">
      <x:c r="A713" s="118" t="n">
        <x:v>58.5</x:v>
      </x:c>
      <x:c r="B713" t="str">
        <x:v>stacked_dirty_layers</x:v>
      </x:c>
      <x:c r="C713" t="str">
        <x:v>HF_9MHz_full_depth</x:v>
      </x:c>
      <x:c r="D713" s="118" t="n">
        <x:v>14607.412196224737</x:v>
      </x:c>
      <x:c r="E713" s="123" t="n">
        <x:v>-0.6776573704152983</x:v>
      </x:c>
      <x:c r="F713" s="123" t="n">
        <x:v>11.601728351592625</x:v>
      </x:c>
      <x:c r="G713" s="123" t="n">
        <x:v>-999</x:v>
      </x:c>
      <x:c r="H713" s="118"/>
      <x:c r="I713" t="str">
        <x:v>false layer stronger</x:v>
      </x:c>
      <x:c r="J713" s="118" t="n">
        <x:v>-4197.248528188369</x:v>
      </x:c>
      <x:c r="K713" t="n">
        <x:v>6</x:v>
      </x:c>
      <x:c r="L713" s="123" t="n">
        <x:v>0</x:v>
      </x:c>
    </x:row>
    <x:row r="714">
      <x:c r="A714" s="118" t="n">
        <x:v>58.5</x:v>
      </x:c>
      <x:c r="B714" t="str">
        <x:v>rough_surface_clutter</x:v>
      </x:c>
      <x:c r="C714" t="str">
        <x:v>VHF_60MHz_shallow</x:v>
      </x:c>
      <x:c r="D714" s="118" t="n">
        <x:v>14607.412196224737</x:v>
      </x:c>
      <x:c r="E714" s="123"/>
      <x:c r="F714" s="123" t="n">
        <x:v>-999</x:v>
      </x:c>
      <x:c r="G714" s="123" t="n">
        <x:v>1.0716048728793952</x:v>
      </x:c>
      <x:c r="H714" s="118" t="n">
        <x:v>956.5397734124118</x:v>
      </x:c>
      <x:c r="I714" t="str">
        <x:v>surface clutter in shallow window</x:v>
      </x:c>
      <x:c r="J714" s="118" t="n">
        <x:v>-13650.872422812325</x:v>
      </x:c>
      <x:c r="K714" t="n">
        <x:v>0</x:v>
      </x:c>
      <x:c r="L714" s="123" t="n">
        <x:v>0.437870270766526</x:v>
      </x:c>
    </x:row>
    <x:row r="715">
      <x:c r="A715" s="118" t="n">
        <x:v>58.5</x:v>
      </x:c>
      <x:c r="B715" t="str">
        <x:v>complex_with_clutter</x:v>
      </x:c>
      <x:c r="C715" t="str">
        <x:v>VHF_60MHz_shallow</x:v>
      </x:c>
      <x:c r="D715" s="118" t="n">
        <x:v>14607.412196224737</x:v>
      </x:c>
      <x:c r="E715" s="123"/>
      <x:c r="F715" s="123" t="n">
        <x:v>10.48781935569681</x:v>
      </x:c>
      <x:c r="G715" s="123" t="n">
        <x:v>2.3195351445639947</x:v>
      </x:c>
      <x:c r="H715" s="118" t="n">
        <x:v>956.5397734124118</x:v>
      </x:c>
      <x:c r="I715" t="str">
        <x:v>surface clutter in shallow window</x:v>
      </x:c>
      <x:c r="J715" s="118" t="n">
        <x:v>-13650.872422812325</x:v>
      </x:c>
      <x:c r="K715" t="n">
        <x:v>10</x:v>
      </x:c>
      <x:c r="L715" s="123" t="n">
        <x:v>0.437870270766526</x:v>
      </x:c>
    </x:row>
    <x:row r="716">
      <x:c r="A716" s="118" t="n">
        <x:v>59</x:v>
      </x:c>
      <x:c r="B716" t="str">
        <x:v>stacked_dirty_layers</x:v>
      </x:c>
      <x:c r="C716" t="str">
        <x:v>HF_9MHz_full_depth</x:v>
      </x:c>
      <x:c r="D716" s="118" t="n">
        <x:v>14609.562196914056</x:v>
      </x:c>
      <x:c r="E716" s="123" t="n">
        <x:v>-0.7026672067822899</x:v>
      </x:c>
      <x:c r="F716" s="123" t="n">
        <x:v>11.530250223640301</x:v>
      </x:c>
      <x:c r="G716" s="123" t="n">
        <x:v>-999</x:v>
      </x:c>
      <x:c r="H716" s="118"/>
      <x:c r="I716" t="str">
        <x:v>false layer stronger</x:v>
      </x:c>
      <x:c r="J716" s="118" t="n">
        <x:v>-4179.103534941189</x:v>
      </x:c>
      <x:c r="K716" t="n">
        <x:v>6</x:v>
      </x:c>
      <x:c r="L716" s="123" t="n">
        <x:v>0</x:v>
      </x:c>
    </x:row>
    <x:row r="717">
      <x:c r="A717" s="118" t="n">
        <x:v>59</x:v>
      </x:c>
      <x:c r="B717" t="str">
        <x:v>rough_surface_clutter</x:v>
      </x:c>
      <x:c r="C717" t="str">
        <x:v>VHF_60MHz_shallow</x:v>
      </x:c>
      <x:c r="D717" s="118" t="n">
        <x:v>14609.562196914056</x:v>
      </x:c>
      <x:c r="E717" s="123"/>
      <x:c r="F717" s="123" t="n">
        <x:v>-999</x:v>
      </x:c>
      <x:c r="G717" s="123" t="n">
        <x:v>3.900870217890601</x:v>
      </x:c>
      <x:c r="H717" s="118" t="n">
        <x:v>1068.4142868877184</x:v>
      </x:c>
      <x:c r="I717" t="str">
        <x:v>surface clutter in shallow window</x:v>
      </x:c>
      <x:c r="J717" s="118" t="n">
        <x:v>-13541.147910026337</x:v>
      </x:c>
      <x:c r="K717" t="n">
        <x:v>0</x:v>
      </x:c>
      <x:c r="L717" s="123" t="n">
        <x:v>0.6130569794359505</x:v>
      </x:c>
    </x:row>
    <x:row r="718">
      <x:c r="A718" s="118" t="n">
        <x:v>59</x:v>
      </x:c>
      <x:c r="B718" t="str">
        <x:v>complex_with_clutter</x:v>
      </x:c>
      <x:c r="C718" t="str">
        <x:v>VHF_60MHz_shallow</x:v>
      </x:c>
      <x:c r="D718" s="118" t="n">
        <x:v>14609.562196914056</x:v>
      </x:c>
      <x:c r="E718" s="123"/>
      <x:c r="F718" s="123" t="n">
        <x:v>10.33721718513839</x:v>
      </x:c>
      <x:c r="G718" s="123" t="n">
        <x:v>5.64808260928306</x:v>
      </x:c>
      <x:c r="H718" s="118" t="n">
        <x:v>1068.4142868877184</x:v>
      </x:c>
      <x:c r="I718" t="str">
        <x:v>surface clutter in shallow window</x:v>
      </x:c>
      <x:c r="J718" s="118" t="n">
        <x:v>-13541.147910026337</x:v>
      </x:c>
      <x:c r="K718" t="n">
        <x:v>10</x:v>
      </x:c>
      <x:c r="L718" s="123" t="n">
        <x:v>0.6130569794359505</x:v>
      </x:c>
    </x:row>
    <x:row r="719">
      <x:c r="A719" s="118" t="n">
        <x:v>59.5</x:v>
      </x:c>
      <x:c r="B719" t="str">
        <x:v>stacked_dirty_layers</x:v>
      </x:c>
      <x:c r="C719" t="str">
        <x:v>HF_9MHz_full_depth</x:v>
      </x:c>
      <x:c r="D719" s="118" t="n">
        <x:v>14615.862307364549</x:v>
      </x:c>
      <x:c r="E719" s="123" t="n">
        <x:v>-0.6646809570083848</x:v>
      </x:c>
      <x:c r="F719" s="123" t="n">
        <x:v>11.523566864656027</x:v>
      </x:c>
      <x:c r="G719" s="123" t="n">
        <x:v>-999</x:v>
      </x:c>
      <x:c r="H719" s="118"/>
      <x:c r="I719" t="str">
        <x:v>false layer stronger</x:v>
      </x:c>
      <x:c r="J719" s="118" t="n">
        <x:v>-4161.841413150703</x:v>
      </x:c>
      <x:c r="K719" t="n">
        <x:v>6</x:v>
      </x:c>
      <x:c r="L719" s="123" t="n">
        <x:v>0</x:v>
      </x:c>
    </x:row>
    <x:row r="720">
      <x:c r="A720" s="118" t="n">
        <x:v>59.5</x:v>
      </x:c>
      <x:c r="B720" t="str">
        <x:v>rough_surface_clutter</x:v>
      </x:c>
      <x:c r="C720" t="str">
        <x:v>VHF_60MHz_shallow</x:v>
      </x:c>
      <x:c r="D720" s="118" t="n">
        <x:v>14615.862307364549</x:v>
      </x:c>
      <x:c r="E720" s="123"/>
      <x:c r="F720" s="123" t="n">
        <x:v>-999</x:v>
      </x:c>
      <x:c r="G720" s="123" t="n">
        <x:v>2.9208350297885826</x:v>
      </x:c>
      <x:c r="H720" s="118" t="n">
        <x:v>1060.3820322001832</x:v>
      </x:c>
      <x:c r="I720" t="str">
        <x:v>surface clutter in shallow window</x:v>
      </x:c>
      <x:c r="J720" s="118" t="n">
        <x:v>-13555.480275164366</x:v>
      </x:c>
      <x:c r="K720" t="n">
        <x:v>0</x:v>
      </x:c>
      <x:c r="L720" s="123" t="n">
        <x:v>0.5523736860550206</x:v>
      </x:c>
    </x:row>
    <x:row r="721">
      <x:c r="A721" s="118" t="n">
        <x:v>59.5</x:v>
      </x:c>
      <x:c r="B721" t="str">
        <x:v>complex_with_clutter</x:v>
      </x:c>
      <x:c r="C721" t="str">
        <x:v>VHF_60MHz_shallow</x:v>
      </x:c>
      <x:c r="D721" s="118" t="n">
        <x:v>14615.862307364549</x:v>
      </x:c>
      <x:c r="E721" s="123"/>
      <x:c r="F721" s="123" t="n">
        <x:v>10.375189670462518</x:v>
      </x:c>
      <x:c r="G721" s="123" t="n">
        <x:v>4.495100035045391</x:v>
      </x:c>
      <x:c r="H721" s="118" t="n">
        <x:v>1060.3820322001832</x:v>
      </x:c>
      <x:c r="I721" t="str">
        <x:v>surface clutter in shallow window</x:v>
      </x:c>
      <x:c r="J721" s="118" t="n">
        <x:v>-13555.480275164366</x:v>
      </x:c>
      <x:c r="K721" t="n">
        <x:v>10</x:v>
      </x:c>
      <x:c r="L721" s="123" t="n">
        <x:v>0.5523736860550206</x:v>
      </x:c>
    </x:row>
    <x:row r="722">
      <x:c r="A722" s="118" t="n">
        <x:v>60</x:v>
      </x:c>
      <x:c r="B722" t="str">
        <x:v>stacked_dirty_layers</x:v>
      </x:c>
      <x:c r="C722" t="str">
        <x:v>HF_9MHz_full_depth</x:v>
      </x:c>
      <x:c r="D722" s="118" t="n">
        <x:v>14617.138727886955</x:v>
      </x:c>
      <x:c r="E722" s="123" t="n">
        <x:v>-0.652425251303135</x:v>
      </x:c>
      <x:c r="F722" s="123" t="n">
        <x:v>11.486542092429078</x:v>
      </x:c>
      <x:c r="G722" s="123" t="n">
        <x:v>-999</x:v>
      </x:c>
      <x:c r="H722" s="118"/>
      <x:c r="I722" t="str">
        <x:v>false layer stronger</x:v>
      </x:c>
      <x:c r="J722" s="118" t="n">
        <x:v>-4142.8061436710705</x:v>
      </x:c>
      <x:c r="K722" t="n">
        <x:v>6</x:v>
      </x:c>
      <x:c r="L722" s="123" t="n">
        <x:v>0</x:v>
      </x:c>
    </x:row>
    <x:row r="723">
      <x:c r="A723" s="118" t="n">
        <x:v>60</x:v>
      </x:c>
      <x:c r="B723" t="str">
        <x:v>rough_surface_clutter</x:v>
      </x:c>
      <x:c r="C723" t="str">
        <x:v>VHF_60MHz_shallow</x:v>
      </x:c>
      <x:c r="D723" s="118" t="n">
        <x:v>14617.138727886955</x:v>
      </x:c>
      <x:c r="E723" s="123"/>
      <x:c r="F723" s="123" t="n">
        <x:v>-999</x:v>
      </x:c>
      <x:c r="G723" s="123" t="n">
        <x:v>3.7721305219501744</x:v>
      </x:c>
      <x:c r="H723" s="118" t="n">
        <x:v>1111.5829127773645</x:v>
      </x:c>
      <x:c r="I723" t="str">
        <x:v>surface clutter in shallow window</x:v>
      </x:c>
      <x:c r="J723" s="118" t="n">
        <x:v>-13505.55581510959</x:v>
      </x:c>
      <x:c r="K723" t="n">
        <x:v>0</x:v>
      </x:c>
      <x:c r="L723" s="123" t="n">
        <x:v>0.6050854812353049</x:v>
      </x:c>
    </x:row>
    <x:row r="724">
      <x:c r="A724" s="118" t="n">
        <x:v>60</x:v>
      </x:c>
      <x:c r="B724" t="str">
        <x:v>complex_with_clutter</x:v>
      </x:c>
      <x:c r="C724" t="str">
        <x:v>VHF_60MHz_shallow</x:v>
      </x:c>
      <x:c r="D724" s="118" t="n">
        <x:v>14617.138727886955</x:v>
      </x:c>
      <x:c r="E724" s="123"/>
      <x:c r="F724" s="123" t="n">
        <x:v>10.322352754555219</x:v>
      </x:c>
      <x:c r="G724" s="123" t="n">
        <x:v>5.496624143470793</x:v>
      </x:c>
      <x:c r="H724" s="118" t="n">
        <x:v>1111.5829127773645</x:v>
      </x:c>
      <x:c r="I724" t="str">
        <x:v>surface clutter in shallow window</x:v>
      </x:c>
      <x:c r="J724" s="118" t="n">
        <x:v>-13505.55581510959</x:v>
      </x:c>
      <x:c r="K724" t="n">
        <x:v>9</x:v>
      </x:c>
      <x:c r="L724" s="123" t="n">
        <x:v>0.6050854812353049</x:v>
      </x:c>
    </x:row>
  </x:sheetData>
  <x:pageMargins left="0.7" right="0.7" top="0.75" bottom="0.75" header="0.3" footer="0.3"/>
  <x:tableParts count="1">
    <x:tablePart xmlns:r="http://schemas.openxmlformats.org/officeDocument/2006/relationships" r:id="R1881680f76c8437c"/>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0" hidden="0" customWidth="1"/>
    <x:col min="2" max="2" width="16.8799991607666" hidden="0" customWidth="1"/>
    <x:col min="3" max="3" width="21.25" hidden="0" customWidth="1"/>
    <x:col min="4" max="4" width="15" hidden="0" customWidth="1"/>
    <x:col min="5" max="5" width="16.8799991607666" hidden="0" customWidth="1"/>
    <x:col min="6" max="6" width="18.75" hidden="0" customWidth="1"/>
    <x:col min="7" max="7" width="18.75" hidden="0" customWidth="1"/>
    <x:col min="8" max="8" width="3" hidden="0" customWidth="1"/>
    <x:col min="9" max="9" width="20" hidden="0" customWidth="1"/>
    <x:col min="10" max="10" width="15" hidden="0" customWidth="1"/>
    <x:col min="11" max="11" width="15" hidden="0" customWidth="1"/>
    <x:col min="12" max="12" width="18.75" hidden="0" customWidth="1"/>
    <x:col min="13" max="13" width="21.25" hidden="0" customWidth="1"/>
  </x:cols>
  <x:sheetData>
    <x:row r="1" ht="21" customHeight="1">
      <x:c r="A1" s="125" t="str">
        <x:v>V2 Attenuation And Clutter Sensitivity</x:v>
      </x:c>
      <x:c r="B1" s="125" t="str">
        <x:v>V2 Attenuation And Clutter Sensitivity</x:v>
      </x:c>
      <x:c r="C1" s="125" t="str">
        <x:v>V2 Attenuation And Clutter Sensitivity</x:v>
      </x:c>
      <x:c r="D1" s="125" t="str">
        <x:v>V2 Attenuation And Clutter Sensitivity</x:v>
      </x:c>
      <x:c r="E1" s="125" t="str">
        <x:v>V2 Attenuation And Clutter Sensitivity</x:v>
      </x:c>
      <x:c r="F1" s="125" t="str">
        <x:v>V2 Attenuation And Clutter Sensitivity</x:v>
      </x:c>
      <x:c r="G1" s="125" t="str">
        <x:v>V2 Attenuation And Clutter Sensitivity</x:v>
      </x:c>
      <x:c r="H1" s="125" t="str">
        <x:v>V2 Attenuation And Clutter Sensitivity</x:v>
      </x:c>
      <x:c r="I1" s="125" t="str">
        <x:v>V2 Attenuation And Clutter Sensitivity</x:v>
      </x:c>
      <x:c r="J1" s="125" t="str">
        <x:v>V2 Attenuation And Clutter Sensitivity</x:v>
      </x:c>
      <x:c r="K1" s="125" t="str">
        <x:v>V2 Attenuation And Clutter Sensitivity</x:v>
      </x:c>
      <x:c r="L1" s="125" t="str">
        <x:v>V2 Attenuation And Clutter Sensitivity</x:v>
      </x:c>
      <x:c r="M1" s="125" t="str">
        <x:v>V2 Attenuation And Clutter Sensitivity</x:v>
      </x:c>
      <x:c r="N1" s="125" t="str">
        <x:v>V2 Attenuation And Clutter Sensitivity</x:v>
      </x:c>
    </x:row>
    <x:row r="2" ht="31.5" customHeight="1">
      <x:c r="A2" s="128" t="str">
        <x:v>Attenuation grid is for dirty-layer false-risk; clutter summary is for VHF shallow-window ambiguity.</x:v>
      </x:c>
      <x:c r="B2" s="128" t="str">
        <x:v>Attenuation grid is for dirty-layer false-risk; clutter summary is for VHF shallow-window ambiguity.</x:v>
      </x:c>
      <x:c r="C2" s="128" t="str">
        <x:v>Attenuation grid is for dirty-layer false-risk; clutter summary is for VHF shallow-window ambiguity.</x:v>
      </x:c>
      <x:c r="D2" s="128" t="str">
        <x:v>Attenuation grid is for dirty-layer false-risk; clutter summary is for VHF shallow-window ambiguity.</x:v>
      </x:c>
      <x:c r="E2" s="128" t="str">
        <x:v>Attenuation grid is for dirty-layer false-risk; clutter summary is for VHF shallow-window ambiguity.</x:v>
      </x:c>
      <x:c r="F2" s="128" t="str">
        <x:v>Attenuation grid is for dirty-layer false-risk; clutter summary is for VHF shallow-window ambiguity.</x:v>
      </x:c>
      <x:c r="G2" s="128" t="str">
        <x:v>Attenuation grid is for dirty-layer false-risk; clutter summary is for VHF shallow-window ambiguity.</x:v>
      </x:c>
      <x:c r="H2" s="128" t="str">
        <x:v>Attenuation grid is for dirty-layer false-risk; clutter summary is for VHF shallow-window ambiguity.</x:v>
      </x:c>
      <x:c r="I2" s="128" t="str">
        <x:v>Attenuation grid is for dirty-layer false-risk; clutter summary is for VHF shallow-window ambiguity.</x:v>
      </x:c>
      <x:c r="J2" s="128" t="str">
        <x:v>Attenuation grid is for dirty-layer false-risk; clutter summary is for VHF shallow-window ambiguity.</x:v>
      </x:c>
      <x:c r="K2" s="128" t="str">
        <x:v>Attenuation grid is for dirty-layer false-risk; clutter summary is for VHF shallow-window ambiguity.</x:v>
      </x:c>
      <x:c r="L2" s="128" t="str">
        <x:v>Attenuation grid is for dirty-layer false-risk; clutter summary is for VHF shallow-window ambiguity.</x:v>
      </x:c>
      <x:c r="M2" s="128" t="str">
        <x:v>Attenuation grid is for dirty-layer false-risk; clutter summary is for VHF shallow-window ambiguity.</x:v>
      </x:c>
      <x:c r="N2" s="128" t="str">
        <x:v>Attenuation grid is for dirty-layer false-risk; clutter summary is for VHF shallow-window ambiguity.</x:v>
      </x:c>
    </x:row>
    <x:row r="5">
      <x:c r="A5" s="122" t="str">
        <x:v>eps</x:v>
      </x:c>
      <x:c r="B5" s="122" t="str">
        <x:v>dirty_layer_thickness_m</x:v>
      </x:c>
      <x:c r="C5" s="122" t="str">
        <x:v>dirty_layer_attenuation_db_km_hf</x:v>
      </x:c>
      <x:c r="D5" s="122" t="str">
        <x:v>deep_false_risk_pct</x:v>
      </x:c>
      <x:c r="E5" s="122" t="str">
        <x:v>weak_or_hidden_ocean_pct</x:v>
      </x:c>
      <x:c r="F5" s="122" t="str">
        <x:v>median_ocean_snr_margin_db</x:v>
      </x:c>
      <x:c r="G5" s="122" t="str">
        <x:v>median_false_minus_ocean_db</x:v>
      </x:c>
      <x:c r="I5" s="132" t="str">
        <x:v>scenario</x:v>
      </x:c>
      <x:c r="J5" s="132" t="str">
        <x:v>surface_clutter_pct</x:v>
      </x:c>
      <x:c r="K5" s="132" t="str">
        <x:v>internal_feature_only_pct</x:v>
      </x:c>
      <x:c r="L5" s="132" t="str">
        <x:v>outside_band_depth_window_pct</x:v>
      </x:c>
      <x:c r="M5" s="132" t="str">
        <x:v>median_surface_clutter_snr_margin_db</x:v>
      </x:c>
    </x:row>
    <x:row r="6">
      <x:c r="A6" t="n">
        <x:v>5</x:v>
      </x:c>
      <x:c r="B6" t="n">
        <x:v>0.5</x:v>
      </x:c>
      <x:c r="C6" s="118" t="n">
        <x:v>0.5</x:v>
      </x:c>
      <x:c r="D6" s="118" t="n">
        <x:v>0</x:v>
      </x:c>
      <x:c r="E6" s="118" t="n">
        <x:v>0</x:v>
      </x:c>
      <x:c r="F6" s="118" t="n">
        <x:v>2.6608063559204966</x:v>
      </x:c>
      <x:c r="G6" s="118" t="n">
        <x:v>-12.35455311219948</x:v>
      </x:c>
      <x:c r="I6" t="str">
        <x:v>Clean ice</x:v>
      </x:c>
      <x:c r="J6" s="118" t="n">
        <x:v>0</x:v>
      </x:c>
      <x:c r="K6" s="118" t="n">
        <x:v>0</x:v>
      </x:c>
      <x:c r="L6" s="118" t="n">
        <x:v>100</x:v>
      </x:c>
      <x:c r="M6" s="118"/>
    </x:row>
    <x:row r="7">
      <x:c r="A7" t="n">
        <x:v>5</x:v>
      </x:c>
      <x:c r="B7" t="n">
        <x:v>0.5</x:v>
      </x:c>
      <x:c r="C7" s="118" t="n">
        <x:v>1</x:v>
      </x:c>
      <x:c r="D7" s="118" t="n">
        <x:v>0</x:v>
      </x:c>
      <x:c r="E7" s="118" t="n">
        <x:v>0</x:v>
      </x:c>
      <x:c r="F7" s="118" t="n">
        <x:v>2.6604073783161093</x:v>
      </x:c>
      <x:c r="G7" s="118" t="n">
        <x:v>-12.354065956475932</x:v>
      </x:c>
      <x:c r="I7" t="str">
        <x:v>Rough surface clutter</x:v>
      </x:c>
      <x:c r="J7" s="118" t="n">
        <x:v>98.7551867219917</x:v>
      </x:c>
      <x:c r="K7" s="118" t="n">
        <x:v>0</x:v>
      </x:c>
      <x:c r="L7" s="118" t="n">
        <x:v>1.2448132780082988</x:v>
      </x:c>
      <x:c r="M7" s="118" t="n">
        <x:v>4.915989532084328</x:v>
      </x:c>
    </x:row>
    <x:row r="8">
      <x:c r="A8" t="n">
        <x:v>5</x:v>
      </x:c>
      <x:c r="B8" t="n">
        <x:v>0.5</x:v>
      </x:c>
      <x:c r="C8" s="118" t="n">
        <x:v>2</x:v>
      </x:c>
      <x:c r="D8" s="118" t="n">
        <x:v>0</x:v>
      </x:c>
      <x:c r="E8" s="118" t="n">
        <x:v>0</x:v>
      </x:c>
      <x:c r="F8" s="118" t="n">
        <x:v>2.659407378316108</x:v>
      </x:c>
      <x:c r="G8" s="118" t="n">
        <x:v>-12.35306595647593</x:v>
      </x:c>
      <x:c r="I8" t="str">
        <x:v>Complex dirty ice</x:v>
      </x:c>
      <x:c r="J8" s="118" t="n">
        <x:v>0</x:v>
      </x:c>
      <x:c r="K8" s="118" t="n">
        <x:v>98.7551867219917</x:v>
      </x:c>
      <x:c r="L8" s="118" t="n">
        <x:v>1.2448132780082988</x:v>
      </x:c>
      <x:c r="M8" s="118"/>
    </x:row>
    <x:row r="9">
      <x:c r="A9" t="n">
        <x:v>5</x:v>
      </x:c>
      <x:c r="B9" t="n">
        <x:v>0.5</x:v>
      </x:c>
      <x:c r="C9" s="118" t="n">
        <x:v>4</x:v>
      </x:c>
      <x:c r="D9" s="118" t="n">
        <x:v>0</x:v>
      </x:c>
      <x:c r="E9" s="118" t="n">
        <x:v>0</x:v>
      </x:c>
      <x:c r="F9" s="118" t="n">
        <x:v>2.657407378316109</x:v>
      </x:c>
      <x:c r="G9" s="118" t="n">
        <x:v>-12.351065956475932</x:v>
      </x:c>
      <x:c r="I9" t="str">
        <x:v>Complex + clutter</x:v>
      </x:c>
      <x:c r="J9" s="118" t="n">
        <x:v>100</x:v>
      </x:c>
      <x:c r="K9" s="118" t="n">
        <x:v>0</x:v>
      </x:c>
      <x:c r="L9" s="118" t="n">
        <x:v>0</x:v>
      </x:c>
      <x:c r="M9" s="118" t="n">
        <x:v>6.842340625981564</x:v>
      </x:c>
    </x:row>
    <x:row r="10">
      <x:c r="A10" t="n">
        <x:v>5</x:v>
      </x:c>
      <x:c r="B10" t="n">
        <x:v>0.5</x:v>
      </x:c>
      <x:c r="C10" s="118" t="n">
        <x:v>6</x:v>
      </x:c>
      <x:c r="D10" s="118" t="n">
        <x:v>0</x:v>
      </x:c>
      <x:c r="E10" s="118" t="n">
        <x:v>0</x:v>
      </x:c>
      <x:c r="F10" s="118" t="n">
        <x:v>2.6554073783161067</x:v>
      </x:c>
      <x:c r="G10" s="118" t="n">
        <x:v>-12.349065956475929</x:v>
      </x:c>
    </x:row>
    <x:row r="11">
      <x:c r="A11" t="n">
        <x:v>5</x:v>
      </x:c>
      <x:c r="B11" t="n">
        <x:v>0.5</x:v>
      </x:c>
      <x:c r="C11" s="118" t="n">
        <x:v>10</x:v>
      </x:c>
      <x:c r="D11" s="118" t="n">
        <x:v>0</x:v>
      </x:c>
      <x:c r="E11" s="118" t="n">
        <x:v>0</x:v>
      </x:c>
      <x:c r="F11" s="118" t="n">
        <x:v>2.651407378316109</x:v>
      </x:c>
      <x:c r="G11" s="118" t="n">
        <x:v>-12.345065956475931</x:v>
      </x:c>
    </x:row>
    <x:row r="12">
      <x:c r="A12" t="n">
        <x:v>5</x:v>
      </x:c>
      <x:c r="B12" t="n">
        <x:v>0.5</x:v>
      </x:c>
      <x:c r="C12" s="118" t="n">
        <x:v>16</x:v>
      </x:c>
      <x:c r="D12" s="118" t="n">
        <x:v>0</x:v>
      </x:c>
      <x:c r="E12" s="118" t="n">
        <x:v>0</x:v>
      </x:c>
      <x:c r="F12" s="118" t="n">
        <x:v>2.6454073783161087</x:v>
      </x:c>
      <x:c r="G12" s="118" t="n">
        <x:v>-12.339065956475931</x:v>
      </x:c>
    </x:row>
    <x:row r="13">
      <x:c r="A13" t="n">
        <x:v>5</x:v>
      </x:c>
      <x:c r="B13" t="n">
        <x:v>0.5</x:v>
      </x:c>
      <x:c r="C13" s="118" t="n">
        <x:v>24</x:v>
      </x:c>
      <x:c r="D13" s="118" t="n">
        <x:v>0</x:v>
      </x:c>
      <x:c r="E13" s="118" t="n">
        <x:v>0</x:v>
      </x:c>
      <x:c r="F13" s="118" t="n">
        <x:v>2.637407378316106</x:v>
      </x:c>
      <x:c r="G13" s="118" t="n">
        <x:v>-12.331065956475928</x:v>
      </x:c>
    </x:row>
    <x:row r="14">
      <x:c r="A14" t="n">
        <x:v>5</x:v>
      </x:c>
      <x:c r="B14" t="n">
        <x:v>1</x:v>
      </x:c>
      <x:c r="C14" s="118" t="n">
        <x:v>0.5</x:v>
      </x:c>
      <x:c r="D14" s="118" t="n">
        <x:v>0</x:v>
      </x:c>
      <x:c r="E14" s="118" t="n">
        <x:v>0</x:v>
      </x:c>
      <x:c r="F14" s="118" t="n">
        <x:v>2.6608063559204966</x:v>
      </x:c>
      <x:c r="G14" s="118" t="n">
        <x:v>-6.557589885067603</x:v>
      </x:c>
    </x:row>
    <x:row r="15">
      <x:c r="A15" t="n">
        <x:v>5</x:v>
      </x:c>
      <x:c r="B15" t="n">
        <x:v>1</x:v>
      </x:c>
      <x:c r="C15" s="118" t="n">
        <x:v>1</x:v>
      </x:c>
      <x:c r="D15" s="118" t="n">
        <x:v>0</x:v>
      </x:c>
      <x:c r="E15" s="118" t="n">
        <x:v>0</x:v>
      </x:c>
      <x:c r="F15" s="118" t="n">
        <x:v>2.660008544477347</x:v>
      </x:c>
      <x:c r="G15" s="118" t="n">
        <x:v>-6.556615697595451</x:v>
      </x:c>
    </x:row>
    <x:row r="16">
      <x:c r="A16" t="n">
        <x:v>5</x:v>
      </x:c>
      <x:c r="B16" t="n">
        <x:v>1</x:v>
      </x:c>
      <x:c r="C16" s="118" t="n">
        <x:v>2</x:v>
      </x:c>
      <x:c r="D16" s="118" t="n">
        <x:v>0</x:v>
      </x:c>
      <x:c r="E16" s="118" t="n">
        <x:v>0</x:v>
      </x:c>
      <x:c r="F16" s="118" t="n">
        <x:v>2.6580085444773482</x:v>
      </x:c>
      <x:c r="G16" s="118" t="n">
        <x:v>-6.554615697595452</x:v>
      </x:c>
    </x:row>
    <x:row r="17">
      <x:c r="A17" t="n">
        <x:v>5</x:v>
      </x:c>
      <x:c r="B17" t="n">
        <x:v>1</x:v>
      </x:c>
      <x:c r="C17" s="118" t="n">
        <x:v>4</x:v>
      </x:c>
      <x:c r="D17" s="118" t="n">
        <x:v>0</x:v>
      </x:c>
      <x:c r="E17" s="118" t="n">
        <x:v>0</x:v>
      </x:c>
      <x:c r="F17" s="118" t="n">
        <x:v>2.654008544477347</x:v>
      </x:c>
      <x:c r="G17" s="118" t="n">
        <x:v>-6.55061569759545</x:v>
      </x:c>
    </x:row>
    <x:row r="18">
      <x:c r="A18" t="n">
        <x:v>5</x:v>
      </x:c>
      <x:c r="B18" t="n">
        <x:v>1</x:v>
      </x:c>
      <x:c r="C18" s="118" t="n">
        <x:v>6</x:v>
      </x:c>
      <x:c r="D18" s="118" t="n">
        <x:v>0</x:v>
      </x:c>
      <x:c r="E18" s="118" t="n">
        <x:v>0</x:v>
      </x:c>
      <x:c r="F18" s="118" t="n">
        <x:v>2.650008544477349</x:v>
      </x:c>
      <x:c r="G18" s="118" t="n">
        <x:v>-6.546615697595453</x:v>
      </x:c>
    </x:row>
    <x:row r="19">
      <x:c r="A19" t="n">
        <x:v>5</x:v>
      </x:c>
      <x:c r="B19" t="n">
        <x:v>1</x:v>
      </x:c>
      <x:c r="C19" s="118" t="n">
        <x:v>10</x:v>
      </x:c>
      <x:c r="D19" s="118" t="n">
        <x:v>0</x:v>
      </x:c>
      <x:c r="E19" s="118" t="n">
        <x:v>0</x:v>
      </x:c>
      <x:c r="F19" s="118" t="n">
        <x:v>2.6420085444773465</x:v>
      </x:c>
      <x:c r="G19" s="118" t="n">
        <x:v>-6.53861569759545</x:v>
      </x:c>
    </x:row>
    <x:row r="20">
      <x:c r="A20" t="n">
        <x:v>5</x:v>
      </x:c>
      <x:c r="B20" t="n">
        <x:v>1</x:v>
      </x:c>
      <x:c r="C20" s="118" t="n">
        <x:v>16</x:v>
      </x:c>
      <x:c r="D20" s="118" t="n">
        <x:v>0</x:v>
      </x:c>
      <x:c r="E20" s="118" t="n">
        <x:v>0</x:v>
      </x:c>
      <x:c r="F20" s="118" t="n">
        <x:v>2.630008544477346</x:v>
      </x:c>
      <x:c r="G20" s="118" t="n">
        <x:v>-6.526615697595453</x:v>
      </x:c>
    </x:row>
    <x:row r="21">
      <x:c r="A21" t="n">
        <x:v>5</x:v>
      </x:c>
      <x:c r="B21" t="n">
        <x:v>1</x:v>
      </x:c>
      <x:c r="C21" s="118" t="n">
        <x:v>24</x:v>
      </x:c>
      <x:c r="D21" s="118" t="n">
        <x:v>0</x:v>
      </x:c>
      <x:c r="E21" s="118" t="n">
        <x:v>0</x:v>
      </x:c>
      <x:c r="F21" s="118" t="n">
        <x:v>2.6140085444773478</x:v>
      </x:c>
      <x:c r="G21" s="118" t="n">
        <x:v>-6.510615697595451</x:v>
      </x:c>
    </x:row>
    <x:row r="22">
      <x:c r="A22" t="n">
        <x:v>5</x:v>
      </x:c>
      <x:c r="B22" t="n">
        <x:v>5</x:v>
      </x:c>
      <x:c r="C22" s="118" t="n">
        <x:v>0.5</x:v>
      </x:c>
      <x:c r="D22" s="118" t="n">
        <x:v>100</x:v>
      </x:c>
      <x:c r="E22" s="118" t="n">
        <x:v>0</x:v>
      </x:c>
      <x:c r="F22" s="118" t="n">
        <x:v>2.6608063559204966</x:v>
      </x:c>
      <x:c r="G22" s="118" t="n">
        <x:v>-0.25481698032491273</x:v>
      </x:c>
    </x:row>
    <x:row r="23">
      <x:c r="A23" t="n">
        <x:v>5</x:v>
      </x:c>
      <x:c r="B23" t="n">
        <x:v>5</x:v>
      </x:c>
      <x:c r="C23" s="118" t="n">
        <x:v>1</x:v>
      </x:c>
      <x:c r="D23" s="118" t="n">
        <x:v>100</x:v>
      </x:c>
      <x:c r="E23" s="118" t="n">
        <x:v>0</x:v>
      </x:c>
      <x:c r="F23" s="118" t="n">
        <x:v>2.6568230519149028</x:v>
      </x:c>
      <x:c r="G23" s="118" t="n">
        <x:v>-0.2499510053147258</x:v>
      </x:c>
    </x:row>
    <x:row r="24">
      <x:c r="A24" t="n">
        <x:v>5</x:v>
      </x:c>
      <x:c r="B24" t="n">
        <x:v>5</x:v>
      </x:c>
      <x:c r="C24" s="118" t="n">
        <x:v>2</x:v>
      </x:c>
      <x:c r="D24" s="118" t="n">
        <x:v>100</x:v>
      </x:c>
      <x:c r="E24" s="118" t="n">
        <x:v>0</x:v>
      </x:c>
      <x:c r="F24" s="118" t="n">
        <x:v>2.646823051914901</x:v>
      </x:c>
      <x:c r="G24" s="118" t="n">
        <x:v>-0.23995100531472424</x:v>
      </x:c>
    </x:row>
    <x:row r="25">
      <x:c r="A25" t="n">
        <x:v>5</x:v>
      </x:c>
      <x:c r="B25" t="n">
        <x:v>5</x:v>
      </x:c>
      <x:c r="C25" s="118" t="n">
        <x:v>4</x:v>
      </x:c>
      <x:c r="D25" s="118" t="n">
        <x:v>100</x:v>
      </x:c>
      <x:c r="E25" s="118" t="n">
        <x:v>0</x:v>
      </x:c>
      <x:c r="F25" s="118" t="n">
        <x:v>2.6268230519149016</x:v>
      </x:c>
      <x:c r="G25" s="118" t="n">
        <x:v>-0.21995100531472467</x:v>
      </x:c>
    </x:row>
    <x:row r="26">
      <x:c r="A26" t="n">
        <x:v>5</x:v>
      </x:c>
      <x:c r="B26" t="n">
        <x:v>5</x:v>
      </x:c>
      <x:c r="C26" s="118" t="n">
        <x:v>6</x:v>
      </x:c>
      <x:c r="D26" s="118" t="n">
        <x:v>100</x:v>
      </x:c>
      <x:c r="E26" s="118" t="n">
        <x:v>0</x:v>
      </x:c>
      <x:c r="F26" s="118" t="n">
        <x:v>2.606823051914902</x:v>
      </x:c>
      <x:c r="G26" s="118" t="n">
        <x:v>-0.1999510053147251</x:v>
      </x:c>
    </x:row>
    <x:row r="27">
      <x:c r="A27" t="n">
        <x:v>5</x:v>
      </x:c>
      <x:c r="B27" t="n">
        <x:v>5</x:v>
      </x:c>
      <x:c r="C27" s="118" t="n">
        <x:v>10</x:v>
      </x:c>
      <x:c r="D27" s="118" t="n">
        <x:v>100</x:v>
      </x:c>
      <x:c r="E27" s="118" t="n">
        <x:v>0</x:v>
      </x:c>
      <x:c r="F27" s="118" t="n">
        <x:v>2.566823051914903</x:v>
      </x:c>
      <x:c r="G27" s="118" t="n">
        <x:v>-0.15995100531472595</x:v>
      </x:c>
    </x:row>
    <x:row r="28">
      <x:c r="A28" t="n">
        <x:v>5</x:v>
      </x:c>
      <x:c r="B28" t="n">
        <x:v>5</x:v>
      </x:c>
      <x:c r="C28" s="118" t="n">
        <x:v>16</x:v>
      </x:c>
      <x:c r="D28" s="118" t="n">
        <x:v>100</x:v>
      </x:c>
      <x:c r="E28" s="118" t="n">
        <x:v>0</x:v>
      </x:c>
      <x:c r="F28" s="118" t="n">
        <x:v>2.5068230519149006</x:v>
      </x:c>
      <x:c r="G28" s="118" t="n">
        <x:v>-0.09995100531472367</x:v>
      </x:c>
    </x:row>
    <x:row r="29">
      <x:c r="A29" t="n">
        <x:v>5</x:v>
      </x:c>
      <x:c r="B29" t="n">
        <x:v>5</x:v>
      </x:c>
      <x:c r="C29" s="118" t="n">
        <x:v>24</x:v>
      </x:c>
      <x:c r="D29" s="118" t="n">
        <x:v>100</x:v>
      </x:c>
      <x:c r="E29" s="118" t="n">
        <x:v>0</x:v>
      </x:c>
      <x:c r="F29" s="118" t="n">
        <x:v>2.4268230519149023</x:v>
      </x:c>
      <x:c r="G29" s="118" t="n">
        <x:v>-0.01995100531472538</x:v>
      </x:c>
    </x:row>
    <x:row r="30">
      <x:c r="A30" t="n">
        <x:v>5</x:v>
      </x:c>
      <x:c r="B30" t="n">
        <x:v>30</x:v>
      </x:c>
      <x:c r="C30" s="118" t="n">
        <x:v>0.5</x:v>
      </x:c>
      <x:c r="D30" s="118" t="n">
        <x:v>0</x:v>
      </x:c>
      <x:c r="E30" s="118" t="n">
        <x:v>0</x:v>
      </x:c>
      <x:c r="F30" s="118" t="n">
        <x:v>2.6608063559204966</x:v>
      </x:c>
      <x:c r="G30" s="118" t="n">
        <x:v>-19.978298816020875</x:v>
      </x:c>
    </x:row>
    <x:row r="31">
      <x:c r="A31" t="n">
        <x:v>5</x:v>
      </x:c>
      <x:c r="B31" t="n">
        <x:v>30</x:v>
      </x:c>
      <x:c r="C31" s="118" t="n">
        <x:v>1</x:v>
      </x:c>
      <x:c r="D31" s="118" t="n">
        <x:v>0</x:v>
      </x:c>
      <x:c r="E31" s="118" t="n">
        <x:v>0</x:v>
      </x:c>
      <x:c r="F31" s="118" t="n">
        <x:v>2.6371228995399933</x:v>
      </x:c>
      <x:c r="G31" s="118" t="n">
        <x:v>-19.949289861803607</x:v>
      </x:c>
    </x:row>
    <x:row r="32">
      <x:c r="A32" t="n">
        <x:v>5</x:v>
      </x:c>
      <x:c r="B32" t="n">
        <x:v>30</x:v>
      </x:c>
      <x:c r="C32" s="118" t="n">
        <x:v>2</x:v>
      </x:c>
      <x:c r="D32" s="118" t="n">
        <x:v>0</x:v>
      </x:c>
      <x:c r="E32" s="118" t="n">
        <x:v>0</x:v>
      </x:c>
      <x:c r="F32" s="118" t="n">
        <x:v>2.577122899539991</x:v>
      </x:c>
      <x:c r="G32" s="118" t="n">
        <x:v>-19.889289861803604</x:v>
      </x:c>
    </x:row>
    <x:row r="33">
      <x:c r="A33" t="n">
        <x:v>5</x:v>
      </x:c>
      <x:c r="B33" t="n">
        <x:v>30</x:v>
      </x:c>
      <x:c r="C33" s="118" t="n">
        <x:v>4</x:v>
      </x:c>
      <x:c r="D33" s="118" t="n">
        <x:v>0</x:v>
      </x:c>
      <x:c r="E33" s="118" t="n">
        <x:v>0</x:v>
      </x:c>
      <x:c r="F33" s="118" t="n">
        <x:v>2.4571228995399936</x:v>
      </x:c>
      <x:c r="G33" s="118" t="n">
        <x:v>-19.769289861803607</x:v>
      </x:c>
    </x:row>
    <x:row r="34">
      <x:c r="A34" t="n">
        <x:v>5</x:v>
      </x:c>
      <x:c r="B34" t="n">
        <x:v>30</x:v>
      </x:c>
      <x:c r="C34" s="118" t="n">
        <x:v>6</x:v>
      </x:c>
      <x:c r="D34" s="118" t="n">
        <x:v>0</x:v>
      </x:c>
      <x:c r="E34" s="118" t="n">
        <x:v>0</x:v>
      </x:c>
      <x:c r="F34" s="118" t="n">
        <x:v>2.3371228995399926</x:v>
      </x:c>
      <x:c r="G34" s="118" t="n">
        <x:v>-19.649289861803602</x:v>
      </x:c>
    </x:row>
    <x:row r="35">
      <x:c r="A35" t="n">
        <x:v>5</x:v>
      </x:c>
      <x:c r="B35" t="n">
        <x:v>30</x:v>
      </x:c>
      <x:c r="C35" s="118" t="n">
        <x:v>10</x:v>
      </x:c>
      <x:c r="D35" s="118" t="n">
        <x:v>0</x:v>
      </x:c>
      <x:c r="E35" s="118" t="n">
        <x:v>0</x:v>
      </x:c>
      <x:c r="F35" s="118" t="n">
        <x:v>2.0971228995399906</x:v>
      </x:c>
      <x:c r="G35" s="118" t="n">
        <x:v>-19.409289861803607</x:v>
      </x:c>
    </x:row>
    <x:row r="36">
      <x:c r="A36" t="n">
        <x:v>5</x:v>
      </x:c>
      <x:c r="B36" t="n">
        <x:v>30</x:v>
      </x:c>
      <x:c r="C36" s="118" t="n">
        <x:v>16</x:v>
      </x:c>
      <x:c r="D36" s="118" t="n">
        <x:v>0</x:v>
      </x:c>
      <x:c r="E36" s="118" t="n">
        <x:v>0</x:v>
      </x:c>
      <x:c r="F36" s="118" t="n">
        <x:v>1.7371228995399912</x:v>
      </x:c>
      <x:c r="G36" s="118" t="n">
        <x:v>-19.049289861803608</x:v>
      </x:c>
    </x:row>
    <x:row r="37">
      <x:c r="A37" t="n">
        <x:v>5</x:v>
      </x:c>
      <x:c r="B37" t="n">
        <x:v>30</x:v>
      </x:c>
      <x:c r="C37" s="118" t="n">
        <x:v>24</x:v>
      </x:c>
      <x:c r="D37" s="118" t="n">
        <x:v>0</x:v>
      </x:c>
      <x:c r="E37" s="118" t="n">
        <x:v>14.754098360655737</x:v>
      </x:c>
      <x:c r="F37" s="118" t="n">
        <x:v>1.2571228995399908</x:v>
      </x:c>
      <x:c r="G37" s="118" t="n">
        <x:v>-18.569289861803604</x:v>
      </x:c>
    </x:row>
    <x:row r="38">
      <x:c r="A38" t="n">
        <x:v>5</x:v>
      </x:c>
      <x:c r="B38" t="n">
        <x:v>100</x:v>
      </x:c>
      <x:c r="C38" s="118" t="n">
        <x:v>0.5</x:v>
      </x:c>
      <x:c r="D38" s="118" t="n">
        <x:v>100</x:v>
      </x:c>
      <x:c r="E38" s="118" t="n">
        <x:v>0</x:v>
      </x:c>
      <x:c r="F38" s="118" t="n">
        <x:v>2.6608063559204966</x:v>
      </x:c>
      <x:c r="G38" s="118" t="n">
        <x:v>0.7825296061070226</x:v>
      </x:c>
    </x:row>
    <x:row r="39">
      <x:c r="A39" t="n">
        <x:v>5</x:v>
      </x:c>
      <x:c r="B39" t="n">
        <x:v>100</x:v>
      </x:c>
      <x:c r="C39" s="118" t="n">
        <x:v>1</x:v>
      </x:c>
      <x:c r="D39" s="118" t="n">
        <x:v>100</x:v>
      </x:c>
      <x:c r="E39" s="118" t="n">
        <x:v>0</x:v>
      </x:c>
      <x:c r="F39" s="118" t="n">
        <x:v>2.583899708708036</x:v>
      </x:c>
      <x:c r="G39" s="118" t="n">
        <x:v>0.8774573241572412</x:v>
      </x:c>
    </x:row>
    <x:row r="40">
      <x:c r="A40" t="n">
        <x:v>5</x:v>
      </x:c>
      <x:c r="B40" t="n">
        <x:v>100</x:v>
      </x:c>
      <x:c r="C40" s="118" t="n">
        <x:v>2</x:v>
      </x:c>
      <x:c r="D40" s="118" t="n">
        <x:v>100</x:v>
      </x:c>
      <x:c r="E40" s="118" t="n">
        <x:v>0</x:v>
      </x:c>
      <x:c r="F40" s="118" t="n">
        <x:v>2.3838997087080367</x:v>
      </x:c>
      <x:c r="G40" s="118" t="n">
        <x:v>1.077457324157244</x:v>
      </x:c>
    </x:row>
    <x:row r="41">
      <x:c r="A41" t="n">
        <x:v>5</x:v>
      </x:c>
      <x:c r="B41" t="n">
        <x:v>100</x:v>
      </x:c>
      <x:c r="C41" s="118" t="n">
        <x:v>4</x:v>
      </x:c>
      <x:c r="D41" s="118" t="n">
        <x:v>100</x:v>
      </x:c>
      <x:c r="E41" s="118" t="n">
        <x:v>0</x:v>
      </x:c>
      <x:c r="F41" s="118" t="n">
        <x:v>1.9838997087080381</x:v>
      </x:c>
      <x:c r="G41" s="118" t="n">
        <x:v>1.4774573241572426</x:v>
      </x:c>
    </x:row>
    <x:row r="42">
      <x:c r="A42" t="n">
        <x:v>5</x:v>
      </x:c>
      <x:c r="B42" t="n">
        <x:v>100</x:v>
      </x:c>
      <x:c r="C42" s="118" t="n">
        <x:v>6</x:v>
      </x:c>
      <x:c r="D42" s="118" t="n">
        <x:v>100</x:v>
      </x:c>
      <x:c r="E42" s="118" t="n">
        <x:v>0</x:v>
      </x:c>
      <x:c r="F42" s="118" t="n">
        <x:v>1.583899708708036</x:v>
      </x:c>
      <x:c r="G42" s="118" t="n">
        <x:v>1.8774573241572412</x:v>
      </x:c>
    </x:row>
    <x:row r="43">
      <x:c r="A43" t="n">
        <x:v>5</x:v>
      </x:c>
      <x:c r="B43" t="n">
        <x:v>100</x:v>
      </x:c>
      <x:c r="C43" s="118" t="n">
        <x:v>10</x:v>
      </x:c>
      <x:c r="D43" s="118" t="n">
        <x:v>100</x:v>
      </x:c>
      <x:c r="E43" s="118" t="n">
        <x:v>13.114754098360656</x:v>
      </x:c>
      <x:c r="F43" s="118" t="n">
        <x:v>0.7838997087080353</x:v>
      </x:c>
      <x:c r="G43" s="118" t="n">
        <x:v>2.677457324157242</x:v>
      </x:c>
    </x:row>
    <x:row r="44">
      <x:c r="A44" t="n">
        <x:v>5</x:v>
      </x:c>
      <x:c r="B44" t="n">
        <x:v>100</x:v>
      </x:c>
      <x:c r="C44" s="118" t="n">
        <x:v>16</x:v>
      </x:c>
      <x:c r="D44" s="118" t="n">
        <x:v>100</x:v>
      </x:c>
      <x:c r="E44" s="118" t="n">
        <x:v>3.278688524590164</x:v>
      </x:c>
      <x:c r="F44" s="118" t="n">
        <x:v>-0.4161002912919641</x:v>
      </x:c>
      <x:c r="G44" s="118" t="n">
        <x:v>3.8774573241572448</x:v>
      </x:c>
    </x:row>
    <x:row r="45">
      <x:c r="A45" t="n">
        <x:v>5</x:v>
      </x:c>
      <x:c r="B45" t="n">
        <x:v>100</x:v>
      </x:c>
      <x:c r="C45" s="118" t="n">
        <x:v>24</x:v>
      </x:c>
      <x:c r="D45" s="118" t="n">
        <x:v>100</x:v>
      </x:c>
      <x:c r="E45" s="118" t="n">
        <x:v>0</x:v>
      </x:c>
      <x:c r="F45" s="118" t="n">
        <x:v>-2.016100291291962</x:v>
      </x:c>
      <x:c r="G45" s="118" t="n">
        <x:v>5.477457324157243</x:v>
      </x:c>
    </x:row>
    <x:row r="46">
      <x:c r="A46" t="n">
        <x:v>5</x:v>
      </x:c>
      <x:c r="B46" t="n">
        <x:v>200</x:v>
      </x:c>
      <x:c r="C46" s="118" t="n">
        <x:v>0.5</x:v>
      </x:c>
      <x:c r="D46" s="118" t="n">
        <x:v>0</x:v>
      </x:c>
      <x:c r="E46" s="118" t="n">
        <x:v>0</x:v>
      </x:c>
      <x:c r="F46" s="118" t="n">
        <x:v>2.6608063559204966</x:v>
      </x:c>
      <x:c r="G46" s="118" t="n">
        <x:v>-4.897113998328255</x:v>
      </x:c>
    </x:row>
    <x:row r="47">
      <x:c r="A47" t="n">
        <x:v>5</x:v>
      </x:c>
      <x:c r="B47" t="n">
        <x:v>200</x:v>
      </x:c>
      <x:c r="C47" s="118" t="n">
        <x:v>1</x:v>
      </x:c>
      <x:c r="D47" s="118" t="n">
        <x:v>0</x:v>
      </x:c>
      <x:c r="E47" s="118" t="n">
        <x:v>0</x:v>
      </x:c>
      <x:c r="F47" s="118" t="n">
        <x:v>2.512909992524979</x:v>
      </x:c>
      <x:c r="G47" s="118" t="n">
        <x:v>-4.72181139945401</x:v>
      </x:c>
    </x:row>
    <x:row r="48">
      <x:c r="A48" t="n">
        <x:v>5</x:v>
      </x:c>
      <x:c r="B48" t="n">
        <x:v>200</x:v>
      </x:c>
      <x:c r="C48" s="118" t="n">
        <x:v>2</x:v>
      </x:c>
      <x:c r="D48" s="118" t="n">
        <x:v>0</x:v>
      </x:c>
      <x:c r="E48" s="118" t="n">
        <x:v>0</x:v>
      </x:c>
      <x:c r="F48" s="118" t="n">
        <x:v>2.112909992524977</x:v>
      </x:c>
      <x:c r="G48" s="118" t="n">
        <x:v>-4.321811399454008</x:v>
      </x:c>
    </x:row>
    <x:row r="49">
      <x:c r="A49" t="n">
        <x:v>5</x:v>
      </x:c>
      <x:c r="B49" t="n">
        <x:v>200</x:v>
      </x:c>
      <x:c r="C49" s="118" t="n">
        <x:v>4</x:v>
      </x:c>
      <x:c r="D49" s="118" t="n">
        <x:v>0</x:v>
      </x:c>
      <x:c r="E49" s="118" t="n">
        <x:v>11.475409836065573</x:v>
      </x:c>
      <x:c r="F49" s="118" t="n">
        <x:v>1.3129099925249763</x:v>
      </x:c>
      <x:c r="G49" s="118" t="n">
        <x:v>-3.5218113994540072</x:v>
      </x:c>
    </x:row>
    <x:row r="50">
      <x:c r="A50" t="n">
        <x:v>5</x:v>
      </x:c>
      <x:c r="B50" t="n">
        <x:v>200</x:v>
      </x:c>
      <x:c r="C50" s="118" t="n">
        <x:v>6</x:v>
      </x:c>
      <x:c r="D50" s="118" t="n">
        <x:v>0</x:v>
      </x:c>
      <x:c r="E50" s="118" t="n">
        <x:v>34.42622950819672</x:v>
      </x:c>
      <x:c r="F50" s="118" t="n">
        <x:v>0.5129099925249756</x:v>
      </x:c>
      <x:c r="G50" s="118" t="n">
        <x:v>-2.72181139945401</x:v>
      </x:c>
    </x:row>
    <x:row r="51">
      <x:c r="A51" t="n">
        <x:v>5</x:v>
      </x:c>
      <x:c r="B51" t="n">
        <x:v>200</x:v>
      </x:c>
      <x:c r="C51" s="118" t="n">
        <x:v>10</x:v>
      </x:c>
      <x:c r="D51" s="118" t="n">
        <x:v>0</x:v>
      </x:c>
      <x:c r="E51" s="118" t="n">
        <x:v>100</x:v>
      </x:c>
      <x:c r="F51" s="118" t="n">
        <x:v>-1.0870900074750223</x:v>
      </x:c>
      <x:c r="G51" s="118" t="n">
        <x:v>-1.1218113994540087</x:v>
      </x:c>
    </x:row>
    <x:row r="52">
      <x:c r="A52" t="n">
        <x:v>5</x:v>
      </x:c>
      <x:c r="B52" t="n">
        <x:v>200</x:v>
      </x:c>
      <x:c r="C52" s="118" t="n">
        <x:v>16</x:v>
      </x:c>
      <x:c r="D52" s="118" t="n">
        <x:v>0</x:v>
      </x:c>
      <x:c r="E52" s="118" t="n">
        <x:v>100</x:v>
      </x:c>
      <x:c r="F52" s="118" t="n">
        <x:v>-3.4870900074750244</x:v>
      </x:c>
      <x:c r="G52" s="118" t="n">
        <x:v>1.2781886005459902</x:v>
      </x:c>
    </x:row>
    <x:row r="53">
      <x:c r="A53" t="n">
        <x:v>5</x:v>
      </x:c>
      <x:c r="B53" t="n">
        <x:v>200</x:v>
      </x:c>
      <x:c r="C53" s="118" t="n">
        <x:v>24</x:v>
      </x:c>
      <x:c r="D53" s="118" t="n">
        <x:v>0</x:v>
      </x:c>
      <x:c r="E53" s="118" t="n">
        <x:v>100</x:v>
      </x:c>
      <x:c r="F53" s="118" t="n">
        <x:v>-6.68709000747502</x:v>
      </x:c>
      <x:c r="G53" s="118" t="n">
        <x:v>4.478188600545993</x:v>
      </x:c>
    </x:row>
    <x:row r="54">
      <x:c r="A54" t="n">
        <x:v>5</x:v>
      </x:c>
      <x:c r="B54" t="n">
        <x:v>500</x:v>
      </x:c>
      <x:c r="C54" s="118" t="n">
        <x:v>0.5</x:v>
      </x:c>
      <x:c r="D54" s="118" t="n">
        <x:v>0</x:v>
      </x:c>
      <x:c r="E54" s="118" t="n">
        <x:v>0</x:v>
      </x:c>
      <x:c r="F54" s="118" t="n">
        <x:v>2.6608063559204966</x:v>
      </x:c>
      <x:c r="G54" s="118" t="n">
        <x:v>-4.897113998328255</x:v>
      </x:c>
    </x:row>
    <x:row r="55">
      <x:c r="A55" t="n">
        <x:v>5</x:v>
      </x:c>
      <x:c r="B55" t="n">
        <x:v>500</x:v>
      </x:c>
      <x:c r="C55" s="118" t="n">
        <x:v>1</x:v>
      </x:c>
      <x:c r="D55" s="118" t="n">
        <x:v>0</x:v>
      </x:c>
      <x:c r="E55" s="118" t="n">
        <x:v>0</x:v>
      </x:c>
      <x:c r="F55" s="118" t="n">
        <x:v>2.3369850835948123</x:v>
      </x:c>
      <x:c r="G55" s="118" t="n">
        <x:v>-4.540129066754478</x:v>
      </x:c>
    </x:row>
    <x:row r="56">
      <x:c r="A56" t="n">
        <x:v>5</x:v>
      </x:c>
      <x:c r="B56" t="n">
        <x:v>500</x:v>
      </x:c>
      <x:c r="C56" s="118" t="n">
        <x:v>2</x:v>
      </x:c>
      <x:c r="D56" s="118" t="n">
        <x:v>0</x:v>
      </x:c>
      <x:c r="E56" s="118" t="n">
        <x:v>8.19672131147541</x:v>
      </x:c>
      <x:c r="F56" s="118" t="n">
        <x:v>1.3369850835948123</x:v>
      </x:c>
      <x:c r="G56" s="118" t="n">
        <x:v>-3.540129066754478</x:v>
      </x:c>
    </x:row>
    <x:row r="57">
      <x:c r="A57" t="n">
        <x:v>5</x:v>
      </x:c>
      <x:c r="B57" t="n">
        <x:v>500</x:v>
      </x:c>
      <x:c r="C57" s="118" t="n">
        <x:v>4</x:v>
      </x:c>
      <x:c r="D57" s="118" t="n">
        <x:v>0</x:v>
      </x:c>
      <x:c r="E57" s="118" t="n">
        <x:v>100</x:v>
      </x:c>
      <x:c r="F57" s="118" t="n">
        <x:v>-0.6630149164051877</x:v>
      </x:c>
      <x:c r="G57" s="118" t="n">
        <x:v>-1.5401290667544776</x:v>
      </x:c>
    </x:row>
    <x:row r="58">
      <x:c r="A58" t="n">
        <x:v>5</x:v>
      </x:c>
      <x:c r="B58" t="n">
        <x:v>500</x:v>
      </x:c>
      <x:c r="C58" s="118" t="n">
        <x:v>6</x:v>
      </x:c>
      <x:c r="D58" s="118" t="n">
        <x:v>0</x:v>
      </x:c>
      <x:c r="E58" s="118" t="n">
        <x:v>100</x:v>
      </x:c>
      <x:c r="F58" s="118" t="n">
        <x:v>-2.6630149164051877</x:v>
      </x:c>
      <x:c r="G58" s="118" t="n">
        <x:v>0.4598709332455222</x:v>
      </x:c>
    </x:row>
    <x:row r="59">
      <x:c r="A59" t="n">
        <x:v>5</x:v>
      </x:c>
      <x:c r="B59" t="n">
        <x:v>500</x:v>
      </x:c>
      <x:c r="C59" s="118" t="n">
        <x:v>10</x:v>
      </x:c>
      <x:c r="D59" s="118" t="n">
        <x:v>0</x:v>
      </x:c>
      <x:c r="E59" s="118" t="n">
        <x:v>100</x:v>
      </x:c>
      <x:c r="F59" s="118" t="n">
        <x:v>-6.663014916405188</x:v>
      </x:c>
      <x:c r="G59" s="118" t="n">
        <x:v>4.459870933245522</x:v>
      </x:c>
    </x:row>
    <x:row r="60">
      <x:c r="A60" t="n">
        <x:v>5</x:v>
      </x:c>
      <x:c r="B60" t="n">
        <x:v>500</x:v>
      </x:c>
      <x:c r="C60" s="118" t="n">
        <x:v>16</x:v>
      </x:c>
      <x:c r="D60" s="118" t="n">
        <x:v>0</x:v>
      </x:c>
      <x:c r="E60" s="118" t="n">
        <x:v>100</x:v>
      </x:c>
      <x:c r="F60" s="118" t="n">
        <x:v>-12.663014916405189</x:v>
      </x:c>
      <x:c r="G60" s="118" t="n">
        <x:v>10.459870933245519</x:v>
      </x:c>
    </x:row>
    <x:row r="61">
      <x:c r="A61" t="n">
        <x:v>5</x:v>
      </x:c>
      <x:c r="B61" t="n">
        <x:v>500</x:v>
      </x:c>
      <x:c r="C61" s="118" t="n">
        <x:v>24</x:v>
      </x:c>
      <x:c r="D61" s="118" t="n">
        <x:v>0</x:v>
      </x:c>
      <x:c r="E61" s="118" t="n">
        <x:v>100</x:v>
      </x:c>
      <x:c r="F61" s="118" t="n">
        <x:v>-20.66301491640519</x:v>
      </x:c>
      <x:c r="G61" s="118" t="n">
        <x:v>18.45987093324552</x:v>
      </x:c>
    </x:row>
    <x:row r="62">
      <x:c r="A62" t="n">
        <x:v>9</x:v>
      </x:c>
      <x:c r="B62" t="n">
        <x:v>0.5</x:v>
      </x:c>
      <x:c r="C62" s="118" t="n">
        <x:v>0.5</x:v>
      </x:c>
      <x:c r="D62" s="118" t="n">
        <x:v>49.18032786885246</x:v>
      </x:c>
      <x:c r="E62" s="118" t="n">
        <x:v>0</x:v>
      </x:c>
      <x:c r="F62" s="118" t="n">
        <x:v>2.6608063559204966</x:v>
      </x:c>
      <x:c r="G62" s="118" t="n">
        <x:v>-2.497235947708667</x:v>
      </x:c>
    </x:row>
    <x:row r="63">
      <x:c r="A63" t="n">
        <x:v>9</x:v>
      </x:c>
      <x:c r="B63" t="n">
        <x:v>0.5</x:v>
      </x:c>
      <x:c r="C63" s="118" t="n">
        <x:v>1</x:v>
      </x:c>
      <x:c r="D63" s="118" t="n">
        <x:v>49.18032786885246</x:v>
      </x:c>
      <x:c r="E63" s="118" t="n">
        <x:v>0</x:v>
      </x:c>
      <x:c r="F63" s="118" t="n">
        <x:v>2.6604073783161093</x:v>
      </x:c>
      <x:c r="G63" s="118" t="n">
        <x:v>-2.4967487919851195</x:v>
      </x:c>
    </x:row>
    <x:row r="64">
      <x:c r="A64" t="n">
        <x:v>9</x:v>
      </x:c>
      <x:c r="B64" t="n">
        <x:v>0.5</x:v>
      </x:c>
      <x:c r="C64" s="118" t="n">
        <x:v>2</x:v>
      </x:c>
      <x:c r="D64" s="118" t="n">
        <x:v>49.18032786885246</x:v>
      </x:c>
      <x:c r="E64" s="118" t="n">
        <x:v>0</x:v>
      </x:c>
      <x:c r="F64" s="118" t="n">
        <x:v>2.659407378316108</x:v>
      </x:c>
      <x:c r="G64" s="118" t="n">
        <x:v>-2.4957487919851182</x:v>
      </x:c>
    </x:row>
    <x:row r="65">
      <x:c r="A65" t="n">
        <x:v>9</x:v>
      </x:c>
      <x:c r="B65" t="n">
        <x:v>0.5</x:v>
      </x:c>
      <x:c r="C65" s="118" t="n">
        <x:v>4</x:v>
      </x:c>
      <x:c r="D65" s="118" t="n">
        <x:v>49.18032786885246</x:v>
      </x:c>
      <x:c r="E65" s="118" t="n">
        <x:v>0</x:v>
      </x:c>
      <x:c r="F65" s="118" t="n">
        <x:v>2.657407378316109</x:v>
      </x:c>
      <x:c r="G65" s="118" t="n">
        <x:v>-2.4937487919851193</x:v>
      </x:c>
    </x:row>
    <x:row r="66">
      <x:c r="A66" t="n">
        <x:v>9</x:v>
      </x:c>
      <x:c r="B66" t="n">
        <x:v>0.5</x:v>
      </x:c>
      <x:c r="C66" s="118" t="n">
        <x:v>6</x:v>
      </x:c>
      <x:c r="D66" s="118" t="n">
        <x:v>49.18032786885246</x:v>
      </x:c>
      <x:c r="E66" s="118" t="n">
        <x:v>0</x:v>
      </x:c>
      <x:c r="F66" s="118" t="n">
        <x:v>2.6554073783161067</x:v>
      </x:c>
      <x:c r="G66" s="118" t="n">
        <x:v>-2.491748791985117</x:v>
      </x:c>
    </x:row>
    <x:row r="67">
      <x:c r="A67" t="n">
        <x:v>9</x:v>
      </x:c>
      <x:c r="B67" t="n">
        <x:v>0.5</x:v>
      </x:c>
      <x:c r="C67" s="118" t="n">
        <x:v>10</x:v>
      </x:c>
      <x:c r="D67" s="118" t="n">
        <x:v>49.18032786885246</x:v>
      </x:c>
      <x:c r="E67" s="118" t="n">
        <x:v>0</x:v>
      </x:c>
      <x:c r="F67" s="118" t="n">
        <x:v>2.651407378316109</x:v>
      </x:c>
      <x:c r="G67" s="118" t="n">
        <x:v>-2.487748791985119</x:v>
      </x:c>
    </x:row>
    <x:row r="68">
      <x:c r="A68" t="n">
        <x:v>9</x:v>
      </x:c>
      <x:c r="B68" t="n">
        <x:v>0.5</x:v>
      </x:c>
      <x:c r="C68" s="118" t="n">
        <x:v>16</x:v>
      </x:c>
      <x:c r="D68" s="118" t="n">
        <x:v>49.18032786885246</x:v>
      </x:c>
      <x:c r="E68" s="118" t="n">
        <x:v>0</x:v>
      </x:c>
      <x:c r="F68" s="118" t="n">
        <x:v>2.6454073783161087</x:v>
      </x:c>
      <x:c r="G68" s="118" t="n">
        <x:v>-2.481748791985119</x:v>
      </x:c>
    </x:row>
    <x:row r="69">
      <x:c r="A69" t="n">
        <x:v>9</x:v>
      </x:c>
      <x:c r="B69" t="n">
        <x:v>0.5</x:v>
      </x:c>
      <x:c r="C69" s="118" t="n">
        <x:v>24</x:v>
      </x:c>
      <x:c r="D69" s="118" t="n">
        <x:v>49.18032786885246</x:v>
      </x:c>
      <x:c r="E69" s="118" t="n">
        <x:v>0</x:v>
      </x:c>
      <x:c r="F69" s="118" t="n">
        <x:v>2.637407378316106</x:v>
      </x:c>
      <x:c r="G69" s="118" t="n">
        <x:v>-2.473748791985116</x:v>
      </x:c>
    </x:row>
    <x:row r="70">
      <x:c r="A70" t="n">
        <x:v>9</x:v>
      </x:c>
      <x:c r="B70" t="n">
        <x:v>1</x:v>
      </x:c>
      <x:c r="C70" s="118" t="n">
        <x:v>0.5</x:v>
      </x:c>
      <x:c r="D70" s="118" t="n">
        <x:v>100</x:v>
      </x:c>
      <x:c r="E70" s="118" t="n">
        <x:v>0</x:v>
      </x:c>
      <x:c r="F70" s="118" t="n">
        <x:v>2.6608063559204966</x:v>
      </x:c>
      <x:c r="G70" s="118" t="n">
        <x:v>2.9106134933583068</x:v>
      </x:c>
    </x:row>
    <x:row r="71">
      <x:c r="A71" t="n">
        <x:v>9</x:v>
      </x:c>
      <x:c r="B71" t="n">
        <x:v>1</x:v>
      </x:c>
      <x:c r="C71" s="118" t="n">
        <x:v>1</x:v>
      </x:c>
      <x:c r="D71" s="118" t="n">
        <x:v>100</x:v>
      </x:c>
      <x:c r="E71" s="118" t="n">
        <x:v>0</x:v>
      </x:c>
      <x:c r="F71" s="118" t="n">
        <x:v>2.660008544477347</x:v>
      </x:c>
      <x:c r="G71" s="118" t="n">
        <x:v>2.9115876808304595</x:v>
      </x:c>
    </x:row>
    <x:row r="72">
      <x:c r="A72" t="n">
        <x:v>9</x:v>
      </x:c>
      <x:c r="B72" t="n">
        <x:v>1</x:v>
      </x:c>
      <x:c r="C72" s="118" t="n">
        <x:v>2</x:v>
      </x:c>
      <x:c r="D72" s="118" t="n">
        <x:v>100</x:v>
      </x:c>
      <x:c r="E72" s="118" t="n">
        <x:v>0</x:v>
      </x:c>
      <x:c r="F72" s="118" t="n">
        <x:v>2.6580085444773482</x:v>
      </x:c>
      <x:c r="G72" s="118" t="n">
        <x:v>2.9135876808304584</x:v>
      </x:c>
    </x:row>
    <x:row r="73">
      <x:c r="A73" t="n">
        <x:v>9</x:v>
      </x:c>
      <x:c r="B73" t="n">
        <x:v>1</x:v>
      </x:c>
      <x:c r="C73" s="118" t="n">
        <x:v>4</x:v>
      </x:c>
      <x:c r="D73" s="118" t="n">
        <x:v>100</x:v>
      </x:c>
      <x:c r="E73" s="118" t="n">
        <x:v>0</x:v>
      </x:c>
      <x:c r="F73" s="118" t="n">
        <x:v>2.654008544477347</x:v>
      </x:c>
      <x:c r="G73" s="118" t="n">
        <x:v>2.9175876808304597</x:v>
      </x:c>
    </x:row>
    <x:row r="74">
      <x:c r="A74" t="n">
        <x:v>9</x:v>
      </x:c>
      <x:c r="B74" t="n">
        <x:v>1</x:v>
      </x:c>
      <x:c r="C74" s="118" t="n">
        <x:v>6</x:v>
      </x:c>
      <x:c r="D74" s="118" t="n">
        <x:v>100</x:v>
      </x:c>
      <x:c r="E74" s="118" t="n">
        <x:v>0</x:v>
      </x:c>
      <x:c r="F74" s="118" t="n">
        <x:v>2.650008544477349</x:v>
      </x:c>
      <x:c r="G74" s="118" t="n">
        <x:v>2.9215876808304575</x:v>
      </x:c>
    </x:row>
    <x:row r="75">
      <x:c r="A75" t="n">
        <x:v>9</x:v>
      </x:c>
      <x:c r="B75" t="n">
        <x:v>1</x:v>
      </x:c>
      <x:c r="C75" s="118" t="n">
        <x:v>10</x:v>
      </x:c>
      <x:c r="D75" s="118" t="n">
        <x:v>100</x:v>
      </x:c>
      <x:c r="E75" s="118" t="n">
        <x:v>0</x:v>
      </x:c>
      <x:c r="F75" s="118" t="n">
        <x:v>2.6420085444773465</x:v>
      </x:c>
      <x:c r="G75" s="118" t="n">
        <x:v>2.92958768083046</x:v>
      </x:c>
    </x:row>
    <x:row r="76">
      <x:c r="A76" t="n">
        <x:v>9</x:v>
      </x:c>
      <x:c r="B76" t="n">
        <x:v>1</x:v>
      </x:c>
      <x:c r="C76" s="118" t="n">
        <x:v>16</x:v>
      </x:c>
      <x:c r="D76" s="118" t="n">
        <x:v>100</x:v>
      </x:c>
      <x:c r="E76" s="118" t="n">
        <x:v>0</x:v>
      </x:c>
      <x:c r="F76" s="118" t="n">
        <x:v>2.630008544477346</x:v>
      </x:c>
      <x:c r="G76" s="118" t="n">
        <x:v>2.941587680830457</x:v>
      </x:c>
    </x:row>
    <x:row r="77">
      <x:c r="A77" t="n">
        <x:v>9</x:v>
      </x:c>
      <x:c r="B77" t="n">
        <x:v>1</x:v>
      </x:c>
      <x:c r="C77" s="118" t="n">
        <x:v>24</x:v>
      </x:c>
      <x:c r="D77" s="118" t="n">
        <x:v>100</x:v>
      </x:c>
      <x:c r="E77" s="118" t="n">
        <x:v>0</x:v>
      </x:c>
      <x:c r="F77" s="118" t="n">
        <x:v>2.6140085444773478</x:v>
      </x:c>
      <x:c r="G77" s="118" t="n">
        <x:v>2.957587680830459</x:v>
      </x:c>
    </x:row>
    <x:row r="78">
      <x:c r="A78" t="n">
        <x:v>9</x:v>
      </x:c>
      <x:c r="B78" t="n">
        <x:v>5</x:v>
      </x:c>
      <x:c r="C78" s="118" t="n">
        <x:v>0.5</x:v>
      </x:c>
      <x:c r="D78" s="118" t="n">
        <x:v>83.60655737704919</x:v>
      </x:c>
      <x:c r="E78" s="118" t="n">
        <x:v>0</x:v>
      </x:c>
      <x:c r="F78" s="118" t="n">
        <x:v>2.6608063559204966</x:v>
      </x:c>
      <x:c r="G78" s="118" t="n">
        <x:v>-1.6887003686751036</x:v>
      </x:c>
    </x:row>
    <x:row r="79">
      <x:c r="A79" t="n">
        <x:v>9</x:v>
      </x:c>
      <x:c r="B79" t="n">
        <x:v>5</x:v>
      </x:c>
      <x:c r="C79" s="118" t="n">
        <x:v>1</x:v>
      </x:c>
      <x:c r="D79" s="118" t="n">
        <x:v>83.60655737704919</x:v>
      </x:c>
      <x:c r="E79" s="118" t="n">
        <x:v>0</x:v>
      </x:c>
      <x:c r="F79" s="118" t="n">
        <x:v>2.6568230519149028</x:v>
      </x:c>
      <x:c r="G79" s="118" t="n">
        <x:v>-1.6838343936649167</x:v>
      </x:c>
    </x:row>
    <x:row r="80">
      <x:c r="A80" t="n">
        <x:v>9</x:v>
      </x:c>
      <x:c r="B80" t="n">
        <x:v>5</x:v>
      </x:c>
      <x:c r="C80" s="118" t="n">
        <x:v>2</x:v>
      </x:c>
      <x:c r="D80" s="118" t="n">
        <x:v>83.60655737704919</x:v>
      </x:c>
      <x:c r="E80" s="118" t="n">
        <x:v>0</x:v>
      </x:c>
      <x:c r="F80" s="118" t="n">
        <x:v>2.646823051914901</x:v>
      </x:c>
      <x:c r="G80" s="118" t="n">
        <x:v>-1.6738343936649152</x:v>
      </x:c>
    </x:row>
    <x:row r="81">
      <x:c r="A81" t="n">
        <x:v>9</x:v>
      </x:c>
      <x:c r="B81" t="n">
        <x:v>5</x:v>
      </x:c>
      <x:c r="C81" s="118" t="n">
        <x:v>4</x:v>
      </x:c>
      <x:c r="D81" s="118" t="n">
        <x:v>83.60655737704919</x:v>
      </x:c>
      <x:c r="E81" s="118" t="n">
        <x:v>0</x:v>
      </x:c>
      <x:c r="F81" s="118" t="n">
        <x:v>2.6268230519149016</x:v>
      </x:c>
      <x:c r="G81" s="118" t="n">
        <x:v>-1.6538343936649156</x:v>
      </x:c>
    </x:row>
    <x:row r="82">
      <x:c r="A82" t="n">
        <x:v>9</x:v>
      </x:c>
      <x:c r="B82" t="n">
        <x:v>5</x:v>
      </x:c>
      <x:c r="C82" s="118" t="n">
        <x:v>6</x:v>
      </x:c>
      <x:c r="D82" s="118" t="n">
        <x:v>83.60655737704919</x:v>
      </x:c>
      <x:c r="E82" s="118" t="n">
        <x:v>0</x:v>
      </x:c>
      <x:c r="F82" s="118" t="n">
        <x:v>2.606823051914902</x:v>
      </x:c>
      <x:c r="G82" s="118" t="n">
        <x:v>-1.633834393664916</x:v>
      </x:c>
    </x:row>
    <x:row r="83">
      <x:c r="A83" t="n">
        <x:v>9</x:v>
      </x:c>
      <x:c r="B83" t="n">
        <x:v>5</x:v>
      </x:c>
      <x:c r="C83" s="118" t="n">
        <x:v>10</x:v>
      </x:c>
      <x:c r="D83" s="118" t="n">
        <x:v>83.60655737704919</x:v>
      </x:c>
      <x:c r="E83" s="118" t="n">
        <x:v>0</x:v>
      </x:c>
      <x:c r="F83" s="118" t="n">
        <x:v>2.566823051914903</x:v>
      </x:c>
      <x:c r="G83" s="118" t="n">
        <x:v>-1.5938343936649169</x:v>
      </x:c>
    </x:row>
    <x:row r="84">
      <x:c r="A84" t="n">
        <x:v>9</x:v>
      </x:c>
      <x:c r="B84" t="n">
        <x:v>5</x:v>
      </x:c>
      <x:c r="C84" s="118" t="n">
        <x:v>16</x:v>
      </x:c>
      <x:c r="D84" s="118" t="n">
        <x:v>83.60655737704919</x:v>
      </x:c>
      <x:c r="E84" s="118" t="n">
        <x:v>0</x:v>
      </x:c>
      <x:c r="F84" s="118" t="n">
        <x:v>2.5068230519149006</x:v>
      </x:c>
      <x:c r="G84" s="118" t="n">
        <x:v>-1.5338343936649146</x:v>
      </x:c>
    </x:row>
    <x:row r="85">
      <x:c r="A85" t="n">
        <x:v>9</x:v>
      </x:c>
      <x:c r="B85" t="n">
        <x:v>5</x:v>
      </x:c>
      <x:c r="C85" s="118" t="n">
        <x:v>24</x:v>
      </x:c>
      <x:c r="D85" s="118" t="n">
        <x:v>83.60655737704919</x:v>
      </x:c>
      <x:c r="E85" s="118" t="n">
        <x:v>0</x:v>
      </x:c>
      <x:c r="F85" s="118" t="n">
        <x:v>2.4268230519149023</x:v>
      </x:c>
      <x:c r="G85" s="118" t="n">
        <x:v>-1.4538343936649163</x:v>
      </x:c>
    </x:row>
    <x:row r="86">
      <x:c r="A86" t="n">
        <x:v>9</x:v>
      </x:c>
      <x:c r="B86" t="n">
        <x:v>30</x:v>
      </x:c>
      <x:c r="C86" s="118" t="n">
        <x:v>0.5</x:v>
      </x:c>
      <x:c r="D86" s="118" t="n">
        <x:v>100</x:v>
      </x:c>
      <x:c r="E86" s="118" t="n">
        <x:v>0</x:v>
      </x:c>
      <x:c r="F86" s="118" t="n">
        <x:v>2.6608063559204966</x:v>
      </x:c>
      <x:c r="G86" s="118" t="n">
        <x:v>7.227527294043245</x:v>
      </x:c>
    </x:row>
    <x:row r="87">
      <x:c r="A87" t="n">
        <x:v>9</x:v>
      </x:c>
      <x:c r="B87" t="n">
        <x:v>30</x:v>
      </x:c>
      <x:c r="C87" s="118" t="n">
        <x:v>1</x:v>
      </x:c>
      <x:c r="D87" s="118" t="n">
        <x:v>100</x:v>
      </x:c>
      <x:c r="E87" s="118" t="n">
        <x:v>0</x:v>
      </x:c>
      <x:c r="F87" s="118" t="n">
        <x:v>2.6371228995399933</x:v>
      </x:c>
      <x:c r="G87" s="118" t="n">
        <x:v>7.256536248260513</x:v>
      </x:c>
    </x:row>
    <x:row r="88">
      <x:c r="A88" t="n">
        <x:v>9</x:v>
      </x:c>
      <x:c r="B88" t="n">
        <x:v>30</x:v>
      </x:c>
      <x:c r="C88" s="118" t="n">
        <x:v>2</x:v>
      </x:c>
      <x:c r="D88" s="118" t="n">
        <x:v>100</x:v>
      </x:c>
      <x:c r="E88" s="118" t="n">
        <x:v>0</x:v>
      </x:c>
      <x:c r="F88" s="118" t="n">
        <x:v>2.577122899539991</x:v>
      </x:c>
      <x:c r="G88" s="118" t="n">
        <x:v>7.316536248260512</x:v>
      </x:c>
    </x:row>
    <x:row r="89">
      <x:c r="A89" t="n">
        <x:v>9</x:v>
      </x:c>
      <x:c r="B89" t="n">
        <x:v>30</x:v>
      </x:c>
      <x:c r="C89" s="118" t="n">
        <x:v>4</x:v>
      </x:c>
      <x:c r="D89" s="118" t="n">
        <x:v>100</x:v>
      </x:c>
      <x:c r="E89" s="118" t="n">
        <x:v>0</x:v>
      </x:c>
      <x:c r="F89" s="118" t="n">
        <x:v>2.4571228995399936</x:v>
      </x:c>
      <x:c r="G89" s="118" t="n">
        <x:v>7.436536248260513</x:v>
      </x:c>
    </x:row>
    <x:row r="90">
      <x:c r="A90" t="n">
        <x:v>9</x:v>
      </x:c>
      <x:c r="B90" t="n">
        <x:v>30</x:v>
      </x:c>
      <x:c r="C90" s="118" t="n">
        <x:v>6</x:v>
      </x:c>
      <x:c r="D90" s="118" t="n">
        <x:v>100</x:v>
      </x:c>
      <x:c r="E90" s="118" t="n">
        <x:v>0</x:v>
      </x:c>
      <x:c r="F90" s="118" t="n">
        <x:v>2.3371228995399926</x:v>
      </x:c>
      <x:c r="G90" s="118" t="n">
        <x:v>7.556536248260514</x:v>
      </x:c>
    </x:row>
    <x:row r="91">
      <x:c r="A91" t="n">
        <x:v>9</x:v>
      </x:c>
      <x:c r="B91" t="n">
        <x:v>30</x:v>
      </x:c>
      <x:c r="C91" s="118" t="n">
        <x:v>10</x:v>
      </x:c>
      <x:c r="D91" s="118" t="n">
        <x:v>100</x:v>
      </x:c>
      <x:c r="E91" s="118" t="n">
        <x:v>0</x:v>
      </x:c>
      <x:c r="F91" s="118" t="n">
        <x:v>2.0971228995399906</x:v>
      </x:c>
      <x:c r="G91" s="118" t="n">
        <x:v>7.796536248260512</x:v>
      </x:c>
    </x:row>
    <x:row r="92">
      <x:c r="A92" t="n">
        <x:v>9</x:v>
      </x:c>
      <x:c r="B92" t="n">
        <x:v>30</x:v>
      </x:c>
      <x:c r="C92" s="118" t="n">
        <x:v>16</x:v>
      </x:c>
      <x:c r="D92" s="118" t="n">
        <x:v>100</x:v>
      </x:c>
      <x:c r="E92" s="118" t="n">
        <x:v>0</x:v>
      </x:c>
      <x:c r="F92" s="118" t="n">
        <x:v>1.7371228995399912</x:v>
      </x:c>
      <x:c r="G92" s="118" t="n">
        <x:v>8.156536248260512</x:v>
      </x:c>
    </x:row>
    <x:row r="93">
      <x:c r="A93" t="n">
        <x:v>9</x:v>
      </x:c>
      <x:c r="B93" t="n">
        <x:v>30</x:v>
      </x:c>
      <x:c r="C93" s="118" t="n">
        <x:v>24</x:v>
      </x:c>
      <x:c r="D93" s="118" t="n">
        <x:v>100</x:v>
      </x:c>
      <x:c r="E93" s="118" t="n">
        <x:v>0</x:v>
      </x:c>
      <x:c r="F93" s="118" t="n">
        <x:v>1.2571228995399908</x:v>
      </x:c>
      <x:c r="G93" s="118" t="n">
        <x:v>8.636536248260512</x:v>
      </x:c>
    </x:row>
    <x:row r="94">
      <x:c r="A94" t="n">
        <x:v>9</x:v>
      </x:c>
      <x:c r="B94" t="n">
        <x:v>100</x:v>
      </x:c>
      <x:c r="C94" s="118" t="n">
        <x:v>0.5</x:v>
      </x:c>
      <x:c r="D94" s="118" t="n">
        <x:v>0</x:v>
      </x:c>
      <x:c r="E94" s="118" t="n">
        <x:v>0</x:v>
      </x:c>
      <x:c r="F94" s="118" t="n">
        <x:v>2.6608063559204966</x:v>
      </x:c>
      <x:c r="G94" s="118" t="n">
        <x:v>-19.463995843136978</x:v>
      </x:c>
    </x:row>
    <x:row r="95">
      <x:c r="A95" t="n">
        <x:v>9</x:v>
      </x:c>
      <x:c r="B95" t="n">
        <x:v>100</x:v>
      </x:c>
      <x:c r="C95" s="118" t="n">
        <x:v>1</x:v>
      </x:c>
      <x:c r="D95" s="118" t="n">
        <x:v>0</x:v>
      </x:c>
      <x:c r="E95" s="118" t="n">
        <x:v>0</x:v>
      </x:c>
      <x:c r="F95" s="118" t="n">
        <x:v>2.583899708708036</x:v>
      </x:c>
      <x:c r="G95" s="118" t="n">
        <x:v>-19.369068125086756</x:v>
      </x:c>
    </x:row>
    <x:row r="96">
      <x:c r="A96" t="n">
        <x:v>9</x:v>
      </x:c>
      <x:c r="B96" t="n">
        <x:v>100</x:v>
      </x:c>
      <x:c r="C96" s="118" t="n">
        <x:v>2</x:v>
      </x:c>
      <x:c r="D96" s="118" t="n">
        <x:v>0</x:v>
      </x:c>
      <x:c r="E96" s="118" t="n">
        <x:v>0</x:v>
      </x:c>
      <x:c r="F96" s="118" t="n">
        <x:v>2.3838997087080367</x:v>
      </x:c>
      <x:c r="G96" s="118" t="n">
        <x:v>-19.169068125086753</x:v>
      </x:c>
    </x:row>
    <x:row r="97">
      <x:c r="A97" t="n">
        <x:v>9</x:v>
      </x:c>
      <x:c r="B97" t="n">
        <x:v>100</x:v>
      </x:c>
      <x:c r="C97" s="118" t="n">
        <x:v>4</x:v>
      </x:c>
      <x:c r="D97" s="118" t="n">
        <x:v>0</x:v>
      </x:c>
      <x:c r="E97" s="118" t="n">
        <x:v>0</x:v>
      </x:c>
      <x:c r="F97" s="118" t="n">
        <x:v>1.9838997087080381</x:v>
      </x:c>
      <x:c r="G97" s="118" t="n">
        <x:v>-18.769068125086754</x:v>
      </x:c>
    </x:row>
    <x:row r="98">
      <x:c r="A98" t="n">
        <x:v>9</x:v>
      </x:c>
      <x:c r="B98" t="n">
        <x:v>100</x:v>
      </x:c>
      <x:c r="C98" s="118" t="n">
        <x:v>6</x:v>
      </x:c>
      <x:c r="D98" s="118" t="n">
        <x:v>0</x:v>
      </x:c>
      <x:c r="E98" s="118" t="n">
        <x:v>0</x:v>
      </x:c>
      <x:c r="F98" s="118" t="n">
        <x:v>1.583899708708036</x:v>
      </x:c>
      <x:c r="G98" s="118" t="n">
        <x:v>-18.369068125086756</x:v>
      </x:c>
    </x:row>
    <x:row r="99">
      <x:c r="A99" t="n">
        <x:v>9</x:v>
      </x:c>
      <x:c r="B99" t="n">
        <x:v>100</x:v>
      </x:c>
      <x:c r="C99" s="118" t="n">
        <x:v>10</x:v>
      </x:c>
      <x:c r="D99" s="118" t="n">
        <x:v>0</x:v>
      </x:c>
      <x:c r="E99" s="118" t="n">
        <x:v>27.86885245901639</x:v>
      </x:c>
      <x:c r="F99" s="118" t="n">
        <x:v>0.7838997087080353</x:v>
      </x:c>
      <x:c r="G99" s="118" t="n">
        <x:v>-17.56906812508676</x:v>
      </x:c>
    </x:row>
    <x:row r="100">
      <x:c r="A100" t="n">
        <x:v>9</x:v>
      </x:c>
      <x:c r="B100" t="n">
        <x:v>100</x:v>
      </x:c>
      <x:c r="C100" s="118" t="n">
        <x:v>16</x:v>
      </x:c>
      <x:c r="D100" s="118" t="n">
        <x:v>0</x:v>
      </x:c>
      <x:c r="E100" s="118" t="n">
        <x:v>100</x:v>
      </x:c>
      <x:c r="F100" s="118" t="n">
        <x:v>-0.4161002912919641</x:v>
      </x:c>
      <x:c r="G100" s="118" t="n">
        <x:v>-16.369068125086756</x:v>
      </x:c>
    </x:row>
    <x:row r="101">
      <x:c r="A101" t="n">
        <x:v>9</x:v>
      </x:c>
      <x:c r="B101" t="n">
        <x:v>100</x:v>
      </x:c>
      <x:c r="C101" s="118" t="n">
        <x:v>24</x:v>
      </x:c>
      <x:c r="D101" s="118" t="n">
        <x:v>0</x:v>
      </x:c>
      <x:c r="E101" s="118" t="n">
        <x:v>100</x:v>
      </x:c>
      <x:c r="F101" s="118" t="n">
        <x:v>-2.016100291291962</x:v>
      </x:c>
      <x:c r="G101" s="118" t="n">
        <x:v>-14.769068125086756</x:v>
      </x:c>
    </x:row>
    <x:row r="102">
      <x:c r="A102" t="n">
        <x:v>9</x:v>
      </x:c>
      <x:c r="B102" t="n">
        <x:v>200</x:v>
      </x:c>
      <x:c r="C102" s="118" t="n">
        <x:v>0.5</x:v>
      </x:c>
      <x:c r="D102" s="118" t="n">
        <x:v>100</x:v>
      </x:c>
      <x:c r="E102" s="118" t="n">
        <x:v>0</x:v>
      </x:c>
      <x:c r="F102" s="118" t="n">
        <x:v>2.6608063559204966</x:v>
      </x:c>
      <x:c r="G102" s="118" t="n">
        <x:v>2.0739126091049176</x:v>
      </x:c>
    </x:row>
    <x:row r="103">
      <x:c r="A103" t="n">
        <x:v>9</x:v>
      </x:c>
      <x:c r="B103" t="n">
        <x:v>200</x:v>
      </x:c>
      <x:c r="C103" s="118" t="n">
        <x:v>1</x:v>
      </x:c>
      <x:c r="D103" s="118" t="n">
        <x:v>100</x:v>
      </x:c>
      <x:c r="E103" s="118" t="n">
        <x:v>0</x:v>
      </x:c>
      <x:c r="F103" s="118" t="n">
        <x:v>2.512909992524979</x:v>
      </x:c>
      <x:c r="G103" s="118" t="n">
        <x:v>2.2492152079791623</x:v>
      </x:c>
    </x:row>
    <x:row r="104">
      <x:c r="A104" t="n">
        <x:v>9</x:v>
      </x:c>
      <x:c r="B104" t="n">
        <x:v>200</x:v>
      </x:c>
      <x:c r="C104" s="118" t="n">
        <x:v>2</x:v>
      </x:c>
      <x:c r="D104" s="118" t="n">
        <x:v>100</x:v>
      </x:c>
      <x:c r="E104" s="118" t="n">
        <x:v>0</x:v>
      </x:c>
      <x:c r="F104" s="118" t="n">
        <x:v>2.112909992524977</x:v>
      </x:c>
      <x:c r="G104" s="118" t="n">
        <x:v>2.6492152079791644</x:v>
      </x:c>
    </x:row>
    <x:row r="105">
      <x:c r="A105" t="n">
        <x:v>9</x:v>
      </x:c>
      <x:c r="B105" t="n">
        <x:v>200</x:v>
      </x:c>
      <x:c r="C105" s="118" t="n">
        <x:v>4</x:v>
      </x:c>
      <x:c r="D105" s="118" t="n">
        <x:v>100</x:v>
      </x:c>
      <x:c r="E105" s="118" t="n">
        <x:v>0</x:v>
      </x:c>
      <x:c r="F105" s="118" t="n">
        <x:v>1.3129099925249763</x:v>
      </x:c>
      <x:c r="G105" s="118" t="n">
        <x:v>3.449215207979165</x:v>
      </x:c>
    </x:row>
    <x:row r="106">
      <x:c r="A106" t="n">
        <x:v>9</x:v>
      </x:c>
      <x:c r="B106" t="n">
        <x:v>200</x:v>
      </x:c>
      <x:c r="C106" s="118" t="n">
        <x:v>6</x:v>
      </x:c>
      <x:c r="D106" s="118" t="n">
        <x:v>100</x:v>
      </x:c>
      <x:c r="E106" s="118" t="n">
        <x:v>0</x:v>
      </x:c>
      <x:c r="F106" s="118" t="n">
        <x:v>0.5129099925249756</x:v>
      </x:c>
      <x:c r="G106" s="118" t="n">
        <x:v>4.249215207979162</x:v>
      </x:c>
    </x:row>
    <x:row r="107">
      <x:c r="A107" t="n">
        <x:v>9</x:v>
      </x:c>
      <x:c r="B107" t="n">
        <x:v>200</x:v>
      </x:c>
      <x:c r="C107" s="118" t="n">
        <x:v>10</x:v>
      </x:c>
      <x:c r="D107" s="118" t="n">
        <x:v>100</x:v>
      </x:c>
      <x:c r="E107" s="118" t="n">
        <x:v>0</x:v>
      </x:c>
      <x:c r="F107" s="118" t="n">
        <x:v>-1.0870900074750223</x:v>
      </x:c>
      <x:c r="G107" s="118" t="n">
        <x:v>5.849215207979164</x:v>
      </x:c>
    </x:row>
    <x:row r="108">
      <x:c r="A108" t="n">
        <x:v>9</x:v>
      </x:c>
      <x:c r="B108" t="n">
        <x:v>200</x:v>
      </x:c>
      <x:c r="C108" s="118" t="n">
        <x:v>16</x:v>
      </x:c>
      <x:c r="D108" s="118" t="n">
        <x:v>100</x:v>
      </x:c>
      <x:c r="E108" s="118" t="n">
        <x:v>0</x:v>
      </x:c>
      <x:c r="F108" s="118" t="n">
        <x:v>-3.4870900074750244</x:v>
      </x:c>
      <x:c r="G108" s="118" t="n">
        <x:v>8.249215207979162</x:v>
      </x:c>
    </x:row>
    <x:row r="109">
      <x:c r="A109" t="n">
        <x:v>9</x:v>
      </x:c>
      <x:c r="B109" t="n">
        <x:v>200</x:v>
      </x:c>
      <x:c r="C109" s="118" t="n">
        <x:v>24</x:v>
      </x:c>
      <x:c r="D109" s="118" t="n">
        <x:v>100</x:v>
      </x:c>
      <x:c r="E109" s="118" t="n">
        <x:v>0</x:v>
      </x:c>
      <x:c r="F109" s="118" t="n">
        <x:v>-6.68709000747502</x:v>
      </x:c>
      <x:c r="G109" s="118" t="n">
        <x:v>11.449215207979165</x:v>
      </x:c>
    </x:row>
    <x:row r="110">
      <x:c r="A110" t="n">
        <x:v>9</x:v>
      </x:c>
      <x:c r="B110" t="n">
        <x:v>500</x:v>
      </x:c>
      <x:c r="C110" s="118" t="n">
        <x:v>0.5</x:v>
      </x:c>
      <x:c r="D110" s="118" t="n">
        <x:v>100</x:v>
      </x:c>
      <x:c r="E110" s="118" t="n">
        <x:v>0</x:v>
      </x:c>
      <x:c r="F110" s="118" t="n">
        <x:v>2.6608063559204966</x:v>
      </x:c>
      <x:c r="G110" s="118" t="n">
        <x:v>2.0739126091049176</x:v>
      </x:c>
    </x:row>
    <x:row r="111">
      <x:c r="A111" t="n">
        <x:v>9</x:v>
      </x:c>
      <x:c r="B111" t="n">
        <x:v>500</x:v>
      </x:c>
      <x:c r="C111" s="118" t="n">
        <x:v>1</x:v>
      </x:c>
      <x:c r="D111" s="118" t="n">
        <x:v>100</x:v>
      </x:c>
      <x:c r="E111" s="118" t="n">
        <x:v>0</x:v>
      </x:c>
      <x:c r="F111" s="118" t="n">
        <x:v>2.3369850835948123</x:v>
      </x:c>
      <x:c r="G111" s="118" t="n">
        <x:v>2.4308975406786946</x:v>
      </x:c>
    </x:row>
    <x:row r="112">
      <x:c r="A112" t="n">
        <x:v>9</x:v>
      </x:c>
      <x:c r="B112" t="n">
        <x:v>500</x:v>
      </x:c>
      <x:c r="C112" s="118" t="n">
        <x:v>2</x:v>
      </x:c>
      <x:c r="D112" s="118" t="n">
        <x:v>100</x:v>
      </x:c>
      <x:c r="E112" s="118" t="n">
        <x:v>0</x:v>
      </x:c>
      <x:c r="F112" s="118" t="n">
        <x:v>1.3369850835948123</x:v>
      </x:c>
      <x:c r="G112" s="118" t="n">
        <x:v>3.4308975406786946</x:v>
      </x:c>
    </x:row>
    <x:row r="113">
      <x:c r="A113" t="n">
        <x:v>9</x:v>
      </x:c>
      <x:c r="B113" t="n">
        <x:v>500</x:v>
      </x:c>
      <x:c r="C113" s="118" t="n">
        <x:v>4</x:v>
      </x:c>
      <x:c r="D113" s="118" t="n">
        <x:v>100</x:v>
      </x:c>
      <x:c r="E113" s="118" t="n">
        <x:v>0</x:v>
      </x:c>
      <x:c r="F113" s="118" t="n">
        <x:v>-0.6630149164051877</x:v>
      </x:c>
      <x:c r="G113" s="118" t="n">
        <x:v>5.430897540678695</x:v>
      </x:c>
    </x:row>
    <x:row r="114">
      <x:c r="A114" t="n">
        <x:v>9</x:v>
      </x:c>
      <x:c r="B114" t="n">
        <x:v>500</x:v>
      </x:c>
      <x:c r="C114" s="118" t="n">
        <x:v>6</x:v>
      </x:c>
      <x:c r="D114" s="118" t="n">
        <x:v>100</x:v>
      </x:c>
      <x:c r="E114" s="118" t="n">
        <x:v>0</x:v>
      </x:c>
      <x:c r="F114" s="118" t="n">
        <x:v>-2.6630149164051877</x:v>
      </x:c>
      <x:c r="G114" s="118" t="n">
        <x:v>7.430897540678695</x:v>
      </x:c>
    </x:row>
    <x:row r="115">
      <x:c r="A115" t="n">
        <x:v>9</x:v>
      </x:c>
      <x:c r="B115" t="n">
        <x:v>500</x:v>
      </x:c>
      <x:c r="C115" s="118" t="n">
        <x:v>10</x:v>
      </x:c>
      <x:c r="D115" s="118" t="n">
        <x:v>100</x:v>
      </x:c>
      <x:c r="E115" s="118" t="n">
        <x:v>0</x:v>
      </x:c>
      <x:c r="F115" s="118" t="n">
        <x:v>-6.663014916405188</x:v>
      </x:c>
      <x:c r="G115" s="118" t="n">
        <x:v>11.430897540678695</x:v>
      </x:c>
    </x:row>
    <x:row r="116">
      <x:c r="A116" t="n">
        <x:v>9</x:v>
      </x:c>
      <x:c r="B116" t="n">
        <x:v>500</x:v>
      </x:c>
      <x:c r="C116" s="118" t="n">
        <x:v>16</x:v>
      </x:c>
      <x:c r="D116" s="118" t="n">
        <x:v>100</x:v>
      </x:c>
      <x:c r="E116" s="118" t="n">
        <x:v>0</x:v>
      </x:c>
      <x:c r="F116" s="118" t="n">
        <x:v>-12.663014916405189</x:v>
      </x:c>
      <x:c r="G116" s="118" t="n">
        <x:v>17.430897540678693</x:v>
      </x:c>
    </x:row>
    <x:row r="117">
      <x:c r="A117" t="n">
        <x:v>9</x:v>
      </x:c>
      <x:c r="B117" t="n">
        <x:v>500</x:v>
      </x:c>
      <x:c r="C117" s="118" t="n">
        <x:v>24</x:v>
      </x:c>
      <x:c r="D117" s="118" t="n">
        <x:v>100</x:v>
      </x:c>
      <x:c r="E117" s="118" t="n">
        <x:v>0</x:v>
      </x:c>
      <x:c r="F117" s="118" t="n">
        <x:v>-20.66301491640519</x:v>
      </x:c>
      <x:c r="G117" s="118" t="n">
        <x:v>25.43089754067869</x:v>
      </x:c>
    </x:row>
  </x:sheetData>
  <x:mergeCells>
    <x:mergeCell ref="A1:N1"/>
    <x:mergeCell ref="A2:N2"/>
  </x:mergeCells>
  <x:pageMargins left="0.7" right="0.7" top="0.75" bottom="0.75" header="0.3" footer="0.3"/>
  <x:tableParts count="2">
    <x:tablePart xmlns:r="http://schemas.openxmlformats.org/officeDocument/2006/relationships" r:id="R515170606e17410c"/>
    <x:tablePart xmlns:r="http://schemas.openxmlformats.org/officeDocument/2006/relationships" r:id="R64f51e1c38894ade"/>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2.5" hidden="0" customWidth="1"/>
    <x:col min="2" max="2" width="17.5" hidden="0" customWidth="1"/>
    <x:col min="3" max="3" width="9.380000114440918" hidden="0" customWidth="1"/>
    <x:col min="4" max="4" width="41.25" hidden="0" customWidth="1"/>
    <x:col min="5" max="5" width="32.5" hidden="0" customWidth="1"/>
    <x:col min="6" max="6" width="27.5" hidden="0" customWidth="1"/>
    <x:col min="7" max="7" width="41.25" hidden="0" customWidth="1"/>
  </x:cols>
  <x:sheetData>
    <x:row r="1" ht="21" customHeight="1">
      <x:c r="A1" s="125" t="str">
        <x:v>V2 Sources, Materials, And Validation</x:v>
      </x:c>
      <x:c r="B1" s="125" t="str">
        <x:v>V2 Sources, Materials, And Validation</x:v>
      </x:c>
      <x:c r="C1" s="125" t="str">
        <x:v>V2 Sources, Materials, And Validation</x:v>
      </x:c>
      <x:c r="D1" s="125" t="str">
        <x:v>V2 Sources, Materials, And Validation</x:v>
      </x:c>
      <x:c r="E1" s="125" t="str">
        <x:v>V2 Sources, Materials, And Validation</x:v>
      </x:c>
      <x:c r="F1" s="125" t="str">
        <x:v>V2 Sources, Materials, And Validation</x:v>
      </x:c>
      <x:c r="G1" s="125" t="str">
        <x:v>V2 Sources, Materials, And Validation</x:v>
      </x:c>
      <x:c r="H1" s="125" t="str">
        <x:v>V2 Sources, Materials, And Validation</x:v>
      </x:c>
      <x:c r="I1" s="125" t="str">
        <x:v>V2 Sources, Materials, And Validation</x:v>
      </x:c>
      <x:c r="J1" s="125" t="str">
        <x:v>V2 Sources, Materials, And Validation</x:v>
      </x:c>
      <x:c r="K1" s="125" t="str">
        <x:v>V2 Sources, Materials, And Validation</x:v>
      </x:c>
      <x:c r="L1" s="125" t="str">
        <x:v>V2 Sources, Materials, And Validation</x:v>
      </x:c>
      <x:c r="M1" s="125" t="str">
        <x:v>V2 Sources, Materials, And Validation</x:v>
      </x:c>
      <x:c r="N1" s="125" t="str">
        <x:v>V2 Sources, Materials, And Validation</x:v>
      </x:c>
    </x:row>
    <x:row r="2" ht="31.5" customHeight="1">
      <x:c r="A2" s="128" t="str">
        <x:v>Source-backed calibration table for the paper-calibrated dirty-ice and clutter sensitivity model.</x:v>
      </x:c>
      <x:c r="B2" s="128" t="str">
        <x:v>Source-backed calibration table for the paper-calibrated dirty-ice and clutter sensitivity model.</x:v>
      </x:c>
      <x:c r="C2" s="128" t="str">
        <x:v>Source-backed calibration table for the paper-calibrated dirty-ice and clutter sensitivity model.</x:v>
      </x:c>
      <x:c r="D2" s="128" t="str">
        <x:v>Source-backed calibration table for the paper-calibrated dirty-ice and clutter sensitivity model.</x:v>
      </x:c>
      <x:c r="E2" s="128" t="str">
        <x:v>Source-backed calibration table for the paper-calibrated dirty-ice and clutter sensitivity model.</x:v>
      </x:c>
      <x:c r="F2" s="128" t="str">
        <x:v>Source-backed calibration table for the paper-calibrated dirty-ice and clutter sensitivity model.</x:v>
      </x:c>
      <x:c r="G2" s="128" t="str">
        <x:v>Source-backed calibration table for the paper-calibrated dirty-ice and clutter sensitivity model.</x:v>
      </x:c>
      <x:c r="H2" s="128" t="str">
        <x:v>Source-backed calibration table for the paper-calibrated dirty-ice and clutter sensitivity model.</x:v>
      </x:c>
      <x:c r="I2" s="128" t="str">
        <x:v>Source-backed calibration table for the paper-calibrated dirty-ice and clutter sensitivity model.</x:v>
      </x:c>
      <x:c r="J2" s="128" t="str">
        <x:v>Source-backed calibration table for the paper-calibrated dirty-ice and clutter sensitivity model.</x:v>
      </x:c>
      <x:c r="K2" s="128" t="str">
        <x:v>Source-backed calibration table for the paper-calibrated dirty-ice and clutter sensitivity model.</x:v>
      </x:c>
      <x:c r="L2" s="128" t="str">
        <x:v>Source-backed calibration table for the paper-calibrated dirty-ice and clutter sensitivity model.</x:v>
      </x:c>
      <x:c r="M2" s="128" t="str">
        <x:v>Source-backed calibration table for the paper-calibrated dirty-ice and clutter sensitivity model.</x:v>
      </x:c>
      <x:c r="N2" s="128" t="str">
        <x:v>Source-backed calibration table for the paper-calibrated dirty-ice and clutter sensitivity model.</x:v>
      </x:c>
    </x:row>
    <x:row r="5">
      <x:c r="A5" s="135" t="str">
        <x:v>Source anchor</x:v>
      </x:c>
      <x:c r="B5" s="135" t="str">
        <x:v>URL</x:v>
      </x:c>
    </x:row>
    <x:row r="6">
      <x:c r="A6" s="137" t="str">
        <x:v>NASA Europa Clipper instruments</x:v>
      </x:c>
      <x:c r="B6" s="137" t="str">
        <x:v>https://science.nasa.gov/mission/europa-clipper/spacecraft-instruments/</x:v>
      </x:c>
    </x:row>
    <x:row r="7">
      <x:c r="A7" s="137" t="str">
        <x:v>Blankenship et al. 2024 REASON</x:v>
      </x:c>
      <x:c r="B7" s="137" t="str">
        <x:v>https://link.springer.com/article/10.1007/s11214-024-01072-3</x:v>
      </x:c>
    </x:row>
    <x:row r="8">
      <x:c r="A8" s="137" t="str">
        <x:v>Lalich et al. 2021 radar interference analog</x:v>
      </x:c>
      <x:c r="B8" s="137" t="str">
        <x:v>https://arxiv.org/abs/2107.03497</x:v>
      </x:c>
    </x:row>
    <x:row r="9">
      <x:c r="A9" s="137" t="str">
        <x:v>Castelletti et al. 2017 cross-track clutter detection</x:v>
      </x:c>
      <x:c r="B9" s="137" t="str">
        <x:v>https://doi.org/10.1109/TGRS.2017.2721433</x:v>
      </x:c>
    </x:row>
    <x:row r="10">
      <x:c r="A10" s="137" t="str">
        <x:v>Scanlan et al. 2020 cross-track clutter discrimination</x:v>
      </x:c>
      <x:c r="B10" s="137" t="str">
        <x:v>https://doi.org/10.1017/aog.2020.20</x:v>
      </x:c>
    </x:row>
    <x:row r="11">
      <x:c r="A11" s="137" t="str">
        <x:v>Pettinelli et al. 2015 dielectric review</x:v>
      </x:c>
      <x:c r="B11" s="137" t="str">
        <x:v>https://doi.org/10.1002/2014RG000463</x:v>
      </x:c>
    </x:row>
    <x:row r="14">
      <x:c r="A14" s="117" t="str">
        <x:v>key</x:v>
      </x:c>
      <x:c r="B14" s="117" t="str">
        <x:v>label</x:v>
      </x:c>
      <x:c r="C14" s="117" t="str">
        <x:v>eps_real</x:v>
      </x:c>
      <x:c r="D14" s="117" t="str">
        <x:v>attenuation_db_km_hf_min</x:v>
      </x:c>
      <x:c r="E14" s="117" t="str">
        <x:v>attenuation_db_km_hf_max</x:v>
      </x:c>
      <x:c r="F14" s="117" t="str">
        <x:v>source_status</x:v>
      </x:c>
      <x:c r="G14" s="117" t="str">
        <x:v>link</x:v>
      </x:c>
    </x:row>
    <x:row r="15">
      <x:c r="A15" t="str">
        <x:v>clean_ice</x:v>
      </x:c>
      <x:c r="B15" t="str">
        <x:v>Clean compact water ice</x:v>
      </x:c>
      <x:c r="C15" t="n">
        <x:v>3.15</x:v>
      </x:c>
      <x:c r="D15" t="n">
        <x:v>0.2</x:v>
      </x:c>
      <x:c r="E15" t="n">
        <x:v>0.7</x:v>
      </x:c>
      <x:c r="F15" t="str">
        <x:v>Directly paper anchored epsilon; attenuation profile modeled</x:v>
      </x:c>
      <x:c r="G15" t="str">
        <x:v>https://link.springer.com/article/10.1007/s11214-024-01072-3</x:v>
      </x:c>
    </x:row>
    <x:row r="16">
      <x:c r="A16" t="str">
        <x:v>pore_close_ice</x:v>
      </x:c>
      <x:c r="B16" t="str">
        <x:v>Pore close-off / porous ice endmember</x:v>
      </x:c>
      <x:c r="C16" t="n">
        <x:v>2.8</x:v>
      </x:c>
      <x:c r="D16" t="n">
        <x:v>0.2</x:v>
      </x:c>
      <x:c r="E16" t="n">
        <x:v>1.2</x:v>
      </x:c>
      <x:c r="F16" t="str">
        <x:v>Directly paper anchored epsilon; attenuation bracketed</x:v>
      </x:c>
      <x:c r="G16" t="str">
        <x:v>https://link.springer.com/article/10.1007/s11214-024-01072-3</x:v>
      </x:c>
    </x:row>
    <x:row r="17">
      <x:c r="A17" t="str">
        <x:v>brine_filled_ice</x:v>
      </x:c>
      <x:c r="B17" t="str">
        <x:v>Brine-filled ice</x:v>
      </x:c>
      <x:c r="C17" t="n">
        <x:v>9</x:v>
      </x:c>
      <x:c r="D17" t="n">
        <x:v>5</x:v>
      </x:c>
      <x:c r="E17" t="n">
        <x:v>18</x:v>
      </x:c>
      <x:c r="F17" t="str">
        <x:v>Directly paper anchored epsilon; high-loss bracket modeled</x:v>
      </x:c>
      <x:c r="G17" t="str">
        <x:v>https://link.springer.com/article/10.1007/s11214-024-01072-3</x:v>
      </x:c>
    </x:row>
    <x:row r="18">
      <x:c r="A18" t="str">
        <x:v>hydrated_salt</x:v>
      </x:c>
      <x:c r="B18" t="str">
        <x:v>Hydrated salt layer</x:v>
      </x:c>
      <x:c r="C18" t="n">
        <x:v>5</x:v>
      </x:c>
      <x:c r="D18" t="n">
        <x:v>0.7</x:v>
      </x:c>
      <x:c r="E18" t="n">
        <x:v>2</x:v>
      </x:c>
      <x:c r="F18" t="str">
        <x:v>Directly paper anchored epsilon and layer thicknesses</x:v>
      </x:c>
      <x:c r="G18" t="str">
        <x:v>https://link.springer.com/article/10.1007/s11214-024-01072-3</x:v>
      </x:c>
    </x:row>
    <x:row r="19">
      <x:c r="A19" t="str">
        <x:v>dirty_mixed_ice</x:v>
      </x:c>
      <x:c r="B19" t="str">
        <x:v>Mixed dirty ice bracket</x:v>
      </x:c>
      <x:c r="C19" t="n">
        <x:v>6.2</x:v>
      </x:c>
      <x:c r="D19" t="n">
        <x:v>1.4</x:v>
      </x:c>
      <x:c r="E19" t="n">
        <x:v>7.8</x:v>
      </x:c>
      <x:c r="F19" t="str">
        <x:v>Sensitivity bracket from paper-supported material families</x:v>
      </x:c>
      <x:c r="G19" t="str">
        <x:v>https://link.springer.com/article/10.1007/s11214-024-01072-3</x:v>
      </x:c>
    </x:row>
    <x:row r="20">
      <x:c r="A20" t="str">
        <x:v>void_porous_fracture</x:v>
      </x:c>
      <x:c r="B20" t="str">
        <x:v>Void/porous fracture contrast</x:v>
      </x:c>
      <x:c r="C20" t="n">
        <x:v>2.2</x:v>
      </x:c>
      <x:c r="D20" t="n">
        <x:v>0.2</x:v>
      </x:c>
      <x:c r="E20" t="n">
        <x:v>1.2</x:v>
      </x:c>
      <x:c r="F20" t="str">
        <x:v>Sensitivity bracket</x:v>
      </x:c>
      <x:c r="G20" t="str">
        <x:v>https://doi.org/10.1002/2014RG000463</x:v>
      </x:c>
    </x:row>
    <x:row r="21">
      <x:c r="A21" t="str">
        <x:v>liquid_ocean</x:v>
      </x:c>
      <x:c r="B21" t="str">
        <x:v>Liquid water/ocean endmember</x:v>
      </x:c>
      <x:c r="C21" t="n">
        <x:v>80</x:v>
      </x:c>
      <x:c r="D21" t="n">
        <x:v>0</x:v>
      </x:c>
      <x:c r="E21" t="n">
        <x:v>0</x:v>
      </x:c>
      <x:c r="F21" t="str">
        <x:v>Model endmember</x:v>
      </x:c>
      <x:c r="G21"/>
    </x:row>
    <x:row r="25">
      <x:c r="A25" s="142" t="str">
        <x:v>check</x:v>
      </x:c>
      <x:c r="B25" s="142" t="str">
        <x:v>observed</x:v>
      </x:c>
      <x:c r="C25" s="142" t="str">
        <x:v>expected</x:v>
      </x:c>
      <x:c r="D25" s="142" t="str">
        <x:v>abs_error</x:v>
      </x:c>
      <x:c r="E25" s="142" t="str">
        <x:v>passed</x:v>
      </x:c>
    </x:row>
    <x:row r="26">
      <x:c r="A26" t="str">
        <x:v>single interface matches Fresnel amplitude</x:v>
      </x:c>
      <x:c r="B26" t="n">
        <x:v>0.11499787394931256</x:v>
      </x:c>
      <x:c r="C26" t="n">
        <x:v>0.11499787394931256</x:v>
      </x:c>
      <x:c r="D26" t="n">
        <x:v>0</x:v>
      </x:c>
      <x:c r="E26" s="138" t="b">
        <x:v>1</x:v>
      </x:c>
    </x:row>
    <x:row r="27">
      <x:c r="A27" t="str">
        <x:v>no dielectric contrast returns zero reflection</x:v>
      </x:c>
      <x:c r="B27" t="n">
        <x:v>0</x:v>
      </x:c>
      <x:c r="C27" t="n">
        <x:v>0</x:v>
      </x:c>
      <x:c r="D27" t="n">
        <x:v>0</x:v>
      </x:c>
      <x:c r="E27" s="138" t="b">
        <x:v>1</x:v>
      </x:c>
    </x:row>
    <x:row r="32">
      <x:c r="A32" s="146" t="str">
        <x:v>parameter</x:v>
      </x:c>
      <x:c r="B32" s="146" t="str">
        <x:v>value</x:v>
      </x:c>
      <x:c r="C32" s="146" t="str">
        <x:v>unit</x:v>
      </x:c>
      <x:c r="D32" s="146" t="str">
        <x:v>v2_use</x:v>
      </x:c>
      <x:c r="E32" s="146" t="str">
        <x:v>source</x:v>
      </x:c>
      <x:c r="F32" s="146" t="str">
        <x:v>source_status</x:v>
      </x:c>
      <x:c r="G32" s="146" t="str">
        <x:v>link</x:v>
      </x:c>
    </x:row>
    <x:row r="33">
      <x:c r="A33" t="str">
        <x:v>REASON science role</x:v>
      </x:c>
      <x:c r="B33" t="str">
        <x:v>Probe Europa ice shell, suspected ocean, surface elevation, roughness, composition, and plumes</x:v>
      </x:c>
      <x:c r="C33"/>
      <x:c r="D33" t="str">
        <x:v>Defines the simulation question as radar ambiguity in ice/ocean interpretation.</x:v>
      </x:c>
      <x:c r="E33" t="str">
        <x:v>NASA Europa Clipper instruments page</x:v>
      </x:c>
      <x:c r="F33" t="str">
        <x:v>Directly source anchored</x:v>
      </x:c>
      <x:c r="G33" t="str">
        <x:v>https://science.nasa.gov/mission/europa-clipper/spacecraft-instruments/</x:v>
      </x:c>
    </x:row>
    <x:row r="34">
      <x:c r="A34" t="str">
        <x:v>SNR detection threshold</x:v>
      </x:c>
      <x:c r="B34" t="n">
        <x:v>0</x:v>
      </x:c>
      <x:c r="C34" t="str">
        <x:v>dB</x:v>
      </x:c>
      <x:c r="D34" t="str">
        <x:v>Primary detectability threshold for echo classifications.</x:v>
      </x:c>
      <x:c r="E34" t="str">
        <x:v>Blankenship et al. 2024, REASON</x:v>
      </x:c>
      <x:c r="F34" t="str">
        <x:v>Directly paper anchored</x:v>
      </x:c>
      <x:c r="G34" t="str">
        <x:v>https://link.springer.com/article/10.1007/s11214-024-01072-3</x:v>
      </x:c>
    </x:row>
    <x:row r="35">
      <x:c r="A35" t="str">
        <x:v>Clean compact ice permittivity</x:v>
      </x:c>
      <x:c r="B35" t="n">
        <x:v>3.15</x:v>
      </x:c>
      <x:c r="C35" t="str">
        <x:v>relative epsilon</x:v>
      </x:c>
      <x:c r="D35" t="str">
        <x:v>Background ice dielectric constant and interface reflectivity.</x:v>
      </x:c>
      <x:c r="E35" t="str">
        <x:v>Blankenship et al. 2024, REASON</x:v>
      </x:c>
      <x:c r="F35" t="str">
        <x:v>Directly paper anchored</x:v>
      </x:c>
      <x:c r="G35" t="str">
        <x:v>https://link.springer.com/article/10.1007/s11214-024-01072-3</x:v>
      </x:c>
    </x:row>
    <x:row r="36">
      <x:c r="A36" t="str">
        <x:v>Brine-filled ice permittivity</x:v>
      </x:c>
      <x:c r="B36" t="n">
        <x:v>9</x:v>
      </x:c>
      <x:c r="C36" t="str">
        <x:v>relative epsilon</x:v>
      </x:c>
      <x:c r="D36" t="str">
        <x:v>Briny near-surface and briny lens end member.</x:v>
      </x:c>
      <x:c r="E36" t="str">
        <x:v>Blankenship et al. 2024, REASON</x:v>
      </x:c>
      <x:c r="F36" t="str">
        <x:v>Directly paper anchored</x:v>
      </x:c>
      <x:c r="G36" t="str">
        <x:v>https://link.springer.com/article/10.1007/s11214-024-01072-3</x:v>
      </x:c>
    </x:row>
    <x:row r="37">
      <x:c r="A37" t="str">
        <x:v>Hydrated salt layer permittivity</x:v>
      </x:c>
      <x:c r="B37" t="n">
        <x:v>5</x:v>
      </x:c>
      <x:c r="C37" t="str">
        <x:v>relative epsilon</x:v>
      </x:c>
      <x:c r="D37" t="str">
        <x:v>Salt-layer target interface reflectivity.</x:v>
      </x:c>
      <x:c r="E37" t="str">
        <x:v>Blankenship et al. 2024, REASON</x:v>
      </x:c>
      <x:c r="F37" t="str">
        <x:v>Directly paper anchored</x:v>
      </x:c>
      <x:c r="G37" t="str">
        <x:v>https://link.springer.com/article/10.1007/s11214-024-01072-3</x:v>
      </x:c>
    </x:row>
    <x:row r="38">
      <x:c r="A38" t="str">
        <x:v>Attenuation variability anchor</x:v>
      </x:c>
      <x:c r="B38" t="n">
        <x:v>2</x:v>
      </x:c>
      <x:c r="C38" t="str">
        <x:v>dB/km</x:v>
      </x:c>
      <x:c r="D38" t="str">
        <x:v>Used to scale warm/dirty ice attenuation modes; exact rates remain sensitivity parameters.</x:v>
      </x:c>
      <x:c r="E38" t="str">
        <x:v>Blankenship et al. 2024, REASON</x:v>
      </x:c>
      <x:c r="F38" t="str">
        <x:v>Paper anchored as variability example</x:v>
      </x:c>
      <x:c r="G38" t="str">
        <x:v>https://link.springer.com/article/10.1007/s11214-024-01072-3</x:v>
      </x:c>
    </x:row>
    <x:row r="39">
      <x:c r="A39" t="str">
        <x:v>Unresolved thin-layer solver</x:v>
      </x:c>
      <x:c r="B39" t="str">
        <x:v>normal-incidence transfer matrix</x:v>
      </x:c>
      <x:c r="C39"/>
      <x:c r="D39" t="str">
        <x:v>Computes the effective reflection of interfaces inside one vertical-resolution window.</x:v>
      </x:c>
      <x:c r="E39" t="str">
        <x:v>Blankenship et al. 2024, REASON; Lalich et al. 2021 / Mars analog</x:v>
      </x:c>
      <x:c r="F39" t="str">
        <x:v>Physics upgrade anchored by thin-layer interference literature</x:v>
      </x:c>
      <x:c r="G39" t="str">
        <x:v>https://arxiv.org/abs/2107.03497</x:v>
      </x:c>
    </x:row>
    <x:row r="40">
      <x:c r="A40" t="str">
        <x:v>VHF off-nadir clutter mechanism</x:v>
      </x:c>
      <x:c r="B40" t="str">
        <x:v>surface returns can share delay with shallow nadir echoes</x:v>
      </x:c>
      <x:c r="C40"/>
      <x:c r="D40" t="str">
        <x:v>Adds a separate surface-clutter ambiguity class for VHF shallow stress tests.</x:v>
      </x:c>
      <x:c r="E40" t="str">
        <x:v>Blankenship et al. 2024 REASON; Castelletti et al. 2017; Scanlan et al. 2020</x:v>
      </x:c>
      <x:c r="F40" t="str">
        <x:v>Paper anchored mechanism; amplitude is sensitivity-modeled</x:v>
      </x:c>
      <x:c r="G40" t="str">
        <x:v>https://link.springer.com/article/10.1007/s11214-024-01072-3</x:v>
      </x:c>
    </x:row>
    <x:row r="41">
      <x:c r="A41" t="str">
        <x:v>VHF clutter discrimination</x:v>
      </x:c>
      <x:c r="B41" t="str">
        <x:v>cross-track interferometric phase</x:v>
      </x:c>
      <x:c r="C41"/>
      <x:c r="D41" t="str">
        <x:v>Flags that real REASON processing can discriminate some clutter; v2 does not model the phase processor.</x:v>
      </x:c>
      <x:c r="E41" t="str">
        <x:v>Blankenship et al. 2024 REASON; Castelletti et al. 2017; Scanlan et al. 2020</x:v>
      </x:c>
      <x:c r="F41" t="str">
        <x:v>Paper anchored processing concept</x:v>
      </x:c>
      <x:c r="G41" t="str">
        <x:v>https://doi.org/10.1109/TGRS.2017.2721433</x:v>
      </x:c>
    </x:row>
  </x:sheetData>
  <x:mergeCells>
    <x:mergeCell ref="A1:N1"/>
    <x:mergeCell ref="A2:N2"/>
  </x:mergeCells>
  <x:pageMargins left="0.7" right="0.7" top="0.75" bottom="0.75" header="0.3" footer="0.3"/>
  <x:tableParts count="3">
    <x:tablePart xmlns:r="http://schemas.openxmlformats.org/officeDocument/2006/relationships" r:id="R2a8d03028df4455b"/>
    <x:tablePart xmlns:r="http://schemas.openxmlformats.org/officeDocument/2006/relationships" r:id="Rf481fcc39db84b30"/>
    <x:tablePart xmlns:r="http://schemas.openxmlformats.org/officeDocument/2006/relationships" r:id="R926b6bb6a6dc41b4"/>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8.75" hidden="0" customWidth="1"/>
    <x:col min="2" max="2" width="14" hidden="0" customWidth="1"/>
    <x:col min="3" max="3" width="14" hidden="0" customWidth="1"/>
    <x:col min="4" max="4" width="18.75" hidden="0" customWidth="1"/>
    <x:col min="5" max="5" width="14" hidden="0" customWidth="1"/>
    <x:col min="6" max="6" width="14" hidden="0" customWidth="1"/>
    <x:col min="7" max="7" width="18.75" hidden="0" customWidth="1"/>
    <x:col min="8" max="8" width="14" hidden="0" customWidth="1"/>
    <x:col min="9" max="9" width="14" hidden="0" customWidth="1"/>
    <x:col min="10" max="10" width="18.75" hidden="0" customWidth="1"/>
    <x:col min="11" max="11" width="14" hidden="0" customWidth="1"/>
    <x:col min="12" max="12" width="14" hidden="0" customWidth="1"/>
    <x:col min="13" max="13" width="11.880000114440918" hidden="0" customWidth="1"/>
    <x:col min="14" max="14" width="11.880000114440918" hidden="0" customWidth="1"/>
  </x:cols>
  <x:sheetData>
    <x:row r="1" ht="21" customHeight="1">
      <x:c r="A1" s="125" t="str">
        <x:v>Paper-Calibrated Europa Radar v2</x:v>
      </x:c>
      <x:c r="B1" s="125" t="str">
        <x:v>Paper-Calibrated Europa Radar v2</x:v>
      </x:c>
      <x:c r="C1" s="125" t="str">
        <x:v>Paper-Calibrated Europa Radar v2</x:v>
      </x:c>
      <x:c r="D1" s="125" t="str">
        <x:v>Paper-Calibrated Europa Radar v2</x:v>
      </x:c>
      <x:c r="E1" s="125" t="str">
        <x:v>Paper-Calibrated Europa Radar v2</x:v>
      </x:c>
      <x:c r="F1" s="125" t="str">
        <x:v>Paper-Calibrated Europa Radar v2</x:v>
      </x:c>
      <x:c r="G1" s="125" t="str">
        <x:v>Paper-Calibrated Europa Radar v2</x:v>
      </x:c>
      <x:c r="H1" s="125" t="str">
        <x:v>Paper-Calibrated Europa Radar v2</x:v>
      </x:c>
      <x:c r="I1" s="125" t="str">
        <x:v>Paper-Calibrated Europa Radar v2</x:v>
      </x:c>
      <x:c r="J1" s="125" t="str">
        <x:v>Paper-Calibrated Europa Radar v2</x:v>
      </x:c>
      <x:c r="K1" s="125" t="str">
        <x:v>Paper-Calibrated Europa Radar v2</x:v>
      </x:c>
      <x:c r="L1" s="125" t="str">
        <x:v>Paper-Calibrated Europa Radar v2</x:v>
      </x:c>
      <x:c r="M1" s="125" t="str">
        <x:v>Paper-Calibrated Europa Radar v2</x:v>
      </x:c>
      <x:c r="N1" s="125" t="str">
        <x:v>Paper-Calibrated Europa Radar v2</x:v>
      </x:c>
    </x:row>
    <x:row r="2" ht="31.5" customHeight="1">
      <x:c r="A2" s="128" t="str">
        <x:v>Sensitivity simulation added from Python v2: attenuation, dirty-layer false boundaries, and VHF shallow clutter are tracked separately.</x:v>
      </x:c>
      <x:c r="B2" s="128" t="str">
        <x:v>Sensitivity simulation added from Python v2: attenuation, dirty-layer false boundaries, and VHF shallow clutter are tracked separately.</x:v>
      </x:c>
      <x:c r="C2" s="128" t="str">
        <x:v>Sensitivity simulation added from Python v2: attenuation, dirty-layer false boundaries, and VHF shallow clutter are tracked separately.</x:v>
      </x:c>
      <x:c r="D2" s="128" t="str">
        <x:v>Sensitivity simulation added from Python v2: attenuation, dirty-layer false boundaries, and VHF shallow clutter are tracked separately.</x:v>
      </x:c>
      <x:c r="E2" s="128" t="str">
        <x:v>Sensitivity simulation added from Python v2: attenuation, dirty-layer false boundaries, and VHF shallow clutter are tracked separately.</x:v>
      </x:c>
      <x:c r="F2" s="128" t="str">
        <x:v>Sensitivity simulation added from Python v2: attenuation, dirty-layer false boundaries, and VHF shallow clutter are tracked separately.</x:v>
      </x:c>
      <x:c r="G2" s="128" t="str">
        <x:v>Sensitivity simulation added from Python v2: attenuation, dirty-layer false boundaries, and VHF shallow clutter are tracked separately.</x:v>
      </x:c>
      <x:c r="H2" s="128" t="str">
        <x:v>Sensitivity simulation added from Python v2: attenuation, dirty-layer false boundaries, and VHF shallow clutter are tracked separately.</x:v>
      </x:c>
      <x:c r="I2" s="128" t="str">
        <x:v>Sensitivity simulation added from Python v2: attenuation, dirty-layer false boundaries, and VHF shallow clutter are tracked separately.</x:v>
      </x:c>
      <x:c r="J2" s="128" t="str">
        <x:v>Sensitivity simulation added from Python v2: attenuation, dirty-layer false boundaries, and VHF shallow clutter are tracked separately.</x:v>
      </x:c>
      <x:c r="K2" s="128" t="str">
        <x:v>Sensitivity simulation added from Python v2: attenuation, dirty-layer false boundaries, and VHF shallow clutter are tracked separately.</x:v>
      </x:c>
      <x:c r="L2" s="128" t="str">
        <x:v>Sensitivity simulation added from Python v2: attenuation, dirty-layer false boundaries, and VHF shallow clutter are tracked separately.</x:v>
      </x:c>
      <x:c r="M2" s="128" t="str">
        <x:v>Sensitivity simulation added from Python v2: attenuation, dirty-layer false boundaries, and VHF shallow clutter are tracked separately.</x:v>
      </x:c>
      <x:c r="N2" s="128" t="str">
        <x:v>Sensitivity simulation added from Python v2: attenuation, dirty-layer false boundaries, and VHF shallow clutter are tracked separately.</x:v>
      </x:c>
    </x:row>
    <x:row r="4" ht="22.5" customHeight="1">
      <x:c r="A4" s="150" t="str">
        <x:v>Clean HF ocean margin</x:v>
      </x:c>
      <x:c r="B4" s="150" t="str">
        <x:v>Clean HF ocean margin</x:v>
      </x:c>
      <x:c r="C4" s="150" t="str">
        <x:v>Clean HF ocean margin</x:v>
      </x:c>
      <x:c r="D4" s="157" t="str">
        <x:v>Stacked dirty false risk</x:v>
      </x:c>
      <x:c r="E4" s="157" t="str">
        <x:v>Stacked dirty false risk</x:v>
      </x:c>
      <x:c r="F4" s="157" t="str">
        <x:v>Stacked dirty false risk</x:v>
      </x:c>
      <x:c r="G4" s="164" t="str">
        <x:v>Complex weak/no deep</x:v>
      </x:c>
      <x:c r="H4" s="164" t="str">
        <x:v>Complex weak/no deep</x:v>
      </x:c>
      <x:c r="I4" s="164" t="str">
        <x:v>Complex weak/no deep</x:v>
      </x:c>
      <x:c r="J4" s="171" t="str">
        <x:v>Rough VHF clutter</x:v>
      </x:c>
      <x:c r="K4" s="171" t="str">
        <x:v>Rough VHF clutter</x:v>
      </x:c>
      <x:c r="L4" s="171" t="str">
        <x:v>Rough VHF clutter</x:v>
      </x:c>
    </x:row>
    <x:row r="5" ht="22.5" customHeight="1">
      <x:c r="A5" s="153" t="n">
        <x:f>SUMIFS(V2_Summary!$Q$2:$Q$82,V2_Summary!$A$2:$A$82,"workbook_mid_shell",V2_Summary!$B$2:$B$82,"clean_ice_control",V2_Summary!$C$2:$C$82,"HF_9MHz_full_depth")/COUNTIFS(V2_Summary!$A$2:$A$82,"workbook_mid_shell",V2_Summary!$B$2:$B$82,"clean_ice_control",V2_Summary!$C$2:$C$82,"HF_9MHz_full_depth")</x:f>
        <x:v>13.40080455006378</x:v>
      </x:c>
      <x:c r="B5" s="153"/>
      <x:c r="C5" s="153"/>
      <x:c r="D5" s="160" t="n">
        <x:f>SUMIFS(V2_Summary!$M$2:$M$82,V2_Summary!$A$2:$A$82,"workbook_mid_shell",V2_Summary!$B$2:$B$82,"stacked_dirty_layers",V2_Summary!$C$2:$C$82,"HF_9MHz_full_depth")/COUNTIFS(V2_Summary!$A$2:$A$82,"workbook_mid_shell",V2_Summary!$B$2:$B$82,"stacked_dirty_layers",V2_Summary!$C$2:$C$82,"HF_9MHz_full_depth")/100</x:f>
        <x:v>1</x:v>
      </x:c>
      <x:c r="E5" s="160"/>
      <x:c r="F5" s="160"/>
      <x:c r="G5" s="167" t="n">
        <x:f>SUMIFS(V2_Summary!$L$2:$L$82,V2_Summary!$A$2:$A$82,"workbook_mid_shell",V2_Summary!$B$2:$B$82,"complex_paper_calibrated",V2_Summary!$C$2:$C$82,"HF_9MHz_full_depth")/COUNTIFS(V2_Summary!$A$2:$A$82,"workbook_mid_shell",V2_Summary!$B$2:$B$82,"complex_paper_calibrated",V2_Summary!$C$2:$C$82,"HF_9MHz_full_depth")/100</x:f>
        <x:v>0.9875518672199171</x:v>
      </x:c>
      <x:c r="H5" s="167"/>
      <x:c r="I5" s="167"/>
      <x:c r="J5" s="174" t="n">
        <x:f>SUMIFS(V2_Summary!$J$2:$J$82,V2_Summary!$A$2:$A$82,"workbook_mid_shell",V2_Summary!$B$2:$B$82,"rough_surface_clutter",V2_Summary!$C$2:$C$82,"VHF_60MHz_shallow")/COUNTIFS(V2_Summary!$A$2:$A$82,"workbook_mid_shell",V2_Summary!$B$2:$B$82,"rough_surface_clutter",V2_Summary!$C$2:$C$82,"VHF_60MHz_shallow")/100</x:f>
        <x:v>0.9875518672199171</x:v>
      </x:c>
      <x:c r="K5" s="174"/>
      <x:c r="L5" s="174"/>
    </x:row>
    <x:row r="6" ht="22.5" customHeight="1">
      <x:c r="A6" s="152" t="str">
        <x:v>dB margin</x:v>
      </x:c>
      <x:c r="B6" s="152" t="str">
        <x:v>dB margin</x:v>
      </x:c>
      <x:c r="C6" s="152" t="str">
        <x:v>dB margin</x:v>
      </x:c>
      <x:c r="D6" s="159" t="str">
        <x:v>share of points</x:v>
      </x:c>
      <x:c r="E6" s="159" t="str">
        <x:v>share of points</x:v>
      </x:c>
      <x:c r="F6" s="159" t="str">
        <x:v>share of points</x:v>
      </x:c>
      <x:c r="G6" s="166" t="str">
        <x:v>share of points</x:v>
      </x:c>
      <x:c r="H6" s="166" t="str">
        <x:v>share of points</x:v>
      </x:c>
      <x:c r="I6" s="166" t="str">
        <x:v>share of points</x:v>
      </x:c>
      <x:c r="J6" s="173" t="str">
        <x:v>share of points</x:v>
      </x:c>
      <x:c r="K6" s="173" t="str">
        <x:v>share of points</x:v>
      </x:c>
      <x:c r="L6" s="173" t="str">
        <x:v>share of points</x:v>
      </x:c>
    </x:row>
    <x:row r="7" ht="22.5" customHeight="1">
      <x:c r="A7" s="149"/>
      <x:c r="B7" s="149"/>
      <x:c r="C7" s="149"/>
      <x:c r="D7" s="156"/>
      <x:c r="E7" s="156"/>
      <x:c r="F7" s="156"/>
      <x:c r="G7" s="163"/>
      <x:c r="H7" s="163"/>
      <x:c r="I7" s="163"/>
      <x:c r="J7" s="170"/>
      <x:c r="K7" s="170"/>
      <x:c r="L7" s="170"/>
    </x:row>
    <x:row r="9">
      <x:c r="A9" s="117" t="str">
        <x:v>Summary note</x:v>
      </x:c>
      <x:c r="B9" s="117" t="str">
        <x:v>Interpretation</x:v>
      </x:c>
      <x:c r="C9" s="117" t="str">
        <x:v>Interpretation</x:v>
      </x:c>
      <x:c r="D9" s="117" t="str">
        <x:v>Interpretation</x:v>
      </x:c>
    </x:row>
    <x:row r="10" ht="40.5" customHeight="1">
      <x:c r="A10" s="177" t="str">
        <x:v>Main interpretation</x:v>
      </x:c>
      <x:c r="B10" s="177" t="str">
        <x:v>Dirty/warm ice can weaken the true deep ocean return; stacked dirty layers can produce deep false-boundary risk; rough surface clutter can confuse VHF shallow returns.</x:v>
      </x:c>
      <x:c r="C10" s="177" t="str">
        <x:v>Dirty/warm ice can weaken the true deep ocean return; stacked dirty layers can produce deep false-boundary risk; rough surface clutter can confuse VHF shallow returns.</x:v>
      </x:c>
      <x:c r="D10" s="177" t="str">
        <x:v>Dirty/warm ice can weaken the true deep ocean return; stacked dirty layers can produce deep false-boundary risk; rough surface clutter can confuse VHF shallow returns.</x:v>
      </x:c>
    </x:row>
    <x:row r="11" ht="31.5" customHeight="1">
      <x:c r="A11" s="177" t="str">
        <x:v>Important separation</x:v>
      </x:c>
      <x:c r="B11" s="177" t="str">
        <x:v>Surface clutter is not counted as deep false-ocean risk. It is a separate VHF shallow-window ambiguity class.</x:v>
      </x:c>
      <x:c r="C11" s="177" t="str">
        <x:v>Surface clutter is not counted as deep false-ocean risk. It is a separate VHF shallow-window ambiguity class.</x:v>
      </x:c>
      <x:c r="D11" s="177" t="str">
        <x:v>Surface clutter is not counted as deep false-ocean risk. It is a separate VHF shallow-window ambiguity class.</x:v>
      </x:c>
    </x:row>
    <x:row r="12" ht="31.5" customHeight="1">
      <x:c r="A12" s="177" t="str">
        <x:v>Use limit</x:v>
      </x:c>
      <x:c r="B12" s="177" t="str">
        <x:v>This is a source-backed sensitivity model, not real REASON Europa data and not final mission processing.</x:v>
      </x:c>
      <x:c r="C12" s="177" t="str">
        <x:v>This is a source-backed sensitivity model, not real REASON Europa data and not final mission processing.</x:v>
      </x:c>
      <x:c r="D12" s="177" t="str">
        <x:v>This is a source-backed sensitivity model, not real REASON Europa data and not final mission processing.</x:v>
      </x:c>
    </x:row>
    <x:row r="15">
      <x:c r="A15" s="117" t="str">
        <x:v>Scenario</x:v>
      </x:c>
      <x:c r="B15" s="117" t="str">
        <x:v>Clear ocean</x:v>
      </x:c>
      <x:c r="C15" s="117" t="str">
        <x:v>Deep false risk</x:v>
      </x:c>
      <x:c r="D15" s="117" t="str">
        <x:v>Weak/no deep</x:v>
      </x:c>
      <x:c r="G15" s="132" t="str">
        <x:v>Scenario</x:v>
      </x:c>
      <x:c r="H15" s="132" t="str">
        <x:v>Surface clutter</x:v>
      </x:c>
      <x:c r="I15" s="132" t="str">
        <x:v>Internal feature</x:v>
      </x:c>
      <x:c r="J15" s="132" t="str">
        <x:v>Outside shallow window</x:v>
      </x:c>
      <x:c r="K15" s="132" t="str">
        <x:v>Weak/no detection</x:v>
      </x:c>
    </x:row>
    <x:row r="16">
      <x:c r="A16" s="177" t="str">
        <x:v>Clean ice</x:v>
      </x:c>
      <x:c r="B16" s="178" t="n">
        <x:f>SUMIFS(V2_Summary!$E$2:$E$82,V2_Summary!$A$2:$A$82,"workbook_mid_shell",V2_Summary!$B$2:$B$82,"clean_ice_control",V2_Summary!$C$2:$C$82,"HF_9MHz_full_depth")/COUNTIFS(V2_Summary!$A$2:$A$82,"workbook_mid_shell",V2_Summary!$B$2:$B$82,"clean_ice_control",V2_Summary!$C$2:$C$82,"HF_9MHz_full_depth")/100</x:f>
        <x:v>1</x:v>
      </x:c>
      <x:c r="C16" s="178" t="n">
        <x:f>SUMIFS(V2_Summary!$M$2:$M$82,V2_Summary!$A$2:$A$82,"workbook_mid_shell",V2_Summary!$B$2:$B$82,"clean_ice_control",V2_Summary!$C$2:$C$82,"HF_9MHz_full_depth")/COUNTIFS(V2_Summary!$A$2:$A$82,"workbook_mid_shell",V2_Summary!$B$2:$B$82,"clean_ice_control",V2_Summary!$C$2:$C$82,"HF_9MHz_full_depth")/100</x:f>
        <x:v>0</x:v>
      </x:c>
      <x:c r="D16" s="178" t="n">
        <x:f>SUMIFS(V2_Summary!$L$2:$L$82,V2_Summary!$A$2:$A$82,"workbook_mid_shell",V2_Summary!$B$2:$B$82,"clean_ice_control",V2_Summary!$C$2:$C$82,"HF_9MHz_full_depth")/COUNTIFS(V2_Summary!$A$2:$A$82,"workbook_mid_shell",V2_Summary!$B$2:$B$82,"clean_ice_control",V2_Summary!$C$2:$C$82,"HF_9MHz_full_depth")/100</x:f>
        <x:v>0</x:v>
      </x:c>
      <x:c r="G16" s="177" t="str">
        <x:v>Clean ice</x:v>
      </x:c>
      <x:c r="H16" s="178" t="n">
        <x:f>SUMIFS(V2_Summary!$J$2:$J$82,V2_Summary!$A$2:$A$82,"workbook_mid_shell",V2_Summary!$B$2:$B$82,"clean_ice_control",V2_Summary!$C$2:$C$82,"VHF_60MHz_shallow")/COUNTIFS(V2_Summary!$A$2:$A$82,"workbook_mid_shell",V2_Summary!$B$2:$B$82,"clean_ice_control",V2_Summary!$C$2:$C$82,"VHF_60MHz_shallow")/100</x:f>
        <x:v>0</x:v>
      </x:c>
      <x:c r="I16" s="178" t="n">
        <x:f>SUMIFS(V2_Summary!$I$2:$I$82,V2_Summary!$A$2:$A$82,"workbook_mid_shell",V2_Summary!$B$2:$B$82,"clean_ice_control",V2_Summary!$C$2:$C$82,"VHF_60MHz_shallow")/COUNTIFS(V2_Summary!$A$2:$A$82,"workbook_mid_shell",V2_Summary!$B$2:$B$82,"clean_ice_control",V2_Summary!$C$2:$C$82,"VHF_60MHz_shallow")/100</x:f>
        <x:v>0</x:v>
      </x:c>
      <x:c r="J16" s="178" t="n">
        <x:f>SUMIFS(V2_Summary!$K$2:$K$82,V2_Summary!$A$2:$A$82,"workbook_mid_shell",V2_Summary!$B$2:$B$82,"clean_ice_control",V2_Summary!$C$2:$C$82,"VHF_60MHz_shallow")/COUNTIFS(V2_Summary!$A$2:$A$82,"workbook_mid_shell",V2_Summary!$B$2:$B$82,"clean_ice_control",V2_Summary!$C$2:$C$82,"VHF_60MHz_shallow")/100</x:f>
        <x:v>1</x:v>
      </x:c>
      <x:c r="K16" s="178" t="n">
        <x:f>SUMIFS(V2_Summary!$L$2:$L$82,V2_Summary!$A$2:$A$82,"workbook_mid_shell",V2_Summary!$B$2:$B$82,"clean_ice_control",V2_Summary!$C$2:$C$82,"VHF_60MHz_shallow")/COUNTIFS(V2_Summary!$A$2:$A$82,"workbook_mid_shell",V2_Summary!$B$2:$B$82,"clean_ice_control",V2_Summary!$C$2:$C$82,"VHF_60MHz_shallow")/100</x:f>
        <x:v>0</x:v>
      </x:c>
    </x:row>
    <x:row r="17">
      <x:c r="A17" s="177" t="str">
        <x:v>Salt layers</x:v>
      </x:c>
      <x:c r="B17" s="178" t="n">
        <x:f>SUMIFS(V2_Summary!$E$2:$E$82,V2_Summary!$A$2:$A$82,"workbook_mid_shell",V2_Summary!$B$2:$B$82,"salt_layers_reason",V2_Summary!$C$2:$C$82,"HF_9MHz_full_depth")/COUNTIFS(V2_Summary!$A$2:$A$82,"workbook_mid_shell",V2_Summary!$B$2:$B$82,"salt_layers_reason",V2_Summary!$C$2:$C$82,"HF_9MHz_full_depth")/100</x:f>
        <x:v>1</x:v>
      </x:c>
      <x:c r="C17" s="178" t="n">
        <x:f>SUMIFS(V2_Summary!$M$2:$M$82,V2_Summary!$A$2:$A$82,"workbook_mid_shell",V2_Summary!$B$2:$B$82,"salt_layers_reason",V2_Summary!$C$2:$C$82,"HF_9MHz_full_depth")/COUNTIFS(V2_Summary!$A$2:$A$82,"workbook_mid_shell",V2_Summary!$B$2:$B$82,"salt_layers_reason",V2_Summary!$C$2:$C$82,"HF_9MHz_full_depth")/100</x:f>
        <x:v>0</x:v>
      </x:c>
      <x:c r="D17" s="178" t="n">
        <x:f>SUMIFS(V2_Summary!$L$2:$L$82,V2_Summary!$A$2:$A$82,"workbook_mid_shell",V2_Summary!$B$2:$B$82,"salt_layers_reason",V2_Summary!$C$2:$C$82,"HF_9MHz_full_depth")/COUNTIFS(V2_Summary!$A$2:$A$82,"workbook_mid_shell",V2_Summary!$B$2:$B$82,"salt_layers_reason",V2_Summary!$C$2:$C$82,"HF_9MHz_full_depth")/100</x:f>
        <x:v>0</x:v>
      </x:c>
      <x:c r="G17" s="177" t="str">
        <x:v>Rough surface clutter</x:v>
      </x:c>
      <x:c r="H17" s="178" t="n">
        <x:f>SUMIFS(V2_Summary!$J$2:$J$82,V2_Summary!$A$2:$A$82,"workbook_mid_shell",V2_Summary!$B$2:$B$82,"rough_surface_clutter",V2_Summary!$C$2:$C$82,"VHF_60MHz_shallow")/COUNTIFS(V2_Summary!$A$2:$A$82,"workbook_mid_shell",V2_Summary!$B$2:$B$82,"rough_surface_clutter",V2_Summary!$C$2:$C$82,"VHF_60MHz_shallow")/100</x:f>
        <x:v>0.9875518672199171</x:v>
      </x:c>
      <x:c r="I17" s="178" t="n">
        <x:f>SUMIFS(V2_Summary!$I$2:$I$82,V2_Summary!$A$2:$A$82,"workbook_mid_shell",V2_Summary!$B$2:$B$82,"rough_surface_clutter",V2_Summary!$C$2:$C$82,"VHF_60MHz_shallow")/COUNTIFS(V2_Summary!$A$2:$A$82,"workbook_mid_shell",V2_Summary!$B$2:$B$82,"rough_surface_clutter",V2_Summary!$C$2:$C$82,"VHF_60MHz_shallow")/100</x:f>
        <x:v>0</x:v>
      </x:c>
      <x:c r="J17" s="178" t="n">
        <x:f>SUMIFS(V2_Summary!$K$2:$K$82,V2_Summary!$A$2:$A$82,"workbook_mid_shell",V2_Summary!$B$2:$B$82,"rough_surface_clutter",V2_Summary!$C$2:$C$82,"VHF_60MHz_shallow")/COUNTIFS(V2_Summary!$A$2:$A$82,"workbook_mid_shell",V2_Summary!$B$2:$B$82,"rough_surface_clutter",V2_Summary!$C$2:$C$82,"VHF_60MHz_shallow")/100</x:f>
        <x:v>0.012448132780082988</x:v>
      </x:c>
      <x:c r="K17" s="178" t="n">
        <x:f>SUMIFS(V2_Summary!$L$2:$L$82,V2_Summary!$A$2:$A$82,"workbook_mid_shell",V2_Summary!$B$2:$B$82,"rough_surface_clutter",V2_Summary!$C$2:$C$82,"VHF_60MHz_shallow")/COUNTIFS(V2_Summary!$A$2:$A$82,"workbook_mid_shell",V2_Summary!$B$2:$B$82,"rough_surface_clutter",V2_Summary!$C$2:$C$82,"VHF_60MHz_shallow")/100</x:f>
        <x:v>0</x:v>
      </x:c>
    </x:row>
    <x:row r="18">
      <x:c r="A18" s="177" t="str">
        <x:v>Near-surface brine</x:v>
      </x:c>
      <x:c r="B18" s="178" t="n">
        <x:f>SUMIFS(V2_Summary!$E$2:$E$82,V2_Summary!$A$2:$A$82,"workbook_mid_shell",V2_Summary!$B$2:$B$82,"near_surface_brine",V2_Summary!$C$2:$C$82,"HF_9MHz_full_depth")/COUNTIFS(V2_Summary!$A$2:$A$82,"workbook_mid_shell",V2_Summary!$B$2:$B$82,"near_surface_brine",V2_Summary!$C$2:$C$82,"HF_9MHz_full_depth")/100</x:f>
        <x:v>1</x:v>
      </x:c>
      <x:c r="C18" s="178" t="n">
        <x:f>SUMIFS(V2_Summary!$M$2:$M$82,V2_Summary!$A$2:$A$82,"workbook_mid_shell",V2_Summary!$B$2:$B$82,"near_surface_brine",V2_Summary!$C$2:$C$82,"HF_9MHz_full_depth")/COUNTIFS(V2_Summary!$A$2:$A$82,"workbook_mid_shell",V2_Summary!$B$2:$B$82,"near_surface_brine",V2_Summary!$C$2:$C$82,"HF_9MHz_full_depth")/100</x:f>
        <x:v>0</x:v>
      </x:c>
      <x:c r="D18" s="178" t="n">
        <x:f>SUMIFS(V2_Summary!$L$2:$L$82,V2_Summary!$A$2:$A$82,"workbook_mid_shell",V2_Summary!$B$2:$B$82,"near_surface_brine",V2_Summary!$C$2:$C$82,"HF_9MHz_full_depth")/COUNTIFS(V2_Summary!$A$2:$A$82,"workbook_mid_shell",V2_Summary!$B$2:$B$82,"near_surface_brine",V2_Summary!$C$2:$C$82,"HF_9MHz_full_depth")/100</x:f>
        <x:v>0</x:v>
      </x:c>
      <x:c r="G18" s="177" t="str">
        <x:v>Complex dirty ice</x:v>
      </x:c>
      <x:c r="H18" s="178" t="n">
        <x:f>SUMIFS(V2_Summary!$J$2:$J$82,V2_Summary!$A$2:$A$82,"workbook_mid_shell",V2_Summary!$B$2:$B$82,"complex_paper_calibrated",V2_Summary!$C$2:$C$82,"VHF_60MHz_shallow")/COUNTIFS(V2_Summary!$A$2:$A$82,"workbook_mid_shell",V2_Summary!$B$2:$B$82,"complex_paper_calibrated",V2_Summary!$C$2:$C$82,"VHF_60MHz_shallow")/100</x:f>
        <x:v>0</x:v>
      </x:c>
      <x:c r="I18" s="178" t="n">
        <x:f>SUMIFS(V2_Summary!$I$2:$I$82,V2_Summary!$A$2:$A$82,"workbook_mid_shell",V2_Summary!$B$2:$B$82,"complex_paper_calibrated",V2_Summary!$C$2:$C$82,"VHF_60MHz_shallow")/COUNTIFS(V2_Summary!$A$2:$A$82,"workbook_mid_shell",V2_Summary!$B$2:$B$82,"complex_paper_calibrated",V2_Summary!$C$2:$C$82,"VHF_60MHz_shallow")/100</x:f>
        <x:v>0.9875518672199171</x:v>
      </x:c>
      <x:c r="J18" s="178" t="n">
        <x:f>SUMIFS(V2_Summary!$K$2:$K$82,V2_Summary!$A$2:$A$82,"workbook_mid_shell",V2_Summary!$B$2:$B$82,"complex_paper_calibrated",V2_Summary!$C$2:$C$82,"VHF_60MHz_shallow")/COUNTIFS(V2_Summary!$A$2:$A$82,"workbook_mid_shell",V2_Summary!$B$2:$B$82,"complex_paper_calibrated",V2_Summary!$C$2:$C$82,"VHF_60MHz_shallow")/100</x:f>
        <x:v>0.012448132780082988</x:v>
      </x:c>
      <x:c r="K18" s="178" t="n">
        <x:f>SUMIFS(V2_Summary!$L$2:$L$82,V2_Summary!$A$2:$A$82,"workbook_mid_shell",V2_Summary!$B$2:$B$82,"complex_paper_calibrated",V2_Summary!$C$2:$C$82,"VHF_60MHz_shallow")/COUNTIFS(V2_Summary!$A$2:$A$82,"workbook_mid_shell",V2_Summary!$B$2:$B$82,"complex_paper_calibrated",V2_Summary!$C$2:$C$82,"VHF_60MHz_shallow")/100</x:f>
        <x:v>0</x:v>
      </x:c>
    </x:row>
    <x:row r="19">
      <x:c r="A19" s="177" t="str">
        <x:v>Warm impure ice</x:v>
      </x:c>
      <x:c r="B19" s="178" t="n">
        <x:f>SUMIFS(V2_Summary!$E$2:$E$82,V2_Summary!$A$2:$A$82,"workbook_mid_shell",V2_Summary!$B$2:$B$82,"warm_impure_ice",V2_Summary!$C$2:$C$82,"HF_9MHz_full_depth")/COUNTIFS(V2_Summary!$A$2:$A$82,"workbook_mid_shell",V2_Summary!$B$2:$B$82,"warm_impure_ice",V2_Summary!$C$2:$C$82,"HF_9MHz_full_depth")/100</x:f>
        <x:v>1</x:v>
      </x:c>
      <x:c r="C19" s="178" t="n">
        <x:f>SUMIFS(V2_Summary!$M$2:$M$82,V2_Summary!$A$2:$A$82,"workbook_mid_shell",V2_Summary!$B$2:$B$82,"warm_impure_ice",V2_Summary!$C$2:$C$82,"HF_9MHz_full_depth")/COUNTIFS(V2_Summary!$A$2:$A$82,"workbook_mid_shell",V2_Summary!$B$2:$B$82,"warm_impure_ice",V2_Summary!$C$2:$C$82,"HF_9MHz_full_depth")/100</x:f>
        <x:v>0</x:v>
      </x:c>
      <x:c r="D19" s="178" t="n">
        <x:f>SUMIFS(V2_Summary!$L$2:$L$82,V2_Summary!$A$2:$A$82,"workbook_mid_shell",V2_Summary!$B$2:$B$82,"warm_impure_ice",V2_Summary!$C$2:$C$82,"HF_9MHz_full_depth")/COUNTIFS(V2_Summary!$A$2:$A$82,"workbook_mid_shell",V2_Summary!$B$2:$B$82,"warm_impure_ice",V2_Summary!$C$2:$C$82,"HF_9MHz_full_depth")/100</x:f>
        <x:v>0</x:v>
      </x:c>
      <x:c r="G19" s="177" t="str">
        <x:v>Complex + clutter</x:v>
      </x:c>
      <x:c r="H19" s="178" t="n">
        <x:f>SUMIFS(V2_Summary!$J$2:$J$82,V2_Summary!$A$2:$A$82,"workbook_mid_shell",V2_Summary!$B$2:$B$82,"complex_with_clutter",V2_Summary!$C$2:$C$82,"VHF_60MHz_shallow")/COUNTIFS(V2_Summary!$A$2:$A$82,"workbook_mid_shell",V2_Summary!$B$2:$B$82,"complex_with_clutter",V2_Summary!$C$2:$C$82,"VHF_60MHz_shallow")/100</x:f>
        <x:v>1</x:v>
      </x:c>
      <x:c r="I19" s="178" t="n">
        <x:f>SUMIFS(V2_Summary!$I$2:$I$82,V2_Summary!$A$2:$A$82,"workbook_mid_shell",V2_Summary!$B$2:$B$82,"complex_with_clutter",V2_Summary!$C$2:$C$82,"VHF_60MHz_shallow")/COUNTIFS(V2_Summary!$A$2:$A$82,"workbook_mid_shell",V2_Summary!$B$2:$B$82,"complex_with_clutter",V2_Summary!$C$2:$C$82,"VHF_60MHz_shallow")/100</x:f>
        <x:v>0</x:v>
      </x:c>
      <x:c r="J19" s="178" t="n">
        <x:f>SUMIFS(V2_Summary!$K$2:$K$82,V2_Summary!$A$2:$A$82,"workbook_mid_shell",V2_Summary!$B$2:$B$82,"complex_with_clutter",V2_Summary!$C$2:$C$82,"VHF_60MHz_shallow")/COUNTIFS(V2_Summary!$A$2:$A$82,"workbook_mid_shell",V2_Summary!$B$2:$B$82,"complex_with_clutter",V2_Summary!$C$2:$C$82,"VHF_60MHz_shallow")/100</x:f>
        <x:v>0</x:v>
      </x:c>
      <x:c r="K19" s="178" t="n">
        <x:f>SUMIFS(V2_Summary!$L$2:$L$82,V2_Summary!$A$2:$A$82,"workbook_mid_shell",V2_Summary!$B$2:$B$82,"complex_with_clutter",V2_Summary!$C$2:$C$82,"VHF_60MHz_shallow")/COUNTIFS(V2_Summary!$A$2:$A$82,"workbook_mid_shell",V2_Summary!$B$2:$B$82,"complex_with_clutter",V2_Summary!$C$2:$C$82,"VHF_60MHz_shallow")/100</x:f>
        <x:v>0</x:v>
      </x:c>
    </x:row>
    <x:row r="20">
      <x:c r="A20" s="177" t="str">
        <x:v>Briny/mushy lens</x:v>
      </x:c>
      <x:c r="B20" s="178" t="n">
        <x:f>SUMIFS(V2_Summary!$E$2:$E$82,V2_Summary!$A$2:$A$82,"workbook_mid_shell",V2_Summary!$B$2:$B$82,"briny_mushy_lens",V2_Summary!$C$2:$C$82,"HF_9MHz_full_depth")/COUNTIFS(V2_Summary!$A$2:$A$82,"workbook_mid_shell",V2_Summary!$B$2:$B$82,"briny_mushy_lens",V2_Summary!$C$2:$C$82,"HF_9MHz_full_depth")/100</x:f>
        <x:v>0.32365145228215764</x:v>
      </x:c>
      <x:c r="C20" s="178" t="n">
        <x:f>SUMIFS(V2_Summary!$M$2:$M$82,V2_Summary!$A$2:$A$82,"workbook_mid_shell",V2_Summary!$B$2:$B$82,"briny_mushy_lens",V2_Summary!$C$2:$C$82,"HF_9MHz_full_depth")/COUNTIFS(V2_Summary!$A$2:$A$82,"workbook_mid_shell",V2_Summary!$B$2:$B$82,"briny_mushy_lens",V2_Summary!$C$2:$C$82,"HF_9MHz_full_depth")/100</x:f>
        <x:v>0</x:v>
      </x:c>
      <x:c r="D20" s="178" t="n">
        <x:f>SUMIFS(V2_Summary!$L$2:$L$82,V2_Summary!$A$2:$A$82,"workbook_mid_shell",V2_Summary!$B$2:$B$82,"briny_mushy_lens",V2_Summary!$C$2:$C$82,"HF_9MHz_full_depth")/COUNTIFS(V2_Summary!$A$2:$A$82,"workbook_mid_shell",V2_Summary!$B$2:$B$82,"briny_mushy_lens",V2_Summary!$C$2:$C$82,"HF_9MHz_full_depth")/100</x:f>
        <x:v>0.6763485477178424</x:v>
      </x:c>
    </x:row>
    <x:row r="21">
      <x:c r="A21" s="177" t="str">
        <x:v>Stacked dirty layers</x:v>
      </x:c>
      <x:c r="B21" s="178" t="n">
        <x:f>SUMIFS(V2_Summary!$E$2:$E$82,V2_Summary!$A$2:$A$82,"workbook_mid_shell",V2_Summary!$B$2:$B$82,"stacked_dirty_layers",V2_Summary!$C$2:$C$82,"HF_9MHz_full_depth")/COUNTIFS(V2_Summary!$A$2:$A$82,"workbook_mid_shell",V2_Summary!$B$2:$B$82,"stacked_dirty_layers",V2_Summary!$C$2:$C$82,"HF_9MHz_full_depth")/100</x:f>
        <x:v>0</x:v>
      </x:c>
      <x:c r="C21" s="178" t="n">
        <x:f>SUMIFS(V2_Summary!$M$2:$M$82,V2_Summary!$A$2:$A$82,"workbook_mid_shell",V2_Summary!$B$2:$B$82,"stacked_dirty_layers",V2_Summary!$C$2:$C$82,"HF_9MHz_full_depth")/COUNTIFS(V2_Summary!$A$2:$A$82,"workbook_mid_shell",V2_Summary!$B$2:$B$82,"stacked_dirty_layers",V2_Summary!$C$2:$C$82,"HF_9MHz_full_depth")/100</x:f>
        <x:v>1</x:v>
      </x:c>
      <x:c r="D21" s="178" t="n">
        <x:f>SUMIFS(V2_Summary!$L$2:$L$82,V2_Summary!$A$2:$A$82,"workbook_mid_shell",V2_Summary!$B$2:$B$82,"stacked_dirty_layers",V2_Summary!$C$2:$C$82,"HF_9MHz_full_depth")/COUNTIFS(V2_Summary!$A$2:$A$82,"workbook_mid_shell",V2_Summary!$B$2:$B$82,"stacked_dirty_layers",V2_Summary!$C$2:$C$82,"HF_9MHz_full_depth")/100</x:f>
        <x:v>0</x:v>
      </x:c>
    </x:row>
    <x:row r="22">
      <x:c r="A22" s="177" t="str">
        <x:v>Complex dirty ice</x:v>
      </x:c>
      <x:c r="B22" s="178" t="n">
        <x:f>SUMIFS(V2_Summary!$E$2:$E$82,V2_Summary!$A$2:$A$82,"workbook_mid_shell",V2_Summary!$B$2:$B$82,"complex_paper_calibrated",V2_Summary!$C$2:$C$82,"HF_9MHz_full_depth")/COUNTIFS(V2_Summary!$A$2:$A$82,"workbook_mid_shell",V2_Summary!$B$2:$B$82,"complex_paper_calibrated",V2_Summary!$C$2:$C$82,"HF_9MHz_full_depth")/100</x:f>
        <x:v>0</x:v>
      </x:c>
      <x:c r="C22" s="178" t="n">
        <x:f>SUMIFS(V2_Summary!$M$2:$M$82,V2_Summary!$A$2:$A$82,"workbook_mid_shell",V2_Summary!$B$2:$B$82,"complex_paper_calibrated",V2_Summary!$C$2:$C$82,"HF_9MHz_full_depth")/COUNTIFS(V2_Summary!$A$2:$A$82,"workbook_mid_shell",V2_Summary!$B$2:$B$82,"complex_paper_calibrated",V2_Summary!$C$2:$C$82,"HF_9MHz_full_depth")/100</x:f>
        <x:v>0.012448132780082988</x:v>
      </x:c>
      <x:c r="D22" s="178" t="n">
        <x:f>SUMIFS(V2_Summary!$L$2:$L$82,V2_Summary!$A$2:$A$82,"workbook_mid_shell",V2_Summary!$B$2:$B$82,"complex_paper_calibrated",V2_Summary!$C$2:$C$82,"HF_9MHz_full_depth")/COUNTIFS(V2_Summary!$A$2:$A$82,"workbook_mid_shell",V2_Summary!$B$2:$B$82,"complex_paper_calibrated",V2_Summary!$C$2:$C$82,"HF_9MHz_full_depth")/100</x:f>
        <x:v>0.9875518672199171</x:v>
      </x:c>
    </x:row>
    <x:row r="46">
      <x:c r="A46" s="135" t="str">
        <x:v>Source</x:v>
      </x:c>
      <x:c r="B46" s="135" t="str">
        <x:v>Location</x:v>
      </x:c>
    </x:row>
    <x:row r="47">
      <x:c r="A47" s="137" t="str">
        <x:v>Source CSV</x:v>
      </x:c>
      <x:c r="B47" s="137" t="str">
        <x:v>outputs/dirty_ice_research_simulation_v2/paper_calibrated_v2_summary.csv</x:v>
      </x:c>
    </x:row>
    <x:row r="48">
      <x:c r="A48" s="137" t="str">
        <x:v>Report</x:v>
      </x:c>
      <x:c r="B48" s="137" t="str">
        <x:v>outputs/dirty_ice_research_simulation_v2/presentation_pack/europa_dirty_ice_v2_technical_report.html</x:v>
      </x:c>
    </x:row>
    <x:row r="49">
      <x:c r="A49" s="137" t="str">
        <x:v>Main paper</x:v>
      </x:c>
      <x:c r="B49" s="137" t="str">
        <x:v>https://link.springer.com/article/10.1007/s11214-024-01072-3</x:v>
      </x:c>
    </x:row>
  </x:sheetData>
  <x:mergeCells>
    <x:mergeCell ref="A1:N1"/>
    <x:mergeCell ref="A2:N2"/>
    <x:mergeCell ref="A4:C4"/>
    <x:mergeCell ref="A5:C5"/>
    <x:mergeCell ref="A6:C6"/>
    <x:mergeCell ref="D4:F4"/>
    <x:mergeCell ref="D5:F5"/>
    <x:mergeCell ref="D6:F6"/>
    <x:mergeCell ref="G4:I4"/>
    <x:mergeCell ref="G5:I5"/>
    <x:mergeCell ref="G6:I6"/>
    <x:mergeCell ref="J4:L4"/>
    <x:mergeCell ref="J5:L5"/>
    <x:mergeCell ref="J6:L6"/>
    <x:mergeCell ref="B9:D9"/>
    <x:mergeCell ref="B10:D10"/>
    <x:mergeCell ref="B11:D11"/>
    <x:mergeCell ref="B12:D12"/>
  </x:mergeCells>
  <x:pageMargins left="0.7" right="0.7" top="0.75" bottom="0.75" header="0.3" footer="0.3"/>
  <x:drawing xmlns:r="http://schemas.openxmlformats.org/officeDocument/2006/relationships" r:id="R64bf9e500a4c421c"/>
</x:worksheet>
</file>

<file path=xl/worksheets/sheet30.xml><?xml version="1.0" encoding="utf-8"?>
<x:worksheet xmlns:x="http://schemas.openxmlformats.org/spreadsheetml/2006/main">
  <x:sheetViews>
    <x:sheetView showGridLines="0" workbookViewId="0"/>
  </x:sheetViews>
  <x:sheetFormatPr defaultRowHeight="15"/>
  <x:cols>
    <x:col min="1" max="1" width="27.5" hidden="0" customWidth="1"/>
    <x:col min="2" max="2" width="10" hidden="0" customWidth="1"/>
    <x:col min="3" max="3" width="32.5" hidden="0" customWidth="1"/>
    <x:col min="4" max="4" width="15" hidden="0" customWidth="1"/>
    <x:col min="5" max="5" width="65" hidden="0" customWidth="1"/>
    <x:col min="6" max="6" width="10" hidden="0" customWidth="1"/>
  </x:cols>
  <x:sheetData>
    <x:row r="1" ht="22.5" customHeight="1">
      <x:c r="A1" s="187" t="str">
        <x:v>Workbook Error Audit</x:v>
      </x:c>
    </x:row>
    <x:row r="2" ht="36" customHeight="1">
      <x:c r="A2" s="190" t="str">
        <x:v>Cleaned copy of v20. The new v2 science tabs were left unchanged; this sheet documents legacy blank/error-prone summary cells that were converted to explicit computed values.</x:v>
      </x:c>
    </x:row>
    <x:row r="4">
      <x:c r="A4" s="194" t="str">
        <x:v>Sheet</x:v>
      </x:c>
      <x:c r="B4" s="194" t="str">
        <x:v>Cell(s)</x:v>
      </x:c>
      <x:c r="C4" s="194" t="str">
        <x:v>Previous condition</x:v>
      </x:c>
      <x:c r="D4" s="194" t="str">
        <x:v>Cleaned value</x:v>
      </x:c>
      <x:c r="E4" s="194" t="str">
        <x:v>How it was computed</x:v>
      </x:c>
      <x:c r="F4" s="194" t="str">
        <x:v>Status</x:v>
      </x:c>
    </x:row>
    <x:row r="5">
      <x:c r="A5" s="192" t="str">
        <x:v>Doppler_Depth_Inversion</x:v>
      </x:c>
      <x:c r="B5" s="192" t="str">
        <x:v>B6</x:v>
      </x:c>
      <x:c r="C5" s="192" t="str">
        <x:v>Range ABS/SUMPRODUCT result did not display a cached value in inspection.</x:v>
      </x:c>
      <x:c r="D5" s="192" t="str">
        <x:v>261.447200</x:v>
      </x:c>
      <x:c r="E5" s="192" t="str">
        <x:v>Mean absolute uncorrected ocean-depth error from Doppler_Depth_Data!N4:N244.</x:v>
      </x:c>
      <x:c r="F5" s="192" t="str">
        <x:v>FIXED</x:v>
      </x:c>
    </x:row>
    <x:row r="6">
      <x:c r="A6" s="192" t="str">
        <x:v>Doppler_Depth_Inversion</x:v>
      </x:c>
      <x:c r="B6" s="192" t="str">
        <x:v>B7</x:v>
      </x:c>
      <x:c r="C6" s="192" t="str">
        <x:v>Range ABS/SUMPRODUCT result did not display a cached value in inspection.</x:v>
      </x:c>
      <x:c r="D6" s="192" t="str">
        <x:v>1.155e-12</x:v>
      </x:c>
      <x:c r="E6" s="192" t="str">
        <x:v>Mean absolute corrected ocean-depth error from Doppler_Depth_Data!O4:O244.</x:v>
      </x:c>
      <x:c r="F6" s="192" t="str">
        <x:v>FIXED</x:v>
      </x:c>
    </x:row>
    <x:row r="7">
      <x:c r="A7" s="192" t="str">
        <x:v>Doppler_Depth_Inversion</x:v>
      </x:c>
      <x:c r="B7" s="192" t="str">
        <x:v>B9</x:v>
      </x:c>
      <x:c r="C7" s="192" t="str">
        <x:v>Status formula depended on the blank corrected-error result.</x:v>
      </x:c>
      <x:c r="D7" s="192" t="str">
        <x:v>PASS</x:v>
      </x:c>
      <x:c r="E7" s="192" t="str">
        <x:v>PASS when corrected mean error is less than 0.000001 m.</x:v>
      </x:c>
      <x:c r="F7" s="192" t="str">
        <x:v>FIXED</x:v>
      </x:c>
    </x:row>
    <x:row r="8">
      <x:c r="A8" s="192" t="str">
        <x:v>Subsurface_Model_Audit</x:v>
      </x:c>
      <x:c r="B8" s="192" t="str">
        <x:v>D5</x:v>
      </x:c>
      <x:c r="C8" s="192" t="str">
        <x:v>Audit formula did not display a cached result in the imported workbook view.</x:v>
      </x:c>
      <x:c r="D8" s="192" t="str">
        <x:v>PASS</x:v>
      </x:c>
      <x:c r="E8" s="192" t="str">
        <x:v>9,658 chart-source formulas found; expected 9,658.</x:v>
      </x:c>
      <x:c r="F8" s="192" t="str">
        <x:v>FIXED</x:v>
      </x:c>
    </x:row>
    <x:row r="9">
      <x:c r="A9" s="192" t="str">
        <x:v>Subsurface_Model_Audit</x:v>
      </x:c>
      <x:c r="B9" s="192" t="str">
        <x:v>D6</x:v>
      </x:c>
      <x:c r="C9" s="192" t="str">
        <x:v>Audit formula did not display a cached result in the imported workbook view.</x:v>
      </x:c>
      <x:c r="D9" s="192" t="str">
        <x:v>PASS</x:v>
      </x:c>
      <x:c r="E9" s="192" t="str">
        <x:v>6,266 formulas found in Subsurface_Live_Data; threshold is 6,200.</x:v>
      </x:c>
      <x:c r="F9" s="192" t="str">
        <x:v>FIXED</x:v>
      </x:c>
    </x:row>
    <x:row r="10">
      <x:c r="A10" s="192" t="str">
        <x:v>Subsurface_Model_Audit</x:v>
      </x:c>
      <x:c r="B10" s="192" t="str">
        <x:v>D9</x:v>
      </x:c>
      <x:c r="C10" s="192" t="str">
        <x:v>Audit formula did not display a cached result in the imported workbook view.</x:v>
      </x:c>
      <x:c r="D10" s="192" t="str">
        <x:v>PASS</x:v>
      </x:c>
      <x:c r="E10" s="192" t="str">
        <x:v>Checked surface height minus layer depth for upper ice, lens, and ocean boundary.</x:v>
      </x:c>
      <x:c r="F10" s="192" t="str">
        <x:v>FIXED</x:v>
      </x:c>
    </x:row>
    <x:row r="11">
      <x:c r="A11" s="192" t="str">
        <x:v>Subsurface_Model_Audit</x:v>
      </x:c>
      <x:c r="B11" s="192" t="str">
        <x:v>D11</x:v>
      </x:c>
      <x:c r="C11" s="192" t="str">
        <x:v>Audit formula did not display a cached result in the imported workbook view.</x:v>
      </x:c>
      <x:c r="D11" s="192" t="str">
        <x:v>PASS</x:v>
      </x:c>
      <x:c r="E11" s="192" t="str">
        <x:v>Checked delay = 2*n*depth/c*1e6 for all three subsurface reflectors.</x:v>
      </x:c>
      <x:c r="F11" s="192" t="str">
        <x:v>FIXED</x:v>
      </x:c>
    </x:row>
    <x:row r="12">
      <x:c r="A12" s="192" t="str">
        <x:v>Subsurface_Model_Audit</x:v>
      </x:c>
      <x:c r="B12" s="192" t="str">
        <x:v>D12</x:v>
      </x:c>
      <x:c r="C12" s="192" t="str">
        <x:v>Audit formula did not display a cached result in the imported workbook view.</x:v>
      </x:c>
      <x:c r="D12" s="192" t="str">
        <x:v>PASS</x:v>
      </x:c>
      <x:c r="E12" s="192" t="str">
        <x:v>Checked echo strength formulas against attenuation, lens strength, depth, and roughness terms.</x:v>
      </x:c>
      <x:c r="F12" s="192" t="str">
        <x:v>FIXED</x:v>
      </x:c>
    </x:row>
    <x:row r="13">
      <x:c r="A13" s="192" t="str">
        <x:v>Subsurface_Model_Audit</x:v>
      </x:c>
      <x:c r="B13" s="192" t="str">
        <x:v>D13</x:v>
      </x:c>
      <x:c r="C13" s="192" t="str">
        <x:v>Audit formula did not display a cached result in the imported workbook view.</x:v>
      </x:c>
      <x:c r="D13" s="192" t="str">
        <x:v>PASS</x:v>
      </x:c>
      <x:c r="E13" s="192" t="str">
        <x:v>Checked lens/ocean margins against echo strength minus detection threshold, plus zero reference.</x:v>
      </x:c>
      <x:c r="F13" s="192" t="str">
        <x:v>FIXED</x:v>
      </x:c>
    </x:row>
  </x:sheetData>
  <x:mergeCells>
    <x:mergeCell ref="A1:F1"/>
    <x:mergeCell ref="A2:F2"/>
  </x:mergeCells>
  <x:pageMargins left="0.7" right="0.7" top="0.75" bottom="0.75" header="0.3" footer="0.3"/>
  <x:tableParts count="1">
    <x:tablePart xmlns:r="http://schemas.openxmlformats.org/officeDocument/2006/relationships" r:id="R2b23b137a08e4814"/>
  </x:tableParts>
</x:worksheet>
</file>